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1235" tabRatio="933" activeTab="6"/>
  </bookViews>
  <sheets>
    <sheet name="СВОД" sheetId="10" r:id="rId1"/>
    <sheet name="Дошкольное +" sheetId="1" r:id="rId2"/>
    <sheet name="Дети до 3 лет" sheetId="11" state="hidden" r:id="rId3"/>
    <sheet name="Общее+" sheetId="5" r:id="rId4"/>
    <sheet name="Профессиональное" sheetId="2" state="hidden" r:id="rId5"/>
    <sheet name="Высшее (исключен) +" sheetId="3" state="hidden" r:id="rId6"/>
    <sheet name="Дополнительное+" sheetId="12" r:id="rId7"/>
    <sheet name="Проф обучение+" sheetId="8" state="hidden" r:id="rId8"/>
    <sheet name="Дополнительная информация" sheetId="9" r:id="rId9"/>
    <sheet name="Доп профобраз (исключен) +" sheetId="7" state="hidden" r:id="rId10"/>
  </sheets>
  <externalReferences>
    <externalReference r:id="rId11"/>
  </externalReferences>
  <definedNames>
    <definedName name="_xlnm._FilterDatabase" localSheetId="3" hidden="1">'Общее+'!$A$6:$O$178</definedName>
    <definedName name="OLE_LINK1" localSheetId="8">'Дополнительная информация'!$B$27</definedName>
    <definedName name="_xlnm.Print_Area" localSheetId="5">'Высшее (исключен) +'!$A$1:$L$427</definedName>
    <definedName name="_xlnm.Print_Area" localSheetId="6">'Дополнительное+'!$A$1:$O$335</definedName>
    <definedName name="_xlnm.Print_Area" localSheetId="1">'Дошкольное +'!$A$1:$N$534</definedName>
    <definedName name="_xlnm.Print_Area" localSheetId="3">'Общее+'!$A$1:$N$1673</definedName>
    <definedName name="_xlnm.Print_Area" localSheetId="4">Профессиональное!$A$1:$L$891</definedName>
  </definedNames>
  <calcPr calcId="152511"/>
</workbook>
</file>

<file path=xl/calcChain.xml><?xml version="1.0" encoding="utf-8"?>
<calcChain xmlns="http://schemas.openxmlformats.org/spreadsheetml/2006/main">
  <c r="M1222" i="10" l="1"/>
  <c r="M1215" i="10"/>
  <c r="M1207" i="10"/>
  <c r="M1206" i="10"/>
  <c r="M1204" i="10"/>
  <c r="M1199" i="10"/>
  <c r="M1198" i="10"/>
  <c r="M1194" i="10"/>
  <c r="M1167" i="10"/>
  <c r="M1166" i="10"/>
  <c r="M1164" i="10"/>
  <c r="M1163" i="10"/>
  <c r="M1161" i="10"/>
  <c r="M1160" i="10"/>
  <c r="M1159" i="10"/>
  <c r="M1158" i="10"/>
  <c r="O10" i="12"/>
  <c r="M1156" i="10"/>
  <c r="M204" i="10"/>
  <c r="M201" i="10"/>
  <c r="M190" i="10"/>
  <c r="M172" i="10"/>
  <c r="M173" i="10"/>
  <c r="M174" i="10"/>
  <c r="M175" i="10"/>
  <c r="M176" i="10"/>
  <c r="M177" i="10"/>
  <c r="M178" i="10"/>
  <c r="M179" i="10"/>
  <c r="M180" i="10"/>
  <c r="M181" i="10"/>
  <c r="M182" i="10"/>
  <c r="M183" i="10"/>
  <c r="M184" i="10"/>
  <c r="M171" i="10"/>
  <c r="N331" i="1"/>
  <c r="M157" i="10"/>
  <c r="M158" i="10"/>
  <c r="M159" i="10"/>
  <c r="M160" i="10"/>
  <c r="M161" i="10"/>
  <c r="M162" i="10"/>
  <c r="M163" i="10"/>
  <c r="M164" i="10"/>
  <c r="M165" i="10"/>
  <c r="M166" i="10"/>
  <c r="M167" i="10"/>
  <c r="M168" i="10"/>
  <c r="L157" i="10"/>
  <c r="L158" i="10"/>
  <c r="L159" i="10"/>
  <c r="L160" i="10"/>
  <c r="L161" i="10"/>
  <c r="L162" i="10"/>
  <c r="L163" i="10"/>
  <c r="L164" i="10"/>
  <c r="L165" i="10"/>
  <c r="L166" i="10"/>
  <c r="L167" i="10"/>
  <c r="L168" i="10"/>
  <c r="K156" i="10"/>
  <c r="L156" i="10"/>
  <c r="M156" i="10"/>
  <c r="M150" i="10"/>
  <c r="M147" i="10"/>
  <c r="M133" i="10"/>
  <c r="M123"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16" i="10"/>
  <c r="M117" i="10"/>
  <c r="M118" i="10"/>
  <c r="M119" i="10"/>
  <c r="M120" i="10"/>
  <c r="M121" i="10"/>
  <c r="M122" i="10"/>
  <c r="M124" i="10"/>
  <c r="M125" i="10"/>
  <c r="M126" i="10"/>
  <c r="M127" i="10"/>
  <c r="M128" i="10"/>
  <c r="M129" i="10"/>
  <c r="M130" i="10"/>
  <c r="M131" i="10"/>
  <c r="M132" i="10"/>
  <c r="M134" i="10"/>
  <c r="M135" i="10"/>
  <c r="M136" i="10"/>
  <c r="M137" i="10"/>
  <c r="M138" i="10"/>
  <c r="M116" i="10"/>
  <c r="M114" i="10"/>
  <c r="M106" i="10"/>
  <c r="M107" i="10"/>
  <c r="M108" i="10"/>
  <c r="M109" i="10"/>
  <c r="M110" i="10"/>
  <c r="M111" i="10"/>
  <c r="M112" i="10"/>
  <c r="M113" i="10"/>
  <c r="M104" i="10"/>
  <c r="M105" i="10"/>
  <c r="M96" i="10"/>
  <c r="M91" i="10"/>
  <c r="M92" i="10"/>
  <c r="M93" i="10"/>
  <c r="M94" i="10"/>
  <c r="L91" i="10"/>
  <c r="L92" i="10"/>
  <c r="L93" i="10"/>
  <c r="L94" i="10"/>
  <c r="K91" i="10"/>
  <c r="K92" i="10"/>
  <c r="K93" i="10"/>
  <c r="K94" i="10"/>
  <c r="K90" i="10"/>
  <c r="L90" i="10"/>
  <c r="M90" i="10"/>
  <c r="L79" i="10"/>
  <c r="L80" i="10"/>
  <c r="L81" i="10"/>
  <c r="L82" i="10"/>
  <c r="K79" i="10"/>
  <c r="K80" i="10"/>
  <c r="K81" i="10"/>
  <c r="K82" i="10"/>
  <c r="K78" i="10"/>
  <c r="L78" i="10"/>
  <c r="K85" i="10"/>
  <c r="K86" i="10"/>
  <c r="K87" i="10"/>
  <c r="K88" i="10"/>
  <c r="K84" i="10"/>
  <c r="L85" i="10"/>
  <c r="L86" i="10"/>
  <c r="L87" i="10"/>
  <c r="L88" i="10"/>
  <c r="L84" i="10"/>
  <c r="M85" i="10"/>
  <c r="M86" i="10"/>
  <c r="M87" i="10"/>
  <c r="M88" i="10"/>
  <c r="M84" i="10"/>
  <c r="M79" i="10"/>
  <c r="M80" i="10"/>
  <c r="M81" i="10"/>
  <c r="M82" i="10"/>
  <c r="M78" i="10"/>
  <c r="K55" i="10"/>
  <c r="L55" i="10"/>
  <c r="M57" i="10"/>
  <c r="M55" i="10"/>
  <c r="M49" i="10"/>
  <c r="M51" i="10"/>
  <c r="M48" i="10"/>
  <c r="M43" i="10"/>
  <c r="M45" i="10"/>
  <c r="L42" i="10"/>
  <c r="M42" i="10"/>
  <c r="M39" i="10"/>
  <c r="L39" i="10"/>
  <c r="K37" i="10"/>
  <c r="K38" i="10"/>
  <c r="K39" i="10"/>
  <c r="J36" i="10"/>
  <c r="J37" i="10"/>
  <c r="J38" i="10"/>
  <c r="J39" i="10"/>
  <c r="I36" i="10"/>
  <c r="I37" i="10"/>
  <c r="I38" i="10"/>
  <c r="I39" i="10"/>
  <c r="K36" i="10"/>
  <c r="L37" i="10"/>
  <c r="L38" i="10"/>
  <c r="L36" i="10"/>
  <c r="M37" i="10"/>
  <c r="M38" i="10"/>
  <c r="M36" i="10"/>
  <c r="K22" i="10"/>
  <c r="L33" i="10"/>
  <c r="L34" i="10"/>
  <c r="L32" i="10"/>
  <c r="L28" i="10"/>
  <c r="L25" i="10"/>
  <c r="L23" i="10"/>
  <c r="L24" i="10"/>
  <c r="L26" i="10"/>
  <c r="L27" i="10"/>
  <c r="L22" i="10"/>
  <c r="M33" i="10"/>
  <c r="M34" i="10"/>
  <c r="M32" i="10"/>
  <c r="M28" i="10"/>
  <c r="M25" i="10"/>
  <c r="M23" i="10"/>
  <c r="M24" i="10"/>
  <c r="M26" i="10"/>
  <c r="M27" i="10"/>
  <c r="M22" i="10"/>
  <c r="M17" i="10"/>
  <c r="M14" i="10"/>
  <c r="M11" i="10"/>
  <c r="N438" i="1"/>
  <c r="M409" i="1"/>
  <c r="M410" i="1"/>
  <c r="M399" i="1"/>
  <c r="M400" i="1"/>
  <c r="M401" i="1"/>
  <c r="M402" i="1"/>
  <c r="M403" i="1"/>
  <c r="M404" i="1"/>
  <c r="M405" i="1"/>
  <c r="M406" i="1"/>
  <c r="M407" i="1"/>
  <c r="M408" i="1"/>
  <c r="N399" i="1"/>
  <c r="N400" i="1"/>
  <c r="N401" i="1"/>
  <c r="N402" i="1"/>
  <c r="N403" i="1"/>
  <c r="N404" i="1"/>
  <c r="N405" i="1"/>
  <c r="N406" i="1"/>
  <c r="N407" i="1"/>
  <c r="N408" i="1"/>
  <c r="N409" i="1"/>
  <c r="N410" i="1"/>
  <c r="N397" i="1"/>
  <c r="N398" i="1"/>
  <c r="M398" i="1"/>
  <c r="N378" i="1" l="1"/>
  <c r="M378" i="1"/>
  <c r="N532" i="1"/>
  <c r="N529" i="1"/>
  <c r="N528" i="1"/>
  <c r="N527" i="1"/>
  <c r="N526" i="1"/>
  <c r="N523" i="1"/>
  <c r="N520" i="1"/>
  <c r="N519" i="1"/>
  <c r="N518" i="1"/>
  <c r="N517" i="1"/>
  <c r="N501" i="1"/>
  <c r="N500" i="1"/>
  <c r="N492" i="1"/>
  <c r="N491" i="1"/>
  <c r="N487" i="1"/>
  <c r="N486" i="1"/>
  <c r="N485" i="1"/>
  <c r="N484" i="1"/>
  <c r="N483" i="1"/>
  <c r="N482" i="1"/>
  <c r="N475" i="1"/>
  <c r="N472" i="1"/>
  <c r="N469" i="1"/>
  <c r="N465" i="1"/>
  <c r="N452" i="1" s="1"/>
  <c r="N462" i="1"/>
  <c r="N460" i="1"/>
  <c r="N459" i="1"/>
  <c r="N458" i="1"/>
  <c r="N457" i="1"/>
  <c r="N456" i="1"/>
  <c r="N455" i="1"/>
  <c r="N454" i="1"/>
  <c r="N453" i="1"/>
  <c r="N451" i="1"/>
  <c r="N450" i="1"/>
  <c r="N449" i="1"/>
  <c r="N448" i="1"/>
  <c r="N435" i="1"/>
  <c r="N432" i="1"/>
  <c r="N431" i="1"/>
  <c r="N430" i="1"/>
  <c r="N429" i="1"/>
  <c r="N422" i="1"/>
  <c r="N380" i="1"/>
  <c r="N377" i="1"/>
  <c r="N376" i="1"/>
  <c r="N375" i="1"/>
  <c r="N374" i="1"/>
  <c r="N373" i="1"/>
  <c r="N372" i="1"/>
  <c r="N371" i="1"/>
  <c r="N370" i="1"/>
  <c r="N369" i="1"/>
  <c r="N368" i="1"/>
  <c r="N367" i="1"/>
  <c r="N366" i="1"/>
  <c r="N365" i="1"/>
  <c r="N362" i="1"/>
  <c r="N361" i="1"/>
  <c r="N360" i="1" s="1"/>
  <c r="N354" i="1" s="1"/>
  <c r="N357" i="1"/>
  <c r="N356" i="1"/>
  <c r="N355" i="1"/>
  <c r="N353" i="1"/>
  <c r="N352" i="1"/>
  <c r="N351" i="1" s="1"/>
  <c r="N345" i="1" s="1"/>
  <c r="N348" i="1"/>
  <c r="N347" i="1"/>
  <c r="N346" i="1"/>
  <c r="N341" i="1"/>
  <c r="N338" i="1"/>
  <c r="N337" i="1"/>
  <c r="N334" i="1"/>
  <c r="N327" i="1" s="1"/>
  <c r="N330" i="1"/>
  <c r="N329" i="1"/>
  <c r="N328" i="1"/>
  <c r="N326" i="1"/>
  <c r="N325" i="1"/>
  <c r="N324" i="1"/>
  <c r="M139" i="10" s="1"/>
  <c r="N320" i="1"/>
  <c r="N317" i="1"/>
  <c r="N316" i="1"/>
  <c r="N315" i="1"/>
  <c r="N314" i="1"/>
  <c r="N311" i="1"/>
  <c r="N308" i="1"/>
  <c r="N305" i="1" s="1"/>
  <c r="N307" i="1"/>
  <c r="N306" i="1"/>
  <c r="N302" i="1"/>
  <c r="N286" i="1" s="1"/>
  <c r="N299" i="1"/>
  <c r="N296" i="1"/>
  <c r="N293" i="1"/>
  <c r="N291" i="1"/>
  <c r="N290" i="1"/>
  <c r="N288" i="1"/>
  <c r="N287" i="1"/>
  <c r="N285" i="1"/>
  <c r="N284" i="1"/>
  <c r="N283" i="1"/>
  <c r="N279" i="1"/>
  <c r="N276" i="1"/>
  <c r="N275" i="1"/>
  <c r="N272" i="1"/>
  <c r="N269" i="1"/>
  <c r="N266" i="1"/>
  <c r="N263" i="1"/>
  <c r="N262" i="1" s="1"/>
  <c r="N261" i="1"/>
  <c r="N260" i="1"/>
  <c r="N259" i="1"/>
  <c r="N258" i="1"/>
  <c r="N257" i="1"/>
  <c r="N221" i="1"/>
  <c r="N220" i="1"/>
  <c r="N206" i="1" s="1"/>
  <c r="N214" i="1"/>
  <c r="N213" i="1"/>
  <c r="N212" i="1"/>
  <c r="N211" i="1"/>
  <c r="N210" i="1"/>
  <c r="N209" i="1"/>
  <c r="N208" i="1"/>
  <c r="N207" i="1"/>
  <c r="N202" i="1"/>
  <c r="N201" i="1"/>
  <c r="N200" i="1"/>
  <c r="N199" i="1" s="1"/>
  <c r="N198" i="1"/>
  <c r="N197" i="1"/>
  <c r="N196" i="1"/>
  <c r="N195" i="1"/>
  <c r="N194" i="1"/>
  <c r="N193" i="1" s="1"/>
  <c r="N192" i="1"/>
  <c r="N190" i="1" s="1"/>
  <c r="N191" i="1"/>
  <c r="N162" i="1" s="1"/>
  <c r="N189" i="1"/>
  <c r="N446" i="1" s="1"/>
  <c r="N440" i="1" s="1"/>
  <c r="N188" i="1"/>
  <c r="N187" i="1" s="1"/>
  <c r="N184" i="1"/>
  <c r="N181" i="1"/>
  <c r="N177" i="1"/>
  <c r="N152" i="1" s="1"/>
  <c r="N174" i="1"/>
  <c r="N172" i="1"/>
  <c r="N171" i="1"/>
  <c r="N170" i="1"/>
  <c r="N169" i="1"/>
  <c r="N166" i="1"/>
  <c r="N165" i="1"/>
  <c r="N164" i="1"/>
  <c r="N163" i="1"/>
  <c r="N160" i="1"/>
  <c r="N158" i="1"/>
  <c r="N156" i="1"/>
  <c r="N154" i="1"/>
  <c r="N153" i="1"/>
  <c r="N151" i="1"/>
  <c r="N150" i="1"/>
  <c r="N149" i="1"/>
  <c r="N144" i="1"/>
  <c r="N141" i="1"/>
  <c r="N137" i="1"/>
  <c r="N126" i="1" s="1"/>
  <c r="N134" i="1"/>
  <c r="N132" i="1"/>
  <c r="N131" i="1"/>
  <c r="N129" i="1"/>
  <c r="N128" i="1"/>
  <c r="N125" i="1"/>
  <c r="N96" i="1"/>
  <c r="N95" i="1"/>
  <c r="N94" i="1"/>
  <c r="N93" i="1"/>
  <c r="N92" i="1"/>
  <c r="N90" i="1"/>
  <c r="N89" i="1"/>
  <c r="N88" i="1"/>
  <c r="N87" i="1"/>
  <c r="N86" i="1"/>
  <c r="N84" i="1"/>
  <c r="N83" i="1"/>
  <c r="N82" i="1"/>
  <c r="N81" i="1"/>
  <c r="N80" i="1"/>
  <c r="N75" i="1"/>
  <c r="N72" i="1"/>
  <c r="N69" i="1"/>
  <c r="N66" i="1"/>
  <c r="N65" i="1"/>
  <c r="N63" i="1" s="1"/>
  <c r="N41" i="1" s="1"/>
  <c r="N64" i="1"/>
  <c r="N60" i="1"/>
  <c r="N54" i="1"/>
  <c r="N40" i="1" s="1"/>
  <c r="N51" i="1"/>
  <c r="N50" i="1"/>
  <c r="N48" i="1"/>
  <c r="N46" i="1"/>
  <c r="N45" i="1"/>
  <c r="N44" i="1"/>
  <c r="N42" i="1"/>
  <c r="N32" i="1"/>
  <c r="N26" i="1"/>
  <c r="N14" i="1" s="1"/>
  <c r="N20" i="1"/>
  <c r="N19" i="1"/>
  <c r="N18" i="1"/>
  <c r="N17" i="1"/>
  <c r="N11" i="1"/>
  <c r="N238" i="1" l="1"/>
  <c r="N445" i="1"/>
  <c r="N49" i="1"/>
  <c r="N157" i="1"/>
  <c r="N256" i="1"/>
  <c r="N168" i="1"/>
  <c r="N289" i="1"/>
  <c r="N159" i="1"/>
  <c r="N282" i="1"/>
  <c r="N444" i="1" l="1"/>
  <c r="N439" i="1"/>
  <c r="N237" i="1"/>
  <c r="N233" i="1"/>
  <c r="N229" i="1"/>
  <c r="N236" i="1"/>
  <c r="N232" i="1"/>
  <c r="N228" i="1"/>
  <c r="N235" i="1"/>
  <c r="N231" i="1"/>
  <c r="N234" i="1"/>
  <c r="N230" i="1"/>
  <c r="N288" i="12" l="1"/>
  <c r="O288" i="12"/>
  <c r="O261" i="12"/>
  <c r="O260" i="12"/>
  <c r="N261" i="12"/>
  <c r="N260" i="12"/>
  <c r="N257" i="12"/>
  <c r="O257" i="12"/>
  <c r="O194" i="12"/>
  <c r="O191" i="12"/>
  <c r="O189" i="12" s="1"/>
  <c r="N191" i="12"/>
  <c r="O172" i="12"/>
  <c r="O144" i="12" l="1"/>
  <c r="O143" i="12"/>
  <c r="O29" i="12"/>
  <c r="M29" i="12"/>
  <c r="N29" i="12"/>
  <c r="K10" i="12" l="1"/>
  <c r="F330" i="12"/>
  <c r="F329" i="12"/>
  <c r="F328" i="12"/>
  <c r="F327" i="12"/>
  <c r="CH324" i="12"/>
  <c r="CH319" i="12" s="1"/>
  <c r="CG324" i="12"/>
  <c r="CE324" i="12"/>
  <c r="CD324" i="12"/>
  <c r="CB324" i="12"/>
  <c r="CB319" i="12" s="1"/>
  <c r="CA324" i="12"/>
  <c r="BY324" i="12"/>
  <c r="BX324" i="12"/>
  <c r="BV324" i="12"/>
  <c r="BV319" i="12" s="1"/>
  <c r="BU324" i="12"/>
  <c r="BS324" i="12"/>
  <c r="BR324" i="12"/>
  <c r="BP324" i="12"/>
  <c r="BP319" i="12" s="1"/>
  <c r="BO324" i="12"/>
  <c r="BM324" i="12"/>
  <c r="BL324" i="12"/>
  <c r="BJ324" i="12"/>
  <c r="BJ319" i="12" s="1"/>
  <c r="BI324" i="12"/>
  <c r="BG324" i="12"/>
  <c r="BF324" i="12"/>
  <c r="BD324" i="12"/>
  <c r="BD319" i="12" s="1"/>
  <c r="BC324" i="12"/>
  <c r="BA324" i="12"/>
  <c r="AZ324" i="12"/>
  <c r="AX324" i="12"/>
  <c r="AX319" i="12" s="1"/>
  <c r="AW324" i="12"/>
  <c r="AU324" i="12"/>
  <c r="AT324" i="12"/>
  <c r="AR324" i="12"/>
  <c r="AR319" i="12" s="1"/>
  <c r="AQ324" i="12"/>
  <c r="AO324" i="12"/>
  <c r="AN324" i="12"/>
  <c r="AL324" i="12"/>
  <c r="AL319" i="12" s="1"/>
  <c r="AK324" i="12"/>
  <c r="AI324" i="12"/>
  <c r="AH324" i="12"/>
  <c r="AF324" i="12"/>
  <c r="AF319" i="12" s="1"/>
  <c r="AE324" i="12"/>
  <c r="AC324" i="12"/>
  <c r="AB324" i="12"/>
  <c r="Z324" i="12"/>
  <c r="Z319" i="12" s="1"/>
  <c r="Y324" i="12"/>
  <c r="W324" i="12"/>
  <c r="V324" i="12"/>
  <c r="T324" i="12"/>
  <c r="T319" i="12" s="1"/>
  <c r="S324" i="12"/>
  <c r="O324" i="12"/>
  <c r="N324" i="12"/>
  <c r="M324" i="12"/>
  <c r="L324" i="12"/>
  <c r="K324" i="12"/>
  <c r="K319" i="12" s="1"/>
  <c r="J324" i="12"/>
  <c r="R323" i="12"/>
  <c r="Q323" i="12"/>
  <c r="M322" i="12"/>
  <c r="M318" i="12" s="1"/>
  <c r="R321" i="12"/>
  <c r="Q321" i="12"/>
  <c r="J321" i="12"/>
  <c r="CG319" i="12"/>
  <c r="CE319" i="12"/>
  <c r="CD319" i="12"/>
  <c r="CA319" i="12"/>
  <c r="BY319" i="12"/>
  <c r="BX319" i="12"/>
  <c r="BU319" i="12"/>
  <c r="BS319" i="12"/>
  <c r="BR319" i="12"/>
  <c r="BO319" i="12"/>
  <c r="BM319" i="12"/>
  <c r="BL319" i="12"/>
  <c r="BI319" i="12"/>
  <c r="BG319" i="12"/>
  <c r="BF319" i="12"/>
  <c r="BC319" i="12"/>
  <c r="BA319" i="12"/>
  <c r="AZ319" i="12"/>
  <c r="AW319" i="12"/>
  <c r="AU319" i="12"/>
  <c r="AT319" i="12"/>
  <c r="AQ319" i="12"/>
  <c r="AO319" i="12"/>
  <c r="AN319" i="12"/>
  <c r="AK319" i="12"/>
  <c r="AI319" i="12"/>
  <c r="AH319" i="12"/>
  <c r="AE319" i="12"/>
  <c r="AC319" i="12"/>
  <c r="AB319" i="12"/>
  <c r="Y319" i="12"/>
  <c r="W319" i="12"/>
  <c r="V319" i="12"/>
  <c r="S319" i="12"/>
  <c r="M319" i="12"/>
  <c r="L319" i="12"/>
  <c r="J319" i="12"/>
  <c r="CG318" i="12"/>
  <c r="BI318" i="12"/>
  <c r="AK318" i="12"/>
  <c r="L318" i="12"/>
  <c r="I317" i="12"/>
  <c r="H317" i="12"/>
  <c r="G317" i="12"/>
  <c r="F317" i="12"/>
  <c r="R316" i="12"/>
  <c r="Q316" i="12"/>
  <c r="Q312" i="12" s="1"/>
  <c r="BX315" i="12"/>
  <c r="BR315" i="12"/>
  <c r="BL315" i="12"/>
  <c r="AZ315" i="12"/>
  <c r="AT315" i="12"/>
  <c r="AN315" i="12"/>
  <c r="AB315" i="12"/>
  <c r="V315" i="12"/>
  <c r="M315" i="12"/>
  <c r="R314" i="12"/>
  <c r="Q314" i="12"/>
  <c r="CH312" i="12"/>
  <c r="CG312" i="12"/>
  <c r="CE312" i="12"/>
  <c r="CD312" i="12"/>
  <c r="CB312" i="12"/>
  <c r="CA312" i="12"/>
  <c r="BY312" i="12"/>
  <c r="BX312" i="12"/>
  <c r="BV312" i="12"/>
  <c r="BU312" i="12"/>
  <c r="BS312" i="12"/>
  <c r="BR312" i="12"/>
  <c r="BP312" i="12"/>
  <c r="BO312" i="12"/>
  <c r="BM312" i="12"/>
  <c r="BL312" i="12"/>
  <c r="BJ312" i="12"/>
  <c r="BI312" i="12"/>
  <c r="BG312" i="12"/>
  <c r="BF312" i="12"/>
  <c r="BD312" i="12"/>
  <c r="BC312" i="12"/>
  <c r="BA312" i="12"/>
  <c r="AZ312" i="12"/>
  <c r="AX312" i="12"/>
  <c r="AW312" i="12"/>
  <c r="AU312" i="12"/>
  <c r="AT312" i="12"/>
  <c r="AR312" i="12"/>
  <c r="AQ312" i="12"/>
  <c r="AO312" i="12"/>
  <c r="AN312" i="12"/>
  <c r="AL312" i="12"/>
  <c r="AK312" i="12"/>
  <c r="AI312" i="12"/>
  <c r="AH312" i="12"/>
  <c r="AF312" i="12"/>
  <c r="AE312" i="12"/>
  <c r="AC312" i="12"/>
  <c r="AB312" i="12"/>
  <c r="Z312" i="12"/>
  <c r="Y312" i="12"/>
  <c r="W312" i="12"/>
  <c r="V312" i="12"/>
  <c r="T312" i="12"/>
  <c r="S312" i="12"/>
  <c r="R312" i="12"/>
  <c r="M312" i="12"/>
  <c r="L312" i="12"/>
  <c r="K312" i="12"/>
  <c r="J312" i="12"/>
  <c r="BU311" i="12"/>
  <c r="AW311" i="12"/>
  <c r="Y311" i="12"/>
  <c r="M311" i="12"/>
  <c r="I310" i="12"/>
  <c r="H310" i="12"/>
  <c r="G310" i="12"/>
  <c r="F310" i="12"/>
  <c r="M307" i="12"/>
  <c r="L307" i="12"/>
  <c r="K307" i="12"/>
  <c r="J307" i="12"/>
  <c r="I307" i="12"/>
  <c r="H307" i="12"/>
  <c r="G307" i="12"/>
  <c r="F307" i="12"/>
  <c r="M304" i="12"/>
  <c r="L304" i="12"/>
  <c r="K304" i="12"/>
  <c r="J304" i="12"/>
  <c r="I304" i="12"/>
  <c r="H304" i="12"/>
  <c r="G304" i="12"/>
  <c r="F304" i="12"/>
  <c r="CH302" i="12"/>
  <c r="CG302" i="12"/>
  <c r="CG297" i="12" s="1"/>
  <c r="CE302" i="12"/>
  <c r="CD302" i="12"/>
  <c r="CB302" i="12"/>
  <c r="CA302" i="12"/>
  <c r="CA297" i="12" s="1"/>
  <c r="BY302" i="12"/>
  <c r="BX302" i="12"/>
  <c r="BV302" i="12"/>
  <c r="BU302" i="12"/>
  <c r="BU297" i="12" s="1"/>
  <c r="BS302" i="12"/>
  <c r="BR302" i="12"/>
  <c r="BP302" i="12"/>
  <c r="BO302" i="12"/>
  <c r="BO297" i="12" s="1"/>
  <c r="BM302" i="12"/>
  <c r="BL302" i="12"/>
  <c r="BJ302" i="12"/>
  <c r="BI302" i="12"/>
  <c r="BI297" i="12" s="1"/>
  <c r="BG302" i="12"/>
  <c r="BF302" i="12"/>
  <c r="BD302" i="12"/>
  <c r="BC302" i="12"/>
  <c r="BC297" i="12" s="1"/>
  <c r="BA302" i="12"/>
  <c r="AZ302" i="12"/>
  <c r="AX302" i="12"/>
  <c r="AW302" i="12"/>
  <c r="AW297" i="12" s="1"/>
  <c r="AU302" i="12"/>
  <c r="AT302" i="12"/>
  <c r="AR302" i="12"/>
  <c r="AQ302" i="12"/>
  <c r="AQ297" i="12" s="1"/>
  <c r="AO302" i="12"/>
  <c r="AN302" i="12"/>
  <c r="AL302" i="12"/>
  <c r="AK302" i="12"/>
  <c r="AK297" i="12" s="1"/>
  <c r="AI302" i="12"/>
  <c r="AH302" i="12"/>
  <c r="AF302" i="12"/>
  <c r="AE302" i="12"/>
  <c r="AE297" i="12" s="1"/>
  <c r="AC302" i="12"/>
  <c r="AB302" i="12"/>
  <c r="Z302" i="12"/>
  <c r="Y302" i="12"/>
  <c r="Y297" i="12" s="1"/>
  <c r="W302" i="12"/>
  <c r="V302" i="12"/>
  <c r="T302" i="12"/>
  <c r="S302" i="12"/>
  <c r="S297" i="12" s="1"/>
  <c r="M302" i="12"/>
  <c r="L302" i="12"/>
  <c r="K302" i="12"/>
  <c r="J302" i="12"/>
  <c r="R301" i="12"/>
  <c r="Q301" i="12"/>
  <c r="CH300" i="12"/>
  <c r="CH315" i="12" s="1"/>
  <c r="CG300" i="12"/>
  <c r="CG315" i="12" s="1"/>
  <c r="CG322" i="12" s="1"/>
  <c r="CE300" i="12"/>
  <c r="CE315" i="12" s="1"/>
  <c r="CD300" i="12"/>
  <c r="CD296" i="12" s="1"/>
  <c r="CB300" i="12"/>
  <c r="CB315" i="12" s="1"/>
  <c r="CA300" i="12"/>
  <c r="CA315" i="12" s="1"/>
  <c r="CA322" i="12" s="1"/>
  <c r="CA318" i="12" s="1"/>
  <c r="BY300" i="12"/>
  <c r="BY315" i="12" s="1"/>
  <c r="BX300" i="12"/>
  <c r="BX296" i="12" s="1"/>
  <c r="BV300" i="12"/>
  <c r="BV315" i="12" s="1"/>
  <c r="BU300" i="12"/>
  <c r="BU315" i="12" s="1"/>
  <c r="BU322" i="12" s="1"/>
  <c r="BU318" i="12" s="1"/>
  <c r="BS300" i="12"/>
  <c r="BS315" i="12" s="1"/>
  <c r="BR300" i="12"/>
  <c r="BR296" i="12" s="1"/>
  <c r="BP300" i="12"/>
  <c r="BP315" i="12" s="1"/>
  <c r="BO300" i="12"/>
  <c r="BO315" i="12" s="1"/>
  <c r="BO322" i="12" s="1"/>
  <c r="BO318" i="12" s="1"/>
  <c r="BM300" i="12"/>
  <c r="BM315" i="12" s="1"/>
  <c r="BL300" i="12"/>
  <c r="BL296" i="12" s="1"/>
  <c r="BJ300" i="12"/>
  <c r="BJ315" i="12" s="1"/>
  <c r="BI300" i="12"/>
  <c r="BI315" i="12" s="1"/>
  <c r="BI322" i="12" s="1"/>
  <c r="BG300" i="12"/>
  <c r="BG315" i="12" s="1"/>
  <c r="BF300" i="12"/>
  <c r="BF296" i="12" s="1"/>
  <c r="BD300" i="12"/>
  <c r="BD315" i="12" s="1"/>
  <c r="BD311" i="12" s="1"/>
  <c r="BC300" i="12"/>
  <c r="BC315" i="12" s="1"/>
  <c r="BC322" i="12" s="1"/>
  <c r="BC318" i="12" s="1"/>
  <c r="BA300" i="12"/>
  <c r="BA315" i="12" s="1"/>
  <c r="AZ300" i="12"/>
  <c r="AZ296" i="12" s="1"/>
  <c r="AX300" i="12"/>
  <c r="AX315" i="12" s="1"/>
  <c r="AW300" i="12"/>
  <c r="AW315" i="12" s="1"/>
  <c r="AW322" i="12" s="1"/>
  <c r="AW318" i="12" s="1"/>
  <c r="AU300" i="12"/>
  <c r="AU315" i="12" s="1"/>
  <c r="AT300" i="12"/>
  <c r="AT296" i="12" s="1"/>
  <c r="AR300" i="12"/>
  <c r="AR315" i="12" s="1"/>
  <c r="AQ300" i="12"/>
  <c r="AQ315" i="12" s="1"/>
  <c r="AQ322" i="12" s="1"/>
  <c r="AQ318" i="12" s="1"/>
  <c r="AO300" i="12"/>
  <c r="AO315" i="12" s="1"/>
  <c r="AN300" i="12"/>
  <c r="AN296" i="12" s="1"/>
  <c r="AL300" i="12"/>
  <c r="AL315" i="12" s="1"/>
  <c r="AK300" i="12"/>
  <c r="AK315" i="12" s="1"/>
  <c r="AK322" i="12" s="1"/>
  <c r="AI300" i="12"/>
  <c r="AI315" i="12" s="1"/>
  <c r="AH300" i="12"/>
  <c r="AH296" i="12" s="1"/>
  <c r="AF300" i="12"/>
  <c r="AF315" i="12" s="1"/>
  <c r="AE300" i="12"/>
  <c r="AE315" i="12" s="1"/>
  <c r="AE322" i="12" s="1"/>
  <c r="AE318" i="12" s="1"/>
  <c r="AC300" i="12"/>
  <c r="AC315" i="12" s="1"/>
  <c r="AB300" i="12"/>
  <c r="AB296" i="12" s="1"/>
  <c r="Z300" i="12"/>
  <c r="Z315" i="12" s="1"/>
  <c r="Y300" i="12"/>
  <c r="Y315" i="12" s="1"/>
  <c r="Y322" i="12" s="1"/>
  <c r="Y318" i="12" s="1"/>
  <c r="W300" i="12"/>
  <c r="W315" i="12" s="1"/>
  <c r="V300" i="12"/>
  <c r="V296" i="12" s="1"/>
  <c r="T300" i="12"/>
  <c r="T315" i="12" s="1"/>
  <c r="S300" i="12"/>
  <c r="S315" i="12" s="1"/>
  <c r="S322" i="12" s="1"/>
  <c r="S318" i="12" s="1"/>
  <c r="L300" i="12"/>
  <c r="L315" i="12" s="1"/>
  <c r="L322" i="12" s="1"/>
  <c r="K300" i="12"/>
  <c r="K315" i="12" s="1"/>
  <c r="I300" i="12"/>
  <c r="I295" i="12" s="1"/>
  <c r="H300" i="12"/>
  <c r="G300" i="12"/>
  <c r="R299" i="12"/>
  <c r="Q299" i="12"/>
  <c r="CH297" i="12"/>
  <c r="CE297" i="12"/>
  <c r="CD297" i="12"/>
  <c r="CB297" i="12"/>
  <c r="BY297" i="12"/>
  <c r="BX297" i="12"/>
  <c r="BV297" i="12"/>
  <c r="BS297" i="12"/>
  <c r="BR297" i="12"/>
  <c r="BP297" i="12"/>
  <c r="BM297" i="12"/>
  <c r="BL297" i="12"/>
  <c r="BJ297" i="12"/>
  <c r="BG297" i="12"/>
  <c r="BF297" i="12"/>
  <c r="BD297" i="12"/>
  <c r="BA297" i="12"/>
  <c r="AZ297" i="12"/>
  <c r="AX297" i="12"/>
  <c r="AU297" i="12"/>
  <c r="AT297" i="12"/>
  <c r="AR297" i="12"/>
  <c r="AO297" i="12"/>
  <c r="AN297" i="12"/>
  <c r="AL297" i="12"/>
  <c r="AI297" i="12"/>
  <c r="AH297" i="12"/>
  <c r="AF297" i="12"/>
  <c r="AC297" i="12"/>
  <c r="AB297" i="12"/>
  <c r="Z297" i="12"/>
  <c r="W297" i="12"/>
  <c r="V297" i="12"/>
  <c r="T297" i="12"/>
  <c r="O297" i="12"/>
  <c r="N297" i="12"/>
  <c r="M297" i="12"/>
  <c r="L297" i="12"/>
  <c r="K297" i="12"/>
  <c r="J297" i="12"/>
  <c r="CH296" i="12"/>
  <c r="CG296" i="12"/>
  <c r="CE296" i="12"/>
  <c r="CB296" i="12"/>
  <c r="CA296" i="12"/>
  <c r="BY296" i="12"/>
  <c r="BV296" i="12"/>
  <c r="BU296" i="12"/>
  <c r="BS296" i="12"/>
  <c r="BP296" i="12"/>
  <c r="BO296" i="12"/>
  <c r="BM296" i="12"/>
  <c r="BJ296" i="12"/>
  <c r="BI296" i="12"/>
  <c r="BG296" i="12"/>
  <c r="BD296" i="12"/>
  <c r="BC296" i="12"/>
  <c r="BA296" i="12"/>
  <c r="AX296" i="12"/>
  <c r="AW296" i="12"/>
  <c r="AU296" i="12"/>
  <c r="AR296" i="12"/>
  <c r="AQ296" i="12"/>
  <c r="AO296" i="12"/>
  <c r="AL296" i="12"/>
  <c r="AK296" i="12"/>
  <c r="AI296" i="12"/>
  <c r="AF296" i="12"/>
  <c r="AE296" i="12"/>
  <c r="AC296" i="12"/>
  <c r="Z296" i="12"/>
  <c r="Y296" i="12"/>
  <c r="W296" i="12"/>
  <c r="T296" i="12"/>
  <c r="S296" i="12"/>
  <c r="O296" i="12"/>
  <c r="N296" i="12"/>
  <c r="M296" i="12"/>
  <c r="L296" i="12"/>
  <c r="K296" i="12"/>
  <c r="H295" i="12"/>
  <c r="G295" i="12"/>
  <c r="F295" i="12"/>
  <c r="O293" i="12"/>
  <c r="N293" i="12"/>
  <c r="L293" i="12"/>
  <c r="CH290" i="12"/>
  <c r="CG290" i="12"/>
  <c r="CG285" i="12" s="1"/>
  <c r="CE290" i="12"/>
  <c r="CD290" i="12"/>
  <c r="CB290" i="12"/>
  <c r="CA290" i="12"/>
  <c r="CA285" i="12" s="1"/>
  <c r="BY290" i="12"/>
  <c r="BX290" i="12"/>
  <c r="BV290" i="12"/>
  <c r="BU290" i="12"/>
  <c r="BU285" i="12" s="1"/>
  <c r="BS290" i="12"/>
  <c r="BR290" i="12"/>
  <c r="BP290" i="12"/>
  <c r="BO290" i="12"/>
  <c r="BO285" i="12" s="1"/>
  <c r="BM290" i="12"/>
  <c r="BL290" i="12"/>
  <c r="BJ290" i="12"/>
  <c r="BI290" i="12"/>
  <c r="BI285" i="12" s="1"/>
  <c r="BG290" i="12"/>
  <c r="BF290" i="12"/>
  <c r="BD290" i="12"/>
  <c r="BC290" i="12"/>
  <c r="BC285" i="12" s="1"/>
  <c r="BA290" i="12"/>
  <c r="AZ290" i="12"/>
  <c r="AX290" i="12"/>
  <c r="AW290" i="12"/>
  <c r="AW285" i="12" s="1"/>
  <c r="AU290" i="12"/>
  <c r="AT290" i="12"/>
  <c r="AR290" i="12"/>
  <c r="AQ290" i="12"/>
  <c r="AQ285" i="12" s="1"/>
  <c r="AO290" i="12"/>
  <c r="AN290" i="12"/>
  <c r="AL290" i="12"/>
  <c r="AK290" i="12"/>
  <c r="AK285" i="12" s="1"/>
  <c r="AI290" i="12"/>
  <c r="AH290" i="12"/>
  <c r="AF290" i="12"/>
  <c r="AE290" i="12"/>
  <c r="AE285" i="12" s="1"/>
  <c r="AC290" i="12"/>
  <c r="AB290" i="12"/>
  <c r="Z290" i="12"/>
  <c r="Y290" i="12"/>
  <c r="Y285" i="12" s="1"/>
  <c r="W290" i="12"/>
  <c r="V290" i="12"/>
  <c r="T290" i="12"/>
  <c r="S290" i="12"/>
  <c r="S285" i="12" s="1"/>
  <c r="M290" i="12"/>
  <c r="L290" i="12"/>
  <c r="L285" i="12" s="1"/>
  <c r="K290" i="12"/>
  <c r="J290" i="12"/>
  <c r="R289" i="12"/>
  <c r="Q289" i="12"/>
  <c r="Q285" i="12" s="1"/>
  <c r="CH288" i="12"/>
  <c r="CG288" i="12"/>
  <c r="CE288" i="12"/>
  <c r="CD288" i="12"/>
  <c r="CD284" i="12" s="1"/>
  <c r="CB288" i="12"/>
  <c r="CA288" i="12"/>
  <c r="BY288" i="12"/>
  <c r="BX288" i="12"/>
  <c r="BX284" i="12" s="1"/>
  <c r="BV288" i="12"/>
  <c r="BU288" i="12"/>
  <c r="BS288" i="12"/>
  <c r="BR288" i="12"/>
  <c r="BR284" i="12" s="1"/>
  <c r="BP288" i="12"/>
  <c r="BO288" i="12"/>
  <c r="BM288" i="12"/>
  <c r="BL288" i="12"/>
  <c r="BJ288" i="12"/>
  <c r="BI288" i="12"/>
  <c r="BG288" i="12"/>
  <c r="BF288" i="12"/>
  <c r="BD288" i="12"/>
  <c r="BC288" i="12"/>
  <c r="BA288" i="12"/>
  <c r="AZ288" i="12"/>
  <c r="AX288" i="12"/>
  <c r="AW288" i="12"/>
  <c r="AU288" i="12"/>
  <c r="AT288" i="12"/>
  <c r="AR288" i="12"/>
  <c r="AQ288" i="12"/>
  <c r="AO288" i="12"/>
  <c r="AN288" i="12"/>
  <c r="AL288" i="12"/>
  <c r="AK288" i="12"/>
  <c r="AI288" i="12"/>
  <c r="AH288" i="12"/>
  <c r="AF288" i="12"/>
  <c r="AE288" i="12"/>
  <c r="AC288" i="12"/>
  <c r="AB288" i="12"/>
  <c r="Z288" i="12"/>
  <c r="Y288" i="12"/>
  <c r="W288" i="12"/>
  <c r="V288" i="12"/>
  <c r="T288" i="12"/>
  <c r="S288" i="12"/>
  <c r="Q288" i="12"/>
  <c r="Q284" i="12" s="1"/>
  <c r="M288" i="12"/>
  <c r="M293" i="12" s="1"/>
  <c r="I288" i="12"/>
  <c r="H288" i="12"/>
  <c r="G288" i="12"/>
  <c r="F288" i="12"/>
  <c r="R287" i="12"/>
  <c r="Q287" i="12"/>
  <c r="L287" i="12"/>
  <c r="K287" i="12"/>
  <c r="J287" i="12"/>
  <c r="CH285" i="12"/>
  <c r="CE285" i="12"/>
  <c r="CD285" i="12"/>
  <c r="CB285" i="12"/>
  <c r="BY285" i="12"/>
  <c r="BX285" i="12"/>
  <c r="BV285" i="12"/>
  <c r="BS285" i="12"/>
  <c r="BR285" i="12"/>
  <c r="BP285" i="12"/>
  <c r="BM285" i="12"/>
  <c r="BL285" i="12"/>
  <c r="BJ285" i="12"/>
  <c r="BG285" i="12"/>
  <c r="BF285" i="12"/>
  <c r="BD285" i="12"/>
  <c r="BA285" i="12"/>
  <c r="AZ285" i="12"/>
  <c r="AX285" i="12"/>
  <c r="AU285" i="12"/>
  <c r="AT285" i="12"/>
  <c r="AR285" i="12"/>
  <c r="AO285" i="12"/>
  <c r="AN285" i="12"/>
  <c r="AL285" i="12"/>
  <c r="AI285" i="12"/>
  <c r="AH285" i="12"/>
  <c r="AF285" i="12"/>
  <c r="AC285" i="12"/>
  <c r="AB285" i="12"/>
  <c r="Z285" i="12"/>
  <c r="W285" i="12"/>
  <c r="V285" i="12"/>
  <c r="T285" i="12"/>
  <c r="O285" i="12"/>
  <c r="N285" i="12"/>
  <c r="M285" i="12"/>
  <c r="K285" i="12"/>
  <c r="J285" i="12"/>
  <c r="CH284" i="12"/>
  <c r="CG284" i="12"/>
  <c r="CE284" i="12"/>
  <c r="CB284" i="12"/>
  <c r="CA284" i="12"/>
  <c r="BY284" i="12"/>
  <c r="BV284" i="12"/>
  <c r="BU284" i="12"/>
  <c r="BS284" i="12"/>
  <c r="BP284" i="12"/>
  <c r="BO284" i="12"/>
  <c r="BM284" i="12"/>
  <c r="BL284" i="12"/>
  <c r="BJ284" i="12"/>
  <c r="BI284" i="12"/>
  <c r="BG284" i="12"/>
  <c r="BF284" i="12"/>
  <c r="BD284" i="12"/>
  <c r="BC284" i="12"/>
  <c r="BA284" i="12"/>
  <c r="AZ284" i="12"/>
  <c r="AX284" i="12"/>
  <c r="AW284" i="12"/>
  <c r="AU284" i="12"/>
  <c r="AT284" i="12"/>
  <c r="AR284" i="12"/>
  <c r="AQ284" i="12"/>
  <c r="AO284" i="12"/>
  <c r="AN284" i="12"/>
  <c r="AL284" i="12"/>
  <c r="AK284" i="12"/>
  <c r="AI284" i="12"/>
  <c r="AH284" i="12"/>
  <c r="AF284" i="12"/>
  <c r="AE284" i="12"/>
  <c r="AC284" i="12"/>
  <c r="AB284" i="12"/>
  <c r="Z284" i="12"/>
  <c r="Y284" i="12"/>
  <c r="W284" i="12"/>
  <c r="V284" i="12"/>
  <c r="T284" i="12"/>
  <c r="S284" i="12"/>
  <c r="O284" i="12"/>
  <c r="N284" i="12"/>
  <c r="M284" i="12"/>
  <c r="L284" i="12"/>
  <c r="K284" i="12"/>
  <c r="I283" i="12"/>
  <c r="H283" i="12"/>
  <c r="G283" i="12"/>
  <c r="F283" i="12"/>
  <c r="O282" i="12"/>
  <c r="N282" i="12"/>
  <c r="N277" i="12" s="1"/>
  <c r="R281" i="12"/>
  <c r="R290" i="12" s="1"/>
  <c r="R285" i="12" s="1"/>
  <c r="Q281" i="12"/>
  <c r="Q290" i="12" s="1"/>
  <c r="CH280" i="12"/>
  <c r="CG280" i="12"/>
  <c r="CE280" i="12"/>
  <c r="CD280" i="12"/>
  <c r="CB280" i="12"/>
  <c r="CA280" i="12"/>
  <c r="BY280" i="12"/>
  <c r="BX280" i="12"/>
  <c r="BV280" i="12"/>
  <c r="BU280" i="12"/>
  <c r="BS280" i="12"/>
  <c r="BR280" i="12"/>
  <c r="BP280" i="12"/>
  <c r="BO280" i="12"/>
  <c r="BM280" i="12"/>
  <c r="BL280" i="12"/>
  <c r="BJ280" i="12"/>
  <c r="BI280" i="12"/>
  <c r="BG280" i="12"/>
  <c r="BF280" i="12"/>
  <c r="BD280" i="12"/>
  <c r="BC280" i="12"/>
  <c r="BA280" i="12"/>
  <c r="AZ280" i="12"/>
  <c r="AX280" i="12"/>
  <c r="AW280" i="12"/>
  <c r="AU280" i="12"/>
  <c r="AT280" i="12"/>
  <c r="AR280" i="12"/>
  <c r="AQ280" i="12"/>
  <c r="AO280" i="12"/>
  <c r="AN280" i="12"/>
  <c r="AL280" i="12"/>
  <c r="AK280" i="12"/>
  <c r="AI280" i="12"/>
  <c r="AH280" i="12"/>
  <c r="AF280" i="12"/>
  <c r="AE280" i="12"/>
  <c r="AC280" i="12"/>
  <c r="AB280" i="12"/>
  <c r="Z280" i="12"/>
  <c r="Y280" i="12"/>
  <c r="W280" i="12"/>
  <c r="V280" i="12"/>
  <c r="T280" i="12"/>
  <c r="S280" i="12"/>
  <c r="M280" i="12"/>
  <c r="L280" i="12"/>
  <c r="L276" i="12" s="1"/>
  <c r="K280" i="12"/>
  <c r="K276" i="12" s="1"/>
  <c r="J280" i="12"/>
  <c r="I280" i="12"/>
  <c r="R279" i="12"/>
  <c r="R288" i="12" s="1"/>
  <c r="R284" i="12" s="1"/>
  <c r="Q279" i="12"/>
  <c r="L279" i="12"/>
  <c r="L288" i="12" s="1"/>
  <c r="K279" i="12"/>
  <c r="K288" i="12" s="1"/>
  <c r="J279" i="12"/>
  <c r="O277" i="12"/>
  <c r="CH276" i="12"/>
  <c r="CG276" i="12"/>
  <c r="CE276" i="12"/>
  <c r="CD276" i="12"/>
  <c r="CB276" i="12"/>
  <c r="CA276" i="12"/>
  <c r="BY276" i="12"/>
  <c r="BX276" i="12"/>
  <c r="BV276" i="12"/>
  <c r="BU276" i="12"/>
  <c r="BS276" i="12"/>
  <c r="BR276" i="12"/>
  <c r="BP276" i="12"/>
  <c r="BO276" i="12"/>
  <c r="BM276" i="12"/>
  <c r="BL276" i="12"/>
  <c r="BJ276" i="12"/>
  <c r="BI276" i="12"/>
  <c r="BG276" i="12"/>
  <c r="BF276" i="12"/>
  <c r="BD276" i="12"/>
  <c r="BC276" i="12"/>
  <c r="BA276" i="12"/>
  <c r="AZ276" i="12"/>
  <c r="AX276" i="12"/>
  <c r="AW276" i="12"/>
  <c r="AU276" i="12"/>
  <c r="AT276" i="12"/>
  <c r="AR276" i="12"/>
  <c r="AQ276" i="12"/>
  <c r="AO276" i="12"/>
  <c r="AN276" i="12"/>
  <c r="AL276" i="12"/>
  <c r="AK276" i="12"/>
  <c r="AI276" i="12"/>
  <c r="AH276" i="12"/>
  <c r="AF276" i="12"/>
  <c r="AE276" i="12"/>
  <c r="AC276" i="12"/>
  <c r="AB276" i="12"/>
  <c r="Z276" i="12"/>
  <c r="Y276" i="12"/>
  <c r="W276" i="12"/>
  <c r="V276" i="12"/>
  <c r="T276" i="12"/>
  <c r="S276" i="12"/>
  <c r="O276" i="12"/>
  <c r="N276" i="12"/>
  <c r="M276" i="12"/>
  <c r="J276" i="12"/>
  <c r="O275" i="12"/>
  <c r="N275" i="12"/>
  <c r="M275" i="12"/>
  <c r="L275" i="12"/>
  <c r="K275" i="12"/>
  <c r="I275" i="12"/>
  <c r="H275" i="12"/>
  <c r="G275" i="12"/>
  <c r="F275" i="12"/>
  <c r="CH272" i="12"/>
  <c r="CE272" i="12"/>
  <c r="CB272" i="12"/>
  <c r="CB262" i="12" s="1"/>
  <c r="BY272" i="12"/>
  <c r="BV272" i="12"/>
  <c r="BS272" i="12"/>
  <c r="BP272" i="12"/>
  <c r="BP262" i="12" s="1"/>
  <c r="BM272" i="12"/>
  <c r="BG272" i="12"/>
  <c r="BG262" i="12" s="1"/>
  <c r="BD272" i="12"/>
  <c r="BD262" i="12" s="1"/>
  <c r="BA272" i="12"/>
  <c r="AX272" i="12"/>
  <c r="AU272" i="12"/>
  <c r="AU262" i="12" s="1"/>
  <c r="AR272" i="12"/>
  <c r="AR262" i="12" s="1"/>
  <c r="AO272" i="12"/>
  <c r="AL272" i="12"/>
  <c r="AI272" i="12"/>
  <c r="AF272" i="12"/>
  <c r="AF262" i="12" s="1"/>
  <c r="AC272" i="12"/>
  <c r="Z272" i="12"/>
  <c r="W272" i="12"/>
  <c r="W262" i="12" s="1"/>
  <c r="T272" i="12"/>
  <c r="Q272" i="12"/>
  <c r="L272" i="12"/>
  <c r="K272" i="12"/>
  <c r="K262" i="12" s="1"/>
  <c r="BI271" i="12"/>
  <c r="BJ272" i="12" s="1"/>
  <c r="BJ262" i="12" s="1"/>
  <c r="AN271" i="12"/>
  <c r="R271" i="12"/>
  <c r="Q271" i="12"/>
  <c r="Q262" i="12" s="1"/>
  <c r="L271" i="12"/>
  <c r="K271" i="12"/>
  <c r="L269" i="12"/>
  <c r="K269" i="12"/>
  <c r="K261" i="12" s="1"/>
  <c r="H269" i="12"/>
  <c r="G269" i="12"/>
  <c r="G267" i="12" s="1"/>
  <c r="L268" i="12"/>
  <c r="K268" i="12"/>
  <c r="J268" i="12"/>
  <c r="J260" i="12" s="1"/>
  <c r="I268" i="12"/>
  <c r="I260" i="12" s="1"/>
  <c r="G268" i="12"/>
  <c r="CH267" i="12"/>
  <c r="CE267" i="12"/>
  <c r="CB267" i="12"/>
  <c r="BY267" i="12"/>
  <c r="BV267" i="12"/>
  <c r="BS267" i="12"/>
  <c r="BS259" i="12" s="1"/>
  <c r="BP267" i="12"/>
  <c r="BM267" i="12"/>
  <c r="BJ267" i="12"/>
  <c r="BG267" i="12"/>
  <c r="BG258" i="12" s="1"/>
  <c r="BD267" i="12"/>
  <c r="BA267" i="12"/>
  <c r="AX267" i="12"/>
  <c r="AU267" i="12"/>
  <c r="AR267" i="12"/>
  <c r="AO267" i="12"/>
  <c r="AL267" i="12"/>
  <c r="AI267" i="12"/>
  <c r="AF267" i="12"/>
  <c r="AC267" i="12"/>
  <c r="Z267" i="12"/>
  <c r="W267" i="12"/>
  <c r="W259" i="12" s="1"/>
  <c r="T267" i="12"/>
  <c r="Q267" i="12"/>
  <c r="L267" i="12"/>
  <c r="J267" i="12"/>
  <c r="F267" i="12"/>
  <c r="I266" i="12"/>
  <c r="H266" i="12"/>
  <c r="I269" i="12" s="1"/>
  <c r="I267" i="12" s="1"/>
  <c r="G266" i="12"/>
  <c r="I265" i="12"/>
  <c r="H265" i="12"/>
  <c r="G265" i="12"/>
  <c r="H268" i="12" s="1"/>
  <c r="H267" i="12" s="1"/>
  <c r="R264" i="12"/>
  <c r="Q264" i="12"/>
  <c r="L264" i="12"/>
  <c r="K264" i="12"/>
  <c r="K258" i="12" s="1"/>
  <c r="J264" i="12"/>
  <c r="K267" i="12" s="1"/>
  <c r="H264" i="12"/>
  <c r="H258" i="12" s="1"/>
  <c r="F264" i="12"/>
  <c r="CH262" i="12"/>
  <c r="CG262" i="12"/>
  <c r="CE262" i="12"/>
  <c r="CD262" i="12"/>
  <c r="CA262" i="12"/>
  <c r="BY262" i="12"/>
  <c r="BX262" i="12"/>
  <c r="BV262" i="12"/>
  <c r="BU262" i="12"/>
  <c r="BS262" i="12"/>
  <c r="BR262" i="12"/>
  <c r="BO262" i="12"/>
  <c r="BM262" i="12"/>
  <c r="BL262" i="12"/>
  <c r="BI262" i="12"/>
  <c r="BF262" i="12"/>
  <c r="BC262" i="12"/>
  <c r="BA262" i="12"/>
  <c r="AZ262" i="12"/>
  <c r="AX262" i="12"/>
  <c r="AW262" i="12"/>
  <c r="AT262" i="12"/>
  <c r="AQ262" i="12"/>
  <c r="AO262" i="12"/>
  <c r="AN262" i="12"/>
  <c r="AL262" i="12"/>
  <c r="AK262" i="12"/>
  <c r="AI262" i="12"/>
  <c r="AH262" i="12"/>
  <c r="AE262" i="12"/>
  <c r="AC262" i="12"/>
  <c r="AB262" i="12"/>
  <c r="Z262" i="12"/>
  <c r="Y262" i="12"/>
  <c r="V262" i="12"/>
  <c r="S262" i="12"/>
  <c r="M262" i="12"/>
  <c r="L262" i="12"/>
  <c r="J262" i="12"/>
  <c r="CH261" i="12"/>
  <c r="CG261" i="12"/>
  <c r="CE261" i="12"/>
  <c r="CD261" i="12"/>
  <c r="CB261" i="12"/>
  <c r="CA261" i="12"/>
  <c r="BY261" i="12"/>
  <c r="BX261" i="12"/>
  <c r="BV261" i="12"/>
  <c r="BU261" i="12"/>
  <c r="BS261" i="12"/>
  <c r="BR261" i="12"/>
  <c r="BP261" i="12"/>
  <c r="BO261" i="12"/>
  <c r="BM261" i="12"/>
  <c r="BL261" i="12"/>
  <c r="BJ261" i="12"/>
  <c r="BI261" i="12"/>
  <c r="BG261" i="12"/>
  <c r="BF261" i="12"/>
  <c r="BD261" i="12"/>
  <c r="BC261" i="12"/>
  <c r="BA261" i="12"/>
  <c r="AZ261" i="12"/>
  <c r="AX261" i="12"/>
  <c r="AW261" i="12"/>
  <c r="AU261" i="12"/>
  <c r="AT261" i="12"/>
  <c r="AR261" i="12"/>
  <c r="AQ261" i="12"/>
  <c r="AO261" i="12"/>
  <c r="AN261" i="12"/>
  <c r="AL261" i="12"/>
  <c r="AK261" i="12"/>
  <c r="AI261" i="12"/>
  <c r="AH261" i="12"/>
  <c r="AF261" i="12"/>
  <c r="AE261" i="12"/>
  <c r="AC261" i="12"/>
  <c r="AB261" i="12"/>
  <c r="Z261" i="12"/>
  <c r="Y261" i="12"/>
  <c r="W261" i="12"/>
  <c r="V261" i="12"/>
  <c r="T261" i="12"/>
  <c r="S261" i="12"/>
  <c r="R261" i="12"/>
  <c r="Q261" i="12"/>
  <c r="M261" i="12"/>
  <c r="L261" i="12"/>
  <c r="H261" i="12"/>
  <c r="F261" i="12"/>
  <c r="CH260" i="12"/>
  <c r="CG260" i="12"/>
  <c r="CE260" i="12"/>
  <c r="CD260" i="12"/>
  <c r="CB260" i="12"/>
  <c r="CA260" i="12"/>
  <c r="BY260" i="12"/>
  <c r="BX260" i="12"/>
  <c r="BV260" i="12"/>
  <c r="BU260" i="12"/>
  <c r="BS260" i="12"/>
  <c r="BR260" i="12"/>
  <c r="BP260" i="12"/>
  <c r="BO260" i="12"/>
  <c r="BM260" i="12"/>
  <c r="BL260" i="12"/>
  <c r="BJ260" i="12"/>
  <c r="BI260" i="12"/>
  <c r="BG260" i="12"/>
  <c r="BF260" i="12"/>
  <c r="BD260" i="12"/>
  <c r="BC260" i="12"/>
  <c r="BA260" i="12"/>
  <c r="AZ260" i="12"/>
  <c r="AX260" i="12"/>
  <c r="AW260" i="12"/>
  <c r="AU260" i="12"/>
  <c r="AT260" i="12"/>
  <c r="AR260" i="12"/>
  <c r="AQ260" i="12"/>
  <c r="AO260" i="12"/>
  <c r="AN260" i="12"/>
  <c r="AL260" i="12"/>
  <c r="AK260" i="12"/>
  <c r="AI260" i="12"/>
  <c r="AH260" i="12"/>
  <c r="AF260" i="12"/>
  <c r="AE260" i="12"/>
  <c r="AC260" i="12"/>
  <c r="AB260" i="12"/>
  <c r="Z260" i="12"/>
  <c r="Y260" i="12"/>
  <c r="W260" i="12"/>
  <c r="V260" i="12"/>
  <c r="T260" i="12"/>
  <c r="S260" i="12"/>
  <c r="R260" i="12"/>
  <c r="Q260" i="12"/>
  <c r="M260" i="12"/>
  <c r="L260" i="12"/>
  <c r="K260" i="12"/>
  <c r="H260" i="12"/>
  <c r="F260" i="12"/>
  <c r="CG259" i="12"/>
  <c r="CE259" i="12"/>
  <c r="CD259" i="12"/>
  <c r="CB259" i="12"/>
  <c r="CA259" i="12"/>
  <c r="BY259" i="12"/>
  <c r="BX259" i="12"/>
  <c r="BU259" i="12"/>
  <c r="BR259" i="12"/>
  <c r="BP259" i="12"/>
  <c r="BO259" i="12"/>
  <c r="BM259" i="12"/>
  <c r="BL259" i="12"/>
  <c r="BI259" i="12"/>
  <c r="BG259" i="12"/>
  <c r="BF259" i="12"/>
  <c r="BD259" i="12"/>
  <c r="BC259" i="12"/>
  <c r="BA259" i="12"/>
  <c r="AZ259" i="12"/>
  <c r="AW259" i="12"/>
  <c r="AU259" i="12"/>
  <c r="AT259" i="12"/>
  <c r="AR259" i="12"/>
  <c r="AQ259" i="12"/>
  <c r="AO259" i="12"/>
  <c r="AN259" i="12"/>
  <c r="AK259" i="12"/>
  <c r="AI259" i="12"/>
  <c r="AH259" i="12"/>
  <c r="AF259" i="12"/>
  <c r="AE259" i="12"/>
  <c r="AC259" i="12"/>
  <c r="AB259" i="12"/>
  <c r="Y259" i="12"/>
  <c r="V259" i="12"/>
  <c r="T259" i="12"/>
  <c r="S259" i="12"/>
  <c r="M259" i="12"/>
  <c r="K259" i="12"/>
  <c r="J259" i="12"/>
  <c r="CG258" i="12"/>
  <c r="CE258" i="12"/>
  <c r="CD258" i="12"/>
  <c r="CB258" i="12"/>
  <c r="CA258" i="12"/>
  <c r="BY258" i="12"/>
  <c r="BX258" i="12"/>
  <c r="BU258" i="12"/>
  <c r="BS258" i="12"/>
  <c r="BR258" i="12"/>
  <c r="BP258" i="12"/>
  <c r="BO258" i="12"/>
  <c r="BM258" i="12"/>
  <c r="BL258" i="12"/>
  <c r="BI258" i="12"/>
  <c r="BF258" i="12"/>
  <c r="BD258" i="12"/>
  <c r="BC258" i="12"/>
  <c r="BA258" i="12"/>
  <c r="AZ258" i="12"/>
  <c r="AW258" i="12"/>
  <c r="AU258" i="12"/>
  <c r="AT258" i="12"/>
  <c r="AR258" i="12"/>
  <c r="AQ258" i="12"/>
  <c r="AO258" i="12"/>
  <c r="AN258" i="12"/>
  <c r="AK258" i="12"/>
  <c r="AI258" i="12"/>
  <c r="AH258" i="12"/>
  <c r="AF258" i="12"/>
  <c r="AE258" i="12"/>
  <c r="AC258" i="12"/>
  <c r="AB258" i="12"/>
  <c r="Y258" i="12"/>
  <c r="W258" i="12"/>
  <c r="V258" i="12"/>
  <c r="T258" i="12"/>
  <c r="S258" i="12"/>
  <c r="M258" i="12"/>
  <c r="J258" i="12"/>
  <c r="F258" i="12"/>
  <c r="M257" i="12"/>
  <c r="K257" i="12"/>
  <c r="J257" i="12"/>
  <c r="M255" i="12"/>
  <c r="M282" i="12" s="1"/>
  <c r="M277" i="12" s="1"/>
  <c r="R254" i="12"/>
  <c r="Q254" i="12"/>
  <c r="R253" i="12"/>
  <c r="Q253" i="12"/>
  <c r="CH251" i="12"/>
  <c r="CG251" i="12"/>
  <c r="CG243" i="12" s="1"/>
  <c r="CE251" i="12"/>
  <c r="CE243" i="12" s="1"/>
  <c r="CD251" i="12"/>
  <c r="CB251" i="12"/>
  <c r="CA251" i="12"/>
  <c r="CA243" i="12" s="1"/>
  <c r="BY251" i="12"/>
  <c r="BY243" i="12" s="1"/>
  <c r="BX251" i="12"/>
  <c r="BV251" i="12"/>
  <c r="BU251" i="12"/>
  <c r="BU243" i="12" s="1"/>
  <c r="BS251" i="12"/>
  <c r="BS243" i="12" s="1"/>
  <c r="BR251" i="12"/>
  <c r="BP251" i="12"/>
  <c r="BO251" i="12"/>
  <c r="BO243" i="12" s="1"/>
  <c r="BM251" i="12"/>
  <c r="BM243" i="12" s="1"/>
  <c r="BL251" i="12"/>
  <c r="BJ251" i="12"/>
  <c r="BI251" i="12"/>
  <c r="BI243" i="12" s="1"/>
  <c r="BG251" i="12"/>
  <c r="BG243" i="12" s="1"/>
  <c r="BF251" i="12"/>
  <c r="BD251" i="12"/>
  <c r="BC251" i="12"/>
  <c r="BC243" i="12" s="1"/>
  <c r="BA251" i="12"/>
  <c r="BA243" i="12" s="1"/>
  <c r="AZ251" i="12"/>
  <c r="AX251" i="12"/>
  <c r="AW251" i="12"/>
  <c r="AW243" i="12" s="1"/>
  <c r="AU251" i="12"/>
  <c r="AU243" i="12" s="1"/>
  <c r="AT251" i="12"/>
  <c r="AR251" i="12"/>
  <c r="AQ251" i="12"/>
  <c r="AQ243" i="12" s="1"/>
  <c r="AO251" i="12"/>
  <c r="AO243" i="12" s="1"/>
  <c r="AN251" i="12"/>
  <c r="AL251" i="12"/>
  <c r="AK251" i="12"/>
  <c r="AK243" i="12" s="1"/>
  <c r="AI251" i="12"/>
  <c r="AI243" i="12" s="1"/>
  <c r="AH251" i="12"/>
  <c r="AF251" i="12"/>
  <c r="AE251" i="12"/>
  <c r="AE243" i="12" s="1"/>
  <c r="AC251" i="12"/>
  <c r="AC243" i="12" s="1"/>
  <c r="AB251" i="12"/>
  <c r="Z251" i="12"/>
  <c r="Y251" i="12"/>
  <c r="Y243" i="12" s="1"/>
  <c r="W251" i="12"/>
  <c r="W243" i="12" s="1"/>
  <c r="V251" i="12"/>
  <c r="T251" i="12"/>
  <c r="S251" i="12"/>
  <c r="S243" i="12" s="1"/>
  <c r="M251" i="12"/>
  <c r="L251" i="12"/>
  <c r="K251" i="12"/>
  <c r="J251" i="12"/>
  <c r="F251" i="12"/>
  <c r="R250" i="12"/>
  <c r="Q250" i="12"/>
  <c r="L250" i="12"/>
  <c r="L244" i="12" s="1"/>
  <c r="K250" i="12"/>
  <c r="K244" i="12" s="1"/>
  <c r="J250" i="12"/>
  <c r="I250" i="12"/>
  <c r="H250" i="12"/>
  <c r="H244" i="12" s="1"/>
  <c r="G250" i="12"/>
  <c r="R249" i="12"/>
  <c r="Q249" i="12"/>
  <c r="L249" i="12"/>
  <c r="L243" i="12" s="1"/>
  <c r="K249" i="12"/>
  <c r="J249" i="12"/>
  <c r="I249" i="12"/>
  <c r="H249" i="12"/>
  <c r="G249" i="12"/>
  <c r="O247" i="12"/>
  <c r="N247" i="12"/>
  <c r="M247" i="12"/>
  <c r="O246" i="12"/>
  <c r="N246" i="12"/>
  <c r="M246" i="12"/>
  <c r="CH244" i="12"/>
  <c r="CG244" i="12"/>
  <c r="CE244" i="12"/>
  <c r="CD244" i="12"/>
  <c r="CB244" i="12"/>
  <c r="CA244" i="12"/>
  <c r="BY244" i="12"/>
  <c r="BX244" i="12"/>
  <c r="BV244" i="12"/>
  <c r="BU244" i="12"/>
  <c r="BS244" i="12"/>
  <c r="BR244" i="12"/>
  <c r="BP244" i="12"/>
  <c r="BO244" i="12"/>
  <c r="BM244" i="12"/>
  <c r="BL244" i="12"/>
  <c r="BJ244" i="12"/>
  <c r="BI244" i="12"/>
  <c r="BG244" i="12"/>
  <c r="BF244" i="12"/>
  <c r="BD244" i="12"/>
  <c r="BC244" i="12"/>
  <c r="BA244" i="12"/>
  <c r="AZ244" i="12"/>
  <c r="AX244" i="12"/>
  <c r="AW244" i="12"/>
  <c r="AU244" i="12"/>
  <c r="AT244" i="12"/>
  <c r="AR244" i="12"/>
  <c r="AQ244" i="12"/>
  <c r="AO244" i="12"/>
  <c r="AN244" i="12"/>
  <c r="AL244" i="12"/>
  <c r="AK244" i="12"/>
  <c r="AI244" i="12"/>
  <c r="AH244" i="12"/>
  <c r="AF244" i="12"/>
  <c r="AE244" i="12"/>
  <c r="AC244" i="12"/>
  <c r="AB244" i="12"/>
  <c r="Z244" i="12"/>
  <c r="Y244" i="12"/>
  <c r="W244" i="12"/>
  <c r="V244" i="12"/>
  <c r="T244" i="12"/>
  <c r="S244" i="12"/>
  <c r="O244" i="12"/>
  <c r="N244" i="12"/>
  <c r="M244" i="12"/>
  <c r="J244" i="12"/>
  <c r="F244" i="12"/>
  <c r="F215" i="12" s="1"/>
  <c r="CH243" i="12"/>
  <c r="CD243" i="12"/>
  <c r="CB243" i="12"/>
  <c r="BX243" i="12"/>
  <c r="BV243" i="12"/>
  <c r="BR243" i="12"/>
  <c r="BP243" i="12"/>
  <c r="BL243" i="12"/>
  <c r="BJ243" i="12"/>
  <c r="BF243" i="12"/>
  <c r="BD243" i="12"/>
  <c r="AZ243" i="12"/>
  <c r="AX243" i="12"/>
  <c r="AT243" i="12"/>
  <c r="AR243" i="12"/>
  <c r="AN243" i="12"/>
  <c r="AL243" i="12"/>
  <c r="AH243" i="12"/>
  <c r="AF243" i="12"/>
  <c r="AB243" i="12"/>
  <c r="Z243" i="12"/>
  <c r="V243" i="12"/>
  <c r="T243" i="12"/>
  <c r="O243" i="12"/>
  <c r="N243" i="12"/>
  <c r="M243" i="12"/>
  <c r="K243" i="12"/>
  <c r="J243" i="12"/>
  <c r="H243" i="12"/>
  <c r="H214" i="12" s="1"/>
  <c r="F243" i="12"/>
  <c r="R240" i="12"/>
  <c r="Q240" i="12"/>
  <c r="R239" i="12"/>
  <c r="R220" i="12" s="1"/>
  <c r="Q239" i="12"/>
  <c r="R238" i="12"/>
  <c r="Q238" i="12"/>
  <c r="R237" i="12"/>
  <c r="R218" i="12" s="1"/>
  <c r="Q237" i="12"/>
  <c r="R236" i="12"/>
  <c r="Q236" i="12"/>
  <c r="R235" i="12"/>
  <c r="R216" i="12" s="1"/>
  <c r="Q235" i="12"/>
  <c r="R234" i="12"/>
  <c r="Q234" i="12"/>
  <c r="R233" i="12"/>
  <c r="R214" i="12" s="1"/>
  <c r="Q233" i="12"/>
  <c r="R232" i="12"/>
  <c r="Q232" i="12"/>
  <c r="R230" i="12"/>
  <c r="Q230" i="12"/>
  <c r="Q300" i="12" s="1"/>
  <c r="Q315" i="12" s="1"/>
  <c r="J230" i="12"/>
  <c r="J300" i="12" s="1"/>
  <c r="J296" i="12" s="1"/>
  <c r="R229" i="12"/>
  <c r="Q229" i="12"/>
  <c r="Q211" i="12" s="1"/>
  <c r="L229" i="12"/>
  <c r="K229" i="12"/>
  <c r="J229" i="12"/>
  <c r="R228" i="12"/>
  <c r="R210" i="12" s="1"/>
  <c r="Q228" i="12"/>
  <c r="L228" i="12"/>
  <c r="K228" i="12"/>
  <c r="J228" i="12"/>
  <c r="J210" i="12" s="1"/>
  <c r="R227" i="12"/>
  <c r="Q227" i="12"/>
  <c r="L227" i="12"/>
  <c r="K227" i="12"/>
  <c r="K209" i="12" s="1"/>
  <c r="J227" i="12"/>
  <c r="R226" i="12"/>
  <c r="Q226" i="12"/>
  <c r="L226" i="12"/>
  <c r="L208" i="12" s="1"/>
  <c r="K226" i="12"/>
  <c r="J226" i="12"/>
  <c r="R225" i="12"/>
  <c r="Q225" i="12"/>
  <c r="Q207" i="12" s="1"/>
  <c r="L225" i="12"/>
  <c r="K225" i="12"/>
  <c r="J225" i="12"/>
  <c r="R224" i="12"/>
  <c r="R206" i="12" s="1"/>
  <c r="Q224" i="12"/>
  <c r="L224" i="12"/>
  <c r="K224" i="12"/>
  <c r="J224" i="12"/>
  <c r="J206" i="12" s="1"/>
  <c r="R223" i="12"/>
  <c r="Q223" i="12"/>
  <c r="L223" i="12"/>
  <c r="K223" i="12"/>
  <c r="K205" i="12" s="1"/>
  <c r="J223" i="12"/>
  <c r="R222" i="12"/>
  <c r="Q222" i="12"/>
  <c r="L222" i="12"/>
  <c r="K222" i="12"/>
  <c r="J222" i="12"/>
  <c r="CH220" i="12"/>
  <c r="CG220" i="12"/>
  <c r="CE220" i="12"/>
  <c r="CD220" i="12"/>
  <c r="CB220" i="12"/>
  <c r="CA220" i="12"/>
  <c r="BY220" i="12"/>
  <c r="BX220" i="12"/>
  <c r="BV220" i="12"/>
  <c r="BU220" i="12"/>
  <c r="BS220" i="12"/>
  <c r="BR220" i="12"/>
  <c r="BP220" i="12"/>
  <c r="BO220" i="12"/>
  <c r="BM220" i="12"/>
  <c r="BL220" i="12"/>
  <c r="BJ220" i="12"/>
  <c r="BI220" i="12"/>
  <c r="BG220" i="12"/>
  <c r="BF220" i="12"/>
  <c r="BD220" i="12"/>
  <c r="BC220" i="12"/>
  <c r="BA220" i="12"/>
  <c r="AZ220" i="12"/>
  <c r="AX220" i="12"/>
  <c r="AW220" i="12"/>
  <c r="AU220" i="12"/>
  <c r="AT220" i="12"/>
  <c r="AR220" i="12"/>
  <c r="AQ220" i="12"/>
  <c r="AO220" i="12"/>
  <c r="AN220" i="12"/>
  <c r="AL220" i="12"/>
  <c r="AK220" i="12"/>
  <c r="AI220" i="12"/>
  <c r="AH220" i="12"/>
  <c r="AF220" i="12"/>
  <c r="AE220" i="12"/>
  <c r="AC220" i="12"/>
  <c r="AB220" i="12"/>
  <c r="Z220" i="12"/>
  <c r="Y220" i="12"/>
  <c r="W220" i="12"/>
  <c r="V220" i="12"/>
  <c r="T220" i="12"/>
  <c r="S220" i="12"/>
  <c r="Q220" i="12"/>
  <c r="M220" i="12"/>
  <c r="L220" i="12"/>
  <c r="K220" i="12"/>
  <c r="J220" i="12"/>
  <c r="CH219" i="12"/>
  <c r="CG219" i="12"/>
  <c r="CE219" i="12"/>
  <c r="CD219" i="12"/>
  <c r="CB219" i="12"/>
  <c r="CA219" i="12"/>
  <c r="BY219" i="12"/>
  <c r="BX219" i="12"/>
  <c r="BV219" i="12"/>
  <c r="BU219" i="12"/>
  <c r="BS219" i="12"/>
  <c r="BR219" i="12"/>
  <c r="BP219" i="12"/>
  <c r="BO219" i="12"/>
  <c r="BM219" i="12"/>
  <c r="BL219" i="12"/>
  <c r="BJ219" i="12"/>
  <c r="BI219" i="12"/>
  <c r="BG219" i="12"/>
  <c r="BF219" i="12"/>
  <c r="BD219" i="12"/>
  <c r="BC219" i="12"/>
  <c r="BA219" i="12"/>
  <c r="AZ219" i="12"/>
  <c r="AX219" i="12"/>
  <c r="AW219" i="12"/>
  <c r="AU219" i="12"/>
  <c r="AT219" i="12"/>
  <c r="AR219" i="12"/>
  <c r="AQ219" i="12"/>
  <c r="AO219" i="12"/>
  <c r="AN219" i="12"/>
  <c r="AL219" i="12"/>
  <c r="AK219" i="12"/>
  <c r="AI219" i="12"/>
  <c r="AH219" i="12"/>
  <c r="AF219" i="12"/>
  <c r="AE219" i="12"/>
  <c r="AC219" i="12"/>
  <c r="AB219" i="12"/>
  <c r="Z219" i="12"/>
  <c r="Y219" i="12"/>
  <c r="W219" i="12"/>
  <c r="V219" i="12"/>
  <c r="T219" i="12"/>
  <c r="S219" i="12"/>
  <c r="R219" i="12"/>
  <c r="Q219" i="12"/>
  <c r="M219" i="12"/>
  <c r="L219" i="12"/>
  <c r="K219" i="12"/>
  <c r="J219" i="12"/>
  <c r="CH218" i="12"/>
  <c r="CG218" i="12"/>
  <c r="CE218" i="12"/>
  <c r="CD218" i="12"/>
  <c r="CB218" i="12"/>
  <c r="CA218" i="12"/>
  <c r="BY218" i="12"/>
  <c r="BX218" i="12"/>
  <c r="BV218" i="12"/>
  <c r="BU218" i="12"/>
  <c r="BS218" i="12"/>
  <c r="BR218" i="12"/>
  <c r="BP218" i="12"/>
  <c r="BO218" i="12"/>
  <c r="BM218" i="12"/>
  <c r="BL218" i="12"/>
  <c r="BJ218" i="12"/>
  <c r="BI218" i="12"/>
  <c r="BG218" i="12"/>
  <c r="BF218" i="12"/>
  <c r="BD218" i="12"/>
  <c r="BC218" i="12"/>
  <c r="BA218" i="12"/>
  <c r="AZ218" i="12"/>
  <c r="AX218" i="12"/>
  <c r="AW218" i="12"/>
  <c r="AU218" i="12"/>
  <c r="AT218" i="12"/>
  <c r="AR218" i="12"/>
  <c r="AQ218" i="12"/>
  <c r="AO218" i="12"/>
  <c r="AN218" i="12"/>
  <c r="AL218" i="12"/>
  <c r="AK218" i="12"/>
  <c r="AI218" i="12"/>
  <c r="AH218" i="12"/>
  <c r="AF218" i="12"/>
  <c r="AE218" i="12"/>
  <c r="AC218" i="12"/>
  <c r="AB218" i="12"/>
  <c r="Z218" i="12"/>
  <c r="Y218" i="12"/>
  <c r="W218" i="12"/>
  <c r="V218" i="12"/>
  <c r="T218" i="12"/>
  <c r="S218" i="12"/>
  <c r="Q218" i="12"/>
  <c r="M218" i="12"/>
  <c r="L218" i="12"/>
  <c r="K218" i="12"/>
  <c r="J218" i="12"/>
  <c r="H218" i="12"/>
  <c r="F218" i="12"/>
  <c r="CH217" i="12"/>
  <c r="CG217" i="12"/>
  <c r="CE217" i="12"/>
  <c r="CD217" i="12"/>
  <c r="CB217" i="12"/>
  <c r="CA217" i="12"/>
  <c r="BY217" i="12"/>
  <c r="BX217" i="12"/>
  <c r="BV217" i="12"/>
  <c r="BU217" i="12"/>
  <c r="BS217" i="12"/>
  <c r="BR217" i="12"/>
  <c r="BP217" i="12"/>
  <c r="BO217" i="12"/>
  <c r="BM217" i="12"/>
  <c r="BL217" i="12"/>
  <c r="BJ217" i="12"/>
  <c r="BI217" i="12"/>
  <c r="BG217" i="12"/>
  <c r="BF217" i="12"/>
  <c r="BD217" i="12"/>
  <c r="BC217" i="12"/>
  <c r="BA217" i="12"/>
  <c r="AZ217" i="12"/>
  <c r="AX217" i="12"/>
  <c r="AW217" i="12"/>
  <c r="AU217" i="12"/>
  <c r="AT217" i="12"/>
  <c r="AR217" i="12"/>
  <c r="AQ217" i="12"/>
  <c r="AO217" i="12"/>
  <c r="AN217" i="12"/>
  <c r="AL217" i="12"/>
  <c r="AK217" i="12"/>
  <c r="AI217" i="12"/>
  <c r="AH217" i="12"/>
  <c r="AF217" i="12"/>
  <c r="AE217" i="12"/>
  <c r="AC217" i="12"/>
  <c r="AB217" i="12"/>
  <c r="Z217" i="12"/>
  <c r="Y217" i="12"/>
  <c r="W217" i="12"/>
  <c r="V217" i="12"/>
  <c r="T217" i="12"/>
  <c r="S217" i="12"/>
  <c r="R217" i="12"/>
  <c r="Q217" i="12"/>
  <c r="M217" i="12"/>
  <c r="L217" i="12"/>
  <c r="K217" i="12"/>
  <c r="J217" i="12"/>
  <c r="I217" i="12"/>
  <c r="H217" i="12"/>
  <c r="G217" i="12"/>
  <c r="F217" i="12"/>
  <c r="CH216" i="12"/>
  <c r="CG216" i="12"/>
  <c r="CE216" i="12"/>
  <c r="CD216" i="12"/>
  <c r="CB216" i="12"/>
  <c r="CA216" i="12"/>
  <c r="BY216" i="12"/>
  <c r="BX216" i="12"/>
  <c r="BV216" i="12"/>
  <c r="BU216" i="12"/>
  <c r="BS216" i="12"/>
  <c r="BR216" i="12"/>
  <c r="BP216" i="12"/>
  <c r="BO216" i="12"/>
  <c r="BM216" i="12"/>
  <c r="BL216" i="12"/>
  <c r="BJ216" i="12"/>
  <c r="BI216" i="12"/>
  <c r="BG216" i="12"/>
  <c r="BF216" i="12"/>
  <c r="BD216" i="12"/>
  <c r="BC216" i="12"/>
  <c r="BA216" i="12"/>
  <c r="AZ216" i="12"/>
  <c r="AX216" i="12"/>
  <c r="AW216" i="12"/>
  <c r="AU216" i="12"/>
  <c r="AT216" i="12"/>
  <c r="AR216" i="12"/>
  <c r="AQ216" i="12"/>
  <c r="AO216" i="12"/>
  <c r="AN216" i="12"/>
  <c r="AL216" i="12"/>
  <c r="AK216" i="12"/>
  <c r="AI216" i="12"/>
  <c r="AH216" i="12"/>
  <c r="AF216" i="12"/>
  <c r="AE216" i="12"/>
  <c r="AC216" i="12"/>
  <c r="AB216" i="12"/>
  <c r="Z216" i="12"/>
  <c r="Y216" i="12"/>
  <c r="W216" i="12"/>
  <c r="V216" i="12"/>
  <c r="T216" i="12"/>
  <c r="S216" i="12"/>
  <c r="Q216" i="12"/>
  <c r="M216" i="12"/>
  <c r="L216" i="12"/>
  <c r="K216" i="12"/>
  <c r="J216" i="12"/>
  <c r="CH215" i="12"/>
  <c r="CG215" i="12"/>
  <c r="CE215" i="12"/>
  <c r="CD215" i="12"/>
  <c r="CB215" i="12"/>
  <c r="CA215" i="12"/>
  <c r="BY215" i="12"/>
  <c r="BX215" i="12"/>
  <c r="BV215" i="12"/>
  <c r="BU215" i="12"/>
  <c r="BS215" i="12"/>
  <c r="BR215" i="12"/>
  <c r="BP215" i="12"/>
  <c r="BO215" i="12"/>
  <c r="BM215" i="12"/>
  <c r="BL215" i="12"/>
  <c r="BJ215" i="12"/>
  <c r="BI215" i="12"/>
  <c r="BG215" i="12"/>
  <c r="BF215" i="12"/>
  <c r="BD215" i="12"/>
  <c r="BC215" i="12"/>
  <c r="BA215" i="12"/>
  <c r="AZ215" i="12"/>
  <c r="AX215" i="12"/>
  <c r="AW215" i="12"/>
  <c r="AU215" i="12"/>
  <c r="AT215" i="12"/>
  <c r="AR215" i="12"/>
  <c r="AQ215" i="12"/>
  <c r="AO215" i="12"/>
  <c r="AN215" i="12"/>
  <c r="AL215" i="12"/>
  <c r="AK215" i="12"/>
  <c r="AI215" i="12"/>
  <c r="AH215" i="12"/>
  <c r="AF215" i="12"/>
  <c r="AE215" i="12"/>
  <c r="AC215" i="12"/>
  <c r="AB215" i="12"/>
  <c r="Z215" i="12"/>
  <c r="Y215" i="12"/>
  <c r="W215" i="12"/>
  <c r="V215" i="12"/>
  <c r="T215" i="12"/>
  <c r="S215" i="12"/>
  <c r="R215" i="12"/>
  <c r="Q215" i="12"/>
  <c r="M215" i="12"/>
  <c r="L215" i="12"/>
  <c r="K215" i="12"/>
  <c r="J215" i="12"/>
  <c r="H215" i="12"/>
  <c r="CH214" i="12"/>
  <c r="CG214" i="12"/>
  <c r="CE214" i="12"/>
  <c r="CD214" i="12"/>
  <c r="CB214" i="12"/>
  <c r="CA214" i="12"/>
  <c r="BY214" i="12"/>
  <c r="BX214" i="12"/>
  <c r="BV214" i="12"/>
  <c r="BU214" i="12"/>
  <c r="BS214" i="12"/>
  <c r="BR214" i="12"/>
  <c r="BP214" i="12"/>
  <c r="BO214" i="12"/>
  <c r="BM214" i="12"/>
  <c r="BL214" i="12"/>
  <c r="BJ214" i="12"/>
  <c r="BI214" i="12"/>
  <c r="BG214" i="12"/>
  <c r="BF214" i="12"/>
  <c r="BD214" i="12"/>
  <c r="BC214" i="12"/>
  <c r="BA214" i="12"/>
  <c r="AZ214" i="12"/>
  <c r="AX214" i="12"/>
  <c r="AW214" i="12"/>
  <c r="AU214" i="12"/>
  <c r="AT214" i="12"/>
  <c r="AR214" i="12"/>
  <c r="AQ214" i="12"/>
  <c r="AO214" i="12"/>
  <c r="AN214" i="12"/>
  <c r="AL214" i="12"/>
  <c r="AK214" i="12"/>
  <c r="AI214" i="12"/>
  <c r="AH214" i="12"/>
  <c r="AF214" i="12"/>
  <c r="AE214" i="12"/>
  <c r="AC214" i="12"/>
  <c r="AB214" i="12"/>
  <c r="Z214" i="12"/>
  <c r="Y214" i="12"/>
  <c r="W214" i="12"/>
  <c r="V214" i="12"/>
  <c r="T214" i="12"/>
  <c r="S214" i="12"/>
  <c r="Q214" i="12"/>
  <c r="M214" i="12"/>
  <c r="L214" i="12"/>
  <c r="K214" i="12"/>
  <c r="J214" i="12"/>
  <c r="G214" i="12"/>
  <c r="F214" i="12"/>
  <c r="CH213" i="12"/>
  <c r="CG213" i="12"/>
  <c r="CE213" i="12"/>
  <c r="CD213" i="12"/>
  <c r="CB213" i="12"/>
  <c r="CA213" i="12"/>
  <c r="BY213" i="12"/>
  <c r="BX213" i="12"/>
  <c r="BV213" i="12"/>
  <c r="BU213" i="12"/>
  <c r="BS213" i="12"/>
  <c r="BR213" i="12"/>
  <c r="BP213" i="12"/>
  <c r="BO213" i="12"/>
  <c r="BM213" i="12"/>
  <c r="BL213" i="12"/>
  <c r="BJ213" i="12"/>
  <c r="BI213" i="12"/>
  <c r="BG213" i="12"/>
  <c r="BF213" i="12"/>
  <c r="BD213" i="12"/>
  <c r="BC213" i="12"/>
  <c r="BA213" i="12"/>
  <c r="AZ213" i="12"/>
  <c r="AX213" i="12"/>
  <c r="AW213" i="12"/>
  <c r="AU213" i="12"/>
  <c r="AT213" i="12"/>
  <c r="AR213" i="12"/>
  <c r="AQ213" i="12"/>
  <c r="AO213" i="12"/>
  <c r="AN213" i="12"/>
  <c r="AL213" i="12"/>
  <c r="AK213" i="12"/>
  <c r="AI213" i="12"/>
  <c r="AH213" i="12"/>
  <c r="AF213" i="12"/>
  <c r="AE213" i="12"/>
  <c r="AC213" i="12"/>
  <c r="AB213" i="12"/>
  <c r="Z213" i="12"/>
  <c r="Y213" i="12"/>
  <c r="W213" i="12"/>
  <c r="V213" i="12"/>
  <c r="T213" i="12"/>
  <c r="S213" i="12"/>
  <c r="R213" i="12"/>
  <c r="Q213" i="12"/>
  <c r="M213" i="12"/>
  <c r="L213" i="12"/>
  <c r="K213" i="12"/>
  <c r="J213" i="12"/>
  <c r="I213" i="12"/>
  <c r="H213" i="12"/>
  <c r="G213" i="12"/>
  <c r="F213" i="12"/>
  <c r="CH211" i="12"/>
  <c r="CG211" i="12"/>
  <c r="CE211" i="12"/>
  <c r="CD211" i="12"/>
  <c r="CB211" i="12"/>
  <c r="CA211" i="12"/>
  <c r="BY211" i="12"/>
  <c r="BX211" i="12"/>
  <c r="BV211" i="12"/>
  <c r="BU211" i="12"/>
  <c r="BS211" i="12"/>
  <c r="BR211" i="12"/>
  <c r="BP211" i="12"/>
  <c r="BO211" i="12"/>
  <c r="BM211" i="12"/>
  <c r="BL211" i="12"/>
  <c r="BJ211" i="12"/>
  <c r="BI211" i="12"/>
  <c r="BG211" i="12"/>
  <c r="BF211" i="12"/>
  <c r="BD211" i="12"/>
  <c r="BC211" i="12"/>
  <c r="BA211" i="12"/>
  <c r="AZ211" i="12"/>
  <c r="AX211" i="12"/>
  <c r="AW211" i="12"/>
  <c r="AU211" i="12"/>
  <c r="AT211" i="12"/>
  <c r="AR211" i="12"/>
  <c r="AQ211" i="12"/>
  <c r="AO211" i="12"/>
  <c r="AN211" i="12"/>
  <c r="AL211" i="12"/>
  <c r="AK211" i="12"/>
  <c r="AI211" i="12"/>
  <c r="AH211" i="12"/>
  <c r="AF211" i="12"/>
  <c r="AE211" i="12"/>
  <c r="AC211" i="12"/>
  <c r="AB211" i="12"/>
  <c r="Z211" i="12"/>
  <c r="Y211" i="12"/>
  <c r="W211" i="12"/>
  <c r="V211" i="12"/>
  <c r="T211" i="12"/>
  <c r="S211" i="12"/>
  <c r="M211" i="12"/>
  <c r="L211" i="12"/>
  <c r="K211" i="12"/>
  <c r="J211" i="12"/>
  <c r="CH210" i="12"/>
  <c r="CG210" i="12"/>
  <c r="CE210" i="12"/>
  <c r="CD210" i="12"/>
  <c r="CB210" i="12"/>
  <c r="CA210" i="12"/>
  <c r="BY210" i="12"/>
  <c r="BX210" i="12"/>
  <c r="BV210" i="12"/>
  <c r="BU210" i="12"/>
  <c r="BS210" i="12"/>
  <c r="BR210" i="12"/>
  <c r="BP210" i="12"/>
  <c r="BO210" i="12"/>
  <c r="BM210" i="12"/>
  <c r="BL210" i="12"/>
  <c r="BJ210" i="12"/>
  <c r="BI210" i="12"/>
  <c r="BG210" i="12"/>
  <c r="BF210" i="12"/>
  <c r="BD210" i="12"/>
  <c r="BC210" i="12"/>
  <c r="BA210" i="12"/>
  <c r="AZ210" i="12"/>
  <c r="AX210" i="12"/>
  <c r="AW210" i="12"/>
  <c r="AU210" i="12"/>
  <c r="AT210" i="12"/>
  <c r="AR210" i="12"/>
  <c r="AQ210" i="12"/>
  <c r="AO210" i="12"/>
  <c r="AN210" i="12"/>
  <c r="AL210" i="12"/>
  <c r="AK210" i="12"/>
  <c r="AI210" i="12"/>
  <c r="AH210" i="12"/>
  <c r="AF210" i="12"/>
  <c r="AE210" i="12"/>
  <c r="AC210" i="12"/>
  <c r="AB210" i="12"/>
  <c r="Z210" i="12"/>
  <c r="Y210" i="12"/>
  <c r="W210" i="12"/>
  <c r="V210" i="12"/>
  <c r="T210" i="12"/>
  <c r="S210" i="12"/>
  <c r="Q210" i="12"/>
  <c r="M210" i="12"/>
  <c r="L210" i="12"/>
  <c r="K210" i="12"/>
  <c r="CH209" i="12"/>
  <c r="CG209" i="12"/>
  <c r="CE209" i="12"/>
  <c r="CD209" i="12"/>
  <c r="CB209" i="12"/>
  <c r="CA209" i="12"/>
  <c r="BY209" i="12"/>
  <c r="BX209" i="12"/>
  <c r="BV209" i="12"/>
  <c r="BU209" i="12"/>
  <c r="BS209" i="12"/>
  <c r="BR209" i="12"/>
  <c r="BP209" i="12"/>
  <c r="BO209" i="12"/>
  <c r="BM209" i="12"/>
  <c r="BL209" i="12"/>
  <c r="BJ209" i="12"/>
  <c r="BI209" i="12"/>
  <c r="BG209" i="12"/>
  <c r="BF209" i="12"/>
  <c r="BD209" i="12"/>
  <c r="BC209" i="12"/>
  <c r="BA209" i="12"/>
  <c r="AZ209" i="12"/>
  <c r="AX209" i="12"/>
  <c r="AW209" i="12"/>
  <c r="AU209" i="12"/>
  <c r="AT209" i="12"/>
  <c r="AR209" i="12"/>
  <c r="AQ209" i="12"/>
  <c r="AO209" i="12"/>
  <c r="AN209" i="12"/>
  <c r="AL209" i="12"/>
  <c r="AK209" i="12"/>
  <c r="AI209" i="12"/>
  <c r="AH209" i="12"/>
  <c r="AF209" i="12"/>
  <c r="AE209" i="12"/>
  <c r="AC209" i="12"/>
  <c r="AB209" i="12"/>
  <c r="Z209" i="12"/>
  <c r="Y209" i="12"/>
  <c r="W209" i="12"/>
  <c r="V209" i="12"/>
  <c r="T209" i="12"/>
  <c r="S209" i="12"/>
  <c r="Q209" i="12"/>
  <c r="M209" i="12"/>
  <c r="L209" i="12"/>
  <c r="J209" i="12"/>
  <c r="I209" i="12"/>
  <c r="H209" i="12"/>
  <c r="G209" i="12"/>
  <c r="F209" i="12"/>
  <c r="CH208" i="12"/>
  <c r="CG208" i="12"/>
  <c r="CE208" i="12"/>
  <c r="CD208" i="12"/>
  <c r="CB208" i="12"/>
  <c r="CA208" i="12"/>
  <c r="BY208" i="12"/>
  <c r="BX208" i="12"/>
  <c r="BV208" i="12"/>
  <c r="BU208" i="12"/>
  <c r="BS208" i="12"/>
  <c r="BR208" i="12"/>
  <c r="BP208" i="12"/>
  <c r="BO208" i="12"/>
  <c r="BM208" i="12"/>
  <c r="BL208" i="12"/>
  <c r="BJ208" i="12"/>
  <c r="BI208" i="12"/>
  <c r="BG208" i="12"/>
  <c r="BF208" i="12"/>
  <c r="BD208" i="12"/>
  <c r="BC208" i="12"/>
  <c r="BA208" i="12"/>
  <c r="AZ208" i="12"/>
  <c r="AX208" i="12"/>
  <c r="AW208" i="12"/>
  <c r="AU208" i="12"/>
  <c r="AT208" i="12"/>
  <c r="AR208" i="12"/>
  <c r="AQ208" i="12"/>
  <c r="AO208" i="12"/>
  <c r="AN208" i="12"/>
  <c r="AL208" i="12"/>
  <c r="AK208" i="12"/>
  <c r="AI208" i="12"/>
  <c r="AH208" i="12"/>
  <c r="AF208" i="12"/>
  <c r="AE208" i="12"/>
  <c r="AC208" i="12"/>
  <c r="AB208" i="12"/>
  <c r="Z208" i="12"/>
  <c r="Y208" i="12"/>
  <c r="W208" i="12"/>
  <c r="V208" i="12"/>
  <c r="T208" i="12"/>
  <c r="S208" i="12"/>
  <c r="Q208" i="12"/>
  <c r="M208" i="12"/>
  <c r="K208" i="12"/>
  <c r="J208" i="12"/>
  <c r="I208" i="12"/>
  <c r="H208" i="12"/>
  <c r="G208" i="12"/>
  <c r="F208" i="12"/>
  <c r="CH207" i="12"/>
  <c r="CG207" i="12"/>
  <c r="CE207" i="12"/>
  <c r="CD207" i="12"/>
  <c r="CB207" i="12"/>
  <c r="CA207" i="12"/>
  <c r="BY207" i="12"/>
  <c r="BX207" i="12"/>
  <c r="BV207" i="12"/>
  <c r="BU207" i="12"/>
  <c r="BS207" i="12"/>
  <c r="BR207" i="12"/>
  <c r="BP207" i="12"/>
  <c r="BO207" i="12"/>
  <c r="BM207" i="12"/>
  <c r="BL207" i="12"/>
  <c r="BJ207" i="12"/>
  <c r="BI207" i="12"/>
  <c r="BG207" i="12"/>
  <c r="BF207" i="12"/>
  <c r="BD207" i="12"/>
  <c r="BC207" i="12"/>
  <c r="BA207" i="12"/>
  <c r="AZ207" i="12"/>
  <c r="AX207" i="12"/>
  <c r="AW207" i="12"/>
  <c r="AU207" i="12"/>
  <c r="AT207" i="12"/>
  <c r="AR207" i="12"/>
  <c r="AQ207" i="12"/>
  <c r="AO207" i="12"/>
  <c r="AN207" i="12"/>
  <c r="AL207" i="12"/>
  <c r="AK207" i="12"/>
  <c r="AI207" i="12"/>
  <c r="AH207" i="12"/>
  <c r="AF207" i="12"/>
  <c r="AE207" i="12"/>
  <c r="AC207" i="12"/>
  <c r="AB207" i="12"/>
  <c r="Z207" i="12"/>
  <c r="Y207" i="12"/>
  <c r="W207" i="12"/>
  <c r="V207" i="12"/>
  <c r="T207" i="12"/>
  <c r="S207" i="12"/>
  <c r="M207" i="12"/>
  <c r="L207" i="12"/>
  <c r="K207" i="12"/>
  <c r="J207" i="12"/>
  <c r="CH206" i="12"/>
  <c r="CG206" i="12"/>
  <c r="CE206" i="12"/>
  <c r="CD206" i="12"/>
  <c r="CB206" i="12"/>
  <c r="CA206" i="12"/>
  <c r="BY206" i="12"/>
  <c r="BX206" i="12"/>
  <c r="BV206" i="12"/>
  <c r="BU206" i="12"/>
  <c r="BS206" i="12"/>
  <c r="BR206" i="12"/>
  <c r="BP206" i="12"/>
  <c r="BO206" i="12"/>
  <c r="BM206" i="12"/>
  <c r="BL206" i="12"/>
  <c r="BJ206" i="12"/>
  <c r="BI206" i="12"/>
  <c r="BG206" i="12"/>
  <c r="BF206" i="12"/>
  <c r="BD206" i="12"/>
  <c r="BC206" i="12"/>
  <c r="BA206" i="12"/>
  <c r="AZ206" i="12"/>
  <c r="AX206" i="12"/>
  <c r="AW206" i="12"/>
  <c r="AU206" i="12"/>
  <c r="AT206" i="12"/>
  <c r="AR206" i="12"/>
  <c r="AQ206" i="12"/>
  <c r="AO206" i="12"/>
  <c r="AN206" i="12"/>
  <c r="AL206" i="12"/>
  <c r="AK206" i="12"/>
  <c r="AI206" i="12"/>
  <c r="AH206" i="12"/>
  <c r="AF206" i="12"/>
  <c r="AE206" i="12"/>
  <c r="AC206" i="12"/>
  <c r="AB206" i="12"/>
  <c r="Z206" i="12"/>
  <c r="Y206" i="12"/>
  <c r="W206" i="12"/>
  <c r="V206" i="12"/>
  <c r="T206" i="12"/>
  <c r="S206" i="12"/>
  <c r="Q206" i="12"/>
  <c r="M206" i="12"/>
  <c r="L206" i="12"/>
  <c r="K206" i="12"/>
  <c r="I206" i="12"/>
  <c r="H206" i="12"/>
  <c r="G206" i="12"/>
  <c r="F206" i="12"/>
  <c r="CH205" i="12"/>
  <c r="CG205" i="12"/>
  <c r="CE205" i="12"/>
  <c r="CD205" i="12"/>
  <c r="CB205" i="12"/>
  <c r="CA205" i="12"/>
  <c r="BY205" i="12"/>
  <c r="BX205" i="12"/>
  <c r="BV205" i="12"/>
  <c r="BU205" i="12"/>
  <c r="BS205" i="12"/>
  <c r="BR205" i="12"/>
  <c r="BP205" i="12"/>
  <c r="BO205" i="12"/>
  <c r="BM205" i="12"/>
  <c r="BL205" i="12"/>
  <c r="BJ205" i="12"/>
  <c r="BI205" i="12"/>
  <c r="BG205" i="12"/>
  <c r="BF205" i="12"/>
  <c r="BD205" i="12"/>
  <c r="BC205" i="12"/>
  <c r="BA205" i="12"/>
  <c r="AZ205" i="12"/>
  <c r="AX205" i="12"/>
  <c r="AW205" i="12"/>
  <c r="AU205" i="12"/>
  <c r="AT205" i="12"/>
  <c r="AR205" i="12"/>
  <c r="AQ205" i="12"/>
  <c r="AO205" i="12"/>
  <c r="AN205" i="12"/>
  <c r="AL205" i="12"/>
  <c r="AK205" i="12"/>
  <c r="AI205" i="12"/>
  <c r="AH205" i="12"/>
  <c r="AF205" i="12"/>
  <c r="AE205" i="12"/>
  <c r="AC205" i="12"/>
  <c r="AB205" i="12"/>
  <c r="Z205" i="12"/>
  <c r="Y205" i="12"/>
  <c r="W205" i="12"/>
  <c r="V205" i="12"/>
  <c r="T205" i="12"/>
  <c r="S205" i="12"/>
  <c r="Q205" i="12"/>
  <c r="M205" i="12"/>
  <c r="L205" i="12"/>
  <c r="J205" i="12"/>
  <c r="I205" i="12"/>
  <c r="H205" i="12"/>
  <c r="G205" i="12"/>
  <c r="F205" i="12"/>
  <c r="CH204" i="12"/>
  <c r="CG204" i="12"/>
  <c r="CE204" i="12"/>
  <c r="CD204" i="12"/>
  <c r="CB204" i="12"/>
  <c r="CA204" i="12"/>
  <c r="BY204" i="12"/>
  <c r="BX204" i="12"/>
  <c r="BV204" i="12"/>
  <c r="BU204" i="12"/>
  <c r="BS204" i="12"/>
  <c r="BR204" i="12"/>
  <c r="BP204" i="12"/>
  <c r="BO204" i="12"/>
  <c r="BM204" i="12"/>
  <c r="BL204" i="12"/>
  <c r="BJ204" i="12"/>
  <c r="BI204" i="12"/>
  <c r="BG204" i="12"/>
  <c r="BF204" i="12"/>
  <c r="BD204" i="12"/>
  <c r="BC204" i="12"/>
  <c r="BA204" i="12"/>
  <c r="AZ204" i="12"/>
  <c r="AX204" i="12"/>
  <c r="AW204" i="12"/>
  <c r="AU204" i="12"/>
  <c r="AT204" i="12"/>
  <c r="AR204" i="12"/>
  <c r="AQ204" i="12"/>
  <c r="AO204" i="12"/>
  <c r="AN204" i="12"/>
  <c r="AL204" i="12"/>
  <c r="AK204" i="12"/>
  <c r="AI204" i="12"/>
  <c r="AH204" i="12"/>
  <c r="AF204" i="12"/>
  <c r="AE204" i="12"/>
  <c r="AC204" i="12"/>
  <c r="AB204" i="12"/>
  <c r="Z204" i="12"/>
  <c r="Y204" i="12"/>
  <c r="W204" i="12"/>
  <c r="V204" i="12"/>
  <c r="T204" i="12"/>
  <c r="S204" i="12"/>
  <c r="Q204" i="12"/>
  <c r="M204" i="12"/>
  <c r="L204" i="12"/>
  <c r="K204" i="12"/>
  <c r="J204" i="12"/>
  <c r="I204" i="12"/>
  <c r="H204" i="12"/>
  <c r="G204" i="12"/>
  <c r="F204" i="12"/>
  <c r="CD201" i="12"/>
  <c r="AH201" i="12"/>
  <c r="R200" i="12"/>
  <c r="Q200" i="12"/>
  <c r="R199" i="12"/>
  <c r="Q199" i="12"/>
  <c r="R198" i="12"/>
  <c r="Q198" i="12"/>
  <c r="I198" i="12"/>
  <c r="I251" i="12" s="1"/>
  <c r="H198" i="12"/>
  <c r="H251" i="12" s="1"/>
  <c r="G198" i="12"/>
  <c r="G251" i="12" s="1"/>
  <c r="G218" i="12" s="1"/>
  <c r="R197" i="12"/>
  <c r="Q197" i="12"/>
  <c r="R196" i="12"/>
  <c r="Q196" i="12"/>
  <c r="Q194" i="12" s="1"/>
  <c r="G196" i="12"/>
  <c r="CB195" i="12"/>
  <c r="BP195" i="12"/>
  <c r="BD195" i="12"/>
  <c r="AO195" i="12"/>
  <c r="AF195" i="12"/>
  <c r="M195" i="12"/>
  <c r="CH194" i="12"/>
  <c r="CG194" i="12"/>
  <c r="CE194" i="12"/>
  <c r="CD194" i="12"/>
  <c r="CB194" i="12"/>
  <c r="CA194" i="12"/>
  <c r="BY194" i="12"/>
  <c r="BX194" i="12"/>
  <c r="BV194" i="12"/>
  <c r="BU194" i="12"/>
  <c r="BS194" i="12"/>
  <c r="BR194" i="12"/>
  <c r="BP194" i="12"/>
  <c r="BO194" i="12"/>
  <c r="BM194" i="12"/>
  <c r="BL194" i="12"/>
  <c r="BJ194" i="12"/>
  <c r="BI194" i="12"/>
  <c r="BG194" i="12"/>
  <c r="BF194" i="12"/>
  <c r="BD194" i="12"/>
  <c r="BC194" i="12"/>
  <c r="BA194" i="12"/>
  <c r="AZ194" i="12"/>
  <c r="AX194" i="12"/>
  <c r="AW194" i="12"/>
  <c r="AU194" i="12"/>
  <c r="AT194" i="12"/>
  <c r="AR194" i="12"/>
  <c r="AQ194" i="12"/>
  <c r="AO194" i="12"/>
  <c r="AN194" i="12"/>
  <c r="AL194" i="12"/>
  <c r="AK194" i="12"/>
  <c r="AI194" i="12"/>
  <c r="AH194" i="12"/>
  <c r="AF194" i="12"/>
  <c r="AE194" i="12"/>
  <c r="AC194" i="12"/>
  <c r="AB194" i="12"/>
  <c r="Z194" i="12"/>
  <c r="Y194" i="12"/>
  <c r="W194" i="12"/>
  <c r="V194" i="12"/>
  <c r="T194" i="12"/>
  <c r="S194" i="12"/>
  <c r="N194" i="12"/>
  <c r="M194" i="12"/>
  <c r="L194" i="12"/>
  <c r="K194" i="12"/>
  <c r="J194" i="12"/>
  <c r="F193" i="12"/>
  <c r="M191" i="12"/>
  <c r="L191" i="12"/>
  <c r="N189" i="12"/>
  <c r="M189" i="12"/>
  <c r="L189" i="12"/>
  <c r="K189" i="12"/>
  <c r="J189" i="12"/>
  <c r="O173" i="12"/>
  <c r="N173" i="12"/>
  <c r="M173" i="12"/>
  <c r="L173" i="12"/>
  <c r="N172" i="12"/>
  <c r="M172" i="12"/>
  <c r="L172" i="12"/>
  <c r="CH169" i="12"/>
  <c r="CG169" i="12"/>
  <c r="CE169" i="12"/>
  <c r="CD169" i="12"/>
  <c r="CB169" i="12"/>
  <c r="CA169" i="12"/>
  <c r="BY169" i="12"/>
  <c r="BX169" i="12"/>
  <c r="BV169" i="12"/>
  <c r="BU169" i="12"/>
  <c r="BS169" i="12"/>
  <c r="BR169" i="12"/>
  <c r="BP169" i="12"/>
  <c r="BO169" i="12"/>
  <c r="BM169" i="12"/>
  <c r="BL169" i="12"/>
  <c r="BJ169" i="12"/>
  <c r="BI169" i="12"/>
  <c r="BG169" i="12"/>
  <c r="BF169" i="12"/>
  <c r="BD169" i="12"/>
  <c r="BC169" i="12"/>
  <c r="BA169" i="12"/>
  <c r="AZ169" i="12"/>
  <c r="AX169" i="12"/>
  <c r="AW169" i="12"/>
  <c r="AU169" i="12"/>
  <c r="AT169" i="12"/>
  <c r="AR169" i="12"/>
  <c r="AQ169" i="12"/>
  <c r="AO169" i="12"/>
  <c r="AN169" i="12"/>
  <c r="AL169" i="12"/>
  <c r="AK169" i="12"/>
  <c r="AI169" i="12"/>
  <c r="AH169" i="12"/>
  <c r="AF169" i="12"/>
  <c r="AE169" i="12"/>
  <c r="AC169" i="12"/>
  <c r="AB169" i="12"/>
  <c r="Z169" i="12"/>
  <c r="Y169" i="12"/>
  <c r="W169" i="12"/>
  <c r="V169" i="12"/>
  <c r="T169" i="12"/>
  <c r="S169" i="12"/>
  <c r="Q169" i="12" s="1"/>
  <c r="CH168" i="12"/>
  <c r="CH147" i="12" s="1"/>
  <c r="CG168" i="12"/>
  <c r="CE168" i="12"/>
  <c r="CD168" i="12"/>
  <c r="CB168" i="12"/>
  <c r="CB147" i="12" s="1"/>
  <c r="CA168" i="12"/>
  <c r="BY168" i="12"/>
  <c r="BX168" i="12"/>
  <c r="BV168" i="12"/>
  <c r="BV147" i="12" s="1"/>
  <c r="BU168" i="12"/>
  <c r="BS168" i="12"/>
  <c r="BR168" i="12"/>
  <c r="BP168" i="12"/>
  <c r="BP147" i="12" s="1"/>
  <c r="BO168" i="12"/>
  <c r="BM168" i="12"/>
  <c r="BL168" i="12"/>
  <c r="BJ168" i="12"/>
  <c r="BJ147" i="12" s="1"/>
  <c r="BI168" i="12"/>
  <c r="BG168" i="12"/>
  <c r="BF168" i="12"/>
  <c r="BD168" i="12"/>
  <c r="BD147" i="12" s="1"/>
  <c r="BC168" i="12"/>
  <c r="BA168" i="12"/>
  <c r="AZ168" i="12"/>
  <c r="AX168" i="12"/>
  <c r="AX147" i="12" s="1"/>
  <c r="AW168" i="12"/>
  <c r="AU168" i="12"/>
  <c r="AT168" i="12"/>
  <c r="AR168" i="12"/>
  <c r="AR147" i="12" s="1"/>
  <c r="AQ168" i="12"/>
  <c r="AO168" i="12"/>
  <c r="AN168" i="12"/>
  <c r="AL168" i="12"/>
  <c r="AL147" i="12" s="1"/>
  <c r="AK168" i="12"/>
  <c r="AI168" i="12"/>
  <c r="AH168" i="12"/>
  <c r="AF168" i="12"/>
  <c r="AF147" i="12" s="1"/>
  <c r="AE168" i="12"/>
  <c r="AC168" i="12"/>
  <c r="AB168" i="12"/>
  <c r="Z168" i="12"/>
  <c r="Z147" i="12" s="1"/>
  <c r="Y168" i="12"/>
  <c r="W168" i="12"/>
  <c r="V168" i="12"/>
  <c r="T168" i="12"/>
  <c r="R168" i="12" s="1"/>
  <c r="S168" i="12"/>
  <c r="Q168" i="12"/>
  <c r="R165" i="12"/>
  <c r="Q165" i="12"/>
  <c r="R164" i="12"/>
  <c r="Q164" i="12"/>
  <c r="R163" i="12"/>
  <c r="R146" i="12" s="1"/>
  <c r="Q163" i="12"/>
  <c r="R162" i="12"/>
  <c r="Q162" i="12"/>
  <c r="CH160" i="12"/>
  <c r="CG160" i="12"/>
  <c r="CE160" i="12"/>
  <c r="CD160" i="12"/>
  <c r="CB160" i="12"/>
  <c r="CA160" i="12"/>
  <c r="BY160" i="12"/>
  <c r="BX160" i="12"/>
  <c r="BV160" i="12"/>
  <c r="BU160" i="12"/>
  <c r="BS160" i="12"/>
  <c r="BR160" i="12"/>
  <c r="BP160" i="12"/>
  <c r="BM160" i="12"/>
  <c r="BL160" i="12"/>
  <c r="BJ160" i="12"/>
  <c r="BI160" i="12"/>
  <c r="BG160" i="12"/>
  <c r="BF160" i="12"/>
  <c r="BD160" i="12"/>
  <c r="BC160" i="12"/>
  <c r="BA160" i="12"/>
  <c r="AX160" i="12"/>
  <c r="AW160" i="12"/>
  <c r="AU160" i="12"/>
  <c r="AT160" i="12"/>
  <c r="AR160" i="12"/>
  <c r="AO160" i="12"/>
  <c r="AN160" i="12"/>
  <c r="AL160" i="12"/>
  <c r="AK160" i="12"/>
  <c r="AI160" i="12"/>
  <c r="AH160" i="12"/>
  <c r="AF160" i="12"/>
  <c r="AE160" i="12"/>
  <c r="AC160" i="12"/>
  <c r="AB160" i="12"/>
  <c r="Z160" i="12"/>
  <c r="W160" i="12"/>
  <c r="V160" i="12"/>
  <c r="T160" i="12"/>
  <c r="R160" i="12" s="1"/>
  <c r="M160" i="12"/>
  <c r="L160" i="12"/>
  <c r="K160" i="12"/>
  <c r="J160" i="12"/>
  <c r="CH159" i="12"/>
  <c r="CH144" i="12" s="1"/>
  <c r="CG159" i="12"/>
  <c r="CE159" i="12"/>
  <c r="CD159" i="12"/>
  <c r="CD144" i="12" s="1"/>
  <c r="CB159" i="12"/>
  <c r="CB144" i="12" s="1"/>
  <c r="CA159" i="12"/>
  <c r="BY159" i="12"/>
  <c r="BX159" i="12"/>
  <c r="BX144" i="12" s="1"/>
  <c r="BV159" i="12"/>
  <c r="BV144" i="12" s="1"/>
  <c r="BU159" i="12"/>
  <c r="BS159" i="12"/>
  <c r="BR159" i="12"/>
  <c r="BR144" i="12" s="1"/>
  <c r="BP159" i="12"/>
  <c r="BP144" i="12" s="1"/>
  <c r="BO159" i="12"/>
  <c r="BM159" i="12"/>
  <c r="BJ159" i="12"/>
  <c r="BJ144" i="12" s="1"/>
  <c r="BI159" i="12"/>
  <c r="BG159" i="12"/>
  <c r="BF159" i="12"/>
  <c r="BF144" i="12" s="1"/>
  <c r="BD159" i="12"/>
  <c r="BD144" i="12" s="1"/>
  <c r="BC159" i="12"/>
  <c r="BA159" i="12"/>
  <c r="AZ159" i="12"/>
  <c r="AX159" i="12"/>
  <c r="AX144" i="12" s="1"/>
  <c r="AW159" i="12"/>
  <c r="AU159" i="12"/>
  <c r="AT159" i="12"/>
  <c r="AT144" i="12" s="1"/>
  <c r="AR159" i="12"/>
  <c r="AR144" i="12" s="1"/>
  <c r="AQ159" i="12"/>
  <c r="AO159" i="12"/>
  <c r="AN159" i="12"/>
  <c r="AL159" i="12"/>
  <c r="AL144" i="12" s="1"/>
  <c r="AK159" i="12"/>
  <c r="AI159" i="12"/>
  <c r="AH159" i="12"/>
  <c r="AF159" i="12"/>
  <c r="AF144" i="12" s="1"/>
  <c r="AE159" i="12"/>
  <c r="AC159" i="12"/>
  <c r="AB159" i="12"/>
  <c r="Z159" i="12"/>
  <c r="Z144" i="12" s="1"/>
  <c r="W159" i="12"/>
  <c r="V159" i="12"/>
  <c r="T159" i="12"/>
  <c r="R159" i="12" s="1"/>
  <c r="S159" i="12"/>
  <c r="M159" i="12"/>
  <c r="L159" i="12"/>
  <c r="K159" i="12"/>
  <c r="J159" i="12"/>
  <c r="J144" i="12" s="1"/>
  <c r="BO157" i="12"/>
  <c r="BL157" i="12"/>
  <c r="AZ157" i="12"/>
  <c r="AQ157" i="12"/>
  <c r="AB157" i="12"/>
  <c r="Y157" i="12"/>
  <c r="Q157" i="12" s="1"/>
  <c r="S157" i="12"/>
  <c r="R157" i="12"/>
  <c r="BO156" i="12"/>
  <c r="BO160" i="12" s="1"/>
  <c r="BO144" i="12" s="1"/>
  <c r="BL156" i="12"/>
  <c r="AZ156" i="12"/>
  <c r="AZ160" i="12" s="1"/>
  <c r="AQ156" i="12"/>
  <c r="AB156" i="12"/>
  <c r="Y156" i="12"/>
  <c r="S156" i="12"/>
  <c r="R156" i="12"/>
  <c r="R155" i="12"/>
  <c r="Q155" i="12"/>
  <c r="R154" i="12"/>
  <c r="Q154" i="12"/>
  <c r="BO153" i="12"/>
  <c r="BL153" i="12"/>
  <c r="BL143" i="12" s="1"/>
  <c r="AZ153" i="12"/>
  <c r="Y153" i="12"/>
  <c r="S153" i="12"/>
  <c r="R153" i="12"/>
  <c r="R143" i="12" s="1"/>
  <c r="BO152" i="12"/>
  <c r="BL152" i="12"/>
  <c r="AZ152" i="12"/>
  <c r="AZ143" i="12" s="1"/>
  <c r="AQ152" i="12"/>
  <c r="AB152" i="12"/>
  <c r="AB143" i="12" s="1"/>
  <c r="Y152" i="12"/>
  <c r="S152" i="12"/>
  <c r="R152" i="12"/>
  <c r="R151" i="12"/>
  <c r="Q151" i="12"/>
  <c r="R150" i="12"/>
  <c r="Q150" i="12"/>
  <c r="CG147" i="12"/>
  <c r="CE147" i="12"/>
  <c r="CD147" i="12"/>
  <c r="CA147" i="12"/>
  <c r="BY147" i="12"/>
  <c r="BX147" i="12"/>
  <c r="BU147" i="12"/>
  <c r="BS147" i="12"/>
  <c r="BR147" i="12"/>
  <c r="BO147" i="12"/>
  <c r="BM147" i="12"/>
  <c r="BL147" i="12"/>
  <c r="BI147" i="12"/>
  <c r="BG147" i="12"/>
  <c r="BF147" i="12"/>
  <c r="BC147" i="12"/>
  <c r="BA147" i="12"/>
  <c r="AZ147" i="12"/>
  <c r="AW147" i="12"/>
  <c r="AU147" i="12"/>
  <c r="AT147" i="12"/>
  <c r="AQ147" i="12"/>
  <c r="AO147" i="12"/>
  <c r="AN147" i="12"/>
  <c r="AK147" i="12"/>
  <c r="AI147" i="12"/>
  <c r="AH147" i="12"/>
  <c r="AE147" i="12"/>
  <c r="AC147" i="12"/>
  <c r="AB147" i="12"/>
  <c r="Y147" i="12"/>
  <c r="W147" i="12"/>
  <c r="V147" i="12"/>
  <c r="S147" i="12"/>
  <c r="O147" i="12"/>
  <c r="N147" i="12"/>
  <c r="M147" i="12"/>
  <c r="L147" i="12"/>
  <c r="K147" i="12"/>
  <c r="J147" i="12"/>
  <c r="CH146" i="12"/>
  <c r="CG146" i="12"/>
  <c r="CE146" i="12"/>
  <c r="CD146" i="12"/>
  <c r="CB146" i="12"/>
  <c r="CA146" i="12"/>
  <c r="BY146" i="12"/>
  <c r="BX146" i="12"/>
  <c r="BV146" i="12"/>
  <c r="BU146" i="12"/>
  <c r="BS146" i="12"/>
  <c r="BR146" i="12"/>
  <c r="BP146" i="12"/>
  <c r="BO146" i="12"/>
  <c r="BM146" i="12"/>
  <c r="BL146" i="12"/>
  <c r="BJ146" i="12"/>
  <c r="BI146" i="12"/>
  <c r="BG146" i="12"/>
  <c r="BF146" i="12"/>
  <c r="BD146" i="12"/>
  <c r="BC146" i="12"/>
  <c r="BA146" i="12"/>
  <c r="AZ146" i="12"/>
  <c r="AX146" i="12"/>
  <c r="AW146" i="12"/>
  <c r="AU146" i="12"/>
  <c r="AT146" i="12"/>
  <c r="AR146" i="12"/>
  <c r="AQ146" i="12"/>
  <c r="AO146" i="12"/>
  <c r="AN146" i="12"/>
  <c r="AL146" i="12"/>
  <c r="AK146" i="12"/>
  <c r="AI146" i="12"/>
  <c r="AH146" i="12"/>
  <c r="AF146" i="12"/>
  <c r="AE146" i="12"/>
  <c r="AC146" i="12"/>
  <c r="AB146" i="12"/>
  <c r="Z146" i="12"/>
  <c r="Y146" i="12"/>
  <c r="W146" i="12"/>
  <c r="V146" i="12"/>
  <c r="T146" i="12"/>
  <c r="S146" i="12"/>
  <c r="Q146" i="12"/>
  <c r="O146" i="12"/>
  <c r="N146" i="12"/>
  <c r="M146" i="12"/>
  <c r="L146" i="12"/>
  <c r="K146" i="12"/>
  <c r="J146" i="12"/>
  <c r="CG144" i="12"/>
  <c r="CE144" i="12"/>
  <c r="CA144" i="12"/>
  <c r="BY144" i="12"/>
  <c r="BU144" i="12"/>
  <c r="BS144" i="12"/>
  <c r="BM144" i="12"/>
  <c r="BI144" i="12"/>
  <c r="BG144" i="12"/>
  <c r="BC144" i="12"/>
  <c r="BA144" i="12"/>
  <c r="AW144" i="12"/>
  <c r="AU144" i="12"/>
  <c r="AO144" i="12"/>
  <c r="AK144" i="12"/>
  <c r="AI144" i="12"/>
  <c r="AE144" i="12"/>
  <c r="AC144" i="12"/>
  <c r="W144" i="12"/>
  <c r="N144" i="12"/>
  <c r="M144" i="12"/>
  <c r="L144" i="12"/>
  <c r="K144" i="12"/>
  <c r="CH143" i="12"/>
  <c r="CG143" i="12"/>
  <c r="CE143" i="12"/>
  <c r="CD143" i="12"/>
  <c r="CB143" i="12"/>
  <c r="CA143" i="12"/>
  <c r="BY143" i="12"/>
  <c r="BX143" i="12"/>
  <c r="BV143" i="12"/>
  <c r="BU143" i="12"/>
  <c r="BS143" i="12"/>
  <c r="BR143" i="12"/>
  <c r="BP143" i="12"/>
  <c r="BO143" i="12"/>
  <c r="BM143" i="12"/>
  <c r="BJ143" i="12"/>
  <c r="BI143" i="12"/>
  <c r="BG143" i="12"/>
  <c r="BF143" i="12"/>
  <c r="BD143" i="12"/>
  <c r="BC143" i="12"/>
  <c r="BA143" i="12"/>
  <c r="AX143" i="12"/>
  <c r="AW143" i="12"/>
  <c r="AU143" i="12"/>
  <c r="AT143" i="12"/>
  <c r="AR143" i="12"/>
  <c r="AO143" i="12"/>
  <c r="AN143" i="12"/>
  <c r="AL143" i="12"/>
  <c r="AK143" i="12"/>
  <c r="AI143" i="12"/>
  <c r="AH143" i="12"/>
  <c r="AF143" i="12"/>
  <c r="AE143" i="12"/>
  <c r="AC143" i="12"/>
  <c r="Z143" i="12"/>
  <c r="Y143" i="12"/>
  <c r="W143" i="12"/>
  <c r="V143" i="12"/>
  <c r="T143" i="12"/>
  <c r="N143" i="12"/>
  <c r="M143" i="12"/>
  <c r="L143" i="12"/>
  <c r="K143" i="12"/>
  <c r="J143" i="12"/>
  <c r="CH137" i="12"/>
  <c r="CG137" i="12"/>
  <c r="CE137" i="12"/>
  <c r="CD137" i="12"/>
  <c r="CB137" i="12"/>
  <c r="CA137" i="12"/>
  <c r="BY137" i="12"/>
  <c r="BX137" i="12"/>
  <c r="BV137" i="12"/>
  <c r="BU137" i="12"/>
  <c r="BS137" i="12"/>
  <c r="BR137" i="12"/>
  <c r="BP137" i="12"/>
  <c r="BO137" i="12"/>
  <c r="BM137" i="12"/>
  <c r="BL137" i="12"/>
  <c r="BJ137" i="12"/>
  <c r="BI137" i="12"/>
  <c r="BG137" i="12"/>
  <c r="BF137" i="12"/>
  <c r="BD137" i="12"/>
  <c r="BC137" i="12"/>
  <c r="BA137" i="12"/>
  <c r="AZ137" i="12"/>
  <c r="AX137" i="12"/>
  <c r="AW137" i="12"/>
  <c r="AU137" i="12"/>
  <c r="AT137" i="12"/>
  <c r="AR137" i="12"/>
  <c r="AQ137" i="12"/>
  <c r="AO137" i="12"/>
  <c r="AN137" i="12"/>
  <c r="AL137" i="12"/>
  <c r="AK137" i="12"/>
  <c r="AI137" i="12"/>
  <c r="AH137" i="12"/>
  <c r="AF137" i="12"/>
  <c r="AE137" i="12"/>
  <c r="AC137" i="12"/>
  <c r="AB137" i="12"/>
  <c r="Z137" i="12"/>
  <c r="Y137" i="12"/>
  <c r="W137" i="12"/>
  <c r="V137" i="12"/>
  <c r="T137" i="12"/>
  <c r="S137" i="12"/>
  <c r="R137" i="12"/>
  <c r="Q137" i="12"/>
  <c r="CH135" i="12"/>
  <c r="CH201" i="12" s="1"/>
  <c r="CH255" i="12" s="1"/>
  <c r="CG135" i="12"/>
  <c r="CG201" i="12" s="1"/>
  <c r="CE135" i="12"/>
  <c r="CE201" i="12" s="1"/>
  <c r="CE255" i="12" s="1"/>
  <c r="CD135" i="12"/>
  <c r="CB135" i="12"/>
  <c r="CB201" i="12" s="1"/>
  <c r="CB255" i="12" s="1"/>
  <c r="CA135" i="12"/>
  <c r="CA201" i="12" s="1"/>
  <c r="BY135" i="12"/>
  <c r="BY201" i="12" s="1"/>
  <c r="BY255" i="12" s="1"/>
  <c r="BX135" i="12"/>
  <c r="BV135" i="12"/>
  <c r="BV201" i="12" s="1"/>
  <c r="BV255" i="12" s="1"/>
  <c r="BU135" i="12"/>
  <c r="BU201" i="12" s="1"/>
  <c r="BS135" i="12"/>
  <c r="BS201" i="12" s="1"/>
  <c r="BS255" i="12" s="1"/>
  <c r="BR135" i="12"/>
  <c r="BP135" i="12"/>
  <c r="BP201" i="12" s="1"/>
  <c r="BP255" i="12" s="1"/>
  <c r="BO135" i="12"/>
  <c r="BO201" i="12" s="1"/>
  <c r="BM135" i="12"/>
  <c r="BM201" i="12" s="1"/>
  <c r="BM255" i="12" s="1"/>
  <c r="BL135" i="12"/>
  <c r="BJ135" i="12"/>
  <c r="BJ201" i="12" s="1"/>
  <c r="BJ255" i="12" s="1"/>
  <c r="BI135" i="12"/>
  <c r="BI201" i="12" s="1"/>
  <c r="BG135" i="12"/>
  <c r="BG201" i="12" s="1"/>
  <c r="BG255" i="12" s="1"/>
  <c r="BF135" i="12"/>
  <c r="BD135" i="12"/>
  <c r="BD201" i="12" s="1"/>
  <c r="BD255" i="12" s="1"/>
  <c r="BC135" i="12"/>
  <c r="BC201" i="12" s="1"/>
  <c r="BA135" i="12"/>
  <c r="BA201" i="12" s="1"/>
  <c r="BA255" i="12" s="1"/>
  <c r="AZ135" i="12"/>
  <c r="AX135" i="12"/>
  <c r="AX201" i="12" s="1"/>
  <c r="AX255" i="12" s="1"/>
  <c r="AW135" i="12"/>
  <c r="AW201" i="12" s="1"/>
  <c r="AW255" i="12" s="1"/>
  <c r="AU135" i="12"/>
  <c r="AU201" i="12" s="1"/>
  <c r="AU255" i="12" s="1"/>
  <c r="AT135" i="12"/>
  <c r="AR135" i="12"/>
  <c r="AR201" i="12" s="1"/>
  <c r="AR255" i="12" s="1"/>
  <c r="AQ135" i="12"/>
  <c r="AQ201" i="12" s="1"/>
  <c r="AO135" i="12"/>
  <c r="AO201" i="12" s="1"/>
  <c r="AO255" i="12" s="1"/>
  <c r="AN135" i="12"/>
  <c r="AL135" i="12"/>
  <c r="AL201" i="12" s="1"/>
  <c r="AL255" i="12" s="1"/>
  <c r="AK135" i="12"/>
  <c r="AK201" i="12" s="1"/>
  <c r="AI135" i="12"/>
  <c r="AI201" i="12" s="1"/>
  <c r="AI255" i="12" s="1"/>
  <c r="AH135" i="12"/>
  <c r="AF135" i="12"/>
  <c r="AF201" i="12" s="1"/>
  <c r="AF255" i="12" s="1"/>
  <c r="AE135" i="12"/>
  <c r="AE201" i="12" s="1"/>
  <c r="AC135" i="12"/>
  <c r="AC201" i="12" s="1"/>
  <c r="AC255" i="12" s="1"/>
  <c r="AB135" i="12"/>
  <c r="Z135" i="12"/>
  <c r="Z201" i="12" s="1"/>
  <c r="Z255" i="12" s="1"/>
  <c r="Y135" i="12"/>
  <c r="Y201" i="12" s="1"/>
  <c r="Y255" i="12" s="1"/>
  <c r="W135" i="12"/>
  <c r="W201" i="12" s="1"/>
  <c r="W255" i="12" s="1"/>
  <c r="V135" i="12"/>
  <c r="T135" i="12"/>
  <c r="T201" i="12" s="1"/>
  <c r="T255" i="12" s="1"/>
  <c r="S135" i="12"/>
  <c r="S201" i="12" s="1"/>
  <c r="L135" i="12"/>
  <c r="L201" i="12" s="1"/>
  <c r="L255" i="12" s="1"/>
  <c r="L246" i="12" s="1"/>
  <c r="K135" i="12"/>
  <c r="K201" i="12" s="1"/>
  <c r="J135" i="12"/>
  <c r="J201" i="12" s="1"/>
  <c r="R134" i="12"/>
  <c r="Q134" i="12"/>
  <c r="CH133" i="12"/>
  <c r="CH128" i="12" s="1"/>
  <c r="CG133" i="12"/>
  <c r="CE133" i="12"/>
  <c r="CD133" i="12"/>
  <c r="CB133" i="12"/>
  <c r="CB128" i="12" s="1"/>
  <c r="CA133" i="12"/>
  <c r="BY133" i="12"/>
  <c r="BX133" i="12"/>
  <c r="BV133" i="12"/>
  <c r="BV128" i="12" s="1"/>
  <c r="BU133" i="12"/>
  <c r="BS133" i="12"/>
  <c r="BR133" i="12"/>
  <c r="BP133" i="12"/>
  <c r="BP128" i="12" s="1"/>
  <c r="BM133" i="12"/>
  <c r="BM128" i="12" s="1"/>
  <c r="BJ133" i="12"/>
  <c r="BJ128" i="12" s="1"/>
  <c r="BI133" i="12"/>
  <c r="BG133" i="12"/>
  <c r="BG128" i="12" s="1"/>
  <c r="BF133" i="12"/>
  <c r="BD133" i="12"/>
  <c r="BD128" i="12" s="1"/>
  <c r="BC133" i="12"/>
  <c r="BA133" i="12"/>
  <c r="BA128" i="12" s="1"/>
  <c r="AX133" i="12"/>
  <c r="AX128" i="12" s="1"/>
  <c r="AW133" i="12"/>
  <c r="AU133" i="12"/>
  <c r="AT133" i="12"/>
  <c r="AR133" i="12"/>
  <c r="AR128" i="12" s="1"/>
  <c r="AO133" i="12"/>
  <c r="AN133" i="12"/>
  <c r="AL133" i="12"/>
  <c r="AL128" i="12" s="1"/>
  <c r="AK133" i="12"/>
  <c r="AI133" i="12"/>
  <c r="AH133" i="12"/>
  <c r="AF133" i="12"/>
  <c r="AF128" i="12" s="1"/>
  <c r="AE133" i="12"/>
  <c r="AC133" i="12"/>
  <c r="AB133" i="12"/>
  <c r="Z133" i="12"/>
  <c r="Z128" i="12" s="1"/>
  <c r="W133" i="12"/>
  <c r="W128" i="12" s="1"/>
  <c r="V133" i="12"/>
  <c r="T133" i="12"/>
  <c r="T128" i="12" s="1"/>
  <c r="R133" i="12"/>
  <c r="R128" i="12" s="1"/>
  <c r="M133" i="12"/>
  <c r="M128" i="12" s="1"/>
  <c r="L133" i="12"/>
  <c r="K133" i="12"/>
  <c r="J133" i="12"/>
  <c r="CH132" i="12"/>
  <c r="CH127" i="12" s="1"/>
  <c r="CG132" i="12"/>
  <c r="CE132" i="12"/>
  <c r="CE127" i="12" s="1"/>
  <c r="CD132" i="12"/>
  <c r="CB132" i="12"/>
  <c r="CB127" i="12" s="1"/>
  <c r="CA132" i="12"/>
  <c r="BY132" i="12"/>
  <c r="BY127" i="12" s="1"/>
  <c r="BX132" i="12"/>
  <c r="BV132" i="12"/>
  <c r="BV127" i="12" s="1"/>
  <c r="BU132" i="12"/>
  <c r="BS132" i="12"/>
  <c r="BS127" i="12" s="1"/>
  <c r="BR132" i="12"/>
  <c r="BP132" i="12"/>
  <c r="BP127" i="12" s="1"/>
  <c r="BO132" i="12"/>
  <c r="BM132" i="12"/>
  <c r="BL132" i="12"/>
  <c r="BJ132" i="12"/>
  <c r="BJ127" i="12" s="1"/>
  <c r="BI132" i="12"/>
  <c r="BG132" i="12"/>
  <c r="BF132" i="12"/>
  <c r="BD132" i="12"/>
  <c r="BD127" i="12" s="1"/>
  <c r="BC132" i="12"/>
  <c r="BA132" i="12"/>
  <c r="AZ132" i="12"/>
  <c r="AX132" i="12"/>
  <c r="AX127" i="12" s="1"/>
  <c r="AW132" i="12"/>
  <c r="AU132" i="12"/>
  <c r="AU127" i="12" s="1"/>
  <c r="AT132" i="12"/>
  <c r="AR132" i="12"/>
  <c r="AR127" i="12" s="1"/>
  <c r="AQ132" i="12"/>
  <c r="AO132" i="12"/>
  <c r="AO127" i="12" s="1"/>
  <c r="AN132" i="12"/>
  <c r="AL132" i="12"/>
  <c r="AL127" i="12" s="1"/>
  <c r="AK132" i="12"/>
  <c r="AI132" i="12"/>
  <c r="AI127" i="12" s="1"/>
  <c r="AH132" i="12"/>
  <c r="AF132" i="12"/>
  <c r="AF127" i="12" s="1"/>
  <c r="AE132" i="12"/>
  <c r="AC132" i="12"/>
  <c r="AC127" i="12" s="1"/>
  <c r="AB132" i="12"/>
  <c r="Z132" i="12"/>
  <c r="Z127" i="12" s="1"/>
  <c r="Y132" i="12"/>
  <c r="W132" i="12"/>
  <c r="V132" i="12"/>
  <c r="T132" i="12"/>
  <c r="T127" i="12" s="1"/>
  <c r="S132" i="12"/>
  <c r="R132" i="12"/>
  <c r="Q132" i="12"/>
  <c r="M132" i="12"/>
  <c r="M127" i="12" s="1"/>
  <c r="L132" i="12"/>
  <c r="K132" i="12"/>
  <c r="K127" i="12" s="1"/>
  <c r="J132" i="12"/>
  <c r="AZ131" i="12"/>
  <c r="R131" i="12"/>
  <c r="Q131" i="12"/>
  <c r="R130" i="12"/>
  <c r="Q130" i="12"/>
  <c r="CG129" i="12"/>
  <c r="CE129" i="12"/>
  <c r="CA129" i="12"/>
  <c r="BY129" i="12"/>
  <c r="BU129" i="12"/>
  <c r="BS129" i="12"/>
  <c r="BO129" i="12"/>
  <c r="BM129" i="12"/>
  <c r="BI129" i="12"/>
  <c r="BG129" i="12"/>
  <c r="BC129" i="12"/>
  <c r="BA129" i="12"/>
  <c r="AW129" i="12"/>
  <c r="AU129" i="12"/>
  <c r="AQ129" i="12"/>
  <c r="AO129" i="12"/>
  <c r="AK129" i="12"/>
  <c r="AI129" i="12"/>
  <c r="AE129" i="12"/>
  <c r="AC129" i="12"/>
  <c r="Y129" i="12"/>
  <c r="W129" i="12"/>
  <c r="S129" i="12"/>
  <c r="M129" i="12"/>
  <c r="L129" i="12"/>
  <c r="K129" i="12"/>
  <c r="J129" i="12"/>
  <c r="CG128" i="12"/>
  <c r="CD128" i="12"/>
  <c r="CA128" i="12"/>
  <c r="BX128" i="12"/>
  <c r="BU128" i="12"/>
  <c r="BR128" i="12"/>
  <c r="BI128" i="12"/>
  <c r="BF128" i="12"/>
  <c r="BC128" i="12"/>
  <c r="AW128" i="12"/>
  <c r="AT128" i="12"/>
  <c r="AQ128" i="12"/>
  <c r="AN128" i="12"/>
  <c r="AK128" i="12"/>
  <c r="AH128" i="12"/>
  <c r="AE128" i="12"/>
  <c r="AB128" i="12"/>
  <c r="V128" i="12"/>
  <c r="L128" i="12"/>
  <c r="J128" i="12"/>
  <c r="CG127" i="12"/>
  <c r="CA127" i="12"/>
  <c r="BU127" i="12"/>
  <c r="BI127" i="12"/>
  <c r="BC127" i="12"/>
  <c r="AW127" i="12"/>
  <c r="AQ127" i="12"/>
  <c r="AK127" i="12"/>
  <c r="AE127" i="12"/>
  <c r="L127" i="12"/>
  <c r="J127" i="12"/>
  <c r="I127" i="12"/>
  <c r="M126" i="12"/>
  <c r="M124" i="12" s="1"/>
  <c r="M123" i="12"/>
  <c r="M121" i="12" s="1"/>
  <c r="L122" i="12"/>
  <c r="K122" i="12"/>
  <c r="M118" i="12"/>
  <c r="R117" i="12"/>
  <c r="Q117" i="12"/>
  <c r="Q111" i="12" s="1"/>
  <c r="R116" i="12"/>
  <c r="Q116" i="12"/>
  <c r="BO115" i="12"/>
  <c r="BO133" i="12" s="1"/>
  <c r="BO128" i="12" s="1"/>
  <c r="BL115" i="12"/>
  <c r="AZ115" i="12"/>
  <c r="AZ133" i="12" s="1"/>
  <c r="AQ115" i="12"/>
  <c r="AQ133" i="12" s="1"/>
  <c r="AB115" i="12"/>
  <c r="Y115" i="12"/>
  <c r="S115" i="12"/>
  <c r="S133" i="12" s="1"/>
  <c r="S127" i="12" s="1"/>
  <c r="R115" i="12"/>
  <c r="R114" i="12"/>
  <c r="Q114" i="12"/>
  <c r="AZ113" i="12"/>
  <c r="Q113" i="12" s="1"/>
  <c r="R113" i="12"/>
  <c r="R112" i="12"/>
  <c r="Q112" i="12"/>
  <c r="CH111" i="12"/>
  <c r="CG111" i="12"/>
  <c r="CE111" i="12"/>
  <c r="CD111" i="12"/>
  <c r="CB111" i="12"/>
  <c r="CA111" i="12"/>
  <c r="BY111" i="12"/>
  <c r="BX111" i="12"/>
  <c r="BV111" i="12"/>
  <c r="BU111" i="12"/>
  <c r="BS111" i="12"/>
  <c r="BR111" i="12"/>
  <c r="BP111" i="12"/>
  <c r="BO111" i="12"/>
  <c r="BM111" i="12"/>
  <c r="BL111" i="12"/>
  <c r="BJ111" i="12"/>
  <c r="BI111" i="12"/>
  <c r="BG111" i="12"/>
  <c r="BF111" i="12"/>
  <c r="BD111" i="12"/>
  <c r="BC111" i="12"/>
  <c r="BA111" i="12"/>
  <c r="AZ111" i="12"/>
  <c r="AX111" i="12"/>
  <c r="AW111" i="12"/>
  <c r="AU111" i="12"/>
  <c r="AT111" i="12"/>
  <c r="AR111" i="12"/>
  <c r="AQ111" i="12"/>
  <c r="AO111" i="12"/>
  <c r="AN111" i="12"/>
  <c r="AL111" i="12"/>
  <c r="AK111" i="12"/>
  <c r="AI111" i="12"/>
  <c r="AH111" i="12"/>
  <c r="AF111" i="12"/>
  <c r="AE111" i="12"/>
  <c r="AC111" i="12"/>
  <c r="AB111" i="12"/>
  <c r="Z111" i="12"/>
  <c r="Y111" i="12"/>
  <c r="W111" i="12"/>
  <c r="V111" i="12"/>
  <c r="T111" i="12"/>
  <c r="S111" i="12"/>
  <c r="R111" i="12"/>
  <c r="M111" i="12"/>
  <c r="L111" i="12"/>
  <c r="K111" i="12"/>
  <c r="J111" i="12"/>
  <c r="CH110" i="12"/>
  <c r="CG110" i="12"/>
  <c r="CE110" i="12"/>
  <c r="CD110" i="12"/>
  <c r="CB110" i="12"/>
  <c r="CA110" i="12"/>
  <c r="BY110" i="12"/>
  <c r="BX110" i="12"/>
  <c r="BV110" i="12"/>
  <c r="BU110" i="12"/>
  <c r="BS110" i="12"/>
  <c r="BR110" i="12"/>
  <c r="BP110" i="12"/>
  <c r="BO110" i="12"/>
  <c r="BM110" i="12"/>
  <c r="BJ110" i="12"/>
  <c r="BI110" i="12"/>
  <c r="BG110" i="12"/>
  <c r="BF110" i="12"/>
  <c r="BD110" i="12"/>
  <c r="BC110" i="12"/>
  <c r="BA110" i="12"/>
  <c r="AZ110" i="12"/>
  <c r="AX110" i="12"/>
  <c r="AW110" i="12"/>
  <c r="AU110" i="12"/>
  <c r="AT110" i="12"/>
  <c r="AR110" i="12"/>
  <c r="AQ110" i="12"/>
  <c r="AO110" i="12"/>
  <c r="AN110" i="12"/>
  <c r="AL110" i="12"/>
  <c r="AK110" i="12"/>
  <c r="AI110" i="12"/>
  <c r="AH110" i="12"/>
  <c r="AF110" i="12"/>
  <c r="AE110" i="12"/>
  <c r="AC110" i="12"/>
  <c r="AB110" i="12"/>
  <c r="Z110" i="12"/>
  <c r="W110" i="12"/>
  <c r="V110" i="12"/>
  <c r="T110" i="12"/>
  <c r="S110" i="12"/>
  <c r="R110" i="12"/>
  <c r="M110" i="12"/>
  <c r="L110" i="12"/>
  <c r="K110" i="12"/>
  <c r="J110" i="12"/>
  <c r="CH109" i="12"/>
  <c r="CG109" i="12"/>
  <c r="CE109" i="12"/>
  <c r="CD109" i="12"/>
  <c r="CB109" i="12"/>
  <c r="CA109" i="12"/>
  <c r="BY109" i="12"/>
  <c r="BX109" i="12"/>
  <c r="BV109" i="12"/>
  <c r="BU109" i="12"/>
  <c r="BS109" i="12"/>
  <c r="BR109" i="12"/>
  <c r="BP109" i="12"/>
  <c r="BO109" i="12"/>
  <c r="BM109" i="12"/>
  <c r="BJ109" i="12"/>
  <c r="BI109" i="12"/>
  <c r="BG109" i="12"/>
  <c r="BF109" i="12"/>
  <c r="BD109" i="12"/>
  <c r="BC109" i="12"/>
  <c r="BA109" i="12"/>
  <c r="AZ109" i="12"/>
  <c r="AX109" i="12"/>
  <c r="AW109" i="12"/>
  <c r="AU109" i="12"/>
  <c r="AT109" i="12"/>
  <c r="AR109" i="12"/>
  <c r="AQ109" i="12"/>
  <c r="AO109" i="12"/>
  <c r="AN109" i="12"/>
  <c r="AL109" i="12"/>
  <c r="AK109" i="12"/>
  <c r="AI109" i="12"/>
  <c r="AH109" i="12"/>
  <c r="AF109" i="12"/>
  <c r="AE109" i="12"/>
  <c r="AC109" i="12"/>
  <c r="AB109" i="12"/>
  <c r="Z109" i="12"/>
  <c r="W109" i="12"/>
  <c r="V109" i="12"/>
  <c r="T109" i="12"/>
  <c r="S109" i="12"/>
  <c r="R109" i="12"/>
  <c r="M109" i="12"/>
  <c r="L109" i="12"/>
  <c r="K109" i="12"/>
  <c r="J109" i="12"/>
  <c r="I109" i="12"/>
  <c r="M94" i="12"/>
  <c r="L94" i="12"/>
  <c r="K94" i="12"/>
  <c r="K92" i="12" s="1"/>
  <c r="J94" i="12"/>
  <c r="I94" i="12"/>
  <c r="H94" i="12"/>
  <c r="L87" i="12" s="1"/>
  <c r="G94" i="12"/>
  <c r="G90" i="12" s="1"/>
  <c r="F94" i="12"/>
  <c r="M93" i="12"/>
  <c r="L93" i="12"/>
  <c r="K93" i="12"/>
  <c r="J93" i="12"/>
  <c r="G93" i="12"/>
  <c r="M92" i="12"/>
  <c r="J92" i="12"/>
  <c r="H92" i="12"/>
  <c r="G91" i="12"/>
  <c r="F91" i="12"/>
  <c r="K90" i="12"/>
  <c r="F90" i="12"/>
  <c r="M89" i="12"/>
  <c r="F89" i="12"/>
  <c r="H88" i="12"/>
  <c r="G88" i="12"/>
  <c r="F88" i="12"/>
  <c r="F87" i="12"/>
  <c r="G86" i="12"/>
  <c r="F86" i="12"/>
  <c r="F85" i="12"/>
  <c r="F84" i="12"/>
  <c r="M83" i="12"/>
  <c r="J83" i="12"/>
  <c r="M80" i="12"/>
  <c r="M78" i="12" s="1"/>
  <c r="M77" i="12"/>
  <c r="M75" i="12" s="1"/>
  <c r="O63" i="12"/>
  <c r="N63" i="12"/>
  <c r="M63" i="12"/>
  <c r="L63" i="12"/>
  <c r="K63" i="12"/>
  <c r="J63" i="12"/>
  <c r="O51" i="12"/>
  <c r="O40" i="12" s="1"/>
  <c r="N51" i="12"/>
  <c r="M51" i="12"/>
  <c r="L51" i="12"/>
  <c r="K51" i="12"/>
  <c r="K40" i="12" s="1"/>
  <c r="J51" i="12"/>
  <c r="O50" i="12"/>
  <c r="N50" i="12"/>
  <c r="M50" i="12"/>
  <c r="L50" i="12"/>
  <c r="K50" i="12"/>
  <c r="J50" i="12"/>
  <c r="O49" i="12"/>
  <c r="N49" i="12"/>
  <c r="M49" i="12"/>
  <c r="L49" i="12"/>
  <c r="K49" i="12"/>
  <c r="J49" i="12"/>
  <c r="O47" i="12"/>
  <c r="N47" i="12"/>
  <c r="M47" i="12"/>
  <c r="L47" i="12"/>
  <c r="K47" i="12"/>
  <c r="J47" i="12"/>
  <c r="O46" i="12"/>
  <c r="N46" i="12"/>
  <c r="M46" i="12"/>
  <c r="L46" i="12"/>
  <c r="K46" i="12"/>
  <c r="J46" i="12"/>
  <c r="O44" i="12"/>
  <c r="N44" i="12"/>
  <c r="M44" i="12"/>
  <c r="L44" i="12"/>
  <c r="K44" i="12"/>
  <c r="J44" i="12"/>
  <c r="O43" i="12"/>
  <c r="N43" i="12"/>
  <c r="M43" i="12"/>
  <c r="L43" i="12"/>
  <c r="K43" i="12"/>
  <c r="J43" i="12"/>
  <c r="O42" i="12"/>
  <c r="N42" i="12"/>
  <c r="M42" i="12"/>
  <c r="L42" i="12"/>
  <c r="K42" i="12"/>
  <c r="J42" i="12"/>
  <c r="O41" i="12"/>
  <c r="N41" i="12"/>
  <c r="M41" i="12"/>
  <c r="L41" i="12"/>
  <c r="K41" i="12"/>
  <c r="J41" i="12"/>
  <c r="N40" i="12"/>
  <c r="M40" i="12"/>
  <c r="L40" i="12"/>
  <c r="J40" i="12"/>
  <c r="R39" i="12"/>
  <c r="Q39" i="12"/>
  <c r="M39" i="12"/>
  <c r="L39" i="12"/>
  <c r="K39" i="12"/>
  <c r="J39" i="12"/>
  <c r="R38" i="12"/>
  <c r="Q38" i="12"/>
  <c r="L38" i="12"/>
  <c r="K38" i="12"/>
  <c r="J38" i="12"/>
  <c r="R36" i="12"/>
  <c r="Q36" i="12"/>
  <c r="M36" i="12"/>
  <c r="L36" i="12"/>
  <c r="K36" i="12"/>
  <c r="J36" i="12"/>
  <c r="J25" i="12" s="1"/>
  <c r="R35" i="12"/>
  <c r="Q35" i="12"/>
  <c r="M35" i="12"/>
  <c r="L35" i="12"/>
  <c r="K35" i="12"/>
  <c r="J35" i="12"/>
  <c r="R33" i="12"/>
  <c r="Q33" i="12"/>
  <c r="M33" i="12"/>
  <c r="L33" i="12"/>
  <c r="K33" i="12"/>
  <c r="J33" i="12"/>
  <c r="J22" i="12" s="1"/>
  <c r="R32" i="12"/>
  <c r="Q32" i="12"/>
  <c r="M32" i="12"/>
  <c r="L32" i="12"/>
  <c r="K32" i="12"/>
  <c r="J32" i="12"/>
  <c r="R31" i="12"/>
  <c r="R29" i="12" s="1"/>
  <c r="Q31" i="12"/>
  <c r="Q29" i="12" s="1"/>
  <c r="M31" i="12"/>
  <c r="L31" i="12"/>
  <c r="K31" i="12"/>
  <c r="J31" i="12"/>
  <c r="R30" i="12"/>
  <c r="Q30" i="12"/>
  <c r="M30" i="12"/>
  <c r="L30" i="12"/>
  <c r="L29" i="12" s="1"/>
  <c r="K30" i="12"/>
  <c r="J30" i="12"/>
  <c r="J29" i="12" s="1"/>
  <c r="CH29" i="12"/>
  <c r="CG29" i="12"/>
  <c r="CE29" i="12"/>
  <c r="CD29" i="12"/>
  <c r="CB29" i="12"/>
  <c r="CA29" i="12"/>
  <c r="BY29" i="12"/>
  <c r="BX29" i="12"/>
  <c r="BV29" i="12"/>
  <c r="BU29" i="12"/>
  <c r="BS29" i="12"/>
  <c r="BR29" i="12"/>
  <c r="BP29" i="12"/>
  <c r="BO29" i="12"/>
  <c r="BM29" i="12"/>
  <c r="BL29" i="12"/>
  <c r="BJ29" i="12"/>
  <c r="BI29" i="12"/>
  <c r="BG29" i="12"/>
  <c r="BF29" i="12"/>
  <c r="BD29" i="12"/>
  <c r="BC29" i="12"/>
  <c r="BA29" i="12"/>
  <c r="AZ29" i="12"/>
  <c r="AX29" i="12"/>
  <c r="AW29" i="12"/>
  <c r="AU29" i="12"/>
  <c r="AT29" i="12"/>
  <c r="AR29" i="12"/>
  <c r="AQ29" i="12"/>
  <c r="AO29" i="12"/>
  <c r="AN29" i="12"/>
  <c r="AL29" i="12"/>
  <c r="AK29" i="12"/>
  <c r="AI29" i="12"/>
  <c r="AH29" i="12"/>
  <c r="AF29" i="12"/>
  <c r="AE29" i="12"/>
  <c r="AC29" i="12"/>
  <c r="AB29" i="12"/>
  <c r="Z29" i="12"/>
  <c r="Y29" i="12"/>
  <c r="W29" i="12"/>
  <c r="V29" i="12"/>
  <c r="T29" i="12"/>
  <c r="S29" i="12"/>
  <c r="K29" i="12"/>
  <c r="K80" i="12" s="1"/>
  <c r="K78" i="12" s="1"/>
  <c r="I29" i="12"/>
  <c r="I27" i="12" s="1"/>
  <c r="CB28" i="12"/>
  <c r="BU28" i="12"/>
  <c r="BL28" i="12"/>
  <c r="BD28" i="12"/>
  <c r="AW28" i="12"/>
  <c r="AN28" i="12"/>
  <c r="AF28" i="12"/>
  <c r="Y28" i="12"/>
  <c r="Q28" i="12"/>
  <c r="I28" i="12"/>
  <c r="CD27" i="12"/>
  <c r="BU27" i="12"/>
  <c r="BM27" i="12"/>
  <c r="BF27" i="12"/>
  <c r="AW27" i="12"/>
  <c r="AO27" i="12"/>
  <c r="AH27" i="12"/>
  <c r="Y27" i="12"/>
  <c r="R27" i="12"/>
  <c r="J27" i="12"/>
  <c r="CD26" i="12"/>
  <c r="BV26" i="12"/>
  <c r="BO26" i="12"/>
  <c r="BF26" i="12"/>
  <c r="AX26" i="12"/>
  <c r="AQ26" i="12"/>
  <c r="AH26" i="12"/>
  <c r="Z26" i="12"/>
  <c r="S26" i="12"/>
  <c r="CE25" i="12"/>
  <c r="BX25" i="12"/>
  <c r="BP25" i="12"/>
  <c r="BG25" i="12"/>
  <c r="AZ25" i="12"/>
  <c r="AR25" i="12"/>
  <c r="AI25" i="12"/>
  <c r="AB25" i="12"/>
  <c r="T25" i="12"/>
  <c r="K25" i="12"/>
  <c r="I25" i="12"/>
  <c r="CG24" i="12"/>
  <c r="BY24" i="12"/>
  <c r="BP24" i="12"/>
  <c r="BI24" i="12"/>
  <c r="BA24" i="12"/>
  <c r="AR24" i="12"/>
  <c r="AK24" i="12"/>
  <c r="AC24" i="12"/>
  <c r="T24" i="12"/>
  <c r="I24" i="12"/>
  <c r="CH23" i="12"/>
  <c r="BY23" i="12"/>
  <c r="BR23" i="12"/>
  <c r="BJ23" i="12"/>
  <c r="BA23" i="12"/>
  <c r="AT23" i="12"/>
  <c r="AL23" i="12"/>
  <c r="AC23" i="12"/>
  <c r="V23" i="12"/>
  <c r="H23" i="12"/>
  <c r="CA22" i="12"/>
  <c r="BS22" i="12"/>
  <c r="BL22" i="12"/>
  <c r="BC22" i="12"/>
  <c r="AU22" i="12"/>
  <c r="AN22" i="12"/>
  <c r="AE22" i="12"/>
  <c r="W22" i="12"/>
  <c r="Q22" i="12"/>
  <c r="H22" i="12"/>
  <c r="CB21" i="12"/>
  <c r="BU21" i="12"/>
  <c r="BL21" i="12"/>
  <c r="BD21" i="12"/>
  <c r="AW21" i="12"/>
  <c r="AN21" i="12"/>
  <c r="AF21" i="12"/>
  <c r="Y21" i="12"/>
  <c r="Q21" i="12"/>
  <c r="I21" i="12"/>
  <c r="CD20" i="12"/>
  <c r="BU20" i="12"/>
  <c r="BM20" i="12"/>
  <c r="BF20" i="12"/>
  <c r="AW20" i="12"/>
  <c r="AO20" i="12"/>
  <c r="AH20" i="12"/>
  <c r="Y20" i="12"/>
  <c r="R20" i="12"/>
  <c r="J20" i="12"/>
  <c r="CD19" i="12"/>
  <c r="BV19" i="12"/>
  <c r="BO19" i="12"/>
  <c r="BF19" i="12"/>
  <c r="AX19" i="12"/>
  <c r="AQ19" i="12"/>
  <c r="AH19" i="12"/>
  <c r="Z19" i="12"/>
  <c r="S19" i="12"/>
  <c r="J19" i="12"/>
  <c r="I19" i="12"/>
  <c r="R17" i="12"/>
  <c r="Q17" i="12"/>
  <c r="R16" i="12"/>
  <c r="Q16" i="12"/>
  <c r="CH15" i="12"/>
  <c r="CG15" i="12"/>
  <c r="CG10" i="12" s="1"/>
  <c r="CE15" i="12"/>
  <c r="CD15" i="12"/>
  <c r="CD10" i="12" s="1"/>
  <c r="CB15" i="12"/>
  <c r="CA15" i="12"/>
  <c r="BY15" i="12"/>
  <c r="BX15" i="12"/>
  <c r="BX10" i="12" s="1"/>
  <c r="BV15" i="12"/>
  <c r="BU15" i="12"/>
  <c r="BU10" i="12" s="1"/>
  <c r="BS15" i="12"/>
  <c r="BR15" i="12"/>
  <c r="BR10" i="12" s="1"/>
  <c r="BP15" i="12"/>
  <c r="BO15" i="12"/>
  <c r="BO10" i="12" s="1"/>
  <c r="BM15" i="12"/>
  <c r="BM10" i="12" s="1"/>
  <c r="BL15" i="12"/>
  <c r="BL10" i="12" s="1"/>
  <c r="BJ15" i="12"/>
  <c r="BI15" i="12"/>
  <c r="BI10" i="12" s="1"/>
  <c r="BG15" i="12"/>
  <c r="BF15" i="12"/>
  <c r="BF10" i="12" s="1"/>
  <c r="BD15" i="12"/>
  <c r="BC15" i="12"/>
  <c r="BA15" i="12"/>
  <c r="AZ15" i="12"/>
  <c r="AZ10" i="12" s="1"/>
  <c r="AX15" i="12"/>
  <c r="AW15" i="12"/>
  <c r="AW10" i="12" s="1"/>
  <c r="AU15" i="12"/>
  <c r="AT15" i="12"/>
  <c r="AT10" i="12" s="1"/>
  <c r="AR15" i="12"/>
  <c r="AQ15" i="12"/>
  <c r="AQ10" i="12" s="1"/>
  <c r="AO15" i="12"/>
  <c r="AO10" i="12" s="1"/>
  <c r="AN15" i="12"/>
  <c r="AL15" i="12"/>
  <c r="AK15" i="12"/>
  <c r="AK10" i="12" s="1"/>
  <c r="AI15" i="12"/>
  <c r="AI10" i="12" s="1"/>
  <c r="AH15" i="12"/>
  <c r="AF15" i="12"/>
  <c r="AE15" i="12"/>
  <c r="AE10" i="12" s="1"/>
  <c r="AC15" i="12"/>
  <c r="AC10" i="12" s="1"/>
  <c r="AB15" i="12"/>
  <c r="Z15" i="12"/>
  <c r="Y15" i="12"/>
  <c r="Y10" i="12" s="1"/>
  <c r="W15" i="12"/>
  <c r="W10" i="12" s="1"/>
  <c r="V15" i="12"/>
  <c r="T15" i="12"/>
  <c r="S15" i="12"/>
  <c r="S10" i="12" s="1"/>
  <c r="R15" i="12"/>
  <c r="Q15" i="12"/>
  <c r="L15" i="12"/>
  <c r="K15" i="12"/>
  <c r="J15" i="12"/>
  <c r="R14" i="12"/>
  <c r="Q14" i="12"/>
  <c r="R13" i="12"/>
  <c r="Q13" i="12"/>
  <c r="I13" i="12"/>
  <c r="H13" i="12"/>
  <c r="R12" i="12"/>
  <c r="Q12" i="12"/>
  <c r="I12" i="12"/>
  <c r="H12" i="12"/>
  <c r="R11" i="12"/>
  <c r="R10" i="12" s="1"/>
  <c r="Q11" i="12"/>
  <c r="I11" i="12"/>
  <c r="I10" i="12" s="1"/>
  <c r="H11" i="12"/>
  <c r="CH10" i="12"/>
  <c r="CE10" i="12"/>
  <c r="CB10" i="12"/>
  <c r="CA10" i="12"/>
  <c r="BY10" i="12"/>
  <c r="BV10" i="12"/>
  <c r="BS10" i="12"/>
  <c r="BP10" i="12"/>
  <c r="BJ10" i="12"/>
  <c r="BG10" i="12"/>
  <c r="BD10" i="12"/>
  <c r="BC10" i="12"/>
  <c r="BA10" i="12"/>
  <c r="AX10" i="12"/>
  <c r="AU10" i="12"/>
  <c r="AR10" i="12"/>
  <c r="AN10" i="12"/>
  <c r="AL10" i="12"/>
  <c r="AH10" i="12"/>
  <c r="AF10" i="12"/>
  <c r="AB10" i="12"/>
  <c r="Z10" i="12"/>
  <c r="V10" i="12"/>
  <c r="T10" i="12"/>
  <c r="Q10" i="12"/>
  <c r="J10" i="12"/>
  <c r="H10" i="12"/>
  <c r="G10" i="12"/>
  <c r="F10" i="12"/>
  <c r="E10" i="12"/>
  <c r="M1533" i="10"/>
  <c r="M1532" i="10"/>
  <c r="M1531" i="10"/>
  <c r="M1530" i="10"/>
  <c r="M1523" i="10"/>
  <c r="M1522" i="10"/>
  <c r="M1521" i="10"/>
  <c r="M1520" i="10"/>
  <c r="M1519" i="10"/>
  <c r="M1518" i="10"/>
  <c r="M1516" i="10"/>
  <c r="M1515" i="10"/>
  <c r="M1514" i="10"/>
  <c r="M1513" i="10"/>
  <c r="M1512" i="10"/>
  <c r="M1511" i="10"/>
  <c r="M1508" i="10"/>
  <c r="M1507" i="10"/>
  <c r="M1506" i="10"/>
  <c r="M1505" i="10"/>
  <c r="M1504" i="10"/>
  <c r="M1503" i="10"/>
  <c r="M1500" i="10"/>
  <c r="M1499" i="10"/>
  <c r="M1498" i="10"/>
  <c r="M1497" i="10"/>
  <c r="M1496" i="10"/>
  <c r="M1476" i="10"/>
  <c r="M1475" i="10"/>
  <c r="M1473" i="10"/>
  <c r="M1472" i="10"/>
  <c r="M1469" i="10"/>
  <c r="M1468" i="10"/>
  <c r="M1466" i="10"/>
  <c r="M1465" i="10"/>
  <c r="M1458" i="10"/>
  <c r="M1457" i="10"/>
  <c r="M1455" i="10"/>
  <c r="M1454" i="10"/>
  <c r="M1452" i="10"/>
  <c r="M1451" i="10"/>
  <c r="M1444" i="10"/>
  <c r="M1443" i="10"/>
  <c r="M1440" i="10"/>
  <c r="M1435" i="10"/>
  <c r="M1433" i="10"/>
  <c r="M1432" i="10"/>
  <c r="M1431" i="10"/>
  <c r="M1422" i="10"/>
  <c r="M1421" i="10"/>
  <c r="M1420" i="10"/>
  <c r="M1419" i="10"/>
  <c r="M1418" i="10"/>
  <c r="M1417" i="10"/>
  <c r="M1416" i="10"/>
  <c r="M1409" i="10"/>
  <c r="M1408" i="10"/>
  <c r="M1407" i="10"/>
  <c r="M1405" i="10"/>
  <c r="M1404" i="10"/>
  <c r="M1403" i="10"/>
  <c r="M1401" i="10"/>
  <c r="M1400" i="10"/>
  <c r="M1399" i="10"/>
  <c r="M1395" i="10"/>
  <c r="M1394" i="10"/>
  <c r="M1392" i="10"/>
  <c r="M1390" i="10"/>
  <c r="M1389" i="10"/>
  <c r="M1386" i="10"/>
  <c r="M1385" i="10"/>
  <c r="M1384" i="10"/>
  <c r="M1383" i="10"/>
  <c r="M1379" i="10"/>
  <c r="M1378" i="10"/>
  <c r="M1377" i="10"/>
  <c r="M1375" i="10"/>
  <c r="M1374" i="10"/>
  <c r="M1373" i="10"/>
  <c r="M1371" i="10"/>
  <c r="M1370" i="10"/>
  <c r="M1369" i="10"/>
  <c r="M1367" i="10"/>
  <c r="M1366" i="10"/>
  <c r="M1365" i="10"/>
  <c r="M1362" i="10"/>
  <c r="M1361" i="10"/>
  <c r="M1360" i="10"/>
  <c r="M1351" i="10"/>
  <c r="M1350" i="10"/>
  <c r="M1349" i="10"/>
  <c r="M1347" i="10"/>
  <c r="M1346" i="10"/>
  <c r="M1345" i="10"/>
  <c r="M1339" i="10"/>
  <c r="M1337" i="10"/>
  <c r="M1336" i="10"/>
  <c r="M1332" i="10"/>
  <c r="M1329" i="10"/>
  <c r="M1323" i="10"/>
  <c r="M1322" i="10"/>
  <c r="M1321" i="10"/>
  <c r="M1320" i="10"/>
  <c r="M1317" i="10"/>
  <c r="M1316" i="10"/>
  <c r="M1314" i="10"/>
  <c r="M1312" i="10"/>
  <c r="M1311" i="10"/>
  <c r="M1308" i="10"/>
  <c r="M1307" i="10"/>
  <c r="M1306" i="10"/>
  <c r="M1304" i="10"/>
  <c r="M1303" i="10"/>
  <c r="M1302" i="10"/>
  <c r="M1300" i="10"/>
  <c r="M1299" i="10"/>
  <c r="M1298" i="10"/>
  <c r="M1293" i="10"/>
  <c r="M1292" i="10"/>
  <c r="M1291" i="10"/>
  <c r="M1290" i="10"/>
  <c r="M1289" i="10"/>
  <c r="M1288" i="10"/>
  <c r="M1287" i="10"/>
  <c r="M1285" i="10"/>
  <c r="M1276" i="10"/>
  <c r="M1275" i="10"/>
  <c r="M1273" i="10"/>
  <c r="M1272" i="10"/>
  <c r="M1270" i="10"/>
  <c r="M1269" i="10"/>
  <c r="M1267" i="10"/>
  <c r="M1266" i="10"/>
  <c r="M1263" i="10"/>
  <c r="M1262" i="10"/>
  <c r="M1260" i="10"/>
  <c r="M1259" i="10"/>
  <c r="M1252" i="10"/>
  <c r="M1251" i="10"/>
  <c r="M1248" i="10"/>
  <c r="M1245" i="10"/>
  <c r="M1244" i="10"/>
  <c r="M1243" i="10"/>
  <c r="M1242" i="10"/>
  <c r="M1241" i="10"/>
  <c r="M1240" i="10"/>
  <c r="M1239" i="10"/>
  <c r="M1238" i="10"/>
  <c r="M1236" i="10"/>
  <c r="M1235" i="10"/>
  <c r="M1234" i="10"/>
  <c r="M1233" i="10"/>
  <c r="M1232" i="10"/>
  <c r="M1231" i="10"/>
  <c r="M1230" i="10"/>
  <c r="M1229" i="10"/>
  <c r="M1226" i="10"/>
  <c r="M1221" i="10"/>
  <c r="M1220" i="10"/>
  <c r="M1218" i="10"/>
  <c r="M1217" i="10"/>
  <c r="M1214" i="10"/>
  <c r="M1213" i="10"/>
  <c r="M1211" i="10"/>
  <c r="M1210" i="10"/>
  <c r="M1202" i="10"/>
  <c r="M1201" i="10"/>
  <c r="M1197" i="10"/>
  <c r="M1196" i="10"/>
  <c r="M1195" i="10"/>
  <c r="M1193" i="10"/>
  <c r="M1192" i="10"/>
  <c r="M1191" i="10"/>
  <c r="M1190" i="10"/>
  <c r="M1189" i="10"/>
  <c r="M1188" i="10"/>
  <c r="M1187" i="10"/>
  <c r="M1186" i="10"/>
  <c r="M1185" i="10"/>
  <c r="M1184" i="10"/>
  <c r="M1183" i="10"/>
  <c r="M1180" i="10"/>
  <c r="M1179" i="10"/>
  <c r="M1178" i="10"/>
  <c r="M1177" i="10"/>
  <c r="M1175" i="10"/>
  <c r="M1174" i="10"/>
  <c r="M1172" i="10"/>
  <c r="M1171" i="10"/>
  <c r="M1170" i="10"/>
  <c r="M1169" i="10"/>
  <c r="M1168" i="10"/>
  <c r="M1152" i="10"/>
  <c r="M1151" i="10"/>
  <c r="M1149" i="10"/>
  <c r="M1148" i="10"/>
  <c r="M1145" i="10"/>
  <c r="M1144" i="10"/>
  <c r="M1142" i="10"/>
  <c r="M1141" i="10"/>
  <c r="M1138" i="10"/>
  <c r="M1137" i="10"/>
  <c r="M1135" i="10"/>
  <c r="M1134" i="10"/>
  <c r="M1128" i="10"/>
  <c r="M1127" i="10"/>
  <c r="M1125" i="10"/>
  <c r="M1124" i="10"/>
  <c r="M1121" i="10"/>
  <c r="M1120" i="10"/>
  <c r="M1117" i="10"/>
  <c r="M1116" i="10"/>
  <c r="M1114" i="10"/>
  <c r="M1113" i="10"/>
  <c r="M1109" i="10"/>
  <c r="M1108" i="10"/>
  <c r="M1105" i="10"/>
  <c r="M1104" i="10"/>
  <c r="M1102" i="10"/>
  <c r="M1101" i="10"/>
  <c r="M1099" i="10"/>
  <c r="M1098" i="10"/>
  <c r="M1097" i="10"/>
  <c r="M1095" i="10"/>
  <c r="M1094" i="10"/>
  <c r="M1093" i="10"/>
  <c r="M1090" i="10"/>
  <c r="M1089" i="10"/>
  <c r="M1087" i="10"/>
  <c r="M1086" i="10"/>
  <c r="M1082" i="10"/>
  <c r="M1081" i="10"/>
  <c r="M1079" i="10"/>
  <c r="M1078" i="10"/>
  <c r="M1076" i="10"/>
  <c r="M1075" i="10"/>
  <c r="M1073" i="10"/>
  <c r="M1072" i="10"/>
  <c r="M1069" i="10"/>
  <c r="M1068" i="10"/>
  <c r="M1066" i="10"/>
  <c r="M1065" i="10"/>
  <c r="M1060" i="10"/>
  <c r="M1059" i="10"/>
  <c r="M1058" i="10"/>
  <c r="M1056" i="10"/>
  <c r="M1055" i="10"/>
  <c r="M1053" i="10"/>
  <c r="M1052" i="10"/>
  <c r="M1050" i="10"/>
  <c r="M1049" i="10"/>
  <c r="M1047" i="10"/>
  <c r="M1046" i="10"/>
  <c r="M1041" i="10"/>
  <c r="M1040" i="10"/>
  <c r="M1038" i="10"/>
  <c r="M1037" i="10"/>
  <c r="M1035" i="10"/>
  <c r="M1034" i="10"/>
  <c r="M1028" i="10"/>
  <c r="M1027" i="10"/>
  <c r="M1026" i="10"/>
  <c r="M1024" i="10"/>
  <c r="M1023" i="10"/>
  <c r="M1022" i="10"/>
  <c r="M1019" i="10"/>
  <c r="M1018" i="10"/>
  <c r="M1017" i="10"/>
  <c r="M1015" i="10"/>
  <c r="M1014" i="10"/>
  <c r="M1013" i="10"/>
  <c r="M1009" i="10"/>
  <c r="M1008" i="10"/>
  <c r="M1006" i="10"/>
  <c r="M1005" i="10"/>
  <c r="M1004" i="10"/>
  <c r="M1002" i="10"/>
  <c r="M1001" i="10"/>
  <c r="M1000" i="10"/>
  <c r="M996" i="10"/>
  <c r="M995" i="10"/>
  <c r="M992" i="10"/>
  <c r="M991" i="10"/>
  <c r="M989" i="10"/>
  <c r="M988" i="10"/>
  <c r="M689" i="10"/>
  <c r="M688" i="10"/>
  <c r="M687" i="10"/>
  <c r="M686" i="10"/>
  <c r="M685" i="10"/>
  <c r="M684" i="10"/>
  <c r="M682" i="10"/>
  <c r="M681" i="10"/>
  <c r="M680" i="10"/>
  <c r="M679" i="10"/>
  <c r="M678" i="10"/>
  <c r="M677" i="10"/>
  <c r="M675" i="10"/>
  <c r="M674" i="10"/>
  <c r="M673" i="10"/>
  <c r="M672" i="10"/>
  <c r="M671" i="10"/>
  <c r="M670" i="10"/>
  <c r="M668" i="10"/>
  <c r="M667" i="10"/>
  <c r="M666" i="10"/>
  <c r="M665" i="10"/>
  <c r="M664" i="10"/>
  <c r="M663" i="10"/>
  <c r="M661" i="10"/>
  <c r="M660" i="10"/>
  <c r="M659" i="10"/>
  <c r="M658" i="10"/>
  <c r="M657" i="10"/>
  <c r="M656" i="10"/>
  <c r="M654" i="10"/>
  <c r="M653" i="10"/>
  <c r="M652" i="10"/>
  <c r="M651" i="10"/>
  <c r="M650" i="10"/>
  <c r="M649" i="10"/>
  <c r="M647" i="10"/>
  <c r="M646" i="10"/>
  <c r="M645" i="10"/>
  <c r="M644" i="10"/>
  <c r="M643" i="10"/>
  <c r="M642" i="10"/>
  <c r="M641" i="10"/>
  <c r="M639" i="10"/>
  <c r="M638" i="10"/>
  <c r="M637" i="10"/>
  <c r="M636" i="10"/>
  <c r="M635" i="10"/>
  <c r="M632" i="10"/>
  <c r="M631" i="10"/>
  <c r="M630" i="10"/>
  <c r="M629" i="10"/>
  <c r="M628" i="10"/>
  <c r="M627" i="10"/>
  <c r="M624" i="10"/>
  <c r="M623" i="10"/>
  <c r="M622" i="10"/>
  <c r="M621" i="10"/>
  <c r="M620" i="10"/>
  <c r="M619" i="10"/>
  <c r="M618" i="10"/>
  <c r="M617" i="10"/>
  <c r="M616" i="10"/>
  <c r="M615" i="10"/>
  <c r="M614" i="10"/>
  <c r="M613" i="10"/>
  <c r="M612" i="10"/>
  <c r="M611" i="10"/>
  <c r="M610" i="10"/>
  <c r="M609" i="10"/>
  <c r="M608" i="10"/>
  <c r="M607" i="10"/>
  <c r="M606" i="10"/>
  <c r="M605" i="10"/>
  <c r="M604" i="10"/>
  <c r="M603" i="10"/>
  <c r="M602" i="10"/>
  <c r="M601" i="10"/>
  <c r="M600" i="10"/>
  <c r="M599" i="10"/>
  <c r="M598" i="10"/>
  <c r="M597" i="10"/>
  <c r="M595" i="10"/>
  <c r="M594" i="10"/>
  <c r="M592" i="10"/>
  <c r="M591" i="10"/>
  <c r="M589" i="10"/>
  <c r="M588" i="10"/>
  <c r="M586" i="10"/>
  <c r="M585" i="10"/>
  <c r="M582" i="10"/>
  <c r="M581" i="10"/>
  <c r="M579" i="10"/>
  <c r="M578" i="10"/>
  <c r="M576" i="10"/>
  <c r="M575" i="10"/>
  <c r="M571" i="10"/>
  <c r="M570" i="10"/>
  <c r="M568" i="10"/>
  <c r="M567" i="10"/>
  <c r="M562" i="10"/>
  <c r="M561" i="10"/>
  <c r="M559" i="10"/>
  <c r="M555" i="10"/>
  <c r="M554" i="10"/>
  <c r="M553" i="10"/>
  <c r="M552" i="10"/>
  <c r="M551" i="10"/>
  <c r="M550" i="10"/>
  <c r="M549" i="10"/>
  <c r="M548" i="10"/>
  <c r="M547" i="10"/>
  <c r="M543" i="10"/>
  <c r="M542" i="10"/>
  <c r="M541" i="10"/>
  <c r="M540" i="10"/>
  <c r="M539" i="10"/>
  <c r="M538" i="10"/>
  <c r="M537" i="10"/>
  <c r="M536" i="10"/>
  <c r="M535" i="10"/>
  <c r="M532" i="10"/>
  <c r="M531" i="10"/>
  <c r="M530" i="10"/>
  <c r="M529" i="10"/>
  <c r="M527" i="10"/>
  <c r="M526" i="10"/>
  <c r="M525" i="10"/>
  <c r="M524" i="10"/>
  <c r="M521" i="10"/>
  <c r="M520" i="10"/>
  <c r="M519" i="10"/>
  <c r="M518" i="10"/>
  <c r="M517" i="10"/>
  <c r="M516" i="10"/>
  <c r="M514" i="10"/>
  <c r="M513" i="10"/>
  <c r="M512" i="10"/>
  <c r="M511" i="10"/>
  <c r="M510" i="10"/>
  <c r="M509" i="10"/>
  <c r="M507" i="10"/>
  <c r="M506" i="10"/>
  <c r="M505" i="10"/>
  <c r="M504" i="10"/>
  <c r="M503" i="10"/>
  <c r="M502" i="10"/>
  <c r="M501" i="10"/>
  <c r="M500" i="10"/>
  <c r="M499" i="10"/>
  <c r="M497" i="10"/>
  <c r="M496" i="10"/>
  <c r="M495" i="10"/>
  <c r="M494" i="10"/>
  <c r="M493" i="10"/>
  <c r="M492" i="10"/>
  <c r="M491" i="10"/>
  <c r="M490" i="10"/>
  <c r="M489" i="10"/>
  <c r="M487" i="10"/>
  <c r="M486" i="10"/>
  <c r="M485" i="10"/>
  <c r="M484" i="10"/>
  <c r="M483" i="10"/>
  <c r="M482" i="10"/>
  <c r="M481" i="10"/>
  <c r="M480" i="10"/>
  <c r="M479" i="10"/>
  <c r="M478" i="10"/>
  <c r="M477" i="10"/>
  <c r="M476" i="10"/>
  <c r="M474" i="10"/>
  <c r="M473" i="10"/>
  <c r="M472" i="10"/>
  <c r="M471" i="10"/>
  <c r="M470" i="10"/>
  <c r="M469" i="10"/>
  <c r="M466" i="10"/>
  <c r="M465" i="10"/>
  <c r="M464" i="10"/>
  <c r="M463" i="10"/>
  <c r="M462" i="10"/>
  <c r="M461" i="10"/>
  <c r="M459" i="10"/>
  <c r="M458" i="10"/>
  <c r="M457" i="10"/>
  <c r="M456" i="10"/>
  <c r="M455" i="10"/>
  <c r="M454" i="10"/>
  <c r="M452" i="10"/>
  <c r="M451" i="10"/>
  <c r="M450" i="10"/>
  <c r="M449" i="10"/>
  <c r="M448" i="10"/>
  <c r="M447" i="10"/>
  <c r="M444" i="10"/>
  <c r="M443" i="10"/>
  <c r="M442" i="10"/>
  <c r="M441" i="10"/>
  <c r="M440" i="10"/>
  <c r="M439" i="10"/>
  <c r="M438" i="10"/>
  <c r="M437" i="10"/>
  <c r="M436" i="10"/>
  <c r="M434" i="10"/>
  <c r="M433" i="10"/>
  <c r="M431" i="10"/>
  <c r="M430" i="10"/>
  <c r="M429" i="10"/>
  <c r="M428" i="10"/>
  <c r="M427" i="10"/>
  <c r="M426" i="10"/>
  <c r="M425" i="10"/>
  <c r="M423" i="10"/>
  <c r="M422" i="10"/>
  <c r="M421" i="10"/>
  <c r="M418" i="10"/>
  <c r="M417" i="10"/>
  <c r="M416" i="10"/>
  <c r="M413" i="10"/>
  <c r="M412" i="10"/>
  <c r="M411" i="10"/>
  <c r="M408" i="10"/>
  <c r="M407" i="10"/>
  <c r="M406" i="10"/>
  <c r="M402" i="10"/>
  <c r="M401" i="10"/>
  <c r="M400" i="10"/>
  <c r="M399" i="10"/>
  <c r="M398" i="10"/>
  <c r="M397" i="10"/>
  <c r="M395" i="10"/>
  <c r="M394" i="10"/>
  <c r="M393" i="10"/>
  <c r="M392" i="10"/>
  <c r="M391" i="10"/>
  <c r="M390" i="10"/>
  <c r="M388" i="10"/>
  <c r="M387" i="10"/>
  <c r="M386" i="10"/>
  <c r="M385" i="10"/>
  <c r="M384" i="10"/>
  <c r="M383" i="10"/>
  <c r="M381" i="10"/>
  <c r="M380" i="10"/>
  <c r="M379" i="10"/>
  <c r="M377" i="10"/>
  <c r="M376" i="10"/>
  <c r="M375" i="10"/>
  <c r="M372" i="10"/>
  <c r="M371" i="10"/>
  <c r="M370" i="10"/>
  <c r="M369" i="10"/>
  <c r="M368" i="10"/>
  <c r="M367" i="10"/>
  <c r="M361" i="10"/>
  <c r="M360" i="10"/>
  <c r="M358" i="10"/>
  <c r="M357" i="10"/>
  <c r="M355" i="10"/>
  <c r="M354" i="10"/>
  <c r="M351" i="10"/>
  <c r="M350" i="10"/>
  <c r="M348" i="10"/>
  <c r="M347" i="10"/>
  <c r="M345" i="10"/>
  <c r="M344" i="10"/>
  <c r="M342" i="10"/>
  <c r="M341" i="10"/>
  <c r="M337" i="10"/>
  <c r="M336" i="10"/>
  <c r="M335" i="10"/>
  <c r="M334" i="10"/>
  <c r="M333" i="10"/>
  <c r="M332" i="10"/>
  <c r="M331" i="10"/>
  <c r="M330" i="10"/>
  <c r="M329" i="10"/>
  <c r="M327" i="10"/>
  <c r="M326" i="10"/>
  <c r="M325" i="10"/>
  <c r="M324" i="10"/>
  <c r="M323" i="10"/>
  <c r="M322" i="10"/>
  <c r="M320" i="10"/>
  <c r="M319" i="10"/>
  <c r="M318" i="10"/>
  <c r="M317" i="10"/>
  <c r="M316" i="10"/>
  <c r="M315" i="10"/>
  <c r="M311" i="10"/>
  <c r="M310" i="10"/>
  <c r="M309" i="10"/>
  <c r="M308" i="10"/>
  <c r="M307" i="10"/>
  <c r="M306" i="10"/>
  <c r="M304" i="10"/>
  <c r="M303" i="10"/>
  <c r="M302" i="10"/>
  <c r="M301" i="10"/>
  <c r="M300" i="10"/>
  <c r="M299" i="10"/>
  <c r="M297" i="10"/>
  <c r="M296" i="10"/>
  <c r="M295" i="10"/>
  <c r="M294" i="10"/>
  <c r="M293" i="10"/>
  <c r="M292" i="10"/>
  <c r="M290" i="10"/>
  <c r="M289" i="10"/>
  <c r="M288" i="10"/>
  <c r="M287" i="10"/>
  <c r="M286" i="10"/>
  <c r="M285" i="10"/>
  <c r="M283" i="10"/>
  <c r="M282" i="10"/>
  <c r="M281" i="10"/>
  <c r="M280" i="10"/>
  <c r="M279" i="10"/>
  <c r="M278" i="10"/>
  <c r="M275" i="10"/>
  <c r="M274" i="10"/>
  <c r="M273" i="10"/>
  <c r="M272" i="10"/>
  <c r="M271" i="10"/>
  <c r="M270" i="10"/>
  <c r="M269" i="10"/>
  <c r="M267" i="10"/>
  <c r="M266" i="10"/>
  <c r="M265" i="10"/>
  <c r="M263" i="10"/>
  <c r="M262" i="10"/>
  <c r="M261" i="10"/>
  <c r="M259" i="10"/>
  <c r="M258" i="10"/>
  <c r="M257" i="10"/>
  <c r="M254" i="10"/>
  <c r="M253" i="10"/>
  <c r="M252" i="10"/>
  <c r="M250" i="10"/>
  <c r="M249" i="10"/>
  <c r="M248" i="10"/>
  <c r="M246" i="10"/>
  <c r="M245" i="10"/>
  <c r="M244" i="10"/>
  <c r="M240" i="10"/>
  <c r="M239" i="10"/>
  <c r="M238" i="10"/>
  <c r="M237" i="10"/>
  <c r="M236" i="10"/>
  <c r="M235" i="10"/>
  <c r="M234" i="10"/>
  <c r="M233" i="10"/>
  <c r="M232" i="10"/>
  <c r="M231" i="10"/>
  <c r="M230" i="10"/>
  <c r="M229" i="10"/>
  <c r="M228" i="10"/>
  <c r="M227" i="10"/>
  <c r="M226" i="10"/>
  <c r="M223" i="10"/>
  <c r="M222" i="10"/>
  <c r="M221" i="10"/>
  <c r="M220" i="10"/>
  <c r="M219" i="10"/>
  <c r="M218" i="10"/>
  <c r="M216" i="10"/>
  <c r="M215" i="10"/>
  <c r="M213" i="10"/>
  <c r="M212" i="10"/>
  <c r="M211" i="10"/>
  <c r="M210" i="10"/>
  <c r="M209" i="10"/>
  <c r="M206" i="10"/>
  <c r="M205" i="10"/>
  <c r="M203" i="10"/>
  <c r="M202" i="10"/>
  <c r="M200" i="10"/>
  <c r="M199" i="10"/>
  <c r="M198" i="10"/>
  <c r="M197" i="10"/>
  <c r="M196" i="10"/>
  <c r="M195" i="10"/>
  <c r="M192" i="10"/>
  <c r="M191" i="10"/>
  <c r="M189" i="10"/>
  <c r="M188" i="10"/>
  <c r="M187" i="10"/>
  <c r="M155" i="10"/>
  <c r="M149" i="10"/>
  <c r="M148" i="10"/>
  <c r="K62" i="10"/>
  <c r="K61" i="10"/>
  <c r="M12" i="10"/>
  <c r="M13" i="10"/>
  <c r="M15" i="10"/>
  <c r="M16" i="10"/>
  <c r="L120" i="12" l="1"/>
  <c r="L80" i="12"/>
  <c r="L78" i="12" s="1"/>
  <c r="L77" i="12"/>
  <c r="L75" i="12" s="1"/>
  <c r="M27" i="12"/>
  <c r="M22" i="12"/>
  <c r="M20" i="12"/>
  <c r="M28" i="12"/>
  <c r="L22" i="12"/>
  <c r="M21" i="12"/>
  <c r="L24" i="12"/>
  <c r="L28" i="12"/>
  <c r="L27" i="12"/>
  <c r="L21" i="12"/>
  <c r="L20" i="12"/>
  <c r="M19" i="12"/>
  <c r="M25" i="12"/>
  <c r="M24" i="12"/>
  <c r="J80" i="12"/>
  <c r="J78" i="12" s="1"/>
  <c r="CE28" i="12"/>
  <c r="BY28" i="12"/>
  <c r="BS28" i="12"/>
  <c r="BM28" i="12"/>
  <c r="BG28" i="12"/>
  <c r="BA28" i="12"/>
  <c r="AU28" i="12"/>
  <c r="AO28" i="12"/>
  <c r="AI28" i="12"/>
  <c r="AC28" i="12"/>
  <c r="W28" i="12"/>
  <c r="CH27" i="12"/>
  <c r="CB27" i="12"/>
  <c r="BV27" i="12"/>
  <c r="BP27" i="12"/>
  <c r="BJ27" i="12"/>
  <c r="BD27" i="12"/>
  <c r="AX27" i="12"/>
  <c r="AR27" i="12"/>
  <c r="AL27" i="12"/>
  <c r="AF27" i="12"/>
  <c r="Z27" i="12"/>
  <c r="T27" i="12"/>
  <c r="CE26" i="12"/>
  <c r="BY26" i="12"/>
  <c r="BS26" i="12"/>
  <c r="BM26" i="12"/>
  <c r="BG26" i="12"/>
  <c r="BA26" i="12"/>
  <c r="AU26" i="12"/>
  <c r="AO26" i="12"/>
  <c r="AI26" i="12"/>
  <c r="AC26" i="12"/>
  <c r="W26" i="12"/>
  <c r="R26" i="12"/>
  <c r="CG25" i="12"/>
  <c r="CA25" i="12"/>
  <c r="BU25" i="12"/>
  <c r="BO25" i="12"/>
  <c r="BI25" i="12"/>
  <c r="BC25" i="12"/>
  <c r="AW25" i="12"/>
  <c r="AQ25" i="12"/>
  <c r="AK25" i="12"/>
  <c r="AE25" i="12"/>
  <c r="Y25" i="12"/>
  <c r="S25" i="12"/>
  <c r="H25" i="12"/>
  <c r="CD24" i="12"/>
  <c r="BX24" i="12"/>
  <c r="BR24" i="12"/>
  <c r="BL24" i="12"/>
  <c r="BF24" i="12"/>
  <c r="AZ24" i="12"/>
  <c r="AT24" i="12"/>
  <c r="AN24" i="12"/>
  <c r="AH24" i="12"/>
  <c r="AB24" i="12"/>
  <c r="V24" i="12"/>
  <c r="CG23" i="12"/>
  <c r="CA23" i="12"/>
  <c r="BU23" i="12"/>
  <c r="BO23" i="12"/>
  <c r="BI23" i="12"/>
  <c r="BC23" i="12"/>
  <c r="AW23" i="12"/>
  <c r="AQ23" i="12"/>
  <c r="AK23" i="12"/>
  <c r="AE23" i="12"/>
  <c r="Y23" i="12"/>
  <c r="S23" i="12"/>
  <c r="CH22" i="12"/>
  <c r="CB22" i="12"/>
  <c r="BV22" i="12"/>
  <c r="BP22" i="12"/>
  <c r="BJ22" i="12"/>
  <c r="BD22" i="12"/>
  <c r="AX22" i="12"/>
  <c r="AR22" i="12"/>
  <c r="AL22" i="12"/>
  <c r="AF22" i="12"/>
  <c r="Z22" i="12"/>
  <c r="T22" i="12"/>
  <c r="CE21" i="12"/>
  <c r="BY21" i="12"/>
  <c r="BS21" i="12"/>
  <c r="BM21" i="12"/>
  <c r="BG21" i="12"/>
  <c r="BA21" i="12"/>
  <c r="AU21" i="12"/>
  <c r="AO21" i="12"/>
  <c r="AI21" i="12"/>
  <c r="AC21" i="12"/>
  <c r="W21" i="12"/>
  <c r="R21" i="12"/>
  <c r="CH20" i="12"/>
  <c r="CB20" i="12"/>
  <c r="BV20" i="12"/>
  <c r="BP20" i="12"/>
  <c r="BJ20" i="12"/>
  <c r="BD20" i="12"/>
  <c r="AX20" i="12"/>
  <c r="AR20" i="12"/>
  <c r="AL20" i="12"/>
  <c r="AF20" i="12"/>
  <c r="Z20" i="12"/>
  <c r="T20" i="12"/>
  <c r="CE19" i="12"/>
  <c r="BY19" i="12"/>
  <c r="BS19" i="12"/>
  <c r="BM19" i="12"/>
  <c r="BG19" i="12"/>
  <c r="BA19" i="12"/>
  <c r="AU19" i="12"/>
  <c r="AO19" i="12"/>
  <c r="AI19" i="12"/>
  <c r="AC19" i="12"/>
  <c r="W19" i="12"/>
  <c r="R19" i="12"/>
  <c r="J77" i="12"/>
  <c r="J75" i="12" s="1"/>
  <c r="CD28" i="12"/>
  <c r="J24" i="12"/>
  <c r="Q24" i="12"/>
  <c r="L25" i="12"/>
  <c r="AW246" i="12"/>
  <c r="AW282" i="12"/>
  <c r="AW277" i="12" s="1"/>
  <c r="AW247" i="12"/>
  <c r="V144" i="12"/>
  <c r="L19" i="12"/>
  <c r="T19" i="12"/>
  <c r="AB19" i="12"/>
  <c r="AK19" i="12"/>
  <c r="AR19" i="12"/>
  <c r="AZ19" i="12"/>
  <c r="BI19" i="12"/>
  <c r="BP19" i="12"/>
  <c r="BX19" i="12"/>
  <c r="CG19" i="12"/>
  <c r="K20" i="12"/>
  <c r="S20" i="12"/>
  <c r="AB20" i="12"/>
  <c r="AI20" i="12"/>
  <c r="AQ20" i="12"/>
  <c r="AZ20" i="12"/>
  <c r="BG20" i="12"/>
  <c r="BO20" i="12"/>
  <c r="BX20" i="12"/>
  <c r="CE20" i="12"/>
  <c r="J21" i="12"/>
  <c r="S21" i="12"/>
  <c r="Z21" i="12"/>
  <c r="AH21" i="12"/>
  <c r="AQ21" i="12"/>
  <c r="AX21" i="12"/>
  <c r="BF21" i="12"/>
  <c r="BO21" i="12"/>
  <c r="BV21" i="12"/>
  <c r="CD21" i="12"/>
  <c r="R22" i="12"/>
  <c r="Y22" i="12"/>
  <c r="AH22" i="12"/>
  <c r="AO22" i="12"/>
  <c r="AW22" i="12"/>
  <c r="BF22" i="12"/>
  <c r="BM22" i="12"/>
  <c r="BU22" i="12"/>
  <c r="CD22" i="12"/>
  <c r="Q23" i="12"/>
  <c r="W23" i="12"/>
  <c r="AF23" i="12"/>
  <c r="AN23" i="12"/>
  <c r="AU23" i="12"/>
  <c r="BD23" i="12"/>
  <c r="BL23" i="12"/>
  <c r="BS23" i="12"/>
  <c r="CB23" i="12"/>
  <c r="H24" i="12"/>
  <c r="W24" i="12"/>
  <c r="AE24" i="12"/>
  <c r="AL24" i="12"/>
  <c r="AU24" i="12"/>
  <c r="BC24" i="12"/>
  <c r="BJ24" i="12"/>
  <c r="BS24" i="12"/>
  <c r="CA24" i="12"/>
  <c r="CH24" i="12"/>
  <c r="V25" i="12"/>
  <c r="AC25" i="12"/>
  <c r="AL25" i="12"/>
  <c r="AT25" i="12"/>
  <c r="BA25" i="12"/>
  <c r="BJ25" i="12"/>
  <c r="BR25" i="12"/>
  <c r="BY25" i="12"/>
  <c r="CH25" i="12"/>
  <c r="T26" i="12"/>
  <c r="AB26" i="12"/>
  <c r="AK26" i="12"/>
  <c r="AR26" i="12"/>
  <c r="AZ26" i="12"/>
  <c r="BI26" i="12"/>
  <c r="BP26" i="12"/>
  <c r="BX26" i="12"/>
  <c r="CG26" i="12"/>
  <c r="K27" i="12"/>
  <c r="S27" i="12"/>
  <c r="AB27" i="12"/>
  <c r="AI27" i="12"/>
  <c r="AQ27" i="12"/>
  <c r="AZ27" i="12"/>
  <c r="BG27" i="12"/>
  <c r="BO27" i="12"/>
  <c r="BX27" i="12"/>
  <c r="CE27" i="12"/>
  <c r="J28" i="12"/>
  <c r="S28" i="12"/>
  <c r="Z28" i="12"/>
  <c r="AH28" i="12"/>
  <c r="AQ28" i="12"/>
  <c r="AX28" i="12"/>
  <c r="BF28" i="12"/>
  <c r="BO28" i="12"/>
  <c r="BV28" i="12"/>
  <c r="CG28" i="12"/>
  <c r="J85" i="12"/>
  <c r="S143" i="12"/>
  <c r="Q152" i="12"/>
  <c r="AH255" i="12"/>
  <c r="AH195" i="12"/>
  <c r="H19" i="12"/>
  <c r="V19" i="12"/>
  <c r="AE19" i="12"/>
  <c r="AL19" i="12"/>
  <c r="AT19" i="12"/>
  <c r="BC19" i="12"/>
  <c r="BJ19" i="12"/>
  <c r="BR19" i="12"/>
  <c r="CA19" i="12"/>
  <c r="CH19" i="12"/>
  <c r="V20" i="12"/>
  <c r="AC20" i="12"/>
  <c r="AK20" i="12"/>
  <c r="AT20" i="12"/>
  <c r="BA20" i="12"/>
  <c r="BI20" i="12"/>
  <c r="BR20" i="12"/>
  <c r="BY20" i="12"/>
  <c r="CG20" i="12"/>
  <c r="T21" i="12"/>
  <c r="AB21" i="12"/>
  <c r="AK21" i="12"/>
  <c r="AR21" i="12"/>
  <c r="AZ21" i="12"/>
  <c r="BI21" i="12"/>
  <c r="BP21" i="12"/>
  <c r="BX21" i="12"/>
  <c r="CG21" i="12"/>
  <c r="K22" i="12"/>
  <c r="S22" i="12"/>
  <c r="AB22" i="12"/>
  <c r="AI22" i="12"/>
  <c r="AQ22" i="12"/>
  <c r="AZ22" i="12"/>
  <c r="BG22" i="12"/>
  <c r="BO22" i="12"/>
  <c r="BX22" i="12"/>
  <c r="CE22" i="12"/>
  <c r="R23" i="12"/>
  <c r="Z23" i="12"/>
  <c r="AH23" i="12"/>
  <c r="AO23" i="12"/>
  <c r="AX23" i="12"/>
  <c r="BF23" i="12"/>
  <c r="BM23" i="12"/>
  <c r="BV23" i="12"/>
  <c r="CD23" i="12"/>
  <c r="R24" i="12"/>
  <c r="Y24" i="12"/>
  <c r="AF24" i="12"/>
  <c r="AO24" i="12"/>
  <c r="AW24" i="12"/>
  <c r="BD24" i="12"/>
  <c r="BM24" i="12"/>
  <c r="BU24" i="12"/>
  <c r="CB24" i="12"/>
  <c r="Q25" i="12"/>
  <c r="W25" i="12"/>
  <c r="AF25" i="12"/>
  <c r="AN25" i="12"/>
  <c r="AU25" i="12"/>
  <c r="BD25" i="12"/>
  <c r="BL25" i="12"/>
  <c r="BS25" i="12"/>
  <c r="CB25" i="12"/>
  <c r="H26" i="12"/>
  <c r="V26" i="12"/>
  <c r="AE26" i="12"/>
  <c r="AL26" i="12"/>
  <c r="AT26" i="12"/>
  <c r="BC26" i="12"/>
  <c r="BJ26" i="12"/>
  <c r="BR26" i="12"/>
  <c r="CA26" i="12"/>
  <c r="CH26" i="12"/>
  <c r="V27" i="12"/>
  <c r="AC27" i="12"/>
  <c r="AK27" i="12"/>
  <c r="AT27" i="12"/>
  <c r="BA27" i="12"/>
  <c r="BI27" i="12"/>
  <c r="BR27" i="12"/>
  <c r="BY27" i="12"/>
  <c r="CG27" i="12"/>
  <c r="T28" i="12"/>
  <c r="AB28" i="12"/>
  <c r="AK28" i="12"/>
  <c r="AR28" i="12"/>
  <c r="AZ28" i="12"/>
  <c r="BI28" i="12"/>
  <c r="BP28" i="12"/>
  <c r="BX28" i="12"/>
  <c r="CH28" i="12"/>
  <c r="K28" i="12"/>
  <c r="R28" i="12"/>
  <c r="J91" i="12"/>
  <c r="M90" i="12"/>
  <c r="H90" i="12"/>
  <c r="L89" i="12"/>
  <c r="K88" i="12"/>
  <c r="J87" i="12"/>
  <c r="M86" i="12"/>
  <c r="H86" i="12"/>
  <c r="L85" i="12"/>
  <c r="K84" i="12"/>
  <c r="M91" i="12"/>
  <c r="J90" i="12"/>
  <c r="K89" i="12"/>
  <c r="M88" i="12"/>
  <c r="K87" i="12"/>
  <c r="L86" i="12"/>
  <c r="H85" i="12"/>
  <c r="J84" i="12"/>
  <c r="H83" i="12"/>
  <c r="L91" i="12"/>
  <c r="J89" i="12"/>
  <c r="L88" i="12"/>
  <c r="H87" i="12"/>
  <c r="K86" i="12"/>
  <c r="M85" i="12"/>
  <c r="H84" i="12"/>
  <c r="H93" i="12"/>
  <c r="K91" i="12"/>
  <c r="L90" i="12"/>
  <c r="H89" i="12"/>
  <c r="J88" i="12"/>
  <c r="M87" i="12"/>
  <c r="J86" i="12"/>
  <c r="K85" i="12"/>
  <c r="M84" i="12"/>
  <c r="L92" i="12"/>
  <c r="L83" i="12"/>
  <c r="Y133" i="12"/>
  <c r="Q133" i="12" s="1"/>
  <c r="Y110" i="12"/>
  <c r="Y109" i="12"/>
  <c r="BL133" i="12"/>
  <c r="BL110" i="12"/>
  <c r="BL109" i="12"/>
  <c r="K255" i="12"/>
  <c r="K195" i="12"/>
  <c r="CD255" i="12"/>
  <c r="CD195" i="12"/>
  <c r="K120" i="12"/>
  <c r="K77" i="12"/>
  <c r="K75" i="12" s="1"/>
  <c r="K21" i="12"/>
  <c r="K19" i="12"/>
  <c r="Q19" i="12"/>
  <c r="Y19" i="12"/>
  <c r="AF19" i="12"/>
  <c r="AN19" i="12"/>
  <c r="AW19" i="12"/>
  <c r="BD19" i="12"/>
  <c r="BL19" i="12"/>
  <c r="BU19" i="12"/>
  <c r="CB19" i="12"/>
  <c r="H20" i="12"/>
  <c r="Q20" i="12"/>
  <c r="W20" i="12"/>
  <c r="AE20" i="12"/>
  <c r="AN20" i="12"/>
  <c r="AU20" i="12"/>
  <c r="BC20" i="12"/>
  <c r="BL20" i="12"/>
  <c r="BS20" i="12"/>
  <c r="CA20" i="12"/>
  <c r="H21" i="12"/>
  <c r="V21" i="12"/>
  <c r="AE21" i="12"/>
  <c r="AL21" i="12"/>
  <c r="AT21" i="12"/>
  <c r="BC21" i="12"/>
  <c r="BJ21" i="12"/>
  <c r="BR21" i="12"/>
  <c r="CA21" i="12"/>
  <c r="CH21" i="12"/>
  <c r="V22" i="12"/>
  <c r="AC22" i="12"/>
  <c r="AK22" i="12"/>
  <c r="AT22" i="12"/>
  <c r="BA22" i="12"/>
  <c r="BI22" i="12"/>
  <c r="BR22" i="12"/>
  <c r="BY22" i="12"/>
  <c r="CG22" i="12"/>
  <c r="T23" i="12"/>
  <c r="AB23" i="12"/>
  <c r="AI23" i="12"/>
  <c r="AR23" i="12"/>
  <c r="AZ23" i="12"/>
  <c r="BG23" i="12"/>
  <c r="BP23" i="12"/>
  <c r="BX23" i="12"/>
  <c r="CE23" i="12"/>
  <c r="K24" i="12"/>
  <c r="S24" i="12"/>
  <c r="Z24" i="12"/>
  <c r="AI24" i="12"/>
  <c r="AQ24" i="12"/>
  <c r="AX24" i="12"/>
  <c r="BG24" i="12"/>
  <c r="BO24" i="12"/>
  <c r="BV24" i="12"/>
  <c r="CE24" i="12"/>
  <c r="R25" i="12"/>
  <c r="Z25" i="12"/>
  <c r="AH25" i="12"/>
  <c r="AO25" i="12"/>
  <c r="AX25" i="12"/>
  <c r="BF25" i="12"/>
  <c r="BM25" i="12"/>
  <c r="BV25" i="12"/>
  <c r="CD25" i="12"/>
  <c r="Q26" i="12"/>
  <c r="Y26" i="12"/>
  <c r="AF26" i="12"/>
  <c r="AN26" i="12"/>
  <c r="AW26" i="12"/>
  <c r="BD26" i="12"/>
  <c r="BL26" i="12"/>
  <c r="BU26" i="12"/>
  <c r="CB26" i="12"/>
  <c r="H27" i="12"/>
  <c r="Q27" i="12"/>
  <c r="W27" i="12"/>
  <c r="AE27" i="12"/>
  <c r="AN27" i="12"/>
  <c r="AU27" i="12"/>
  <c r="BC27" i="12"/>
  <c r="BL27" i="12"/>
  <c r="BS27" i="12"/>
  <c r="CA27" i="12"/>
  <c r="H28" i="12"/>
  <c r="V28" i="12"/>
  <c r="AE28" i="12"/>
  <c r="AL28" i="12"/>
  <c r="AT28" i="12"/>
  <c r="BC28" i="12"/>
  <c r="BJ28" i="12"/>
  <c r="BR28" i="12"/>
  <c r="CA28" i="12"/>
  <c r="L84" i="12"/>
  <c r="H91" i="12"/>
  <c r="K83" i="12"/>
  <c r="G84" i="12"/>
  <c r="G87" i="12"/>
  <c r="BO127" i="12"/>
  <c r="W127" i="12"/>
  <c r="BA127" i="12"/>
  <c r="BG127" i="12"/>
  <c r="BM127" i="12"/>
  <c r="K128" i="12"/>
  <c r="AU128" i="12"/>
  <c r="V129" i="12"/>
  <c r="V127" i="12"/>
  <c r="AB201" i="12"/>
  <c r="AB129" i="12"/>
  <c r="AB127" i="12"/>
  <c r="AH129" i="12"/>
  <c r="AH127" i="12"/>
  <c r="AN201" i="12"/>
  <c r="AN129" i="12"/>
  <c r="AN127" i="12"/>
  <c r="AT129" i="12"/>
  <c r="AT127" i="12"/>
  <c r="AZ201" i="12"/>
  <c r="AZ129" i="12"/>
  <c r="BF129" i="12"/>
  <c r="BF127" i="12"/>
  <c r="BL201" i="12"/>
  <c r="BL129" i="12"/>
  <c r="BR129" i="12"/>
  <c r="BR127" i="12"/>
  <c r="BX201" i="12"/>
  <c r="BX129" i="12"/>
  <c r="BX127" i="12"/>
  <c r="CD129" i="12"/>
  <c r="CD127" i="12"/>
  <c r="Q153" i="12"/>
  <c r="AQ143" i="12"/>
  <c r="AQ160" i="12"/>
  <c r="AQ144" i="12" s="1"/>
  <c r="AW195" i="12"/>
  <c r="AT201" i="12"/>
  <c r="R300" i="12"/>
  <c r="R211" i="12"/>
  <c r="R209" i="12"/>
  <c r="R208" i="12"/>
  <c r="R207" i="12"/>
  <c r="R205" i="12"/>
  <c r="R204" i="12"/>
  <c r="I20" i="12"/>
  <c r="I22" i="12"/>
  <c r="G83" i="12"/>
  <c r="AC128" i="12"/>
  <c r="AI128" i="12"/>
  <c r="AO128" i="12"/>
  <c r="BS128" i="12"/>
  <c r="BY128" i="12"/>
  <c r="CE128" i="12"/>
  <c r="R129" i="12"/>
  <c r="Q135" i="12"/>
  <c r="S160" i="12"/>
  <c r="Q156" i="12"/>
  <c r="Q143" i="12" s="1"/>
  <c r="Q147" i="12"/>
  <c r="Y195" i="12"/>
  <c r="R280" i="12"/>
  <c r="R276" i="12" s="1"/>
  <c r="R251" i="12"/>
  <c r="R194" i="12"/>
  <c r="BF201" i="12"/>
  <c r="G92" i="12"/>
  <c r="G89" i="12"/>
  <c r="G85" i="12"/>
  <c r="AZ128" i="12"/>
  <c r="AZ127" i="12"/>
  <c r="S128" i="12"/>
  <c r="S255" i="12"/>
  <c r="S195" i="12"/>
  <c r="Y246" i="12"/>
  <c r="Y282" i="12"/>
  <c r="Y277" i="12" s="1"/>
  <c r="Y247" i="12"/>
  <c r="AE255" i="12"/>
  <c r="AE195" i="12"/>
  <c r="AK255" i="12"/>
  <c r="AK195" i="12"/>
  <c r="AQ255" i="12"/>
  <c r="AQ195" i="12"/>
  <c r="BC255" i="12"/>
  <c r="BC195" i="12"/>
  <c r="BI195" i="12"/>
  <c r="BI255" i="12"/>
  <c r="BO195" i="12"/>
  <c r="BO255" i="12"/>
  <c r="BU195" i="12"/>
  <c r="BU255" i="12"/>
  <c r="CA195" i="12"/>
  <c r="CA255" i="12"/>
  <c r="CG195" i="12"/>
  <c r="CG255" i="12"/>
  <c r="R144" i="12"/>
  <c r="AB144" i="12"/>
  <c r="AH144" i="12"/>
  <c r="AN144" i="12"/>
  <c r="AZ144" i="12"/>
  <c r="BL159" i="12"/>
  <c r="BL144" i="12" s="1"/>
  <c r="V201" i="12"/>
  <c r="BR201" i="12"/>
  <c r="Q115" i="12"/>
  <c r="Q110" i="12" s="1"/>
  <c r="T129" i="12"/>
  <c r="Z129" i="12"/>
  <c r="AF129" i="12"/>
  <c r="AL129" i="12"/>
  <c r="AR129" i="12"/>
  <c r="AX129" i="12"/>
  <c r="BD129" i="12"/>
  <c r="BJ129" i="12"/>
  <c r="BP129" i="12"/>
  <c r="BV129" i="12"/>
  <c r="CB129" i="12"/>
  <c r="CH129" i="12"/>
  <c r="J255" i="12"/>
  <c r="J195" i="12"/>
  <c r="R135" i="12"/>
  <c r="R201" i="12" s="1"/>
  <c r="W282" i="12"/>
  <c r="W277" i="12" s="1"/>
  <c r="W247" i="12"/>
  <c r="W246" i="12"/>
  <c r="AC282" i="12"/>
  <c r="AC277" i="12" s="1"/>
  <c r="AC247" i="12"/>
  <c r="AC246" i="12"/>
  <c r="AI282" i="12"/>
  <c r="AI277" i="12" s="1"/>
  <c r="AI247" i="12"/>
  <c r="AI246" i="12"/>
  <c r="AO282" i="12"/>
  <c r="AO277" i="12" s="1"/>
  <c r="AO247" i="12"/>
  <c r="AO246" i="12"/>
  <c r="AU282" i="12"/>
  <c r="AU277" i="12" s="1"/>
  <c r="AU247" i="12"/>
  <c r="AU246" i="12"/>
  <c r="BA282" i="12"/>
  <c r="BA277" i="12" s="1"/>
  <c r="BA247" i="12"/>
  <c r="BA246" i="12"/>
  <c r="BG282" i="12"/>
  <c r="BG277" i="12" s="1"/>
  <c r="BG247" i="12"/>
  <c r="BG246" i="12"/>
  <c r="BM282" i="12"/>
  <c r="BM277" i="12" s="1"/>
  <c r="BM247" i="12"/>
  <c r="BM246" i="12"/>
  <c r="BS282" i="12"/>
  <c r="BS277" i="12" s="1"/>
  <c r="BS247" i="12"/>
  <c r="BS246" i="12"/>
  <c r="BY282" i="12"/>
  <c r="BY277" i="12" s="1"/>
  <c r="BY247" i="12"/>
  <c r="BY246" i="12"/>
  <c r="CE282" i="12"/>
  <c r="CE277" i="12" s="1"/>
  <c r="CE247" i="12"/>
  <c r="CE246" i="12"/>
  <c r="T144" i="12"/>
  <c r="T147" i="12"/>
  <c r="R169" i="12"/>
  <c r="R147" i="12" s="1"/>
  <c r="Z195" i="12"/>
  <c r="AI195" i="12"/>
  <c r="AX195" i="12"/>
  <c r="BG195" i="12"/>
  <c r="BS195" i="12"/>
  <c r="CE195" i="12"/>
  <c r="G244" i="12"/>
  <c r="G215" i="12" s="1"/>
  <c r="BD322" i="12"/>
  <c r="BD318" i="12" s="1"/>
  <c r="Y159" i="12"/>
  <c r="Y144" i="12" s="1"/>
  <c r="Y160" i="12"/>
  <c r="L195" i="12"/>
  <c r="T195" i="12"/>
  <c r="AC195" i="12"/>
  <c r="AR195" i="12"/>
  <c r="BA195" i="12"/>
  <c r="BJ195" i="12"/>
  <c r="BV195" i="12"/>
  <c r="CH195" i="12"/>
  <c r="I244" i="12"/>
  <c r="I215" i="12" s="1"/>
  <c r="I243" i="12"/>
  <c r="I214" i="12" s="1"/>
  <c r="I218" i="12"/>
  <c r="L259" i="12"/>
  <c r="L257" i="12"/>
  <c r="L258" i="12"/>
  <c r="Z259" i="12"/>
  <c r="Z258" i="12"/>
  <c r="AL259" i="12"/>
  <c r="AL258" i="12"/>
  <c r="AX259" i="12"/>
  <c r="AX258" i="12"/>
  <c r="BJ259" i="12"/>
  <c r="BJ258" i="12"/>
  <c r="BV259" i="12"/>
  <c r="BV258" i="12"/>
  <c r="CH259" i="12"/>
  <c r="CH258" i="12"/>
  <c r="AZ311" i="12"/>
  <c r="AZ322" i="12"/>
  <c r="AZ318" i="12" s="1"/>
  <c r="L282" i="12"/>
  <c r="L277" i="12" s="1"/>
  <c r="L247" i="12"/>
  <c r="T282" i="12"/>
  <c r="T277" i="12" s="1"/>
  <c r="T246" i="12"/>
  <c r="T247" i="12"/>
  <c r="Z282" i="12"/>
  <c r="Z277" i="12" s="1"/>
  <c r="Z246" i="12"/>
  <c r="Z247" i="12"/>
  <c r="AF282" i="12"/>
  <c r="AF277" i="12" s="1"/>
  <c r="AF246" i="12"/>
  <c r="AF247" i="12"/>
  <c r="AL282" i="12"/>
  <c r="AL277" i="12" s="1"/>
  <c r="AL246" i="12"/>
  <c r="AL247" i="12"/>
  <c r="AR282" i="12"/>
  <c r="AR277" i="12" s="1"/>
  <c r="AR246" i="12"/>
  <c r="AR247" i="12"/>
  <c r="AX282" i="12"/>
  <c r="AX277" i="12" s="1"/>
  <c r="AX246" i="12"/>
  <c r="AX247" i="12"/>
  <c r="BD282" i="12"/>
  <c r="BD277" i="12" s="1"/>
  <c r="BD246" i="12"/>
  <c r="BD247" i="12"/>
  <c r="BJ282" i="12"/>
  <c r="BJ277" i="12" s="1"/>
  <c r="BJ246" i="12"/>
  <c r="BJ247" i="12"/>
  <c r="BP282" i="12"/>
  <c r="BP277" i="12" s="1"/>
  <c r="BP246" i="12"/>
  <c r="BP247" i="12"/>
  <c r="BV282" i="12"/>
  <c r="BV277" i="12" s="1"/>
  <c r="BV247" i="12"/>
  <c r="BV246" i="12"/>
  <c r="CB282" i="12"/>
  <c r="CB277" i="12" s="1"/>
  <c r="CB247" i="12"/>
  <c r="CB246" i="12"/>
  <c r="CH282" i="12"/>
  <c r="CH277" i="12" s="1"/>
  <c r="CH247" i="12"/>
  <c r="CH246" i="12"/>
  <c r="I193" i="12"/>
  <c r="W195" i="12"/>
  <c r="AL195" i="12"/>
  <c r="AU195" i="12"/>
  <c r="BM195" i="12"/>
  <c r="BY195" i="12"/>
  <c r="T311" i="12"/>
  <c r="T322" i="12"/>
  <c r="T318" i="12" s="1"/>
  <c r="Z311" i="12"/>
  <c r="Z322" i="12"/>
  <c r="Z318" i="12" s="1"/>
  <c r="AF311" i="12"/>
  <c r="AF322" i="12"/>
  <c r="AF318" i="12" s="1"/>
  <c r="AL311" i="12"/>
  <c r="AL322" i="12"/>
  <c r="AL318" i="12" s="1"/>
  <c r="AR311" i="12"/>
  <c r="AR322" i="12"/>
  <c r="AR318" i="12" s="1"/>
  <c r="AX311" i="12"/>
  <c r="AX322" i="12"/>
  <c r="AX318" i="12" s="1"/>
  <c r="BJ311" i="12"/>
  <c r="BJ322" i="12"/>
  <c r="BJ318" i="12" s="1"/>
  <c r="BP311" i="12"/>
  <c r="BP322" i="12"/>
  <c r="BP318" i="12" s="1"/>
  <c r="BV311" i="12"/>
  <c r="BV322" i="12"/>
  <c r="BV318" i="12" s="1"/>
  <c r="CB311" i="12"/>
  <c r="CB322" i="12"/>
  <c r="CB318" i="12" s="1"/>
  <c r="CH311" i="12"/>
  <c r="CH322" i="12"/>
  <c r="CH318" i="12" s="1"/>
  <c r="H193" i="12"/>
  <c r="Q280" i="12"/>
  <c r="Q302" i="12"/>
  <c r="Q297" i="12" s="1"/>
  <c r="Q324" i="12"/>
  <c r="Q319" i="12" s="1"/>
  <c r="G261" i="12"/>
  <c r="Q259" i="12"/>
  <c r="Q258" i="12"/>
  <c r="K311" i="12"/>
  <c r="K322" i="12"/>
  <c r="K318" i="12" s="1"/>
  <c r="AB311" i="12"/>
  <c r="AB322" i="12"/>
  <c r="AB318" i="12" s="1"/>
  <c r="R302" i="12"/>
  <c r="R297" i="12" s="1"/>
  <c r="R324" i="12"/>
  <c r="R319" i="12" s="1"/>
  <c r="Q251" i="12"/>
  <c r="R267" i="12"/>
  <c r="Q276" i="12"/>
  <c r="J315" i="12"/>
  <c r="Q311" i="12"/>
  <c r="Q322" i="12"/>
  <c r="Q318" i="12" s="1"/>
  <c r="G260" i="12"/>
  <c r="G264" i="12"/>
  <c r="G258" i="12" s="1"/>
  <c r="J269" i="12"/>
  <c r="J261" i="12" s="1"/>
  <c r="I264" i="12"/>
  <c r="I258" i="12" s="1"/>
  <c r="I261" i="12"/>
  <c r="R272" i="12"/>
  <c r="R262" i="12" s="1"/>
  <c r="T262" i="12"/>
  <c r="J288" i="12"/>
  <c r="J284" i="12" s="1"/>
  <c r="J275" i="12"/>
  <c r="BX311" i="12"/>
  <c r="BX322" i="12"/>
  <c r="BX318" i="12" s="1"/>
  <c r="J293" i="12"/>
  <c r="L311" i="12"/>
  <c r="AE311" i="12"/>
  <c r="BC311" i="12"/>
  <c r="CA311" i="12"/>
  <c r="AH315" i="12"/>
  <c r="BF315" i="12"/>
  <c r="CD315" i="12"/>
  <c r="K293" i="12"/>
  <c r="W311" i="12"/>
  <c r="W322" i="12"/>
  <c r="W318" i="12" s="1"/>
  <c r="AC311" i="12"/>
  <c r="AC322" i="12"/>
  <c r="AC318" i="12" s="1"/>
  <c r="AI311" i="12"/>
  <c r="AI322" i="12"/>
  <c r="AI318" i="12" s="1"/>
  <c r="AO311" i="12"/>
  <c r="AO322" i="12"/>
  <c r="AO318" i="12" s="1"/>
  <c r="AU311" i="12"/>
  <c r="AU322" i="12"/>
  <c r="AU318" i="12" s="1"/>
  <c r="BA311" i="12"/>
  <c r="BA322" i="12"/>
  <c r="BA318" i="12" s="1"/>
  <c r="BG311" i="12"/>
  <c r="BG322" i="12"/>
  <c r="BG318" i="12" s="1"/>
  <c r="BM311" i="12"/>
  <c r="BM322" i="12"/>
  <c r="BM318" i="12" s="1"/>
  <c r="BS311" i="12"/>
  <c r="BS322" i="12"/>
  <c r="BS318" i="12" s="1"/>
  <c r="BY311" i="12"/>
  <c r="BY322" i="12"/>
  <c r="BY318" i="12" s="1"/>
  <c r="CE311" i="12"/>
  <c r="CE322" i="12"/>
  <c r="CE318" i="12" s="1"/>
  <c r="AK311" i="12"/>
  <c r="BI311" i="12"/>
  <c r="CG311" i="12"/>
  <c r="AN311" i="12"/>
  <c r="AN322" i="12"/>
  <c r="AN318" i="12" s="1"/>
  <c r="BL311" i="12"/>
  <c r="BL322" i="12"/>
  <c r="BL318" i="12" s="1"/>
  <c r="Q296" i="12"/>
  <c r="S311" i="12"/>
  <c r="AQ311" i="12"/>
  <c r="BO311" i="12"/>
  <c r="V311" i="12"/>
  <c r="V322" i="12"/>
  <c r="V318" i="12" s="1"/>
  <c r="AT311" i="12"/>
  <c r="AT322" i="12"/>
  <c r="AT318" i="12" s="1"/>
  <c r="BR311" i="12"/>
  <c r="BR322" i="12"/>
  <c r="BR318" i="12" s="1"/>
  <c r="Q128" i="12" l="1"/>
  <c r="Q127" i="12"/>
  <c r="BU246" i="12"/>
  <c r="BU282" i="12"/>
  <c r="BU277" i="12" s="1"/>
  <c r="BU247" i="12"/>
  <c r="AB255" i="12"/>
  <c r="AB195" i="12"/>
  <c r="CD282" i="12"/>
  <c r="CD277" i="12" s="1"/>
  <c r="CD246" i="12"/>
  <c r="CD247" i="12"/>
  <c r="CD311" i="12"/>
  <c r="CD322" i="12"/>
  <c r="CD318" i="12" s="1"/>
  <c r="R259" i="12"/>
  <c r="R258" i="12"/>
  <c r="J246" i="12"/>
  <c r="J282" i="12"/>
  <c r="J277" i="12" s="1"/>
  <c r="J247" i="12"/>
  <c r="AQ246" i="12"/>
  <c r="AQ282" i="12"/>
  <c r="AQ277" i="12" s="1"/>
  <c r="AQ247" i="12"/>
  <c r="AE282" i="12"/>
  <c r="AE277" i="12" s="1"/>
  <c r="AE246" i="12"/>
  <c r="AE247" i="12"/>
  <c r="Q160" i="12"/>
  <c r="S144" i="12"/>
  <c r="AT255" i="12"/>
  <c r="AT195" i="12"/>
  <c r="BL128" i="12"/>
  <c r="BL127" i="12"/>
  <c r="Q159" i="12"/>
  <c r="Q144" i="12" s="1"/>
  <c r="V255" i="12"/>
  <c r="V195" i="12"/>
  <c r="R296" i="12"/>
  <c r="R315" i="12"/>
  <c r="BF311" i="12"/>
  <c r="BF322" i="12"/>
  <c r="BF318" i="12" s="1"/>
  <c r="Q244" i="12"/>
  <c r="Q243" i="12"/>
  <c r="CA247" i="12"/>
  <c r="CA282" i="12"/>
  <c r="CA277" i="12" s="1"/>
  <c r="CA246" i="12"/>
  <c r="BO246" i="12"/>
  <c r="BO247" i="12"/>
  <c r="BO282" i="12"/>
  <c r="BO277" i="12" s="1"/>
  <c r="S246" i="12"/>
  <c r="S282" i="12"/>
  <c r="S277" i="12" s="1"/>
  <c r="S247" i="12"/>
  <c r="BF255" i="12"/>
  <c r="BF195" i="12"/>
  <c r="Q201" i="12"/>
  <c r="Q129" i="12"/>
  <c r="BX255" i="12"/>
  <c r="BX195" i="12"/>
  <c r="BL255" i="12"/>
  <c r="BL195" i="12"/>
  <c r="AZ255" i="12"/>
  <c r="AZ195" i="12"/>
  <c r="K126" i="12"/>
  <c r="K124" i="12" s="1"/>
  <c r="K118" i="12"/>
  <c r="K123" i="12"/>
  <c r="K121" i="12" s="1"/>
  <c r="K282" i="12"/>
  <c r="K277" i="12" s="1"/>
  <c r="K246" i="12"/>
  <c r="K247" i="12"/>
  <c r="AH282" i="12"/>
  <c r="AH277" i="12" s="1"/>
  <c r="AH247" i="12"/>
  <c r="AH246" i="12"/>
  <c r="Q109" i="12"/>
  <c r="CG282" i="12"/>
  <c r="CG277" i="12" s="1"/>
  <c r="CG247" i="12"/>
  <c r="CG246" i="12"/>
  <c r="BI282" i="12"/>
  <c r="BI277" i="12" s="1"/>
  <c r="BI246" i="12"/>
  <c r="BI247" i="12"/>
  <c r="R244" i="12"/>
  <c r="R243" i="12"/>
  <c r="Y127" i="12"/>
  <c r="Y128" i="12"/>
  <c r="AH311" i="12"/>
  <c r="AH322" i="12"/>
  <c r="AH318" i="12" s="1"/>
  <c r="J311" i="12"/>
  <c r="J322" i="12"/>
  <c r="J318" i="12" s="1"/>
  <c r="R255" i="12"/>
  <c r="R195" i="12"/>
  <c r="BR255" i="12"/>
  <c r="BR195" i="12"/>
  <c r="BC282" i="12"/>
  <c r="BC277" i="12" s="1"/>
  <c r="BC246" i="12"/>
  <c r="BC247" i="12"/>
  <c r="AK282" i="12"/>
  <c r="AK277" i="12" s="1"/>
  <c r="AK246" i="12"/>
  <c r="AK247" i="12"/>
  <c r="R127" i="12"/>
  <c r="AN255" i="12"/>
  <c r="AN195" i="12"/>
  <c r="L126" i="12"/>
  <c r="L124" i="12" s="1"/>
  <c r="L118" i="12"/>
  <c r="L123" i="12"/>
  <c r="L121" i="12" s="1"/>
  <c r="BR282" i="12" l="1"/>
  <c r="BR277" i="12" s="1"/>
  <c r="BR247" i="12"/>
  <c r="BR246" i="12"/>
  <c r="AZ282" i="12"/>
  <c r="AZ277" i="12" s="1"/>
  <c r="AZ247" i="12"/>
  <c r="AZ246" i="12"/>
  <c r="BX282" i="12"/>
  <c r="BX277" i="12" s="1"/>
  <c r="BX247" i="12"/>
  <c r="BX246" i="12"/>
  <c r="BF282" i="12"/>
  <c r="BF277" i="12" s="1"/>
  <c r="BF247" i="12"/>
  <c r="BF246" i="12"/>
  <c r="V282" i="12"/>
  <c r="V277" i="12" s="1"/>
  <c r="V247" i="12"/>
  <c r="V246" i="12"/>
  <c r="R282" i="12"/>
  <c r="R277" i="12" s="1"/>
  <c r="R247" i="12"/>
  <c r="R246" i="12"/>
  <c r="BL282" i="12"/>
  <c r="BL277" i="12" s="1"/>
  <c r="BL247" i="12"/>
  <c r="BL246" i="12"/>
  <c r="Q255" i="12"/>
  <c r="Q195" i="12"/>
  <c r="R311" i="12"/>
  <c r="R322" i="12"/>
  <c r="R318" i="12" s="1"/>
  <c r="AT282" i="12"/>
  <c r="AT277" i="12" s="1"/>
  <c r="AT247" i="12"/>
  <c r="AT246" i="12"/>
  <c r="AB282" i="12"/>
  <c r="AB277" i="12" s="1"/>
  <c r="AB247" i="12"/>
  <c r="AB246" i="12"/>
  <c r="AN282" i="12"/>
  <c r="AN277" i="12" s="1"/>
  <c r="AN247" i="12"/>
  <c r="AN246" i="12"/>
  <c r="Q282" i="12" l="1"/>
  <c r="Q277" i="12" s="1"/>
  <c r="Q246" i="12"/>
  <c r="Q247" i="12"/>
  <c r="N10" i="5" l="1"/>
  <c r="L11" i="10" l="1"/>
  <c r="M152" i="10"/>
  <c r="M151" i="10"/>
  <c r="M145" i="10"/>
  <c r="M144" i="10"/>
  <c r="M143" i="10"/>
  <c r="M142" i="10"/>
  <c r="M141" i="10"/>
  <c r="M140" i="10"/>
  <c r="M102" i="10"/>
  <c r="M101" i="10"/>
  <c r="M100" i="10"/>
  <c r="M99" i="10"/>
  <c r="M98" i="10"/>
  <c r="M97" i="10"/>
  <c r="M76" i="10"/>
  <c r="M75" i="10"/>
  <c r="M74" i="10"/>
  <c r="M73" i="10"/>
  <c r="M72" i="10"/>
  <c r="M71" i="10"/>
  <c r="M68" i="10"/>
  <c r="M67" i="10"/>
  <c r="M65" i="10"/>
  <c r="M64" i="10"/>
  <c r="M62" i="10"/>
  <c r="M61" i="10"/>
  <c r="M30" i="10"/>
  <c r="M29" i="10"/>
  <c r="M19" i="10"/>
  <c r="M18" i="10"/>
  <c r="N1660" i="5"/>
  <c r="N1657" i="5"/>
  <c r="N1655" i="5"/>
  <c r="N1654" i="5"/>
  <c r="N1653" i="5"/>
  <c r="N1652" i="5"/>
  <c r="N1631" i="5"/>
  <c r="N1628" i="5"/>
  <c r="N1626" i="5"/>
  <c r="N1625" i="5"/>
  <c r="N1624" i="5"/>
  <c r="N1623" i="5"/>
  <c r="N1613" i="5"/>
  <c r="N1610" i="5"/>
  <c r="N1607" i="5"/>
  <c r="N1606" i="5"/>
  <c r="N1588" i="5" s="1"/>
  <c r="N1605" i="5"/>
  <c r="N1602" i="5"/>
  <c r="N1599" i="5"/>
  <c r="N1597" i="5"/>
  <c r="N1591" i="5" s="1"/>
  <c r="N1596" i="5"/>
  <c r="N1595" i="5"/>
  <c r="N1590" i="5" s="1"/>
  <c r="N1594" i="5"/>
  <c r="N1593" i="5"/>
  <c r="N1592" i="5"/>
  <c r="N1589" i="5"/>
  <c r="N1584" i="5"/>
  <c r="N1581" i="5"/>
  <c r="N1579" i="5"/>
  <c r="N1564" i="5" s="1"/>
  <c r="N1578" i="5"/>
  <c r="N1563" i="5" s="1"/>
  <c r="N1577" i="5"/>
  <c r="N1576" i="5"/>
  <c r="N1573" i="5"/>
  <c r="N1570" i="5"/>
  <c r="N1568" i="5"/>
  <c r="N1567" i="5"/>
  <c r="N1566" i="5"/>
  <c r="N1561" i="5" s="1"/>
  <c r="N1565" i="5"/>
  <c r="N1560" i="5" s="1"/>
  <c r="N1562" i="5"/>
  <c r="N1555" i="5"/>
  <c r="N1552" i="5"/>
  <c r="N1550" i="5"/>
  <c r="N1549" i="5"/>
  <c r="N1548" i="5"/>
  <c r="N1530" i="5" s="1"/>
  <c r="N1547" i="5"/>
  <c r="N1544" i="5"/>
  <c r="N1541" i="5"/>
  <c r="N1539" i="5"/>
  <c r="N1538" i="5"/>
  <c r="N1533" i="5" s="1"/>
  <c r="N1537" i="5"/>
  <c r="N1532" i="5" s="1"/>
  <c r="N1536" i="5"/>
  <c r="N1535" i="5"/>
  <c r="N1534" i="5"/>
  <c r="N1531" i="5"/>
  <c r="N1525" i="5"/>
  <c r="N1641" i="5" s="1"/>
  <c r="N1524" i="5"/>
  <c r="N1640" i="5" s="1"/>
  <c r="N1515" i="5"/>
  <c r="N1512" i="5"/>
  <c r="N1510" i="5"/>
  <c r="N1509" i="5"/>
  <c r="N1508" i="5"/>
  <c r="N1507" i="5"/>
  <c r="N1486" i="5"/>
  <c r="N1483" i="5"/>
  <c r="N1481" i="5"/>
  <c r="N1480" i="5"/>
  <c r="N1479" i="5"/>
  <c r="N1461" i="5" s="1"/>
  <c r="N1478" i="5"/>
  <c r="N1475" i="5"/>
  <c r="N1472" i="5"/>
  <c r="N1470" i="5"/>
  <c r="N1469" i="5"/>
  <c r="N1464" i="5" s="1"/>
  <c r="N1468" i="5"/>
  <c r="N1463" i="5" s="1"/>
  <c r="N1467" i="5"/>
  <c r="N1466" i="5"/>
  <c r="N1465" i="5"/>
  <c r="N1462" i="5"/>
  <c r="N1458" i="5"/>
  <c r="N1457" i="5" s="1"/>
  <c r="N1456" i="5"/>
  <c r="N1455" i="5" s="1"/>
  <c r="N1450" i="5"/>
  <c r="N1445" i="5"/>
  <c r="N1444" i="5"/>
  <c r="N1440" i="5"/>
  <c r="N1436" i="5"/>
  <c r="N1432" i="5"/>
  <c r="N1428" i="5"/>
  <c r="N1415" i="5"/>
  <c r="N1411" i="5"/>
  <c r="N1407" i="5"/>
  <c r="N1406" i="5"/>
  <c r="N1402" i="5"/>
  <c r="N1379" i="5" s="1"/>
  <c r="N1384" i="5"/>
  <c r="N1383" i="5"/>
  <c r="N1382" i="5"/>
  <c r="N1381" i="5"/>
  <c r="N1380" i="5"/>
  <c r="N1375" i="5"/>
  <c r="N1368" i="5" s="1"/>
  <c r="N1353" i="5" s="1"/>
  <c r="N1372" i="5"/>
  <c r="N1371" i="5"/>
  <c r="N1366" i="5"/>
  <c r="N1362" i="5"/>
  <c r="N1359" i="5"/>
  <c r="N1357" i="5"/>
  <c r="N1356" i="5"/>
  <c r="N1355" i="5"/>
  <c r="N1350" i="5" s="1"/>
  <c r="N1354" i="5"/>
  <c r="N1341" i="5"/>
  <c r="N1337" i="5"/>
  <c r="N1319" i="5" s="1"/>
  <c r="N1336" i="5"/>
  <c r="N1333" i="5"/>
  <c r="N1330" i="5"/>
  <c r="N1328" i="5"/>
  <c r="N1327" i="5"/>
  <c r="N1326" i="5"/>
  <c r="N1321" i="5" s="1"/>
  <c r="N1325" i="5"/>
  <c r="N1324" i="5"/>
  <c r="N1320" i="5"/>
  <c r="N1315" i="5"/>
  <c r="N1314" i="5"/>
  <c r="N1309" i="5" s="1"/>
  <c r="N1313" i="5"/>
  <c r="N1312" i="5" s="1"/>
  <c r="N1305" i="5"/>
  <c r="N1302" i="5"/>
  <c r="N1301" i="5"/>
  <c r="N1300" i="5"/>
  <c r="N1299" i="5"/>
  <c r="N1294" i="5" s="1"/>
  <c r="N1298" i="5"/>
  <c r="N1290" i="5"/>
  <c r="N1289" i="5"/>
  <c r="N1288" i="5"/>
  <c r="N1287" i="5"/>
  <c r="N1286" i="5"/>
  <c r="N1285" i="5"/>
  <c r="N1283" i="5"/>
  <c r="N1281" i="5" s="1"/>
  <c r="N1278" i="5" s="1"/>
  <c r="N1279" i="5"/>
  <c r="N1275" i="5"/>
  <c r="N1272" i="5"/>
  <c r="N1270" i="5"/>
  <c r="N1269" i="5"/>
  <c r="N1264" i="5" s="1"/>
  <c r="N1268" i="5"/>
  <c r="N1263" i="5" s="1"/>
  <c r="N1267" i="5"/>
  <c r="N1262" i="5" s="1"/>
  <c r="N1266" i="5"/>
  <c r="N1265" i="5"/>
  <c r="N1219" i="5"/>
  <c r="N1218" i="5"/>
  <c r="N1216" i="5"/>
  <c r="N1215" i="5"/>
  <c r="N1213" i="5"/>
  <c r="N1212" i="5"/>
  <c r="N1209" i="5"/>
  <c r="N1208" i="5"/>
  <c r="N1206" i="5"/>
  <c r="N1205" i="5"/>
  <c r="N1203" i="5"/>
  <c r="N1202" i="5"/>
  <c r="N1177" i="5"/>
  <c r="N1164" i="5"/>
  <c r="N1149" i="5"/>
  <c r="N1148" i="5"/>
  <c r="N1147" i="5"/>
  <c r="N1146" i="5"/>
  <c r="N1145" i="5"/>
  <c r="N1144" i="5"/>
  <c r="N1143" i="5"/>
  <c r="N1142" i="5"/>
  <c r="N1141" i="5"/>
  <c r="N1137" i="5"/>
  <c r="N1136" i="5"/>
  <c r="N1135" i="5"/>
  <c r="N1134" i="5"/>
  <c r="N1133" i="5"/>
  <c r="N1132" i="5"/>
  <c r="N1131" i="5"/>
  <c r="N1130" i="5"/>
  <c r="N1129" i="5"/>
  <c r="N1115" i="5"/>
  <c r="N1102" i="5"/>
  <c r="N1100" i="5"/>
  <c r="N1099" i="5"/>
  <c r="N1098" i="5"/>
  <c r="N1097" i="5"/>
  <c r="N1095" i="5"/>
  <c r="N1094" i="5"/>
  <c r="N1093" i="5"/>
  <c r="N1092" i="5"/>
  <c r="N1075" i="5"/>
  <c r="N1074" i="5"/>
  <c r="N1073" i="5"/>
  <c r="N1072" i="5"/>
  <c r="N1071" i="5"/>
  <c r="N1070" i="5"/>
  <c r="N1044" i="5"/>
  <c r="N1043" i="5"/>
  <c r="N1042" i="5"/>
  <c r="N1041" i="5"/>
  <c r="N1040" i="5"/>
  <c r="N1039" i="5"/>
  <c r="N1032" i="5"/>
  <c r="N1027" i="5"/>
  <c r="N1022" i="5"/>
  <c r="N964" i="5" s="1"/>
  <c r="N1017" i="5"/>
  <c r="N1012" i="5"/>
  <c r="N962" i="5" s="1"/>
  <c r="N990" i="5"/>
  <c r="N985" i="5"/>
  <c r="N976" i="5"/>
  <c r="N967" i="5"/>
  <c r="N963" i="5" s="1"/>
  <c r="N959" i="5"/>
  <c r="N954" i="5"/>
  <c r="N951" i="5"/>
  <c r="N948" i="5"/>
  <c r="N914" i="5" s="1"/>
  <c r="N945" i="5"/>
  <c r="N913" i="5" s="1"/>
  <c r="N942" i="5"/>
  <c r="N939" i="5"/>
  <c r="N930" i="5"/>
  <c r="N910" i="5" s="1"/>
  <c r="N927" i="5"/>
  <c r="N909" i="5" s="1"/>
  <c r="N922" i="5"/>
  <c r="N917" i="5"/>
  <c r="N916" i="5"/>
  <c r="N915" i="5"/>
  <c r="N912" i="5"/>
  <c r="N911" i="5"/>
  <c r="N908" i="5"/>
  <c r="N906" i="5"/>
  <c r="N900" i="5" s="1"/>
  <c r="N903" i="5"/>
  <c r="N899" i="5"/>
  <c r="N891" i="5"/>
  <c r="N890" i="5"/>
  <c r="N888" i="5"/>
  <c r="N880" i="5"/>
  <c r="N872" i="5"/>
  <c r="N871" i="5"/>
  <c r="N870" i="5"/>
  <c r="N869" i="5"/>
  <c r="N868" i="5"/>
  <c r="N867" i="5"/>
  <c r="N865" i="5"/>
  <c r="N864" i="5"/>
  <c r="N863" i="5"/>
  <c r="N862" i="5"/>
  <c r="N861" i="5"/>
  <c r="N860" i="5"/>
  <c r="N853" i="5"/>
  <c r="N848" i="5"/>
  <c r="N844" i="5"/>
  <c r="N841" i="5"/>
  <c r="N835" i="5"/>
  <c r="N830" i="5"/>
  <c r="N826" i="5"/>
  <c r="N823" i="5"/>
  <c r="N821" i="5"/>
  <c r="N818" i="5"/>
  <c r="N814" i="5"/>
  <c r="N1528" i="5" s="1"/>
  <c r="N1644" i="5" s="1"/>
  <c r="N813" i="5"/>
  <c r="N809" i="5"/>
  <c r="N808" i="5"/>
  <c r="N803" i="5"/>
  <c r="N800" i="5"/>
  <c r="N799" i="5"/>
  <c r="N798" i="5"/>
  <c r="N797" i="5"/>
  <c r="N793" i="5"/>
  <c r="N790" i="5"/>
  <c r="N769" i="5" s="1"/>
  <c r="N787" i="5"/>
  <c r="N771" i="5" s="1"/>
  <c r="N785" i="5"/>
  <c r="N781" i="5"/>
  <c r="N778" i="5"/>
  <c r="N767" i="5" s="1"/>
  <c r="N775" i="5"/>
  <c r="N768" i="5" s="1"/>
  <c r="N773" i="5"/>
  <c r="N766" i="5"/>
  <c r="N763" i="5"/>
  <c r="N1317" i="5" s="1"/>
  <c r="N1346" i="5" s="1"/>
  <c r="N1339" i="5" s="1"/>
  <c r="N762" i="5"/>
  <c r="N1316" i="5" s="1"/>
  <c r="N758" i="5"/>
  <c r="N757" i="5"/>
  <c r="N756" i="5"/>
  <c r="N752" i="5"/>
  <c r="N749" i="5"/>
  <c r="N748" i="5"/>
  <c r="N747" i="5"/>
  <c r="N746" i="5"/>
  <c r="N742" i="5"/>
  <c r="N739" i="5"/>
  <c r="N738" i="5"/>
  <c r="N737" i="5"/>
  <c r="N733" i="5"/>
  <c r="N732" i="5"/>
  <c r="N731" i="5"/>
  <c r="N729" i="5"/>
  <c r="N723" i="5"/>
  <c r="N720" i="5"/>
  <c r="N718" i="5"/>
  <c r="N717" i="5"/>
  <c r="N716" i="5"/>
  <c r="N715" i="5"/>
  <c r="N712" i="5"/>
  <c r="N709" i="5"/>
  <c r="N707" i="5"/>
  <c r="N706" i="5"/>
  <c r="N701" i="5" s="1"/>
  <c r="N705" i="5"/>
  <c r="N704" i="5"/>
  <c r="N703" i="5"/>
  <c r="N702" i="5"/>
  <c r="N699" i="5"/>
  <c r="N696" i="5"/>
  <c r="N1441" i="5" s="1"/>
  <c r="N695" i="5"/>
  <c r="N694" i="5"/>
  <c r="N1439" i="5" s="1"/>
  <c r="N693" i="5"/>
  <c r="N1438" i="5" s="1"/>
  <c r="N692" i="5"/>
  <c r="N1437" i="5" s="1"/>
  <c r="N687" i="5"/>
  <c r="N686" i="5"/>
  <c r="N1431" i="5" s="1"/>
  <c r="N684" i="5"/>
  <c r="N1429" i="5" s="1"/>
  <c r="N683" i="5"/>
  <c r="N682" i="5"/>
  <c r="N1427" i="5" s="1"/>
  <c r="N672" i="5"/>
  <c r="N671" i="5"/>
  <c r="N670" i="5"/>
  <c r="N669" i="5"/>
  <c r="N668" i="5" s="1"/>
  <c r="N661" i="5" s="1"/>
  <c r="N667" i="5"/>
  <c r="N666" i="5"/>
  <c r="N665" i="5"/>
  <c r="N664" i="5"/>
  <c r="N655" i="5"/>
  <c r="N652" i="5"/>
  <c r="N651" i="5"/>
  <c r="N650" i="5"/>
  <c r="N649" i="5"/>
  <c r="N648" i="5"/>
  <c r="N645" i="5"/>
  <c r="N642" i="5"/>
  <c r="N641" i="5"/>
  <c r="N640" i="5"/>
  <c r="N639" i="5"/>
  <c r="N638" i="5"/>
  <c r="N618" i="5"/>
  <c r="N615" i="5"/>
  <c r="N614" i="5"/>
  <c r="N613" i="5"/>
  <c r="N612" i="5"/>
  <c r="N611" i="5"/>
  <c r="N604" i="5"/>
  <c r="N601" i="5"/>
  <c r="N600" i="5"/>
  <c r="N599" i="5"/>
  <c r="N598" i="5"/>
  <c r="N597" i="5"/>
  <c r="N594" i="5"/>
  <c r="N591" i="5"/>
  <c r="N590" i="5"/>
  <c r="N563" i="5" s="1"/>
  <c r="N589" i="5"/>
  <c r="N588" i="5"/>
  <c r="N587" i="5"/>
  <c r="N584" i="5"/>
  <c r="N581" i="5"/>
  <c r="N580" i="5"/>
  <c r="N579" i="5"/>
  <c r="N578" i="5"/>
  <c r="N577" i="5"/>
  <c r="N574" i="5"/>
  <c r="N547" i="5" s="1"/>
  <c r="N571" i="5"/>
  <c r="N570" i="5"/>
  <c r="N569" i="5"/>
  <c r="N566" i="5"/>
  <c r="N562" i="5"/>
  <c r="N561" i="5"/>
  <c r="N560" i="5"/>
  <c r="N559" i="5"/>
  <c r="N558" i="5"/>
  <c r="N556" i="5"/>
  <c r="N555" i="5"/>
  <c r="N552" i="5"/>
  <c r="N549" i="5"/>
  <c r="N548" i="5"/>
  <c r="N530" i="5"/>
  <c r="N681" i="5" s="1"/>
  <c r="N1426" i="5" s="1"/>
  <c r="N517" i="5"/>
  <c r="N514" i="5"/>
  <c r="N507" i="5"/>
  <c r="N500" i="5"/>
  <c r="N494" i="5"/>
  <c r="N489" i="5"/>
  <c r="N487" i="5"/>
  <c r="N481" i="5" s="1"/>
  <c r="N486" i="5"/>
  <c r="N484" i="5"/>
  <c r="N483" i="5"/>
  <c r="N482" i="5"/>
  <c r="N445" i="5"/>
  <c r="N444" i="5"/>
  <c r="N442" i="5"/>
  <c r="N441" i="5"/>
  <c r="N439" i="5"/>
  <c r="N438" i="5"/>
  <c r="N436" i="5"/>
  <c r="N435" i="5"/>
  <c r="N432" i="5"/>
  <c r="N431" i="5"/>
  <c r="N429" i="5"/>
  <c r="N428" i="5"/>
  <c r="N426" i="5"/>
  <c r="N425" i="5"/>
  <c r="N423" i="5"/>
  <c r="N422" i="5"/>
  <c r="N416" i="5"/>
  <c r="N413" i="5"/>
  <c r="N412" i="5"/>
  <c r="N411" i="5"/>
  <c r="N410" i="5"/>
  <c r="N404" i="5"/>
  <c r="N403" i="5"/>
  <c r="N402" i="5"/>
  <c r="N401" i="5"/>
  <c r="N389" i="5"/>
  <c r="N388" i="5"/>
  <c r="N377" i="5" s="1"/>
  <c r="N381" i="5"/>
  <c r="N379" i="5" s="1"/>
  <c r="N380" i="5"/>
  <c r="N374" i="5"/>
  <c r="N373" i="5"/>
  <c r="N366" i="5"/>
  <c r="N365" i="5"/>
  <c r="N363" i="5" s="1"/>
  <c r="N358" i="5"/>
  <c r="N357" i="5"/>
  <c r="N356" i="5"/>
  <c r="N355" i="5"/>
  <c r="N354" i="5"/>
  <c r="N352" i="5"/>
  <c r="N351" i="5"/>
  <c r="N350" i="5"/>
  <c r="N349" i="5" s="1"/>
  <c r="N342" i="5"/>
  <c r="N341" i="5"/>
  <c r="N340" i="5"/>
  <c r="N543" i="5" s="1"/>
  <c r="N339" i="5"/>
  <c r="N540" i="5" s="1"/>
  <c r="N691" i="5" s="1"/>
  <c r="N338" i="5"/>
  <c r="N539" i="5" s="1"/>
  <c r="N690" i="5" s="1"/>
  <c r="N1435" i="5" s="1"/>
  <c r="N337" i="5"/>
  <c r="N538" i="5" s="1"/>
  <c r="N689" i="5" s="1"/>
  <c r="N1434" i="5" s="1"/>
  <c r="N334" i="5"/>
  <c r="N534" i="5" s="1"/>
  <c r="N685" i="5" s="1"/>
  <c r="N1430" i="5" s="1"/>
  <c r="N333" i="5"/>
  <c r="N531" i="5" s="1"/>
  <c r="N332" i="5"/>
  <c r="N316" i="5"/>
  <c r="N310" i="5"/>
  <c r="N307" i="5"/>
  <c r="N306" i="5"/>
  <c r="N305" i="5"/>
  <c r="N304" i="5"/>
  <c r="N302" i="5"/>
  <c r="N301" i="5"/>
  <c r="N300" i="5" s="1"/>
  <c r="N297" i="5"/>
  <c r="N296" i="5"/>
  <c r="N295" i="5"/>
  <c r="N291" i="5"/>
  <c r="N288" i="5"/>
  <c r="N287" i="5"/>
  <c r="N286" i="5"/>
  <c r="N278" i="5"/>
  <c r="N275" i="5"/>
  <c r="N272" i="5"/>
  <c r="N270" i="5"/>
  <c r="N268" i="5"/>
  <c r="N267" i="5"/>
  <c r="N266" i="5"/>
  <c r="N261" i="5"/>
  <c r="N321" i="5" s="1"/>
  <c r="N315" i="5" s="1"/>
  <c r="N260" i="5"/>
  <c r="N259" i="5"/>
  <c r="N258" i="5"/>
  <c r="N252" i="5"/>
  <c r="N248" i="5"/>
  <c r="N246" i="5"/>
  <c r="N242" i="5"/>
  <c r="N241" i="5"/>
  <c r="N238" i="5"/>
  <c r="N529" i="5" s="1"/>
  <c r="N680" i="5" s="1"/>
  <c r="N1425" i="5" s="1"/>
  <c r="N237" i="5"/>
  <c r="N528" i="5" s="1"/>
  <c r="N236" i="5"/>
  <c r="N231" i="5"/>
  <c r="N227" i="5"/>
  <c r="N224" i="5" s="1"/>
  <c r="N215" i="5"/>
  <c r="N211" i="5"/>
  <c r="N210" i="5" s="1"/>
  <c r="N207" i="5"/>
  <c r="N204" i="5"/>
  <c r="N203" i="5"/>
  <c r="N202" i="5"/>
  <c r="N201" i="5"/>
  <c r="N197" i="5"/>
  <c r="N193" i="5"/>
  <c r="N192" i="5" s="1"/>
  <c r="N189" i="5"/>
  <c r="N186" i="5"/>
  <c r="N185" i="5"/>
  <c r="N183" i="5"/>
  <c r="N175" i="5"/>
  <c r="N172" i="5"/>
  <c r="N161" i="5" s="1"/>
  <c r="N158" i="5"/>
  <c r="N163" i="5"/>
  <c r="N162" i="5"/>
  <c r="N160" i="5"/>
  <c r="N159" i="5"/>
  <c r="N138" i="5"/>
  <c r="N137" i="5"/>
  <c r="N136" i="5"/>
  <c r="N134" i="5"/>
  <c r="N133" i="5"/>
  <c r="N132" i="5"/>
  <c r="N130" i="5"/>
  <c r="N129" i="5"/>
  <c r="N128" i="5"/>
  <c r="N95" i="5"/>
  <c r="N94" i="5"/>
  <c r="N93" i="5"/>
  <c r="N91" i="5"/>
  <c r="N90" i="5"/>
  <c r="N89" i="5"/>
  <c r="N87" i="5"/>
  <c r="N86" i="5"/>
  <c r="N85" i="5"/>
  <c r="N79" i="5"/>
  <c r="N76" i="5"/>
  <c r="N73" i="5" s="1"/>
  <c r="N75" i="5"/>
  <c r="N74" i="5"/>
  <c r="N70" i="5"/>
  <c r="N67" i="5"/>
  <c r="N66" i="5"/>
  <c r="N65" i="5"/>
  <c r="N59" i="5"/>
  <c r="N283" i="5" s="1"/>
  <c r="N271" i="5" s="1"/>
  <c r="N55" i="5"/>
  <c r="N54" i="5" s="1"/>
  <c r="N282" i="5" s="1"/>
  <c r="N46" i="5"/>
  <c r="N43" i="5" s="1"/>
  <c r="N44" i="5"/>
  <c r="N38" i="5"/>
  <c r="N34" i="5"/>
  <c r="N33" i="5" s="1"/>
  <c r="N21" i="5" s="1"/>
  <c r="N29" i="5"/>
  <c r="N25" i="5"/>
  <c r="N1404" i="5" l="1"/>
  <c r="N1261" i="5"/>
  <c r="N364" i="5"/>
  <c r="N285" i="5"/>
  <c r="N221" i="5"/>
  <c r="N64" i="5"/>
  <c r="N23" i="5"/>
  <c r="N634" i="5"/>
  <c r="N633" i="5"/>
  <c r="N632" i="5"/>
  <c r="N635" i="5"/>
  <c r="N1618" i="5"/>
  <c r="N281" i="5"/>
  <c r="N269" i="5"/>
  <c r="N294" i="5"/>
  <c r="N353" i="5"/>
  <c r="N347" i="5" s="1"/>
  <c r="N636" i="5"/>
  <c r="N698" i="5"/>
  <c r="N700" i="5"/>
  <c r="N755" i="5"/>
  <c r="N770" i="5"/>
  <c r="N960" i="5"/>
  <c r="N965" i="5"/>
  <c r="N1311" i="5"/>
  <c r="N1297" i="5" s="1"/>
  <c r="N1443" i="5"/>
  <c r="N1442" i="5"/>
  <c r="N1521" i="5"/>
  <c r="N1506" i="5" s="1"/>
  <c r="N362" i="5"/>
  <c r="N637" i="5"/>
  <c r="N663" i="5"/>
  <c r="N660" i="5" s="1"/>
  <c r="N1310" i="5"/>
  <c r="N1345" i="5"/>
  <c r="N820" i="5"/>
  <c r="N819" i="5"/>
  <c r="N958" i="5"/>
  <c r="N961" i="5"/>
  <c r="N966" i="5"/>
  <c r="N1370" i="5"/>
  <c r="N1365" i="5"/>
  <c r="N1669" i="5"/>
  <c r="N1639" i="5"/>
  <c r="N1634" i="5"/>
  <c r="N525" i="5"/>
  <c r="N679" i="5"/>
  <c r="N537" i="5"/>
  <c r="N336" i="5"/>
  <c r="N335" i="5" s="1"/>
  <c r="N327" i="5" s="1"/>
  <c r="N240" i="5"/>
  <c r="N223" i="5" s="1"/>
  <c r="N346" i="5"/>
  <c r="N348" i="5"/>
  <c r="N345" i="5" s="1"/>
  <c r="N499" i="5"/>
  <c r="N736" i="5"/>
  <c r="N726" i="5" s="1"/>
  <c r="N728" i="5"/>
  <c r="N812" i="5"/>
  <c r="N806" i="5" s="1"/>
  <c r="N1527" i="5"/>
  <c r="N817" i="5"/>
  <c r="N816" i="5"/>
  <c r="N22" i="5"/>
  <c r="N257" i="5"/>
  <c r="N320" i="5"/>
  <c r="N378" i="5"/>
  <c r="N526" i="5"/>
  <c r="N523" i="5" s="1"/>
  <c r="N479" i="5" s="1"/>
  <c r="N551" i="5"/>
  <c r="N553" i="5"/>
  <c r="N565" i="5"/>
  <c r="N567" i="5"/>
  <c r="N568" i="5"/>
  <c r="N554" i="5"/>
  <c r="N807" i="5"/>
  <c r="N1673" i="5"/>
  <c r="N1666" i="5" s="1"/>
  <c r="N1651" i="5" s="1"/>
  <c r="N1637" i="5"/>
  <c r="N1622" i="5" s="1"/>
  <c r="N1293" i="5"/>
  <c r="N1670" i="5"/>
  <c r="N1664" i="5" s="1"/>
  <c r="N1648" i="5" s="1"/>
  <c r="N1635" i="5"/>
  <c r="N1619" i="5" s="1"/>
  <c r="N45" i="5"/>
  <c r="N42" i="5" s="1"/>
  <c r="N184" i="5"/>
  <c r="N330" i="5"/>
  <c r="N761" i="5"/>
  <c r="N1292" i="5"/>
  <c r="N1308" i="5"/>
  <c r="N1501" i="5"/>
  <c r="N1518" i="5"/>
  <c r="N1502" i="5" s="1"/>
  <c r="N1523" i="5"/>
  <c r="N1559" i="5"/>
  <c r="N331" i="5"/>
  <c r="N1519" i="5"/>
  <c r="N1503" i="5" s="1"/>
  <c r="M484" i="5"/>
  <c r="M485" i="5"/>
  <c r="N245" i="5" l="1"/>
  <c r="N244" i="5"/>
  <c r="N1520" i="5"/>
  <c r="N1643" i="5"/>
  <c r="N1526" i="5"/>
  <c r="N688" i="5"/>
  <c r="N527" i="5"/>
  <c r="N524" i="5" s="1"/>
  <c r="N480" i="5" s="1"/>
  <c r="N1668" i="5"/>
  <c r="N1663" i="5"/>
  <c r="N1374" i="5"/>
  <c r="N1338" i="5"/>
  <c r="N1344" i="5"/>
  <c r="N314" i="5"/>
  <c r="N319" i="5"/>
  <c r="N313" i="5" s="1"/>
  <c r="N329" i="5"/>
  <c r="N1348" i="5"/>
  <c r="N1349" i="5"/>
  <c r="N1296" i="5"/>
  <c r="N1295" i="5"/>
  <c r="N222" i="5"/>
  <c r="N225" i="5"/>
  <c r="N220" i="5"/>
  <c r="N677" i="5"/>
  <c r="N674" i="5" s="1"/>
  <c r="N676" i="5"/>
  <c r="N1424" i="5"/>
  <c r="N1617" i="5"/>
  <c r="N522" i="5"/>
  <c r="N478" i="5" s="1"/>
  <c r="L1222" i="10"/>
  <c r="L1215" i="10"/>
  <c r="L1207" i="10"/>
  <c r="L1206" i="10"/>
  <c r="L1204" i="10"/>
  <c r="L1199" i="10"/>
  <c r="L1198" i="10"/>
  <c r="L1194" i="10"/>
  <c r="L1168" i="10"/>
  <c r="L1167" i="10"/>
  <c r="L1166" i="10"/>
  <c r="L1164" i="10"/>
  <c r="L1163" i="10"/>
  <c r="L1159" i="10"/>
  <c r="L1160" i="10"/>
  <c r="L1161" i="10"/>
  <c r="L1158" i="10"/>
  <c r="L1156" i="10"/>
  <c r="L221" i="10"/>
  <c r="L218" i="10"/>
  <c r="L1533" i="10"/>
  <c r="K1533" i="10"/>
  <c r="J1533" i="10"/>
  <c r="I1533" i="10"/>
  <c r="H1533" i="10"/>
  <c r="G1533" i="10"/>
  <c r="F1533" i="10"/>
  <c r="E1533" i="10"/>
  <c r="D1533" i="10"/>
  <c r="L1532" i="10"/>
  <c r="K1532" i="10"/>
  <c r="J1532" i="10"/>
  <c r="I1532" i="10"/>
  <c r="H1532" i="10"/>
  <c r="G1532" i="10"/>
  <c r="F1532" i="10"/>
  <c r="E1532" i="10"/>
  <c r="D1532" i="10"/>
  <c r="L1531" i="10"/>
  <c r="K1531" i="10"/>
  <c r="J1531" i="10"/>
  <c r="I1531" i="10"/>
  <c r="H1531" i="10"/>
  <c r="G1531" i="10"/>
  <c r="F1531" i="10"/>
  <c r="E1531" i="10"/>
  <c r="D1531" i="10"/>
  <c r="L1530" i="10"/>
  <c r="K1530" i="10"/>
  <c r="J1530" i="10"/>
  <c r="I1530" i="10"/>
  <c r="H1530" i="10"/>
  <c r="G1530" i="10"/>
  <c r="F1530" i="10"/>
  <c r="E1530" i="10"/>
  <c r="D1530" i="10"/>
  <c r="J1529" i="10"/>
  <c r="I1529" i="10"/>
  <c r="H1529" i="10"/>
  <c r="G1529" i="10"/>
  <c r="F1529" i="10"/>
  <c r="E1529" i="10"/>
  <c r="D1529" i="10"/>
  <c r="J1528" i="10"/>
  <c r="I1528" i="10"/>
  <c r="H1528" i="10"/>
  <c r="G1528" i="10"/>
  <c r="F1528" i="10"/>
  <c r="E1528" i="10"/>
  <c r="D1528" i="10"/>
  <c r="J1526" i="10"/>
  <c r="I1526" i="10"/>
  <c r="H1526" i="10"/>
  <c r="G1526" i="10"/>
  <c r="F1526" i="10"/>
  <c r="E1526" i="10"/>
  <c r="D1526" i="10"/>
  <c r="L1523" i="10"/>
  <c r="K1523" i="10"/>
  <c r="J1523" i="10"/>
  <c r="I1523" i="10"/>
  <c r="H1523" i="10"/>
  <c r="L1522" i="10"/>
  <c r="K1522" i="10"/>
  <c r="J1522" i="10"/>
  <c r="I1522" i="10"/>
  <c r="H1522" i="10"/>
  <c r="L1521" i="10"/>
  <c r="K1521" i="10"/>
  <c r="J1521" i="10"/>
  <c r="I1521" i="10"/>
  <c r="H1521" i="10"/>
  <c r="L1520" i="10"/>
  <c r="K1520" i="10"/>
  <c r="J1520" i="10"/>
  <c r="I1520" i="10"/>
  <c r="H1520" i="10"/>
  <c r="L1519" i="10"/>
  <c r="K1519" i="10"/>
  <c r="J1519" i="10"/>
  <c r="I1519" i="10"/>
  <c r="H1519" i="10"/>
  <c r="L1518" i="10"/>
  <c r="K1518" i="10"/>
  <c r="J1518" i="10"/>
  <c r="I1518" i="10"/>
  <c r="H1518" i="10"/>
  <c r="L1516" i="10"/>
  <c r="K1516" i="10"/>
  <c r="J1516" i="10"/>
  <c r="I1516" i="10"/>
  <c r="H1516" i="10"/>
  <c r="L1515" i="10"/>
  <c r="K1515" i="10"/>
  <c r="J1515" i="10"/>
  <c r="I1515" i="10"/>
  <c r="H1515" i="10"/>
  <c r="L1514" i="10"/>
  <c r="K1514" i="10"/>
  <c r="J1514" i="10"/>
  <c r="I1514" i="10"/>
  <c r="H1514" i="10"/>
  <c r="L1513" i="10"/>
  <c r="K1513" i="10"/>
  <c r="J1513" i="10"/>
  <c r="I1513" i="10"/>
  <c r="H1513" i="10"/>
  <c r="L1512" i="10"/>
  <c r="K1512" i="10"/>
  <c r="J1512" i="10"/>
  <c r="I1512" i="10"/>
  <c r="H1512" i="10"/>
  <c r="L1511" i="10"/>
  <c r="K1511" i="10"/>
  <c r="J1511" i="10"/>
  <c r="I1511" i="10"/>
  <c r="H1511" i="10"/>
  <c r="L1508" i="10"/>
  <c r="K1508" i="10"/>
  <c r="J1508" i="10"/>
  <c r="I1508" i="10"/>
  <c r="H1508" i="10"/>
  <c r="L1507" i="10"/>
  <c r="K1507" i="10"/>
  <c r="J1507" i="10"/>
  <c r="I1507" i="10"/>
  <c r="H1507" i="10"/>
  <c r="L1506" i="10"/>
  <c r="K1506" i="10"/>
  <c r="J1506" i="10"/>
  <c r="I1506" i="10"/>
  <c r="H1506" i="10"/>
  <c r="L1505" i="10"/>
  <c r="K1505" i="10"/>
  <c r="J1505" i="10"/>
  <c r="I1505" i="10"/>
  <c r="H1505" i="10"/>
  <c r="L1504" i="10"/>
  <c r="K1504" i="10"/>
  <c r="J1504" i="10"/>
  <c r="I1504" i="10"/>
  <c r="H1504" i="10"/>
  <c r="L1503" i="10"/>
  <c r="K1503" i="10"/>
  <c r="J1503" i="10"/>
  <c r="I1503" i="10"/>
  <c r="H1503" i="10"/>
  <c r="L1500" i="10"/>
  <c r="K1500" i="10"/>
  <c r="J1500" i="10"/>
  <c r="I1500" i="10"/>
  <c r="H1500" i="10"/>
  <c r="L1499" i="10"/>
  <c r="K1499" i="10"/>
  <c r="J1499" i="10"/>
  <c r="I1499" i="10"/>
  <c r="H1499" i="10"/>
  <c r="L1498" i="10"/>
  <c r="K1498" i="10"/>
  <c r="J1498" i="10"/>
  <c r="I1498" i="10"/>
  <c r="H1498" i="10"/>
  <c r="L1497" i="10"/>
  <c r="K1497" i="10"/>
  <c r="J1497" i="10"/>
  <c r="I1497" i="10"/>
  <c r="H1497" i="10"/>
  <c r="L1496" i="10"/>
  <c r="K1496" i="10"/>
  <c r="J1496" i="10"/>
  <c r="I1496" i="10"/>
  <c r="H1496" i="10"/>
  <c r="L1476" i="10"/>
  <c r="K1476" i="10"/>
  <c r="J1476" i="10"/>
  <c r="I1476" i="10"/>
  <c r="H1476" i="10"/>
  <c r="G1476" i="10"/>
  <c r="F1476" i="10"/>
  <c r="E1476" i="10"/>
  <c r="D1476" i="10"/>
  <c r="L1475" i="10"/>
  <c r="K1475" i="10"/>
  <c r="J1475" i="10"/>
  <c r="I1475" i="10"/>
  <c r="H1475" i="10"/>
  <c r="G1475" i="10"/>
  <c r="F1475" i="10"/>
  <c r="E1475" i="10"/>
  <c r="D1475" i="10"/>
  <c r="L1473" i="10"/>
  <c r="K1473" i="10"/>
  <c r="J1473" i="10"/>
  <c r="I1473" i="10"/>
  <c r="H1473" i="10"/>
  <c r="G1473" i="10"/>
  <c r="F1473" i="10"/>
  <c r="E1473" i="10"/>
  <c r="D1473" i="10"/>
  <c r="L1472" i="10"/>
  <c r="K1472" i="10"/>
  <c r="J1472" i="10"/>
  <c r="I1472" i="10"/>
  <c r="H1472" i="10"/>
  <c r="G1472" i="10"/>
  <c r="F1472" i="10"/>
  <c r="E1472" i="10"/>
  <c r="D1472" i="10"/>
  <c r="L1469" i="10"/>
  <c r="K1469" i="10"/>
  <c r="J1469" i="10"/>
  <c r="I1469" i="10"/>
  <c r="H1469" i="10"/>
  <c r="G1469" i="10"/>
  <c r="F1469" i="10"/>
  <c r="E1469" i="10"/>
  <c r="D1469" i="10"/>
  <c r="L1468" i="10"/>
  <c r="K1468" i="10"/>
  <c r="J1468" i="10"/>
  <c r="I1468" i="10"/>
  <c r="H1468" i="10"/>
  <c r="G1468" i="10"/>
  <c r="F1468" i="10"/>
  <c r="E1468" i="10"/>
  <c r="D1468" i="10"/>
  <c r="L1466" i="10"/>
  <c r="K1466" i="10"/>
  <c r="J1466" i="10"/>
  <c r="I1466" i="10"/>
  <c r="H1466" i="10"/>
  <c r="G1466" i="10"/>
  <c r="F1466" i="10"/>
  <c r="E1466" i="10"/>
  <c r="D1466" i="10"/>
  <c r="L1465" i="10"/>
  <c r="K1465" i="10"/>
  <c r="J1465" i="10"/>
  <c r="I1465" i="10"/>
  <c r="H1465" i="10"/>
  <c r="G1465" i="10"/>
  <c r="F1465" i="10"/>
  <c r="E1465" i="10"/>
  <c r="D1465" i="10"/>
  <c r="L1458" i="10"/>
  <c r="K1458" i="10"/>
  <c r="J1458" i="10"/>
  <c r="I1458" i="10"/>
  <c r="H1458" i="10"/>
  <c r="L1457" i="10"/>
  <c r="K1457" i="10"/>
  <c r="J1457" i="10"/>
  <c r="I1457" i="10"/>
  <c r="H1457" i="10"/>
  <c r="L1455" i="10"/>
  <c r="K1455" i="10"/>
  <c r="J1455" i="10"/>
  <c r="I1455" i="10"/>
  <c r="H1455" i="10"/>
  <c r="L1454" i="10"/>
  <c r="K1454" i="10"/>
  <c r="J1454" i="10"/>
  <c r="I1454" i="10"/>
  <c r="H1454" i="10"/>
  <c r="L1452" i="10"/>
  <c r="K1452" i="10"/>
  <c r="J1452" i="10"/>
  <c r="I1452" i="10"/>
  <c r="H1452" i="10"/>
  <c r="L1451" i="10"/>
  <c r="K1451" i="10"/>
  <c r="J1451" i="10"/>
  <c r="I1451" i="10"/>
  <c r="H1451" i="10"/>
  <c r="L1444" i="10"/>
  <c r="K1444" i="10"/>
  <c r="J1444" i="10"/>
  <c r="I1444" i="10"/>
  <c r="H1444" i="10"/>
  <c r="L1443" i="10"/>
  <c r="K1443" i="10"/>
  <c r="J1443" i="10"/>
  <c r="I1443" i="10"/>
  <c r="H1443" i="10"/>
  <c r="L1440" i="10"/>
  <c r="K1440" i="10"/>
  <c r="J1440" i="10"/>
  <c r="I1440" i="10"/>
  <c r="H1440" i="10"/>
  <c r="G1440" i="10"/>
  <c r="F1440" i="10"/>
  <c r="E1440" i="10"/>
  <c r="D1440" i="10"/>
  <c r="G1436" i="10"/>
  <c r="L1435" i="10"/>
  <c r="K1435" i="10"/>
  <c r="J1435" i="10"/>
  <c r="I1435" i="10"/>
  <c r="H1435" i="10"/>
  <c r="L1433" i="10"/>
  <c r="K1433" i="10"/>
  <c r="J1433" i="10"/>
  <c r="I1433" i="10"/>
  <c r="H1433" i="10"/>
  <c r="G1433" i="10"/>
  <c r="L1432" i="10"/>
  <c r="K1432" i="10"/>
  <c r="J1432" i="10"/>
  <c r="I1432" i="10"/>
  <c r="H1432" i="10"/>
  <c r="G1432" i="10"/>
  <c r="L1431" i="10"/>
  <c r="K1431" i="10"/>
  <c r="J1431" i="10"/>
  <c r="I1431" i="10"/>
  <c r="H1431" i="10"/>
  <c r="G1431" i="10"/>
  <c r="G1429" i="10"/>
  <c r="G1428" i="10"/>
  <c r="G1427" i="10"/>
  <c r="G1426" i="10"/>
  <c r="G1425" i="10"/>
  <c r="G1424" i="10"/>
  <c r="L1422" i="10"/>
  <c r="K1422" i="10"/>
  <c r="J1422" i="10"/>
  <c r="I1422" i="10"/>
  <c r="H1422" i="10"/>
  <c r="L1421" i="10"/>
  <c r="K1421" i="10"/>
  <c r="J1421" i="10"/>
  <c r="I1421" i="10"/>
  <c r="H1421" i="10"/>
  <c r="L1420" i="10"/>
  <c r="K1420" i="10"/>
  <c r="J1420" i="10"/>
  <c r="I1420" i="10"/>
  <c r="H1420" i="10"/>
  <c r="L1419" i="10"/>
  <c r="K1419" i="10"/>
  <c r="J1419" i="10"/>
  <c r="I1419" i="10"/>
  <c r="H1419" i="10"/>
  <c r="L1418" i="10"/>
  <c r="K1418" i="10"/>
  <c r="J1418" i="10"/>
  <c r="I1418" i="10"/>
  <c r="H1418" i="10"/>
  <c r="L1417" i="10"/>
  <c r="K1417" i="10"/>
  <c r="J1417" i="10"/>
  <c r="I1417" i="10"/>
  <c r="H1417" i="10"/>
  <c r="L1416" i="10"/>
  <c r="K1416" i="10"/>
  <c r="J1416" i="10"/>
  <c r="I1416" i="10"/>
  <c r="H1416" i="10"/>
  <c r="K1412" i="10"/>
  <c r="J1412" i="10"/>
  <c r="I1412" i="10"/>
  <c r="H1412" i="10"/>
  <c r="G1410" i="10"/>
  <c r="F1410" i="10"/>
  <c r="E1410" i="10"/>
  <c r="D1410" i="10"/>
  <c r="L1409" i="10"/>
  <c r="K1409" i="10"/>
  <c r="J1409" i="10"/>
  <c r="I1409" i="10"/>
  <c r="H1409" i="10"/>
  <c r="L1408" i="10"/>
  <c r="K1408" i="10"/>
  <c r="J1408" i="10"/>
  <c r="I1408" i="10"/>
  <c r="H1408" i="10"/>
  <c r="L1407" i="10"/>
  <c r="K1407" i="10"/>
  <c r="J1407" i="10"/>
  <c r="I1407" i="10"/>
  <c r="H1407" i="10"/>
  <c r="L1405" i="10"/>
  <c r="K1405" i="10"/>
  <c r="J1405" i="10"/>
  <c r="I1405" i="10"/>
  <c r="H1405" i="10"/>
  <c r="L1404" i="10"/>
  <c r="K1404" i="10"/>
  <c r="J1404" i="10"/>
  <c r="I1404" i="10"/>
  <c r="H1404" i="10"/>
  <c r="L1403" i="10"/>
  <c r="K1403" i="10"/>
  <c r="J1403" i="10"/>
  <c r="I1403" i="10"/>
  <c r="H1403" i="10"/>
  <c r="L1401" i="10"/>
  <c r="K1401" i="10"/>
  <c r="J1401" i="10"/>
  <c r="I1401" i="10"/>
  <c r="H1401" i="10"/>
  <c r="L1400" i="10"/>
  <c r="K1400" i="10"/>
  <c r="J1400" i="10"/>
  <c r="I1400" i="10"/>
  <c r="H1400" i="10"/>
  <c r="L1399" i="10"/>
  <c r="K1399" i="10"/>
  <c r="J1399" i="10"/>
  <c r="I1399" i="10"/>
  <c r="H1399" i="10"/>
  <c r="L1395" i="10"/>
  <c r="K1395" i="10"/>
  <c r="J1395" i="10"/>
  <c r="I1395" i="10"/>
  <c r="H1395" i="10"/>
  <c r="L1394" i="10"/>
  <c r="K1394" i="10"/>
  <c r="J1394" i="10"/>
  <c r="I1394" i="10"/>
  <c r="H1394" i="10"/>
  <c r="L1392" i="10"/>
  <c r="K1392" i="10"/>
  <c r="J1392" i="10"/>
  <c r="I1392" i="10"/>
  <c r="H1392" i="10"/>
  <c r="G1392" i="10"/>
  <c r="L1390" i="10"/>
  <c r="K1390" i="10"/>
  <c r="J1390" i="10"/>
  <c r="I1390" i="10"/>
  <c r="H1390" i="10"/>
  <c r="L1389" i="10"/>
  <c r="K1389" i="10"/>
  <c r="J1389" i="10"/>
  <c r="I1389" i="10"/>
  <c r="H1389" i="10"/>
  <c r="G1387" i="10"/>
  <c r="L1386" i="10"/>
  <c r="K1386" i="10"/>
  <c r="J1386" i="10"/>
  <c r="I1386" i="10"/>
  <c r="H1386" i="10"/>
  <c r="L1385" i="10"/>
  <c r="K1385" i="10"/>
  <c r="J1385" i="10"/>
  <c r="I1385" i="10"/>
  <c r="H1385" i="10"/>
  <c r="L1384" i="10"/>
  <c r="K1384" i="10"/>
  <c r="J1384" i="10"/>
  <c r="I1384" i="10"/>
  <c r="H1384" i="10"/>
  <c r="L1383" i="10"/>
  <c r="K1383" i="10"/>
  <c r="J1383" i="10"/>
  <c r="I1383" i="10"/>
  <c r="H1383" i="10"/>
  <c r="G1383" i="10"/>
  <c r="G1380" i="10"/>
  <c r="F1380" i="10"/>
  <c r="E1380" i="10"/>
  <c r="D1380" i="10"/>
  <c r="L1379" i="10"/>
  <c r="K1379" i="10"/>
  <c r="J1379" i="10"/>
  <c r="I1379" i="10"/>
  <c r="H1379" i="10"/>
  <c r="L1378" i="10"/>
  <c r="K1378" i="10"/>
  <c r="J1378" i="10"/>
  <c r="I1378" i="10"/>
  <c r="H1378" i="10"/>
  <c r="L1377" i="10"/>
  <c r="K1377" i="10"/>
  <c r="J1377" i="10"/>
  <c r="I1377" i="10"/>
  <c r="H1377" i="10"/>
  <c r="L1375" i="10"/>
  <c r="K1375" i="10"/>
  <c r="J1375" i="10"/>
  <c r="I1375" i="10"/>
  <c r="H1375" i="10"/>
  <c r="L1374" i="10"/>
  <c r="K1374" i="10"/>
  <c r="J1374" i="10"/>
  <c r="I1374" i="10"/>
  <c r="H1374" i="10"/>
  <c r="L1373" i="10"/>
  <c r="K1373" i="10"/>
  <c r="J1373" i="10"/>
  <c r="I1373" i="10"/>
  <c r="H1373" i="10"/>
  <c r="L1371" i="10"/>
  <c r="K1371" i="10"/>
  <c r="J1371" i="10"/>
  <c r="I1371" i="10"/>
  <c r="H1371" i="10"/>
  <c r="L1370" i="10"/>
  <c r="K1370" i="10"/>
  <c r="J1370" i="10"/>
  <c r="I1370" i="10"/>
  <c r="H1370" i="10"/>
  <c r="L1369" i="10"/>
  <c r="K1369" i="10"/>
  <c r="J1369" i="10"/>
  <c r="I1369" i="10"/>
  <c r="H1369" i="10"/>
  <c r="L1367" i="10"/>
  <c r="K1367" i="10"/>
  <c r="J1367" i="10"/>
  <c r="I1367" i="10"/>
  <c r="H1367" i="10"/>
  <c r="L1366" i="10"/>
  <c r="K1366" i="10"/>
  <c r="J1366" i="10"/>
  <c r="I1366" i="10"/>
  <c r="H1366" i="10"/>
  <c r="L1365" i="10"/>
  <c r="K1365" i="10"/>
  <c r="J1365" i="10"/>
  <c r="I1365" i="10"/>
  <c r="H1365" i="10"/>
  <c r="L1362" i="10"/>
  <c r="K1362" i="10"/>
  <c r="J1362" i="10"/>
  <c r="I1362" i="10"/>
  <c r="H1362" i="10"/>
  <c r="L1361" i="10"/>
  <c r="K1361" i="10"/>
  <c r="J1361" i="10"/>
  <c r="I1361" i="10"/>
  <c r="H1361" i="10"/>
  <c r="L1360" i="10"/>
  <c r="K1360" i="10"/>
  <c r="J1360" i="10"/>
  <c r="I1360" i="10"/>
  <c r="H1360" i="10"/>
  <c r="G1357" i="10"/>
  <c r="F1357" i="10"/>
  <c r="E1357" i="10"/>
  <c r="D1357" i="10"/>
  <c r="G1356" i="10"/>
  <c r="F1356" i="10"/>
  <c r="E1356" i="10"/>
  <c r="D1356" i="10"/>
  <c r="G1355" i="10"/>
  <c r="F1355" i="10"/>
  <c r="E1355" i="10"/>
  <c r="D1355" i="10"/>
  <c r="G1354" i="10"/>
  <c r="F1354" i="10"/>
  <c r="E1354" i="10"/>
  <c r="D1354" i="10"/>
  <c r="G1353" i="10"/>
  <c r="F1353" i="10"/>
  <c r="E1353" i="10"/>
  <c r="D1353" i="10"/>
  <c r="L1351" i="10"/>
  <c r="K1351" i="10"/>
  <c r="J1351" i="10"/>
  <c r="I1351" i="10"/>
  <c r="H1351" i="10"/>
  <c r="L1350" i="10"/>
  <c r="K1350" i="10"/>
  <c r="J1350" i="10"/>
  <c r="I1350" i="10"/>
  <c r="H1350" i="10"/>
  <c r="L1349" i="10"/>
  <c r="K1349" i="10"/>
  <c r="J1349" i="10"/>
  <c r="I1349" i="10"/>
  <c r="H1349" i="10"/>
  <c r="L1347" i="10"/>
  <c r="K1347" i="10"/>
  <c r="J1347" i="10"/>
  <c r="I1347" i="10"/>
  <c r="H1347" i="10"/>
  <c r="L1346" i="10"/>
  <c r="K1346" i="10"/>
  <c r="J1346" i="10"/>
  <c r="I1346" i="10"/>
  <c r="H1346" i="10"/>
  <c r="L1345" i="10"/>
  <c r="K1345" i="10"/>
  <c r="J1345" i="10"/>
  <c r="I1345" i="10"/>
  <c r="H1345" i="10"/>
  <c r="L1339" i="10"/>
  <c r="K1339" i="10"/>
  <c r="J1339" i="10"/>
  <c r="I1339" i="10"/>
  <c r="H1339" i="10"/>
  <c r="L1337" i="10"/>
  <c r="K1337" i="10"/>
  <c r="J1337" i="10"/>
  <c r="I1337" i="10"/>
  <c r="H1337" i="10"/>
  <c r="G1337" i="10"/>
  <c r="L1336" i="10"/>
  <c r="K1336" i="10"/>
  <c r="J1336" i="10"/>
  <c r="I1336" i="10"/>
  <c r="H1336" i="10"/>
  <c r="G1336" i="10"/>
  <c r="G1333" i="10"/>
  <c r="L1332" i="10"/>
  <c r="K1332" i="10"/>
  <c r="J1332" i="10"/>
  <c r="I1332" i="10"/>
  <c r="H1332" i="10"/>
  <c r="G1330" i="10"/>
  <c r="L1329" i="10"/>
  <c r="K1329" i="10"/>
  <c r="J1329" i="10"/>
  <c r="I1329" i="10"/>
  <c r="H1329" i="10"/>
  <c r="L1323" i="10"/>
  <c r="K1323" i="10"/>
  <c r="J1323" i="10"/>
  <c r="I1323" i="10"/>
  <c r="H1323" i="10"/>
  <c r="L1322" i="10"/>
  <c r="K1322" i="10"/>
  <c r="J1322" i="10"/>
  <c r="I1322" i="10"/>
  <c r="H1322" i="10"/>
  <c r="L1321" i="10"/>
  <c r="K1321" i="10"/>
  <c r="J1321" i="10"/>
  <c r="I1321" i="10"/>
  <c r="H1321" i="10"/>
  <c r="L1320" i="10"/>
  <c r="K1320" i="10"/>
  <c r="J1320" i="10"/>
  <c r="I1320" i="10"/>
  <c r="H1320" i="10"/>
  <c r="L1317" i="10"/>
  <c r="K1317" i="10"/>
  <c r="J1317" i="10"/>
  <c r="I1317" i="10"/>
  <c r="H1317" i="10"/>
  <c r="L1316" i="10"/>
  <c r="K1316" i="10"/>
  <c r="J1316" i="10"/>
  <c r="I1316" i="10"/>
  <c r="H1316" i="10"/>
  <c r="L1314" i="10"/>
  <c r="K1314" i="10"/>
  <c r="J1314" i="10"/>
  <c r="I1314" i="10"/>
  <c r="H1314" i="10"/>
  <c r="G1314" i="10"/>
  <c r="L1312" i="10"/>
  <c r="K1312" i="10"/>
  <c r="J1312" i="10"/>
  <c r="I1312" i="10"/>
  <c r="H1312" i="10"/>
  <c r="G1312" i="10"/>
  <c r="L1311" i="10"/>
  <c r="K1311" i="10"/>
  <c r="J1311" i="10"/>
  <c r="I1311" i="10"/>
  <c r="H1311" i="10"/>
  <c r="G1311" i="10"/>
  <c r="L1308" i="10"/>
  <c r="K1308" i="10"/>
  <c r="J1308" i="10"/>
  <c r="I1308" i="10"/>
  <c r="H1308" i="10"/>
  <c r="L1307" i="10"/>
  <c r="K1307" i="10"/>
  <c r="J1307" i="10"/>
  <c r="I1307" i="10"/>
  <c r="H1307" i="10"/>
  <c r="L1306" i="10"/>
  <c r="K1306" i="10"/>
  <c r="J1306" i="10"/>
  <c r="I1306" i="10"/>
  <c r="H1306" i="10"/>
  <c r="L1304" i="10"/>
  <c r="K1304" i="10"/>
  <c r="J1304" i="10"/>
  <c r="I1304" i="10"/>
  <c r="H1304" i="10"/>
  <c r="L1303" i="10"/>
  <c r="K1303" i="10"/>
  <c r="J1303" i="10"/>
  <c r="I1303" i="10"/>
  <c r="H1303" i="10"/>
  <c r="L1302" i="10"/>
  <c r="K1302" i="10"/>
  <c r="J1302" i="10"/>
  <c r="I1302" i="10"/>
  <c r="H1302" i="10"/>
  <c r="L1300" i="10"/>
  <c r="K1300" i="10"/>
  <c r="J1300" i="10"/>
  <c r="I1300" i="10"/>
  <c r="H1300" i="10"/>
  <c r="L1299" i="10"/>
  <c r="K1299" i="10"/>
  <c r="J1299" i="10"/>
  <c r="I1299" i="10"/>
  <c r="H1299" i="10"/>
  <c r="L1298" i="10"/>
  <c r="K1298" i="10"/>
  <c r="J1298" i="10"/>
  <c r="I1298" i="10"/>
  <c r="H1298" i="10"/>
  <c r="G1298" i="10"/>
  <c r="F1298" i="10"/>
  <c r="E1298" i="10"/>
  <c r="D1298" i="10"/>
  <c r="G1295" i="10"/>
  <c r="F1295" i="10"/>
  <c r="E1295" i="10"/>
  <c r="D1295" i="10"/>
  <c r="G1294" i="10"/>
  <c r="F1294" i="10"/>
  <c r="E1294" i="10"/>
  <c r="D1294" i="10"/>
  <c r="L1293" i="10"/>
  <c r="K1293" i="10"/>
  <c r="J1293" i="10"/>
  <c r="I1293" i="10"/>
  <c r="H1293" i="10"/>
  <c r="L1292" i="10"/>
  <c r="K1292" i="10"/>
  <c r="J1292" i="10"/>
  <c r="I1292" i="10"/>
  <c r="H1292" i="10"/>
  <c r="L1291" i="10"/>
  <c r="K1291" i="10"/>
  <c r="J1291" i="10"/>
  <c r="I1291" i="10"/>
  <c r="H1291" i="10"/>
  <c r="L1290" i="10"/>
  <c r="K1290" i="10"/>
  <c r="J1290" i="10"/>
  <c r="I1290" i="10"/>
  <c r="H1290" i="10"/>
  <c r="L1289" i="10"/>
  <c r="K1289" i="10"/>
  <c r="J1289" i="10"/>
  <c r="I1289" i="10"/>
  <c r="H1289" i="10"/>
  <c r="L1288" i="10"/>
  <c r="K1288" i="10"/>
  <c r="J1288" i="10"/>
  <c r="I1288" i="10"/>
  <c r="H1288" i="10"/>
  <c r="L1287" i="10"/>
  <c r="K1287" i="10"/>
  <c r="J1287" i="10"/>
  <c r="I1287" i="10"/>
  <c r="H1287" i="10"/>
  <c r="L1285" i="10"/>
  <c r="K1285" i="10"/>
  <c r="J1285" i="10"/>
  <c r="I1285" i="10"/>
  <c r="H1285" i="10"/>
  <c r="L1276" i="10"/>
  <c r="K1276" i="10"/>
  <c r="J1276" i="10"/>
  <c r="I1276" i="10"/>
  <c r="H1276" i="10"/>
  <c r="L1275" i="10"/>
  <c r="K1275" i="10"/>
  <c r="J1275" i="10"/>
  <c r="I1275" i="10"/>
  <c r="H1275" i="10"/>
  <c r="G1274" i="10"/>
  <c r="F1274" i="10"/>
  <c r="E1274" i="10"/>
  <c r="D1274" i="10"/>
  <c r="L1273" i="10"/>
  <c r="K1273" i="10"/>
  <c r="J1273" i="10"/>
  <c r="I1273" i="10"/>
  <c r="H1273" i="10"/>
  <c r="L1272" i="10"/>
  <c r="K1272" i="10"/>
  <c r="J1272" i="10"/>
  <c r="I1272" i="10"/>
  <c r="H1272" i="10"/>
  <c r="G1271" i="10"/>
  <c r="F1271" i="10"/>
  <c r="E1271" i="10"/>
  <c r="D1271" i="10"/>
  <c r="L1270" i="10"/>
  <c r="K1270" i="10"/>
  <c r="J1270" i="10"/>
  <c r="I1270" i="10"/>
  <c r="H1270" i="10"/>
  <c r="G1270" i="10"/>
  <c r="F1270" i="10"/>
  <c r="E1270" i="10"/>
  <c r="D1270" i="10"/>
  <c r="L1269" i="10"/>
  <c r="K1269" i="10"/>
  <c r="J1269" i="10"/>
  <c r="I1269" i="10"/>
  <c r="H1269" i="10"/>
  <c r="G1269" i="10"/>
  <c r="F1269" i="10"/>
  <c r="E1269" i="10"/>
  <c r="D1269" i="10"/>
  <c r="L1267" i="10"/>
  <c r="K1267" i="10"/>
  <c r="J1267" i="10"/>
  <c r="I1267" i="10"/>
  <c r="H1267" i="10"/>
  <c r="L1266" i="10"/>
  <c r="K1266" i="10"/>
  <c r="J1266" i="10"/>
  <c r="I1266" i="10"/>
  <c r="H1266" i="10"/>
  <c r="G1265" i="10"/>
  <c r="F1265" i="10"/>
  <c r="E1265" i="10"/>
  <c r="D1265" i="10"/>
  <c r="L1263" i="10"/>
  <c r="K1263" i="10"/>
  <c r="J1263" i="10"/>
  <c r="I1263" i="10"/>
  <c r="H1263" i="10"/>
  <c r="L1262" i="10"/>
  <c r="K1262" i="10"/>
  <c r="J1262" i="10"/>
  <c r="I1262" i="10"/>
  <c r="H1262" i="10"/>
  <c r="G1261" i="10"/>
  <c r="F1261" i="10"/>
  <c r="E1261" i="10"/>
  <c r="D1261" i="10"/>
  <c r="L1260" i="10"/>
  <c r="K1260" i="10"/>
  <c r="J1260" i="10"/>
  <c r="I1260" i="10"/>
  <c r="H1260" i="10"/>
  <c r="L1259" i="10"/>
  <c r="K1259" i="10"/>
  <c r="J1259" i="10"/>
  <c r="I1259" i="10"/>
  <c r="H1259" i="10"/>
  <c r="G1258" i="10"/>
  <c r="F1258" i="10"/>
  <c r="E1258" i="10"/>
  <c r="D1258" i="10"/>
  <c r="G1254" i="10"/>
  <c r="F1254" i="10"/>
  <c r="E1254" i="10"/>
  <c r="D1254" i="10"/>
  <c r="L1252" i="10"/>
  <c r="K1252" i="10"/>
  <c r="J1252" i="10"/>
  <c r="I1252" i="10"/>
  <c r="H1252" i="10"/>
  <c r="L1251" i="10"/>
  <c r="K1251" i="10"/>
  <c r="J1251" i="10"/>
  <c r="I1251" i="10"/>
  <c r="H1251" i="10"/>
  <c r="G1249" i="10"/>
  <c r="F1249" i="10"/>
  <c r="E1249" i="10"/>
  <c r="D1249" i="10"/>
  <c r="L1248" i="10"/>
  <c r="K1248" i="10"/>
  <c r="J1248" i="10"/>
  <c r="I1248" i="10"/>
  <c r="H1248" i="10"/>
  <c r="G1248" i="10"/>
  <c r="F1248" i="10"/>
  <c r="E1248" i="10"/>
  <c r="D1248" i="10"/>
  <c r="L1245" i="10"/>
  <c r="K1245" i="10"/>
  <c r="J1245" i="10"/>
  <c r="I1245" i="10"/>
  <c r="H1245" i="10"/>
  <c r="L1244" i="10"/>
  <c r="K1244" i="10"/>
  <c r="J1244" i="10"/>
  <c r="I1244" i="10"/>
  <c r="H1244" i="10"/>
  <c r="L1243" i="10"/>
  <c r="K1243" i="10"/>
  <c r="J1243" i="10"/>
  <c r="I1243" i="10"/>
  <c r="H1243" i="10"/>
  <c r="L1242" i="10"/>
  <c r="K1242" i="10"/>
  <c r="J1242" i="10"/>
  <c r="I1242" i="10"/>
  <c r="H1242" i="10"/>
  <c r="L1241" i="10"/>
  <c r="K1241" i="10"/>
  <c r="J1241" i="10"/>
  <c r="I1241" i="10"/>
  <c r="H1241" i="10"/>
  <c r="L1240" i="10"/>
  <c r="K1240" i="10"/>
  <c r="J1240" i="10"/>
  <c r="I1240" i="10"/>
  <c r="H1240" i="10"/>
  <c r="L1239" i="10"/>
  <c r="K1239" i="10"/>
  <c r="J1239" i="10"/>
  <c r="I1239" i="10"/>
  <c r="H1239" i="10"/>
  <c r="L1238" i="10"/>
  <c r="K1238" i="10"/>
  <c r="J1238" i="10"/>
  <c r="I1238" i="10"/>
  <c r="H1238" i="10"/>
  <c r="L1236" i="10"/>
  <c r="K1236" i="10"/>
  <c r="J1236" i="10"/>
  <c r="I1236" i="10"/>
  <c r="H1236" i="10"/>
  <c r="L1235" i="10"/>
  <c r="K1235" i="10"/>
  <c r="J1235" i="10"/>
  <c r="I1235" i="10"/>
  <c r="H1235" i="10"/>
  <c r="L1234" i="10"/>
  <c r="K1234" i="10"/>
  <c r="J1234" i="10"/>
  <c r="I1234" i="10"/>
  <c r="H1234" i="10"/>
  <c r="G1234" i="10"/>
  <c r="F1234" i="10"/>
  <c r="E1234" i="10"/>
  <c r="D1234" i="10"/>
  <c r="L1233" i="10"/>
  <c r="K1233" i="10"/>
  <c r="J1233" i="10"/>
  <c r="I1233" i="10"/>
  <c r="H1233" i="10"/>
  <c r="G1233" i="10"/>
  <c r="F1233" i="10"/>
  <c r="E1233" i="10"/>
  <c r="D1233" i="10"/>
  <c r="L1232" i="10"/>
  <c r="K1232" i="10"/>
  <c r="J1232" i="10"/>
  <c r="I1232" i="10"/>
  <c r="H1232" i="10"/>
  <c r="L1231" i="10"/>
  <c r="K1231" i="10"/>
  <c r="J1231" i="10"/>
  <c r="I1231" i="10"/>
  <c r="H1231" i="10"/>
  <c r="G1231" i="10"/>
  <c r="F1231" i="10"/>
  <c r="E1231" i="10"/>
  <c r="D1231" i="10"/>
  <c r="L1230" i="10"/>
  <c r="K1230" i="10"/>
  <c r="J1230" i="10"/>
  <c r="I1230" i="10"/>
  <c r="H1230" i="10"/>
  <c r="G1230" i="10"/>
  <c r="F1230" i="10"/>
  <c r="E1230" i="10"/>
  <c r="D1230" i="10"/>
  <c r="L1229" i="10"/>
  <c r="K1229" i="10"/>
  <c r="J1229" i="10"/>
  <c r="I1229" i="10"/>
  <c r="H1229" i="10"/>
  <c r="G1229" i="10"/>
  <c r="F1229" i="10"/>
  <c r="E1229" i="10"/>
  <c r="D1229" i="10"/>
  <c r="L1226" i="10"/>
  <c r="K1226" i="10"/>
  <c r="J1226" i="10"/>
  <c r="I1226" i="10"/>
  <c r="H1226" i="10"/>
  <c r="G1224" i="10"/>
  <c r="F1224" i="10"/>
  <c r="E1224" i="10"/>
  <c r="D1224" i="10"/>
  <c r="K1222" i="10"/>
  <c r="J1222" i="10"/>
  <c r="I1222" i="10"/>
  <c r="H1222" i="10"/>
  <c r="L1221" i="10"/>
  <c r="K1221" i="10"/>
  <c r="J1221" i="10"/>
  <c r="I1221" i="10"/>
  <c r="H1221" i="10"/>
  <c r="L1220" i="10"/>
  <c r="K1220" i="10"/>
  <c r="J1220" i="10"/>
  <c r="I1220" i="10"/>
  <c r="H1220" i="10"/>
  <c r="L1218" i="10"/>
  <c r="K1218" i="10"/>
  <c r="J1218" i="10"/>
  <c r="I1218" i="10"/>
  <c r="H1218" i="10"/>
  <c r="L1217" i="10"/>
  <c r="K1217" i="10"/>
  <c r="J1217" i="10"/>
  <c r="I1217" i="10"/>
  <c r="H1217" i="10"/>
  <c r="K1215" i="10"/>
  <c r="J1215" i="10"/>
  <c r="I1215" i="10"/>
  <c r="L1214" i="10"/>
  <c r="K1214" i="10"/>
  <c r="J1214" i="10"/>
  <c r="I1214" i="10"/>
  <c r="H1214" i="10"/>
  <c r="L1213" i="10"/>
  <c r="K1213" i="10"/>
  <c r="J1213" i="10"/>
  <c r="I1213" i="10"/>
  <c r="H1213" i="10"/>
  <c r="L1211" i="10"/>
  <c r="K1211" i="10"/>
  <c r="J1211" i="10"/>
  <c r="I1211" i="10"/>
  <c r="H1211" i="10"/>
  <c r="L1210" i="10"/>
  <c r="K1210" i="10"/>
  <c r="J1210" i="10"/>
  <c r="I1210" i="10"/>
  <c r="H1210" i="10"/>
  <c r="K1207" i="10"/>
  <c r="J1207" i="10"/>
  <c r="K1206" i="10"/>
  <c r="J1206" i="10"/>
  <c r="K1204" i="10"/>
  <c r="J1204" i="10"/>
  <c r="I1204" i="10"/>
  <c r="H1204" i="10"/>
  <c r="G1204" i="10"/>
  <c r="F1204" i="10"/>
  <c r="E1204" i="10"/>
  <c r="D1204" i="10"/>
  <c r="L1202" i="10"/>
  <c r="K1202" i="10"/>
  <c r="J1202" i="10"/>
  <c r="I1202" i="10"/>
  <c r="H1202" i="10"/>
  <c r="L1201" i="10"/>
  <c r="K1201" i="10"/>
  <c r="J1201" i="10"/>
  <c r="I1201" i="10"/>
  <c r="H1201" i="10"/>
  <c r="G1200" i="10"/>
  <c r="K1199" i="10"/>
  <c r="J1199" i="10"/>
  <c r="I1199" i="10"/>
  <c r="K1198" i="10"/>
  <c r="J1198" i="10"/>
  <c r="I1198" i="10"/>
  <c r="L1197" i="10"/>
  <c r="K1197" i="10"/>
  <c r="J1197" i="10"/>
  <c r="I1197" i="10"/>
  <c r="H1197" i="10"/>
  <c r="L1196" i="10"/>
  <c r="K1196" i="10"/>
  <c r="J1196" i="10"/>
  <c r="I1196" i="10"/>
  <c r="H1196" i="10"/>
  <c r="L1195" i="10"/>
  <c r="K1195" i="10"/>
  <c r="J1195" i="10"/>
  <c r="I1195" i="10"/>
  <c r="H1195" i="10"/>
  <c r="G1195" i="10"/>
  <c r="K1194" i="10"/>
  <c r="J1194" i="10"/>
  <c r="I1194" i="10"/>
  <c r="L1193" i="10"/>
  <c r="K1193" i="10"/>
  <c r="J1193" i="10"/>
  <c r="I1193" i="10"/>
  <c r="H1193" i="10"/>
  <c r="G1193" i="10"/>
  <c r="F1193" i="10"/>
  <c r="E1193" i="10"/>
  <c r="D1193" i="10"/>
  <c r="L1192" i="10"/>
  <c r="K1192" i="10"/>
  <c r="J1192" i="10"/>
  <c r="I1192" i="10"/>
  <c r="H1192" i="10"/>
  <c r="G1192" i="10"/>
  <c r="F1192" i="10"/>
  <c r="E1192" i="10"/>
  <c r="D1192" i="10"/>
  <c r="L1191" i="10"/>
  <c r="K1191" i="10"/>
  <c r="J1191" i="10"/>
  <c r="I1191" i="10"/>
  <c r="H1191" i="10"/>
  <c r="G1191" i="10"/>
  <c r="F1191" i="10"/>
  <c r="E1191" i="10"/>
  <c r="D1191" i="10"/>
  <c r="L1190" i="10"/>
  <c r="K1190" i="10"/>
  <c r="J1190" i="10"/>
  <c r="I1190" i="10"/>
  <c r="H1190" i="10"/>
  <c r="G1190" i="10"/>
  <c r="F1190" i="10"/>
  <c r="E1190" i="10"/>
  <c r="D1190" i="10"/>
  <c r="L1189" i="10"/>
  <c r="K1189" i="10"/>
  <c r="J1189" i="10"/>
  <c r="I1189" i="10"/>
  <c r="H1189" i="10"/>
  <c r="G1189" i="10"/>
  <c r="F1189" i="10"/>
  <c r="E1189" i="10"/>
  <c r="D1189" i="10"/>
  <c r="L1188" i="10"/>
  <c r="K1188" i="10"/>
  <c r="J1188" i="10"/>
  <c r="I1188" i="10"/>
  <c r="H1188" i="10"/>
  <c r="G1188" i="10"/>
  <c r="F1188" i="10"/>
  <c r="E1188" i="10"/>
  <c r="D1188" i="10"/>
  <c r="L1187" i="10"/>
  <c r="K1187" i="10"/>
  <c r="J1187" i="10"/>
  <c r="I1187" i="10"/>
  <c r="H1187" i="10"/>
  <c r="G1187" i="10"/>
  <c r="F1187" i="10"/>
  <c r="E1187" i="10"/>
  <c r="D1187" i="10"/>
  <c r="L1186" i="10"/>
  <c r="K1186" i="10"/>
  <c r="J1186" i="10"/>
  <c r="I1186" i="10"/>
  <c r="H1186" i="10"/>
  <c r="G1186" i="10"/>
  <c r="F1186" i="10"/>
  <c r="E1186" i="10"/>
  <c r="D1186" i="10"/>
  <c r="L1185" i="10"/>
  <c r="K1185" i="10"/>
  <c r="J1185" i="10"/>
  <c r="I1185" i="10"/>
  <c r="H1185" i="10"/>
  <c r="G1185" i="10"/>
  <c r="F1185" i="10"/>
  <c r="E1185" i="10"/>
  <c r="D1185" i="10"/>
  <c r="L1184" i="10"/>
  <c r="K1184" i="10"/>
  <c r="J1184" i="10"/>
  <c r="I1184" i="10"/>
  <c r="H1184" i="10"/>
  <c r="G1184" i="10"/>
  <c r="F1184" i="10"/>
  <c r="E1184" i="10"/>
  <c r="D1184" i="10"/>
  <c r="L1183" i="10"/>
  <c r="K1183" i="10"/>
  <c r="J1183" i="10"/>
  <c r="I1183" i="10"/>
  <c r="H1183" i="10"/>
  <c r="G1183" i="10"/>
  <c r="F1183" i="10"/>
  <c r="E1183" i="10"/>
  <c r="D1183" i="10"/>
  <c r="L1180" i="10"/>
  <c r="K1180" i="10"/>
  <c r="J1180" i="10"/>
  <c r="I1180" i="10"/>
  <c r="H1180" i="10"/>
  <c r="L1179" i="10"/>
  <c r="K1179" i="10"/>
  <c r="J1179" i="10"/>
  <c r="I1179" i="10"/>
  <c r="H1179" i="10"/>
  <c r="L1178" i="10"/>
  <c r="K1178" i="10"/>
  <c r="J1178" i="10"/>
  <c r="I1178" i="10"/>
  <c r="H1178" i="10"/>
  <c r="L1177" i="10"/>
  <c r="K1177" i="10"/>
  <c r="J1177" i="10"/>
  <c r="I1177" i="10"/>
  <c r="H1177" i="10"/>
  <c r="L1175" i="10"/>
  <c r="K1175" i="10"/>
  <c r="J1175" i="10"/>
  <c r="I1175" i="10"/>
  <c r="H1175" i="10"/>
  <c r="L1174" i="10"/>
  <c r="K1174" i="10"/>
  <c r="J1174" i="10"/>
  <c r="I1174" i="10"/>
  <c r="H1174" i="10"/>
  <c r="L1172" i="10"/>
  <c r="K1172" i="10"/>
  <c r="J1172" i="10"/>
  <c r="I1172" i="10"/>
  <c r="H1172" i="10"/>
  <c r="L1171" i="10"/>
  <c r="K1171" i="10"/>
  <c r="J1171" i="10"/>
  <c r="I1171" i="10"/>
  <c r="H1171" i="10"/>
  <c r="L1170" i="10"/>
  <c r="K1170" i="10"/>
  <c r="J1170" i="10"/>
  <c r="I1170" i="10"/>
  <c r="H1170" i="10"/>
  <c r="L1169" i="10"/>
  <c r="K1169" i="10"/>
  <c r="J1169" i="10"/>
  <c r="I1169" i="10"/>
  <c r="H1169" i="10"/>
  <c r="K1168" i="10"/>
  <c r="J1168" i="10"/>
  <c r="I1168" i="10"/>
  <c r="H1168" i="10"/>
  <c r="K1167" i="10"/>
  <c r="J1167" i="10"/>
  <c r="I1167" i="10"/>
  <c r="H1167" i="10"/>
  <c r="K1166" i="10"/>
  <c r="J1166" i="10"/>
  <c r="I1166" i="10"/>
  <c r="H1166" i="10"/>
  <c r="K1164" i="10"/>
  <c r="J1164" i="10"/>
  <c r="I1164" i="10"/>
  <c r="H1164" i="10"/>
  <c r="K1163" i="10"/>
  <c r="J1163" i="10"/>
  <c r="I1163" i="10"/>
  <c r="H1163" i="10"/>
  <c r="K1161" i="10"/>
  <c r="J1161" i="10"/>
  <c r="I1161" i="10"/>
  <c r="H1161" i="10"/>
  <c r="K1160" i="10"/>
  <c r="J1160" i="10"/>
  <c r="I1160" i="10"/>
  <c r="H1160" i="10"/>
  <c r="K1159" i="10"/>
  <c r="J1159" i="10"/>
  <c r="I1159" i="10"/>
  <c r="H1159" i="10"/>
  <c r="K1158" i="10"/>
  <c r="J1158" i="10"/>
  <c r="I1158" i="10"/>
  <c r="H1158" i="10"/>
  <c r="K1156" i="10"/>
  <c r="J1156" i="10"/>
  <c r="I1156" i="10"/>
  <c r="H1156" i="10"/>
  <c r="G1156" i="10"/>
  <c r="F1156" i="10"/>
  <c r="E1156" i="10"/>
  <c r="D1156" i="10"/>
  <c r="L1152" i="10"/>
  <c r="K1152" i="10"/>
  <c r="J1152" i="10"/>
  <c r="I1152" i="10"/>
  <c r="H1152" i="10"/>
  <c r="G1152" i="10"/>
  <c r="F1152" i="10"/>
  <c r="E1152" i="10"/>
  <c r="D1152" i="10"/>
  <c r="L1151" i="10"/>
  <c r="K1151" i="10"/>
  <c r="J1151" i="10"/>
  <c r="I1151" i="10"/>
  <c r="H1151" i="10"/>
  <c r="G1151" i="10"/>
  <c r="F1151" i="10"/>
  <c r="E1151" i="10"/>
  <c r="D1151" i="10"/>
  <c r="L1149" i="10"/>
  <c r="K1149" i="10"/>
  <c r="J1149" i="10"/>
  <c r="I1149" i="10"/>
  <c r="H1149" i="10"/>
  <c r="G1149" i="10"/>
  <c r="F1149" i="10"/>
  <c r="E1149" i="10"/>
  <c r="D1149" i="10"/>
  <c r="L1148" i="10"/>
  <c r="K1148" i="10"/>
  <c r="J1148" i="10"/>
  <c r="I1148" i="10"/>
  <c r="H1148" i="10"/>
  <c r="G1148" i="10"/>
  <c r="F1148" i="10"/>
  <c r="E1148" i="10"/>
  <c r="D1148" i="10"/>
  <c r="L1145" i="10"/>
  <c r="K1145" i="10"/>
  <c r="J1145" i="10"/>
  <c r="I1145" i="10"/>
  <c r="H1145" i="10"/>
  <c r="G1145" i="10"/>
  <c r="F1145" i="10"/>
  <c r="E1145" i="10"/>
  <c r="D1145" i="10"/>
  <c r="L1144" i="10"/>
  <c r="K1144" i="10"/>
  <c r="J1144" i="10"/>
  <c r="I1144" i="10"/>
  <c r="H1144" i="10"/>
  <c r="G1144" i="10"/>
  <c r="F1144" i="10"/>
  <c r="E1144" i="10"/>
  <c r="D1144" i="10"/>
  <c r="L1142" i="10"/>
  <c r="K1142" i="10"/>
  <c r="J1142" i="10"/>
  <c r="I1142" i="10"/>
  <c r="H1142" i="10"/>
  <c r="G1142" i="10"/>
  <c r="F1142" i="10"/>
  <c r="E1142" i="10"/>
  <c r="D1142" i="10"/>
  <c r="L1141" i="10"/>
  <c r="K1141" i="10"/>
  <c r="J1141" i="10"/>
  <c r="I1141" i="10"/>
  <c r="H1141" i="10"/>
  <c r="G1141" i="10"/>
  <c r="F1141" i="10"/>
  <c r="E1141" i="10"/>
  <c r="D1141" i="10"/>
  <c r="L1138" i="10"/>
  <c r="K1138" i="10"/>
  <c r="J1138" i="10"/>
  <c r="I1138" i="10"/>
  <c r="H1138" i="10"/>
  <c r="G1138" i="10"/>
  <c r="F1138" i="10"/>
  <c r="E1138" i="10"/>
  <c r="D1138" i="10"/>
  <c r="L1137" i="10"/>
  <c r="K1137" i="10"/>
  <c r="J1137" i="10"/>
  <c r="I1137" i="10"/>
  <c r="H1137" i="10"/>
  <c r="G1137" i="10"/>
  <c r="F1137" i="10"/>
  <c r="E1137" i="10"/>
  <c r="D1137" i="10"/>
  <c r="L1135" i="10"/>
  <c r="K1135" i="10"/>
  <c r="J1135" i="10"/>
  <c r="I1135" i="10"/>
  <c r="H1135" i="10"/>
  <c r="G1135" i="10"/>
  <c r="F1135" i="10"/>
  <c r="E1135" i="10"/>
  <c r="D1135" i="10"/>
  <c r="L1134" i="10"/>
  <c r="K1134" i="10"/>
  <c r="J1134" i="10"/>
  <c r="I1134" i="10"/>
  <c r="H1134" i="10"/>
  <c r="G1134" i="10"/>
  <c r="F1134" i="10"/>
  <c r="E1134" i="10"/>
  <c r="D1134" i="10"/>
  <c r="L1128" i="10"/>
  <c r="K1128" i="10"/>
  <c r="J1128" i="10"/>
  <c r="I1128" i="10"/>
  <c r="H1128" i="10"/>
  <c r="G1128" i="10"/>
  <c r="F1128" i="10"/>
  <c r="E1128" i="10"/>
  <c r="D1128" i="10"/>
  <c r="L1127" i="10"/>
  <c r="K1127" i="10"/>
  <c r="J1127" i="10"/>
  <c r="I1127" i="10"/>
  <c r="H1127" i="10"/>
  <c r="G1127" i="10"/>
  <c r="F1127" i="10"/>
  <c r="E1127" i="10"/>
  <c r="D1127" i="10"/>
  <c r="L1125" i="10"/>
  <c r="K1125" i="10"/>
  <c r="J1125" i="10"/>
  <c r="I1125" i="10"/>
  <c r="H1125" i="10"/>
  <c r="G1125" i="10"/>
  <c r="F1125" i="10"/>
  <c r="E1125" i="10"/>
  <c r="D1125" i="10"/>
  <c r="L1124" i="10"/>
  <c r="K1124" i="10"/>
  <c r="J1124" i="10"/>
  <c r="I1124" i="10"/>
  <c r="H1124" i="10"/>
  <c r="G1124" i="10"/>
  <c r="F1124" i="10"/>
  <c r="E1124" i="10"/>
  <c r="D1124" i="10"/>
  <c r="L1121" i="10"/>
  <c r="K1121" i="10"/>
  <c r="J1121" i="10"/>
  <c r="I1121" i="10"/>
  <c r="H1121" i="10"/>
  <c r="G1121" i="10"/>
  <c r="F1121" i="10"/>
  <c r="E1121" i="10"/>
  <c r="D1121" i="10"/>
  <c r="L1120" i="10"/>
  <c r="K1120" i="10"/>
  <c r="J1120" i="10"/>
  <c r="I1120" i="10"/>
  <c r="H1120" i="10"/>
  <c r="G1120" i="10"/>
  <c r="F1120" i="10"/>
  <c r="E1120" i="10"/>
  <c r="D1120" i="10"/>
  <c r="L1117" i="10"/>
  <c r="K1117" i="10"/>
  <c r="J1117" i="10"/>
  <c r="I1117" i="10"/>
  <c r="H1117" i="10"/>
  <c r="G1117" i="10"/>
  <c r="F1117" i="10"/>
  <c r="E1117" i="10"/>
  <c r="D1117" i="10"/>
  <c r="L1116" i="10"/>
  <c r="K1116" i="10"/>
  <c r="J1116" i="10"/>
  <c r="I1116" i="10"/>
  <c r="H1116" i="10"/>
  <c r="G1116" i="10"/>
  <c r="F1116" i="10"/>
  <c r="E1116" i="10"/>
  <c r="D1116" i="10"/>
  <c r="L1114" i="10"/>
  <c r="K1114" i="10"/>
  <c r="J1114" i="10"/>
  <c r="I1114" i="10"/>
  <c r="H1114" i="10"/>
  <c r="G1114" i="10"/>
  <c r="F1114" i="10"/>
  <c r="E1114" i="10"/>
  <c r="D1114" i="10"/>
  <c r="L1113" i="10"/>
  <c r="K1113" i="10"/>
  <c r="J1113" i="10"/>
  <c r="I1113" i="10"/>
  <c r="H1113" i="10"/>
  <c r="G1113" i="10"/>
  <c r="F1113" i="10"/>
  <c r="E1113" i="10"/>
  <c r="D1113" i="10"/>
  <c r="L1109" i="10"/>
  <c r="K1109" i="10"/>
  <c r="J1109" i="10"/>
  <c r="I1109" i="10"/>
  <c r="H1109" i="10"/>
  <c r="G1109" i="10"/>
  <c r="F1109" i="10"/>
  <c r="E1109" i="10"/>
  <c r="D1109" i="10"/>
  <c r="L1108" i="10"/>
  <c r="K1108" i="10"/>
  <c r="J1108" i="10"/>
  <c r="I1108" i="10"/>
  <c r="H1108" i="10"/>
  <c r="G1108" i="10"/>
  <c r="F1108" i="10"/>
  <c r="E1108" i="10"/>
  <c r="D1108" i="10"/>
  <c r="L1105" i="10"/>
  <c r="K1105" i="10"/>
  <c r="J1105" i="10"/>
  <c r="I1105" i="10"/>
  <c r="H1105" i="10"/>
  <c r="G1105" i="10"/>
  <c r="F1105" i="10"/>
  <c r="E1105" i="10"/>
  <c r="D1105" i="10"/>
  <c r="L1104" i="10"/>
  <c r="K1104" i="10"/>
  <c r="J1104" i="10"/>
  <c r="I1104" i="10"/>
  <c r="H1104" i="10"/>
  <c r="G1104" i="10"/>
  <c r="F1104" i="10"/>
  <c r="E1104" i="10"/>
  <c r="D1104" i="10"/>
  <c r="L1102" i="10"/>
  <c r="K1102" i="10"/>
  <c r="J1102" i="10"/>
  <c r="I1102" i="10"/>
  <c r="H1102" i="10"/>
  <c r="G1102" i="10"/>
  <c r="F1102" i="10"/>
  <c r="E1102" i="10"/>
  <c r="D1102" i="10"/>
  <c r="L1101" i="10"/>
  <c r="K1101" i="10"/>
  <c r="J1101" i="10"/>
  <c r="I1101" i="10"/>
  <c r="H1101" i="10"/>
  <c r="G1101" i="10"/>
  <c r="F1101" i="10"/>
  <c r="E1101" i="10"/>
  <c r="D1101" i="10"/>
  <c r="L1099" i="10"/>
  <c r="K1099" i="10"/>
  <c r="J1099" i="10"/>
  <c r="I1099" i="10"/>
  <c r="H1099" i="10"/>
  <c r="L1098" i="10"/>
  <c r="K1098" i="10"/>
  <c r="J1098" i="10"/>
  <c r="I1098" i="10"/>
  <c r="H1098" i="10"/>
  <c r="L1097" i="10"/>
  <c r="K1097" i="10"/>
  <c r="J1097" i="10"/>
  <c r="I1097" i="10"/>
  <c r="H1097" i="10"/>
  <c r="L1095" i="10"/>
  <c r="K1095" i="10"/>
  <c r="J1095" i="10"/>
  <c r="I1095" i="10"/>
  <c r="H1095" i="10"/>
  <c r="L1094" i="10"/>
  <c r="K1094" i="10"/>
  <c r="J1094" i="10"/>
  <c r="I1094" i="10"/>
  <c r="H1094" i="10"/>
  <c r="L1093" i="10"/>
  <c r="K1093" i="10"/>
  <c r="J1093" i="10"/>
  <c r="I1093" i="10"/>
  <c r="H1093" i="10"/>
  <c r="L1090" i="10"/>
  <c r="K1090" i="10"/>
  <c r="J1090" i="10"/>
  <c r="I1090" i="10"/>
  <c r="H1090" i="10"/>
  <c r="L1089" i="10"/>
  <c r="K1089" i="10"/>
  <c r="J1089" i="10"/>
  <c r="I1089" i="10"/>
  <c r="H1089" i="10"/>
  <c r="L1087" i="10"/>
  <c r="K1087" i="10"/>
  <c r="J1087" i="10"/>
  <c r="I1087" i="10"/>
  <c r="H1087" i="10"/>
  <c r="L1086" i="10"/>
  <c r="K1086" i="10"/>
  <c r="J1086" i="10"/>
  <c r="I1086" i="10"/>
  <c r="H1086" i="10"/>
  <c r="L1082" i="10"/>
  <c r="K1082" i="10"/>
  <c r="J1082" i="10"/>
  <c r="I1082" i="10"/>
  <c r="H1082" i="10"/>
  <c r="G1082" i="10"/>
  <c r="F1082" i="10"/>
  <c r="E1082" i="10"/>
  <c r="D1082" i="10"/>
  <c r="L1081" i="10"/>
  <c r="K1081" i="10"/>
  <c r="J1081" i="10"/>
  <c r="I1081" i="10"/>
  <c r="H1081" i="10"/>
  <c r="G1081" i="10"/>
  <c r="F1081" i="10"/>
  <c r="E1081" i="10"/>
  <c r="D1081" i="10"/>
  <c r="L1079" i="10"/>
  <c r="K1079" i="10"/>
  <c r="J1079" i="10"/>
  <c r="I1079" i="10"/>
  <c r="H1079" i="10"/>
  <c r="G1079" i="10"/>
  <c r="F1079" i="10"/>
  <c r="E1079" i="10"/>
  <c r="D1079" i="10"/>
  <c r="L1078" i="10"/>
  <c r="K1078" i="10"/>
  <c r="J1078" i="10"/>
  <c r="I1078" i="10"/>
  <c r="H1078" i="10"/>
  <c r="G1078" i="10"/>
  <c r="F1078" i="10"/>
  <c r="E1078" i="10"/>
  <c r="D1078" i="10"/>
  <c r="L1076" i="10"/>
  <c r="K1076" i="10"/>
  <c r="J1076" i="10"/>
  <c r="I1076" i="10"/>
  <c r="H1076" i="10"/>
  <c r="G1076" i="10"/>
  <c r="F1076" i="10"/>
  <c r="E1076" i="10"/>
  <c r="D1076" i="10"/>
  <c r="L1075" i="10"/>
  <c r="K1075" i="10"/>
  <c r="J1075" i="10"/>
  <c r="I1075" i="10"/>
  <c r="H1075" i="10"/>
  <c r="G1075" i="10"/>
  <c r="F1075" i="10"/>
  <c r="E1075" i="10"/>
  <c r="D1075" i="10"/>
  <c r="L1073" i="10"/>
  <c r="K1073" i="10"/>
  <c r="J1073" i="10"/>
  <c r="I1073" i="10"/>
  <c r="H1073" i="10"/>
  <c r="G1073" i="10"/>
  <c r="F1073" i="10"/>
  <c r="E1073" i="10"/>
  <c r="D1073" i="10"/>
  <c r="L1072" i="10"/>
  <c r="K1072" i="10"/>
  <c r="J1072" i="10"/>
  <c r="I1072" i="10"/>
  <c r="H1072" i="10"/>
  <c r="G1072" i="10"/>
  <c r="F1072" i="10"/>
  <c r="E1072" i="10"/>
  <c r="D1072" i="10"/>
  <c r="L1069" i="10"/>
  <c r="K1069" i="10"/>
  <c r="J1069" i="10"/>
  <c r="I1069" i="10"/>
  <c r="H1069" i="10"/>
  <c r="G1069" i="10"/>
  <c r="F1069" i="10"/>
  <c r="E1069" i="10"/>
  <c r="D1069" i="10"/>
  <c r="L1068" i="10"/>
  <c r="K1068" i="10"/>
  <c r="J1068" i="10"/>
  <c r="I1068" i="10"/>
  <c r="H1068" i="10"/>
  <c r="G1068" i="10"/>
  <c r="F1068" i="10"/>
  <c r="E1068" i="10"/>
  <c r="D1068" i="10"/>
  <c r="L1066" i="10"/>
  <c r="K1066" i="10"/>
  <c r="J1066" i="10"/>
  <c r="I1066" i="10"/>
  <c r="H1066" i="10"/>
  <c r="G1066" i="10"/>
  <c r="F1066" i="10"/>
  <c r="E1066" i="10"/>
  <c r="D1066" i="10"/>
  <c r="L1065" i="10"/>
  <c r="K1065" i="10"/>
  <c r="J1065" i="10"/>
  <c r="I1065" i="10"/>
  <c r="H1065" i="10"/>
  <c r="G1065" i="10"/>
  <c r="F1065" i="10"/>
  <c r="E1065" i="10"/>
  <c r="D1065" i="10"/>
  <c r="L1060" i="10"/>
  <c r="K1060" i="10"/>
  <c r="J1060" i="10"/>
  <c r="I1060" i="10"/>
  <c r="H1060" i="10"/>
  <c r="G1060" i="10"/>
  <c r="F1060" i="10"/>
  <c r="E1060" i="10"/>
  <c r="D1060" i="10"/>
  <c r="L1059" i="10"/>
  <c r="K1059" i="10"/>
  <c r="J1059" i="10"/>
  <c r="I1059" i="10"/>
  <c r="H1059" i="10"/>
  <c r="G1059" i="10"/>
  <c r="F1059" i="10"/>
  <c r="E1059" i="10"/>
  <c r="D1059" i="10"/>
  <c r="L1058" i="10"/>
  <c r="K1058" i="10"/>
  <c r="J1058" i="10"/>
  <c r="I1058" i="10"/>
  <c r="H1058" i="10"/>
  <c r="G1058" i="10"/>
  <c r="F1058" i="10"/>
  <c r="E1058" i="10"/>
  <c r="D1058" i="10"/>
  <c r="L1056" i="10"/>
  <c r="K1056" i="10"/>
  <c r="J1056" i="10"/>
  <c r="I1056" i="10"/>
  <c r="H1056" i="10"/>
  <c r="G1056" i="10"/>
  <c r="F1056" i="10"/>
  <c r="E1056" i="10"/>
  <c r="D1056" i="10"/>
  <c r="L1055" i="10"/>
  <c r="K1055" i="10"/>
  <c r="J1055" i="10"/>
  <c r="I1055" i="10"/>
  <c r="H1055" i="10"/>
  <c r="G1055" i="10"/>
  <c r="F1055" i="10"/>
  <c r="E1055" i="10"/>
  <c r="D1055" i="10"/>
  <c r="L1053" i="10"/>
  <c r="K1053" i="10"/>
  <c r="J1053" i="10"/>
  <c r="I1053" i="10"/>
  <c r="H1053" i="10"/>
  <c r="G1053" i="10"/>
  <c r="F1053" i="10"/>
  <c r="E1053" i="10"/>
  <c r="D1053" i="10"/>
  <c r="L1052" i="10"/>
  <c r="K1052" i="10"/>
  <c r="J1052" i="10"/>
  <c r="I1052" i="10"/>
  <c r="H1052" i="10"/>
  <c r="G1052" i="10"/>
  <c r="F1052" i="10"/>
  <c r="E1052" i="10"/>
  <c r="D1052" i="10"/>
  <c r="L1050" i="10"/>
  <c r="K1050" i="10"/>
  <c r="J1050" i="10"/>
  <c r="I1050" i="10"/>
  <c r="H1050" i="10"/>
  <c r="G1050" i="10"/>
  <c r="F1050" i="10"/>
  <c r="E1050" i="10"/>
  <c r="D1050" i="10"/>
  <c r="L1049" i="10"/>
  <c r="K1049" i="10"/>
  <c r="J1049" i="10"/>
  <c r="I1049" i="10"/>
  <c r="H1049" i="10"/>
  <c r="G1049" i="10"/>
  <c r="F1049" i="10"/>
  <c r="E1049" i="10"/>
  <c r="D1049" i="10"/>
  <c r="L1047" i="10"/>
  <c r="K1047" i="10"/>
  <c r="J1047" i="10"/>
  <c r="I1047" i="10"/>
  <c r="H1047" i="10"/>
  <c r="G1047" i="10"/>
  <c r="F1047" i="10"/>
  <c r="E1047" i="10"/>
  <c r="D1047" i="10"/>
  <c r="L1046" i="10"/>
  <c r="K1046" i="10"/>
  <c r="J1046" i="10"/>
  <c r="I1046" i="10"/>
  <c r="H1046" i="10"/>
  <c r="G1046" i="10"/>
  <c r="F1046" i="10"/>
  <c r="E1046" i="10"/>
  <c r="D1046" i="10"/>
  <c r="L1041" i="10"/>
  <c r="K1041" i="10"/>
  <c r="J1041" i="10"/>
  <c r="I1041" i="10"/>
  <c r="H1041" i="10"/>
  <c r="G1041" i="10"/>
  <c r="F1041" i="10"/>
  <c r="E1041" i="10"/>
  <c r="D1041" i="10"/>
  <c r="L1040" i="10"/>
  <c r="K1040" i="10"/>
  <c r="J1040" i="10"/>
  <c r="I1040" i="10"/>
  <c r="H1040" i="10"/>
  <c r="G1040" i="10"/>
  <c r="F1040" i="10"/>
  <c r="E1040" i="10"/>
  <c r="D1040" i="10"/>
  <c r="L1038" i="10"/>
  <c r="K1038" i="10"/>
  <c r="J1038" i="10"/>
  <c r="I1038" i="10"/>
  <c r="H1038" i="10"/>
  <c r="G1038" i="10"/>
  <c r="F1038" i="10"/>
  <c r="E1038" i="10"/>
  <c r="D1038" i="10"/>
  <c r="L1037" i="10"/>
  <c r="K1037" i="10"/>
  <c r="J1037" i="10"/>
  <c r="I1037" i="10"/>
  <c r="H1037" i="10"/>
  <c r="G1037" i="10"/>
  <c r="F1037" i="10"/>
  <c r="E1037" i="10"/>
  <c r="D1037" i="10"/>
  <c r="L1035" i="10"/>
  <c r="K1035" i="10"/>
  <c r="J1035" i="10"/>
  <c r="I1035" i="10"/>
  <c r="H1035" i="10"/>
  <c r="G1035" i="10"/>
  <c r="F1035" i="10"/>
  <c r="E1035" i="10"/>
  <c r="D1035" i="10"/>
  <c r="L1034" i="10"/>
  <c r="K1034" i="10"/>
  <c r="J1034" i="10"/>
  <c r="I1034" i="10"/>
  <c r="H1034" i="10"/>
  <c r="G1034" i="10"/>
  <c r="F1034" i="10"/>
  <c r="E1034" i="10"/>
  <c r="D1034" i="10"/>
  <c r="L1028" i="10"/>
  <c r="K1028" i="10"/>
  <c r="J1028" i="10"/>
  <c r="I1028" i="10"/>
  <c r="H1028" i="10"/>
  <c r="L1027" i="10"/>
  <c r="K1027" i="10"/>
  <c r="J1027" i="10"/>
  <c r="I1027" i="10"/>
  <c r="H1027" i="10"/>
  <c r="L1026" i="10"/>
  <c r="K1026" i="10"/>
  <c r="J1026" i="10"/>
  <c r="I1026" i="10"/>
  <c r="H1026" i="10"/>
  <c r="L1024" i="10"/>
  <c r="K1024" i="10"/>
  <c r="J1024" i="10"/>
  <c r="I1024" i="10"/>
  <c r="H1024" i="10"/>
  <c r="L1023" i="10"/>
  <c r="K1023" i="10"/>
  <c r="J1023" i="10"/>
  <c r="I1023" i="10"/>
  <c r="H1023" i="10"/>
  <c r="L1022" i="10"/>
  <c r="K1022" i="10"/>
  <c r="J1022" i="10"/>
  <c r="I1022" i="10"/>
  <c r="H1022" i="10"/>
  <c r="L1019" i="10"/>
  <c r="K1019" i="10"/>
  <c r="J1019" i="10"/>
  <c r="I1019" i="10"/>
  <c r="H1019" i="10"/>
  <c r="L1018" i="10"/>
  <c r="K1018" i="10"/>
  <c r="J1018" i="10"/>
  <c r="I1018" i="10"/>
  <c r="H1018" i="10"/>
  <c r="L1017" i="10"/>
  <c r="K1017" i="10"/>
  <c r="J1017" i="10"/>
  <c r="I1017" i="10"/>
  <c r="H1017" i="10"/>
  <c r="L1015" i="10"/>
  <c r="K1015" i="10"/>
  <c r="J1015" i="10"/>
  <c r="I1015" i="10"/>
  <c r="H1015" i="10"/>
  <c r="L1014" i="10"/>
  <c r="K1014" i="10"/>
  <c r="J1014" i="10"/>
  <c r="I1014" i="10"/>
  <c r="H1014" i="10"/>
  <c r="L1013" i="10"/>
  <c r="K1013" i="10"/>
  <c r="J1013" i="10"/>
  <c r="I1013" i="10"/>
  <c r="H1013" i="10"/>
  <c r="L1009" i="10"/>
  <c r="K1009" i="10"/>
  <c r="J1009" i="10"/>
  <c r="I1009" i="10"/>
  <c r="H1009" i="10"/>
  <c r="G1009" i="10"/>
  <c r="F1009" i="10"/>
  <c r="E1009" i="10"/>
  <c r="D1009" i="10"/>
  <c r="L1008" i="10"/>
  <c r="K1008" i="10"/>
  <c r="J1008" i="10"/>
  <c r="I1008" i="10"/>
  <c r="H1008" i="10"/>
  <c r="G1008" i="10"/>
  <c r="F1008" i="10"/>
  <c r="E1008" i="10"/>
  <c r="D1008" i="10"/>
  <c r="L1006" i="10"/>
  <c r="K1006" i="10"/>
  <c r="J1006" i="10"/>
  <c r="I1006" i="10"/>
  <c r="H1006" i="10"/>
  <c r="L1005" i="10"/>
  <c r="K1005" i="10"/>
  <c r="J1005" i="10"/>
  <c r="I1005" i="10"/>
  <c r="H1005" i="10"/>
  <c r="L1004" i="10"/>
  <c r="K1004" i="10"/>
  <c r="J1004" i="10"/>
  <c r="I1004" i="10"/>
  <c r="H1004" i="10"/>
  <c r="G1003" i="10"/>
  <c r="F1003" i="10"/>
  <c r="E1003" i="10"/>
  <c r="D1003" i="10"/>
  <c r="L1002" i="10"/>
  <c r="K1002" i="10"/>
  <c r="J1002" i="10"/>
  <c r="I1002" i="10"/>
  <c r="H1002" i="10"/>
  <c r="G1002" i="10"/>
  <c r="F1002" i="10"/>
  <c r="E1002" i="10"/>
  <c r="D1002" i="10"/>
  <c r="L1001" i="10"/>
  <c r="K1001" i="10"/>
  <c r="J1001" i="10"/>
  <c r="I1001" i="10"/>
  <c r="H1001" i="10"/>
  <c r="G1001" i="10"/>
  <c r="F1001" i="10"/>
  <c r="E1001" i="10"/>
  <c r="D1001" i="10"/>
  <c r="L1000" i="10"/>
  <c r="K1000" i="10"/>
  <c r="J1000" i="10"/>
  <c r="I1000" i="10"/>
  <c r="H1000" i="10"/>
  <c r="G1000" i="10"/>
  <c r="F1000" i="10"/>
  <c r="E1000" i="10"/>
  <c r="D1000" i="10"/>
  <c r="L996" i="10"/>
  <c r="K996" i="10"/>
  <c r="J996" i="10"/>
  <c r="I996" i="10"/>
  <c r="H996" i="10"/>
  <c r="G996" i="10"/>
  <c r="F996" i="10"/>
  <c r="E996" i="10"/>
  <c r="D996" i="10"/>
  <c r="L995" i="10"/>
  <c r="K995" i="10"/>
  <c r="J995" i="10"/>
  <c r="I995" i="10"/>
  <c r="H995" i="10"/>
  <c r="G995" i="10"/>
  <c r="F995" i="10"/>
  <c r="E995" i="10"/>
  <c r="D995" i="10"/>
  <c r="L992" i="10"/>
  <c r="K992" i="10"/>
  <c r="J992" i="10"/>
  <c r="I992" i="10"/>
  <c r="H992" i="10"/>
  <c r="G992" i="10"/>
  <c r="F992" i="10"/>
  <c r="E992" i="10"/>
  <c r="D992" i="10"/>
  <c r="L991" i="10"/>
  <c r="K991" i="10"/>
  <c r="J991" i="10"/>
  <c r="I991" i="10"/>
  <c r="H991" i="10"/>
  <c r="G991" i="10"/>
  <c r="F991" i="10"/>
  <c r="E991" i="10"/>
  <c r="D991" i="10"/>
  <c r="L989" i="10"/>
  <c r="K989" i="10"/>
  <c r="J989" i="10"/>
  <c r="I989" i="10"/>
  <c r="H989" i="10"/>
  <c r="G989" i="10"/>
  <c r="F989" i="10"/>
  <c r="E989" i="10"/>
  <c r="D989" i="10"/>
  <c r="L988" i="10"/>
  <c r="K988" i="10"/>
  <c r="J988" i="10"/>
  <c r="I988" i="10"/>
  <c r="H988" i="10"/>
  <c r="G988" i="10"/>
  <c r="F988" i="10"/>
  <c r="E988" i="10"/>
  <c r="D988" i="10"/>
  <c r="J986" i="10"/>
  <c r="I986" i="10"/>
  <c r="H986" i="10"/>
  <c r="G986" i="10"/>
  <c r="F986" i="10"/>
  <c r="E986" i="10"/>
  <c r="D986" i="10"/>
  <c r="I985" i="10"/>
  <c r="H985" i="10"/>
  <c r="G985" i="10"/>
  <c r="F985" i="10"/>
  <c r="E985" i="10"/>
  <c r="D985" i="10"/>
  <c r="J983" i="10"/>
  <c r="I983" i="10"/>
  <c r="H983" i="10"/>
  <c r="G983" i="10"/>
  <c r="F983" i="10"/>
  <c r="E983" i="10"/>
  <c r="D983" i="10"/>
  <c r="I982" i="10"/>
  <c r="H982" i="10"/>
  <c r="G982" i="10"/>
  <c r="F982" i="10"/>
  <c r="E982" i="10"/>
  <c r="D982" i="10"/>
  <c r="J979" i="10"/>
  <c r="I979" i="10"/>
  <c r="H979" i="10"/>
  <c r="G979" i="10"/>
  <c r="F979" i="10"/>
  <c r="E979" i="10"/>
  <c r="D979" i="10"/>
  <c r="I978" i="10"/>
  <c r="H978" i="10"/>
  <c r="G978" i="10"/>
  <c r="F978" i="10"/>
  <c r="E978" i="10"/>
  <c r="D978" i="10"/>
  <c r="J976" i="10"/>
  <c r="I976" i="10"/>
  <c r="H976" i="10"/>
  <c r="G976" i="10"/>
  <c r="F976" i="10"/>
  <c r="E976" i="10"/>
  <c r="D976" i="10"/>
  <c r="I975" i="10"/>
  <c r="H975" i="10"/>
  <c r="G975" i="10"/>
  <c r="F975" i="10"/>
  <c r="E975" i="10"/>
  <c r="D975" i="10"/>
  <c r="J972" i="10"/>
  <c r="I972" i="10"/>
  <c r="H972" i="10"/>
  <c r="G972" i="10"/>
  <c r="F972" i="10"/>
  <c r="E972" i="10"/>
  <c r="D972" i="10"/>
  <c r="J971" i="10"/>
  <c r="I971" i="10"/>
  <c r="H971" i="10"/>
  <c r="G971" i="10"/>
  <c r="F971" i="10"/>
  <c r="E971" i="10"/>
  <c r="D971" i="10"/>
  <c r="J970" i="10"/>
  <c r="I970" i="10"/>
  <c r="H970" i="10"/>
  <c r="G970" i="10"/>
  <c r="F970" i="10"/>
  <c r="E970" i="10"/>
  <c r="D970" i="10"/>
  <c r="I969" i="10"/>
  <c r="H969" i="10"/>
  <c r="G969" i="10"/>
  <c r="F969" i="10"/>
  <c r="E969" i="10"/>
  <c r="D969" i="10"/>
  <c r="I967" i="10"/>
  <c r="H967" i="10"/>
  <c r="G967" i="10"/>
  <c r="F967" i="10"/>
  <c r="E967" i="10"/>
  <c r="D967" i="10"/>
  <c r="I966" i="10"/>
  <c r="H966" i="10"/>
  <c r="G966" i="10"/>
  <c r="F966" i="10"/>
  <c r="E966" i="10"/>
  <c r="D966" i="10"/>
  <c r="J962" i="10"/>
  <c r="I962" i="10"/>
  <c r="H962" i="10"/>
  <c r="G962" i="10"/>
  <c r="F962" i="10"/>
  <c r="E962" i="10"/>
  <c r="D962" i="10"/>
  <c r="J961" i="10"/>
  <c r="I961" i="10"/>
  <c r="H961" i="10"/>
  <c r="G961" i="10"/>
  <c r="F961" i="10"/>
  <c r="E961" i="10"/>
  <c r="D961" i="10"/>
  <c r="J960" i="10"/>
  <c r="I960" i="10"/>
  <c r="H960" i="10"/>
  <c r="G960" i="10"/>
  <c r="F960" i="10"/>
  <c r="E960" i="10"/>
  <c r="D960" i="10"/>
  <c r="J957" i="10"/>
  <c r="I957" i="10"/>
  <c r="H957" i="10"/>
  <c r="G957" i="10"/>
  <c r="F957" i="10"/>
  <c r="E957" i="10"/>
  <c r="D957" i="10"/>
  <c r="J956" i="10"/>
  <c r="I956" i="10"/>
  <c r="H956" i="10"/>
  <c r="G956" i="10"/>
  <c r="F956" i="10"/>
  <c r="E956" i="10"/>
  <c r="D956" i="10"/>
  <c r="J954" i="10"/>
  <c r="I954" i="10"/>
  <c r="H954" i="10"/>
  <c r="G954" i="10"/>
  <c r="J953" i="10"/>
  <c r="I953" i="10"/>
  <c r="H953" i="10"/>
  <c r="G953" i="10"/>
  <c r="F952" i="10"/>
  <c r="E952" i="10"/>
  <c r="D952" i="10"/>
  <c r="J950" i="10"/>
  <c r="I950" i="10"/>
  <c r="H950" i="10"/>
  <c r="G950" i="10"/>
  <c r="F950" i="10"/>
  <c r="E950" i="10"/>
  <c r="D950" i="10"/>
  <c r="J949" i="10"/>
  <c r="I949" i="10"/>
  <c r="H949" i="10"/>
  <c r="G949" i="10"/>
  <c r="F949" i="10"/>
  <c r="E949" i="10"/>
  <c r="D949" i="10"/>
  <c r="J947" i="10"/>
  <c r="I947" i="10"/>
  <c r="H947" i="10"/>
  <c r="G947" i="10"/>
  <c r="F947" i="10"/>
  <c r="E947" i="10"/>
  <c r="D947" i="10"/>
  <c r="J946" i="10"/>
  <c r="I946" i="10"/>
  <c r="H946" i="10"/>
  <c r="G946" i="10"/>
  <c r="F946" i="10"/>
  <c r="E946" i="10"/>
  <c r="J943" i="10"/>
  <c r="I943" i="10"/>
  <c r="H943" i="10"/>
  <c r="G943" i="10"/>
  <c r="F943" i="10"/>
  <c r="E943" i="10"/>
  <c r="D943" i="10"/>
  <c r="J942" i="10"/>
  <c r="I942" i="10"/>
  <c r="H942" i="10"/>
  <c r="G942" i="10"/>
  <c r="F942" i="10"/>
  <c r="E942" i="10"/>
  <c r="D942" i="10"/>
  <c r="J940" i="10"/>
  <c r="I940" i="10"/>
  <c r="H940" i="10"/>
  <c r="G940" i="10"/>
  <c r="F940" i="10"/>
  <c r="E940" i="10"/>
  <c r="D940" i="10"/>
  <c r="J939" i="10"/>
  <c r="I939" i="10"/>
  <c r="H939" i="10"/>
  <c r="G939" i="10"/>
  <c r="F939" i="10"/>
  <c r="E939" i="10"/>
  <c r="D939" i="10"/>
  <c r="D946" i="10" s="1"/>
  <c r="J935" i="10"/>
  <c r="I935" i="10"/>
  <c r="H935" i="10"/>
  <c r="G935" i="10"/>
  <c r="F935" i="10"/>
  <c r="E935" i="10"/>
  <c r="D935" i="10"/>
  <c r="J934" i="10"/>
  <c r="I934" i="10"/>
  <c r="H934" i="10"/>
  <c r="G934" i="10"/>
  <c r="E934" i="10"/>
  <c r="D934" i="10"/>
  <c r="J933" i="10"/>
  <c r="I933" i="10"/>
  <c r="H933" i="10"/>
  <c r="G933" i="10"/>
  <c r="F933" i="10"/>
  <c r="E933" i="10"/>
  <c r="D933" i="10"/>
  <c r="J932" i="10"/>
  <c r="I932" i="10"/>
  <c r="H932" i="10"/>
  <c r="G932" i="10"/>
  <c r="F932" i="10"/>
  <c r="E932" i="10"/>
  <c r="D932" i="10"/>
  <c r="J930" i="10"/>
  <c r="I930" i="10"/>
  <c r="H930" i="10"/>
  <c r="G930" i="10"/>
  <c r="F930" i="10"/>
  <c r="E930" i="10"/>
  <c r="D930" i="10"/>
  <c r="J929" i="10"/>
  <c r="I929" i="10"/>
  <c r="H929" i="10"/>
  <c r="G929" i="10"/>
  <c r="F929" i="10"/>
  <c r="E929" i="10"/>
  <c r="D929" i="10"/>
  <c r="I927" i="10"/>
  <c r="H927" i="10"/>
  <c r="I926" i="10"/>
  <c r="H926" i="10"/>
  <c r="J923" i="10"/>
  <c r="I923" i="10"/>
  <c r="H923" i="10"/>
  <c r="J922" i="10"/>
  <c r="I922" i="10"/>
  <c r="H922" i="10"/>
  <c r="J920" i="10"/>
  <c r="I920" i="10"/>
  <c r="H920" i="10"/>
  <c r="J919" i="10"/>
  <c r="I919" i="10"/>
  <c r="H919" i="10"/>
  <c r="J917" i="10"/>
  <c r="I917" i="10"/>
  <c r="H917" i="10"/>
  <c r="J916" i="10"/>
  <c r="I916" i="10"/>
  <c r="H916" i="10"/>
  <c r="I914" i="10"/>
  <c r="H914" i="10"/>
  <c r="I913" i="10"/>
  <c r="H913" i="10"/>
  <c r="J911" i="10"/>
  <c r="I911" i="10"/>
  <c r="H911" i="10"/>
  <c r="G911" i="10"/>
  <c r="F911" i="10"/>
  <c r="E911" i="10"/>
  <c r="D911" i="10"/>
  <c r="J910" i="10"/>
  <c r="I910" i="10"/>
  <c r="H910" i="10"/>
  <c r="G910" i="10"/>
  <c r="F910" i="10"/>
  <c r="E910" i="10"/>
  <c r="D910" i="10"/>
  <c r="J905" i="10"/>
  <c r="I905" i="10"/>
  <c r="H905" i="10"/>
  <c r="G905" i="10"/>
  <c r="F905" i="10"/>
  <c r="E905" i="10"/>
  <c r="D905" i="10"/>
  <c r="J904" i="10"/>
  <c r="I904" i="10"/>
  <c r="H904" i="10"/>
  <c r="J902" i="10"/>
  <c r="I902" i="10"/>
  <c r="H902" i="10"/>
  <c r="G902" i="10"/>
  <c r="F902" i="10"/>
  <c r="E902" i="10"/>
  <c r="D902" i="10"/>
  <c r="J901" i="10"/>
  <c r="I901" i="10"/>
  <c r="H901" i="10"/>
  <c r="I899" i="10"/>
  <c r="H899" i="10"/>
  <c r="I898" i="10"/>
  <c r="H898" i="10"/>
  <c r="I897" i="10"/>
  <c r="H897" i="10"/>
  <c r="J894" i="10"/>
  <c r="I894" i="10"/>
  <c r="H894" i="10"/>
  <c r="G894" i="10"/>
  <c r="F894" i="10"/>
  <c r="E894" i="10"/>
  <c r="D894" i="10"/>
  <c r="J893" i="10"/>
  <c r="I893" i="10"/>
  <c r="H893" i="10"/>
  <c r="J892" i="10"/>
  <c r="I892" i="10"/>
  <c r="H892" i="10"/>
  <c r="I890" i="10"/>
  <c r="H890" i="10"/>
  <c r="G890" i="10"/>
  <c r="F890" i="10"/>
  <c r="E890" i="10"/>
  <c r="D890" i="10"/>
  <c r="J889" i="10"/>
  <c r="I889" i="10"/>
  <c r="H889" i="10"/>
  <c r="G889" i="10"/>
  <c r="F889" i="10"/>
  <c r="E889" i="10"/>
  <c r="D889" i="10"/>
  <c r="I888" i="10"/>
  <c r="H888" i="10"/>
  <c r="J885" i="10"/>
  <c r="I885" i="10"/>
  <c r="H885" i="10"/>
  <c r="G885" i="10"/>
  <c r="F885" i="10"/>
  <c r="E885" i="10"/>
  <c r="D885" i="10"/>
  <c r="J884" i="10"/>
  <c r="I884" i="10"/>
  <c r="H884" i="10"/>
  <c r="G884" i="10"/>
  <c r="F884" i="10"/>
  <c r="E884" i="10"/>
  <c r="D884" i="10"/>
  <c r="J883" i="10"/>
  <c r="I883" i="10"/>
  <c r="H883" i="10"/>
  <c r="G883" i="10"/>
  <c r="F883" i="10"/>
  <c r="E883" i="10"/>
  <c r="D883" i="10"/>
  <c r="J881" i="10"/>
  <c r="I881" i="10"/>
  <c r="H881" i="10"/>
  <c r="G881" i="10"/>
  <c r="J880" i="10"/>
  <c r="I880" i="10"/>
  <c r="H880" i="10"/>
  <c r="G880" i="10"/>
  <c r="F879" i="10"/>
  <c r="E879" i="10"/>
  <c r="D879" i="10"/>
  <c r="J878" i="10"/>
  <c r="I878" i="10"/>
  <c r="H878" i="10"/>
  <c r="G878" i="10"/>
  <c r="J877" i="10"/>
  <c r="I877" i="10"/>
  <c r="H877" i="10"/>
  <c r="G877" i="10"/>
  <c r="F876" i="10"/>
  <c r="E876" i="10"/>
  <c r="D876" i="10"/>
  <c r="J874" i="10"/>
  <c r="I874" i="10"/>
  <c r="H874" i="10"/>
  <c r="J873" i="10"/>
  <c r="I873" i="10"/>
  <c r="H873" i="10"/>
  <c r="J872" i="10"/>
  <c r="I872" i="10"/>
  <c r="H872" i="10"/>
  <c r="I870" i="10"/>
  <c r="H870" i="10"/>
  <c r="I869" i="10"/>
  <c r="H869" i="10"/>
  <c r="I868" i="10"/>
  <c r="H868" i="10"/>
  <c r="J865" i="10"/>
  <c r="I865" i="10"/>
  <c r="H865" i="10"/>
  <c r="J864" i="10"/>
  <c r="I864" i="10"/>
  <c r="H864" i="10"/>
  <c r="J863" i="10"/>
  <c r="I863" i="10"/>
  <c r="H863" i="10"/>
  <c r="I861" i="10"/>
  <c r="H861" i="10"/>
  <c r="I860" i="10"/>
  <c r="H860" i="10"/>
  <c r="I859" i="10"/>
  <c r="H859" i="10"/>
  <c r="J857" i="10"/>
  <c r="I857" i="10"/>
  <c r="H857" i="10"/>
  <c r="G857" i="10"/>
  <c r="F857" i="10"/>
  <c r="E857" i="10"/>
  <c r="D857" i="10"/>
  <c r="J856" i="10"/>
  <c r="I856" i="10"/>
  <c r="H856" i="10"/>
  <c r="G856" i="10"/>
  <c r="F856" i="10"/>
  <c r="E856" i="10"/>
  <c r="D856" i="10"/>
  <c r="J854" i="10"/>
  <c r="I854" i="10"/>
  <c r="H854" i="10"/>
  <c r="I853" i="10"/>
  <c r="H853" i="10"/>
  <c r="I851" i="10"/>
  <c r="H851" i="10"/>
  <c r="I850" i="10"/>
  <c r="H850" i="10"/>
  <c r="J847" i="10"/>
  <c r="I847" i="10"/>
  <c r="H847" i="10"/>
  <c r="G847" i="10"/>
  <c r="F847" i="10"/>
  <c r="E847" i="10"/>
  <c r="D847" i="10"/>
  <c r="J846" i="10"/>
  <c r="I846" i="10"/>
  <c r="H846" i="10"/>
  <c r="G846" i="10"/>
  <c r="F846" i="10"/>
  <c r="E846" i="10"/>
  <c r="D846" i="10"/>
  <c r="J843" i="10"/>
  <c r="I843" i="10"/>
  <c r="H843" i="10"/>
  <c r="G843" i="10"/>
  <c r="J842" i="10"/>
  <c r="I842" i="10"/>
  <c r="H842" i="10"/>
  <c r="G842" i="10"/>
  <c r="F841" i="10"/>
  <c r="E841" i="10"/>
  <c r="D841" i="10"/>
  <c r="J840" i="10"/>
  <c r="I840" i="10"/>
  <c r="H840" i="10"/>
  <c r="G840" i="10"/>
  <c r="J839" i="10"/>
  <c r="I839" i="10"/>
  <c r="H839" i="10"/>
  <c r="G839" i="10"/>
  <c r="F838" i="10"/>
  <c r="E838" i="10"/>
  <c r="D838" i="10"/>
  <c r="I837" i="10"/>
  <c r="H837" i="10"/>
  <c r="I836" i="10"/>
  <c r="H836" i="10"/>
  <c r="J831" i="10"/>
  <c r="I831" i="10"/>
  <c r="H831" i="10"/>
  <c r="G831" i="10"/>
  <c r="F831" i="10"/>
  <c r="E831" i="10"/>
  <c r="D831" i="10"/>
  <c r="J830" i="10"/>
  <c r="I830" i="10"/>
  <c r="H830" i="10"/>
  <c r="G830" i="10"/>
  <c r="F830" i="10"/>
  <c r="E830" i="10"/>
  <c r="D830" i="10"/>
  <c r="J828" i="10"/>
  <c r="I828" i="10"/>
  <c r="H828" i="10"/>
  <c r="G828" i="10"/>
  <c r="F828" i="10"/>
  <c r="E828" i="10"/>
  <c r="D828" i="10"/>
  <c r="J827" i="10"/>
  <c r="I827" i="10"/>
  <c r="H827" i="10"/>
  <c r="G827" i="10"/>
  <c r="F827" i="10"/>
  <c r="E827" i="10"/>
  <c r="D827" i="10"/>
  <c r="J825" i="10"/>
  <c r="I825" i="10"/>
  <c r="H825" i="10"/>
  <c r="G825" i="10"/>
  <c r="F825" i="10"/>
  <c r="E825" i="10"/>
  <c r="D825" i="10"/>
  <c r="J824" i="10"/>
  <c r="I824" i="10"/>
  <c r="H824" i="10"/>
  <c r="G824" i="10"/>
  <c r="F824" i="10"/>
  <c r="E824" i="10"/>
  <c r="D824" i="10"/>
  <c r="G821" i="10"/>
  <c r="F821" i="10"/>
  <c r="E821" i="10"/>
  <c r="D821" i="10"/>
  <c r="G820" i="10"/>
  <c r="F820" i="10"/>
  <c r="E820" i="10"/>
  <c r="D820" i="10"/>
  <c r="J818" i="10"/>
  <c r="I818" i="10"/>
  <c r="H818" i="10"/>
  <c r="J817" i="10"/>
  <c r="I817" i="10"/>
  <c r="H817" i="10"/>
  <c r="J815" i="10"/>
  <c r="I815" i="10"/>
  <c r="H815" i="10"/>
  <c r="J814" i="10"/>
  <c r="I814" i="10"/>
  <c r="H814" i="10"/>
  <c r="I811" i="10"/>
  <c r="H811" i="10"/>
  <c r="G811" i="10"/>
  <c r="F811" i="10"/>
  <c r="E811" i="10"/>
  <c r="D811" i="10"/>
  <c r="I810" i="10"/>
  <c r="H810" i="10"/>
  <c r="G810" i="10"/>
  <c r="F810" i="10"/>
  <c r="E810" i="10"/>
  <c r="D810" i="10"/>
  <c r="J808" i="10"/>
  <c r="I808" i="10"/>
  <c r="H808" i="10"/>
  <c r="G808" i="10"/>
  <c r="F808" i="10"/>
  <c r="E808" i="10"/>
  <c r="D808" i="10"/>
  <c r="J807" i="10"/>
  <c r="I807" i="10"/>
  <c r="H807" i="10"/>
  <c r="J805" i="10"/>
  <c r="I805" i="10"/>
  <c r="H805" i="10"/>
  <c r="G805" i="10"/>
  <c r="F805" i="10"/>
  <c r="E805" i="10"/>
  <c r="D805" i="10"/>
  <c r="J804" i="10"/>
  <c r="I804" i="10"/>
  <c r="H804" i="10"/>
  <c r="J800" i="10"/>
  <c r="I800" i="10"/>
  <c r="H800" i="10"/>
  <c r="G800" i="10"/>
  <c r="F800" i="10"/>
  <c r="E800" i="10"/>
  <c r="D800" i="10"/>
  <c r="J799" i="10"/>
  <c r="I799" i="10"/>
  <c r="H799" i="10"/>
  <c r="G799" i="10"/>
  <c r="F799" i="10"/>
  <c r="E799" i="10"/>
  <c r="D799" i="10"/>
  <c r="I798" i="10"/>
  <c r="H798" i="10"/>
  <c r="I797" i="10"/>
  <c r="H797" i="10"/>
  <c r="J795" i="10"/>
  <c r="I795" i="10"/>
  <c r="H795" i="10"/>
  <c r="I794" i="10"/>
  <c r="H794" i="10"/>
  <c r="J792" i="10"/>
  <c r="I792" i="10"/>
  <c r="H792" i="10"/>
  <c r="G792" i="10"/>
  <c r="F792" i="10"/>
  <c r="E792" i="10"/>
  <c r="D792" i="10"/>
  <c r="J791" i="10"/>
  <c r="I791" i="10"/>
  <c r="H791" i="10"/>
  <c r="G791" i="10"/>
  <c r="J790" i="10"/>
  <c r="I790" i="10"/>
  <c r="H790" i="10"/>
  <c r="G790" i="10"/>
  <c r="J788" i="10"/>
  <c r="I788" i="10"/>
  <c r="H788" i="10"/>
  <c r="G788" i="10"/>
  <c r="F788" i="10"/>
  <c r="E788" i="10"/>
  <c r="D788" i="10"/>
  <c r="J787" i="10"/>
  <c r="I787" i="10"/>
  <c r="H787" i="10"/>
  <c r="G787" i="10"/>
  <c r="F787" i="10"/>
  <c r="E787" i="10"/>
  <c r="D787" i="10"/>
  <c r="J784" i="10"/>
  <c r="I784" i="10"/>
  <c r="H784" i="10"/>
  <c r="J783" i="10"/>
  <c r="I783" i="10"/>
  <c r="H783" i="10"/>
  <c r="I781" i="10"/>
  <c r="H781" i="10"/>
  <c r="I780" i="10"/>
  <c r="H780" i="10"/>
  <c r="J777" i="10"/>
  <c r="I777" i="10"/>
  <c r="H777" i="10"/>
  <c r="G777" i="10"/>
  <c r="F777" i="10"/>
  <c r="E777" i="10"/>
  <c r="D777" i="10"/>
  <c r="J776" i="10"/>
  <c r="I776" i="10"/>
  <c r="H776" i="10"/>
  <c r="G776" i="10"/>
  <c r="F776" i="10"/>
  <c r="E776" i="10"/>
  <c r="D776" i="10"/>
  <c r="J774" i="10"/>
  <c r="I774" i="10"/>
  <c r="H774" i="10"/>
  <c r="J773" i="10"/>
  <c r="I773" i="10"/>
  <c r="H773" i="10"/>
  <c r="J772" i="10"/>
  <c r="I772" i="10"/>
  <c r="H772" i="10"/>
  <c r="J770" i="10"/>
  <c r="I770" i="10"/>
  <c r="H770" i="10"/>
  <c r="J769" i="10"/>
  <c r="I769" i="10"/>
  <c r="H769" i="10"/>
  <c r="J768" i="10"/>
  <c r="I768" i="10"/>
  <c r="H768" i="10"/>
  <c r="I765" i="10"/>
  <c r="H765" i="10"/>
  <c r="I764" i="10"/>
  <c r="H764" i="10"/>
  <c r="I763" i="10"/>
  <c r="H763" i="10"/>
  <c r="I761" i="10"/>
  <c r="H761" i="10"/>
  <c r="I760" i="10"/>
  <c r="H760" i="10"/>
  <c r="I759" i="10"/>
  <c r="H759" i="10"/>
  <c r="J755" i="10"/>
  <c r="I755" i="10"/>
  <c r="H755" i="10"/>
  <c r="G755" i="10"/>
  <c r="F755" i="10"/>
  <c r="E755" i="10"/>
  <c r="D755" i="10"/>
  <c r="J754" i="10"/>
  <c r="I754" i="10"/>
  <c r="H754" i="10"/>
  <c r="G754" i="10"/>
  <c r="F754" i="10"/>
  <c r="E754" i="10"/>
  <c r="D754" i="10"/>
  <c r="J750" i="10"/>
  <c r="I750" i="10"/>
  <c r="H750" i="10"/>
  <c r="J749" i="10"/>
  <c r="I749" i="10"/>
  <c r="H749" i="10"/>
  <c r="J747" i="10"/>
  <c r="I747" i="10"/>
  <c r="H747" i="10"/>
  <c r="G747" i="10"/>
  <c r="F747" i="10"/>
  <c r="E747" i="10"/>
  <c r="D747" i="10"/>
  <c r="J746" i="10"/>
  <c r="I746" i="10"/>
  <c r="H746" i="10"/>
  <c r="J745" i="10"/>
  <c r="I745" i="10"/>
  <c r="H745" i="10"/>
  <c r="I743" i="10"/>
  <c r="H743" i="10"/>
  <c r="G743" i="10"/>
  <c r="F743" i="10"/>
  <c r="E743" i="10"/>
  <c r="D743" i="10"/>
  <c r="J742" i="10"/>
  <c r="I742" i="10"/>
  <c r="H742" i="10"/>
  <c r="I741" i="10"/>
  <c r="H741" i="10"/>
  <c r="J738" i="10"/>
  <c r="I738" i="10"/>
  <c r="H738" i="10"/>
  <c r="G738" i="10"/>
  <c r="F738" i="10"/>
  <c r="E738" i="10"/>
  <c r="D738" i="10"/>
  <c r="J737" i="10"/>
  <c r="I737" i="10"/>
  <c r="H737" i="10"/>
  <c r="G737" i="10"/>
  <c r="F737" i="10"/>
  <c r="E737" i="10"/>
  <c r="D737" i="10"/>
  <c r="J736" i="10"/>
  <c r="I736" i="10"/>
  <c r="H736" i="10"/>
  <c r="G736" i="10"/>
  <c r="F736" i="10"/>
  <c r="E736" i="10"/>
  <c r="D736" i="10"/>
  <c r="I734" i="10"/>
  <c r="H734" i="10"/>
  <c r="G734" i="10"/>
  <c r="F734" i="10"/>
  <c r="E734" i="10"/>
  <c r="D734" i="10"/>
  <c r="I733" i="10"/>
  <c r="H733" i="10"/>
  <c r="G733" i="10"/>
  <c r="F733" i="10"/>
  <c r="E733" i="10"/>
  <c r="D733" i="10"/>
  <c r="I732" i="10"/>
  <c r="H732" i="10"/>
  <c r="G732" i="10"/>
  <c r="F732" i="10"/>
  <c r="E732" i="10"/>
  <c r="D732" i="10"/>
  <c r="J729" i="10"/>
  <c r="I729" i="10"/>
  <c r="H729" i="10"/>
  <c r="J728" i="10"/>
  <c r="I728" i="10"/>
  <c r="H728" i="10"/>
  <c r="J727" i="10"/>
  <c r="I727" i="10"/>
  <c r="H727" i="10"/>
  <c r="J725" i="10"/>
  <c r="I725" i="10"/>
  <c r="H725" i="10"/>
  <c r="J724" i="10"/>
  <c r="I724" i="10"/>
  <c r="H724" i="10"/>
  <c r="J723" i="10"/>
  <c r="I723" i="10"/>
  <c r="H723" i="10"/>
  <c r="J720" i="10"/>
  <c r="I720" i="10"/>
  <c r="H720" i="10"/>
  <c r="G720" i="10"/>
  <c r="F720" i="10"/>
  <c r="E720" i="10"/>
  <c r="D720" i="10"/>
  <c r="J719" i="10"/>
  <c r="I719" i="10"/>
  <c r="H719" i="10"/>
  <c r="G719" i="10"/>
  <c r="F719" i="10"/>
  <c r="E719" i="10"/>
  <c r="D719" i="10"/>
  <c r="J718" i="10"/>
  <c r="I718" i="10"/>
  <c r="H718" i="10"/>
  <c r="G718" i="10"/>
  <c r="F718" i="10"/>
  <c r="E718" i="10"/>
  <c r="D718" i="10"/>
  <c r="I716" i="10"/>
  <c r="H716" i="10"/>
  <c r="G716" i="10"/>
  <c r="F716" i="10"/>
  <c r="E716" i="10"/>
  <c r="D716" i="10"/>
  <c r="I715" i="10"/>
  <c r="H715" i="10"/>
  <c r="G715" i="10"/>
  <c r="F715" i="10"/>
  <c r="E715" i="10"/>
  <c r="D715" i="10"/>
  <c r="J712" i="10"/>
  <c r="I712" i="10"/>
  <c r="H712" i="10"/>
  <c r="J711" i="10"/>
  <c r="I711" i="10"/>
  <c r="H711" i="10"/>
  <c r="G710" i="10"/>
  <c r="F710" i="10"/>
  <c r="E710" i="10"/>
  <c r="D710" i="10"/>
  <c r="J709" i="10"/>
  <c r="I709" i="10"/>
  <c r="H709" i="10"/>
  <c r="J708" i="10"/>
  <c r="I708" i="10"/>
  <c r="H708" i="10"/>
  <c r="G707" i="10"/>
  <c r="F707" i="10"/>
  <c r="E707" i="10"/>
  <c r="D707" i="10"/>
  <c r="I705" i="10"/>
  <c r="I704" i="10"/>
  <c r="H704" i="10"/>
  <c r="I703" i="10"/>
  <c r="H703" i="10"/>
  <c r="G702" i="10"/>
  <c r="I701" i="10"/>
  <c r="I700" i="10"/>
  <c r="H700" i="10"/>
  <c r="I699" i="10"/>
  <c r="H699" i="10"/>
  <c r="F697" i="10"/>
  <c r="E697" i="10"/>
  <c r="D697" i="10"/>
  <c r="K695" i="10"/>
  <c r="I695" i="10"/>
  <c r="H695" i="10"/>
  <c r="G695" i="10"/>
  <c r="F695" i="10"/>
  <c r="E695" i="10"/>
  <c r="D695" i="10"/>
  <c r="K694" i="10"/>
  <c r="I694" i="10"/>
  <c r="H694" i="10"/>
  <c r="G694" i="10"/>
  <c r="F694" i="10"/>
  <c r="E694" i="10"/>
  <c r="D694" i="10"/>
  <c r="K693" i="10"/>
  <c r="I693" i="10"/>
  <c r="H693" i="10"/>
  <c r="G693" i="10"/>
  <c r="F693" i="10"/>
  <c r="E693" i="10"/>
  <c r="D693" i="10"/>
  <c r="L689" i="10"/>
  <c r="K689" i="10"/>
  <c r="J689" i="10"/>
  <c r="I689" i="10"/>
  <c r="H689" i="10"/>
  <c r="G689" i="10"/>
  <c r="L688" i="10"/>
  <c r="K688" i="10"/>
  <c r="J688" i="10"/>
  <c r="I688" i="10"/>
  <c r="H688" i="10"/>
  <c r="G688" i="10"/>
  <c r="L687" i="10"/>
  <c r="K687" i="10"/>
  <c r="J687" i="10"/>
  <c r="I687" i="10"/>
  <c r="H687" i="10"/>
  <c r="G687" i="10"/>
  <c r="F687" i="10"/>
  <c r="E687" i="10"/>
  <c r="D687" i="10"/>
  <c r="L686" i="10"/>
  <c r="K686" i="10"/>
  <c r="J686" i="10"/>
  <c r="I686" i="10"/>
  <c r="H686" i="10"/>
  <c r="G686" i="10"/>
  <c r="L685" i="10"/>
  <c r="K685" i="10"/>
  <c r="J685" i="10"/>
  <c r="I685" i="10"/>
  <c r="H685" i="10"/>
  <c r="G685" i="10"/>
  <c r="L684" i="10"/>
  <c r="K684" i="10"/>
  <c r="J684" i="10"/>
  <c r="I684" i="10"/>
  <c r="H684" i="10"/>
  <c r="G684" i="10"/>
  <c r="F684" i="10"/>
  <c r="E684" i="10"/>
  <c r="D684" i="10"/>
  <c r="L682" i="10"/>
  <c r="K682" i="10"/>
  <c r="J682" i="10"/>
  <c r="I682" i="10"/>
  <c r="H682" i="10"/>
  <c r="G682" i="10"/>
  <c r="L681" i="10"/>
  <c r="K681" i="10"/>
  <c r="J681" i="10"/>
  <c r="I681" i="10"/>
  <c r="H681" i="10"/>
  <c r="G681" i="10"/>
  <c r="L680" i="10"/>
  <c r="K680" i="10"/>
  <c r="J680" i="10"/>
  <c r="I680" i="10"/>
  <c r="H680" i="10"/>
  <c r="G680" i="10"/>
  <c r="F680" i="10"/>
  <c r="E680" i="10"/>
  <c r="D680" i="10"/>
  <c r="L679" i="10"/>
  <c r="K679" i="10"/>
  <c r="J679" i="10"/>
  <c r="I679" i="10"/>
  <c r="H679" i="10"/>
  <c r="G679" i="10"/>
  <c r="L678" i="10"/>
  <c r="K678" i="10"/>
  <c r="J678" i="10"/>
  <c r="I678" i="10"/>
  <c r="H678" i="10"/>
  <c r="G678" i="10"/>
  <c r="L677" i="10"/>
  <c r="K677" i="10"/>
  <c r="J677" i="10"/>
  <c r="I677" i="10"/>
  <c r="H677" i="10"/>
  <c r="G677" i="10"/>
  <c r="F677" i="10"/>
  <c r="E677" i="10"/>
  <c r="D677" i="10"/>
  <c r="L675" i="10"/>
  <c r="K675" i="10"/>
  <c r="J675" i="10"/>
  <c r="I675" i="10"/>
  <c r="H675" i="10"/>
  <c r="G675" i="10"/>
  <c r="L674" i="10"/>
  <c r="K674" i="10"/>
  <c r="J674" i="10"/>
  <c r="I674" i="10"/>
  <c r="H674" i="10"/>
  <c r="G674" i="10"/>
  <c r="L673" i="10"/>
  <c r="K673" i="10"/>
  <c r="J673" i="10"/>
  <c r="I673" i="10"/>
  <c r="H673" i="10"/>
  <c r="G673" i="10"/>
  <c r="F673" i="10"/>
  <c r="E673" i="10"/>
  <c r="D673" i="10"/>
  <c r="L672" i="10"/>
  <c r="K672" i="10"/>
  <c r="J672" i="10"/>
  <c r="I672" i="10"/>
  <c r="H672" i="10"/>
  <c r="G672" i="10"/>
  <c r="L671" i="10"/>
  <c r="K671" i="10"/>
  <c r="J671" i="10"/>
  <c r="I671" i="10"/>
  <c r="H671" i="10"/>
  <c r="G671" i="10"/>
  <c r="L670" i="10"/>
  <c r="K670" i="10"/>
  <c r="J670" i="10"/>
  <c r="I670" i="10"/>
  <c r="H670" i="10"/>
  <c r="G670" i="10"/>
  <c r="F670" i="10"/>
  <c r="E670" i="10"/>
  <c r="D670" i="10"/>
  <c r="L668" i="10"/>
  <c r="K668" i="10"/>
  <c r="J668" i="10"/>
  <c r="I668" i="10"/>
  <c r="H668" i="10"/>
  <c r="G668" i="10"/>
  <c r="L667" i="10"/>
  <c r="K667" i="10"/>
  <c r="J667" i="10"/>
  <c r="I667" i="10"/>
  <c r="H667" i="10"/>
  <c r="G667" i="10"/>
  <c r="L666" i="10"/>
  <c r="K666" i="10"/>
  <c r="J666" i="10"/>
  <c r="I666" i="10"/>
  <c r="H666" i="10"/>
  <c r="G666" i="10"/>
  <c r="F666" i="10"/>
  <c r="E666" i="10"/>
  <c r="D666" i="10"/>
  <c r="L665" i="10"/>
  <c r="K665" i="10"/>
  <c r="J665" i="10"/>
  <c r="I665" i="10"/>
  <c r="H665" i="10"/>
  <c r="G665" i="10"/>
  <c r="L664" i="10"/>
  <c r="K664" i="10"/>
  <c r="J664" i="10"/>
  <c r="I664" i="10"/>
  <c r="H664" i="10"/>
  <c r="G664" i="10"/>
  <c r="L663" i="10"/>
  <c r="K663" i="10"/>
  <c r="J663" i="10"/>
  <c r="I663" i="10"/>
  <c r="H663" i="10"/>
  <c r="G663" i="10"/>
  <c r="F663" i="10"/>
  <c r="E663" i="10"/>
  <c r="D663" i="10"/>
  <c r="L661" i="10"/>
  <c r="K661" i="10"/>
  <c r="J661" i="10"/>
  <c r="I661" i="10"/>
  <c r="H661" i="10"/>
  <c r="G661" i="10"/>
  <c r="L660" i="10"/>
  <c r="K660" i="10"/>
  <c r="J660" i="10"/>
  <c r="I660" i="10"/>
  <c r="H660" i="10"/>
  <c r="G660" i="10"/>
  <c r="L659" i="10"/>
  <c r="K659" i="10"/>
  <c r="J659" i="10"/>
  <c r="I659" i="10"/>
  <c r="H659" i="10"/>
  <c r="G659" i="10"/>
  <c r="F659" i="10"/>
  <c r="E659" i="10"/>
  <c r="D659" i="10"/>
  <c r="L658" i="10"/>
  <c r="K658" i="10"/>
  <c r="J658" i="10"/>
  <c r="I658" i="10"/>
  <c r="H658" i="10"/>
  <c r="G658" i="10"/>
  <c r="L657" i="10"/>
  <c r="K657" i="10"/>
  <c r="J657" i="10"/>
  <c r="I657" i="10"/>
  <c r="H657" i="10"/>
  <c r="G657" i="10"/>
  <c r="L656" i="10"/>
  <c r="K656" i="10"/>
  <c r="J656" i="10"/>
  <c r="I656" i="10"/>
  <c r="H656" i="10"/>
  <c r="G656" i="10"/>
  <c r="F656" i="10"/>
  <c r="E656" i="10"/>
  <c r="D656" i="10"/>
  <c r="L654" i="10"/>
  <c r="K654" i="10"/>
  <c r="J654" i="10"/>
  <c r="I654" i="10"/>
  <c r="H654" i="10"/>
  <c r="G654" i="10"/>
  <c r="L653" i="10"/>
  <c r="K653" i="10"/>
  <c r="J653" i="10"/>
  <c r="I653" i="10"/>
  <c r="H653" i="10"/>
  <c r="G653" i="10"/>
  <c r="L652" i="10"/>
  <c r="K652" i="10"/>
  <c r="J652" i="10"/>
  <c r="I652" i="10"/>
  <c r="H652" i="10"/>
  <c r="G652" i="10"/>
  <c r="F652" i="10"/>
  <c r="E652" i="10"/>
  <c r="D652" i="10"/>
  <c r="L651" i="10"/>
  <c r="K651" i="10"/>
  <c r="J651" i="10"/>
  <c r="I651" i="10"/>
  <c r="H651" i="10"/>
  <c r="G651" i="10"/>
  <c r="L650" i="10"/>
  <c r="K650" i="10"/>
  <c r="J650" i="10"/>
  <c r="I650" i="10"/>
  <c r="H650" i="10"/>
  <c r="G650" i="10"/>
  <c r="L649" i="10"/>
  <c r="K649" i="10"/>
  <c r="J649" i="10"/>
  <c r="I649" i="10"/>
  <c r="H649" i="10"/>
  <c r="G649" i="10"/>
  <c r="F649" i="10"/>
  <c r="E649" i="10"/>
  <c r="D649" i="10"/>
  <c r="L647" i="10"/>
  <c r="K647" i="10"/>
  <c r="J647" i="10"/>
  <c r="I647" i="10"/>
  <c r="H647" i="10"/>
  <c r="G647" i="10"/>
  <c r="L646" i="10"/>
  <c r="K646" i="10"/>
  <c r="J646" i="10"/>
  <c r="I646" i="10"/>
  <c r="H646" i="10"/>
  <c r="G646" i="10"/>
  <c r="L645" i="10"/>
  <c r="K645" i="10"/>
  <c r="J645" i="10"/>
  <c r="I645" i="10"/>
  <c r="H645" i="10"/>
  <c r="G645" i="10"/>
  <c r="F645" i="10"/>
  <c r="E645" i="10"/>
  <c r="D645" i="10"/>
  <c r="L644" i="10"/>
  <c r="K644" i="10"/>
  <c r="J644" i="10"/>
  <c r="I644" i="10"/>
  <c r="H644" i="10"/>
  <c r="G644" i="10"/>
  <c r="L643" i="10"/>
  <c r="K643" i="10"/>
  <c r="J643" i="10"/>
  <c r="I643" i="10"/>
  <c r="H643" i="10"/>
  <c r="G643" i="10"/>
  <c r="L642" i="10"/>
  <c r="K642" i="10"/>
  <c r="J642" i="10"/>
  <c r="I642" i="10"/>
  <c r="H642" i="10"/>
  <c r="G642" i="10"/>
  <c r="F642" i="10"/>
  <c r="E642" i="10"/>
  <c r="D642" i="10"/>
  <c r="L641" i="10"/>
  <c r="K641" i="10"/>
  <c r="J641" i="10"/>
  <c r="I641" i="10"/>
  <c r="H641" i="10"/>
  <c r="G641" i="10"/>
  <c r="F641" i="10"/>
  <c r="E641" i="10"/>
  <c r="D641" i="10"/>
  <c r="L639" i="10"/>
  <c r="K639" i="10"/>
  <c r="J639" i="10"/>
  <c r="I639" i="10"/>
  <c r="H639" i="10"/>
  <c r="G639" i="10"/>
  <c r="F639" i="10"/>
  <c r="E639" i="10"/>
  <c r="D639" i="10"/>
  <c r="L638" i="10"/>
  <c r="K638" i="10"/>
  <c r="J638" i="10"/>
  <c r="I638" i="10"/>
  <c r="H638" i="10"/>
  <c r="G638" i="10"/>
  <c r="F638" i="10"/>
  <c r="E638" i="10"/>
  <c r="D638" i="10"/>
  <c r="L637" i="10"/>
  <c r="K637" i="10"/>
  <c r="J637" i="10"/>
  <c r="I637" i="10"/>
  <c r="H637" i="10"/>
  <c r="G637" i="10"/>
  <c r="F637" i="10"/>
  <c r="E637" i="10"/>
  <c r="D637" i="10"/>
  <c r="L636" i="10"/>
  <c r="K636" i="10"/>
  <c r="J636" i="10"/>
  <c r="I636" i="10"/>
  <c r="H636" i="10"/>
  <c r="G636" i="10"/>
  <c r="F636" i="10"/>
  <c r="E636" i="10"/>
  <c r="D636" i="10"/>
  <c r="L635" i="10"/>
  <c r="K635" i="10"/>
  <c r="I635" i="10"/>
  <c r="H635" i="10"/>
  <c r="G635" i="10"/>
  <c r="F635" i="10"/>
  <c r="E635" i="10"/>
  <c r="D635" i="10"/>
  <c r="G634" i="10"/>
  <c r="F634" i="10"/>
  <c r="E634" i="10"/>
  <c r="D634" i="10"/>
  <c r="L632" i="10"/>
  <c r="K632" i="10"/>
  <c r="J632" i="10"/>
  <c r="I632" i="10"/>
  <c r="H632" i="10"/>
  <c r="G632" i="10"/>
  <c r="F632" i="10"/>
  <c r="E632" i="10"/>
  <c r="D632" i="10"/>
  <c r="L631" i="10"/>
  <c r="K631" i="10"/>
  <c r="J631" i="10"/>
  <c r="I631" i="10"/>
  <c r="H631" i="10"/>
  <c r="G631" i="10"/>
  <c r="F631" i="10"/>
  <c r="E631" i="10"/>
  <c r="D631" i="10"/>
  <c r="L630" i="10"/>
  <c r="K630" i="10"/>
  <c r="J630" i="10"/>
  <c r="I630" i="10"/>
  <c r="H630" i="10"/>
  <c r="G630" i="10"/>
  <c r="F630" i="10"/>
  <c r="E630" i="10"/>
  <c r="D630" i="10"/>
  <c r="L629" i="10"/>
  <c r="K629" i="10"/>
  <c r="J629" i="10"/>
  <c r="I629" i="10"/>
  <c r="H629" i="10"/>
  <c r="G629" i="10"/>
  <c r="F629" i="10"/>
  <c r="E629" i="10"/>
  <c r="D629" i="10"/>
  <c r="L628" i="10"/>
  <c r="K628" i="10"/>
  <c r="J628" i="10"/>
  <c r="I628" i="10"/>
  <c r="H628" i="10"/>
  <c r="G628" i="10"/>
  <c r="F628" i="10"/>
  <c r="E628" i="10"/>
  <c r="D628" i="10"/>
  <c r="L627" i="10"/>
  <c r="K627" i="10"/>
  <c r="J627" i="10"/>
  <c r="I627" i="10"/>
  <c r="H627" i="10"/>
  <c r="G627" i="10"/>
  <c r="F627" i="10"/>
  <c r="E627" i="10"/>
  <c r="D627" i="10"/>
  <c r="L624" i="10"/>
  <c r="K624" i="10"/>
  <c r="J624" i="10"/>
  <c r="I624" i="10"/>
  <c r="H624" i="10"/>
  <c r="G624" i="10"/>
  <c r="L623" i="10"/>
  <c r="K623" i="10"/>
  <c r="J623" i="10"/>
  <c r="I623" i="10"/>
  <c r="H623" i="10"/>
  <c r="G623" i="10"/>
  <c r="L622" i="10"/>
  <c r="K622" i="10"/>
  <c r="J622" i="10"/>
  <c r="I622" i="10"/>
  <c r="H622" i="10"/>
  <c r="G622" i="10"/>
  <c r="F622" i="10"/>
  <c r="E622" i="10"/>
  <c r="D622" i="10"/>
  <c r="L621" i="10"/>
  <c r="K621" i="10"/>
  <c r="J621" i="10"/>
  <c r="I621" i="10"/>
  <c r="H621" i="10"/>
  <c r="G621" i="10"/>
  <c r="L620" i="10"/>
  <c r="K620" i="10"/>
  <c r="J620" i="10"/>
  <c r="I620" i="10"/>
  <c r="H620" i="10"/>
  <c r="G620" i="10"/>
  <c r="L619" i="10"/>
  <c r="K619" i="10"/>
  <c r="J619" i="10"/>
  <c r="I619" i="10"/>
  <c r="H619" i="10"/>
  <c r="G619" i="10"/>
  <c r="F619" i="10"/>
  <c r="E619" i="10"/>
  <c r="D619" i="10"/>
  <c r="L618" i="10"/>
  <c r="K618" i="10"/>
  <c r="J618" i="10"/>
  <c r="I618" i="10"/>
  <c r="H618" i="10"/>
  <c r="G618" i="10"/>
  <c r="F618" i="10"/>
  <c r="E618" i="10"/>
  <c r="D618" i="10"/>
  <c r="L617" i="10"/>
  <c r="K617" i="10"/>
  <c r="J617" i="10"/>
  <c r="I617" i="10"/>
  <c r="H617" i="10"/>
  <c r="G617" i="10"/>
  <c r="L616" i="10"/>
  <c r="K616" i="10"/>
  <c r="J616" i="10"/>
  <c r="I616" i="10"/>
  <c r="H616" i="10"/>
  <c r="G616" i="10"/>
  <c r="L615" i="10"/>
  <c r="K615" i="10"/>
  <c r="J615" i="10"/>
  <c r="I615" i="10"/>
  <c r="H615" i="10"/>
  <c r="G615" i="10"/>
  <c r="F615" i="10"/>
  <c r="E615" i="10"/>
  <c r="D615" i="10"/>
  <c r="L614" i="10"/>
  <c r="K614" i="10"/>
  <c r="J614" i="10"/>
  <c r="I614" i="10"/>
  <c r="H614" i="10"/>
  <c r="G614" i="10"/>
  <c r="L613" i="10"/>
  <c r="K613" i="10"/>
  <c r="J613" i="10"/>
  <c r="I613" i="10"/>
  <c r="H613" i="10"/>
  <c r="G613" i="10"/>
  <c r="L612" i="10"/>
  <c r="K612" i="10"/>
  <c r="J612" i="10"/>
  <c r="I612" i="10"/>
  <c r="H612" i="10"/>
  <c r="G612" i="10"/>
  <c r="F612" i="10"/>
  <c r="E612" i="10"/>
  <c r="D612" i="10"/>
  <c r="L611" i="10"/>
  <c r="K611" i="10"/>
  <c r="J611" i="10"/>
  <c r="I611" i="10"/>
  <c r="H611" i="10"/>
  <c r="G611" i="10"/>
  <c r="F611" i="10"/>
  <c r="E611" i="10"/>
  <c r="D611" i="10"/>
  <c r="L610" i="10"/>
  <c r="K610" i="10"/>
  <c r="J610" i="10"/>
  <c r="I610" i="10"/>
  <c r="H610" i="10"/>
  <c r="G610" i="10"/>
  <c r="L609" i="10"/>
  <c r="K609" i="10"/>
  <c r="J609" i="10"/>
  <c r="I609" i="10"/>
  <c r="H609" i="10"/>
  <c r="G609" i="10"/>
  <c r="L608" i="10"/>
  <c r="K608" i="10"/>
  <c r="J608" i="10"/>
  <c r="I608" i="10"/>
  <c r="H608" i="10"/>
  <c r="G608" i="10"/>
  <c r="F608" i="10"/>
  <c r="E608" i="10"/>
  <c r="D608" i="10"/>
  <c r="L607" i="10"/>
  <c r="K607" i="10"/>
  <c r="J607" i="10"/>
  <c r="I607" i="10"/>
  <c r="H607" i="10"/>
  <c r="G607" i="10"/>
  <c r="L606" i="10"/>
  <c r="K606" i="10"/>
  <c r="J606" i="10"/>
  <c r="I606" i="10"/>
  <c r="H606" i="10"/>
  <c r="G606" i="10"/>
  <c r="L605" i="10"/>
  <c r="K605" i="10"/>
  <c r="J605" i="10"/>
  <c r="I605" i="10"/>
  <c r="H605" i="10"/>
  <c r="G605" i="10"/>
  <c r="F605" i="10"/>
  <c r="E605" i="10"/>
  <c r="D605" i="10"/>
  <c r="L604" i="10"/>
  <c r="K604" i="10"/>
  <c r="J604" i="10"/>
  <c r="I604" i="10"/>
  <c r="H604" i="10"/>
  <c r="G604" i="10"/>
  <c r="F604" i="10"/>
  <c r="E604" i="10"/>
  <c r="D604" i="10"/>
  <c r="L603" i="10"/>
  <c r="K603" i="10"/>
  <c r="J603" i="10"/>
  <c r="I603" i="10"/>
  <c r="H603" i="10"/>
  <c r="G603" i="10"/>
  <c r="L602" i="10"/>
  <c r="K602" i="10"/>
  <c r="J602" i="10"/>
  <c r="I602" i="10"/>
  <c r="H602" i="10"/>
  <c r="G602" i="10"/>
  <c r="L601" i="10"/>
  <c r="K601" i="10"/>
  <c r="J601" i="10"/>
  <c r="I601" i="10"/>
  <c r="H601" i="10"/>
  <c r="G601" i="10"/>
  <c r="F601" i="10"/>
  <c r="E601" i="10"/>
  <c r="D601" i="10"/>
  <c r="L600" i="10"/>
  <c r="K600" i="10"/>
  <c r="J600" i="10"/>
  <c r="I600" i="10"/>
  <c r="H600" i="10"/>
  <c r="G600" i="10"/>
  <c r="L599" i="10"/>
  <c r="K599" i="10"/>
  <c r="J599" i="10"/>
  <c r="I599" i="10"/>
  <c r="H599" i="10"/>
  <c r="G599" i="10"/>
  <c r="L598" i="10"/>
  <c r="K598" i="10"/>
  <c r="J598" i="10"/>
  <c r="I598" i="10"/>
  <c r="H598" i="10"/>
  <c r="G598" i="10"/>
  <c r="F598" i="10"/>
  <c r="E598" i="10"/>
  <c r="D598" i="10"/>
  <c r="L597" i="10"/>
  <c r="K597" i="10"/>
  <c r="J597" i="10"/>
  <c r="I597" i="10"/>
  <c r="H597" i="10"/>
  <c r="G597" i="10"/>
  <c r="F597" i="10"/>
  <c r="E597" i="10"/>
  <c r="D597" i="10"/>
  <c r="L595" i="10"/>
  <c r="K595" i="10"/>
  <c r="J595" i="10"/>
  <c r="I595" i="10"/>
  <c r="H595" i="10"/>
  <c r="G595" i="10"/>
  <c r="F595" i="10"/>
  <c r="E595" i="10"/>
  <c r="D595" i="10"/>
  <c r="L594" i="10"/>
  <c r="K594" i="10"/>
  <c r="J594" i="10"/>
  <c r="I594" i="10"/>
  <c r="H594" i="10"/>
  <c r="G594" i="10"/>
  <c r="F594" i="10"/>
  <c r="E594" i="10"/>
  <c r="D594" i="10"/>
  <c r="L592" i="10"/>
  <c r="K592" i="10"/>
  <c r="J592" i="10"/>
  <c r="I592" i="10"/>
  <c r="H592" i="10"/>
  <c r="L591" i="10"/>
  <c r="K591" i="10"/>
  <c r="J591" i="10"/>
  <c r="I591" i="10"/>
  <c r="H591" i="10"/>
  <c r="L589" i="10"/>
  <c r="K589" i="10"/>
  <c r="J589" i="10"/>
  <c r="I589" i="10"/>
  <c r="H589" i="10"/>
  <c r="L588" i="10"/>
  <c r="K588" i="10"/>
  <c r="J588" i="10"/>
  <c r="I588" i="10"/>
  <c r="H588" i="10"/>
  <c r="L586" i="10"/>
  <c r="K586" i="10"/>
  <c r="J586" i="10"/>
  <c r="I586" i="10"/>
  <c r="H586" i="10"/>
  <c r="L585" i="10"/>
  <c r="K585" i="10"/>
  <c r="J585" i="10"/>
  <c r="I585" i="10"/>
  <c r="H585" i="10"/>
  <c r="L582" i="10"/>
  <c r="K582" i="10"/>
  <c r="J582" i="10"/>
  <c r="I582" i="10"/>
  <c r="H582" i="10"/>
  <c r="L581" i="10"/>
  <c r="K581" i="10"/>
  <c r="J581" i="10"/>
  <c r="I581" i="10"/>
  <c r="H581" i="10"/>
  <c r="L579" i="10"/>
  <c r="K579" i="10"/>
  <c r="J579" i="10"/>
  <c r="I579" i="10"/>
  <c r="H579" i="10"/>
  <c r="L578" i="10"/>
  <c r="K578" i="10"/>
  <c r="J578" i="10"/>
  <c r="I578" i="10"/>
  <c r="H578" i="10"/>
  <c r="L576" i="10"/>
  <c r="K576" i="10"/>
  <c r="J576" i="10"/>
  <c r="I576" i="10"/>
  <c r="H576" i="10"/>
  <c r="L575" i="10"/>
  <c r="K575" i="10"/>
  <c r="J575" i="10"/>
  <c r="I575" i="10"/>
  <c r="H575" i="10"/>
  <c r="L571" i="10"/>
  <c r="K571" i="10"/>
  <c r="J571" i="10"/>
  <c r="I571" i="10"/>
  <c r="H571" i="10"/>
  <c r="G571" i="10"/>
  <c r="F571" i="10"/>
  <c r="E571" i="10"/>
  <c r="D571" i="10"/>
  <c r="L570" i="10"/>
  <c r="K570" i="10"/>
  <c r="J570" i="10"/>
  <c r="I570" i="10"/>
  <c r="H570" i="10"/>
  <c r="G570" i="10"/>
  <c r="F570" i="10"/>
  <c r="E570" i="10"/>
  <c r="D570" i="10"/>
  <c r="L568" i="10"/>
  <c r="K568" i="10"/>
  <c r="J568" i="10"/>
  <c r="I568" i="10"/>
  <c r="H568" i="10"/>
  <c r="G568" i="10"/>
  <c r="F568" i="10"/>
  <c r="E568" i="10"/>
  <c r="D568" i="10"/>
  <c r="L567" i="10"/>
  <c r="K567" i="10"/>
  <c r="J567" i="10"/>
  <c r="I567" i="10"/>
  <c r="H567" i="10"/>
  <c r="G567" i="10"/>
  <c r="F567" i="10"/>
  <c r="E567" i="10"/>
  <c r="D567" i="10"/>
  <c r="L562" i="10"/>
  <c r="K562" i="10"/>
  <c r="J562" i="10"/>
  <c r="I562" i="10"/>
  <c r="H562" i="10"/>
  <c r="G562" i="10"/>
  <c r="F562" i="10"/>
  <c r="E562" i="10"/>
  <c r="D562" i="10"/>
  <c r="L561" i="10"/>
  <c r="K561" i="10"/>
  <c r="J561" i="10"/>
  <c r="I561" i="10"/>
  <c r="H561" i="10"/>
  <c r="G561" i="10"/>
  <c r="F561" i="10"/>
  <c r="E561" i="10"/>
  <c r="D561" i="10"/>
  <c r="L559" i="10"/>
  <c r="K559" i="10"/>
  <c r="J559" i="10"/>
  <c r="I559" i="10"/>
  <c r="H559" i="10"/>
  <c r="G559" i="10"/>
  <c r="F559" i="10"/>
  <c r="L555" i="10"/>
  <c r="K555" i="10"/>
  <c r="J555" i="10"/>
  <c r="I555" i="10"/>
  <c r="H555" i="10"/>
  <c r="L554" i="10"/>
  <c r="K554" i="10"/>
  <c r="J554" i="10"/>
  <c r="I554" i="10"/>
  <c r="H554" i="10"/>
  <c r="L553" i="10"/>
  <c r="K553" i="10"/>
  <c r="J553" i="10"/>
  <c r="I553" i="10"/>
  <c r="H553" i="10"/>
  <c r="L552" i="10"/>
  <c r="K552" i="10"/>
  <c r="J552" i="10"/>
  <c r="I552" i="10"/>
  <c r="H552" i="10"/>
  <c r="L551" i="10"/>
  <c r="K551" i="10"/>
  <c r="J551" i="10"/>
  <c r="I551" i="10"/>
  <c r="H551" i="10"/>
  <c r="L550" i="10"/>
  <c r="K550" i="10"/>
  <c r="J550" i="10"/>
  <c r="I550" i="10"/>
  <c r="H550" i="10"/>
  <c r="L549" i="10"/>
  <c r="K549" i="10"/>
  <c r="J549" i="10"/>
  <c r="I549" i="10"/>
  <c r="H549" i="10"/>
  <c r="L548" i="10"/>
  <c r="K548" i="10"/>
  <c r="J548" i="10"/>
  <c r="I548" i="10"/>
  <c r="H548" i="10"/>
  <c r="L547" i="10"/>
  <c r="K547" i="10"/>
  <c r="J547" i="10"/>
  <c r="I547" i="10"/>
  <c r="H547" i="10"/>
  <c r="L543" i="10"/>
  <c r="K543" i="10"/>
  <c r="J543" i="10"/>
  <c r="I543" i="10"/>
  <c r="H543" i="10"/>
  <c r="L542" i="10"/>
  <c r="K542" i="10"/>
  <c r="J542" i="10"/>
  <c r="I542" i="10"/>
  <c r="H542" i="10"/>
  <c r="L541" i="10"/>
  <c r="K541" i="10"/>
  <c r="J541" i="10"/>
  <c r="I541" i="10"/>
  <c r="H541" i="10"/>
  <c r="L540" i="10"/>
  <c r="K540" i="10"/>
  <c r="J540" i="10"/>
  <c r="I540" i="10"/>
  <c r="H540" i="10"/>
  <c r="L539" i="10"/>
  <c r="K539" i="10"/>
  <c r="J539" i="10"/>
  <c r="I539" i="10"/>
  <c r="H539" i="10"/>
  <c r="L538" i="10"/>
  <c r="K538" i="10"/>
  <c r="J538" i="10"/>
  <c r="I538" i="10"/>
  <c r="H538" i="10"/>
  <c r="L537" i="10"/>
  <c r="K537" i="10"/>
  <c r="J537" i="10"/>
  <c r="I537" i="10"/>
  <c r="H537" i="10"/>
  <c r="L536" i="10"/>
  <c r="K536" i="10"/>
  <c r="J536" i="10"/>
  <c r="I536" i="10"/>
  <c r="H536" i="10"/>
  <c r="L535" i="10"/>
  <c r="K535" i="10"/>
  <c r="J535" i="10"/>
  <c r="I535" i="10"/>
  <c r="H535" i="10"/>
  <c r="L532" i="10"/>
  <c r="K532" i="10"/>
  <c r="J532" i="10"/>
  <c r="I532" i="10"/>
  <c r="H532" i="10"/>
  <c r="L531" i="10"/>
  <c r="K531" i="10"/>
  <c r="J531" i="10"/>
  <c r="I531" i="10"/>
  <c r="H531" i="10"/>
  <c r="L530" i="10"/>
  <c r="K530" i="10"/>
  <c r="J530" i="10"/>
  <c r="I530" i="10"/>
  <c r="H530" i="10"/>
  <c r="L529" i="10"/>
  <c r="K529" i="10"/>
  <c r="J529" i="10"/>
  <c r="I529" i="10"/>
  <c r="H529" i="10"/>
  <c r="L527" i="10"/>
  <c r="K527" i="10"/>
  <c r="J527" i="10"/>
  <c r="I527" i="10"/>
  <c r="H527" i="10"/>
  <c r="L526" i="10"/>
  <c r="K526" i="10"/>
  <c r="J526" i="10"/>
  <c r="I526" i="10"/>
  <c r="H526" i="10"/>
  <c r="L525" i="10"/>
  <c r="K525" i="10"/>
  <c r="J525" i="10"/>
  <c r="I525" i="10"/>
  <c r="H525" i="10"/>
  <c r="L524" i="10"/>
  <c r="K524" i="10"/>
  <c r="J524" i="10"/>
  <c r="I524" i="10"/>
  <c r="H524" i="10"/>
  <c r="L521" i="10"/>
  <c r="K521" i="10"/>
  <c r="J521" i="10"/>
  <c r="I521" i="10"/>
  <c r="H521" i="10"/>
  <c r="G521" i="10"/>
  <c r="L520" i="10"/>
  <c r="K520" i="10"/>
  <c r="J520" i="10"/>
  <c r="I520" i="10"/>
  <c r="H520" i="10"/>
  <c r="G520" i="10"/>
  <c r="L519" i="10"/>
  <c r="K519" i="10"/>
  <c r="J519" i="10"/>
  <c r="I519" i="10"/>
  <c r="H519" i="10"/>
  <c r="G519" i="10"/>
  <c r="L518" i="10"/>
  <c r="K518" i="10"/>
  <c r="J518" i="10"/>
  <c r="I518" i="10"/>
  <c r="H518" i="10"/>
  <c r="G518" i="10"/>
  <c r="L517" i="10"/>
  <c r="K517" i="10"/>
  <c r="J517" i="10"/>
  <c r="I517" i="10"/>
  <c r="H517" i="10"/>
  <c r="G517" i="10"/>
  <c r="L516" i="10"/>
  <c r="K516" i="10"/>
  <c r="J516" i="10"/>
  <c r="I516" i="10"/>
  <c r="H516" i="10"/>
  <c r="G516" i="10"/>
  <c r="L514" i="10"/>
  <c r="K514" i="10"/>
  <c r="J514" i="10"/>
  <c r="I514" i="10"/>
  <c r="H514" i="10"/>
  <c r="L513" i="10"/>
  <c r="K513" i="10"/>
  <c r="J513" i="10"/>
  <c r="I513" i="10"/>
  <c r="H513" i="10"/>
  <c r="L512" i="10"/>
  <c r="K512" i="10"/>
  <c r="J512" i="10"/>
  <c r="I512" i="10"/>
  <c r="H512" i="10"/>
  <c r="L511" i="10"/>
  <c r="K511" i="10"/>
  <c r="J511" i="10"/>
  <c r="I511" i="10"/>
  <c r="H511" i="10"/>
  <c r="L510" i="10"/>
  <c r="K510" i="10"/>
  <c r="J510" i="10"/>
  <c r="I510" i="10"/>
  <c r="H510" i="10"/>
  <c r="L509" i="10"/>
  <c r="K509" i="10"/>
  <c r="J509" i="10"/>
  <c r="I509" i="10"/>
  <c r="H509" i="10"/>
  <c r="L507" i="10"/>
  <c r="K507" i="10"/>
  <c r="J507" i="10"/>
  <c r="I507" i="10"/>
  <c r="H507" i="10"/>
  <c r="G507" i="10"/>
  <c r="L506" i="10"/>
  <c r="K506" i="10"/>
  <c r="J506" i="10"/>
  <c r="I506" i="10"/>
  <c r="H506" i="10"/>
  <c r="G506" i="10"/>
  <c r="L505" i="10"/>
  <c r="K505" i="10"/>
  <c r="J505" i="10"/>
  <c r="I505" i="10"/>
  <c r="H505" i="10"/>
  <c r="G505" i="10"/>
  <c r="L504" i="10"/>
  <c r="K504" i="10"/>
  <c r="J504" i="10"/>
  <c r="I504" i="10"/>
  <c r="H504" i="10"/>
  <c r="G504" i="10"/>
  <c r="L503" i="10"/>
  <c r="K503" i="10"/>
  <c r="J503" i="10"/>
  <c r="I503" i="10"/>
  <c r="H503" i="10"/>
  <c r="G503" i="10"/>
  <c r="L502" i="10"/>
  <c r="K502" i="10"/>
  <c r="J502" i="10"/>
  <c r="I502" i="10"/>
  <c r="H502" i="10"/>
  <c r="G502" i="10"/>
  <c r="L501" i="10"/>
  <c r="K501" i="10"/>
  <c r="J501" i="10"/>
  <c r="I501" i="10"/>
  <c r="H501" i="10"/>
  <c r="G501" i="10"/>
  <c r="L500" i="10"/>
  <c r="K500" i="10"/>
  <c r="J500" i="10"/>
  <c r="I500" i="10"/>
  <c r="H500" i="10"/>
  <c r="G500" i="10"/>
  <c r="L499" i="10"/>
  <c r="K499" i="10"/>
  <c r="J499" i="10"/>
  <c r="I499" i="10"/>
  <c r="H499" i="10"/>
  <c r="G499" i="10"/>
  <c r="L497" i="10"/>
  <c r="K497" i="10"/>
  <c r="J497" i="10"/>
  <c r="I497" i="10"/>
  <c r="H497" i="10"/>
  <c r="G497" i="10"/>
  <c r="L496" i="10"/>
  <c r="K496" i="10"/>
  <c r="J496" i="10"/>
  <c r="I496" i="10"/>
  <c r="H496" i="10"/>
  <c r="G496" i="10"/>
  <c r="L495" i="10"/>
  <c r="K495" i="10"/>
  <c r="J495" i="10"/>
  <c r="I495" i="10"/>
  <c r="H495" i="10"/>
  <c r="G495" i="10"/>
  <c r="L494" i="10"/>
  <c r="K494" i="10"/>
  <c r="J494" i="10"/>
  <c r="I494" i="10"/>
  <c r="H494" i="10"/>
  <c r="G494" i="10"/>
  <c r="L493" i="10"/>
  <c r="K493" i="10"/>
  <c r="J493" i="10"/>
  <c r="I493" i="10"/>
  <c r="H493" i="10"/>
  <c r="G493" i="10"/>
  <c r="L492" i="10"/>
  <c r="K492" i="10"/>
  <c r="J492" i="10"/>
  <c r="I492" i="10"/>
  <c r="H492" i="10"/>
  <c r="G492" i="10"/>
  <c r="L491" i="10"/>
  <c r="K491" i="10"/>
  <c r="J491" i="10"/>
  <c r="I491" i="10"/>
  <c r="H491" i="10"/>
  <c r="G491" i="10"/>
  <c r="L490" i="10"/>
  <c r="K490" i="10"/>
  <c r="J490" i="10"/>
  <c r="I490" i="10"/>
  <c r="H490" i="10"/>
  <c r="G490" i="10"/>
  <c r="L489" i="10"/>
  <c r="K489" i="10"/>
  <c r="J489" i="10"/>
  <c r="I489" i="10"/>
  <c r="H489" i="10"/>
  <c r="G489" i="10"/>
  <c r="L487" i="10"/>
  <c r="K487" i="10"/>
  <c r="J487" i="10"/>
  <c r="I487" i="10"/>
  <c r="H487" i="10"/>
  <c r="L486" i="10"/>
  <c r="K486" i="10"/>
  <c r="J486" i="10"/>
  <c r="I486" i="10"/>
  <c r="H486" i="10"/>
  <c r="L485" i="10"/>
  <c r="K485" i="10"/>
  <c r="J485" i="10"/>
  <c r="I485" i="10"/>
  <c r="H485" i="10"/>
  <c r="L484" i="10"/>
  <c r="K484" i="10"/>
  <c r="J484" i="10"/>
  <c r="I484" i="10"/>
  <c r="H484" i="10"/>
  <c r="L483" i="10"/>
  <c r="K483" i="10"/>
  <c r="J483" i="10"/>
  <c r="I483" i="10"/>
  <c r="H483" i="10"/>
  <c r="L482" i="10"/>
  <c r="K482" i="10"/>
  <c r="J482" i="10"/>
  <c r="I482" i="10"/>
  <c r="H482" i="10"/>
  <c r="L481" i="10"/>
  <c r="K481" i="10"/>
  <c r="J481" i="10"/>
  <c r="I481" i="10"/>
  <c r="H481" i="10"/>
  <c r="L480" i="10"/>
  <c r="K480" i="10"/>
  <c r="J480" i="10"/>
  <c r="I480" i="10"/>
  <c r="H480" i="10"/>
  <c r="L479" i="10"/>
  <c r="K479" i="10"/>
  <c r="J479" i="10"/>
  <c r="I479" i="10"/>
  <c r="H479" i="10"/>
  <c r="L478" i="10"/>
  <c r="K478" i="10"/>
  <c r="J478" i="10"/>
  <c r="I478" i="10"/>
  <c r="H478" i="10"/>
  <c r="L477" i="10"/>
  <c r="K477" i="10"/>
  <c r="J477" i="10"/>
  <c r="I477" i="10"/>
  <c r="H477" i="10"/>
  <c r="L476" i="10"/>
  <c r="K476" i="10"/>
  <c r="J476" i="10"/>
  <c r="I476" i="10"/>
  <c r="H476" i="10"/>
  <c r="L474" i="10"/>
  <c r="K474" i="10"/>
  <c r="J474" i="10"/>
  <c r="I474" i="10"/>
  <c r="H474" i="10"/>
  <c r="L473" i="10"/>
  <c r="K473" i="10"/>
  <c r="J473" i="10"/>
  <c r="I473" i="10"/>
  <c r="H473" i="10"/>
  <c r="L472" i="10"/>
  <c r="K472" i="10"/>
  <c r="I472" i="10"/>
  <c r="H472" i="10"/>
  <c r="L471" i="10"/>
  <c r="K471" i="10"/>
  <c r="I471" i="10"/>
  <c r="H471" i="10"/>
  <c r="L470" i="10"/>
  <c r="K470" i="10"/>
  <c r="I470" i="10"/>
  <c r="H470" i="10"/>
  <c r="L469" i="10"/>
  <c r="K469" i="10"/>
  <c r="I469" i="10"/>
  <c r="H469" i="10"/>
  <c r="L466" i="10"/>
  <c r="K466" i="10"/>
  <c r="J466" i="10"/>
  <c r="I466" i="10"/>
  <c r="H466" i="10"/>
  <c r="G466" i="10"/>
  <c r="F466" i="10"/>
  <c r="E466" i="10"/>
  <c r="D466" i="10"/>
  <c r="L465" i="10"/>
  <c r="K465" i="10"/>
  <c r="J465" i="10"/>
  <c r="I465" i="10"/>
  <c r="H465" i="10"/>
  <c r="G465" i="10"/>
  <c r="F465" i="10"/>
  <c r="E465" i="10"/>
  <c r="D465" i="10"/>
  <c r="L464" i="10"/>
  <c r="K464" i="10"/>
  <c r="J464" i="10"/>
  <c r="I464" i="10"/>
  <c r="H464" i="10"/>
  <c r="G464" i="10"/>
  <c r="F464" i="10"/>
  <c r="E464" i="10"/>
  <c r="D464" i="10"/>
  <c r="L463" i="10"/>
  <c r="K463" i="10"/>
  <c r="J463" i="10"/>
  <c r="I463" i="10"/>
  <c r="H463" i="10"/>
  <c r="G463" i="10"/>
  <c r="F463" i="10"/>
  <c r="E463" i="10"/>
  <c r="D463" i="10"/>
  <c r="L462" i="10"/>
  <c r="K462" i="10"/>
  <c r="J462" i="10"/>
  <c r="I462" i="10"/>
  <c r="H462" i="10"/>
  <c r="G462" i="10"/>
  <c r="F462" i="10"/>
  <c r="E462" i="10"/>
  <c r="D462" i="10"/>
  <c r="L461" i="10"/>
  <c r="K461" i="10"/>
  <c r="J461" i="10"/>
  <c r="I461" i="10"/>
  <c r="H461" i="10"/>
  <c r="G461" i="10"/>
  <c r="F461" i="10"/>
  <c r="E461" i="10"/>
  <c r="D461" i="10"/>
  <c r="L459" i="10"/>
  <c r="K459" i="10"/>
  <c r="J459" i="10"/>
  <c r="I459" i="10"/>
  <c r="H459" i="10"/>
  <c r="G459" i="10"/>
  <c r="F459" i="10"/>
  <c r="E459" i="10"/>
  <c r="D459" i="10"/>
  <c r="L458" i="10"/>
  <c r="K458" i="10"/>
  <c r="J458" i="10"/>
  <c r="I458" i="10"/>
  <c r="H458" i="10"/>
  <c r="G458" i="10"/>
  <c r="F458" i="10"/>
  <c r="E458" i="10"/>
  <c r="D458" i="10"/>
  <c r="L457" i="10"/>
  <c r="K457" i="10"/>
  <c r="J457" i="10"/>
  <c r="I457" i="10"/>
  <c r="H457" i="10"/>
  <c r="G457" i="10"/>
  <c r="F457" i="10"/>
  <c r="E457" i="10"/>
  <c r="D457" i="10"/>
  <c r="L456" i="10"/>
  <c r="K456" i="10"/>
  <c r="J456" i="10"/>
  <c r="I456" i="10"/>
  <c r="H456" i="10"/>
  <c r="G456" i="10"/>
  <c r="F456" i="10"/>
  <c r="E456" i="10"/>
  <c r="D456" i="10"/>
  <c r="L455" i="10"/>
  <c r="K455" i="10"/>
  <c r="J455" i="10"/>
  <c r="I455" i="10"/>
  <c r="H455" i="10"/>
  <c r="G455" i="10"/>
  <c r="F455" i="10"/>
  <c r="E455" i="10"/>
  <c r="D455" i="10"/>
  <c r="L454" i="10"/>
  <c r="K454" i="10"/>
  <c r="J454" i="10"/>
  <c r="I454" i="10"/>
  <c r="H454" i="10"/>
  <c r="G454" i="10"/>
  <c r="F454" i="10"/>
  <c r="E454" i="10"/>
  <c r="D454" i="10"/>
  <c r="L452" i="10"/>
  <c r="K452" i="10"/>
  <c r="J452" i="10"/>
  <c r="I452" i="10"/>
  <c r="H452" i="10"/>
  <c r="L451" i="10"/>
  <c r="K451" i="10"/>
  <c r="J451" i="10"/>
  <c r="I451" i="10"/>
  <c r="H451" i="10"/>
  <c r="L450" i="10"/>
  <c r="K450" i="10"/>
  <c r="J450" i="10"/>
  <c r="I450" i="10"/>
  <c r="H450" i="10"/>
  <c r="L449" i="10"/>
  <c r="K449" i="10"/>
  <c r="J449" i="10"/>
  <c r="I449" i="10"/>
  <c r="H449" i="10"/>
  <c r="L448" i="10"/>
  <c r="K448" i="10"/>
  <c r="J448" i="10"/>
  <c r="I448" i="10"/>
  <c r="H448" i="10"/>
  <c r="L447" i="10"/>
  <c r="K447" i="10"/>
  <c r="J447" i="10"/>
  <c r="I447" i="10"/>
  <c r="H447" i="10"/>
  <c r="L444" i="10"/>
  <c r="K444" i="10"/>
  <c r="J444" i="10"/>
  <c r="I444" i="10"/>
  <c r="H444" i="10"/>
  <c r="L443" i="10"/>
  <c r="K443" i="10"/>
  <c r="J443" i="10"/>
  <c r="I443" i="10"/>
  <c r="H443" i="10"/>
  <c r="L442" i="10"/>
  <c r="K442" i="10"/>
  <c r="J442" i="10"/>
  <c r="I442" i="10"/>
  <c r="H442" i="10"/>
  <c r="L441" i="10"/>
  <c r="K441" i="10"/>
  <c r="J441" i="10"/>
  <c r="I441" i="10"/>
  <c r="H441" i="10"/>
  <c r="L440" i="10"/>
  <c r="K440" i="10"/>
  <c r="J440" i="10"/>
  <c r="I440" i="10"/>
  <c r="H440" i="10"/>
  <c r="L439" i="10"/>
  <c r="K439" i="10"/>
  <c r="J439" i="10"/>
  <c r="I439" i="10"/>
  <c r="H439" i="10"/>
  <c r="L438" i="10"/>
  <c r="K438" i="10"/>
  <c r="J438" i="10"/>
  <c r="I438" i="10"/>
  <c r="H438" i="10"/>
  <c r="L437" i="10"/>
  <c r="K437" i="10"/>
  <c r="J437" i="10"/>
  <c r="L436" i="10"/>
  <c r="K436" i="10"/>
  <c r="J436" i="10"/>
  <c r="L434" i="10"/>
  <c r="K434" i="10"/>
  <c r="J434" i="10"/>
  <c r="L433" i="10"/>
  <c r="K433" i="10"/>
  <c r="J433" i="10"/>
  <c r="L431" i="10"/>
  <c r="K431" i="10"/>
  <c r="J431" i="10"/>
  <c r="L430" i="10"/>
  <c r="K430" i="10"/>
  <c r="J430" i="10"/>
  <c r="I430" i="10"/>
  <c r="H430" i="10"/>
  <c r="G430" i="10"/>
  <c r="L429" i="10"/>
  <c r="K429" i="10"/>
  <c r="J429" i="10"/>
  <c r="I429" i="10"/>
  <c r="H429" i="10"/>
  <c r="G429" i="10"/>
  <c r="L428" i="10"/>
  <c r="K428" i="10"/>
  <c r="J428" i="10"/>
  <c r="I428" i="10"/>
  <c r="H428" i="10"/>
  <c r="G428" i="10"/>
  <c r="F428" i="10"/>
  <c r="E428" i="10"/>
  <c r="D428" i="10"/>
  <c r="L427" i="10"/>
  <c r="K427" i="10"/>
  <c r="J427" i="10"/>
  <c r="I427" i="10"/>
  <c r="H427" i="10"/>
  <c r="G427" i="10"/>
  <c r="L426" i="10"/>
  <c r="K426" i="10"/>
  <c r="J426" i="10"/>
  <c r="I426" i="10"/>
  <c r="H426" i="10"/>
  <c r="G426" i="10"/>
  <c r="L425" i="10"/>
  <c r="K425" i="10"/>
  <c r="J425" i="10"/>
  <c r="I425" i="10"/>
  <c r="H425" i="10"/>
  <c r="G425" i="10"/>
  <c r="F425" i="10"/>
  <c r="E425" i="10"/>
  <c r="D425" i="10"/>
  <c r="L423" i="10"/>
  <c r="K423" i="10"/>
  <c r="J423" i="10"/>
  <c r="I423" i="10"/>
  <c r="H423" i="10"/>
  <c r="G423" i="10"/>
  <c r="L422" i="10"/>
  <c r="K422" i="10"/>
  <c r="J422" i="10"/>
  <c r="I422" i="10"/>
  <c r="H422" i="10"/>
  <c r="G422" i="10"/>
  <c r="L421" i="10"/>
  <c r="K421" i="10"/>
  <c r="J421" i="10"/>
  <c r="I421" i="10"/>
  <c r="H421" i="10"/>
  <c r="G421" i="10"/>
  <c r="F421" i="10"/>
  <c r="E421" i="10"/>
  <c r="D421" i="10"/>
  <c r="L418" i="10"/>
  <c r="K418" i="10"/>
  <c r="J418" i="10"/>
  <c r="I418" i="10"/>
  <c r="H418" i="10"/>
  <c r="G418" i="10"/>
  <c r="L417" i="10"/>
  <c r="K417" i="10"/>
  <c r="J417" i="10"/>
  <c r="I417" i="10"/>
  <c r="H417" i="10"/>
  <c r="G417" i="10"/>
  <c r="L416" i="10"/>
  <c r="K416" i="10"/>
  <c r="J416" i="10"/>
  <c r="I416" i="10"/>
  <c r="H416" i="10"/>
  <c r="G416" i="10"/>
  <c r="F416" i="10"/>
  <c r="E416" i="10"/>
  <c r="D416" i="10"/>
  <c r="L413" i="10"/>
  <c r="K413" i="10"/>
  <c r="J413" i="10"/>
  <c r="I413" i="10"/>
  <c r="H413" i="10"/>
  <c r="G413" i="10"/>
  <c r="L412" i="10"/>
  <c r="K412" i="10"/>
  <c r="J412" i="10"/>
  <c r="I412" i="10"/>
  <c r="H412" i="10"/>
  <c r="G412" i="10"/>
  <c r="L411" i="10"/>
  <c r="K411" i="10"/>
  <c r="J411" i="10"/>
  <c r="I411" i="10"/>
  <c r="H411" i="10"/>
  <c r="G411" i="10"/>
  <c r="F411" i="10"/>
  <c r="E411" i="10"/>
  <c r="D411" i="10"/>
  <c r="L408" i="10"/>
  <c r="K408" i="10"/>
  <c r="J408" i="10"/>
  <c r="I408" i="10"/>
  <c r="H408" i="10"/>
  <c r="G408" i="10"/>
  <c r="L407" i="10"/>
  <c r="K407" i="10"/>
  <c r="J407" i="10"/>
  <c r="I407" i="10"/>
  <c r="H407" i="10"/>
  <c r="G407" i="10"/>
  <c r="L406" i="10"/>
  <c r="K406" i="10"/>
  <c r="J406" i="10"/>
  <c r="I406" i="10"/>
  <c r="H406" i="10"/>
  <c r="G406" i="10"/>
  <c r="F406" i="10"/>
  <c r="E406" i="10"/>
  <c r="D406" i="10"/>
  <c r="L402" i="10"/>
  <c r="K402" i="10"/>
  <c r="J402" i="10"/>
  <c r="I402" i="10"/>
  <c r="H402" i="10"/>
  <c r="G402" i="10"/>
  <c r="L401" i="10"/>
  <c r="K401" i="10"/>
  <c r="J401" i="10"/>
  <c r="I401" i="10"/>
  <c r="H401" i="10"/>
  <c r="G401" i="10"/>
  <c r="L400" i="10"/>
  <c r="K400" i="10"/>
  <c r="J400" i="10"/>
  <c r="I400" i="10"/>
  <c r="H400" i="10"/>
  <c r="G400" i="10"/>
  <c r="F400" i="10"/>
  <c r="E400" i="10"/>
  <c r="D400" i="10"/>
  <c r="L399" i="10"/>
  <c r="K399" i="10"/>
  <c r="J399" i="10"/>
  <c r="I399" i="10"/>
  <c r="H399" i="10"/>
  <c r="G399" i="10"/>
  <c r="L398" i="10"/>
  <c r="K398" i="10"/>
  <c r="J398" i="10"/>
  <c r="I398" i="10"/>
  <c r="H398" i="10"/>
  <c r="G398" i="10"/>
  <c r="L397" i="10"/>
  <c r="K397" i="10"/>
  <c r="J397" i="10"/>
  <c r="I397" i="10"/>
  <c r="H397" i="10"/>
  <c r="G397" i="10"/>
  <c r="F397" i="10"/>
  <c r="E397" i="10"/>
  <c r="D397" i="10"/>
  <c r="L395" i="10"/>
  <c r="K395" i="10"/>
  <c r="J395" i="10"/>
  <c r="I395" i="10"/>
  <c r="H395" i="10"/>
  <c r="G395" i="10"/>
  <c r="L394" i="10"/>
  <c r="K394" i="10"/>
  <c r="J394" i="10"/>
  <c r="I394" i="10"/>
  <c r="H394" i="10"/>
  <c r="G394" i="10"/>
  <c r="L393" i="10"/>
  <c r="K393" i="10"/>
  <c r="J393" i="10"/>
  <c r="I393" i="10"/>
  <c r="H393" i="10"/>
  <c r="G393" i="10"/>
  <c r="F393" i="10"/>
  <c r="E393" i="10"/>
  <c r="D393" i="10"/>
  <c r="L392" i="10"/>
  <c r="K392" i="10"/>
  <c r="J392" i="10"/>
  <c r="I392" i="10"/>
  <c r="H392" i="10"/>
  <c r="G392" i="10"/>
  <c r="L391" i="10"/>
  <c r="K391" i="10"/>
  <c r="J391" i="10"/>
  <c r="I391" i="10"/>
  <c r="H391" i="10"/>
  <c r="G391" i="10"/>
  <c r="L390" i="10"/>
  <c r="K390" i="10"/>
  <c r="J390" i="10"/>
  <c r="I390" i="10"/>
  <c r="H390" i="10"/>
  <c r="G390" i="10"/>
  <c r="F390" i="10"/>
  <c r="E390" i="10"/>
  <c r="D390" i="10"/>
  <c r="L388" i="10"/>
  <c r="K388" i="10"/>
  <c r="J388" i="10"/>
  <c r="I388" i="10"/>
  <c r="H388" i="10"/>
  <c r="G388" i="10"/>
  <c r="L387" i="10"/>
  <c r="K387" i="10"/>
  <c r="J387" i="10"/>
  <c r="I387" i="10"/>
  <c r="H387" i="10"/>
  <c r="G387" i="10"/>
  <c r="L386" i="10"/>
  <c r="K386" i="10"/>
  <c r="J386" i="10"/>
  <c r="I386" i="10"/>
  <c r="H386" i="10"/>
  <c r="G386" i="10"/>
  <c r="F386" i="10"/>
  <c r="E386" i="10"/>
  <c r="D386" i="10"/>
  <c r="L385" i="10"/>
  <c r="K385" i="10"/>
  <c r="J385" i="10"/>
  <c r="I385" i="10"/>
  <c r="H385" i="10"/>
  <c r="G385" i="10"/>
  <c r="L384" i="10"/>
  <c r="K384" i="10"/>
  <c r="J384" i="10"/>
  <c r="I384" i="10"/>
  <c r="H384" i="10"/>
  <c r="G384" i="10"/>
  <c r="L383" i="10"/>
  <c r="K383" i="10"/>
  <c r="J383" i="10"/>
  <c r="I383" i="10"/>
  <c r="H383" i="10"/>
  <c r="G383" i="10"/>
  <c r="F383" i="10"/>
  <c r="E383" i="10"/>
  <c r="D383" i="10"/>
  <c r="L381" i="10"/>
  <c r="K381" i="10"/>
  <c r="J381" i="10"/>
  <c r="I381" i="10"/>
  <c r="H381" i="10"/>
  <c r="L380" i="10"/>
  <c r="K380" i="10"/>
  <c r="J380" i="10"/>
  <c r="I380" i="10"/>
  <c r="H380" i="10"/>
  <c r="L379" i="10"/>
  <c r="K379" i="10"/>
  <c r="J379" i="10"/>
  <c r="I379" i="10"/>
  <c r="H379" i="10"/>
  <c r="L377" i="10"/>
  <c r="K377" i="10"/>
  <c r="J377" i="10"/>
  <c r="I377" i="10"/>
  <c r="H377" i="10"/>
  <c r="L376" i="10"/>
  <c r="K376" i="10"/>
  <c r="J376" i="10"/>
  <c r="I376" i="10"/>
  <c r="H376" i="10"/>
  <c r="L375" i="10"/>
  <c r="K375" i="10"/>
  <c r="J375" i="10"/>
  <c r="I375" i="10"/>
  <c r="H375" i="10"/>
  <c r="L372" i="10"/>
  <c r="K372" i="10"/>
  <c r="J372" i="10"/>
  <c r="I372" i="10"/>
  <c r="H372" i="10"/>
  <c r="L371" i="10"/>
  <c r="K371" i="10"/>
  <c r="J371" i="10"/>
  <c r="I371" i="10"/>
  <c r="H371" i="10"/>
  <c r="L370" i="10"/>
  <c r="K370" i="10"/>
  <c r="J370" i="10"/>
  <c r="I370" i="10"/>
  <c r="H370" i="10"/>
  <c r="L369" i="10"/>
  <c r="K369" i="10"/>
  <c r="J369" i="10"/>
  <c r="I369" i="10"/>
  <c r="H369" i="10"/>
  <c r="L368" i="10"/>
  <c r="K368" i="10"/>
  <c r="J368" i="10"/>
  <c r="I368" i="10"/>
  <c r="H368" i="10"/>
  <c r="L367" i="10"/>
  <c r="K367" i="10"/>
  <c r="J367" i="10"/>
  <c r="I367" i="10"/>
  <c r="H367" i="10"/>
  <c r="L361" i="10"/>
  <c r="K361" i="10"/>
  <c r="J361" i="10"/>
  <c r="I361" i="10"/>
  <c r="H361" i="10"/>
  <c r="L360" i="10"/>
  <c r="K360" i="10"/>
  <c r="J360" i="10"/>
  <c r="I360" i="10"/>
  <c r="H360" i="10"/>
  <c r="L358" i="10"/>
  <c r="K358" i="10"/>
  <c r="J358" i="10"/>
  <c r="I358" i="10"/>
  <c r="H358" i="10"/>
  <c r="L357" i="10"/>
  <c r="K357" i="10"/>
  <c r="J357" i="10"/>
  <c r="I357" i="10"/>
  <c r="H357" i="10"/>
  <c r="L355" i="10"/>
  <c r="K355" i="10"/>
  <c r="J355" i="10"/>
  <c r="I355" i="10"/>
  <c r="H355" i="10"/>
  <c r="L354" i="10"/>
  <c r="K354" i="10"/>
  <c r="J354" i="10"/>
  <c r="I354" i="10"/>
  <c r="H354" i="10"/>
  <c r="L351" i="10"/>
  <c r="K351" i="10"/>
  <c r="J351" i="10"/>
  <c r="I351" i="10"/>
  <c r="L350" i="10"/>
  <c r="K350" i="10"/>
  <c r="J350" i="10"/>
  <c r="I350" i="10"/>
  <c r="L348" i="10"/>
  <c r="K348" i="10"/>
  <c r="J348" i="10"/>
  <c r="I348" i="10"/>
  <c r="H348" i="10"/>
  <c r="L347" i="10"/>
  <c r="K347" i="10"/>
  <c r="J347" i="10"/>
  <c r="I347" i="10"/>
  <c r="H347" i="10"/>
  <c r="L345" i="10"/>
  <c r="K345" i="10"/>
  <c r="J345" i="10"/>
  <c r="I345" i="10"/>
  <c r="H345" i="10"/>
  <c r="L344" i="10"/>
  <c r="K344" i="10"/>
  <c r="J344" i="10"/>
  <c r="I344" i="10"/>
  <c r="H344" i="10"/>
  <c r="L342" i="10"/>
  <c r="K342" i="10"/>
  <c r="J342" i="10"/>
  <c r="I342" i="10"/>
  <c r="H342" i="10"/>
  <c r="L341" i="10"/>
  <c r="K341" i="10"/>
  <c r="J341" i="10"/>
  <c r="I341" i="10"/>
  <c r="H341" i="10"/>
  <c r="L337" i="10"/>
  <c r="K337" i="10"/>
  <c r="J337" i="10"/>
  <c r="I337" i="10"/>
  <c r="H337" i="10"/>
  <c r="L336" i="10"/>
  <c r="K336" i="10"/>
  <c r="J336" i="10"/>
  <c r="I336" i="10"/>
  <c r="H336" i="10"/>
  <c r="L335" i="10"/>
  <c r="K335" i="10"/>
  <c r="J335" i="10"/>
  <c r="I335" i="10"/>
  <c r="H335" i="10"/>
  <c r="L334" i="10"/>
  <c r="K334" i="10"/>
  <c r="J334" i="10"/>
  <c r="I334" i="10"/>
  <c r="H334" i="10"/>
  <c r="L333" i="10"/>
  <c r="K333" i="10"/>
  <c r="J333" i="10"/>
  <c r="I333" i="10"/>
  <c r="H333" i="10"/>
  <c r="L332" i="10"/>
  <c r="K332" i="10"/>
  <c r="J332" i="10"/>
  <c r="I332" i="10"/>
  <c r="H332" i="10"/>
  <c r="L331" i="10"/>
  <c r="K331" i="10"/>
  <c r="J331" i="10"/>
  <c r="I331" i="10"/>
  <c r="L330" i="10"/>
  <c r="K330" i="10"/>
  <c r="J330" i="10"/>
  <c r="I330" i="10"/>
  <c r="H330" i="10"/>
  <c r="G330" i="10"/>
  <c r="F330" i="10"/>
  <c r="E330" i="10"/>
  <c r="D330" i="10"/>
  <c r="L329" i="10"/>
  <c r="K329" i="10"/>
  <c r="J329" i="10"/>
  <c r="I329" i="10"/>
  <c r="H329" i="10"/>
  <c r="G329" i="10"/>
  <c r="F329" i="10"/>
  <c r="E329" i="10"/>
  <c r="D329" i="10"/>
  <c r="L327" i="10"/>
  <c r="K327" i="10"/>
  <c r="J327" i="10"/>
  <c r="I327" i="10"/>
  <c r="H327" i="10"/>
  <c r="G327" i="10"/>
  <c r="F327" i="10"/>
  <c r="E327" i="10"/>
  <c r="D327" i="10"/>
  <c r="L326" i="10"/>
  <c r="K326" i="10"/>
  <c r="J326" i="10"/>
  <c r="I326" i="10"/>
  <c r="H326" i="10"/>
  <c r="G326" i="10"/>
  <c r="F326" i="10"/>
  <c r="E326" i="10"/>
  <c r="D326" i="10"/>
  <c r="L325" i="10"/>
  <c r="K325" i="10"/>
  <c r="J325" i="10"/>
  <c r="I325" i="10"/>
  <c r="H325" i="10"/>
  <c r="G325" i="10"/>
  <c r="F325" i="10"/>
  <c r="E325" i="10"/>
  <c r="D325" i="10"/>
  <c r="L324" i="10"/>
  <c r="K324" i="10"/>
  <c r="J324" i="10"/>
  <c r="I324" i="10"/>
  <c r="H324" i="10"/>
  <c r="G324" i="10"/>
  <c r="F324" i="10"/>
  <c r="E324" i="10"/>
  <c r="D324" i="10"/>
  <c r="L323" i="10"/>
  <c r="K323" i="10"/>
  <c r="J323" i="10"/>
  <c r="I323" i="10"/>
  <c r="H323" i="10"/>
  <c r="G323" i="10"/>
  <c r="F323" i="10"/>
  <c r="E323" i="10"/>
  <c r="D323" i="10"/>
  <c r="L322" i="10"/>
  <c r="K322" i="10"/>
  <c r="J322" i="10"/>
  <c r="I322" i="10"/>
  <c r="H322" i="10"/>
  <c r="G322" i="10"/>
  <c r="F322" i="10"/>
  <c r="E322" i="10"/>
  <c r="D322" i="10"/>
  <c r="L320" i="10"/>
  <c r="K320" i="10"/>
  <c r="J320" i="10"/>
  <c r="I320" i="10"/>
  <c r="H320" i="10"/>
  <c r="G320" i="10"/>
  <c r="F320" i="10"/>
  <c r="E320" i="10"/>
  <c r="D320" i="10"/>
  <c r="L319" i="10"/>
  <c r="K319" i="10"/>
  <c r="J319" i="10"/>
  <c r="I319" i="10"/>
  <c r="H319" i="10"/>
  <c r="G319" i="10"/>
  <c r="F319" i="10"/>
  <c r="E319" i="10"/>
  <c r="D319" i="10"/>
  <c r="L318" i="10"/>
  <c r="K318" i="10"/>
  <c r="J318" i="10"/>
  <c r="I318" i="10"/>
  <c r="H318" i="10"/>
  <c r="G318" i="10"/>
  <c r="F318" i="10"/>
  <c r="E318" i="10"/>
  <c r="D318" i="10"/>
  <c r="L317" i="10"/>
  <c r="K317" i="10"/>
  <c r="J317" i="10"/>
  <c r="I317" i="10"/>
  <c r="H317" i="10"/>
  <c r="G317" i="10"/>
  <c r="F317" i="10"/>
  <c r="E317" i="10"/>
  <c r="D317" i="10"/>
  <c r="L316" i="10"/>
  <c r="K316" i="10"/>
  <c r="J316" i="10"/>
  <c r="I316" i="10"/>
  <c r="H316" i="10"/>
  <c r="G316" i="10"/>
  <c r="F316" i="10"/>
  <c r="E316" i="10"/>
  <c r="D316" i="10"/>
  <c r="L315" i="10"/>
  <c r="K315" i="10"/>
  <c r="J315" i="10"/>
  <c r="I315" i="10"/>
  <c r="H315" i="10"/>
  <c r="G315" i="10"/>
  <c r="F315" i="10"/>
  <c r="E315" i="10"/>
  <c r="D315" i="10"/>
  <c r="L311" i="10"/>
  <c r="K311" i="10"/>
  <c r="J311" i="10"/>
  <c r="I311" i="10"/>
  <c r="H311" i="10"/>
  <c r="L310" i="10"/>
  <c r="K310" i="10"/>
  <c r="J310" i="10"/>
  <c r="I310" i="10"/>
  <c r="H310" i="10"/>
  <c r="L309" i="10"/>
  <c r="K309" i="10"/>
  <c r="J309" i="10"/>
  <c r="I309" i="10"/>
  <c r="H309" i="10"/>
  <c r="L308" i="10"/>
  <c r="K308" i="10"/>
  <c r="J308" i="10"/>
  <c r="I308" i="10"/>
  <c r="H308" i="10"/>
  <c r="L307" i="10"/>
  <c r="K307" i="10"/>
  <c r="J307" i="10"/>
  <c r="I307" i="10"/>
  <c r="H307" i="10"/>
  <c r="L306" i="10"/>
  <c r="K306" i="10"/>
  <c r="J306" i="10"/>
  <c r="I306" i="10"/>
  <c r="H306" i="10"/>
  <c r="L304" i="10"/>
  <c r="K304" i="10"/>
  <c r="J304" i="10"/>
  <c r="I304" i="10"/>
  <c r="H304" i="10"/>
  <c r="L303" i="10"/>
  <c r="K303" i="10"/>
  <c r="J303" i="10"/>
  <c r="I303" i="10"/>
  <c r="H303" i="10"/>
  <c r="L302" i="10"/>
  <c r="K302" i="10"/>
  <c r="J302" i="10"/>
  <c r="I302" i="10"/>
  <c r="H302" i="10"/>
  <c r="L301" i="10"/>
  <c r="K301" i="10"/>
  <c r="J301" i="10"/>
  <c r="I301" i="10"/>
  <c r="H301" i="10"/>
  <c r="L300" i="10"/>
  <c r="K300" i="10"/>
  <c r="J300" i="10"/>
  <c r="I300" i="10"/>
  <c r="H300" i="10"/>
  <c r="L299" i="10"/>
  <c r="K299" i="10"/>
  <c r="J299" i="10"/>
  <c r="I299" i="10"/>
  <c r="H299" i="10"/>
  <c r="L297" i="10"/>
  <c r="K297" i="10"/>
  <c r="J297" i="10"/>
  <c r="I297" i="10"/>
  <c r="H297" i="10"/>
  <c r="G297" i="10"/>
  <c r="L296" i="10"/>
  <c r="K296" i="10"/>
  <c r="J296" i="10"/>
  <c r="I296" i="10"/>
  <c r="H296" i="10"/>
  <c r="G296" i="10"/>
  <c r="L295" i="10"/>
  <c r="K295" i="10"/>
  <c r="J295" i="10"/>
  <c r="I295" i="10"/>
  <c r="H295" i="10"/>
  <c r="G295" i="10"/>
  <c r="F295" i="10"/>
  <c r="E295" i="10"/>
  <c r="D295" i="10"/>
  <c r="L294" i="10"/>
  <c r="K294" i="10"/>
  <c r="J294" i="10"/>
  <c r="I294" i="10"/>
  <c r="H294" i="10"/>
  <c r="G294" i="10"/>
  <c r="L293" i="10"/>
  <c r="K293" i="10"/>
  <c r="J293" i="10"/>
  <c r="I293" i="10"/>
  <c r="H293" i="10"/>
  <c r="G293" i="10"/>
  <c r="L292" i="10"/>
  <c r="K292" i="10"/>
  <c r="J292" i="10"/>
  <c r="I292" i="10"/>
  <c r="H292" i="10"/>
  <c r="G292" i="10"/>
  <c r="F292" i="10"/>
  <c r="E292" i="10"/>
  <c r="D292" i="10"/>
  <c r="L290" i="10"/>
  <c r="K290" i="10"/>
  <c r="J290" i="10"/>
  <c r="I290" i="10"/>
  <c r="H290" i="10"/>
  <c r="G290" i="10"/>
  <c r="F290" i="10"/>
  <c r="E290" i="10"/>
  <c r="D290" i="10"/>
  <c r="L289" i="10"/>
  <c r="K289" i="10"/>
  <c r="J289" i="10"/>
  <c r="I289" i="10"/>
  <c r="H289" i="10"/>
  <c r="G289" i="10"/>
  <c r="F289" i="10"/>
  <c r="E289" i="10"/>
  <c r="D289" i="10"/>
  <c r="L288" i="10"/>
  <c r="K288" i="10"/>
  <c r="J288" i="10"/>
  <c r="I288" i="10"/>
  <c r="H288" i="10"/>
  <c r="G288" i="10"/>
  <c r="F288" i="10"/>
  <c r="E288" i="10"/>
  <c r="D288" i="10"/>
  <c r="L287" i="10"/>
  <c r="K287" i="10"/>
  <c r="J287" i="10"/>
  <c r="I287" i="10"/>
  <c r="H287" i="10"/>
  <c r="G287" i="10"/>
  <c r="F287" i="10"/>
  <c r="E287" i="10"/>
  <c r="D287" i="10"/>
  <c r="L286" i="10"/>
  <c r="K286" i="10"/>
  <c r="J286" i="10"/>
  <c r="I286" i="10"/>
  <c r="H286" i="10"/>
  <c r="G286" i="10"/>
  <c r="F286" i="10"/>
  <c r="E286" i="10"/>
  <c r="D286" i="10"/>
  <c r="L285" i="10"/>
  <c r="K285" i="10"/>
  <c r="J285" i="10"/>
  <c r="I285" i="10"/>
  <c r="H285" i="10"/>
  <c r="G285" i="10"/>
  <c r="F285" i="10"/>
  <c r="E285" i="10"/>
  <c r="D285" i="10"/>
  <c r="L283" i="10"/>
  <c r="K283" i="10"/>
  <c r="J283" i="10"/>
  <c r="I283" i="10"/>
  <c r="H283" i="10"/>
  <c r="G283" i="10"/>
  <c r="F283" i="10"/>
  <c r="E283" i="10"/>
  <c r="D283" i="10"/>
  <c r="L282" i="10"/>
  <c r="K282" i="10"/>
  <c r="J282" i="10"/>
  <c r="I282" i="10"/>
  <c r="H282" i="10"/>
  <c r="G282" i="10"/>
  <c r="F282" i="10"/>
  <c r="E282" i="10"/>
  <c r="D282" i="10"/>
  <c r="L281" i="10"/>
  <c r="K281" i="10"/>
  <c r="J281" i="10"/>
  <c r="I281" i="10"/>
  <c r="H281" i="10"/>
  <c r="G281" i="10"/>
  <c r="F281" i="10"/>
  <c r="E281" i="10"/>
  <c r="D281" i="10"/>
  <c r="L280" i="10"/>
  <c r="K280" i="10"/>
  <c r="J280" i="10"/>
  <c r="I280" i="10"/>
  <c r="H280" i="10"/>
  <c r="G280" i="10"/>
  <c r="F280" i="10"/>
  <c r="E280" i="10"/>
  <c r="D280" i="10"/>
  <c r="L279" i="10"/>
  <c r="K279" i="10"/>
  <c r="J279" i="10"/>
  <c r="I279" i="10"/>
  <c r="H279" i="10"/>
  <c r="G279" i="10"/>
  <c r="F279" i="10"/>
  <c r="E279" i="10"/>
  <c r="D279" i="10"/>
  <c r="L278" i="10"/>
  <c r="K278" i="10"/>
  <c r="J278" i="10"/>
  <c r="I278" i="10"/>
  <c r="H278" i="10"/>
  <c r="G278" i="10"/>
  <c r="F278" i="10"/>
  <c r="E278" i="10"/>
  <c r="D278" i="10"/>
  <c r="L275" i="10"/>
  <c r="K275" i="10"/>
  <c r="J275" i="10"/>
  <c r="I275" i="10"/>
  <c r="H275" i="10"/>
  <c r="G275" i="10"/>
  <c r="F275" i="10"/>
  <c r="E275" i="10"/>
  <c r="D275" i="10"/>
  <c r="L274" i="10"/>
  <c r="K274" i="10"/>
  <c r="J274" i="10"/>
  <c r="I274" i="10"/>
  <c r="H274" i="10"/>
  <c r="L273" i="10"/>
  <c r="K273" i="10"/>
  <c r="J273" i="10"/>
  <c r="I273" i="10"/>
  <c r="H273" i="10"/>
  <c r="L272" i="10"/>
  <c r="K272" i="10"/>
  <c r="J272" i="10"/>
  <c r="I272" i="10"/>
  <c r="H272" i="10"/>
  <c r="L271" i="10"/>
  <c r="K271" i="10"/>
  <c r="J271" i="10"/>
  <c r="I271" i="10"/>
  <c r="H271" i="10"/>
  <c r="L270" i="10"/>
  <c r="K270" i="10"/>
  <c r="J270" i="10"/>
  <c r="I270" i="10"/>
  <c r="H270" i="10"/>
  <c r="L269" i="10"/>
  <c r="K269" i="10"/>
  <c r="J269" i="10"/>
  <c r="I269" i="10"/>
  <c r="H269" i="10"/>
  <c r="L267" i="10"/>
  <c r="K267" i="10"/>
  <c r="J267" i="10"/>
  <c r="I267" i="10"/>
  <c r="H267" i="10"/>
  <c r="L266" i="10"/>
  <c r="K266" i="10"/>
  <c r="J266" i="10"/>
  <c r="I266" i="10"/>
  <c r="H266" i="10"/>
  <c r="L265" i="10"/>
  <c r="K265" i="10"/>
  <c r="J265" i="10"/>
  <c r="I265" i="10"/>
  <c r="H265" i="10"/>
  <c r="L263" i="10"/>
  <c r="K263" i="10"/>
  <c r="J263" i="10"/>
  <c r="I263" i="10"/>
  <c r="H263" i="10"/>
  <c r="L262" i="10"/>
  <c r="K262" i="10"/>
  <c r="J262" i="10"/>
  <c r="I262" i="10"/>
  <c r="H262" i="10"/>
  <c r="L261" i="10"/>
  <c r="K261" i="10"/>
  <c r="J261" i="10"/>
  <c r="I261" i="10"/>
  <c r="H261" i="10"/>
  <c r="L259" i="10"/>
  <c r="K259" i="10"/>
  <c r="J259" i="10"/>
  <c r="I259" i="10"/>
  <c r="H259" i="10"/>
  <c r="L258" i="10"/>
  <c r="K258" i="10"/>
  <c r="J258" i="10"/>
  <c r="I258" i="10"/>
  <c r="H258" i="10"/>
  <c r="L257" i="10"/>
  <c r="K257" i="10"/>
  <c r="J257" i="10"/>
  <c r="I257" i="10"/>
  <c r="H257" i="10"/>
  <c r="L254" i="10"/>
  <c r="K254" i="10"/>
  <c r="J254" i="10"/>
  <c r="I254" i="10"/>
  <c r="H254" i="10"/>
  <c r="L253" i="10"/>
  <c r="K253" i="10"/>
  <c r="J253" i="10"/>
  <c r="I253" i="10"/>
  <c r="H253" i="10"/>
  <c r="L252" i="10"/>
  <c r="K252" i="10"/>
  <c r="J252" i="10"/>
  <c r="I252" i="10"/>
  <c r="H252" i="10"/>
  <c r="L250" i="10"/>
  <c r="K250" i="10"/>
  <c r="J250" i="10"/>
  <c r="I250" i="10"/>
  <c r="H250" i="10"/>
  <c r="L249" i="10"/>
  <c r="K249" i="10"/>
  <c r="J249" i="10"/>
  <c r="I249" i="10"/>
  <c r="H249" i="10"/>
  <c r="L248" i="10"/>
  <c r="K248" i="10"/>
  <c r="J248" i="10"/>
  <c r="I248" i="10"/>
  <c r="H248" i="10"/>
  <c r="L246" i="10"/>
  <c r="K246" i="10"/>
  <c r="J246" i="10"/>
  <c r="I246" i="10"/>
  <c r="H246" i="10"/>
  <c r="L245" i="10"/>
  <c r="K245" i="10"/>
  <c r="J245" i="10"/>
  <c r="I245" i="10"/>
  <c r="H245" i="10"/>
  <c r="L244" i="10"/>
  <c r="K244" i="10"/>
  <c r="J244" i="10"/>
  <c r="I244" i="10"/>
  <c r="H244" i="10"/>
  <c r="L240" i="10"/>
  <c r="K240" i="10"/>
  <c r="J240" i="10"/>
  <c r="I240" i="10"/>
  <c r="H240" i="10"/>
  <c r="L239" i="10"/>
  <c r="K239" i="10"/>
  <c r="J239" i="10"/>
  <c r="I239" i="10"/>
  <c r="H239" i="10"/>
  <c r="L238" i="10"/>
  <c r="K238" i="10"/>
  <c r="J238" i="10"/>
  <c r="I238" i="10"/>
  <c r="H238" i="10"/>
  <c r="L237" i="10"/>
  <c r="K237" i="10"/>
  <c r="J237" i="10"/>
  <c r="I237" i="10"/>
  <c r="H237" i="10"/>
  <c r="L236" i="10"/>
  <c r="K236" i="10"/>
  <c r="J236" i="10"/>
  <c r="I236" i="10"/>
  <c r="H236" i="10"/>
  <c r="L235" i="10"/>
  <c r="K235" i="10"/>
  <c r="J235" i="10"/>
  <c r="I235" i="10"/>
  <c r="H235" i="10"/>
  <c r="L234" i="10"/>
  <c r="K234" i="10"/>
  <c r="J234" i="10"/>
  <c r="I234" i="10"/>
  <c r="L233" i="10"/>
  <c r="K233" i="10"/>
  <c r="J233" i="10"/>
  <c r="I233" i="10"/>
  <c r="H233" i="10"/>
  <c r="G233" i="10"/>
  <c r="F233" i="10"/>
  <c r="E233" i="10"/>
  <c r="D233" i="10"/>
  <c r="L232" i="10"/>
  <c r="K232" i="10"/>
  <c r="J232" i="10"/>
  <c r="I232" i="10"/>
  <c r="H232" i="10"/>
  <c r="G232" i="10"/>
  <c r="F232" i="10"/>
  <c r="E232" i="10"/>
  <c r="D232" i="10"/>
  <c r="L231" i="10"/>
  <c r="K231" i="10"/>
  <c r="J231" i="10"/>
  <c r="I231" i="10"/>
  <c r="H231" i="10"/>
  <c r="G231" i="10"/>
  <c r="F231" i="10"/>
  <c r="E231" i="10"/>
  <c r="D231" i="10"/>
  <c r="L230" i="10"/>
  <c r="K230" i="10"/>
  <c r="J230" i="10"/>
  <c r="I230" i="10"/>
  <c r="H230" i="10"/>
  <c r="G230" i="10"/>
  <c r="F230" i="10"/>
  <c r="E230" i="10"/>
  <c r="D230" i="10"/>
  <c r="L229" i="10"/>
  <c r="K229" i="10"/>
  <c r="J229" i="10"/>
  <c r="I229" i="10"/>
  <c r="H229" i="10"/>
  <c r="G229" i="10"/>
  <c r="F229" i="10"/>
  <c r="E229" i="10"/>
  <c r="D229" i="10"/>
  <c r="L228" i="10"/>
  <c r="K228" i="10"/>
  <c r="J228" i="10"/>
  <c r="I228" i="10"/>
  <c r="H228" i="10"/>
  <c r="G228" i="10"/>
  <c r="F228" i="10"/>
  <c r="E228" i="10"/>
  <c r="D228" i="10"/>
  <c r="L227" i="10"/>
  <c r="K227" i="10"/>
  <c r="J227" i="10"/>
  <c r="I227" i="10"/>
  <c r="L226" i="10"/>
  <c r="K226" i="10"/>
  <c r="J226" i="10"/>
  <c r="I226" i="10"/>
  <c r="H226" i="10"/>
  <c r="G226" i="10"/>
  <c r="F226" i="10"/>
  <c r="E226" i="10"/>
  <c r="D226" i="10"/>
  <c r="L223" i="10"/>
  <c r="K223" i="10"/>
  <c r="J223" i="10"/>
  <c r="I223" i="10"/>
  <c r="H223" i="10"/>
  <c r="G223" i="10"/>
  <c r="F223" i="10"/>
  <c r="E223" i="10"/>
  <c r="D223" i="10"/>
  <c r="L222" i="10"/>
  <c r="K222" i="10"/>
  <c r="J222" i="10"/>
  <c r="I222" i="10"/>
  <c r="H222" i="10"/>
  <c r="G222" i="10"/>
  <c r="F222" i="10"/>
  <c r="E222" i="10"/>
  <c r="D222" i="10"/>
  <c r="K221" i="10"/>
  <c r="J221" i="10"/>
  <c r="I221" i="10"/>
  <c r="H221" i="10"/>
  <c r="G221" i="10"/>
  <c r="F221" i="10"/>
  <c r="E221" i="10"/>
  <c r="D221" i="10"/>
  <c r="L220" i="10"/>
  <c r="K220" i="10"/>
  <c r="J220" i="10"/>
  <c r="I220" i="10"/>
  <c r="H220" i="10"/>
  <c r="G220" i="10"/>
  <c r="F220" i="10"/>
  <c r="E220" i="10"/>
  <c r="D220" i="10"/>
  <c r="L219" i="10"/>
  <c r="K219" i="10"/>
  <c r="J219" i="10"/>
  <c r="I219" i="10"/>
  <c r="H219" i="10"/>
  <c r="G219" i="10"/>
  <c r="F219" i="10"/>
  <c r="E219" i="10"/>
  <c r="D219" i="10"/>
  <c r="K218" i="10"/>
  <c r="J218" i="10"/>
  <c r="I218" i="10"/>
  <c r="H218" i="10"/>
  <c r="G218" i="10"/>
  <c r="F218" i="10"/>
  <c r="E218" i="10"/>
  <c r="D218" i="10"/>
  <c r="L216" i="10"/>
  <c r="K216" i="10"/>
  <c r="J216" i="10"/>
  <c r="I216" i="10"/>
  <c r="H216" i="10"/>
  <c r="G216" i="10"/>
  <c r="F216" i="10"/>
  <c r="E216" i="10"/>
  <c r="D216" i="10"/>
  <c r="L215" i="10"/>
  <c r="K215" i="10"/>
  <c r="J215" i="10"/>
  <c r="I215" i="10"/>
  <c r="H215" i="10"/>
  <c r="G215" i="10"/>
  <c r="F215" i="10"/>
  <c r="E215" i="10"/>
  <c r="D215" i="10"/>
  <c r="L213" i="10"/>
  <c r="K213" i="10"/>
  <c r="J213" i="10"/>
  <c r="I213" i="10"/>
  <c r="H213" i="10"/>
  <c r="L212" i="10"/>
  <c r="K212" i="10"/>
  <c r="J212" i="10"/>
  <c r="I212" i="10"/>
  <c r="H212" i="10"/>
  <c r="L211" i="10"/>
  <c r="K211" i="10"/>
  <c r="J211" i="10"/>
  <c r="I211" i="10"/>
  <c r="H211" i="10"/>
  <c r="L210" i="10"/>
  <c r="K210" i="10"/>
  <c r="J210" i="10"/>
  <c r="I210" i="10"/>
  <c r="H210" i="10"/>
  <c r="G210" i="10"/>
  <c r="F210" i="10"/>
  <c r="E210" i="10"/>
  <c r="D210" i="10"/>
  <c r="L209" i="10"/>
  <c r="K209" i="10"/>
  <c r="J209" i="10"/>
  <c r="I209" i="10"/>
  <c r="H209" i="10"/>
  <c r="G209" i="10"/>
  <c r="F209" i="10"/>
  <c r="E209" i="10"/>
  <c r="D209" i="10"/>
  <c r="L206" i="10"/>
  <c r="K206" i="10"/>
  <c r="J206" i="10"/>
  <c r="I206" i="10"/>
  <c r="H206" i="10"/>
  <c r="L205" i="10"/>
  <c r="K205" i="10"/>
  <c r="J205" i="10"/>
  <c r="I205" i="10"/>
  <c r="H205" i="10"/>
  <c r="L204" i="10"/>
  <c r="K204" i="10"/>
  <c r="J204" i="10"/>
  <c r="I204" i="10"/>
  <c r="H204" i="10"/>
  <c r="L203" i="10"/>
  <c r="K203" i="10"/>
  <c r="J203" i="10"/>
  <c r="I203" i="10"/>
  <c r="H203" i="10"/>
  <c r="L202" i="10"/>
  <c r="K202" i="10"/>
  <c r="J202" i="10"/>
  <c r="I202" i="10"/>
  <c r="H202" i="10"/>
  <c r="L201" i="10"/>
  <c r="K201" i="10"/>
  <c r="I201" i="10"/>
  <c r="H201" i="10"/>
  <c r="L200" i="10"/>
  <c r="K200" i="10"/>
  <c r="J200" i="10"/>
  <c r="I200" i="10"/>
  <c r="H200" i="10"/>
  <c r="G200" i="10"/>
  <c r="L199" i="10"/>
  <c r="K199" i="10"/>
  <c r="J199" i="10"/>
  <c r="I199" i="10"/>
  <c r="H199" i="10"/>
  <c r="G199" i="10"/>
  <c r="L198" i="10"/>
  <c r="K198" i="10"/>
  <c r="J198" i="10"/>
  <c r="I198" i="10"/>
  <c r="H198" i="10"/>
  <c r="G198" i="10"/>
  <c r="F198" i="10"/>
  <c r="E198" i="10"/>
  <c r="D198" i="10"/>
  <c r="L197" i="10"/>
  <c r="K197" i="10"/>
  <c r="J197" i="10"/>
  <c r="I197" i="10"/>
  <c r="H197" i="10"/>
  <c r="G197" i="10"/>
  <c r="L196" i="10"/>
  <c r="K196" i="10"/>
  <c r="J196" i="10"/>
  <c r="I196" i="10"/>
  <c r="H196" i="10"/>
  <c r="G196" i="10"/>
  <c r="L195" i="10"/>
  <c r="K195" i="10"/>
  <c r="J195" i="10"/>
  <c r="I195" i="10"/>
  <c r="H195" i="10"/>
  <c r="G195" i="10"/>
  <c r="F195" i="10"/>
  <c r="E195" i="10"/>
  <c r="D195" i="10"/>
  <c r="L192" i="10"/>
  <c r="K192" i="10"/>
  <c r="J192" i="10"/>
  <c r="I192" i="10"/>
  <c r="H192" i="10"/>
  <c r="L191" i="10"/>
  <c r="K191" i="10"/>
  <c r="J191" i="10"/>
  <c r="I191" i="10"/>
  <c r="H191" i="10"/>
  <c r="L190" i="10"/>
  <c r="K190" i="10"/>
  <c r="J190" i="10"/>
  <c r="I190" i="10"/>
  <c r="H190" i="10"/>
  <c r="L189" i="10"/>
  <c r="K189" i="10"/>
  <c r="J189" i="10"/>
  <c r="I189" i="10"/>
  <c r="H189" i="10"/>
  <c r="G189" i="10"/>
  <c r="F189" i="10"/>
  <c r="E189" i="10"/>
  <c r="D189" i="10"/>
  <c r="L188" i="10"/>
  <c r="K188" i="10"/>
  <c r="J188" i="10"/>
  <c r="I188" i="10"/>
  <c r="H188" i="10"/>
  <c r="G188" i="10"/>
  <c r="F188" i="10"/>
  <c r="E188" i="10"/>
  <c r="D188" i="10"/>
  <c r="L187" i="10"/>
  <c r="K187" i="10"/>
  <c r="J187" i="10"/>
  <c r="I187" i="10"/>
  <c r="H187" i="10"/>
  <c r="G187" i="10"/>
  <c r="F187" i="10"/>
  <c r="E187" i="10"/>
  <c r="D187" i="10"/>
  <c r="L184" i="10"/>
  <c r="K184" i="10"/>
  <c r="J184" i="10"/>
  <c r="I184" i="10"/>
  <c r="H184" i="10"/>
  <c r="G184" i="10"/>
  <c r="L183" i="10"/>
  <c r="K183" i="10"/>
  <c r="J183" i="10"/>
  <c r="I183" i="10"/>
  <c r="H183" i="10"/>
  <c r="G183" i="10"/>
  <c r="L182" i="10"/>
  <c r="K182" i="10"/>
  <c r="J182" i="10"/>
  <c r="I182" i="10"/>
  <c r="H182" i="10"/>
  <c r="G182" i="10"/>
  <c r="L181" i="10"/>
  <c r="K181" i="10"/>
  <c r="J181" i="10"/>
  <c r="I181" i="10"/>
  <c r="H181" i="10"/>
  <c r="G181" i="10"/>
  <c r="L180" i="10"/>
  <c r="K180" i="10"/>
  <c r="J180" i="10"/>
  <c r="I180" i="10"/>
  <c r="H180" i="10"/>
  <c r="G180" i="10"/>
  <c r="L179" i="10"/>
  <c r="K179" i="10"/>
  <c r="J179" i="10"/>
  <c r="I179" i="10"/>
  <c r="H179" i="10"/>
  <c r="G179" i="10"/>
  <c r="L178" i="10"/>
  <c r="K178" i="10"/>
  <c r="J178" i="10"/>
  <c r="I178" i="10"/>
  <c r="H178" i="10"/>
  <c r="G178" i="10"/>
  <c r="L177" i="10"/>
  <c r="K177" i="10"/>
  <c r="J177" i="10"/>
  <c r="I177" i="10"/>
  <c r="H177" i="10"/>
  <c r="G177" i="10"/>
  <c r="L176" i="10"/>
  <c r="K176" i="10"/>
  <c r="J176" i="10"/>
  <c r="I176" i="10"/>
  <c r="H176" i="10"/>
  <c r="G176" i="10"/>
  <c r="L175" i="10"/>
  <c r="K175" i="10"/>
  <c r="J175" i="10"/>
  <c r="I175" i="10"/>
  <c r="H175" i="10"/>
  <c r="G175" i="10"/>
  <c r="L174" i="10"/>
  <c r="K174" i="10"/>
  <c r="J174" i="10"/>
  <c r="I174" i="10"/>
  <c r="H174" i="10"/>
  <c r="G174" i="10"/>
  <c r="L173" i="10"/>
  <c r="K173" i="10"/>
  <c r="J173" i="10"/>
  <c r="I173" i="10"/>
  <c r="H173" i="10"/>
  <c r="G173" i="10"/>
  <c r="L172" i="10"/>
  <c r="K172" i="10"/>
  <c r="J172" i="10"/>
  <c r="I172" i="10"/>
  <c r="H172" i="10"/>
  <c r="G172" i="10"/>
  <c r="L171" i="10"/>
  <c r="K171" i="10"/>
  <c r="J171" i="10"/>
  <c r="I171" i="10"/>
  <c r="H171" i="10"/>
  <c r="G171"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8" i="10"/>
  <c r="J158" i="10"/>
  <c r="I158" i="10"/>
  <c r="H158" i="10"/>
  <c r="G158" i="10"/>
  <c r="K157" i="10"/>
  <c r="J157" i="10"/>
  <c r="I157" i="10"/>
  <c r="H157" i="10"/>
  <c r="G157" i="10"/>
  <c r="J156" i="10"/>
  <c r="I156" i="10"/>
  <c r="H156" i="10"/>
  <c r="G156" i="10"/>
  <c r="L155" i="10"/>
  <c r="K155" i="10"/>
  <c r="J155" i="10"/>
  <c r="I155" i="10"/>
  <c r="H155" i="10"/>
  <c r="G155" i="10"/>
  <c r="L152" i="10"/>
  <c r="K152" i="10"/>
  <c r="J152" i="10"/>
  <c r="I152" i="10"/>
  <c r="H152" i="10"/>
  <c r="G152" i="10"/>
  <c r="F152" i="10"/>
  <c r="E152" i="10"/>
  <c r="D152" i="10"/>
  <c r="L151" i="10"/>
  <c r="K151" i="10"/>
  <c r="J151" i="10"/>
  <c r="I151" i="10"/>
  <c r="H151" i="10"/>
  <c r="G151" i="10"/>
  <c r="F151" i="10"/>
  <c r="E151" i="10"/>
  <c r="D151" i="10"/>
  <c r="L150" i="10"/>
  <c r="K150" i="10"/>
  <c r="J150" i="10"/>
  <c r="I150" i="10"/>
  <c r="H150" i="10"/>
  <c r="G150" i="10"/>
  <c r="F150" i="10"/>
  <c r="E150" i="10"/>
  <c r="D150" i="10"/>
  <c r="L149" i="10"/>
  <c r="K149" i="10"/>
  <c r="J149" i="10"/>
  <c r="I149" i="10"/>
  <c r="H149" i="10"/>
  <c r="G149" i="10"/>
  <c r="F149" i="10"/>
  <c r="E149" i="10"/>
  <c r="D149" i="10"/>
  <c r="L148" i="10"/>
  <c r="K148" i="10"/>
  <c r="J148" i="10"/>
  <c r="I148" i="10"/>
  <c r="H148" i="10"/>
  <c r="G148" i="10"/>
  <c r="F148" i="10"/>
  <c r="E148" i="10"/>
  <c r="D148" i="10"/>
  <c r="L147" i="10"/>
  <c r="K147" i="10"/>
  <c r="J147" i="10"/>
  <c r="I147" i="10"/>
  <c r="H147" i="10"/>
  <c r="G147" i="10"/>
  <c r="F147" i="10"/>
  <c r="E147" i="10"/>
  <c r="D147" i="10"/>
  <c r="K145" i="10"/>
  <c r="J145" i="10"/>
  <c r="I145" i="10"/>
  <c r="H145" i="10"/>
  <c r="G145" i="10"/>
  <c r="F145" i="10"/>
  <c r="E145" i="10"/>
  <c r="D145" i="10"/>
  <c r="K144" i="10"/>
  <c r="J144" i="10"/>
  <c r="I144" i="10"/>
  <c r="H144" i="10"/>
  <c r="G144" i="10"/>
  <c r="F144" i="10"/>
  <c r="E144" i="10"/>
  <c r="D144" i="10"/>
  <c r="K143" i="10"/>
  <c r="J143" i="10"/>
  <c r="I143" i="10"/>
  <c r="H143" i="10"/>
  <c r="G143" i="10"/>
  <c r="F143" i="10"/>
  <c r="E143" i="10"/>
  <c r="D143" i="10"/>
  <c r="K142" i="10"/>
  <c r="J142" i="10"/>
  <c r="I142" i="10"/>
  <c r="H142" i="10"/>
  <c r="G142" i="10"/>
  <c r="F142" i="10"/>
  <c r="E142" i="10"/>
  <c r="D142" i="10"/>
  <c r="K141" i="10"/>
  <c r="J141" i="10"/>
  <c r="I141" i="10"/>
  <c r="H141" i="10"/>
  <c r="G141" i="10"/>
  <c r="F141" i="10"/>
  <c r="E141" i="10"/>
  <c r="D141" i="10"/>
  <c r="K140" i="10"/>
  <c r="J140" i="10"/>
  <c r="I140" i="10"/>
  <c r="H140" i="10"/>
  <c r="G140" i="10"/>
  <c r="F140" i="10"/>
  <c r="E140" i="10"/>
  <c r="D140" i="10"/>
  <c r="K139" i="10"/>
  <c r="J139" i="10"/>
  <c r="I139" i="10"/>
  <c r="H139" i="10"/>
  <c r="K138" i="10"/>
  <c r="J138" i="10"/>
  <c r="I138" i="10"/>
  <c r="H138" i="10"/>
  <c r="G138" i="10"/>
  <c r="K137" i="10"/>
  <c r="J137" i="10"/>
  <c r="I137" i="10"/>
  <c r="H137" i="10"/>
  <c r="G137" i="10"/>
  <c r="K136" i="10"/>
  <c r="J136" i="10"/>
  <c r="I136" i="10"/>
  <c r="H136" i="10"/>
  <c r="G136" i="10"/>
  <c r="F136" i="10"/>
  <c r="E136" i="10"/>
  <c r="D136" i="10"/>
  <c r="K135" i="10"/>
  <c r="J135" i="10"/>
  <c r="I135" i="10"/>
  <c r="H135" i="10"/>
  <c r="G135" i="10"/>
  <c r="K134" i="10"/>
  <c r="J134" i="10"/>
  <c r="I134" i="10"/>
  <c r="H134" i="10"/>
  <c r="G134" i="10"/>
  <c r="K133" i="10"/>
  <c r="I133" i="10"/>
  <c r="H133" i="10"/>
  <c r="G133" i="10"/>
  <c r="F133" i="10"/>
  <c r="E133" i="10"/>
  <c r="D133" i="10"/>
  <c r="K132" i="10"/>
  <c r="J132" i="10"/>
  <c r="I132" i="10"/>
  <c r="H132" i="10"/>
  <c r="G132" i="10"/>
  <c r="F132" i="10"/>
  <c r="E132" i="10"/>
  <c r="D132" i="10"/>
  <c r="K131" i="10"/>
  <c r="J131" i="10"/>
  <c r="I131" i="10"/>
  <c r="H131" i="10"/>
  <c r="G131" i="10"/>
  <c r="F131" i="10"/>
  <c r="E131" i="10"/>
  <c r="D131" i="10"/>
  <c r="K130" i="10"/>
  <c r="J130" i="10"/>
  <c r="I130" i="10"/>
  <c r="H130" i="10"/>
  <c r="G130" i="10"/>
  <c r="F130" i="10"/>
  <c r="E130" i="10"/>
  <c r="D130" i="10"/>
  <c r="K129" i="10"/>
  <c r="J129" i="10"/>
  <c r="I129" i="10"/>
  <c r="H129" i="10"/>
  <c r="G129" i="10"/>
  <c r="F129" i="10"/>
  <c r="E129" i="10"/>
  <c r="D129" i="10"/>
  <c r="K128" i="10"/>
  <c r="J128" i="10"/>
  <c r="I128" i="10"/>
  <c r="H128" i="10"/>
  <c r="G128" i="10"/>
  <c r="F128" i="10"/>
  <c r="E128" i="10"/>
  <c r="D128" i="10"/>
  <c r="K127" i="10"/>
  <c r="J127" i="10"/>
  <c r="I127" i="10"/>
  <c r="H127" i="10"/>
  <c r="G127" i="10"/>
  <c r="F127" i="10"/>
  <c r="E127" i="10"/>
  <c r="D127" i="10"/>
  <c r="K126" i="10"/>
  <c r="J126" i="10"/>
  <c r="I126" i="10"/>
  <c r="H126" i="10"/>
  <c r="G126" i="10"/>
  <c r="F126" i="10"/>
  <c r="E126" i="10"/>
  <c r="D126" i="10"/>
  <c r="K125" i="10"/>
  <c r="J125" i="10"/>
  <c r="I125" i="10"/>
  <c r="H125" i="10"/>
  <c r="G125" i="10"/>
  <c r="F125" i="10"/>
  <c r="E125" i="10"/>
  <c r="D125" i="10"/>
  <c r="K124" i="10"/>
  <c r="J124" i="10"/>
  <c r="I124" i="10"/>
  <c r="H124" i="10"/>
  <c r="G124" i="10"/>
  <c r="F124" i="10"/>
  <c r="E124" i="10"/>
  <c r="D124" i="10"/>
  <c r="K123" i="10"/>
  <c r="I123" i="10"/>
  <c r="H123" i="10"/>
  <c r="K122" i="10"/>
  <c r="J122" i="10"/>
  <c r="I122" i="10"/>
  <c r="H122" i="10"/>
  <c r="G122" i="10"/>
  <c r="F122" i="10"/>
  <c r="E122" i="10"/>
  <c r="D122" i="10"/>
  <c r="K121" i="10"/>
  <c r="J121" i="10"/>
  <c r="I121" i="10"/>
  <c r="H121" i="10"/>
  <c r="G121" i="10"/>
  <c r="F121" i="10"/>
  <c r="E121" i="10"/>
  <c r="D121" i="10"/>
  <c r="K120" i="10"/>
  <c r="J120" i="10"/>
  <c r="I120" i="10"/>
  <c r="H120" i="10"/>
  <c r="G120" i="10"/>
  <c r="F120" i="10"/>
  <c r="E120" i="10"/>
  <c r="D120" i="10"/>
  <c r="K119" i="10"/>
  <c r="J119" i="10"/>
  <c r="I119" i="10"/>
  <c r="H119" i="10"/>
  <c r="G119" i="10"/>
  <c r="F119" i="10"/>
  <c r="E119" i="10"/>
  <c r="D119" i="10"/>
  <c r="K118" i="10"/>
  <c r="J118" i="10"/>
  <c r="I118" i="10"/>
  <c r="H118" i="10"/>
  <c r="G118" i="10"/>
  <c r="F118" i="10"/>
  <c r="E118" i="10"/>
  <c r="D118" i="10"/>
  <c r="K117" i="10"/>
  <c r="J117" i="10"/>
  <c r="I117" i="10"/>
  <c r="H117" i="10"/>
  <c r="G117" i="10"/>
  <c r="F117" i="10"/>
  <c r="E117" i="10"/>
  <c r="D117" i="10"/>
  <c r="K116" i="10"/>
  <c r="J116" i="10"/>
  <c r="I116" i="10"/>
  <c r="H116" i="10"/>
  <c r="L114" i="10"/>
  <c r="K114" i="10"/>
  <c r="J114" i="10"/>
  <c r="I114" i="10"/>
  <c r="H114" i="10"/>
  <c r="G114" i="10"/>
  <c r="F114" i="10"/>
  <c r="E114" i="10"/>
  <c r="D114" i="10"/>
  <c r="L113" i="10"/>
  <c r="K113" i="10"/>
  <c r="J113" i="10"/>
  <c r="I113" i="10"/>
  <c r="H113" i="10"/>
  <c r="L112" i="10"/>
  <c r="K112" i="10"/>
  <c r="J112" i="10"/>
  <c r="I112" i="10"/>
  <c r="H112" i="10"/>
  <c r="L111" i="10"/>
  <c r="K111" i="10"/>
  <c r="J111" i="10"/>
  <c r="I111" i="10"/>
  <c r="H111" i="10"/>
  <c r="L110" i="10"/>
  <c r="K110" i="10"/>
  <c r="J110" i="10"/>
  <c r="I110" i="10"/>
  <c r="H110" i="10"/>
  <c r="L109" i="10"/>
  <c r="K109" i="10"/>
  <c r="J109" i="10"/>
  <c r="I109" i="10"/>
  <c r="H109" i="10"/>
  <c r="L108" i="10"/>
  <c r="K108" i="10"/>
  <c r="J108" i="10"/>
  <c r="I108" i="10"/>
  <c r="H108" i="10"/>
  <c r="L107" i="10"/>
  <c r="K107" i="10"/>
  <c r="J107" i="10"/>
  <c r="I107" i="10"/>
  <c r="H107" i="10"/>
  <c r="L106" i="10"/>
  <c r="K106" i="10"/>
  <c r="J106" i="10"/>
  <c r="I106" i="10"/>
  <c r="H106" i="10"/>
  <c r="L105" i="10"/>
  <c r="K105" i="10"/>
  <c r="J105" i="10"/>
  <c r="I105" i="10"/>
  <c r="H105" i="10"/>
  <c r="L104" i="10"/>
  <c r="K104" i="10"/>
  <c r="J104" i="10"/>
  <c r="I104" i="10"/>
  <c r="H104" i="10"/>
  <c r="L102" i="10"/>
  <c r="K102" i="10"/>
  <c r="J102" i="10"/>
  <c r="I102" i="10"/>
  <c r="H102" i="10"/>
  <c r="L101" i="10"/>
  <c r="K101" i="10"/>
  <c r="J101" i="10"/>
  <c r="I101" i="10"/>
  <c r="H101" i="10"/>
  <c r="L100" i="10"/>
  <c r="K100" i="10"/>
  <c r="J100" i="10"/>
  <c r="I100" i="10"/>
  <c r="H100" i="10"/>
  <c r="L99" i="10"/>
  <c r="K99" i="10"/>
  <c r="J99" i="10"/>
  <c r="I99" i="10"/>
  <c r="H99" i="10"/>
  <c r="L98" i="10"/>
  <c r="K98" i="10"/>
  <c r="J98" i="10"/>
  <c r="I98" i="10"/>
  <c r="H98" i="10"/>
  <c r="L97" i="10"/>
  <c r="K97" i="10"/>
  <c r="J97" i="10"/>
  <c r="I97" i="10"/>
  <c r="H97" i="10"/>
  <c r="L96" i="10"/>
  <c r="K96" i="10"/>
  <c r="J96" i="10"/>
  <c r="I96" i="10"/>
  <c r="H96" i="10"/>
  <c r="I94" i="10"/>
  <c r="I93" i="10"/>
  <c r="I92" i="10"/>
  <c r="I91" i="10"/>
  <c r="I90" i="10"/>
  <c r="I88" i="10"/>
  <c r="I87" i="10"/>
  <c r="I86" i="10"/>
  <c r="I85" i="10"/>
  <c r="I84" i="10"/>
  <c r="I82" i="10"/>
  <c r="H82" i="10"/>
  <c r="I81" i="10"/>
  <c r="H81" i="10"/>
  <c r="I80" i="10"/>
  <c r="H80" i="10"/>
  <c r="I79" i="10"/>
  <c r="H79" i="10"/>
  <c r="I78" i="10"/>
  <c r="H78" i="10"/>
  <c r="L76" i="10"/>
  <c r="K76" i="10"/>
  <c r="J76" i="10"/>
  <c r="I76" i="10"/>
  <c r="H76" i="10"/>
  <c r="G76" i="10"/>
  <c r="F76" i="10"/>
  <c r="E76" i="10"/>
  <c r="D76" i="10"/>
  <c r="L75" i="10"/>
  <c r="K75" i="10"/>
  <c r="J75" i="10"/>
  <c r="I75" i="10"/>
  <c r="H75" i="10"/>
  <c r="G75" i="10"/>
  <c r="F75" i="10"/>
  <c r="E75" i="10"/>
  <c r="D75" i="10"/>
  <c r="L74" i="10"/>
  <c r="K74" i="10"/>
  <c r="J74" i="10"/>
  <c r="I74" i="10"/>
  <c r="H74" i="10"/>
  <c r="G74" i="10"/>
  <c r="F74" i="10"/>
  <c r="E74" i="10"/>
  <c r="D74" i="10"/>
  <c r="L73" i="10"/>
  <c r="K73" i="10"/>
  <c r="J73" i="10"/>
  <c r="I73" i="10"/>
  <c r="H73" i="10"/>
  <c r="G73" i="10"/>
  <c r="F73" i="10"/>
  <c r="E73" i="10"/>
  <c r="D73" i="10"/>
  <c r="L72" i="10"/>
  <c r="K72" i="10"/>
  <c r="J72" i="10"/>
  <c r="I72" i="10"/>
  <c r="H72" i="10"/>
  <c r="G72" i="10"/>
  <c r="F72" i="10"/>
  <c r="E72" i="10"/>
  <c r="D72" i="10"/>
  <c r="L71" i="10"/>
  <c r="K71" i="10"/>
  <c r="J71" i="10"/>
  <c r="I71" i="10"/>
  <c r="H71" i="10"/>
  <c r="G71" i="10"/>
  <c r="F71" i="10"/>
  <c r="E71" i="10"/>
  <c r="D71" i="10"/>
  <c r="L68" i="10"/>
  <c r="K68" i="10"/>
  <c r="J68" i="10"/>
  <c r="I68" i="10"/>
  <c r="L67" i="10"/>
  <c r="K67" i="10"/>
  <c r="J67" i="10"/>
  <c r="I67" i="10"/>
  <c r="L65" i="10"/>
  <c r="K65" i="10"/>
  <c r="J65" i="10"/>
  <c r="I65" i="10"/>
  <c r="L64" i="10"/>
  <c r="K64" i="10"/>
  <c r="J64" i="10"/>
  <c r="I64" i="10"/>
  <c r="L62" i="10"/>
  <c r="J62" i="10"/>
  <c r="I62" i="10"/>
  <c r="H62" i="10"/>
  <c r="L61" i="10"/>
  <c r="J61" i="10"/>
  <c r="I61" i="10"/>
  <c r="H61" i="10"/>
  <c r="J58" i="10"/>
  <c r="I58" i="10"/>
  <c r="J57" i="10"/>
  <c r="I57" i="10"/>
  <c r="J56" i="10"/>
  <c r="I56" i="10"/>
  <c r="J55" i="10"/>
  <c r="I55" i="10"/>
  <c r="J54" i="10"/>
  <c r="I54" i="10"/>
  <c r="L52" i="10"/>
  <c r="K52" i="10"/>
  <c r="J52" i="10"/>
  <c r="I52" i="10"/>
  <c r="L51" i="10"/>
  <c r="K51" i="10"/>
  <c r="J51" i="10"/>
  <c r="I51" i="10"/>
  <c r="L50" i="10"/>
  <c r="K50" i="10"/>
  <c r="J50" i="10"/>
  <c r="I50" i="10"/>
  <c r="L49" i="10"/>
  <c r="K49" i="10"/>
  <c r="J49" i="10"/>
  <c r="I49" i="10"/>
  <c r="L48" i="10"/>
  <c r="K48" i="10"/>
  <c r="J48" i="10"/>
  <c r="I48" i="10"/>
  <c r="L46" i="10"/>
  <c r="K46" i="10"/>
  <c r="J46" i="10"/>
  <c r="I46" i="10"/>
  <c r="H46" i="10"/>
  <c r="L45" i="10"/>
  <c r="K45" i="10"/>
  <c r="J45" i="10"/>
  <c r="I45" i="10"/>
  <c r="H45" i="10"/>
  <c r="L44" i="10"/>
  <c r="K44" i="10"/>
  <c r="J44" i="10"/>
  <c r="I44" i="10"/>
  <c r="H44" i="10"/>
  <c r="L43" i="10"/>
  <c r="K43" i="10"/>
  <c r="J43" i="10"/>
  <c r="I43" i="10"/>
  <c r="H43" i="10"/>
  <c r="K42" i="10"/>
  <c r="J42" i="10"/>
  <c r="I42" i="10"/>
  <c r="H42" i="10"/>
  <c r="H39" i="10"/>
  <c r="G39" i="10"/>
  <c r="F39" i="10"/>
  <c r="E39" i="10"/>
  <c r="D39" i="10"/>
  <c r="H38" i="10"/>
  <c r="H37" i="10"/>
  <c r="H36" i="10"/>
  <c r="K34" i="10"/>
  <c r="J34" i="10"/>
  <c r="I34" i="10"/>
  <c r="H34" i="10"/>
  <c r="K33" i="10"/>
  <c r="J33" i="10"/>
  <c r="I33" i="10"/>
  <c r="H33" i="10"/>
  <c r="K32" i="10"/>
  <c r="J32" i="10"/>
  <c r="I32" i="10"/>
  <c r="H32" i="10"/>
  <c r="L30" i="10"/>
  <c r="K30" i="10"/>
  <c r="J30" i="10"/>
  <c r="I30" i="10"/>
  <c r="H30" i="10"/>
  <c r="L29" i="10"/>
  <c r="K29" i="10"/>
  <c r="J29" i="10"/>
  <c r="I29" i="10"/>
  <c r="H29" i="10"/>
  <c r="K28" i="10"/>
  <c r="J28" i="10"/>
  <c r="I28" i="10"/>
  <c r="H28" i="10"/>
  <c r="K27" i="10"/>
  <c r="J27" i="10"/>
  <c r="I27" i="10"/>
  <c r="H27" i="10"/>
  <c r="K26" i="10"/>
  <c r="J26" i="10"/>
  <c r="I26" i="10"/>
  <c r="H26" i="10"/>
  <c r="K25" i="10"/>
  <c r="J25" i="10"/>
  <c r="I25" i="10"/>
  <c r="H25" i="10"/>
  <c r="K24" i="10"/>
  <c r="J24" i="10"/>
  <c r="I24" i="10"/>
  <c r="H24" i="10"/>
  <c r="G24" i="10"/>
  <c r="F24" i="10"/>
  <c r="E24" i="10"/>
  <c r="D24" i="10"/>
  <c r="K23" i="10"/>
  <c r="J23" i="10"/>
  <c r="I23" i="10"/>
  <c r="H23" i="10"/>
  <c r="G23" i="10"/>
  <c r="F23" i="10"/>
  <c r="E23" i="10"/>
  <c r="D23" i="10"/>
  <c r="J22" i="10"/>
  <c r="I22" i="10"/>
  <c r="H22" i="10"/>
  <c r="G20" i="10"/>
  <c r="F20" i="10"/>
  <c r="E20" i="10"/>
  <c r="D20" i="10"/>
  <c r="L19" i="10"/>
  <c r="K19" i="10"/>
  <c r="J19" i="10"/>
  <c r="I19" i="10"/>
  <c r="H19" i="10"/>
  <c r="G19" i="10"/>
  <c r="F19" i="10"/>
  <c r="E19" i="10"/>
  <c r="D19" i="10"/>
  <c r="L18" i="10"/>
  <c r="K18" i="10"/>
  <c r="J18" i="10"/>
  <c r="I18" i="10"/>
  <c r="H18" i="10"/>
  <c r="G18" i="10"/>
  <c r="F18" i="10"/>
  <c r="E18" i="10"/>
  <c r="D18" i="10"/>
  <c r="K17" i="10"/>
  <c r="J17" i="10"/>
  <c r="I17" i="10"/>
  <c r="H17" i="10"/>
  <c r="L16" i="10"/>
  <c r="K16" i="10"/>
  <c r="J16" i="10"/>
  <c r="I16" i="10"/>
  <c r="H16" i="10"/>
  <c r="L15" i="10"/>
  <c r="K15" i="10"/>
  <c r="J15" i="10"/>
  <c r="I15" i="10"/>
  <c r="H15" i="10"/>
  <c r="L14" i="10"/>
  <c r="K14" i="10"/>
  <c r="J14" i="10"/>
  <c r="I14" i="10"/>
  <c r="H14" i="10"/>
  <c r="L13" i="10"/>
  <c r="K13" i="10"/>
  <c r="J13" i="10"/>
  <c r="I13" i="10"/>
  <c r="H13" i="10"/>
  <c r="L12" i="10"/>
  <c r="K12" i="10"/>
  <c r="J12" i="10"/>
  <c r="I12" i="10"/>
  <c r="H12" i="10"/>
  <c r="K11" i="10"/>
  <c r="J11" i="10"/>
  <c r="I11" i="10"/>
  <c r="H11" i="10"/>
  <c r="G10" i="10"/>
  <c r="F10" i="10"/>
  <c r="E10" i="10"/>
  <c r="D10" i="10"/>
  <c r="CJ534" i="1"/>
  <c r="CI534" i="1"/>
  <c r="CI532" i="1" s="1"/>
  <c r="CI526" i="1" s="1"/>
  <c r="CG534" i="1"/>
  <c r="CF534" i="1"/>
  <c r="CD534" i="1"/>
  <c r="CC534" i="1"/>
  <c r="CC532" i="1" s="1"/>
  <c r="CC526" i="1" s="1"/>
  <c r="CA534" i="1"/>
  <c r="BZ534" i="1"/>
  <c r="BX534" i="1"/>
  <c r="BW534" i="1"/>
  <c r="BW532" i="1" s="1"/>
  <c r="BW526" i="1" s="1"/>
  <c r="BU534" i="1"/>
  <c r="BT534" i="1"/>
  <c r="BR534" i="1"/>
  <c r="BQ534" i="1"/>
  <c r="BQ532" i="1" s="1"/>
  <c r="BQ526" i="1" s="1"/>
  <c r="BO534" i="1"/>
  <c r="BN534" i="1"/>
  <c r="BL534" i="1"/>
  <c r="BK534" i="1"/>
  <c r="BK532" i="1" s="1"/>
  <c r="BK526" i="1" s="1"/>
  <c r="BI534" i="1"/>
  <c r="BH534" i="1"/>
  <c r="BF534" i="1"/>
  <c r="BE534" i="1"/>
  <c r="BE532" i="1" s="1"/>
  <c r="BE526" i="1" s="1"/>
  <c r="BC534" i="1"/>
  <c r="BB534" i="1"/>
  <c r="AZ534" i="1"/>
  <c r="AY534" i="1"/>
  <c r="AY532" i="1" s="1"/>
  <c r="AY526" i="1" s="1"/>
  <c r="AW534" i="1"/>
  <c r="AV534" i="1"/>
  <c r="AT534" i="1"/>
  <c r="AS534" i="1"/>
  <c r="AS532" i="1" s="1"/>
  <c r="AS526" i="1" s="1"/>
  <c r="AQ534" i="1"/>
  <c r="AP534" i="1"/>
  <c r="AN534" i="1"/>
  <c r="AM534" i="1"/>
  <c r="AM532" i="1" s="1"/>
  <c r="AM526" i="1" s="1"/>
  <c r="AK534" i="1"/>
  <c r="AJ534" i="1"/>
  <c r="AH534" i="1"/>
  <c r="AG534" i="1"/>
  <c r="AG532" i="1" s="1"/>
  <c r="AG526" i="1" s="1"/>
  <c r="AE534" i="1"/>
  <c r="AD534" i="1"/>
  <c r="AB534" i="1"/>
  <c r="AA534" i="1"/>
  <c r="AA532" i="1" s="1"/>
  <c r="AA526" i="1" s="1"/>
  <c r="Y534" i="1"/>
  <c r="X534" i="1"/>
  <c r="V534" i="1"/>
  <c r="U534" i="1"/>
  <c r="U532" i="1" s="1"/>
  <c r="U526" i="1" s="1"/>
  <c r="S534" i="1"/>
  <c r="Q534" i="1" s="1"/>
  <c r="R534" i="1"/>
  <c r="P534" i="1"/>
  <c r="K534" i="1"/>
  <c r="K528" i="1" s="1"/>
  <c r="CJ533" i="1"/>
  <c r="CI533" i="1"/>
  <c r="CG533" i="1"/>
  <c r="CG532" i="1" s="1"/>
  <c r="CG526" i="1" s="1"/>
  <c r="CF533" i="1"/>
  <c r="CF532" i="1" s="1"/>
  <c r="CF526" i="1" s="1"/>
  <c r="CD533" i="1"/>
  <c r="CC533" i="1"/>
  <c r="CA533" i="1"/>
  <c r="CA532" i="1" s="1"/>
  <c r="CA526" i="1" s="1"/>
  <c r="BZ533" i="1"/>
  <c r="BZ532" i="1" s="1"/>
  <c r="BZ526" i="1" s="1"/>
  <c r="BX533" i="1"/>
  <c r="BW533" i="1"/>
  <c r="BU533" i="1"/>
  <c r="BU532" i="1" s="1"/>
  <c r="BU526" i="1" s="1"/>
  <c r="BT533" i="1"/>
  <c r="BT532" i="1" s="1"/>
  <c r="BT526" i="1" s="1"/>
  <c r="BR533" i="1"/>
  <c r="BQ533" i="1"/>
  <c r="BO533" i="1"/>
  <c r="BO532" i="1" s="1"/>
  <c r="BO526" i="1" s="1"/>
  <c r="BN533" i="1"/>
  <c r="BN532" i="1" s="1"/>
  <c r="BN526" i="1" s="1"/>
  <c r="BL533" i="1"/>
  <c r="BK533" i="1"/>
  <c r="BI533" i="1"/>
  <c r="BI532" i="1" s="1"/>
  <c r="BI526" i="1" s="1"/>
  <c r="BH533" i="1"/>
  <c r="BH532" i="1" s="1"/>
  <c r="BH526" i="1" s="1"/>
  <c r="BF533" i="1"/>
  <c r="BE533" i="1"/>
  <c r="BC533" i="1"/>
  <c r="BC532" i="1" s="1"/>
  <c r="BC526" i="1" s="1"/>
  <c r="BB533" i="1"/>
  <c r="BB532" i="1" s="1"/>
  <c r="BB526" i="1" s="1"/>
  <c r="AZ533" i="1"/>
  <c r="AY533" i="1"/>
  <c r="AW533" i="1"/>
  <c r="AW532" i="1" s="1"/>
  <c r="AW526" i="1" s="1"/>
  <c r="AV533" i="1"/>
  <c r="AV532" i="1" s="1"/>
  <c r="AV526" i="1" s="1"/>
  <c r="AT533" i="1"/>
  <c r="AS533" i="1"/>
  <c r="AQ533" i="1"/>
  <c r="AQ532" i="1" s="1"/>
  <c r="AQ526" i="1" s="1"/>
  <c r="AP533" i="1"/>
  <c r="AP532" i="1" s="1"/>
  <c r="AP526" i="1" s="1"/>
  <c r="AN533" i="1"/>
  <c r="AM533" i="1"/>
  <c r="AK533" i="1"/>
  <c r="AK532" i="1" s="1"/>
  <c r="AK526" i="1" s="1"/>
  <c r="AJ533" i="1"/>
  <c r="AJ532" i="1" s="1"/>
  <c r="AJ526" i="1" s="1"/>
  <c r="AH533" i="1"/>
  <c r="AG533" i="1"/>
  <c r="AE533" i="1"/>
  <c r="AE532" i="1" s="1"/>
  <c r="AE526" i="1" s="1"/>
  <c r="AD533" i="1"/>
  <c r="AD532" i="1" s="1"/>
  <c r="AD526" i="1" s="1"/>
  <c r="AB533" i="1"/>
  <c r="AA533" i="1"/>
  <c r="Y533" i="1"/>
  <c r="Y532" i="1" s="1"/>
  <c r="Y526" i="1" s="1"/>
  <c r="X533" i="1"/>
  <c r="X532" i="1" s="1"/>
  <c r="X526" i="1" s="1"/>
  <c r="V533" i="1"/>
  <c r="U533" i="1"/>
  <c r="S533" i="1"/>
  <c r="S532" i="1" s="1"/>
  <c r="S526" i="1" s="1"/>
  <c r="R533" i="1"/>
  <c r="P533" i="1" s="1"/>
  <c r="K533" i="1"/>
  <c r="CJ532" i="1"/>
  <c r="CD532" i="1"/>
  <c r="BX532" i="1"/>
  <c r="BR532" i="1"/>
  <c r="BL532" i="1"/>
  <c r="BF532" i="1"/>
  <c r="AZ532" i="1"/>
  <c r="AT532" i="1"/>
  <c r="AN532" i="1"/>
  <c r="AH532" i="1"/>
  <c r="AB532" i="1"/>
  <c r="V532" i="1"/>
  <c r="M532" i="1"/>
  <c r="L532" i="1"/>
  <c r="K532" i="1"/>
  <c r="J532" i="1"/>
  <c r="I532" i="1"/>
  <c r="H532" i="1"/>
  <c r="G532" i="1"/>
  <c r="F532" i="1"/>
  <c r="E532" i="1"/>
  <c r="Q531" i="1"/>
  <c r="P531" i="1"/>
  <c r="P528" i="1" s="1"/>
  <c r="Q530" i="1"/>
  <c r="P530" i="1"/>
  <c r="CJ529" i="1"/>
  <c r="CI529" i="1"/>
  <c r="CG529" i="1"/>
  <c r="CF529" i="1"/>
  <c r="CD529" i="1"/>
  <c r="CC529" i="1"/>
  <c r="CA529" i="1"/>
  <c r="BZ529" i="1"/>
  <c r="BX529" i="1"/>
  <c r="BW529" i="1"/>
  <c r="BU529" i="1"/>
  <c r="BT529" i="1"/>
  <c r="BR529" i="1"/>
  <c r="BQ529" i="1"/>
  <c r="BO529" i="1"/>
  <c r="BN529" i="1"/>
  <c r="BL529" i="1"/>
  <c r="BK529" i="1"/>
  <c r="BI529" i="1"/>
  <c r="BH529" i="1"/>
  <c r="BF529" i="1"/>
  <c r="BE529" i="1"/>
  <c r="BC529" i="1"/>
  <c r="BB529" i="1"/>
  <c r="AZ529" i="1"/>
  <c r="AY529" i="1"/>
  <c r="AW529" i="1"/>
  <c r="AV529" i="1"/>
  <c r="AT529" i="1"/>
  <c r="AS529" i="1"/>
  <c r="AQ529" i="1"/>
  <c r="AP529" i="1"/>
  <c r="AN529" i="1"/>
  <c r="AM529" i="1"/>
  <c r="AK529" i="1"/>
  <c r="AJ529" i="1"/>
  <c r="AH529" i="1"/>
  <c r="AG529" i="1"/>
  <c r="AE529" i="1"/>
  <c r="AD529" i="1"/>
  <c r="AB529" i="1"/>
  <c r="AA529" i="1"/>
  <c r="Y529" i="1"/>
  <c r="X529" i="1"/>
  <c r="V529" i="1"/>
  <c r="U529" i="1"/>
  <c r="S529" i="1"/>
  <c r="R529" i="1"/>
  <c r="Q529" i="1"/>
  <c r="P529" i="1"/>
  <c r="M529" i="1"/>
  <c r="L529" i="1"/>
  <c r="K529" i="1"/>
  <c r="J529" i="1"/>
  <c r="I529" i="1"/>
  <c r="H529" i="1"/>
  <c r="G529" i="1"/>
  <c r="F529" i="1"/>
  <c r="E529" i="1"/>
  <c r="CJ528" i="1"/>
  <c r="CI528" i="1"/>
  <c r="CG528" i="1"/>
  <c r="CF528" i="1"/>
  <c r="CD528" i="1"/>
  <c r="CC528" i="1"/>
  <c r="CA528" i="1"/>
  <c r="BZ528" i="1"/>
  <c r="BX528" i="1"/>
  <c r="BW528" i="1"/>
  <c r="BU528" i="1"/>
  <c r="BT528" i="1"/>
  <c r="BR528" i="1"/>
  <c r="BQ528" i="1"/>
  <c r="BO528" i="1"/>
  <c r="BN528" i="1"/>
  <c r="BL528" i="1"/>
  <c r="BK528" i="1"/>
  <c r="BI528" i="1"/>
  <c r="BH528" i="1"/>
  <c r="BF528" i="1"/>
  <c r="BE528" i="1"/>
  <c r="BC528" i="1"/>
  <c r="BB528" i="1"/>
  <c r="AZ528" i="1"/>
  <c r="AY528" i="1"/>
  <c r="AW528" i="1"/>
  <c r="AV528" i="1"/>
  <c r="AT528" i="1"/>
  <c r="AS528" i="1"/>
  <c r="AQ528" i="1"/>
  <c r="AP528" i="1"/>
  <c r="AN528" i="1"/>
  <c r="AM528" i="1"/>
  <c r="AK528" i="1"/>
  <c r="AJ528" i="1"/>
  <c r="AH528" i="1"/>
  <c r="AG528" i="1"/>
  <c r="AE528" i="1"/>
  <c r="AD528" i="1"/>
  <c r="AB528" i="1"/>
  <c r="AA528" i="1"/>
  <c r="Y528" i="1"/>
  <c r="X528" i="1"/>
  <c r="V528" i="1"/>
  <c r="U528" i="1"/>
  <c r="S528" i="1"/>
  <c r="R528" i="1"/>
  <c r="M528" i="1"/>
  <c r="L528" i="1"/>
  <c r="J528" i="1"/>
  <c r="I528" i="1"/>
  <c r="H528" i="1"/>
  <c r="G528" i="1"/>
  <c r="E528" i="1"/>
  <c r="CJ527" i="1"/>
  <c r="CI527" i="1"/>
  <c r="CG527" i="1"/>
  <c r="CF527" i="1"/>
  <c r="CD527" i="1"/>
  <c r="CC527" i="1"/>
  <c r="CA527" i="1"/>
  <c r="BZ527" i="1"/>
  <c r="BX527" i="1"/>
  <c r="BW527" i="1"/>
  <c r="BU527" i="1"/>
  <c r="BT527" i="1"/>
  <c r="BR527" i="1"/>
  <c r="BQ527" i="1"/>
  <c r="BO527" i="1"/>
  <c r="BN527" i="1"/>
  <c r="BL527" i="1"/>
  <c r="BK527" i="1"/>
  <c r="BI527" i="1"/>
  <c r="BH527" i="1"/>
  <c r="BF527" i="1"/>
  <c r="BE527" i="1"/>
  <c r="BC527" i="1"/>
  <c r="BB527" i="1"/>
  <c r="AZ527" i="1"/>
  <c r="AY527" i="1"/>
  <c r="AW527" i="1"/>
  <c r="AV527" i="1"/>
  <c r="AT527" i="1"/>
  <c r="AS527" i="1"/>
  <c r="AQ527" i="1"/>
  <c r="AP527" i="1"/>
  <c r="AN527" i="1"/>
  <c r="AM527" i="1"/>
  <c r="AK527" i="1"/>
  <c r="AJ527" i="1"/>
  <c r="AH527" i="1"/>
  <c r="AG527" i="1"/>
  <c r="AE527" i="1"/>
  <c r="AD527" i="1"/>
  <c r="AB527" i="1"/>
  <c r="AA527" i="1"/>
  <c r="Y527" i="1"/>
  <c r="X527" i="1"/>
  <c r="V527" i="1"/>
  <c r="U527" i="1"/>
  <c r="S527" i="1"/>
  <c r="R527" i="1"/>
  <c r="M527" i="1"/>
  <c r="L527" i="1"/>
  <c r="K527" i="1"/>
  <c r="J527" i="1"/>
  <c r="I527" i="1"/>
  <c r="H527" i="1"/>
  <c r="G527" i="1"/>
  <c r="F527" i="1"/>
  <c r="E527" i="1"/>
  <c r="CJ526" i="1"/>
  <c r="CD526" i="1"/>
  <c r="BX526" i="1"/>
  <c r="BR526" i="1"/>
  <c r="BL526" i="1"/>
  <c r="BF526" i="1"/>
  <c r="AZ526" i="1"/>
  <c r="AT526" i="1"/>
  <c r="AN526" i="1"/>
  <c r="AH526" i="1"/>
  <c r="AB526" i="1"/>
  <c r="V526" i="1"/>
  <c r="M526" i="1"/>
  <c r="L526" i="1"/>
  <c r="K526" i="1"/>
  <c r="J526" i="1"/>
  <c r="I526" i="1"/>
  <c r="H526" i="1"/>
  <c r="G526" i="1"/>
  <c r="F526" i="1"/>
  <c r="E526" i="1"/>
  <c r="Q525" i="1"/>
  <c r="P525" i="1"/>
  <c r="Q524" i="1"/>
  <c r="Q523" i="1" s="1"/>
  <c r="P524" i="1"/>
  <c r="CJ523" i="1"/>
  <c r="CI523" i="1"/>
  <c r="CG523" i="1"/>
  <c r="CF523" i="1"/>
  <c r="CD523" i="1"/>
  <c r="CC523" i="1"/>
  <c r="CA523" i="1"/>
  <c r="BZ523" i="1"/>
  <c r="BX523" i="1"/>
  <c r="BW523" i="1"/>
  <c r="BU523" i="1"/>
  <c r="BT523" i="1"/>
  <c r="BR523" i="1"/>
  <c r="BQ523" i="1"/>
  <c r="BO523" i="1"/>
  <c r="BN523" i="1"/>
  <c r="BL523" i="1"/>
  <c r="BK523" i="1"/>
  <c r="BI523" i="1"/>
  <c r="BH523" i="1"/>
  <c r="BF523" i="1"/>
  <c r="BE523" i="1"/>
  <c r="BC523" i="1"/>
  <c r="BB523" i="1"/>
  <c r="AZ523" i="1"/>
  <c r="AY523" i="1"/>
  <c r="AW523" i="1"/>
  <c r="AV523" i="1"/>
  <c r="AT523" i="1"/>
  <c r="AS523" i="1"/>
  <c r="AQ523" i="1"/>
  <c r="AP523" i="1"/>
  <c r="AN523" i="1"/>
  <c r="AM523" i="1"/>
  <c r="AK523" i="1"/>
  <c r="AJ523" i="1"/>
  <c r="AH523" i="1"/>
  <c r="AG523" i="1"/>
  <c r="AE523" i="1"/>
  <c r="AD523" i="1"/>
  <c r="AB523" i="1"/>
  <c r="AA523" i="1"/>
  <c r="Y523" i="1"/>
  <c r="X523" i="1"/>
  <c r="V523" i="1"/>
  <c r="U523" i="1"/>
  <c r="S523" i="1"/>
  <c r="R523" i="1"/>
  <c r="P523" i="1"/>
  <c r="M523" i="1"/>
  <c r="L523" i="1"/>
  <c r="K523" i="1"/>
  <c r="J523" i="1"/>
  <c r="I523" i="1"/>
  <c r="H523" i="1"/>
  <c r="G523" i="1"/>
  <c r="F523" i="1"/>
  <c r="E523" i="1"/>
  <c r="Q522" i="1"/>
  <c r="P522" i="1"/>
  <c r="Q521" i="1"/>
  <c r="Q520" i="1" s="1"/>
  <c r="P521" i="1"/>
  <c r="P520" i="1" s="1"/>
  <c r="P517" i="1" s="1"/>
  <c r="CJ520" i="1"/>
  <c r="CI520" i="1"/>
  <c r="CG520" i="1"/>
  <c r="CF520" i="1"/>
  <c r="CF517" i="1" s="1"/>
  <c r="CD520" i="1"/>
  <c r="CC520" i="1"/>
  <c r="CA520" i="1"/>
  <c r="BZ520" i="1"/>
  <c r="BZ517" i="1" s="1"/>
  <c r="BX520" i="1"/>
  <c r="BW520" i="1"/>
  <c r="BU520" i="1"/>
  <c r="BT520" i="1"/>
  <c r="BT517" i="1" s="1"/>
  <c r="BR520" i="1"/>
  <c r="BQ520" i="1"/>
  <c r="BO520" i="1"/>
  <c r="BN520" i="1"/>
  <c r="BN517" i="1" s="1"/>
  <c r="BL520" i="1"/>
  <c r="BK520" i="1"/>
  <c r="BI520" i="1"/>
  <c r="BH520" i="1"/>
  <c r="BH517" i="1" s="1"/>
  <c r="BF520" i="1"/>
  <c r="BE520" i="1"/>
  <c r="BC520" i="1"/>
  <c r="BB520" i="1"/>
  <c r="BB517" i="1" s="1"/>
  <c r="AZ520" i="1"/>
  <c r="AY520" i="1"/>
  <c r="AW520" i="1"/>
  <c r="AV520" i="1"/>
  <c r="AV517" i="1" s="1"/>
  <c r="AT520" i="1"/>
  <c r="AS520" i="1"/>
  <c r="AQ520" i="1"/>
  <c r="AP520" i="1"/>
  <c r="AP517" i="1" s="1"/>
  <c r="AN520" i="1"/>
  <c r="AM520" i="1"/>
  <c r="AK520" i="1"/>
  <c r="AJ520" i="1"/>
  <c r="AJ517" i="1" s="1"/>
  <c r="AH520" i="1"/>
  <c r="AG520" i="1"/>
  <c r="AE520" i="1"/>
  <c r="AD520" i="1"/>
  <c r="AD517" i="1" s="1"/>
  <c r="AB520" i="1"/>
  <c r="AA520" i="1"/>
  <c r="Y520" i="1"/>
  <c r="X520" i="1"/>
  <c r="X517" i="1" s="1"/>
  <c r="V520" i="1"/>
  <c r="U520" i="1"/>
  <c r="S520" i="1"/>
  <c r="R520" i="1"/>
  <c r="R517" i="1" s="1"/>
  <c r="M520" i="1"/>
  <c r="L520" i="1"/>
  <c r="L517" i="1" s="1"/>
  <c r="K520" i="1"/>
  <c r="J520" i="1"/>
  <c r="I520" i="1"/>
  <c r="H520" i="1"/>
  <c r="H517" i="1" s="1"/>
  <c r="G520" i="1"/>
  <c r="F520" i="1"/>
  <c r="E520" i="1"/>
  <c r="CJ519" i="1"/>
  <c r="CI519" i="1"/>
  <c r="CG519" i="1"/>
  <c r="CF519" i="1"/>
  <c r="CD519" i="1"/>
  <c r="CC519" i="1"/>
  <c r="CA519" i="1"/>
  <c r="BZ519" i="1"/>
  <c r="BX519" i="1"/>
  <c r="BW519" i="1"/>
  <c r="BU519" i="1"/>
  <c r="BT519" i="1"/>
  <c r="BR519" i="1"/>
  <c r="BQ519" i="1"/>
  <c r="BO519" i="1"/>
  <c r="BN519" i="1"/>
  <c r="BL519" i="1"/>
  <c r="BK519" i="1"/>
  <c r="BI519" i="1"/>
  <c r="BH519" i="1"/>
  <c r="BF519" i="1"/>
  <c r="BE519" i="1"/>
  <c r="BC519" i="1"/>
  <c r="BB519" i="1"/>
  <c r="AZ519" i="1"/>
  <c r="AY519" i="1"/>
  <c r="AW519" i="1"/>
  <c r="AV519" i="1"/>
  <c r="AT519" i="1"/>
  <c r="AS519" i="1"/>
  <c r="AQ519" i="1"/>
  <c r="AP519" i="1"/>
  <c r="AN519" i="1"/>
  <c r="AM519" i="1"/>
  <c r="AK519" i="1"/>
  <c r="AJ519" i="1"/>
  <c r="AH519" i="1"/>
  <c r="AG519" i="1"/>
  <c r="AE519" i="1"/>
  <c r="AD519" i="1"/>
  <c r="AB519" i="1"/>
  <c r="AA519" i="1"/>
  <c r="Y519" i="1"/>
  <c r="X519" i="1"/>
  <c r="V519" i="1"/>
  <c r="U519" i="1"/>
  <c r="S519" i="1"/>
  <c r="R519" i="1"/>
  <c r="Q519" i="1"/>
  <c r="P519" i="1"/>
  <c r="M519" i="1"/>
  <c r="L519" i="1"/>
  <c r="K519" i="1"/>
  <c r="J519" i="1"/>
  <c r="I519" i="1"/>
  <c r="H519" i="1"/>
  <c r="G519" i="1"/>
  <c r="F519" i="1"/>
  <c r="E519" i="1"/>
  <c r="CJ518" i="1"/>
  <c r="CI518" i="1"/>
  <c r="CG518" i="1"/>
  <c r="CF518" i="1"/>
  <c r="CD518" i="1"/>
  <c r="CC518" i="1"/>
  <c r="CA518" i="1"/>
  <c r="BZ518" i="1"/>
  <c r="BX518" i="1"/>
  <c r="BW518" i="1"/>
  <c r="BU518" i="1"/>
  <c r="BT518" i="1"/>
  <c r="BR518" i="1"/>
  <c r="BQ518" i="1"/>
  <c r="BO518" i="1"/>
  <c r="BN518" i="1"/>
  <c r="BL518" i="1"/>
  <c r="BK518" i="1"/>
  <c r="BI518" i="1"/>
  <c r="BH518" i="1"/>
  <c r="BF518" i="1"/>
  <c r="BE518" i="1"/>
  <c r="BC518" i="1"/>
  <c r="BB518" i="1"/>
  <c r="AZ518" i="1"/>
  <c r="AY518" i="1"/>
  <c r="AW518" i="1"/>
  <c r="AV518" i="1"/>
  <c r="AT518" i="1"/>
  <c r="AS518" i="1"/>
  <c r="AQ518" i="1"/>
  <c r="AP518" i="1"/>
  <c r="AN518" i="1"/>
  <c r="AM518" i="1"/>
  <c r="AK518" i="1"/>
  <c r="AJ518" i="1"/>
  <c r="AH518" i="1"/>
  <c r="AG518" i="1"/>
  <c r="AE518" i="1"/>
  <c r="AD518" i="1"/>
  <c r="AB518" i="1"/>
  <c r="AA518" i="1"/>
  <c r="Y518" i="1"/>
  <c r="X518" i="1"/>
  <c r="V518" i="1"/>
  <c r="U518" i="1"/>
  <c r="S518" i="1"/>
  <c r="R518" i="1"/>
  <c r="Q518" i="1"/>
  <c r="P518" i="1"/>
  <c r="M518" i="1"/>
  <c r="L518" i="1"/>
  <c r="K518" i="1"/>
  <c r="J518" i="1"/>
  <c r="I518" i="1"/>
  <c r="H518" i="1"/>
  <c r="G518" i="1"/>
  <c r="F518" i="1"/>
  <c r="E518" i="1"/>
  <c r="CJ517" i="1"/>
  <c r="CI517" i="1"/>
  <c r="CG517" i="1"/>
  <c r="CD517" i="1"/>
  <c r="CC517" i="1"/>
  <c r="CA517" i="1"/>
  <c r="BX517" i="1"/>
  <c r="BW517" i="1"/>
  <c r="BU517" i="1"/>
  <c r="BR517" i="1"/>
  <c r="BQ517" i="1"/>
  <c r="BO517" i="1"/>
  <c r="BL517" i="1"/>
  <c r="BK517" i="1"/>
  <c r="BI517" i="1"/>
  <c r="BF517" i="1"/>
  <c r="BE517" i="1"/>
  <c r="BC517" i="1"/>
  <c r="AZ517" i="1"/>
  <c r="AY517" i="1"/>
  <c r="AW517" i="1"/>
  <c r="AT517" i="1"/>
  <c r="AS517" i="1"/>
  <c r="AQ517" i="1"/>
  <c r="AN517" i="1"/>
  <c r="AM517" i="1"/>
  <c r="AK517" i="1"/>
  <c r="AH517" i="1"/>
  <c r="AG517" i="1"/>
  <c r="AE517" i="1"/>
  <c r="AB517" i="1"/>
  <c r="AA517" i="1"/>
  <c r="Y517" i="1"/>
  <c r="V517" i="1"/>
  <c r="U517" i="1"/>
  <c r="S517" i="1"/>
  <c r="M517" i="1"/>
  <c r="K517" i="1"/>
  <c r="J517" i="1"/>
  <c r="I517" i="1"/>
  <c r="G517" i="1"/>
  <c r="F517" i="1"/>
  <c r="E517" i="1"/>
  <c r="G506" i="1"/>
  <c r="G503" i="1"/>
  <c r="M501" i="1"/>
  <c r="L501" i="1"/>
  <c r="K501" i="1"/>
  <c r="J501" i="1"/>
  <c r="I501" i="1"/>
  <c r="H501" i="1"/>
  <c r="G501" i="1"/>
  <c r="F501" i="1"/>
  <c r="E501" i="1"/>
  <c r="M500" i="1"/>
  <c r="L500" i="1"/>
  <c r="K500" i="1"/>
  <c r="J500" i="1"/>
  <c r="I500" i="1"/>
  <c r="H500" i="1"/>
  <c r="G500" i="1"/>
  <c r="F500" i="1"/>
  <c r="E500" i="1"/>
  <c r="G497" i="1"/>
  <c r="F497" i="1"/>
  <c r="G494" i="1"/>
  <c r="M492" i="1"/>
  <c r="L492" i="1"/>
  <c r="K492" i="1"/>
  <c r="J492" i="1"/>
  <c r="I492" i="1"/>
  <c r="H492" i="1"/>
  <c r="G492" i="1"/>
  <c r="F492" i="1"/>
  <c r="E492" i="1"/>
  <c r="M491" i="1"/>
  <c r="L491" i="1"/>
  <c r="K491" i="1"/>
  <c r="J491" i="1"/>
  <c r="I491" i="1"/>
  <c r="H491" i="1"/>
  <c r="F491" i="1"/>
  <c r="E491" i="1"/>
  <c r="CJ488" i="1"/>
  <c r="CG488" i="1"/>
  <c r="CD488" i="1"/>
  <c r="CA488" i="1"/>
  <c r="CA460" i="1" s="1"/>
  <c r="BX488" i="1"/>
  <c r="BU488" i="1"/>
  <c r="BR488" i="1"/>
  <c r="BO488" i="1"/>
  <c r="BO460" i="1" s="1"/>
  <c r="BL488" i="1"/>
  <c r="BI488" i="1"/>
  <c r="BF488" i="1"/>
  <c r="BC488" i="1"/>
  <c r="AZ488" i="1"/>
  <c r="AW488" i="1"/>
  <c r="AT488" i="1"/>
  <c r="AQ488" i="1"/>
  <c r="AN488" i="1"/>
  <c r="AK488" i="1"/>
  <c r="AH488" i="1"/>
  <c r="AE488" i="1"/>
  <c r="AB488" i="1"/>
  <c r="Y488" i="1"/>
  <c r="V488" i="1"/>
  <c r="S488" i="1"/>
  <c r="Q488" i="1" s="1"/>
  <c r="P488" i="1"/>
  <c r="CJ487" i="1"/>
  <c r="CG487" i="1"/>
  <c r="CD487" i="1"/>
  <c r="CA487" i="1"/>
  <c r="BX487" i="1"/>
  <c r="BU487" i="1"/>
  <c r="BR487" i="1"/>
  <c r="BO487" i="1"/>
  <c r="BL487" i="1"/>
  <c r="BI487" i="1"/>
  <c r="BF487" i="1"/>
  <c r="BC487" i="1"/>
  <c r="AZ487" i="1"/>
  <c r="AW487" i="1"/>
  <c r="AT487" i="1"/>
  <c r="AQ487" i="1"/>
  <c r="AN487" i="1"/>
  <c r="AK487" i="1"/>
  <c r="AH487" i="1"/>
  <c r="AE487" i="1"/>
  <c r="AB487" i="1"/>
  <c r="Y487" i="1"/>
  <c r="Q487" i="1" s="1"/>
  <c r="Q459" i="1" s="1"/>
  <c r="V487" i="1"/>
  <c r="S487" i="1"/>
  <c r="P487" i="1"/>
  <c r="M487" i="1"/>
  <c r="L487" i="1"/>
  <c r="K487" i="1"/>
  <c r="J487" i="1"/>
  <c r="J459" i="1" s="1"/>
  <c r="CJ486" i="1"/>
  <c r="CG486" i="1"/>
  <c r="CD486" i="1"/>
  <c r="CA486" i="1"/>
  <c r="BX486" i="1"/>
  <c r="BU486" i="1"/>
  <c r="BR486" i="1"/>
  <c r="BO486" i="1"/>
  <c r="BL486" i="1"/>
  <c r="BI486" i="1"/>
  <c r="BF486" i="1"/>
  <c r="BC486" i="1"/>
  <c r="AZ486" i="1"/>
  <c r="AW486" i="1"/>
  <c r="AT486" i="1"/>
  <c r="AQ486" i="1"/>
  <c r="AN486" i="1"/>
  <c r="AK486" i="1"/>
  <c r="AH486" i="1"/>
  <c r="AE486" i="1"/>
  <c r="AB486" i="1"/>
  <c r="Y486" i="1"/>
  <c r="V486" i="1"/>
  <c r="S486" i="1"/>
  <c r="Q486" i="1" s="1"/>
  <c r="P486" i="1"/>
  <c r="M486" i="1"/>
  <c r="L486" i="1"/>
  <c r="K486" i="1"/>
  <c r="K458" i="1" s="1"/>
  <c r="J486" i="1"/>
  <c r="CJ485" i="1"/>
  <c r="CG485" i="1"/>
  <c r="CD485" i="1"/>
  <c r="CA485" i="1"/>
  <c r="BX485" i="1"/>
  <c r="BU485" i="1"/>
  <c r="BR485" i="1"/>
  <c r="BO485" i="1"/>
  <c r="BL485" i="1"/>
  <c r="BI485" i="1"/>
  <c r="BF485" i="1"/>
  <c r="BC485" i="1"/>
  <c r="AZ485" i="1"/>
  <c r="AW485" i="1"/>
  <c r="AT485" i="1"/>
  <c r="AQ485" i="1"/>
  <c r="AN485" i="1"/>
  <c r="AK485" i="1"/>
  <c r="AH485" i="1"/>
  <c r="AE485" i="1"/>
  <c r="AB485" i="1"/>
  <c r="Y485" i="1"/>
  <c r="Q485" i="1" s="1"/>
  <c r="V485" i="1"/>
  <c r="S485" i="1"/>
  <c r="P485" i="1"/>
  <c r="M485" i="1"/>
  <c r="L485" i="1"/>
  <c r="K485" i="1"/>
  <c r="J485" i="1"/>
  <c r="CJ484" i="1"/>
  <c r="CG484" i="1"/>
  <c r="CD484" i="1"/>
  <c r="CD482" i="1" s="1"/>
  <c r="CA484" i="1"/>
  <c r="CA482" i="1" s="1"/>
  <c r="BX484" i="1"/>
  <c r="BU484" i="1"/>
  <c r="BR484" i="1"/>
  <c r="BR482" i="1" s="1"/>
  <c r="BO484" i="1"/>
  <c r="BO482" i="1" s="1"/>
  <c r="BL484" i="1"/>
  <c r="BI484" i="1"/>
  <c r="BF484" i="1"/>
  <c r="BF482" i="1" s="1"/>
  <c r="BC484" i="1"/>
  <c r="BC482" i="1" s="1"/>
  <c r="AZ484" i="1"/>
  <c r="AW484" i="1"/>
  <c r="AT484" i="1"/>
  <c r="AT482" i="1" s="1"/>
  <c r="AQ484" i="1"/>
  <c r="AQ482" i="1" s="1"/>
  <c r="AN484" i="1"/>
  <c r="AK484" i="1"/>
  <c r="AH484" i="1"/>
  <c r="AH482" i="1" s="1"/>
  <c r="AE484" i="1"/>
  <c r="AE482" i="1" s="1"/>
  <c r="AB484" i="1"/>
  <c r="Y484" i="1"/>
  <c r="V484" i="1"/>
  <c r="V482" i="1" s="1"/>
  <c r="S484" i="1"/>
  <c r="S482" i="1" s="1"/>
  <c r="P484" i="1"/>
  <c r="M484" i="1"/>
  <c r="L484" i="1"/>
  <c r="K484" i="1"/>
  <c r="J484" i="1"/>
  <c r="CJ483" i="1"/>
  <c r="CJ482" i="1" s="1"/>
  <c r="CG483" i="1"/>
  <c r="CG482" i="1" s="1"/>
  <c r="CD483" i="1"/>
  <c r="CA483" i="1"/>
  <c r="BX483" i="1"/>
  <c r="BX482" i="1" s="1"/>
  <c r="BU483" i="1"/>
  <c r="BU482" i="1" s="1"/>
  <c r="BR483" i="1"/>
  <c r="BO483" i="1"/>
  <c r="BL483" i="1"/>
  <c r="BL482" i="1" s="1"/>
  <c r="BI483" i="1"/>
  <c r="BI482" i="1" s="1"/>
  <c r="BF483" i="1"/>
  <c r="BC483" i="1"/>
  <c r="AZ483" i="1"/>
  <c r="AZ482" i="1" s="1"/>
  <c r="AW483" i="1"/>
  <c r="AW482" i="1" s="1"/>
  <c r="AT483" i="1"/>
  <c r="AQ483" i="1"/>
  <c r="AN483" i="1"/>
  <c r="AN482" i="1" s="1"/>
  <c r="AK483" i="1"/>
  <c r="AK482" i="1" s="1"/>
  <c r="AH483" i="1"/>
  <c r="AE483" i="1"/>
  <c r="AB483" i="1"/>
  <c r="AB482" i="1" s="1"/>
  <c r="Y483" i="1"/>
  <c r="Q483" i="1" s="1"/>
  <c r="V483" i="1"/>
  <c r="S483" i="1"/>
  <c r="P483" i="1"/>
  <c r="P482" i="1" s="1"/>
  <c r="M483" i="1"/>
  <c r="L483" i="1"/>
  <c r="K483" i="1"/>
  <c r="J483" i="1"/>
  <c r="CI482" i="1"/>
  <c r="CF482" i="1"/>
  <c r="CC482" i="1"/>
  <c r="BZ482" i="1"/>
  <c r="BW482" i="1"/>
  <c r="BT482" i="1"/>
  <c r="BQ482" i="1"/>
  <c r="BN482" i="1"/>
  <c r="BK482" i="1"/>
  <c r="BH482" i="1"/>
  <c r="BE482" i="1"/>
  <c r="BB482" i="1"/>
  <c r="AY482" i="1"/>
  <c r="AV482" i="1"/>
  <c r="AS482" i="1"/>
  <c r="AP482" i="1"/>
  <c r="AM482" i="1"/>
  <c r="AJ482" i="1"/>
  <c r="AG482" i="1"/>
  <c r="AD482" i="1"/>
  <c r="AA482" i="1"/>
  <c r="X482" i="1"/>
  <c r="U482" i="1"/>
  <c r="R482" i="1"/>
  <c r="I482" i="1"/>
  <c r="Q481" i="1"/>
  <c r="Q460" i="1" s="1"/>
  <c r="P481" i="1"/>
  <c r="Q480" i="1"/>
  <c r="P480" i="1"/>
  <c r="Q479" i="1"/>
  <c r="Q458" i="1" s="1"/>
  <c r="P479" i="1"/>
  <c r="Q478" i="1"/>
  <c r="P478" i="1"/>
  <c r="Q477" i="1"/>
  <c r="P477" i="1"/>
  <c r="Q476" i="1"/>
  <c r="P476" i="1"/>
  <c r="P475" i="1" s="1"/>
  <c r="CJ475" i="1"/>
  <c r="CI475" i="1"/>
  <c r="CG475" i="1"/>
  <c r="CF475" i="1"/>
  <c r="CD475" i="1"/>
  <c r="CC475" i="1"/>
  <c r="CA475" i="1"/>
  <c r="BZ475" i="1"/>
  <c r="BX475" i="1"/>
  <c r="BW475" i="1"/>
  <c r="BU475" i="1"/>
  <c r="BT475" i="1"/>
  <c r="BR475" i="1"/>
  <c r="BQ475" i="1"/>
  <c r="BO475" i="1"/>
  <c r="BN475" i="1"/>
  <c r="BL475" i="1"/>
  <c r="BK475" i="1"/>
  <c r="BI475" i="1"/>
  <c r="BH475" i="1"/>
  <c r="BF475" i="1"/>
  <c r="BE475" i="1"/>
  <c r="BC475" i="1"/>
  <c r="BB475" i="1"/>
  <c r="AZ475" i="1"/>
  <c r="AY475" i="1"/>
  <c r="AW475" i="1"/>
  <c r="AV475" i="1"/>
  <c r="AT475" i="1"/>
  <c r="AS475" i="1"/>
  <c r="AQ475" i="1"/>
  <c r="AP475" i="1"/>
  <c r="AN475" i="1"/>
  <c r="AM475" i="1"/>
  <c r="AK475" i="1"/>
  <c r="AJ475" i="1"/>
  <c r="AH475" i="1"/>
  <c r="AG475" i="1"/>
  <c r="AE475" i="1"/>
  <c r="AD475" i="1"/>
  <c r="AB475" i="1"/>
  <c r="AA475" i="1"/>
  <c r="Y475" i="1"/>
  <c r="X475" i="1"/>
  <c r="V475" i="1"/>
  <c r="U475" i="1"/>
  <c r="S475" i="1"/>
  <c r="R475" i="1"/>
  <c r="Q475" i="1"/>
  <c r="M475" i="1"/>
  <c r="L475" i="1"/>
  <c r="K475" i="1"/>
  <c r="J475" i="1"/>
  <c r="I475" i="1"/>
  <c r="M472" i="1"/>
  <c r="L472" i="1"/>
  <c r="K472" i="1"/>
  <c r="J472" i="1"/>
  <c r="I472" i="1"/>
  <c r="H472" i="1"/>
  <c r="M469" i="1"/>
  <c r="M448" i="1" s="1"/>
  <c r="L469" i="1"/>
  <c r="K469" i="1"/>
  <c r="J469" i="1"/>
  <c r="I469" i="1"/>
  <c r="I448" i="1" s="1"/>
  <c r="H469" i="1"/>
  <c r="M465" i="1"/>
  <c r="L465" i="1"/>
  <c r="K465" i="1"/>
  <c r="K452" i="1" s="1"/>
  <c r="J465" i="1"/>
  <c r="I465" i="1"/>
  <c r="H465" i="1"/>
  <c r="M462" i="1"/>
  <c r="M449" i="1" s="1"/>
  <c r="L462" i="1"/>
  <c r="K462" i="1"/>
  <c r="J462" i="1"/>
  <c r="I462" i="1"/>
  <c r="I449" i="1" s="1"/>
  <c r="H462" i="1"/>
  <c r="CJ460" i="1"/>
  <c r="CI460" i="1"/>
  <c r="CG460" i="1"/>
  <c r="CF460" i="1"/>
  <c r="CD460" i="1"/>
  <c r="CC460" i="1"/>
  <c r="BZ460" i="1"/>
  <c r="BX460" i="1"/>
  <c r="BW460" i="1"/>
  <c r="BU460" i="1"/>
  <c r="BT460" i="1"/>
  <c r="BR460" i="1"/>
  <c r="BQ460" i="1"/>
  <c r="BN460" i="1"/>
  <c r="BL460" i="1"/>
  <c r="BK460" i="1"/>
  <c r="BI460" i="1"/>
  <c r="BH460" i="1"/>
  <c r="BF460" i="1"/>
  <c r="BE460" i="1"/>
  <c r="BC460" i="1"/>
  <c r="BB460" i="1"/>
  <c r="AZ460" i="1"/>
  <c r="AY460" i="1"/>
  <c r="AW460" i="1"/>
  <c r="AV460" i="1"/>
  <c r="AT460" i="1"/>
  <c r="AS460" i="1"/>
  <c r="AQ460" i="1"/>
  <c r="AP460" i="1"/>
  <c r="AN460" i="1"/>
  <c r="AM460" i="1"/>
  <c r="AK460" i="1"/>
  <c r="AJ460" i="1"/>
  <c r="AH460" i="1"/>
  <c r="AG460" i="1"/>
  <c r="AE460" i="1"/>
  <c r="AD460" i="1"/>
  <c r="AB460" i="1"/>
  <c r="AA460" i="1"/>
  <c r="Y460" i="1"/>
  <c r="X460" i="1"/>
  <c r="V460" i="1"/>
  <c r="U460" i="1"/>
  <c r="S460" i="1"/>
  <c r="R460" i="1"/>
  <c r="P460" i="1"/>
  <c r="M460" i="1"/>
  <c r="L460" i="1"/>
  <c r="K460" i="1"/>
  <c r="J460" i="1"/>
  <c r="I460" i="1"/>
  <c r="CJ459" i="1"/>
  <c r="CI459" i="1"/>
  <c r="CG459" i="1"/>
  <c r="CF459" i="1"/>
  <c r="CD459" i="1"/>
  <c r="CC459" i="1"/>
  <c r="CA459" i="1"/>
  <c r="BZ459" i="1"/>
  <c r="BX459" i="1"/>
  <c r="BW459" i="1"/>
  <c r="BU459" i="1"/>
  <c r="BT459" i="1"/>
  <c r="BR459" i="1"/>
  <c r="BQ459" i="1"/>
  <c r="BO459" i="1"/>
  <c r="BN459" i="1"/>
  <c r="BL459" i="1"/>
  <c r="BK459" i="1"/>
  <c r="BI459" i="1"/>
  <c r="BH459" i="1"/>
  <c r="BF459" i="1"/>
  <c r="BE459" i="1"/>
  <c r="BC459" i="1"/>
  <c r="BB459" i="1"/>
  <c r="AZ459" i="1"/>
  <c r="AY459" i="1"/>
  <c r="AW459" i="1"/>
  <c r="AV459" i="1"/>
  <c r="AT459" i="1"/>
  <c r="AS459" i="1"/>
  <c r="AQ459" i="1"/>
  <c r="AP459" i="1"/>
  <c r="AN459" i="1"/>
  <c r="AM459" i="1"/>
  <c r="AK459" i="1"/>
  <c r="AJ459" i="1"/>
  <c r="AH459" i="1"/>
  <c r="AG459" i="1"/>
  <c r="AE459" i="1"/>
  <c r="AD459" i="1"/>
  <c r="AB459" i="1"/>
  <c r="AA459" i="1"/>
  <c r="Y459" i="1"/>
  <c r="X459" i="1"/>
  <c r="V459" i="1"/>
  <c r="U459" i="1"/>
  <c r="S459" i="1"/>
  <c r="R459" i="1"/>
  <c r="P459" i="1"/>
  <c r="M459" i="1"/>
  <c r="L459" i="1"/>
  <c r="K459" i="1"/>
  <c r="I459" i="1"/>
  <c r="CJ458" i="1"/>
  <c r="CI458" i="1"/>
  <c r="CG458" i="1"/>
  <c r="CF458" i="1"/>
  <c r="CD458" i="1"/>
  <c r="CC458" i="1"/>
  <c r="CA458" i="1"/>
  <c r="BZ458" i="1"/>
  <c r="BX458" i="1"/>
  <c r="BW458" i="1"/>
  <c r="BU458" i="1"/>
  <c r="BT458" i="1"/>
  <c r="BR458" i="1"/>
  <c r="BQ458" i="1"/>
  <c r="BO458" i="1"/>
  <c r="BN458" i="1"/>
  <c r="BL458" i="1"/>
  <c r="BK458" i="1"/>
  <c r="BI458" i="1"/>
  <c r="BH458" i="1"/>
  <c r="BF458" i="1"/>
  <c r="BE458" i="1"/>
  <c r="BC458" i="1"/>
  <c r="BB458" i="1"/>
  <c r="AZ458" i="1"/>
  <c r="AY458" i="1"/>
  <c r="AW458" i="1"/>
  <c r="AV458" i="1"/>
  <c r="AT458" i="1"/>
  <c r="AS458" i="1"/>
  <c r="AQ458" i="1"/>
  <c r="AP458" i="1"/>
  <c r="AN458" i="1"/>
  <c r="AM458" i="1"/>
  <c r="AK458" i="1"/>
  <c r="AJ458" i="1"/>
  <c r="AH458" i="1"/>
  <c r="AG458" i="1"/>
  <c r="AE458" i="1"/>
  <c r="AD458" i="1"/>
  <c r="AB458" i="1"/>
  <c r="AA458" i="1"/>
  <c r="Y458" i="1"/>
  <c r="X458" i="1"/>
  <c r="V458" i="1"/>
  <c r="U458" i="1"/>
  <c r="S458" i="1"/>
  <c r="R458" i="1"/>
  <c r="P458" i="1"/>
  <c r="M458" i="1"/>
  <c r="L458" i="1"/>
  <c r="J458" i="1"/>
  <c r="I458" i="1"/>
  <c r="CJ457" i="1"/>
  <c r="CI457" i="1"/>
  <c r="CG457" i="1"/>
  <c r="CF457" i="1"/>
  <c r="CD457" i="1"/>
  <c r="CC457" i="1"/>
  <c r="CA457" i="1"/>
  <c r="BZ457" i="1"/>
  <c r="BX457" i="1"/>
  <c r="BW457" i="1"/>
  <c r="BU457" i="1"/>
  <c r="BT457" i="1"/>
  <c r="BR457" i="1"/>
  <c r="BQ457" i="1"/>
  <c r="BO457" i="1"/>
  <c r="BN457" i="1"/>
  <c r="BL457" i="1"/>
  <c r="BK457" i="1"/>
  <c r="BI457" i="1"/>
  <c r="BH457" i="1"/>
  <c r="BF457" i="1"/>
  <c r="BE457" i="1"/>
  <c r="BC457" i="1"/>
  <c r="BB457" i="1"/>
  <c r="AZ457" i="1"/>
  <c r="AY457" i="1"/>
  <c r="AW457" i="1"/>
  <c r="AV457" i="1"/>
  <c r="AT457" i="1"/>
  <c r="AS457" i="1"/>
  <c r="AQ457" i="1"/>
  <c r="AP457" i="1"/>
  <c r="AN457" i="1"/>
  <c r="AM457" i="1"/>
  <c r="AK457" i="1"/>
  <c r="AJ457" i="1"/>
  <c r="AH457" i="1"/>
  <c r="AG457" i="1"/>
  <c r="AE457" i="1"/>
  <c r="AD457" i="1"/>
  <c r="AB457" i="1"/>
  <c r="AA457" i="1"/>
  <c r="Y457" i="1"/>
  <c r="X457" i="1"/>
  <c r="V457" i="1"/>
  <c r="U457" i="1"/>
  <c r="S457" i="1"/>
  <c r="R457" i="1"/>
  <c r="Q457" i="1"/>
  <c r="P457" i="1"/>
  <c r="M457" i="1"/>
  <c r="K457" i="1"/>
  <c r="J457" i="1"/>
  <c r="I457" i="1"/>
  <c r="CJ456" i="1"/>
  <c r="CI456" i="1"/>
  <c r="CG456" i="1"/>
  <c r="CF456" i="1"/>
  <c r="CD456" i="1"/>
  <c r="CC456" i="1"/>
  <c r="CA456" i="1"/>
  <c r="BZ456" i="1"/>
  <c r="BX456" i="1"/>
  <c r="BW456" i="1"/>
  <c r="BU456" i="1"/>
  <c r="BT456" i="1"/>
  <c r="BR456" i="1"/>
  <c r="BQ456" i="1"/>
  <c r="BO456" i="1"/>
  <c r="BN456" i="1"/>
  <c r="BL456" i="1"/>
  <c r="BK456" i="1"/>
  <c r="BI456" i="1"/>
  <c r="BH456" i="1"/>
  <c r="BF456" i="1"/>
  <c r="BE456" i="1"/>
  <c r="BC456" i="1"/>
  <c r="BB456" i="1"/>
  <c r="AZ456" i="1"/>
  <c r="AY456" i="1"/>
  <c r="AW456" i="1"/>
  <c r="AV456" i="1"/>
  <c r="AT456" i="1"/>
  <c r="AS456" i="1"/>
  <c r="AQ456" i="1"/>
  <c r="AP456" i="1"/>
  <c r="AN456" i="1"/>
  <c r="AM456" i="1"/>
  <c r="AK456" i="1"/>
  <c r="AJ456" i="1"/>
  <c r="AH456" i="1"/>
  <c r="AG456" i="1"/>
  <c r="AE456" i="1"/>
  <c r="AD456" i="1"/>
  <c r="AB456" i="1"/>
  <c r="AA456" i="1"/>
  <c r="Y456" i="1"/>
  <c r="X456" i="1"/>
  <c r="V456" i="1"/>
  <c r="U456" i="1"/>
  <c r="S456" i="1"/>
  <c r="R456" i="1"/>
  <c r="P456" i="1"/>
  <c r="L456" i="1"/>
  <c r="K456" i="1"/>
  <c r="J456" i="1"/>
  <c r="I456" i="1"/>
  <c r="CJ455" i="1"/>
  <c r="CI455" i="1"/>
  <c r="CG455" i="1"/>
  <c r="CF455" i="1"/>
  <c r="CD455" i="1"/>
  <c r="CC455" i="1"/>
  <c r="CA455" i="1"/>
  <c r="BZ455" i="1"/>
  <c r="BX455" i="1"/>
  <c r="BW455" i="1"/>
  <c r="BU455" i="1"/>
  <c r="BT455" i="1"/>
  <c r="BR455" i="1"/>
  <c r="BQ455" i="1"/>
  <c r="BO455" i="1"/>
  <c r="BN455" i="1"/>
  <c r="BL455" i="1"/>
  <c r="BK455" i="1"/>
  <c r="BI455" i="1"/>
  <c r="BH455" i="1"/>
  <c r="BF455" i="1"/>
  <c r="BE455" i="1"/>
  <c r="BC455" i="1"/>
  <c r="BB455" i="1"/>
  <c r="AZ455" i="1"/>
  <c r="AY455" i="1"/>
  <c r="AW455" i="1"/>
  <c r="AV455" i="1"/>
  <c r="AT455" i="1"/>
  <c r="AS455" i="1"/>
  <c r="AQ455" i="1"/>
  <c r="AP455" i="1"/>
  <c r="AN455" i="1"/>
  <c r="AM455" i="1"/>
  <c r="AK455" i="1"/>
  <c r="AJ455" i="1"/>
  <c r="AH455" i="1"/>
  <c r="AG455" i="1"/>
  <c r="AE455" i="1"/>
  <c r="AD455" i="1"/>
  <c r="AB455" i="1"/>
  <c r="AA455" i="1"/>
  <c r="Y455" i="1"/>
  <c r="X455" i="1"/>
  <c r="V455" i="1"/>
  <c r="U455" i="1"/>
  <c r="S455" i="1"/>
  <c r="R455" i="1"/>
  <c r="P455" i="1"/>
  <c r="M455" i="1"/>
  <c r="L455" i="1"/>
  <c r="K455" i="1"/>
  <c r="I455" i="1"/>
  <c r="M454" i="1"/>
  <c r="L454" i="1"/>
  <c r="K454" i="1"/>
  <c r="J454" i="1"/>
  <c r="I454" i="1"/>
  <c r="H454" i="1"/>
  <c r="M453" i="1"/>
  <c r="L453" i="1"/>
  <c r="K453" i="1"/>
  <c r="J453" i="1"/>
  <c r="I453" i="1"/>
  <c r="H453" i="1"/>
  <c r="M452" i="1"/>
  <c r="L452" i="1"/>
  <c r="J452" i="1"/>
  <c r="I452" i="1"/>
  <c r="H452" i="1"/>
  <c r="G452" i="1"/>
  <c r="F452" i="1"/>
  <c r="E452" i="1"/>
  <c r="M451" i="1"/>
  <c r="L451" i="1"/>
  <c r="K451" i="1"/>
  <c r="J451" i="1"/>
  <c r="I451" i="1"/>
  <c r="H451" i="1"/>
  <c r="M450" i="1"/>
  <c r="L450" i="1"/>
  <c r="K450" i="1"/>
  <c r="J450" i="1"/>
  <c r="I450" i="1"/>
  <c r="H450" i="1"/>
  <c r="L449" i="1"/>
  <c r="K449" i="1"/>
  <c r="J449" i="1"/>
  <c r="H449" i="1"/>
  <c r="G449" i="1"/>
  <c r="F449" i="1"/>
  <c r="E449" i="1"/>
  <c r="L448" i="1"/>
  <c r="K448" i="1"/>
  <c r="J448" i="1"/>
  <c r="AB446" i="1"/>
  <c r="BC445" i="1"/>
  <c r="I444" i="1"/>
  <c r="Q443" i="1"/>
  <c r="P443" i="1"/>
  <c r="Q442" i="1"/>
  <c r="P442" i="1"/>
  <c r="P441" i="1" s="1"/>
  <c r="CJ441" i="1"/>
  <c r="CI441" i="1"/>
  <c r="CG441" i="1"/>
  <c r="CF441" i="1"/>
  <c r="CD441" i="1"/>
  <c r="CC441" i="1"/>
  <c r="CA441" i="1"/>
  <c r="BZ441" i="1"/>
  <c r="BX441" i="1"/>
  <c r="BW441" i="1"/>
  <c r="BU441" i="1"/>
  <c r="BT441" i="1"/>
  <c r="BR441" i="1"/>
  <c r="BQ441" i="1"/>
  <c r="BO441" i="1"/>
  <c r="BN441" i="1"/>
  <c r="BL441" i="1"/>
  <c r="BK441" i="1"/>
  <c r="BI441" i="1"/>
  <c r="BH441" i="1"/>
  <c r="BF441" i="1"/>
  <c r="BE441" i="1"/>
  <c r="BC441" i="1"/>
  <c r="BB441" i="1"/>
  <c r="AZ441" i="1"/>
  <c r="AY441" i="1"/>
  <c r="AW441" i="1"/>
  <c r="AV441" i="1"/>
  <c r="AT441" i="1"/>
  <c r="AS441" i="1"/>
  <c r="AQ441" i="1"/>
  <c r="AP441" i="1"/>
  <c r="AN441" i="1"/>
  <c r="AM441" i="1"/>
  <c r="AK441" i="1"/>
  <c r="AJ441" i="1"/>
  <c r="AH441" i="1"/>
  <c r="AG441" i="1"/>
  <c r="AE441" i="1"/>
  <c r="AD441" i="1"/>
  <c r="AB441" i="1"/>
  <c r="AA441" i="1"/>
  <c r="Y441" i="1"/>
  <c r="X441" i="1"/>
  <c r="V441" i="1"/>
  <c r="U441" i="1"/>
  <c r="S441" i="1"/>
  <c r="R441" i="1"/>
  <c r="Q441" i="1"/>
  <c r="M441" i="1"/>
  <c r="L441" i="1"/>
  <c r="K441" i="1"/>
  <c r="J441" i="1"/>
  <c r="I441" i="1"/>
  <c r="AB440" i="1"/>
  <c r="I440" i="1"/>
  <c r="BC439" i="1"/>
  <c r="I439" i="1"/>
  <c r="I438" i="1"/>
  <c r="G436" i="1"/>
  <c r="M435" i="1"/>
  <c r="L435" i="1"/>
  <c r="K435" i="1"/>
  <c r="J435" i="1"/>
  <c r="I435" i="1"/>
  <c r="H435" i="1"/>
  <c r="G435" i="1"/>
  <c r="F435" i="1"/>
  <c r="E435" i="1"/>
  <c r="G433" i="1"/>
  <c r="M432" i="1"/>
  <c r="M429" i="1" s="1"/>
  <c r="L432" i="1"/>
  <c r="L429" i="1" s="1"/>
  <c r="K432" i="1"/>
  <c r="J432" i="1"/>
  <c r="I432" i="1"/>
  <c r="I429" i="1" s="1"/>
  <c r="H432" i="1"/>
  <c r="G432" i="1"/>
  <c r="F432" i="1"/>
  <c r="E432" i="1"/>
  <c r="M431" i="1"/>
  <c r="L431" i="1"/>
  <c r="K431" i="1"/>
  <c r="J431" i="1"/>
  <c r="I431" i="1"/>
  <c r="H431" i="1"/>
  <c r="G431" i="1"/>
  <c r="F431" i="1"/>
  <c r="E431" i="1"/>
  <c r="M430" i="1"/>
  <c r="L430" i="1"/>
  <c r="K430" i="1"/>
  <c r="J430" i="1"/>
  <c r="I430" i="1"/>
  <c r="H430" i="1"/>
  <c r="F430" i="1"/>
  <c r="E430" i="1"/>
  <c r="K429" i="1"/>
  <c r="J429" i="1"/>
  <c r="E429" i="1"/>
  <c r="Q426" i="1"/>
  <c r="P426" i="1"/>
  <c r="Q425" i="1"/>
  <c r="P425" i="1"/>
  <c r="Q424" i="1"/>
  <c r="P424" i="1"/>
  <c r="Q423" i="1"/>
  <c r="P423" i="1"/>
  <c r="Q422" i="1"/>
  <c r="P422" i="1"/>
  <c r="M422" i="1"/>
  <c r="L422" i="1"/>
  <c r="K422" i="1"/>
  <c r="J422" i="1"/>
  <c r="I422" i="1"/>
  <c r="H422" i="1"/>
  <c r="Q421" i="1"/>
  <c r="P421" i="1"/>
  <c r="Q420" i="1"/>
  <c r="P420" i="1"/>
  <c r="Q419" i="1"/>
  <c r="P419" i="1"/>
  <c r="Q418" i="1"/>
  <c r="P418" i="1"/>
  <c r="Q417" i="1"/>
  <c r="P417" i="1"/>
  <c r="Q416" i="1"/>
  <c r="P416" i="1"/>
  <c r="Q415" i="1"/>
  <c r="P415" i="1"/>
  <c r="Q414" i="1"/>
  <c r="P414" i="1"/>
  <c r="P412" i="1" s="1"/>
  <c r="Q413" i="1"/>
  <c r="Q412" i="1" s="1"/>
  <c r="P413" i="1"/>
  <c r="CJ412" i="1"/>
  <c r="CI412" i="1"/>
  <c r="CI410" i="1" s="1"/>
  <c r="CG412" i="1"/>
  <c r="CF412" i="1"/>
  <c r="CD412" i="1"/>
  <c r="CC412" i="1"/>
  <c r="CC410" i="1" s="1"/>
  <c r="CA412" i="1"/>
  <c r="BZ412" i="1"/>
  <c r="BX412" i="1"/>
  <c r="BW412" i="1"/>
  <c r="BW410" i="1" s="1"/>
  <c r="BU412" i="1"/>
  <c r="BT412" i="1"/>
  <c r="BR412" i="1"/>
  <c r="BQ412" i="1"/>
  <c r="BQ410" i="1" s="1"/>
  <c r="BO412" i="1"/>
  <c r="BN412" i="1"/>
  <c r="BL412" i="1"/>
  <c r="BK412" i="1"/>
  <c r="BK410" i="1" s="1"/>
  <c r="BI412" i="1"/>
  <c r="BH412" i="1"/>
  <c r="BF412" i="1"/>
  <c r="BE412" i="1"/>
  <c r="BE410" i="1" s="1"/>
  <c r="BC412" i="1"/>
  <c r="BB412" i="1"/>
  <c r="AZ412" i="1"/>
  <c r="AY412" i="1"/>
  <c r="AY410" i="1" s="1"/>
  <c r="AW412" i="1"/>
  <c r="AV412" i="1"/>
  <c r="AT412" i="1"/>
  <c r="AS412" i="1"/>
  <c r="AS410" i="1" s="1"/>
  <c r="AQ412" i="1"/>
  <c r="AP412" i="1"/>
  <c r="AN412" i="1"/>
  <c r="AM412" i="1"/>
  <c r="AM410" i="1" s="1"/>
  <c r="AK412" i="1"/>
  <c r="AJ412" i="1"/>
  <c r="AH412" i="1"/>
  <c r="AG412" i="1"/>
  <c r="AG410" i="1" s="1"/>
  <c r="AE412" i="1"/>
  <c r="AD412" i="1"/>
  <c r="AB412" i="1"/>
  <c r="AA412" i="1"/>
  <c r="AA410" i="1" s="1"/>
  <c r="Y412" i="1"/>
  <c r="X412" i="1"/>
  <c r="V412" i="1"/>
  <c r="U412" i="1"/>
  <c r="U410" i="1" s="1"/>
  <c r="S412" i="1"/>
  <c r="R412" i="1"/>
  <c r="M412" i="1"/>
  <c r="L412" i="1"/>
  <c r="K412" i="1"/>
  <c r="J412" i="1"/>
  <c r="K409" i="1" s="1"/>
  <c r="I412" i="1"/>
  <c r="H412" i="1"/>
  <c r="CJ410" i="1"/>
  <c r="CG410" i="1"/>
  <c r="CF410" i="1"/>
  <c r="CD410" i="1"/>
  <c r="CA410" i="1"/>
  <c r="BZ410" i="1"/>
  <c r="BX410" i="1"/>
  <c r="BU410" i="1"/>
  <c r="BT410" i="1"/>
  <c r="BR410" i="1"/>
  <c r="BO410" i="1"/>
  <c r="BN410" i="1"/>
  <c r="BL410" i="1"/>
  <c r="BI410" i="1"/>
  <c r="BH410" i="1"/>
  <c r="BF410" i="1"/>
  <c r="BC410" i="1"/>
  <c r="BB410" i="1"/>
  <c r="AZ410" i="1"/>
  <c r="AW410" i="1"/>
  <c r="AV410" i="1"/>
  <c r="AT410" i="1"/>
  <c r="AQ410" i="1"/>
  <c r="AP410" i="1"/>
  <c r="AN410" i="1"/>
  <c r="AK410" i="1"/>
  <c r="AJ410" i="1"/>
  <c r="AH410" i="1"/>
  <c r="AE410" i="1"/>
  <c r="AD410" i="1"/>
  <c r="AB410" i="1"/>
  <c r="Y410" i="1"/>
  <c r="X410" i="1"/>
  <c r="V410" i="1"/>
  <c r="S410" i="1"/>
  <c r="R410" i="1"/>
  <c r="J410" i="1"/>
  <c r="I410" i="1"/>
  <c r="H410" i="1"/>
  <c r="CJ409" i="1"/>
  <c r="CI409" i="1"/>
  <c r="CG409" i="1"/>
  <c r="CF409" i="1"/>
  <c r="CD409" i="1"/>
  <c r="CC409" i="1"/>
  <c r="CA409" i="1"/>
  <c r="BZ409" i="1"/>
  <c r="BX409" i="1"/>
  <c r="BW409" i="1"/>
  <c r="BU409" i="1"/>
  <c r="BT409" i="1"/>
  <c r="BR409" i="1"/>
  <c r="BQ409" i="1"/>
  <c r="BO409" i="1"/>
  <c r="BN409" i="1"/>
  <c r="BL409" i="1"/>
  <c r="BK409" i="1"/>
  <c r="BI409" i="1"/>
  <c r="BH409" i="1"/>
  <c r="BF409" i="1"/>
  <c r="BE409" i="1"/>
  <c r="BC409" i="1"/>
  <c r="BB409" i="1"/>
  <c r="AZ409" i="1"/>
  <c r="AY409" i="1"/>
  <c r="AW409" i="1"/>
  <c r="AV409" i="1"/>
  <c r="AT409" i="1"/>
  <c r="AS409" i="1"/>
  <c r="AQ409" i="1"/>
  <c r="AP409" i="1"/>
  <c r="AN409" i="1"/>
  <c r="AM409" i="1"/>
  <c r="AK409" i="1"/>
  <c r="AJ409" i="1"/>
  <c r="AH409" i="1"/>
  <c r="AG409" i="1"/>
  <c r="AE409" i="1"/>
  <c r="AD409" i="1"/>
  <c r="AB409" i="1"/>
  <c r="AA409" i="1"/>
  <c r="Y409" i="1"/>
  <c r="X409" i="1"/>
  <c r="V409" i="1"/>
  <c r="U409" i="1"/>
  <c r="S409" i="1"/>
  <c r="R409" i="1"/>
  <c r="J409" i="1"/>
  <c r="I409" i="1"/>
  <c r="H409" i="1"/>
  <c r="CJ408" i="1"/>
  <c r="CI408" i="1"/>
  <c r="CG408" i="1"/>
  <c r="CF408" i="1"/>
  <c r="CD408" i="1"/>
  <c r="CC408" i="1"/>
  <c r="CA408" i="1"/>
  <c r="BZ408" i="1"/>
  <c r="BX408" i="1"/>
  <c r="BW408" i="1"/>
  <c r="BU408" i="1"/>
  <c r="BT408" i="1"/>
  <c r="BR408" i="1"/>
  <c r="BQ408" i="1"/>
  <c r="BO408" i="1"/>
  <c r="BN408" i="1"/>
  <c r="BL408" i="1"/>
  <c r="BK408" i="1"/>
  <c r="BI408" i="1"/>
  <c r="BH408" i="1"/>
  <c r="BF408" i="1"/>
  <c r="BE408" i="1"/>
  <c r="BC408" i="1"/>
  <c r="BB408" i="1"/>
  <c r="AZ408" i="1"/>
  <c r="AY408" i="1"/>
  <c r="AW408" i="1"/>
  <c r="AV408" i="1"/>
  <c r="AT408" i="1"/>
  <c r="AS408" i="1"/>
  <c r="AQ408" i="1"/>
  <c r="AP408" i="1"/>
  <c r="AN408" i="1"/>
  <c r="AM408" i="1"/>
  <c r="AK408" i="1"/>
  <c r="AJ408" i="1"/>
  <c r="AH408" i="1"/>
  <c r="AG408" i="1"/>
  <c r="AE408" i="1"/>
  <c r="AD408" i="1"/>
  <c r="AB408" i="1"/>
  <c r="AA408" i="1"/>
  <c r="Y408" i="1"/>
  <c r="X408" i="1"/>
  <c r="V408" i="1"/>
  <c r="U408" i="1"/>
  <c r="S408" i="1"/>
  <c r="R408" i="1"/>
  <c r="K408" i="1"/>
  <c r="J408" i="1"/>
  <c r="H408" i="1"/>
  <c r="CJ407" i="1"/>
  <c r="CI407" i="1"/>
  <c r="CG407" i="1"/>
  <c r="CF407" i="1"/>
  <c r="CD407" i="1"/>
  <c r="CC407" i="1"/>
  <c r="CA407" i="1"/>
  <c r="BZ407" i="1"/>
  <c r="BX407" i="1"/>
  <c r="BW407" i="1"/>
  <c r="BU407" i="1"/>
  <c r="BT407" i="1"/>
  <c r="BR407" i="1"/>
  <c r="BQ407" i="1"/>
  <c r="BO407" i="1"/>
  <c r="BN407" i="1"/>
  <c r="BL407" i="1"/>
  <c r="BK407" i="1"/>
  <c r="BI407" i="1"/>
  <c r="BH407" i="1"/>
  <c r="BF407" i="1"/>
  <c r="BE407" i="1"/>
  <c r="BC407" i="1"/>
  <c r="BB407" i="1"/>
  <c r="AZ407" i="1"/>
  <c r="AY407" i="1"/>
  <c r="AW407" i="1"/>
  <c r="AV407" i="1"/>
  <c r="AT407" i="1"/>
  <c r="AS407" i="1"/>
  <c r="AQ407" i="1"/>
  <c r="AP407" i="1"/>
  <c r="AN407" i="1"/>
  <c r="AM407" i="1"/>
  <c r="AK407" i="1"/>
  <c r="AJ407" i="1"/>
  <c r="AH407" i="1"/>
  <c r="AG407" i="1"/>
  <c r="AE407" i="1"/>
  <c r="AD407" i="1"/>
  <c r="AB407" i="1"/>
  <c r="AA407" i="1"/>
  <c r="Y407" i="1"/>
  <c r="X407" i="1"/>
  <c r="V407" i="1"/>
  <c r="U407" i="1"/>
  <c r="S407" i="1"/>
  <c r="R407" i="1"/>
  <c r="Q407" i="1"/>
  <c r="K407" i="1"/>
  <c r="J407" i="1"/>
  <c r="H407" i="1"/>
  <c r="CJ406" i="1"/>
  <c r="CI406" i="1"/>
  <c r="CG406" i="1"/>
  <c r="CF406" i="1"/>
  <c r="CD406" i="1"/>
  <c r="CC406" i="1"/>
  <c r="CA406" i="1"/>
  <c r="BZ406" i="1"/>
  <c r="BX406" i="1"/>
  <c r="BW406" i="1"/>
  <c r="BU406" i="1"/>
  <c r="BT406" i="1"/>
  <c r="BR406" i="1"/>
  <c r="BQ406" i="1"/>
  <c r="BO406" i="1"/>
  <c r="BN406" i="1"/>
  <c r="BL406" i="1"/>
  <c r="BK406" i="1"/>
  <c r="BI406" i="1"/>
  <c r="BH406" i="1"/>
  <c r="BF406" i="1"/>
  <c r="BE406" i="1"/>
  <c r="BC406" i="1"/>
  <c r="BB406" i="1"/>
  <c r="AZ406" i="1"/>
  <c r="AY406" i="1"/>
  <c r="AW406" i="1"/>
  <c r="AV406" i="1"/>
  <c r="AT406" i="1"/>
  <c r="AS406" i="1"/>
  <c r="AQ406" i="1"/>
  <c r="AP406" i="1"/>
  <c r="AN406" i="1"/>
  <c r="AM406" i="1"/>
  <c r="AK406" i="1"/>
  <c r="AJ406" i="1"/>
  <c r="AH406" i="1"/>
  <c r="AG406" i="1"/>
  <c r="AE406" i="1"/>
  <c r="AD406" i="1"/>
  <c r="AB406" i="1"/>
  <c r="AA406" i="1"/>
  <c r="Y406" i="1"/>
  <c r="X406" i="1"/>
  <c r="V406" i="1"/>
  <c r="U406" i="1"/>
  <c r="S406" i="1"/>
  <c r="R406" i="1"/>
  <c r="Q406" i="1"/>
  <c r="K406" i="1"/>
  <c r="J406" i="1"/>
  <c r="CJ405" i="1"/>
  <c r="CI405" i="1"/>
  <c r="CG405" i="1"/>
  <c r="CF405" i="1"/>
  <c r="CD405" i="1"/>
  <c r="CC405" i="1"/>
  <c r="CA405" i="1"/>
  <c r="BZ405" i="1"/>
  <c r="BX405" i="1"/>
  <c r="BW405" i="1"/>
  <c r="BU405" i="1"/>
  <c r="BT405" i="1"/>
  <c r="BR405" i="1"/>
  <c r="BQ405" i="1"/>
  <c r="BO405" i="1"/>
  <c r="BN405" i="1"/>
  <c r="BL405" i="1"/>
  <c r="BK405" i="1"/>
  <c r="BI405" i="1"/>
  <c r="BH405" i="1"/>
  <c r="BF405" i="1"/>
  <c r="BE405" i="1"/>
  <c r="BC405" i="1"/>
  <c r="BB405" i="1"/>
  <c r="AZ405" i="1"/>
  <c r="AY405" i="1"/>
  <c r="AW405" i="1"/>
  <c r="AV405" i="1"/>
  <c r="AT405" i="1"/>
  <c r="AS405" i="1"/>
  <c r="AQ405" i="1"/>
  <c r="AP405" i="1"/>
  <c r="AN405" i="1"/>
  <c r="AM405" i="1"/>
  <c r="AK405" i="1"/>
  <c r="AJ405" i="1"/>
  <c r="AH405" i="1"/>
  <c r="AG405" i="1"/>
  <c r="AE405" i="1"/>
  <c r="AD405" i="1"/>
  <c r="AB405" i="1"/>
  <c r="AA405" i="1"/>
  <c r="Y405" i="1"/>
  <c r="X405" i="1"/>
  <c r="V405" i="1"/>
  <c r="U405" i="1"/>
  <c r="S405" i="1"/>
  <c r="R405" i="1"/>
  <c r="Q405" i="1"/>
  <c r="L405" i="1"/>
  <c r="K405" i="1"/>
  <c r="J405" i="1"/>
  <c r="H405" i="1"/>
  <c r="CJ404" i="1"/>
  <c r="CI404" i="1"/>
  <c r="CG404" i="1"/>
  <c r="CF404" i="1"/>
  <c r="CD404" i="1"/>
  <c r="CC404" i="1"/>
  <c r="CA404" i="1"/>
  <c r="BZ404" i="1"/>
  <c r="BX404" i="1"/>
  <c r="BW404" i="1"/>
  <c r="BU404" i="1"/>
  <c r="BT404" i="1"/>
  <c r="BR404" i="1"/>
  <c r="BQ404" i="1"/>
  <c r="BO404" i="1"/>
  <c r="BN404" i="1"/>
  <c r="BL404" i="1"/>
  <c r="BK404" i="1"/>
  <c r="BI404" i="1"/>
  <c r="BH404" i="1"/>
  <c r="BF404" i="1"/>
  <c r="BE404" i="1"/>
  <c r="BC404" i="1"/>
  <c r="BB404" i="1"/>
  <c r="AZ404" i="1"/>
  <c r="AY404" i="1"/>
  <c r="AW404" i="1"/>
  <c r="AV404" i="1"/>
  <c r="AT404" i="1"/>
  <c r="AS404" i="1"/>
  <c r="AQ404" i="1"/>
  <c r="AP404" i="1"/>
  <c r="AN404" i="1"/>
  <c r="AM404" i="1"/>
  <c r="AK404" i="1"/>
  <c r="AJ404" i="1"/>
  <c r="AH404" i="1"/>
  <c r="AG404" i="1"/>
  <c r="AE404" i="1"/>
  <c r="AD404" i="1"/>
  <c r="AB404" i="1"/>
  <c r="AA404" i="1"/>
  <c r="Y404" i="1"/>
  <c r="X404" i="1"/>
  <c r="V404" i="1"/>
  <c r="U404" i="1"/>
  <c r="S404" i="1"/>
  <c r="R404" i="1"/>
  <c r="Q404" i="1"/>
  <c r="L404" i="1"/>
  <c r="K404" i="1"/>
  <c r="J404" i="1"/>
  <c r="H404" i="1"/>
  <c r="L403" i="1"/>
  <c r="K403" i="1"/>
  <c r="J403" i="1"/>
  <c r="CJ402" i="1"/>
  <c r="CI402" i="1"/>
  <c r="CG402" i="1"/>
  <c r="CF402" i="1"/>
  <c r="CD402" i="1"/>
  <c r="CC402" i="1"/>
  <c r="CA402" i="1"/>
  <c r="BZ402" i="1"/>
  <c r="BX402" i="1"/>
  <c r="BW402" i="1"/>
  <c r="BU402" i="1"/>
  <c r="BT402" i="1"/>
  <c r="BR402" i="1"/>
  <c r="BQ402" i="1"/>
  <c r="BO402" i="1"/>
  <c r="BN402" i="1"/>
  <c r="BL402" i="1"/>
  <c r="BK402" i="1"/>
  <c r="BI402" i="1"/>
  <c r="BH402" i="1"/>
  <c r="BF402" i="1"/>
  <c r="BE402" i="1"/>
  <c r="BC402" i="1"/>
  <c r="BB402" i="1"/>
  <c r="AZ402" i="1"/>
  <c r="AY402" i="1"/>
  <c r="AW402" i="1"/>
  <c r="AV402" i="1"/>
  <c r="AT402" i="1"/>
  <c r="AS402" i="1"/>
  <c r="AQ402" i="1"/>
  <c r="AP402" i="1"/>
  <c r="AN402" i="1"/>
  <c r="AM402" i="1"/>
  <c r="AK402" i="1"/>
  <c r="AJ402" i="1"/>
  <c r="AH402" i="1"/>
  <c r="AG402" i="1"/>
  <c r="AE402" i="1"/>
  <c r="AD402" i="1"/>
  <c r="AB402" i="1"/>
  <c r="AA402" i="1"/>
  <c r="Y402" i="1"/>
  <c r="X402" i="1"/>
  <c r="V402" i="1"/>
  <c r="U402" i="1"/>
  <c r="S402" i="1"/>
  <c r="R402" i="1"/>
  <c r="Q402" i="1"/>
  <c r="L402" i="1"/>
  <c r="K402" i="1"/>
  <c r="J402" i="1"/>
  <c r="H402" i="1"/>
  <c r="CJ401" i="1"/>
  <c r="CI401" i="1"/>
  <c r="CG401" i="1"/>
  <c r="CF401" i="1"/>
  <c r="CD401" i="1"/>
  <c r="CC401" i="1"/>
  <c r="CA401" i="1"/>
  <c r="BZ401" i="1"/>
  <c r="BX401" i="1"/>
  <c r="BW401" i="1"/>
  <c r="BU401" i="1"/>
  <c r="BT401" i="1"/>
  <c r="BR401" i="1"/>
  <c r="BQ401" i="1"/>
  <c r="BO401" i="1"/>
  <c r="BN401" i="1"/>
  <c r="BL401" i="1"/>
  <c r="BK401" i="1"/>
  <c r="BI401" i="1"/>
  <c r="BH401" i="1"/>
  <c r="BF401" i="1"/>
  <c r="BE401" i="1"/>
  <c r="BC401" i="1"/>
  <c r="BB401" i="1"/>
  <c r="AZ401" i="1"/>
  <c r="AY401" i="1"/>
  <c r="AW401" i="1"/>
  <c r="AV401" i="1"/>
  <c r="AT401" i="1"/>
  <c r="AS401" i="1"/>
  <c r="AQ401" i="1"/>
  <c r="AP401" i="1"/>
  <c r="AN401" i="1"/>
  <c r="AM401" i="1"/>
  <c r="AK401" i="1"/>
  <c r="AJ401" i="1"/>
  <c r="AH401" i="1"/>
  <c r="AG401" i="1"/>
  <c r="AE401" i="1"/>
  <c r="AD401" i="1"/>
  <c r="AB401" i="1"/>
  <c r="AA401" i="1"/>
  <c r="Y401" i="1"/>
  <c r="X401" i="1"/>
  <c r="V401" i="1"/>
  <c r="U401" i="1"/>
  <c r="S401" i="1"/>
  <c r="R401" i="1"/>
  <c r="Q401" i="1"/>
  <c r="L401" i="1"/>
  <c r="K401" i="1"/>
  <c r="J401" i="1"/>
  <c r="H401" i="1"/>
  <c r="CJ400" i="1"/>
  <c r="CI400" i="1"/>
  <c r="CG400" i="1"/>
  <c r="CF400" i="1"/>
  <c r="CD400" i="1"/>
  <c r="CC400" i="1"/>
  <c r="CA400" i="1"/>
  <c r="BZ400" i="1"/>
  <c r="BX400" i="1"/>
  <c r="BW400" i="1"/>
  <c r="BU400" i="1"/>
  <c r="BT400" i="1"/>
  <c r="BR400" i="1"/>
  <c r="BQ400" i="1"/>
  <c r="BO400" i="1"/>
  <c r="BN400" i="1"/>
  <c r="BL400" i="1"/>
  <c r="BK400" i="1"/>
  <c r="BI400" i="1"/>
  <c r="BH400" i="1"/>
  <c r="BF400" i="1"/>
  <c r="BE400" i="1"/>
  <c r="BC400" i="1"/>
  <c r="BB400" i="1"/>
  <c r="AZ400" i="1"/>
  <c r="AY400" i="1"/>
  <c r="AW400" i="1"/>
  <c r="AV400" i="1"/>
  <c r="AT400" i="1"/>
  <c r="AS400" i="1"/>
  <c r="AQ400" i="1"/>
  <c r="AP400" i="1"/>
  <c r="AN400" i="1"/>
  <c r="AM400" i="1"/>
  <c r="AK400" i="1"/>
  <c r="AJ400" i="1"/>
  <c r="AH400" i="1"/>
  <c r="AG400" i="1"/>
  <c r="AE400" i="1"/>
  <c r="AD400" i="1"/>
  <c r="AB400" i="1"/>
  <c r="AA400" i="1"/>
  <c r="Y400" i="1"/>
  <c r="X400" i="1"/>
  <c r="V400" i="1"/>
  <c r="U400" i="1"/>
  <c r="S400" i="1"/>
  <c r="R400" i="1"/>
  <c r="Q400" i="1"/>
  <c r="L400" i="1"/>
  <c r="K400" i="1"/>
  <c r="J400" i="1"/>
  <c r="H400" i="1"/>
  <c r="CJ399" i="1"/>
  <c r="CI399" i="1"/>
  <c r="CG399" i="1"/>
  <c r="CF399" i="1"/>
  <c r="CD399" i="1"/>
  <c r="CC399" i="1"/>
  <c r="CA399" i="1"/>
  <c r="BZ399" i="1"/>
  <c r="BX399" i="1"/>
  <c r="BW399" i="1"/>
  <c r="BU399" i="1"/>
  <c r="BT399" i="1"/>
  <c r="BR399" i="1"/>
  <c r="BQ399" i="1"/>
  <c r="BO399" i="1"/>
  <c r="BN399" i="1"/>
  <c r="BL399" i="1"/>
  <c r="BK399" i="1"/>
  <c r="BI399" i="1"/>
  <c r="BH399" i="1"/>
  <c r="BF399" i="1"/>
  <c r="BE399" i="1"/>
  <c r="BC399" i="1"/>
  <c r="BB399" i="1"/>
  <c r="AZ399" i="1"/>
  <c r="AY399" i="1"/>
  <c r="AW399" i="1"/>
  <c r="AV399" i="1"/>
  <c r="AT399" i="1"/>
  <c r="AS399" i="1"/>
  <c r="AQ399" i="1"/>
  <c r="AP399" i="1"/>
  <c r="AN399" i="1"/>
  <c r="AM399" i="1"/>
  <c r="AK399" i="1"/>
  <c r="AJ399" i="1"/>
  <c r="AH399" i="1"/>
  <c r="AG399" i="1"/>
  <c r="AE399" i="1"/>
  <c r="AD399" i="1"/>
  <c r="AB399" i="1"/>
  <c r="AA399" i="1"/>
  <c r="Y399" i="1"/>
  <c r="X399" i="1"/>
  <c r="V399" i="1"/>
  <c r="U399" i="1"/>
  <c r="S399" i="1"/>
  <c r="R399" i="1"/>
  <c r="Q399" i="1"/>
  <c r="L399" i="1"/>
  <c r="K399" i="1"/>
  <c r="J399" i="1"/>
  <c r="H399" i="1"/>
  <c r="CJ398" i="1"/>
  <c r="CI398" i="1"/>
  <c r="CG398" i="1"/>
  <c r="CF398" i="1"/>
  <c r="CD398" i="1"/>
  <c r="CC398" i="1"/>
  <c r="CA398" i="1"/>
  <c r="BZ398" i="1"/>
  <c r="BX398" i="1"/>
  <c r="BW398" i="1"/>
  <c r="BU398" i="1"/>
  <c r="BT398" i="1"/>
  <c r="BR398" i="1"/>
  <c r="BQ398" i="1"/>
  <c r="BO398" i="1"/>
  <c r="BN398" i="1"/>
  <c r="BL398" i="1"/>
  <c r="BK398" i="1"/>
  <c r="BI398" i="1"/>
  <c r="BH398" i="1"/>
  <c r="BF398" i="1"/>
  <c r="BE398" i="1"/>
  <c r="BC398" i="1"/>
  <c r="BB398" i="1"/>
  <c r="AZ398" i="1"/>
  <c r="AY398" i="1"/>
  <c r="AW398" i="1"/>
  <c r="AV398" i="1"/>
  <c r="AT398" i="1"/>
  <c r="AS398" i="1"/>
  <c r="AQ398" i="1"/>
  <c r="AP398" i="1"/>
  <c r="AN398" i="1"/>
  <c r="AM398" i="1"/>
  <c r="AK398" i="1"/>
  <c r="AJ398" i="1"/>
  <c r="AH398" i="1"/>
  <c r="AG398" i="1"/>
  <c r="AE398" i="1"/>
  <c r="AD398" i="1"/>
  <c r="AB398" i="1"/>
  <c r="AA398" i="1"/>
  <c r="Y398" i="1"/>
  <c r="X398" i="1"/>
  <c r="V398" i="1"/>
  <c r="U398" i="1"/>
  <c r="S398" i="1"/>
  <c r="R398" i="1"/>
  <c r="Q398" i="1"/>
  <c r="L398" i="1"/>
  <c r="K398" i="1"/>
  <c r="J398" i="1"/>
  <c r="H398" i="1"/>
  <c r="CJ397" i="1"/>
  <c r="CI397" i="1"/>
  <c r="CG397" i="1"/>
  <c r="CF397" i="1"/>
  <c r="CD397" i="1"/>
  <c r="CC397" i="1"/>
  <c r="CA397" i="1"/>
  <c r="BZ397" i="1"/>
  <c r="BX397" i="1"/>
  <c r="BW397" i="1"/>
  <c r="BU397" i="1"/>
  <c r="BT397" i="1"/>
  <c r="BR397" i="1"/>
  <c r="BQ397" i="1"/>
  <c r="BO397" i="1"/>
  <c r="BN397" i="1"/>
  <c r="BL397" i="1"/>
  <c r="BK397" i="1"/>
  <c r="BI397" i="1"/>
  <c r="BH397" i="1"/>
  <c r="BF397" i="1"/>
  <c r="BE397" i="1"/>
  <c r="BC397" i="1"/>
  <c r="BB397" i="1"/>
  <c r="AZ397" i="1"/>
  <c r="AY397" i="1"/>
  <c r="AW397" i="1"/>
  <c r="AV397" i="1"/>
  <c r="AT397" i="1"/>
  <c r="AS397" i="1"/>
  <c r="AQ397" i="1"/>
  <c r="AP397" i="1"/>
  <c r="AN397" i="1"/>
  <c r="AM397" i="1"/>
  <c r="AK397" i="1"/>
  <c r="AJ397" i="1"/>
  <c r="AH397" i="1"/>
  <c r="AG397" i="1"/>
  <c r="AE397" i="1"/>
  <c r="AD397" i="1"/>
  <c r="AB397" i="1"/>
  <c r="AA397" i="1"/>
  <c r="Y397" i="1"/>
  <c r="X397" i="1"/>
  <c r="V397" i="1"/>
  <c r="U397" i="1"/>
  <c r="S397" i="1"/>
  <c r="R397" i="1"/>
  <c r="Q397" i="1"/>
  <c r="M397" i="1"/>
  <c r="L397" i="1"/>
  <c r="K397" i="1"/>
  <c r="J397" i="1"/>
  <c r="H397" i="1"/>
  <c r="Q394" i="1"/>
  <c r="P394" i="1"/>
  <c r="Q393" i="1"/>
  <c r="P393" i="1"/>
  <c r="Q392" i="1"/>
  <c r="P392" i="1"/>
  <c r="Q391" i="1"/>
  <c r="P391" i="1"/>
  <c r="Q390" i="1"/>
  <c r="P390" i="1"/>
  <c r="J390" i="1"/>
  <c r="J374" i="1" s="1"/>
  <c r="I390" i="1"/>
  <c r="H390" i="1"/>
  <c r="Q389" i="1"/>
  <c r="P389" i="1"/>
  <c r="Q388" i="1"/>
  <c r="P388" i="1"/>
  <c r="Q387" i="1"/>
  <c r="P387" i="1"/>
  <c r="Q386" i="1"/>
  <c r="P386" i="1"/>
  <c r="Q385" i="1"/>
  <c r="P385" i="1"/>
  <c r="Q384" i="1"/>
  <c r="P384" i="1"/>
  <c r="Q383" i="1"/>
  <c r="P383" i="1"/>
  <c r="Q382" i="1"/>
  <c r="P382" i="1"/>
  <c r="Q381" i="1"/>
  <c r="Q380" i="1" s="1"/>
  <c r="P381" i="1"/>
  <c r="P380" i="1" s="1"/>
  <c r="CJ380" i="1"/>
  <c r="CI380" i="1"/>
  <c r="CI378" i="1" s="1"/>
  <c r="CG380" i="1"/>
  <c r="CG378" i="1" s="1"/>
  <c r="CF380" i="1"/>
  <c r="CD380" i="1"/>
  <c r="CC380" i="1"/>
  <c r="CC378" i="1" s="1"/>
  <c r="CA380" i="1"/>
  <c r="CA378" i="1" s="1"/>
  <c r="BZ380" i="1"/>
  <c r="BX380" i="1"/>
  <c r="BW380" i="1"/>
  <c r="BW378" i="1" s="1"/>
  <c r="BU380" i="1"/>
  <c r="BU378" i="1" s="1"/>
  <c r="BT380" i="1"/>
  <c r="BR380" i="1"/>
  <c r="BQ380" i="1"/>
  <c r="BQ378" i="1" s="1"/>
  <c r="BO380" i="1"/>
  <c r="BO378" i="1" s="1"/>
  <c r="BN380" i="1"/>
  <c r="BL380" i="1"/>
  <c r="BK380" i="1"/>
  <c r="BK378" i="1" s="1"/>
  <c r="BI380" i="1"/>
  <c r="BI378" i="1" s="1"/>
  <c r="BH380" i="1"/>
  <c r="BF380" i="1"/>
  <c r="BE380" i="1"/>
  <c r="BE378" i="1" s="1"/>
  <c r="BC380" i="1"/>
  <c r="BC378" i="1" s="1"/>
  <c r="BB380" i="1"/>
  <c r="AZ380" i="1"/>
  <c r="AY380" i="1"/>
  <c r="AY378" i="1" s="1"/>
  <c r="AW380" i="1"/>
  <c r="AW378" i="1" s="1"/>
  <c r="AV380" i="1"/>
  <c r="AT380" i="1"/>
  <c r="AS380" i="1"/>
  <c r="AS378" i="1" s="1"/>
  <c r="AQ380" i="1"/>
  <c r="AQ378" i="1" s="1"/>
  <c r="AP380" i="1"/>
  <c r="AN380" i="1"/>
  <c r="AM380" i="1"/>
  <c r="AM378" i="1" s="1"/>
  <c r="AK380" i="1"/>
  <c r="AK378" i="1" s="1"/>
  <c r="AJ380" i="1"/>
  <c r="AH380" i="1"/>
  <c r="AG380" i="1"/>
  <c r="AG378" i="1" s="1"/>
  <c r="AE380" i="1"/>
  <c r="AE378" i="1" s="1"/>
  <c r="AD380" i="1"/>
  <c r="AB380" i="1"/>
  <c r="AA380" i="1"/>
  <c r="AA378" i="1" s="1"/>
  <c r="Y380" i="1"/>
  <c r="Y378" i="1" s="1"/>
  <c r="X380" i="1"/>
  <c r="V380" i="1"/>
  <c r="U380" i="1"/>
  <c r="U378" i="1" s="1"/>
  <c r="S380" i="1"/>
  <c r="S378" i="1" s="1"/>
  <c r="R380" i="1"/>
  <c r="M380" i="1"/>
  <c r="L380" i="1"/>
  <c r="L371" i="1" s="1"/>
  <c r="K380" i="1"/>
  <c r="J380" i="1"/>
  <c r="J378" i="1" s="1"/>
  <c r="I380" i="1"/>
  <c r="I378" i="1" s="1"/>
  <c r="CJ378" i="1"/>
  <c r="CF378" i="1"/>
  <c r="CD378" i="1"/>
  <c r="BZ378" i="1"/>
  <c r="BX378" i="1"/>
  <c r="BT378" i="1"/>
  <c r="BR378" i="1"/>
  <c r="BN378" i="1"/>
  <c r="BL378" i="1"/>
  <c r="BH378" i="1"/>
  <c r="BF378" i="1"/>
  <c r="BB378" i="1"/>
  <c r="AZ378" i="1"/>
  <c r="AV378" i="1"/>
  <c r="AT378" i="1"/>
  <c r="AP378" i="1"/>
  <c r="AN378" i="1"/>
  <c r="AJ378" i="1"/>
  <c r="AH378" i="1"/>
  <c r="AD378" i="1"/>
  <c r="AB378" i="1"/>
  <c r="X378" i="1"/>
  <c r="V378" i="1"/>
  <c r="R378" i="1"/>
  <c r="L378" i="1"/>
  <c r="K378" i="1"/>
  <c r="H378" i="1"/>
  <c r="CJ377" i="1"/>
  <c r="CF377" i="1"/>
  <c r="CD377" i="1"/>
  <c r="BZ377" i="1"/>
  <c r="BX377" i="1"/>
  <c r="BT377" i="1"/>
  <c r="BR377" i="1"/>
  <c r="BN377" i="1"/>
  <c r="BL377" i="1"/>
  <c r="BH377" i="1"/>
  <c r="BF377" i="1"/>
  <c r="BB377" i="1"/>
  <c r="AZ377" i="1"/>
  <c r="AV377" i="1"/>
  <c r="AT377" i="1"/>
  <c r="AP377" i="1"/>
  <c r="AN377" i="1"/>
  <c r="AJ377" i="1"/>
  <c r="AH377" i="1"/>
  <c r="AD377" i="1"/>
  <c r="AB377" i="1"/>
  <c r="X377" i="1"/>
  <c r="V377" i="1"/>
  <c r="R377" i="1"/>
  <c r="L377" i="1"/>
  <c r="K377" i="1"/>
  <c r="H377" i="1"/>
  <c r="CJ376" i="1"/>
  <c r="CF376" i="1"/>
  <c r="CD376" i="1"/>
  <c r="BZ376" i="1"/>
  <c r="BX376" i="1"/>
  <c r="BT376" i="1"/>
  <c r="BR376" i="1"/>
  <c r="BN376" i="1"/>
  <c r="BL376" i="1"/>
  <c r="BH376" i="1"/>
  <c r="BF376" i="1"/>
  <c r="BB376" i="1"/>
  <c r="AZ376" i="1"/>
  <c r="AV376" i="1"/>
  <c r="AT376" i="1"/>
  <c r="AP376" i="1"/>
  <c r="AN376" i="1"/>
  <c r="AJ376" i="1"/>
  <c r="AH376" i="1"/>
  <c r="AD376" i="1"/>
  <c r="AB376" i="1"/>
  <c r="X376" i="1"/>
  <c r="V376" i="1"/>
  <c r="R376" i="1"/>
  <c r="L376" i="1"/>
  <c r="K376" i="1"/>
  <c r="H376" i="1"/>
  <c r="CJ375" i="1"/>
  <c r="CF375" i="1"/>
  <c r="CD375" i="1"/>
  <c r="BZ375" i="1"/>
  <c r="BX375" i="1"/>
  <c r="BT375" i="1"/>
  <c r="BR375" i="1"/>
  <c r="BN375" i="1"/>
  <c r="BL375" i="1"/>
  <c r="BH375" i="1"/>
  <c r="BF375" i="1"/>
  <c r="BB375" i="1"/>
  <c r="AZ375" i="1"/>
  <c r="AV375" i="1"/>
  <c r="AT375" i="1"/>
  <c r="AP375" i="1"/>
  <c r="AN375" i="1"/>
  <c r="AJ375" i="1"/>
  <c r="AH375" i="1"/>
  <c r="AD375" i="1"/>
  <c r="AB375" i="1"/>
  <c r="X375" i="1"/>
  <c r="V375" i="1"/>
  <c r="R375" i="1"/>
  <c r="L375" i="1"/>
  <c r="K375" i="1"/>
  <c r="H375" i="1"/>
  <c r="CJ374" i="1"/>
  <c r="CG374" i="1"/>
  <c r="CF374" i="1"/>
  <c r="CD374" i="1"/>
  <c r="CA374" i="1"/>
  <c r="BZ374" i="1"/>
  <c r="BX374" i="1"/>
  <c r="BU374" i="1"/>
  <c r="BT374" i="1"/>
  <c r="BR374" i="1"/>
  <c r="BO374" i="1"/>
  <c r="BN374" i="1"/>
  <c r="BL374" i="1"/>
  <c r="BI374" i="1"/>
  <c r="BH374" i="1"/>
  <c r="BF374" i="1"/>
  <c r="BC374" i="1"/>
  <c r="BB374" i="1"/>
  <c r="AZ374" i="1"/>
  <c r="AW374" i="1"/>
  <c r="AV374" i="1"/>
  <c r="AT374" i="1"/>
  <c r="AQ374" i="1"/>
  <c r="AP374" i="1"/>
  <c r="AN374" i="1"/>
  <c r="AK374" i="1"/>
  <c r="AJ374" i="1"/>
  <c r="AH374" i="1"/>
  <c r="AE374" i="1"/>
  <c r="AD374" i="1"/>
  <c r="AB374" i="1"/>
  <c r="Y374" i="1"/>
  <c r="X374" i="1"/>
  <c r="V374" i="1"/>
  <c r="S374" i="1"/>
  <c r="R374" i="1"/>
  <c r="M374" i="1"/>
  <c r="L374" i="1"/>
  <c r="K374" i="1"/>
  <c r="I374" i="1"/>
  <c r="H374" i="1"/>
  <c r="CJ373" i="1"/>
  <c r="CG373" i="1"/>
  <c r="CF373" i="1"/>
  <c r="CD373" i="1"/>
  <c r="CA373" i="1"/>
  <c r="BZ373" i="1"/>
  <c r="BX373" i="1"/>
  <c r="BU373" i="1"/>
  <c r="BT373" i="1"/>
  <c r="BR373" i="1"/>
  <c r="BO373" i="1"/>
  <c r="BN373" i="1"/>
  <c r="BL373" i="1"/>
  <c r="BI373" i="1"/>
  <c r="BH373" i="1"/>
  <c r="BF373" i="1"/>
  <c r="BC373" i="1"/>
  <c r="BB373" i="1"/>
  <c r="AZ373" i="1"/>
  <c r="AW373" i="1"/>
  <c r="AV373" i="1"/>
  <c r="AT373" i="1"/>
  <c r="AQ373" i="1"/>
  <c r="AP373" i="1"/>
  <c r="AN373" i="1"/>
  <c r="AK373" i="1"/>
  <c r="AJ373" i="1"/>
  <c r="AH373" i="1"/>
  <c r="AE373" i="1"/>
  <c r="AD373" i="1"/>
  <c r="AB373" i="1"/>
  <c r="Y373" i="1"/>
  <c r="X373" i="1"/>
  <c r="V373" i="1"/>
  <c r="S373" i="1"/>
  <c r="R373" i="1"/>
  <c r="M373" i="1"/>
  <c r="L373" i="1"/>
  <c r="K373" i="1"/>
  <c r="I373" i="1"/>
  <c r="H373" i="1"/>
  <c r="CJ372" i="1"/>
  <c r="CI372" i="1"/>
  <c r="CG372" i="1"/>
  <c r="CF372" i="1"/>
  <c r="CD372" i="1"/>
  <c r="CC372" i="1"/>
  <c r="CA372" i="1"/>
  <c r="BZ372" i="1"/>
  <c r="BX372" i="1"/>
  <c r="BW372" i="1"/>
  <c r="BU372" i="1"/>
  <c r="BT372" i="1"/>
  <c r="BR372" i="1"/>
  <c r="BQ372" i="1"/>
  <c r="BO372" i="1"/>
  <c r="BN372" i="1"/>
  <c r="BL372" i="1"/>
  <c r="BK372" i="1"/>
  <c r="BI372" i="1"/>
  <c r="BH372" i="1"/>
  <c r="BF372" i="1"/>
  <c r="BE372" i="1"/>
  <c r="BC372" i="1"/>
  <c r="BB372" i="1"/>
  <c r="AZ372" i="1"/>
  <c r="AY372" i="1"/>
  <c r="AW372" i="1"/>
  <c r="AV372" i="1"/>
  <c r="AT372" i="1"/>
  <c r="AS372" i="1"/>
  <c r="AQ372" i="1"/>
  <c r="AP372" i="1"/>
  <c r="AN372" i="1"/>
  <c r="AM372" i="1"/>
  <c r="AK372" i="1"/>
  <c r="AJ372" i="1"/>
  <c r="AH372" i="1"/>
  <c r="AG372" i="1"/>
  <c r="AE372" i="1"/>
  <c r="AD372" i="1"/>
  <c r="AB372" i="1"/>
  <c r="AA372" i="1"/>
  <c r="Y372" i="1"/>
  <c r="X372" i="1"/>
  <c r="V372" i="1"/>
  <c r="U372" i="1"/>
  <c r="S372" i="1"/>
  <c r="R372" i="1"/>
  <c r="M372" i="1"/>
  <c r="L372" i="1"/>
  <c r="K372" i="1"/>
  <c r="J372" i="1"/>
  <c r="I372" i="1"/>
  <c r="H372" i="1"/>
  <c r="M371" i="1"/>
  <c r="K371" i="1"/>
  <c r="J371" i="1"/>
  <c r="H371" i="1"/>
  <c r="CJ370" i="1"/>
  <c r="CI370" i="1"/>
  <c r="CG370" i="1"/>
  <c r="CF370" i="1"/>
  <c r="CD370" i="1"/>
  <c r="CC370" i="1"/>
  <c r="CA370" i="1"/>
  <c r="BZ370" i="1"/>
  <c r="BX370" i="1"/>
  <c r="BW370" i="1"/>
  <c r="BU370" i="1"/>
  <c r="BT370" i="1"/>
  <c r="BR370" i="1"/>
  <c r="BQ370" i="1"/>
  <c r="BO370" i="1"/>
  <c r="BN370" i="1"/>
  <c r="BL370" i="1"/>
  <c r="BK370" i="1"/>
  <c r="BI370" i="1"/>
  <c r="BH370" i="1"/>
  <c r="BF370" i="1"/>
  <c r="BE370" i="1"/>
  <c r="BC370" i="1"/>
  <c r="BB370" i="1"/>
  <c r="AZ370" i="1"/>
  <c r="AY370" i="1"/>
  <c r="AW370" i="1"/>
  <c r="AV370" i="1"/>
  <c r="AT370" i="1"/>
  <c r="AS370" i="1"/>
  <c r="AQ370" i="1"/>
  <c r="AP370" i="1"/>
  <c r="AN370" i="1"/>
  <c r="AM370" i="1"/>
  <c r="AK370" i="1"/>
  <c r="AJ370" i="1"/>
  <c r="AH370" i="1"/>
  <c r="AG370" i="1"/>
  <c r="AE370" i="1"/>
  <c r="AD370" i="1"/>
  <c r="AB370" i="1"/>
  <c r="AA370" i="1"/>
  <c r="Y370" i="1"/>
  <c r="X370" i="1"/>
  <c r="V370" i="1"/>
  <c r="U370" i="1"/>
  <c r="S370" i="1"/>
  <c r="R370" i="1"/>
  <c r="M370" i="1"/>
  <c r="L370" i="1"/>
  <c r="K370" i="1"/>
  <c r="J370" i="1"/>
  <c r="I370" i="1"/>
  <c r="H370" i="1"/>
  <c r="CJ369" i="1"/>
  <c r="CI369" i="1"/>
  <c r="CG369" i="1"/>
  <c r="CF369" i="1"/>
  <c r="CD369" i="1"/>
  <c r="CC369" i="1"/>
  <c r="CA369" i="1"/>
  <c r="BZ369" i="1"/>
  <c r="BX369" i="1"/>
  <c r="BW369" i="1"/>
  <c r="BU369" i="1"/>
  <c r="BT369" i="1"/>
  <c r="BR369" i="1"/>
  <c r="BQ369" i="1"/>
  <c r="BO369" i="1"/>
  <c r="BN369" i="1"/>
  <c r="BL369" i="1"/>
  <c r="BK369" i="1"/>
  <c r="BI369" i="1"/>
  <c r="BH369" i="1"/>
  <c r="BF369" i="1"/>
  <c r="BE369" i="1"/>
  <c r="BC369" i="1"/>
  <c r="BB369" i="1"/>
  <c r="AZ369" i="1"/>
  <c r="AY369" i="1"/>
  <c r="AW369" i="1"/>
  <c r="AV369" i="1"/>
  <c r="AT369" i="1"/>
  <c r="AS369" i="1"/>
  <c r="AQ369" i="1"/>
  <c r="AP369" i="1"/>
  <c r="AN369" i="1"/>
  <c r="AM369" i="1"/>
  <c r="AK369" i="1"/>
  <c r="AJ369" i="1"/>
  <c r="AH369" i="1"/>
  <c r="AG369" i="1"/>
  <c r="AE369" i="1"/>
  <c r="AD369" i="1"/>
  <c r="AB369" i="1"/>
  <c r="AA369" i="1"/>
  <c r="Y369" i="1"/>
  <c r="X369" i="1"/>
  <c r="V369" i="1"/>
  <c r="U369" i="1"/>
  <c r="S369" i="1"/>
  <c r="R369" i="1"/>
  <c r="M369" i="1"/>
  <c r="L369" i="1"/>
  <c r="K369" i="1"/>
  <c r="J369" i="1"/>
  <c r="I369" i="1"/>
  <c r="H369" i="1"/>
  <c r="CJ368" i="1"/>
  <c r="CI368" i="1"/>
  <c r="CG368" i="1"/>
  <c r="CF368" i="1"/>
  <c r="CD368" i="1"/>
  <c r="CC368" i="1"/>
  <c r="CA368" i="1"/>
  <c r="BZ368" i="1"/>
  <c r="BX368" i="1"/>
  <c r="BW368" i="1"/>
  <c r="BU368" i="1"/>
  <c r="BT368" i="1"/>
  <c r="BR368" i="1"/>
  <c r="BQ368" i="1"/>
  <c r="BO368" i="1"/>
  <c r="BN368" i="1"/>
  <c r="BL368" i="1"/>
  <c r="BK368" i="1"/>
  <c r="BI368" i="1"/>
  <c r="BH368" i="1"/>
  <c r="BF368" i="1"/>
  <c r="BE368" i="1"/>
  <c r="BC368" i="1"/>
  <c r="BB368" i="1"/>
  <c r="AZ368" i="1"/>
  <c r="AY368" i="1"/>
  <c r="AW368" i="1"/>
  <c r="AV368" i="1"/>
  <c r="AT368" i="1"/>
  <c r="AS368" i="1"/>
  <c r="AQ368" i="1"/>
  <c r="AP368" i="1"/>
  <c r="AN368" i="1"/>
  <c r="AM368" i="1"/>
  <c r="AK368" i="1"/>
  <c r="AJ368" i="1"/>
  <c r="AH368" i="1"/>
  <c r="AG368" i="1"/>
  <c r="AE368" i="1"/>
  <c r="AD368" i="1"/>
  <c r="AB368" i="1"/>
  <c r="AA368" i="1"/>
  <c r="Y368" i="1"/>
  <c r="X368" i="1"/>
  <c r="V368" i="1"/>
  <c r="U368" i="1"/>
  <c r="S368" i="1"/>
  <c r="R368" i="1"/>
  <c r="M368" i="1"/>
  <c r="L368" i="1"/>
  <c r="K368" i="1"/>
  <c r="J368" i="1"/>
  <c r="I368" i="1"/>
  <c r="H368" i="1"/>
  <c r="CJ367" i="1"/>
  <c r="CI367" i="1"/>
  <c r="CG367" i="1"/>
  <c r="CF367" i="1"/>
  <c r="CD367" i="1"/>
  <c r="CC367" i="1"/>
  <c r="CA367" i="1"/>
  <c r="BZ367" i="1"/>
  <c r="BX367" i="1"/>
  <c r="BW367" i="1"/>
  <c r="BU367" i="1"/>
  <c r="BT367" i="1"/>
  <c r="BR367" i="1"/>
  <c r="BQ367" i="1"/>
  <c r="BO367" i="1"/>
  <c r="BN367" i="1"/>
  <c r="BL367" i="1"/>
  <c r="BK367" i="1"/>
  <c r="BI367" i="1"/>
  <c r="BH367" i="1"/>
  <c r="BF367" i="1"/>
  <c r="BE367" i="1"/>
  <c r="BC367" i="1"/>
  <c r="BB367" i="1"/>
  <c r="AZ367" i="1"/>
  <c r="AY367" i="1"/>
  <c r="AW367" i="1"/>
  <c r="AV367" i="1"/>
  <c r="AT367" i="1"/>
  <c r="AS367" i="1"/>
  <c r="AQ367" i="1"/>
  <c r="AP367" i="1"/>
  <c r="AN367" i="1"/>
  <c r="AM367" i="1"/>
  <c r="AK367" i="1"/>
  <c r="AJ367" i="1"/>
  <c r="AH367" i="1"/>
  <c r="AG367" i="1"/>
  <c r="AE367" i="1"/>
  <c r="AD367" i="1"/>
  <c r="AB367" i="1"/>
  <c r="AA367" i="1"/>
  <c r="Y367" i="1"/>
  <c r="X367" i="1"/>
  <c r="V367" i="1"/>
  <c r="U367" i="1"/>
  <c r="S367" i="1"/>
  <c r="R367" i="1"/>
  <c r="M367" i="1"/>
  <c r="L367" i="1"/>
  <c r="K367" i="1"/>
  <c r="J367" i="1"/>
  <c r="I367" i="1"/>
  <c r="H367" i="1"/>
  <c r="CJ366" i="1"/>
  <c r="CI366" i="1"/>
  <c r="CG366" i="1"/>
  <c r="CF366" i="1"/>
  <c r="CD366" i="1"/>
  <c r="CC366" i="1"/>
  <c r="CA366" i="1"/>
  <c r="BZ366" i="1"/>
  <c r="BX366" i="1"/>
  <c r="BW366" i="1"/>
  <c r="BU366" i="1"/>
  <c r="BT366" i="1"/>
  <c r="BR366" i="1"/>
  <c r="BQ366" i="1"/>
  <c r="BO366" i="1"/>
  <c r="BN366" i="1"/>
  <c r="BL366" i="1"/>
  <c r="BK366" i="1"/>
  <c r="BI366" i="1"/>
  <c r="BH366" i="1"/>
  <c r="BF366" i="1"/>
  <c r="BE366" i="1"/>
  <c r="BC366" i="1"/>
  <c r="BB366" i="1"/>
  <c r="AZ366" i="1"/>
  <c r="AY366" i="1"/>
  <c r="AW366" i="1"/>
  <c r="AV366" i="1"/>
  <c r="AT366" i="1"/>
  <c r="AS366" i="1"/>
  <c r="AQ366" i="1"/>
  <c r="AP366" i="1"/>
  <c r="AN366" i="1"/>
  <c r="AM366" i="1"/>
  <c r="AK366" i="1"/>
  <c r="AJ366" i="1"/>
  <c r="AH366" i="1"/>
  <c r="AG366" i="1"/>
  <c r="AE366" i="1"/>
  <c r="AD366" i="1"/>
  <c r="AB366" i="1"/>
  <c r="AA366" i="1"/>
  <c r="Y366" i="1"/>
  <c r="X366" i="1"/>
  <c r="V366" i="1"/>
  <c r="U366" i="1"/>
  <c r="S366" i="1"/>
  <c r="R366" i="1"/>
  <c r="M366" i="1"/>
  <c r="L366" i="1"/>
  <c r="K366" i="1"/>
  <c r="J366" i="1"/>
  <c r="I366" i="1"/>
  <c r="H366" i="1"/>
  <c r="CJ365" i="1"/>
  <c r="CI365" i="1"/>
  <c r="CG365" i="1"/>
  <c r="CF365" i="1"/>
  <c r="CD365" i="1"/>
  <c r="CC365" i="1"/>
  <c r="CA365" i="1"/>
  <c r="BZ365" i="1"/>
  <c r="BX365" i="1"/>
  <c r="BW365" i="1"/>
  <c r="BU365" i="1"/>
  <c r="BT365" i="1"/>
  <c r="BR365" i="1"/>
  <c r="BQ365" i="1"/>
  <c r="BO365" i="1"/>
  <c r="BN365" i="1"/>
  <c r="BL365" i="1"/>
  <c r="BK365" i="1"/>
  <c r="BI365" i="1"/>
  <c r="BH365" i="1"/>
  <c r="BF365" i="1"/>
  <c r="BE365" i="1"/>
  <c r="BC365" i="1"/>
  <c r="BB365" i="1"/>
  <c r="AZ365" i="1"/>
  <c r="AY365" i="1"/>
  <c r="AW365" i="1"/>
  <c r="AV365" i="1"/>
  <c r="AT365" i="1"/>
  <c r="AS365" i="1"/>
  <c r="AQ365" i="1"/>
  <c r="AP365" i="1"/>
  <c r="AN365" i="1"/>
  <c r="AM365" i="1"/>
  <c r="AK365" i="1"/>
  <c r="AJ365" i="1"/>
  <c r="AH365" i="1"/>
  <c r="AG365" i="1"/>
  <c r="AE365" i="1"/>
  <c r="AD365" i="1"/>
  <c r="AB365" i="1"/>
  <c r="AA365" i="1"/>
  <c r="Y365" i="1"/>
  <c r="X365" i="1"/>
  <c r="V365" i="1"/>
  <c r="U365" i="1"/>
  <c r="S365" i="1"/>
  <c r="R365" i="1"/>
  <c r="M365" i="1"/>
  <c r="L365" i="1"/>
  <c r="K365" i="1"/>
  <c r="J365" i="1"/>
  <c r="I365" i="1"/>
  <c r="H365" i="1"/>
  <c r="CJ362" i="1"/>
  <c r="CI362" i="1"/>
  <c r="CI356" i="1" s="1"/>
  <c r="CG362" i="1"/>
  <c r="CG356" i="1" s="1"/>
  <c r="CF362" i="1"/>
  <c r="CD362" i="1"/>
  <c r="CC362" i="1"/>
  <c r="CC356" i="1" s="1"/>
  <c r="CA362" i="1"/>
  <c r="BZ362" i="1"/>
  <c r="BX362" i="1"/>
  <c r="BW362" i="1"/>
  <c r="BW356" i="1" s="1"/>
  <c r="BU362" i="1"/>
  <c r="BU356" i="1" s="1"/>
  <c r="BT362" i="1"/>
  <c r="BR362" i="1"/>
  <c r="BQ362" i="1"/>
  <c r="BQ356" i="1" s="1"/>
  <c r="BO362" i="1"/>
  <c r="BN362" i="1"/>
  <c r="BL362" i="1"/>
  <c r="BK362" i="1"/>
  <c r="BK356" i="1" s="1"/>
  <c r="BI362" i="1"/>
  <c r="BI356" i="1" s="1"/>
  <c r="BH362" i="1"/>
  <c r="BF362" i="1"/>
  <c r="BE362" i="1"/>
  <c r="BE356" i="1" s="1"/>
  <c r="BC362" i="1"/>
  <c r="BB362" i="1"/>
  <c r="AZ362" i="1"/>
  <c r="AY362" i="1"/>
  <c r="AY356" i="1" s="1"/>
  <c r="AW362" i="1"/>
  <c r="AW356" i="1" s="1"/>
  <c r="AV362" i="1"/>
  <c r="AT362" i="1"/>
  <c r="AS362" i="1"/>
  <c r="AS356" i="1" s="1"/>
  <c r="AQ362" i="1"/>
  <c r="AQ360" i="1" s="1"/>
  <c r="AP362" i="1"/>
  <c r="AN362" i="1"/>
  <c r="AM362" i="1"/>
  <c r="AM356" i="1" s="1"/>
  <c r="AK362" i="1"/>
  <c r="AK356" i="1" s="1"/>
  <c r="AJ362" i="1"/>
  <c r="AH362" i="1"/>
  <c r="AG362" i="1"/>
  <c r="AG356" i="1" s="1"/>
  <c r="AE362" i="1"/>
  <c r="AE360" i="1" s="1"/>
  <c r="AD362" i="1"/>
  <c r="AB362" i="1"/>
  <c r="AA362" i="1"/>
  <c r="AA356" i="1" s="1"/>
  <c r="Y362" i="1"/>
  <c r="Y356" i="1" s="1"/>
  <c r="X362" i="1"/>
  <c r="V362" i="1"/>
  <c r="U362" i="1"/>
  <c r="U356" i="1" s="1"/>
  <c r="S362" i="1"/>
  <c r="Q362" i="1" s="1"/>
  <c r="R362" i="1"/>
  <c r="P362" i="1" s="1"/>
  <c r="M362" i="1"/>
  <c r="L362" i="1"/>
  <c r="K362" i="1"/>
  <c r="J362" i="1"/>
  <c r="J356" i="1" s="1"/>
  <c r="CJ361" i="1"/>
  <c r="CI361" i="1"/>
  <c r="CG361" i="1"/>
  <c r="CF361" i="1"/>
  <c r="CF360" i="1" s="1"/>
  <c r="CD361" i="1"/>
  <c r="CC361" i="1"/>
  <c r="CA361" i="1"/>
  <c r="BZ361" i="1"/>
  <c r="BZ360" i="1" s="1"/>
  <c r="BX361" i="1"/>
  <c r="BW361" i="1"/>
  <c r="BU361" i="1"/>
  <c r="BT361" i="1"/>
  <c r="BT360" i="1" s="1"/>
  <c r="BR361" i="1"/>
  <c r="BQ361" i="1"/>
  <c r="BO361" i="1"/>
  <c r="BN361" i="1"/>
  <c r="BN360" i="1" s="1"/>
  <c r="BL361" i="1"/>
  <c r="BK361" i="1"/>
  <c r="BI361" i="1"/>
  <c r="BH361" i="1"/>
  <c r="BH360" i="1" s="1"/>
  <c r="BF361" i="1"/>
  <c r="BE361" i="1"/>
  <c r="BC361" i="1"/>
  <c r="BB361" i="1"/>
  <c r="BB360" i="1" s="1"/>
  <c r="AZ361" i="1"/>
  <c r="AY361" i="1"/>
  <c r="AW361" i="1"/>
  <c r="AV361" i="1"/>
  <c r="AV360" i="1" s="1"/>
  <c r="AT361" i="1"/>
  <c r="AS361" i="1"/>
  <c r="AQ361" i="1"/>
  <c r="AP361" i="1"/>
  <c r="AP360" i="1" s="1"/>
  <c r="AN361" i="1"/>
  <c r="AM361" i="1"/>
  <c r="AK361" i="1"/>
  <c r="AJ361" i="1"/>
  <c r="AJ360" i="1" s="1"/>
  <c r="AH361" i="1"/>
  <c r="AG361" i="1"/>
  <c r="AE361" i="1"/>
  <c r="AD361" i="1"/>
  <c r="AD360" i="1" s="1"/>
  <c r="AB361" i="1"/>
  <c r="AA361" i="1"/>
  <c r="Y361" i="1"/>
  <c r="X361" i="1"/>
  <c r="X360" i="1" s="1"/>
  <c r="V361" i="1"/>
  <c r="U361" i="1"/>
  <c r="S361" i="1"/>
  <c r="R361" i="1"/>
  <c r="R360" i="1" s="1"/>
  <c r="Q361" i="1"/>
  <c r="P361" i="1"/>
  <c r="M361" i="1"/>
  <c r="M355" i="1" s="1"/>
  <c r="L361" i="1"/>
  <c r="L360" i="1" s="1"/>
  <c r="K361" i="1"/>
  <c r="J361" i="1"/>
  <c r="I361" i="1"/>
  <c r="CI360" i="1"/>
  <c r="CG360" i="1"/>
  <c r="CC360" i="1"/>
  <c r="CA360" i="1"/>
  <c r="BW360" i="1"/>
  <c r="BU360" i="1"/>
  <c r="BU354" i="1" s="1"/>
  <c r="BQ360" i="1"/>
  <c r="BO360" i="1"/>
  <c r="BK360" i="1"/>
  <c r="BI360" i="1"/>
  <c r="BE360" i="1"/>
  <c r="BC360" i="1"/>
  <c r="AY360" i="1"/>
  <c r="AW360" i="1"/>
  <c r="AW354" i="1" s="1"/>
  <c r="AS360" i="1"/>
  <c r="AM360" i="1"/>
  <c r="AK360" i="1"/>
  <c r="AG360" i="1"/>
  <c r="AA360" i="1"/>
  <c r="Y360" i="1"/>
  <c r="Y354" i="1" s="1"/>
  <c r="U360" i="1"/>
  <c r="P360" i="1"/>
  <c r="J360" i="1"/>
  <c r="I360" i="1"/>
  <c r="H360" i="1"/>
  <c r="G360" i="1"/>
  <c r="F360" i="1"/>
  <c r="E360" i="1"/>
  <c r="Q359" i="1"/>
  <c r="P359" i="1"/>
  <c r="P356" i="1" s="1"/>
  <c r="Q358" i="1"/>
  <c r="Q357" i="1" s="1"/>
  <c r="P358" i="1"/>
  <c r="CJ357" i="1"/>
  <c r="CI357" i="1"/>
  <c r="CI354" i="1" s="1"/>
  <c r="CG357" i="1"/>
  <c r="CF357" i="1"/>
  <c r="CD357" i="1"/>
  <c r="CC357" i="1"/>
  <c r="CC354" i="1" s="1"/>
  <c r="CA357" i="1"/>
  <c r="CA354" i="1" s="1"/>
  <c r="BZ357" i="1"/>
  <c r="BX357" i="1"/>
  <c r="BW357" i="1"/>
  <c r="BW354" i="1" s="1"/>
  <c r="BU357" i="1"/>
  <c r="BT357" i="1"/>
  <c r="BR357" i="1"/>
  <c r="BQ357" i="1"/>
  <c r="BQ354" i="1" s="1"/>
  <c r="BO357" i="1"/>
  <c r="BO354" i="1" s="1"/>
  <c r="BN357" i="1"/>
  <c r="BL357" i="1"/>
  <c r="BK357" i="1"/>
  <c r="BK354" i="1" s="1"/>
  <c r="BI357" i="1"/>
  <c r="BH357" i="1"/>
  <c r="BF357" i="1"/>
  <c r="BE357" i="1"/>
  <c r="BE354" i="1" s="1"/>
  <c r="BC357" i="1"/>
  <c r="BC354" i="1" s="1"/>
  <c r="BB357" i="1"/>
  <c r="AZ357" i="1"/>
  <c r="AY357" i="1"/>
  <c r="AY354" i="1" s="1"/>
  <c r="AW357" i="1"/>
  <c r="AV357" i="1"/>
  <c r="AT357" i="1"/>
  <c r="AS357" i="1"/>
  <c r="AQ357" i="1"/>
  <c r="AP357" i="1"/>
  <c r="AN357" i="1"/>
  <c r="AM357" i="1"/>
  <c r="AM354" i="1" s="1"/>
  <c r="AK357" i="1"/>
  <c r="AK354" i="1" s="1"/>
  <c r="AJ357" i="1"/>
  <c r="AH357" i="1"/>
  <c r="AG357" i="1"/>
  <c r="AE357" i="1"/>
  <c r="AD357" i="1"/>
  <c r="AB357" i="1"/>
  <c r="AA357" i="1"/>
  <c r="AA354" i="1" s="1"/>
  <c r="Y357" i="1"/>
  <c r="X357" i="1"/>
  <c r="V357" i="1"/>
  <c r="U357" i="1"/>
  <c r="S357" i="1"/>
  <c r="R357" i="1"/>
  <c r="P357" i="1"/>
  <c r="P354" i="1" s="1"/>
  <c r="M357" i="1"/>
  <c r="L357" i="1"/>
  <c r="L354" i="1" s="1"/>
  <c r="K357" i="1"/>
  <c r="J357" i="1"/>
  <c r="I357" i="1"/>
  <c r="H357" i="1"/>
  <c r="H354" i="1" s="1"/>
  <c r="G357" i="1"/>
  <c r="G354" i="1" s="1"/>
  <c r="F357" i="1"/>
  <c r="E357" i="1"/>
  <c r="CJ356" i="1"/>
  <c r="CF356" i="1"/>
  <c r="CD356" i="1"/>
  <c r="CA356" i="1"/>
  <c r="BZ356" i="1"/>
  <c r="BX356" i="1"/>
  <c r="BT356" i="1"/>
  <c r="BR356" i="1"/>
  <c r="BO356" i="1"/>
  <c r="BN356" i="1"/>
  <c r="BL356" i="1"/>
  <c r="BH356" i="1"/>
  <c r="BF356" i="1"/>
  <c r="BC356" i="1"/>
  <c r="BB356" i="1"/>
  <c r="AZ356" i="1"/>
  <c r="AV356" i="1"/>
  <c r="AT356" i="1"/>
  <c r="AQ356" i="1"/>
  <c r="AP356" i="1"/>
  <c r="AN356" i="1"/>
  <c r="AJ356" i="1"/>
  <c r="AH356" i="1"/>
  <c r="AE356" i="1"/>
  <c r="AD356" i="1"/>
  <c r="AB356" i="1"/>
  <c r="X356" i="1"/>
  <c r="V356" i="1"/>
  <c r="S356" i="1"/>
  <c r="R356" i="1"/>
  <c r="Q356" i="1"/>
  <c r="L356" i="1"/>
  <c r="K356" i="1"/>
  <c r="I356" i="1"/>
  <c r="H356" i="1"/>
  <c r="G356" i="1"/>
  <c r="E356" i="1"/>
  <c r="CI355" i="1"/>
  <c r="CG355" i="1"/>
  <c r="CC355" i="1"/>
  <c r="CA355" i="1"/>
  <c r="BW355" i="1"/>
  <c r="BU355" i="1"/>
  <c r="BQ355" i="1"/>
  <c r="BO355" i="1"/>
  <c r="BK355" i="1"/>
  <c r="BI355" i="1"/>
  <c r="BE355" i="1"/>
  <c r="BC355" i="1"/>
  <c r="AY355" i="1"/>
  <c r="AW355" i="1"/>
  <c r="AS355" i="1"/>
  <c r="AQ355" i="1"/>
  <c r="AM355" i="1"/>
  <c r="AK355" i="1"/>
  <c r="AG355" i="1"/>
  <c r="AE355" i="1"/>
  <c r="AA355" i="1"/>
  <c r="Y355" i="1"/>
  <c r="U355" i="1"/>
  <c r="S355" i="1"/>
  <c r="P355" i="1"/>
  <c r="J355" i="1"/>
  <c r="I355" i="1"/>
  <c r="H355" i="1"/>
  <c r="G355" i="1"/>
  <c r="E355" i="1"/>
  <c r="CF354" i="1"/>
  <c r="BZ354" i="1"/>
  <c r="BT354" i="1"/>
  <c r="BN354" i="1"/>
  <c r="BH354" i="1"/>
  <c r="BB354" i="1"/>
  <c r="AV354" i="1"/>
  <c r="AP354" i="1"/>
  <c r="AJ354" i="1"/>
  <c r="AD354" i="1"/>
  <c r="X354" i="1"/>
  <c r="R354" i="1"/>
  <c r="I354" i="1"/>
  <c r="CJ353" i="1"/>
  <c r="CI353" i="1"/>
  <c r="CG353" i="1"/>
  <c r="CF353" i="1"/>
  <c r="CD353" i="1"/>
  <c r="CC353" i="1"/>
  <c r="CA353" i="1"/>
  <c r="BZ353" i="1"/>
  <c r="BX353" i="1"/>
  <c r="BW353" i="1"/>
  <c r="BU353" i="1"/>
  <c r="BT353" i="1"/>
  <c r="BR353" i="1"/>
  <c r="BQ353" i="1"/>
  <c r="BO353" i="1"/>
  <c r="BN353" i="1"/>
  <c r="BL353" i="1"/>
  <c r="BK353" i="1"/>
  <c r="BI353" i="1"/>
  <c r="BH353" i="1"/>
  <c r="BF353" i="1"/>
  <c r="BE353" i="1"/>
  <c r="BC353" i="1"/>
  <c r="BB353" i="1"/>
  <c r="AZ353" i="1"/>
  <c r="AY353" i="1"/>
  <c r="AW353" i="1"/>
  <c r="AV353" i="1"/>
  <c r="AT353" i="1"/>
  <c r="AS353" i="1"/>
  <c r="AQ353" i="1"/>
  <c r="AP353" i="1"/>
  <c r="AN353" i="1"/>
  <c r="AM353" i="1"/>
  <c r="AK353" i="1"/>
  <c r="AJ353" i="1"/>
  <c r="AH353" i="1"/>
  <c r="AG353" i="1"/>
  <c r="AE353" i="1"/>
  <c r="AD353" i="1"/>
  <c r="AB353" i="1"/>
  <c r="AA353" i="1"/>
  <c r="Y353" i="1"/>
  <c r="X353" i="1"/>
  <c r="V353" i="1"/>
  <c r="U353" i="1"/>
  <c r="S353" i="1"/>
  <c r="R353" i="1"/>
  <c r="Q353" i="1"/>
  <c r="Q347" i="1" s="1"/>
  <c r="P353" i="1"/>
  <c r="M353" i="1"/>
  <c r="L353" i="1"/>
  <c r="K353" i="1"/>
  <c r="J353" i="1"/>
  <c r="CJ352" i="1"/>
  <c r="CI352" i="1"/>
  <c r="CG352" i="1"/>
  <c r="CF352" i="1"/>
  <c r="CD352" i="1"/>
  <c r="CC352" i="1"/>
  <c r="CA352" i="1"/>
  <c r="BZ352" i="1"/>
  <c r="BX352" i="1"/>
  <c r="BW352" i="1"/>
  <c r="BU352" i="1"/>
  <c r="BT352" i="1"/>
  <c r="BR352" i="1"/>
  <c r="BQ352" i="1"/>
  <c r="BO352" i="1"/>
  <c r="BN352" i="1"/>
  <c r="BL352" i="1"/>
  <c r="BK352" i="1"/>
  <c r="BI352" i="1"/>
  <c r="BH352" i="1"/>
  <c r="BF352" i="1"/>
  <c r="BE352" i="1"/>
  <c r="BC352" i="1"/>
  <c r="BB352" i="1"/>
  <c r="AZ352" i="1"/>
  <c r="AY352" i="1"/>
  <c r="AW352" i="1"/>
  <c r="AV352" i="1"/>
  <c r="AT352" i="1"/>
  <c r="AS352" i="1"/>
  <c r="AQ352" i="1"/>
  <c r="AP352" i="1"/>
  <c r="AN352" i="1"/>
  <c r="AM352" i="1"/>
  <c r="AK352" i="1"/>
  <c r="AJ352" i="1"/>
  <c r="AH352" i="1"/>
  <c r="AG352" i="1"/>
  <c r="AE352" i="1"/>
  <c r="AD352" i="1"/>
  <c r="AB352" i="1"/>
  <c r="AA352" i="1"/>
  <c r="Y352" i="1"/>
  <c r="X352" i="1"/>
  <c r="V352" i="1"/>
  <c r="U352" i="1"/>
  <c r="S352" i="1"/>
  <c r="R352" i="1"/>
  <c r="P352" i="1" s="1"/>
  <c r="M352" i="1"/>
  <c r="L352" i="1"/>
  <c r="K352" i="1"/>
  <c r="J352" i="1"/>
  <c r="J351" i="1" s="1"/>
  <c r="I352" i="1"/>
  <c r="CI351" i="1"/>
  <c r="CF351" i="1"/>
  <c r="CC351" i="1"/>
  <c r="BZ351" i="1"/>
  <c r="BW351" i="1"/>
  <c r="BT351" i="1"/>
  <c r="BQ351" i="1"/>
  <c r="BN351" i="1"/>
  <c r="BK351" i="1"/>
  <c r="BH351" i="1"/>
  <c r="BE351" i="1"/>
  <c r="BB351" i="1"/>
  <c r="AY351" i="1"/>
  <c r="AV351" i="1"/>
  <c r="AS351" i="1"/>
  <c r="AP351" i="1"/>
  <c r="AM351" i="1"/>
  <c r="AJ351" i="1"/>
  <c r="AG351" i="1"/>
  <c r="AD351" i="1"/>
  <c r="AA351" i="1"/>
  <c r="X351" i="1"/>
  <c r="U351" i="1"/>
  <c r="R351" i="1"/>
  <c r="P351" i="1"/>
  <c r="I351" i="1"/>
  <c r="H351" i="1"/>
  <c r="H345" i="1" s="1"/>
  <c r="G351" i="1"/>
  <c r="F351" i="1"/>
  <c r="E351" i="1"/>
  <c r="Q350" i="1"/>
  <c r="P350" i="1"/>
  <c r="P347" i="1" s="1"/>
  <c r="Q349" i="1"/>
  <c r="P349" i="1"/>
  <c r="P346" i="1" s="1"/>
  <c r="CJ348" i="1"/>
  <c r="CI348" i="1"/>
  <c r="CI345" i="1" s="1"/>
  <c r="CG348" i="1"/>
  <c r="CF348" i="1"/>
  <c r="CD348" i="1"/>
  <c r="CC348" i="1"/>
  <c r="CC345" i="1" s="1"/>
  <c r="CA348" i="1"/>
  <c r="BZ348" i="1"/>
  <c r="BX348" i="1"/>
  <c r="BW348" i="1"/>
  <c r="BW345" i="1" s="1"/>
  <c r="BU348" i="1"/>
  <c r="BT348" i="1"/>
  <c r="BR348" i="1"/>
  <c r="BQ348" i="1"/>
  <c r="BQ345" i="1" s="1"/>
  <c r="BO348" i="1"/>
  <c r="BN348" i="1"/>
  <c r="BL348" i="1"/>
  <c r="BK348" i="1"/>
  <c r="BK345" i="1" s="1"/>
  <c r="BI348" i="1"/>
  <c r="BH348" i="1"/>
  <c r="BF348" i="1"/>
  <c r="BE348" i="1"/>
  <c r="BE345" i="1" s="1"/>
  <c r="BC348" i="1"/>
  <c r="BB348" i="1"/>
  <c r="AZ348" i="1"/>
  <c r="AY348" i="1"/>
  <c r="AY345" i="1" s="1"/>
  <c r="AW348" i="1"/>
  <c r="AV348" i="1"/>
  <c r="AT348" i="1"/>
  <c r="AS348" i="1"/>
  <c r="AS345" i="1" s="1"/>
  <c r="AQ348" i="1"/>
  <c r="AP348" i="1"/>
  <c r="AN348" i="1"/>
  <c r="AM348" i="1"/>
  <c r="AM345" i="1" s="1"/>
  <c r="AK348" i="1"/>
  <c r="AJ348" i="1"/>
  <c r="AH348" i="1"/>
  <c r="AG348" i="1"/>
  <c r="AG345" i="1" s="1"/>
  <c r="AE348" i="1"/>
  <c r="AD348" i="1"/>
  <c r="AB348" i="1"/>
  <c r="AA348" i="1"/>
  <c r="AA345" i="1" s="1"/>
  <c r="Y348" i="1"/>
  <c r="X348" i="1"/>
  <c r="V348" i="1"/>
  <c r="U348" i="1"/>
  <c r="U345" i="1" s="1"/>
  <c r="S348" i="1"/>
  <c r="R348" i="1"/>
  <c r="Q348" i="1"/>
  <c r="P348" i="1"/>
  <c r="P345" i="1" s="1"/>
  <c r="M348" i="1"/>
  <c r="L348" i="1"/>
  <c r="K348" i="1"/>
  <c r="J348" i="1"/>
  <c r="J345" i="1" s="1"/>
  <c r="I348" i="1"/>
  <c r="H348" i="1"/>
  <c r="G348" i="1"/>
  <c r="F348" i="1"/>
  <c r="E348" i="1"/>
  <c r="CI347" i="1"/>
  <c r="CG347" i="1"/>
  <c r="CF347" i="1"/>
  <c r="CC347" i="1"/>
  <c r="CA347" i="1"/>
  <c r="BZ347" i="1"/>
  <c r="BW347" i="1"/>
  <c r="BU347" i="1"/>
  <c r="BT347" i="1"/>
  <c r="BQ347" i="1"/>
  <c r="BO347" i="1"/>
  <c r="BN347" i="1"/>
  <c r="BK347" i="1"/>
  <c r="BI347" i="1"/>
  <c r="BH347" i="1"/>
  <c r="BE347" i="1"/>
  <c r="BC347" i="1"/>
  <c r="BB347" i="1"/>
  <c r="AY347" i="1"/>
  <c r="AW347" i="1"/>
  <c r="AV347" i="1"/>
  <c r="AS347" i="1"/>
  <c r="AQ347" i="1"/>
  <c r="AP347" i="1"/>
  <c r="AM347" i="1"/>
  <c r="AK347" i="1"/>
  <c r="AJ347" i="1"/>
  <c r="AG347" i="1"/>
  <c r="AE347" i="1"/>
  <c r="AD347" i="1"/>
  <c r="AA347" i="1"/>
  <c r="Y347" i="1"/>
  <c r="X347" i="1"/>
  <c r="U347" i="1"/>
  <c r="S347" i="1"/>
  <c r="R347" i="1"/>
  <c r="M347" i="1"/>
  <c r="L347" i="1"/>
  <c r="J347" i="1"/>
  <c r="I347" i="1"/>
  <c r="H347" i="1"/>
  <c r="G347" i="1"/>
  <c r="E347" i="1"/>
  <c r="CJ346" i="1"/>
  <c r="CI346" i="1"/>
  <c r="CF346" i="1"/>
  <c r="CD346" i="1"/>
  <c r="CC346" i="1"/>
  <c r="BZ346" i="1"/>
  <c r="BX346" i="1"/>
  <c r="BW346" i="1"/>
  <c r="BT346" i="1"/>
  <c r="BR346" i="1"/>
  <c r="BQ346" i="1"/>
  <c r="BN346" i="1"/>
  <c r="BL346" i="1"/>
  <c r="BK346" i="1"/>
  <c r="BH346" i="1"/>
  <c r="BF346" i="1"/>
  <c r="BE346" i="1"/>
  <c r="BB346" i="1"/>
  <c r="AZ346" i="1"/>
  <c r="AY346" i="1"/>
  <c r="AV346" i="1"/>
  <c r="AT346" i="1"/>
  <c r="AS346" i="1"/>
  <c r="AP346" i="1"/>
  <c r="AN346" i="1"/>
  <c r="AM346" i="1"/>
  <c r="AJ346" i="1"/>
  <c r="AH346" i="1"/>
  <c r="AG346" i="1"/>
  <c r="AD346" i="1"/>
  <c r="AB346" i="1"/>
  <c r="AA346" i="1"/>
  <c r="X346" i="1"/>
  <c r="V346" i="1"/>
  <c r="U346" i="1"/>
  <c r="R346" i="1"/>
  <c r="K346" i="1"/>
  <c r="J346" i="1"/>
  <c r="I346" i="1"/>
  <c r="H346" i="1"/>
  <c r="G346" i="1"/>
  <c r="E346" i="1"/>
  <c r="CF345" i="1"/>
  <c r="BZ345" i="1"/>
  <c r="BT345" i="1"/>
  <c r="BN345" i="1"/>
  <c r="BH345" i="1"/>
  <c r="BB345" i="1"/>
  <c r="AV345" i="1"/>
  <c r="AP345" i="1"/>
  <c r="AJ345" i="1"/>
  <c r="AD345" i="1"/>
  <c r="X345" i="1"/>
  <c r="R345" i="1"/>
  <c r="I345" i="1"/>
  <c r="E345" i="1"/>
  <c r="Q343" i="1"/>
  <c r="Q329" i="1" s="1"/>
  <c r="P343" i="1"/>
  <c r="Q342" i="1"/>
  <c r="P342" i="1"/>
  <c r="CJ341" i="1"/>
  <c r="CI341" i="1"/>
  <c r="CG341" i="1"/>
  <c r="CF341" i="1"/>
  <c r="CD341" i="1"/>
  <c r="CC341" i="1"/>
  <c r="CA341" i="1"/>
  <c r="BZ341" i="1"/>
  <c r="BX341" i="1"/>
  <c r="BW341" i="1"/>
  <c r="BU341" i="1"/>
  <c r="BT341" i="1"/>
  <c r="BR341" i="1"/>
  <c r="BQ341" i="1"/>
  <c r="BO341" i="1"/>
  <c r="BN341" i="1"/>
  <c r="BL341" i="1"/>
  <c r="BK341" i="1"/>
  <c r="BI341" i="1"/>
  <c r="BH341" i="1"/>
  <c r="BF341" i="1"/>
  <c r="BE341" i="1"/>
  <c r="BC341" i="1"/>
  <c r="BB341" i="1"/>
  <c r="AZ341" i="1"/>
  <c r="AY341" i="1"/>
  <c r="AW341" i="1"/>
  <c r="AV341" i="1"/>
  <c r="AT341" i="1"/>
  <c r="AS341" i="1"/>
  <c r="AQ341" i="1"/>
  <c r="AP341" i="1"/>
  <c r="AN341" i="1"/>
  <c r="AM341" i="1"/>
  <c r="AK341" i="1"/>
  <c r="AJ341" i="1"/>
  <c r="AH341" i="1"/>
  <c r="AG341" i="1"/>
  <c r="AE341" i="1"/>
  <c r="AD341" i="1"/>
  <c r="AB341" i="1"/>
  <c r="AA341" i="1"/>
  <c r="Y341" i="1"/>
  <c r="X341" i="1"/>
  <c r="V341" i="1"/>
  <c r="U341" i="1"/>
  <c r="S341" i="1"/>
  <c r="R341" i="1"/>
  <c r="Q341" i="1"/>
  <c r="P341" i="1"/>
  <c r="M341" i="1"/>
  <c r="L341" i="1"/>
  <c r="K341" i="1"/>
  <c r="J341" i="1"/>
  <c r="I341" i="1"/>
  <c r="H341" i="1"/>
  <c r="G341" i="1"/>
  <c r="G327" i="1" s="1"/>
  <c r="F341" i="1"/>
  <c r="E341" i="1"/>
  <c r="Q340" i="1"/>
  <c r="P340" i="1"/>
  <c r="P326" i="1" s="1"/>
  <c r="Q339" i="1"/>
  <c r="P339" i="1"/>
  <c r="J339" i="1"/>
  <c r="I339" i="1"/>
  <c r="I338" i="1" s="1"/>
  <c r="I337" i="1" s="1"/>
  <c r="H339" i="1"/>
  <c r="G339" i="1"/>
  <c r="G338" i="1" s="1"/>
  <c r="CJ338" i="1"/>
  <c r="CI338" i="1"/>
  <c r="CG338" i="1"/>
  <c r="CF338" i="1"/>
  <c r="CF337" i="1" s="1"/>
  <c r="CD338" i="1"/>
  <c r="CC338" i="1"/>
  <c r="CA338" i="1"/>
  <c r="BZ338" i="1"/>
  <c r="BZ337" i="1" s="1"/>
  <c r="BX338" i="1"/>
  <c r="BW338" i="1"/>
  <c r="BU338" i="1"/>
  <c r="BT338" i="1"/>
  <c r="BT337" i="1" s="1"/>
  <c r="BR338" i="1"/>
  <c r="BQ338" i="1"/>
  <c r="BO338" i="1"/>
  <c r="BN338" i="1"/>
  <c r="BN337" i="1" s="1"/>
  <c r="BL338" i="1"/>
  <c r="BK338" i="1"/>
  <c r="BI338" i="1"/>
  <c r="BH338" i="1"/>
  <c r="BH337" i="1" s="1"/>
  <c r="BF338" i="1"/>
  <c r="BE338" i="1"/>
  <c r="BC338" i="1"/>
  <c r="BB338" i="1"/>
  <c r="BB337" i="1" s="1"/>
  <c r="AZ338" i="1"/>
  <c r="AY338" i="1"/>
  <c r="AW338" i="1"/>
  <c r="AV338" i="1"/>
  <c r="AV337" i="1" s="1"/>
  <c r="AT338" i="1"/>
  <c r="AS338" i="1"/>
  <c r="AQ338" i="1"/>
  <c r="AP338" i="1"/>
  <c r="AP337" i="1" s="1"/>
  <c r="AN338" i="1"/>
  <c r="AM338" i="1"/>
  <c r="AK338" i="1"/>
  <c r="AJ338" i="1"/>
  <c r="AJ337" i="1" s="1"/>
  <c r="AH338" i="1"/>
  <c r="AG338" i="1"/>
  <c r="AE338" i="1"/>
  <c r="AD338" i="1"/>
  <c r="AD337" i="1" s="1"/>
  <c r="AB338" i="1"/>
  <c r="AA338" i="1"/>
  <c r="Y338" i="1"/>
  <c r="X338" i="1"/>
  <c r="V338" i="1"/>
  <c r="V324" i="1" s="1"/>
  <c r="U338" i="1"/>
  <c r="S338" i="1"/>
  <c r="R338" i="1"/>
  <c r="Q338" i="1"/>
  <c r="P338" i="1"/>
  <c r="M338" i="1"/>
  <c r="L338" i="1"/>
  <c r="K338" i="1"/>
  <c r="J338" i="1"/>
  <c r="H338" i="1"/>
  <c r="F338" i="1"/>
  <c r="E338" i="1"/>
  <c r="CG337" i="1"/>
  <c r="CA337" i="1"/>
  <c r="BU337" i="1"/>
  <c r="BO337" i="1"/>
  <c r="BI337" i="1"/>
  <c r="BC337" i="1"/>
  <c r="AW337" i="1"/>
  <c r="AQ337" i="1"/>
  <c r="AK337" i="1"/>
  <c r="AE337" i="1"/>
  <c r="Y337" i="1"/>
  <c r="S337" i="1"/>
  <c r="M337" i="1"/>
  <c r="Q336" i="1"/>
  <c r="P336" i="1"/>
  <c r="Q335" i="1"/>
  <c r="P335" i="1"/>
  <c r="CJ334" i="1"/>
  <c r="CI334" i="1"/>
  <c r="CG334" i="1"/>
  <c r="CF334" i="1"/>
  <c r="CD334" i="1"/>
  <c r="CC334" i="1"/>
  <c r="CA334" i="1"/>
  <c r="BZ334" i="1"/>
  <c r="BZ327" i="1" s="1"/>
  <c r="BX334" i="1"/>
  <c r="BW334" i="1"/>
  <c r="BU334" i="1"/>
  <c r="BT334" i="1"/>
  <c r="BT327" i="1" s="1"/>
  <c r="BR334" i="1"/>
  <c r="BQ334" i="1"/>
  <c r="BO334" i="1"/>
  <c r="BN334" i="1"/>
  <c r="BN327" i="1" s="1"/>
  <c r="BL334" i="1"/>
  <c r="BK334" i="1"/>
  <c r="BI334" i="1"/>
  <c r="BH334" i="1"/>
  <c r="BF334" i="1"/>
  <c r="BE334" i="1"/>
  <c r="BC334" i="1"/>
  <c r="BB334" i="1"/>
  <c r="BB327" i="1" s="1"/>
  <c r="AZ334" i="1"/>
  <c r="AY334" i="1"/>
  <c r="AW334" i="1"/>
  <c r="AV334" i="1"/>
  <c r="AV327" i="1" s="1"/>
  <c r="AT334" i="1"/>
  <c r="AS334" i="1"/>
  <c r="AQ334" i="1"/>
  <c r="AP334" i="1"/>
  <c r="AP327" i="1" s="1"/>
  <c r="AN334" i="1"/>
  <c r="AM334" i="1"/>
  <c r="AK334" i="1"/>
  <c r="AJ334" i="1"/>
  <c r="AH334" i="1"/>
  <c r="AG334" i="1"/>
  <c r="AE334" i="1"/>
  <c r="AD334" i="1"/>
  <c r="AD327" i="1" s="1"/>
  <c r="AB334" i="1"/>
  <c r="AA334" i="1"/>
  <c r="Y334" i="1"/>
  <c r="Y327" i="1" s="1"/>
  <c r="X334" i="1"/>
  <c r="V334" i="1"/>
  <c r="U334" i="1"/>
  <c r="U327" i="1" s="1"/>
  <c r="S334" i="1"/>
  <c r="R334" i="1"/>
  <c r="Q334" i="1"/>
  <c r="M334" i="1"/>
  <c r="L334" i="1"/>
  <c r="L327" i="1" s="1"/>
  <c r="K334" i="1"/>
  <c r="J334" i="1"/>
  <c r="I334" i="1"/>
  <c r="I327" i="1" s="1"/>
  <c r="H334" i="1"/>
  <c r="H327" i="1" s="1"/>
  <c r="G334" i="1"/>
  <c r="F334" i="1"/>
  <c r="E334" i="1"/>
  <c r="E330" i="1" s="1"/>
  <c r="Q333" i="1"/>
  <c r="P333" i="1"/>
  <c r="Q332" i="1"/>
  <c r="P332" i="1"/>
  <c r="I332" i="1"/>
  <c r="CJ331" i="1"/>
  <c r="CI331" i="1"/>
  <c r="CI330" i="1" s="1"/>
  <c r="CG331" i="1"/>
  <c r="CF331" i="1"/>
  <c r="CD331" i="1"/>
  <c r="CC331" i="1"/>
  <c r="CC330" i="1" s="1"/>
  <c r="CA331" i="1"/>
  <c r="BZ331" i="1"/>
  <c r="BX331" i="1"/>
  <c r="BW331" i="1"/>
  <c r="BW330" i="1" s="1"/>
  <c r="BU331" i="1"/>
  <c r="BT331" i="1"/>
  <c r="BR331" i="1"/>
  <c r="BQ331" i="1"/>
  <c r="BQ330" i="1" s="1"/>
  <c r="BO331" i="1"/>
  <c r="BN331" i="1"/>
  <c r="BL331" i="1"/>
  <c r="BK331" i="1"/>
  <c r="BK330" i="1" s="1"/>
  <c r="BI331" i="1"/>
  <c r="BH331" i="1"/>
  <c r="BF331" i="1"/>
  <c r="BE331" i="1"/>
  <c r="BE330" i="1" s="1"/>
  <c r="BC331" i="1"/>
  <c r="BB331" i="1"/>
  <c r="AZ331" i="1"/>
  <c r="AY331" i="1"/>
  <c r="AY330" i="1" s="1"/>
  <c r="AW331" i="1"/>
  <c r="AV331" i="1"/>
  <c r="AT331" i="1"/>
  <c r="AS331" i="1"/>
  <c r="AS330" i="1" s="1"/>
  <c r="AQ331" i="1"/>
  <c r="AP331" i="1"/>
  <c r="AN331" i="1"/>
  <c r="AM331" i="1"/>
  <c r="AM330" i="1" s="1"/>
  <c r="AK331" i="1"/>
  <c r="AJ331" i="1"/>
  <c r="AH331" i="1"/>
  <c r="AG331" i="1"/>
  <c r="AG330" i="1" s="1"/>
  <c r="AE331" i="1"/>
  <c r="AD331" i="1"/>
  <c r="AB331" i="1"/>
  <c r="AA331" i="1"/>
  <c r="AA330" i="1" s="1"/>
  <c r="Y331" i="1"/>
  <c r="Y324" i="1" s="1"/>
  <c r="X331" i="1"/>
  <c r="V331" i="1"/>
  <c r="U331" i="1"/>
  <c r="S331" i="1"/>
  <c r="S330" i="1" s="1"/>
  <c r="R331" i="1"/>
  <c r="P331" i="1"/>
  <c r="M331" i="1"/>
  <c r="L331" i="1"/>
  <c r="K331" i="1"/>
  <c r="J331" i="1"/>
  <c r="J330" i="1" s="1"/>
  <c r="H331" i="1"/>
  <c r="G331" i="1"/>
  <c r="G330" i="1" s="1"/>
  <c r="F331" i="1"/>
  <c r="F330" i="1" s="1"/>
  <c r="E331" i="1"/>
  <c r="CJ330" i="1"/>
  <c r="CG330" i="1"/>
  <c r="CD330" i="1"/>
  <c r="CA330" i="1"/>
  <c r="BX330" i="1"/>
  <c r="BU330" i="1"/>
  <c r="BR330" i="1"/>
  <c r="BO330" i="1"/>
  <c r="BL330" i="1"/>
  <c r="BI330" i="1"/>
  <c r="BF330" i="1"/>
  <c r="BC330" i="1"/>
  <c r="AZ330" i="1"/>
  <c r="AW330" i="1"/>
  <c r="AT330" i="1"/>
  <c r="AQ330" i="1"/>
  <c r="AN330" i="1"/>
  <c r="AK330" i="1"/>
  <c r="AH330" i="1"/>
  <c r="AE330" i="1"/>
  <c r="AB330" i="1"/>
  <c r="Y330" i="1"/>
  <c r="V330" i="1"/>
  <c r="K330" i="1"/>
  <c r="CJ329" i="1"/>
  <c r="CI329" i="1"/>
  <c r="CG329" i="1"/>
  <c r="CF329" i="1"/>
  <c r="CD329" i="1"/>
  <c r="CC329" i="1"/>
  <c r="CA329" i="1"/>
  <c r="BZ329" i="1"/>
  <c r="BX329" i="1"/>
  <c r="BW329" i="1"/>
  <c r="BU329" i="1"/>
  <c r="BT329" i="1"/>
  <c r="BR329" i="1"/>
  <c r="BQ329" i="1"/>
  <c r="BO329" i="1"/>
  <c r="BN329" i="1"/>
  <c r="BL329" i="1"/>
  <c r="BK329" i="1"/>
  <c r="BI329" i="1"/>
  <c r="BH329" i="1"/>
  <c r="BF329" i="1"/>
  <c r="BE329" i="1"/>
  <c r="BC329" i="1"/>
  <c r="BB329" i="1"/>
  <c r="AZ329" i="1"/>
  <c r="AY329" i="1"/>
  <c r="AW329" i="1"/>
  <c r="AV329" i="1"/>
  <c r="AT329" i="1"/>
  <c r="AS329" i="1"/>
  <c r="AQ329" i="1"/>
  <c r="AP329" i="1"/>
  <c r="AN329" i="1"/>
  <c r="AM329" i="1"/>
  <c r="AK329" i="1"/>
  <c r="AJ329" i="1"/>
  <c r="AH329" i="1"/>
  <c r="AG329" i="1"/>
  <c r="AE329" i="1"/>
  <c r="AD329" i="1"/>
  <c r="AB329" i="1"/>
  <c r="AA329" i="1"/>
  <c r="Y329" i="1"/>
  <c r="X329" i="1"/>
  <c r="V329" i="1"/>
  <c r="U329" i="1"/>
  <c r="S329" i="1"/>
  <c r="R329" i="1"/>
  <c r="P329" i="1"/>
  <c r="M329" i="1"/>
  <c r="L329" i="1"/>
  <c r="K329" i="1"/>
  <c r="J329" i="1"/>
  <c r="I329" i="1"/>
  <c r="H329" i="1"/>
  <c r="G329" i="1"/>
  <c r="F329" i="1"/>
  <c r="E329" i="1"/>
  <c r="CJ328" i="1"/>
  <c r="CI328" i="1"/>
  <c r="CG328" i="1"/>
  <c r="CF328" i="1"/>
  <c r="CD328" i="1"/>
  <c r="CC328" i="1"/>
  <c r="CA328" i="1"/>
  <c r="BZ328" i="1"/>
  <c r="BX328" i="1"/>
  <c r="BW328" i="1"/>
  <c r="BU328" i="1"/>
  <c r="BT328" i="1"/>
  <c r="BR328" i="1"/>
  <c r="BQ328" i="1"/>
  <c r="BO328" i="1"/>
  <c r="BN328" i="1"/>
  <c r="BL328" i="1"/>
  <c r="BK328" i="1"/>
  <c r="BI328" i="1"/>
  <c r="BH328" i="1"/>
  <c r="BF328" i="1"/>
  <c r="BE328" i="1"/>
  <c r="BC328" i="1"/>
  <c r="BB328" i="1"/>
  <c r="AZ328" i="1"/>
  <c r="AY328" i="1"/>
  <c r="AW328" i="1"/>
  <c r="AV328" i="1"/>
  <c r="AT328" i="1"/>
  <c r="AS328" i="1"/>
  <c r="AQ328" i="1"/>
  <c r="AP328" i="1"/>
  <c r="AN328" i="1"/>
  <c r="AM328" i="1"/>
  <c r="AK328" i="1"/>
  <c r="AJ328" i="1"/>
  <c r="AH328" i="1"/>
  <c r="AG328" i="1"/>
  <c r="AE328" i="1"/>
  <c r="AD328" i="1"/>
  <c r="AB328" i="1"/>
  <c r="AA328" i="1"/>
  <c r="Y328" i="1"/>
  <c r="X328" i="1"/>
  <c r="V328" i="1"/>
  <c r="U328" i="1"/>
  <c r="S328" i="1"/>
  <c r="R328" i="1"/>
  <c r="Q328" i="1"/>
  <c r="M328" i="1"/>
  <c r="L328" i="1"/>
  <c r="K328" i="1"/>
  <c r="J328" i="1"/>
  <c r="I328" i="1"/>
  <c r="H328" i="1"/>
  <c r="G328" i="1"/>
  <c r="F328" i="1"/>
  <c r="E328" i="1"/>
  <c r="CI327" i="1"/>
  <c r="CG327" i="1"/>
  <c r="CF327" i="1"/>
  <c r="CC327" i="1"/>
  <c r="CA327" i="1"/>
  <c r="BW327" i="1"/>
  <c r="BU327" i="1"/>
  <c r="BQ327" i="1"/>
  <c r="BO327" i="1"/>
  <c r="BK327" i="1"/>
  <c r="BI327" i="1"/>
  <c r="BH327" i="1"/>
  <c r="BE327" i="1"/>
  <c r="BC327" i="1"/>
  <c r="AY327" i="1"/>
  <c r="AW327" i="1"/>
  <c r="AS327" i="1"/>
  <c r="AQ327" i="1"/>
  <c r="AM327" i="1"/>
  <c r="AK327" i="1"/>
  <c r="AJ327" i="1"/>
  <c r="AG327" i="1"/>
  <c r="AE327" i="1"/>
  <c r="AA327" i="1"/>
  <c r="S327" i="1"/>
  <c r="J327" i="1"/>
  <c r="F327" i="1"/>
  <c r="CJ326" i="1"/>
  <c r="CI326" i="1"/>
  <c r="CG326" i="1"/>
  <c r="CF326" i="1"/>
  <c r="CD326" i="1"/>
  <c r="CC326" i="1"/>
  <c r="CA326" i="1"/>
  <c r="BZ326" i="1"/>
  <c r="BX326" i="1"/>
  <c r="BW326" i="1"/>
  <c r="BU326" i="1"/>
  <c r="BT326" i="1"/>
  <c r="BR326" i="1"/>
  <c r="BQ326" i="1"/>
  <c r="BO326" i="1"/>
  <c r="BN326" i="1"/>
  <c r="BL326" i="1"/>
  <c r="BK326" i="1"/>
  <c r="BI326" i="1"/>
  <c r="BH326" i="1"/>
  <c r="BF326" i="1"/>
  <c r="BE326" i="1"/>
  <c r="BC326" i="1"/>
  <c r="BB326" i="1"/>
  <c r="AZ326" i="1"/>
  <c r="AY326" i="1"/>
  <c r="AW326" i="1"/>
  <c r="AV326" i="1"/>
  <c r="AT326" i="1"/>
  <c r="AS326" i="1"/>
  <c r="AQ326" i="1"/>
  <c r="AP326" i="1"/>
  <c r="AN326" i="1"/>
  <c r="AM326" i="1"/>
  <c r="AK326" i="1"/>
  <c r="AJ326" i="1"/>
  <c r="AH326" i="1"/>
  <c r="AG326" i="1"/>
  <c r="AE326" i="1"/>
  <c r="AD326" i="1"/>
  <c r="AB326" i="1"/>
  <c r="AA326" i="1"/>
  <c r="Y326" i="1"/>
  <c r="X326" i="1"/>
  <c r="V326" i="1"/>
  <c r="U326" i="1"/>
  <c r="S326" i="1"/>
  <c r="R326" i="1"/>
  <c r="Q326" i="1"/>
  <c r="M326" i="1"/>
  <c r="L326" i="1"/>
  <c r="K326" i="1"/>
  <c r="J326" i="1"/>
  <c r="I326" i="1"/>
  <c r="H326" i="1"/>
  <c r="G326" i="1"/>
  <c r="F326" i="1"/>
  <c r="E326" i="1"/>
  <c r="CJ325" i="1"/>
  <c r="CI325" i="1"/>
  <c r="CG325" i="1"/>
  <c r="CF325" i="1"/>
  <c r="CD325" i="1"/>
  <c r="CC325" i="1"/>
  <c r="CA325" i="1"/>
  <c r="BZ325" i="1"/>
  <c r="BX325" i="1"/>
  <c r="BW325" i="1"/>
  <c r="BU325" i="1"/>
  <c r="BT325" i="1"/>
  <c r="BR325" i="1"/>
  <c r="BQ325" i="1"/>
  <c r="BO325" i="1"/>
  <c r="BN325" i="1"/>
  <c r="BL325" i="1"/>
  <c r="BK325" i="1"/>
  <c r="BI325" i="1"/>
  <c r="BH325" i="1"/>
  <c r="BF325" i="1"/>
  <c r="BE325" i="1"/>
  <c r="BC325" i="1"/>
  <c r="BB325" i="1"/>
  <c r="AZ325" i="1"/>
  <c r="AY325" i="1"/>
  <c r="AW325" i="1"/>
  <c r="AV325" i="1"/>
  <c r="AT325" i="1"/>
  <c r="AS325" i="1"/>
  <c r="AQ325" i="1"/>
  <c r="AP325" i="1"/>
  <c r="AN325" i="1"/>
  <c r="AM325" i="1"/>
  <c r="AK325" i="1"/>
  <c r="AJ325" i="1"/>
  <c r="AH325" i="1"/>
  <c r="AG325" i="1"/>
  <c r="AE325" i="1"/>
  <c r="AD325" i="1"/>
  <c r="AB325" i="1"/>
  <c r="AA325" i="1"/>
  <c r="Y325" i="1"/>
  <c r="X325" i="1"/>
  <c r="V325" i="1"/>
  <c r="U325" i="1"/>
  <c r="S325" i="1"/>
  <c r="R325" i="1"/>
  <c r="Q325" i="1"/>
  <c r="P325" i="1"/>
  <c r="M325" i="1"/>
  <c r="L325" i="1"/>
  <c r="K325" i="1"/>
  <c r="J325" i="1"/>
  <c r="H325" i="1"/>
  <c r="G325" i="1"/>
  <c r="F325" i="1"/>
  <c r="E325" i="1"/>
  <c r="CJ324" i="1"/>
  <c r="CG324" i="1"/>
  <c r="CD324" i="1"/>
  <c r="CA324" i="1"/>
  <c r="BX324" i="1"/>
  <c r="BU324" i="1"/>
  <c r="BR324" i="1"/>
  <c r="BO324" i="1"/>
  <c r="BL324" i="1"/>
  <c r="BI324" i="1"/>
  <c r="BF324" i="1"/>
  <c r="BC324" i="1"/>
  <c r="AZ324" i="1"/>
  <c r="AW324" i="1"/>
  <c r="AT324" i="1"/>
  <c r="AQ324" i="1"/>
  <c r="AN324" i="1"/>
  <c r="AK324" i="1"/>
  <c r="AH324" i="1"/>
  <c r="AE324" i="1"/>
  <c r="AB324" i="1"/>
  <c r="M324" i="1"/>
  <c r="K324" i="1"/>
  <c r="M320" i="1"/>
  <c r="L320" i="1"/>
  <c r="K320" i="1"/>
  <c r="J320" i="1"/>
  <c r="I320" i="1"/>
  <c r="I314" i="1" s="1"/>
  <c r="H320" i="1"/>
  <c r="M317" i="1"/>
  <c r="L317" i="1"/>
  <c r="K317" i="1"/>
  <c r="K314" i="1" s="1"/>
  <c r="J317" i="1"/>
  <c r="J314" i="1" s="1"/>
  <c r="I317" i="1"/>
  <c r="H317" i="1"/>
  <c r="M316" i="1"/>
  <c r="L316" i="1"/>
  <c r="K316" i="1"/>
  <c r="J316" i="1"/>
  <c r="I316" i="1"/>
  <c r="H316" i="1"/>
  <c r="M315" i="1"/>
  <c r="L315" i="1"/>
  <c r="K315" i="1"/>
  <c r="J315" i="1"/>
  <c r="I315" i="1"/>
  <c r="H315" i="1"/>
  <c r="M314" i="1"/>
  <c r="G314" i="1"/>
  <c r="E314" i="1"/>
  <c r="Q313" i="1"/>
  <c r="P313" i="1"/>
  <c r="Q312" i="1"/>
  <c r="P312" i="1"/>
  <c r="P311" i="1" s="1"/>
  <c r="CJ311" i="1"/>
  <c r="CI311" i="1"/>
  <c r="CG311" i="1"/>
  <c r="CF311" i="1"/>
  <c r="CD311" i="1"/>
  <c r="CC311" i="1"/>
  <c r="CA311" i="1"/>
  <c r="BZ311" i="1"/>
  <c r="BX311" i="1"/>
  <c r="BW311" i="1"/>
  <c r="BU311" i="1"/>
  <c r="BT311" i="1"/>
  <c r="BR311" i="1"/>
  <c r="BQ311" i="1"/>
  <c r="BO311" i="1"/>
  <c r="BN311" i="1"/>
  <c r="BL311" i="1"/>
  <c r="BK311" i="1"/>
  <c r="BI311" i="1"/>
  <c r="BH311" i="1"/>
  <c r="BF311" i="1"/>
  <c r="BE311" i="1"/>
  <c r="BC311" i="1"/>
  <c r="BB311" i="1"/>
  <c r="AZ311" i="1"/>
  <c r="AY311" i="1"/>
  <c r="AW311" i="1"/>
  <c r="AV311" i="1"/>
  <c r="AT311" i="1"/>
  <c r="AS311" i="1"/>
  <c r="AQ311" i="1"/>
  <c r="AP311" i="1"/>
  <c r="AN311" i="1"/>
  <c r="AM311" i="1"/>
  <c r="AK311" i="1"/>
  <c r="AJ311" i="1"/>
  <c r="AH311" i="1"/>
  <c r="AG311" i="1"/>
  <c r="AE311" i="1"/>
  <c r="AD311" i="1"/>
  <c r="AB311" i="1"/>
  <c r="AA311" i="1"/>
  <c r="Y311" i="1"/>
  <c r="X311" i="1"/>
  <c r="V311" i="1"/>
  <c r="U311" i="1"/>
  <c r="S311" i="1"/>
  <c r="R311" i="1"/>
  <c r="Q311" i="1"/>
  <c r="M311" i="1"/>
  <c r="L311" i="1"/>
  <c r="L305" i="1" s="1"/>
  <c r="K311" i="1"/>
  <c r="J311" i="1"/>
  <c r="I311" i="1"/>
  <c r="H311" i="1"/>
  <c r="H305" i="1" s="1"/>
  <c r="Q310" i="1"/>
  <c r="P310" i="1"/>
  <c r="Q309" i="1"/>
  <c r="P309" i="1"/>
  <c r="P308" i="1" s="1"/>
  <c r="P305" i="1" s="1"/>
  <c r="CJ308" i="1"/>
  <c r="CI308" i="1"/>
  <c r="CG308" i="1"/>
  <c r="CF308" i="1"/>
  <c r="CD308" i="1"/>
  <c r="CC308" i="1"/>
  <c r="CA308" i="1"/>
  <c r="BZ308" i="1"/>
  <c r="BX308" i="1"/>
  <c r="BW308" i="1"/>
  <c r="BU308" i="1"/>
  <c r="BT308" i="1"/>
  <c r="BR308" i="1"/>
  <c r="BQ308" i="1"/>
  <c r="BO308" i="1"/>
  <c r="BN308" i="1"/>
  <c r="BL308" i="1"/>
  <c r="BK308" i="1"/>
  <c r="BI308" i="1"/>
  <c r="BH308" i="1"/>
  <c r="BF308" i="1"/>
  <c r="BE308" i="1"/>
  <c r="BC308" i="1"/>
  <c r="BB308" i="1"/>
  <c r="AZ308" i="1"/>
  <c r="AY308" i="1"/>
  <c r="AW308" i="1"/>
  <c r="AV308" i="1"/>
  <c r="AT308" i="1"/>
  <c r="AS308" i="1"/>
  <c r="AQ308" i="1"/>
  <c r="AP308" i="1"/>
  <c r="AN308" i="1"/>
  <c r="AM308" i="1"/>
  <c r="AK308" i="1"/>
  <c r="AJ308" i="1"/>
  <c r="AH308" i="1"/>
  <c r="AG308" i="1"/>
  <c r="AE308" i="1"/>
  <c r="AD308" i="1"/>
  <c r="AB308" i="1"/>
  <c r="AA308" i="1"/>
  <c r="Y308" i="1"/>
  <c r="X308" i="1"/>
  <c r="V308" i="1"/>
  <c r="U308" i="1"/>
  <c r="S308" i="1"/>
  <c r="R308" i="1"/>
  <c r="Q308" i="1"/>
  <c r="M308" i="1"/>
  <c r="L308" i="1"/>
  <c r="K308" i="1"/>
  <c r="K305" i="1" s="1"/>
  <c r="J308" i="1"/>
  <c r="J305" i="1" s="1"/>
  <c r="I308" i="1"/>
  <c r="H308" i="1"/>
  <c r="CJ307" i="1"/>
  <c r="CI307" i="1"/>
  <c r="CG307" i="1"/>
  <c r="CF307" i="1"/>
  <c r="CD307" i="1"/>
  <c r="CC307" i="1"/>
  <c r="CA307" i="1"/>
  <c r="BZ307" i="1"/>
  <c r="BX307" i="1"/>
  <c r="BW307" i="1"/>
  <c r="BU307" i="1"/>
  <c r="BT307" i="1"/>
  <c r="BR307" i="1"/>
  <c r="BQ307" i="1"/>
  <c r="BO307" i="1"/>
  <c r="BN307" i="1"/>
  <c r="BL307" i="1"/>
  <c r="BK307" i="1"/>
  <c r="BI307" i="1"/>
  <c r="BH307" i="1"/>
  <c r="BF307" i="1"/>
  <c r="BE307" i="1"/>
  <c r="BC307" i="1"/>
  <c r="BB307" i="1"/>
  <c r="AZ307" i="1"/>
  <c r="AY307" i="1"/>
  <c r="AW307" i="1"/>
  <c r="AV307" i="1"/>
  <c r="AT307" i="1"/>
  <c r="AS307" i="1"/>
  <c r="AQ307" i="1"/>
  <c r="AP307" i="1"/>
  <c r="AN307" i="1"/>
  <c r="AM307" i="1"/>
  <c r="AK307" i="1"/>
  <c r="AJ307" i="1"/>
  <c r="AH307" i="1"/>
  <c r="AG307" i="1"/>
  <c r="AE307" i="1"/>
  <c r="AD307" i="1"/>
  <c r="AB307" i="1"/>
  <c r="AA307" i="1"/>
  <c r="Y307" i="1"/>
  <c r="X307" i="1"/>
  <c r="V307" i="1"/>
  <c r="U307" i="1"/>
  <c r="S307" i="1"/>
  <c r="R307" i="1"/>
  <c r="Q307" i="1"/>
  <c r="P307" i="1"/>
  <c r="M307" i="1"/>
  <c r="L307" i="1"/>
  <c r="K307" i="1"/>
  <c r="J307" i="1"/>
  <c r="I307" i="1"/>
  <c r="H307" i="1"/>
  <c r="CJ306" i="1"/>
  <c r="CI306" i="1"/>
  <c r="CG306" i="1"/>
  <c r="CF306" i="1"/>
  <c r="CD306" i="1"/>
  <c r="CC306" i="1"/>
  <c r="CA306" i="1"/>
  <c r="BZ306" i="1"/>
  <c r="BX306" i="1"/>
  <c r="BW306" i="1"/>
  <c r="BU306" i="1"/>
  <c r="BT306" i="1"/>
  <c r="BR306" i="1"/>
  <c r="BQ306" i="1"/>
  <c r="BO306" i="1"/>
  <c r="BN306" i="1"/>
  <c r="BL306" i="1"/>
  <c r="BK306" i="1"/>
  <c r="BI306" i="1"/>
  <c r="BH306" i="1"/>
  <c r="BF306" i="1"/>
  <c r="BE306" i="1"/>
  <c r="BC306" i="1"/>
  <c r="BB306" i="1"/>
  <c r="AZ306" i="1"/>
  <c r="AY306" i="1"/>
  <c r="AW306" i="1"/>
  <c r="AV306" i="1"/>
  <c r="AT306" i="1"/>
  <c r="AS306" i="1"/>
  <c r="AQ306" i="1"/>
  <c r="AP306" i="1"/>
  <c r="AN306" i="1"/>
  <c r="AM306" i="1"/>
  <c r="AK306" i="1"/>
  <c r="AJ306" i="1"/>
  <c r="AH306" i="1"/>
  <c r="AG306" i="1"/>
  <c r="AE306" i="1"/>
  <c r="AD306" i="1"/>
  <c r="AB306" i="1"/>
  <c r="AA306" i="1"/>
  <c r="Y306" i="1"/>
  <c r="X306" i="1"/>
  <c r="V306" i="1"/>
  <c r="U306" i="1"/>
  <c r="S306" i="1"/>
  <c r="R306" i="1"/>
  <c r="Q306" i="1"/>
  <c r="P306" i="1"/>
  <c r="M306" i="1"/>
  <c r="L306" i="1"/>
  <c r="K306" i="1"/>
  <c r="J306" i="1"/>
  <c r="I306" i="1"/>
  <c r="H306" i="1"/>
  <c r="CJ305" i="1"/>
  <c r="CI305" i="1"/>
  <c r="CG305" i="1"/>
  <c r="CF305" i="1"/>
  <c r="CD305" i="1"/>
  <c r="CC305" i="1"/>
  <c r="CA305" i="1"/>
  <c r="BZ305" i="1"/>
  <c r="BX305" i="1"/>
  <c r="BW305" i="1"/>
  <c r="BU305" i="1"/>
  <c r="BT305" i="1"/>
  <c r="BR305" i="1"/>
  <c r="BQ305" i="1"/>
  <c r="BO305" i="1"/>
  <c r="BN305" i="1"/>
  <c r="BL305" i="1"/>
  <c r="BK305" i="1"/>
  <c r="BI305" i="1"/>
  <c r="BH305" i="1"/>
  <c r="BF305" i="1"/>
  <c r="BE305" i="1"/>
  <c r="BC305" i="1"/>
  <c r="BB305" i="1"/>
  <c r="AZ305" i="1"/>
  <c r="AY305" i="1"/>
  <c r="AW305" i="1"/>
  <c r="AV305" i="1"/>
  <c r="AT305" i="1"/>
  <c r="AS305" i="1"/>
  <c r="AQ305" i="1"/>
  <c r="AP305" i="1"/>
  <c r="AN305" i="1"/>
  <c r="AM305" i="1"/>
  <c r="AK305" i="1"/>
  <c r="AJ305" i="1"/>
  <c r="AH305" i="1"/>
  <c r="AG305" i="1"/>
  <c r="AE305" i="1"/>
  <c r="AD305" i="1"/>
  <c r="AB305" i="1"/>
  <c r="AA305" i="1"/>
  <c r="Y305" i="1"/>
  <c r="X305" i="1"/>
  <c r="V305" i="1"/>
  <c r="U305" i="1"/>
  <c r="S305" i="1"/>
  <c r="R305" i="1"/>
  <c r="Q305" i="1"/>
  <c r="M305" i="1"/>
  <c r="I305" i="1"/>
  <c r="G305" i="1"/>
  <c r="E305" i="1"/>
  <c r="Q304" i="1"/>
  <c r="P304" i="1"/>
  <c r="Q303" i="1"/>
  <c r="P303" i="1"/>
  <c r="CJ302" i="1"/>
  <c r="CJ289" i="1" s="1"/>
  <c r="CI302" i="1"/>
  <c r="CG302" i="1"/>
  <c r="CF302" i="1"/>
  <c r="CD302" i="1"/>
  <c r="CD289" i="1" s="1"/>
  <c r="CC302" i="1"/>
  <c r="CA302" i="1"/>
  <c r="BZ302" i="1"/>
  <c r="BX302" i="1"/>
  <c r="BX289" i="1" s="1"/>
  <c r="BW302" i="1"/>
  <c r="BU302" i="1"/>
  <c r="BT302" i="1"/>
  <c r="BR302" i="1"/>
  <c r="BR289" i="1" s="1"/>
  <c r="BQ302" i="1"/>
  <c r="BO302" i="1"/>
  <c r="BN302" i="1"/>
  <c r="BL302" i="1"/>
  <c r="BL289" i="1" s="1"/>
  <c r="BK302" i="1"/>
  <c r="BI302" i="1"/>
  <c r="BH302" i="1"/>
  <c r="BF302" i="1"/>
  <c r="BF289" i="1" s="1"/>
  <c r="BE302" i="1"/>
  <c r="BC302" i="1"/>
  <c r="BB302" i="1"/>
  <c r="AZ302" i="1"/>
  <c r="AZ289" i="1" s="1"/>
  <c r="AY302" i="1"/>
  <c r="AW302" i="1"/>
  <c r="AV302" i="1"/>
  <c r="AT302" i="1"/>
  <c r="AT289" i="1" s="1"/>
  <c r="AS302" i="1"/>
  <c r="AQ302" i="1"/>
  <c r="AP302" i="1"/>
  <c r="AN302" i="1"/>
  <c r="AN289" i="1" s="1"/>
  <c r="AM302" i="1"/>
  <c r="AK302" i="1"/>
  <c r="AJ302" i="1"/>
  <c r="AH302" i="1"/>
  <c r="AH289" i="1" s="1"/>
  <c r="AG302" i="1"/>
  <c r="AE302" i="1"/>
  <c r="AD302" i="1"/>
  <c r="AB302" i="1"/>
  <c r="AB289" i="1" s="1"/>
  <c r="AA302" i="1"/>
  <c r="Y302" i="1"/>
  <c r="X302" i="1"/>
  <c r="V302" i="1"/>
  <c r="V289" i="1" s="1"/>
  <c r="U302" i="1"/>
  <c r="S302" i="1"/>
  <c r="R302" i="1"/>
  <c r="P302" i="1"/>
  <c r="M302" i="1"/>
  <c r="L302" i="1"/>
  <c r="K302" i="1"/>
  <c r="K289" i="1" s="1"/>
  <c r="J302" i="1"/>
  <c r="I302" i="1"/>
  <c r="H302" i="1"/>
  <c r="G302" i="1"/>
  <c r="F302" i="1"/>
  <c r="E302" i="1"/>
  <c r="E289" i="1" s="1"/>
  <c r="Q301" i="1"/>
  <c r="P301" i="1"/>
  <c r="P291" i="1" s="1"/>
  <c r="Q300" i="1"/>
  <c r="Q299" i="1" s="1"/>
  <c r="P300" i="1"/>
  <c r="CJ299" i="1"/>
  <c r="CI299" i="1"/>
  <c r="CG299" i="1"/>
  <c r="CF299" i="1"/>
  <c r="CD299" i="1"/>
  <c r="CC299" i="1"/>
  <c r="CA299" i="1"/>
  <c r="BZ299" i="1"/>
  <c r="BX299" i="1"/>
  <c r="BW299" i="1"/>
  <c r="BU299" i="1"/>
  <c r="BT299" i="1"/>
  <c r="BR299" i="1"/>
  <c r="BQ299" i="1"/>
  <c r="BO299" i="1"/>
  <c r="BN299" i="1"/>
  <c r="BL299" i="1"/>
  <c r="BK299" i="1"/>
  <c r="BI299" i="1"/>
  <c r="BH299" i="1"/>
  <c r="BF299" i="1"/>
  <c r="BE299" i="1"/>
  <c r="BC299" i="1"/>
  <c r="BB299" i="1"/>
  <c r="AZ299" i="1"/>
  <c r="AY299" i="1"/>
  <c r="AW299" i="1"/>
  <c r="AV299" i="1"/>
  <c r="AT299" i="1"/>
  <c r="AS299" i="1"/>
  <c r="AQ299" i="1"/>
  <c r="AP299" i="1"/>
  <c r="AN299" i="1"/>
  <c r="AM299" i="1"/>
  <c r="AK299" i="1"/>
  <c r="AJ299" i="1"/>
  <c r="AH299" i="1"/>
  <c r="AG299" i="1"/>
  <c r="AE299" i="1"/>
  <c r="AD299" i="1"/>
  <c r="AB299" i="1"/>
  <c r="AA299" i="1"/>
  <c r="Y299" i="1"/>
  <c r="X299" i="1"/>
  <c r="V299" i="1"/>
  <c r="U299" i="1"/>
  <c r="S299" i="1"/>
  <c r="R299" i="1"/>
  <c r="M299" i="1"/>
  <c r="L299" i="1"/>
  <c r="L289" i="1" s="1"/>
  <c r="K299" i="1"/>
  <c r="J299" i="1"/>
  <c r="I299" i="1"/>
  <c r="H299" i="1"/>
  <c r="H289" i="1" s="1"/>
  <c r="G299" i="1"/>
  <c r="F299" i="1"/>
  <c r="E299" i="1"/>
  <c r="Q298" i="1"/>
  <c r="Q288" i="1" s="1"/>
  <c r="P298" i="1"/>
  <c r="Q297" i="1"/>
  <c r="Q287" i="1" s="1"/>
  <c r="P297" i="1"/>
  <c r="P296" i="1" s="1"/>
  <c r="P286" i="1" s="1"/>
  <c r="CJ296" i="1"/>
  <c r="CJ286" i="1" s="1"/>
  <c r="CI296" i="1"/>
  <c r="CG296" i="1"/>
  <c r="CF296" i="1"/>
  <c r="CD296" i="1"/>
  <c r="CD286" i="1" s="1"/>
  <c r="CC296" i="1"/>
  <c r="CA296" i="1"/>
  <c r="BZ296" i="1"/>
  <c r="BX296" i="1"/>
  <c r="BX286" i="1" s="1"/>
  <c r="BW296" i="1"/>
  <c r="BU296" i="1"/>
  <c r="BT296" i="1"/>
  <c r="BR296" i="1"/>
  <c r="BR286" i="1" s="1"/>
  <c r="BQ296" i="1"/>
  <c r="BO296" i="1"/>
  <c r="BN296" i="1"/>
  <c r="BL296" i="1"/>
  <c r="BL286" i="1" s="1"/>
  <c r="BK296" i="1"/>
  <c r="BI296" i="1"/>
  <c r="BH296" i="1"/>
  <c r="BF296" i="1"/>
  <c r="BF286" i="1" s="1"/>
  <c r="BE296" i="1"/>
  <c r="BC296" i="1"/>
  <c r="BB296" i="1"/>
  <c r="AZ296" i="1"/>
  <c r="AZ286" i="1" s="1"/>
  <c r="AY296" i="1"/>
  <c r="AW296" i="1"/>
  <c r="AV296" i="1"/>
  <c r="AT296" i="1"/>
  <c r="AS296" i="1"/>
  <c r="AQ296" i="1"/>
  <c r="AP296" i="1"/>
  <c r="AN296" i="1"/>
  <c r="AN286" i="1" s="1"/>
  <c r="AM296" i="1"/>
  <c r="AK296" i="1"/>
  <c r="AJ296" i="1"/>
  <c r="AH296" i="1"/>
  <c r="AH286" i="1" s="1"/>
  <c r="AG296" i="1"/>
  <c r="AE296" i="1"/>
  <c r="AD296" i="1"/>
  <c r="AB296" i="1"/>
  <c r="AB286" i="1" s="1"/>
  <c r="AA296" i="1"/>
  <c r="Y296" i="1"/>
  <c r="X296" i="1"/>
  <c r="V296" i="1"/>
  <c r="V286" i="1" s="1"/>
  <c r="U296" i="1"/>
  <c r="U286" i="1" s="1"/>
  <c r="S296" i="1"/>
  <c r="R296" i="1"/>
  <c r="Q296" i="1"/>
  <c r="M296" i="1"/>
  <c r="L296" i="1"/>
  <c r="K296" i="1"/>
  <c r="J296" i="1"/>
  <c r="I296" i="1"/>
  <c r="H296" i="1"/>
  <c r="G296" i="1"/>
  <c r="F296" i="1"/>
  <c r="E296" i="1"/>
  <c r="Q295" i="1"/>
  <c r="P295" i="1"/>
  <c r="P285" i="1" s="1"/>
  <c r="Q294" i="1"/>
  <c r="P294" i="1"/>
  <c r="P284" i="1" s="1"/>
  <c r="CJ293" i="1"/>
  <c r="CI293" i="1"/>
  <c r="CG293" i="1"/>
  <c r="CF293" i="1"/>
  <c r="CD293" i="1"/>
  <c r="CC293" i="1"/>
  <c r="CA293" i="1"/>
  <c r="BZ293" i="1"/>
  <c r="BX293" i="1"/>
  <c r="BW293" i="1"/>
  <c r="BU293" i="1"/>
  <c r="BT293" i="1"/>
  <c r="BR293" i="1"/>
  <c r="BQ293" i="1"/>
  <c r="BO293" i="1"/>
  <c r="BN293" i="1"/>
  <c r="BL293" i="1"/>
  <c r="BK293" i="1"/>
  <c r="BI293" i="1"/>
  <c r="BH293" i="1"/>
  <c r="BF293" i="1"/>
  <c r="BE293" i="1"/>
  <c r="BC293" i="1"/>
  <c r="BB293" i="1"/>
  <c r="AZ293" i="1"/>
  <c r="AY293" i="1"/>
  <c r="AW293" i="1"/>
  <c r="AV293" i="1"/>
  <c r="AT293" i="1"/>
  <c r="AS293" i="1"/>
  <c r="AQ293" i="1"/>
  <c r="AP293" i="1"/>
  <c r="AN293" i="1"/>
  <c r="AM293" i="1"/>
  <c r="AK293" i="1"/>
  <c r="AJ293" i="1"/>
  <c r="AH293" i="1"/>
  <c r="AG293" i="1"/>
  <c r="AE293" i="1"/>
  <c r="AD293" i="1"/>
  <c r="AB293" i="1"/>
  <c r="AA293" i="1"/>
  <c r="Y293" i="1"/>
  <c r="X293" i="1"/>
  <c r="V293" i="1"/>
  <c r="U293" i="1"/>
  <c r="S293" i="1"/>
  <c r="R293" i="1"/>
  <c r="Q293" i="1"/>
  <c r="P293" i="1"/>
  <c r="M293" i="1"/>
  <c r="L293" i="1"/>
  <c r="L283" i="1" s="1"/>
  <c r="K293" i="1"/>
  <c r="J293" i="1"/>
  <c r="I293" i="1"/>
  <c r="H293" i="1"/>
  <c r="H283" i="1" s="1"/>
  <c r="G293" i="1"/>
  <c r="F293" i="1"/>
  <c r="E293" i="1"/>
  <c r="Q292" i="1"/>
  <c r="P292" i="1"/>
  <c r="CJ291" i="1"/>
  <c r="CI291" i="1"/>
  <c r="CG291" i="1"/>
  <c r="CF291" i="1"/>
  <c r="CD291" i="1"/>
  <c r="CC291" i="1"/>
  <c r="CA291" i="1"/>
  <c r="BZ291" i="1"/>
  <c r="BX291" i="1"/>
  <c r="BW291" i="1"/>
  <c r="BU291" i="1"/>
  <c r="BT291" i="1"/>
  <c r="BR291" i="1"/>
  <c r="BQ291" i="1"/>
  <c r="BO291" i="1"/>
  <c r="BN291" i="1"/>
  <c r="BL291" i="1"/>
  <c r="BK291" i="1"/>
  <c r="BI291" i="1"/>
  <c r="BH291" i="1"/>
  <c r="BF291" i="1"/>
  <c r="BE291" i="1"/>
  <c r="BC291" i="1"/>
  <c r="BB291" i="1"/>
  <c r="AZ291" i="1"/>
  <c r="AY291" i="1"/>
  <c r="AW291" i="1"/>
  <c r="AV291" i="1"/>
  <c r="AT291" i="1"/>
  <c r="AS291" i="1"/>
  <c r="AQ291" i="1"/>
  <c r="AP291" i="1"/>
  <c r="AN291" i="1"/>
  <c r="AM291" i="1"/>
  <c r="AK291" i="1"/>
  <c r="AJ291" i="1"/>
  <c r="AH291" i="1"/>
  <c r="AG291" i="1"/>
  <c r="AE291" i="1"/>
  <c r="AD291" i="1"/>
  <c r="AB291" i="1"/>
  <c r="AA291" i="1"/>
  <c r="Y291" i="1"/>
  <c r="X291" i="1"/>
  <c r="V291" i="1"/>
  <c r="U291" i="1"/>
  <c r="S291" i="1"/>
  <c r="R291" i="1"/>
  <c r="Q291" i="1"/>
  <c r="M291" i="1"/>
  <c r="L291" i="1"/>
  <c r="K291" i="1"/>
  <c r="J291" i="1"/>
  <c r="I291" i="1"/>
  <c r="H291" i="1"/>
  <c r="G291" i="1"/>
  <c r="E291" i="1"/>
  <c r="CJ290" i="1"/>
  <c r="CI290" i="1"/>
  <c r="CG290" i="1"/>
  <c r="CF290" i="1"/>
  <c r="CD290" i="1"/>
  <c r="CC290" i="1"/>
  <c r="CA290" i="1"/>
  <c r="BZ290" i="1"/>
  <c r="BX290" i="1"/>
  <c r="BW290" i="1"/>
  <c r="BU290" i="1"/>
  <c r="BT290" i="1"/>
  <c r="BR290" i="1"/>
  <c r="BQ290" i="1"/>
  <c r="BO290" i="1"/>
  <c r="BN290" i="1"/>
  <c r="BL290" i="1"/>
  <c r="BK290" i="1"/>
  <c r="BI290" i="1"/>
  <c r="BH290" i="1"/>
  <c r="BF290" i="1"/>
  <c r="BE290" i="1"/>
  <c r="BC290" i="1"/>
  <c r="BB290" i="1"/>
  <c r="AZ290" i="1"/>
  <c r="AY290" i="1"/>
  <c r="AW290" i="1"/>
  <c r="AV290" i="1"/>
  <c r="AT290" i="1"/>
  <c r="AS290" i="1"/>
  <c r="AQ290" i="1"/>
  <c r="AP290" i="1"/>
  <c r="AN290" i="1"/>
  <c r="AM290" i="1"/>
  <c r="AK290" i="1"/>
  <c r="AJ290" i="1"/>
  <c r="AH290" i="1"/>
  <c r="AG290" i="1"/>
  <c r="AE290" i="1"/>
  <c r="AD290" i="1"/>
  <c r="AB290" i="1"/>
  <c r="AA290" i="1"/>
  <c r="Y290" i="1"/>
  <c r="X290" i="1"/>
  <c r="V290" i="1"/>
  <c r="U290" i="1"/>
  <c r="S290" i="1"/>
  <c r="R290" i="1"/>
  <c r="M290" i="1"/>
  <c r="L290" i="1"/>
  <c r="K290" i="1"/>
  <c r="J290" i="1"/>
  <c r="I290" i="1"/>
  <c r="H290" i="1"/>
  <c r="G290" i="1"/>
  <c r="F290" i="1"/>
  <c r="E290" i="1"/>
  <c r="CI289" i="1"/>
  <c r="CF289" i="1"/>
  <c r="CC289" i="1"/>
  <c r="BZ289" i="1"/>
  <c r="BW289" i="1"/>
  <c r="BT289" i="1"/>
  <c r="BQ289" i="1"/>
  <c r="BN289" i="1"/>
  <c r="BK289" i="1"/>
  <c r="BH289" i="1"/>
  <c r="BE289" i="1"/>
  <c r="BB289" i="1"/>
  <c r="AY289" i="1"/>
  <c r="AV289" i="1"/>
  <c r="AS289" i="1"/>
  <c r="AP289" i="1"/>
  <c r="AM289" i="1"/>
  <c r="AJ289" i="1"/>
  <c r="AG289" i="1"/>
  <c r="AD289" i="1"/>
  <c r="AA289" i="1"/>
  <c r="X289" i="1"/>
  <c r="U289" i="1"/>
  <c r="R289" i="1"/>
  <c r="J289" i="1"/>
  <c r="CJ288" i="1"/>
  <c r="CI288" i="1"/>
  <c r="CG288" i="1"/>
  <c r="CF288" i="1"/>
  <c r="CD288" i="1"/>
  <c r="CC288" i="1"/>
  <c r="CA288" i="1"/>
  <c r="BZ288" i="1"/>
  <c r="BX288" i="1"/>
  <c r="BW288" i="1"/>
  <c r="BU288" i="1"/>
  <c r="BT288" i="1"/>
  <c r="BR288" i="1"/>
  <c r="BQ288" i="1"/>
  <c r="BO288" i="1"/>
  <c r="BN288" i="1"/>
  <c r="BL288" i="1"/>
  <c r="BK288" i="1"/>
  <c r="BI288" i="1"/>
  <c r="BH288" i="1"/>
  <c r="BF288" i="1"/>
  <c r="BE288" i="1"/>
  <c r="BC288" i="1"/>
  <c r="BB288" i="1"/>
  <c r="AZ288" i="1"/>
  <c r="AY288" i="1"/>
  <c r="AW288" i="1"/>
  <c r="AV288" i="1"/>
  <c r="AT288" i="1"/>
  <c r="AS288" i="1"/>
  <c r="AQ288" i="1"/>
  <c r="AP288" i="1"/>
  <c r="AN288" i="1"/>
  <c r="AM288" i="1"/>
  <c r="AK288" i="1"/>
  <c r="AJ288" i="1"/>
  <c r="AH288" i="1"/>
  <c r="AG288" i="1"/>
  <c r="AE288" i="1"/>
  <c r="AD288" i="1"/>
  <c r="AB288" i="1"/>
  <c r="AA288" i="1"/>
  <c r="Y288" i="1"/>
  <c r="X288" i="1"/>
  <c r="V288" i="1"/>
  <c r="U288" i="1"/>
  <c r="S288" i="1"/>
  <c r="R288" i="1"/>
  <c r="P288" i="1"/>
  <c r="M288" i="1"/>
  <c r="L288" i="1"/>
  <c r="K288" i="1"/>
  <c r="J288" i="1"/>
  <c r="I288" i="1"/>
  <c r="H288" i="1"/>
  <c r="G288" i="1"/>
  <c r="E288" i="1"/>
  <c r="CJ287" i="1"/>
  <c r="CI287" i="1"/>
  <c r="CG287" i="1"/>
  <c r="CF287" i="1"/>
  <c r="CD287" i="1"/>
  <c r="CC287" i="1"/>
  <c r="CA287" i="1"/>
  <c r="BZ287" i="1"/>
  <c r="BX287" i="1"/>
  <c r="BW287" i="1"/>
  <c r="BU287" i="1"/>
  <c r="BT287" i="1"/>
  <c r="BR287" i="1"/>
  <c r="BQ287" i="1"/>
  <c r="BO287" i="1"/>
  <c r="BN287" i="1"/>
  <c r="BL287" i="1"/>
  <c r="BK287" i="1"/>
  <c r="BI287" i="1"/>
  <c r="BH287" i="1"/>
  <c r="BF287" i="1"/>
  <c r="BE287" i="1"/>
  <c r="BC287" i="1"/>
  <c r="BB287" i="1"/>
  <c r="AZ287" i="1"/>
  <c r="AY287" i="1"/>
  <c r="AW287" i="1"/>
  <c r="AV287" i="1"/>
  <c r="AT287" i="1"/>
  <c r="AS287" i="1"/>
  <c r="AQ287" i="1"/>
  <c r="AP287" i="1"/>
  <c r="AN287" i="1"/>
  <c r="AM287" i="1"/>
  <c r="AK287" i="1"/>
  <c r="AJ287" i="1"/>
  <c r="AH287" i="1"/>
  <c r="AG287" i="1"/>
  <c r="AE287" i="1"/>
  <c r="AD287" i="1"/>
  <c r="AB287" i="1"/>
  <c r="AA287" i="1"/>
  <c r="Y287" i="1"/>
  <c r="X287" i="1"/>
  <c r="V287" i="1"/>
  <c r="U287" i="1"/>
  <c r="S287" i="1"/>
  <c r="R287" i="1"/>
  <c r="P287" i="1"/>
  <c r="M287" i="1"/>
  <c r="L287" i="1"/>
  <c r="K287" i="1"/>
  <c r="J287" i="1"/>
  <c r="I287" i="1"/>
  <c r="H287" i="1"/>
  <c r="G287" i="1"/>
  <c r="F287" i="1"/>
  <c r="E287" i="1"/>
  <c r="CI286" i="1"/>
  <c r="CF286" i="1"/>
  <c r="CC286" i="1"/>
  <c r="BZ286" i="1"/>
  <c r="BW286" i="1"/>
  <c r="BT286" i="1"/>
  <c r="BQ286" i="1"/>
  <c r="BN286" i="1"/>
  <c r="BK286" i="1"/>
  <c r="BH286" i="1"/>
  <c r="BE286" i="1"/>
  <c r="BB286" i="1"/>
  <c r="AY286" i="1"/>
  <c r="AV286" i="1"/>
  <c r="AT286" i="1"/>
  <c r="AS286" i="1"/>
  <c r="AP286" i="1"/>
  <c r="AM286" i="1"/>
  <c r="AJ286" i="1"/>
  <c r="AG286" i="1"/>
  <c r="AD286" i="1"/>
  <c r="AA286" i="1"/>
  <c r="X286" i="1"/>
  <c r="R286" i="1"/>
  <c r="L286" i="1"/>
  <c r="K286" i="1"/>
  <c r="H286" i="1"/>
  <c r="G286" i="1"/>
  <c r="CJ285" i="1"/>
  <c r="CI285" i="1"/>
  <c r="CG285" i="1"/>
  <c r="CF285" i="1"/>
  <c r="CD285" i="1"/>
  <c r="CC285" i="1"/>
  <c r="CA285" i="1"/>
  <c r="BZ285" i="1"/>
  <c r="BX285" i="1"/>
  <c r="BW285" i="1"/>
  <c r="BU285" i="1"/>
  <c r="BT285" i="1"/>
  <c r="BR285" i="1"/>
  <c r="BQ285" i="1"/>
  <c r="BO285" i="1"/>
  <c r="BN285" i="1"/>
  <c r="BL285" i="1"/>
  <c r="BK285" i="1"/>
  <c r="BI285" i="1"/>
  <c r="BH285" i="1"/>
  <c r="BF285" i="1"/>
  <c r="BE285" i="1"/>
  <c r="BC285" i="1"/>
  <c r="BB285" i="1"/>
  <c r="AZ285" i="1"/>
  <c r="AY285" i="1"/>
  <c r="AW285" i="1"/>
  <c r="AV285" i="1"/>
  <c r="AT285" i="1"/>
  <c r="AS285" i="1"/>
  <c r="AQ285" i="1"/>
  <c r="AP285" i="1"/>
  <c r="AN285" i="1"/>
  <c r="AM285" i="1"/>
  <c r="AK285" i="1"/>
  <c r="AJ285" i="1"/>
  <c r="AH285" i="1"/>
  <c r="AG285" i="1"/>
  <c r="AE285" i="1"/>
  <c r="AD285" i="1"/>
  <c r="AB285" i="1"/>
  <c r="AA285" i="1"/>
  <c r="Y285" i="1"/>
  <c r="X285" i="1"/>
  <c r="V285" i="1"/>
  <c r="U285" i="1"/>
  <c r="S285" i="1"/>
  <c r="R285" i="1"/>
  <c r="Q285" i="1"/>
  <c r="M285" i="1"/>
  <c r="L285" i="1"/>
  <c r="K285" i="1"/>
  <c r="J285" i="1"/>
  <c r="I285" i="1"/>
  <c r="H285" i="1"/>
  <c r="G285" i="1"/>
  <c r="E285" i="1"/>
  <c r="CJ284" i="1"/>
  <c r="CI284" i="1"/>
  <c r="CG284" i="1"/>
  <c r="CF284" i="1"/>
  <c r="CD284" i="1"/>
  <c r="CC284" i="1"/>
  <c r="CA284" i="1"/>
  <c r="BZ284" i="1"/>
  <c r="BX284" i="1"/>
  <c r="BW284" i="1"/>
  <c r="BU284" i="1"/>
  <c r="BT284" i="1"/>
  <c r="BR284" i="1"/>
  <c r="BQ284" i="1"/>
  <c r="BO284" i="1"/>
  <c r="BN284" i="1"/>
  <c r="BL284" i="1"/>
  <c r="BK284" i="1"/>
  <c r="BI284" i="1"/>
  <c r="BH284" i="1"/>
  <c r="BF284" i="1"/>
  <c r="BE284" i="1"/>
  <c r="BC284" i="1"/>
  <c r="BB284" i="1"/>
  <c r="AZ284" i="1"/>
  <c r="AY284" i="1"/>
  <c r="AW284" i="1"/>
  <c r="AV284" i="1"/>
  <c r="AT284" i="1"/>
  <c r="AS284" i="1"/>
  <c r="AQ284" i="1"/>
  <c r="AP284" i="1"/>
  <c r="AN284" i="1"/>
  <c r="AM284" i="1"/>
  <c r="AK284" i="1"/>
  <c r="AJ284" i="1"/>
  <c r="AH284" i="1"/>
  <c r="AG284" i="1"/>
  <c r="AE284" i="1"/>
  <c r="AD284" i="1"/>
  <c r="AB284" i="1"/>
  <c r="AA284" i="1"/>
  <c r="Y284" i="1"/>
  <c r="X284" i="1"/>
  <c r="V284" i="1"/>
  <c r="U284" i="1"/>
  <c r="S284" i="1"/>
  <c r="R284" i="1"/>
  <c r="Q284" i="1"/>
  <c r="M284" i="1"/>
  <c r="L284" i="1"/>
  <c r="K284" i="1"/>
  <c r="J284" i="1"/>
  <c r="I284" i="1"/>
  <c r="H284" i="1"/>
  <c r="G284" i="1"/>
  <c r="F284" i="1"/>
  <c r="E284" i="1"/>
  <c r="CJ283" i="1"/>
  <c r="CI283" i="1"/>
  <c r="CF283" i="1"/>
  <c r="CD283" i="1"/>
  <c r="CC283" i="1"/>
  <c r="BZ283" i="1"/>
  <c r="BX283" i="1"/>
  <c r="BW283" i="1"/>
  <c r="BT283" i="1"/>
  <c r="BR283" i="1"/>
  <c r="BQ283" i="1"/>
  <c r="BN283" i="1"/>
  <c r="BL283" i="1"/>
  <c r="BK283" i="1"/>
  <c r="BH283" i="1"/>
  <c r="BF283" i="1"/>
  <c r="BE283" i="1"/>
  <c r="BB283" i="1"/>
  <c r="AZ283" i="1"/>
  <c r="AY283" i="1"/>
  <c r="AV283" i="1"/>
  <c r="AT283" i="1"/>
  <c r="AS283" i="1"/>
  <c r="AP283" i="1"/>
  <c r="AN283" i="1"/>
  <c r="AM283" i="1"/>
  <c r="AJ283" i="1"/>
  <c r="AH283" i="1"/>
  <c r="AG283" i="1"/>
  <c r="AD283" i="1"/>
  <c r="AB283" i="1"/>
  <c r="AA283" i="1"/>
  <c r="X283" i="1"/>
  <c r="V283" i="1"/>
  <c r="U283" i="1"/>
  <c r="R283" i="1"/>
  <c r="P283" i="1"/>
  <c r="K283" i="1"/>
  <c r="G283" i="1"/>
  <c r="E283" i="1"/>
  <c r="CJ282" i="1"/>
  <c r="CI282" i="1"/>
  <c r="CF282" i="1"/>
  <c r="CD282" i="1"/>
  <c r="CC282" i="1"/>
  <c r="BZ282" i="1"/>
  <c r="BX282" i="1"/>
  <c r="BW282" i="1"/>
  <c r="BT282" i="1"/>
  <c r="BR282" i="1"/>
  <c r="BQ282" i="1"/>
  <c r="BN282" i="1"/>
  <c r="BL282" i="1"/>
  <c r="BK282" i="1"/>
  <c r="BH282" i="1"/>
  <c r="BF282" i="1"/>
  <c r="BE282" i="1"/>
  <c r="BB282" i="1"/>
  <c r="AZ282" i="1"/>
  <c r="AY282" i="1"/>
  <c r="AV282" i="1"/>
  <c r="AT282" i="1"/>
  <c r="AS282" i="1"/>
  <c r="AP282" i="1"/>
  <c r="AN282" i="1"/>
  <c r="AM282" i="1"/>
  <c r="AJ282" i="1"/>
  <c r="AH282" i="1"/>
  <c r="AG282" i="1"/>
  <c r="AD282" i="1"/>
  <c r="AB282" i="1"/>
  <c r="AA282" i="1"/>
  <c r="X282" i="1"/>
  <c r="V282" i="1"/>
  <c r="U282" i="1"/>
  <c r="R282" i="1"/>
  <c r="P282" i="1"/>
  <c r="L282" i="1"/>
  <c r="K282" i="1"/>
  <c r="Q281" i="1"/>
  <c r="Q261" i="1" s="1"/>
  <c r="P281" i="1"/>
  <c r="Q280" i="1"/>
  <c r="P280" i="1"/>
  <c r="P279" i="1" s="1"/>
  <c r="CJ279" i="1"/>
  <c r="CJ275" i="1" s="1"/>
  <c r="CI279" i="1"/>
  <c r="CG279" i="1"/>
  <c r="CF279" i="1"/>
  <c r="CD279" i="1"/>
  <c r="CD275" i="1" s="1"/>
  <c r="CC279" i="1"/>
  <c r="CA279" i="1"/>
  <c r="BZ279" i="1"/>
  <c r="BX279" i="1"/>
  <c r="BX275" i="1" s="1"/>
  <c r="BW279" i="1"/>
  <c r="BU279" i="1"/>
  <c r="BT279" i="1"/>
  <c r="BR279" i="1"/>
  <c r="BR275" i="1" s="1"/>
  <c r="BQ279" i="1"/>
  <c r="BO279" i="1"/>
  <c r="BN279" i="1"/>
  <c r="BL279" i="1"/>
  <c r="BL275" i="1" s="1"/>
  <c r="BK279" i="1"/>
  <c r="BI279" i="1"/>
  <c r="BH279" i="1"/>
  <c r="BF279" i="1"/>
  <c r="BF275" i="1" s="1"/>
  <c r="BE279" i="1"/>
  <c r="BC279" i="1"/>
  <c r="BB279" i="1"/>
  <c r="AZ279" i="1"/>
  <c r="AZ275" i="1" s="1"/>
  <c r="AY279" i="1"/>
  <c r="AW279" i="1"/>
  <c r="AV279" i="1"/>
  <c r="AT279" i="1"/>
  <c r="AT275" i="1" s="1"/>
  <c r="AS279" i="1"/>
  <c r="AQ279" i="1"/>
  <c r="AP279" i="1"/>
  <c r="AN279" i="1"/>
  <c r="AN275" i="1" s="1"/>
  <c r="AM279" i="1"/>
  <c r="AK279" i="1"/>
  <c r="AJ279" i="1"/>
  <c r="AH279" i="1"/>
  <c r="AH275" i="1" s="1"/>
  <c r="AG279" i="1"/>
  <c r="AE279" i="1"/>
  <c r="AD279" i="1"/>
  <c r="AB279" i="1"/>
  <c r="AB275" i="1" s="1"/>
  <c r="AA279" i="1"/>
  <c r="Y279" i="1"/>
  <c r="X279" i="1"/>
  <c r="V279" i="1"/>
  <c r="V275" i="1" s="1"/>
  <c r="U279" i="1"/>
  <c r="S279" i="1"/>
  <c r="R279" i="1"/>
  <c r="Q279" i="1"/>
  <c r="Q275" i="1" s="1"/>
  <c r="M279" i="1"/>
  <c r="L279" i="1"/>
  <c r="K279" i="1"/>
  <c r="J279" i="1"/>
  <c r="I279" i="1"/>
  <c r="H279" i="1"/>
  <c r="G279" i="1"/>
  <c r="Q278" i="1"/>
  <c r="P278" i="1"/>
  <c r="Q277" i="1"/>
  <c r="P277" i="1"/>
  <c r="P276" i="1" s="1"/>
  <c r="P275" i="1" s="1"/>
  <c r="J277" i="1"/>
  <c r="I277" i="1"/>
  <c r="I276" i="1" s="1"/>
  <c r="I275" i="1" s="1"/>
  <c r="H277" i="1"/>
  <c r="G277" i="1"/>
  <c r="G276" i="1" s="1"/>
  <c r="CJ276" i="1"/>
  <c r="CI276" i="1"/>
  <c r="CI275" i="1" s="1"/>
  <c r="CG276" i="1"/>
  <c r="CF276" i="1"/>
  <c r="CF275" i="1" s="1"/>
  <c r="CD276" i="1"/>
  <c r="CC276" i="1"/>
  <c r="CC275" i="1" s="1"/>
  <c r="CA276" i="1"/>
  <c r="BZ276" i="1"/>
  <c r="BZ275" i="1" s="1"/>
  <c r="BX276" i="1"/>
  <c r="BW276" i="1"/>
  <c r="BW275" i="1" s="1"/>
  <c r="BU276" i="1"/>
  <c r="BT276" i="1"/>
  <c r="BT275" i="1" s="1"/>
  <c r="BR276" i="1"/>
  <c r="BQ276" i="1"/>
  <c r="BQ275" i="1" s="1"/>
  <c r="BO276" i="1"/>
  <c r="BN276" i="1"/>
  <c r="BN275" i="1" s="1"/>
  <c r="BL276" i="1"/>
  <c r="BK276" i="1"/>
  <c r="BK275" i="1" s="1"/>
  <c r="BI276" i="1"/>
  <c r="BH276" i="1"/>
  <c r="BH275" i="1" s="1"/>
  <c r="BF276" i="1"/>
  <c r="BE276" i="1"/>
  <c r="BE275" i="1" s="1"/>
  <c r="BC276" i="1"/>
  <c r="BB276" i="1"/>
  <c r="BB275" i="1" s="1"/>
  <c r="AZ276" i="1"/>
  <c r="AY276" i="1"/>
  <c r="AY275" i="1" s="1"/>
  <c r="AW276" i="1"/>
  <c r="AV276" i="1"/>
  <c r="AV275" i="1" s="1"/>
  <c r="AT276" i="1"/>
  <c r="AS276" i="1"/>
  <c r="AS275" i="1" s="1"/>
  <c r="AQ276" i="1"/>
  <c r="AP276" i="1"/>
  <c r="AP275" i="1" s="1"/>
  <c r="AN276" i="1"/>
  <c r="AM276" i="1"/>
  <c r="AM275" i="1" s="1"/>
  <c r="AK276" i="1"/>
  <c r="AJ276" i="1"/>
  <c r="AJ275" i="1" s="1"/>
  <c r="AH276" i="1"/>
  <c r="AG276" i="1"/>
  <c r="AG275" i="1" s="1"/>
  <c r="AE276" i="1"/>
  <c r="AD276" i="1"/>
  <c r="AD275" i="1" s="1"/>
  <c r="AB276" i="1"/>
  <c r="AA276" i="1"/>
  <c r="AA275" i="1" s="1"/>
  <c r="Y276" i="1"/>
  <c r="X276" i="1"/>
  <c r="X275" i="1" s="1"/>
  <c r="V276" i="1"/>
  <c r="U276" i="1"/>
  <c r="U275" i="1" s="1"/>
  <c r="S276" i="1"/>
  <c r="R276" i="1"/>
  <c r="R275" i="1" s="1"/>
  <c r="Q276" i="1"/>
  <c r="M276" i="1"/>
  <c r="M275" i="1" s="1"/>
  <c r="L276" i="1"/>
  <c r="L275" i="1" s="1"/>
  <c r="K276" i="1"/>
  <c r="J276" i="1"/>
  <c r="J275" i="1" s="1"/>
  <c r="H276" i="1"/>
  <c r="CG275" i="1"/>
  <c r="CA275" i="1"/>
  <c r="BU275" i="1"/>
  <c r="BO275" i="1"/>
  <c r="BI275" i="1"/>
  <c r="BC275" i="1"/>
  <c r="AW275" i="1"/>
  <c r="AQ275" i="1"/>
  <c r="AK275" i="1"/>
  <c r="AE275" i="1"/>
  <c r="Y275" i="1"/>
  <c r="S275" i="1"/>
  <c r="Q274" i="1"/>
  <c r="P274" i="1"/>
  <c r="Q273" i="1"/>
  <c r="P273" i="1"/>
  <c r="P272" i="1" s="1"/>
  <c r="CJ272" i="1"/>
  <c r="CI272" i="1"/>
  <c r="CG272" i="1"/>
  <c r="CF272" i="1"/>
  <c r="CD272" i="1"/>
  <c r="CC272" i="1"/>
  <c r="CA272" i="1"/>
  <c r="BZ272" i="1"/>
  <c r="BX272" i="1"/>
  <c r="BW272" i="1"/>
  <c r="BU272" i="1"/>
  <c r="BT272" i="1"/>
  <c r="BR272" i="1"/>
  <c r="BQ272" i="1"/>
  <c r="BO272" i="1"/>
  <c r="BN272" i="1"/>
  <c r="BL272" i="1"/>
  <c r="BK272" i="1"/>
  <c r="BI272" i="1"/>
  <c r="BH272" i="1"/>
  <c r="BF272" i="1"/>
  <c r="BE272" i="1"/>
  <c r="BC272" i="1"/>
  <c r="BB272" i="1"/>
  <c r="AZ272" i="1"/>
  <c r="AY272" i="1"/>
  <c r="AW272" i="1"/>
  <c r="AV272" i="1"/>
  <c r="AT272" i="1"/>
  <c r="AS272" i="1"/>
  <c r="AQ272" i="1"/>
  <c r="AP272" i="1"/>
  <c r="AN272" i="1"/>
  <c r="AM272" i="1"/>
  <c r="AK272" i="1"/>
  <c r="AJ272" i="1"/>
  <c r="AH272" i="1"/>
  <c r="AG272" i="1"/>
  <c r="AE272" i="1"/>
  <c r="AD272" i="1"/>
  <c r="AB272" i="1"/>
  <c r="AA272" i="1"/>
  <c r="Y272" i="1"/>
  <c r="X272" i="1"/>
  <c r="V272" i="1"/>
  <c r="U272" i="1"/>
  <c r="S272" i="1"/>
  <c r="R272" i="1"/>
  <c r="Q272" i="1"/>
  <c r="M272" i="1"/>
  <c r="M259" i="1" s="1"/>
  <c r="L272" i="1"/>
  <c r="K272" i="1"/>
  <c r="J272" i="1"/>
  <c r="I272" i="1"/>
  <c r="H272" i="1"/>
  <c r="G272" i="1"/>
  <c r="Q271" i="1"/>
  <c r="P271" i="1"/>
  <c r="Q270" i="1"/>
  <c r="Q269" i="1" s="1"/>
  <c r="P270" i="1"/>
  <c r="CJ269" i="1"/>
  <c r="CI269" i="1"/>
  <c r="CG269" i="1"/>
  <c r="CF269" i="1"/>
  <c r="CD269" i="1"/>
  <c r="CC269" i="1"/>
  <c r="CA269" i="1"/>
  <c r="BZ269" i="1"/>
  <c r="BX269" i="1"/>
  <c r="BW269" i="1"/>
  <c r="BU269" i="1"/>
  <c r="BT269" i="1"/>
  <c r="BR269" i="1"/>
  <c r="BQ269" i="1"/>
  <c r="BO269" i="1"/>
  <c r="BN269" i="1"/>
  <c r="BL269" i="1"/>
  <c r="BK269" i="1"/>
  <c r="BI269" i="1"/>
  <c r="BH269" i="1"/>
  <c r="BF269" i="1"/>
  <c r="BE269" i="1"/>
  <c r="BC269" i="1"/>
  <c r="BB269" i="1"/>
  <c r="AZ269" i="1"/>
  <c r="AY269" i="1"/>
  <c r="AW269" i="1"/>
  <c r="AV269" i="1"/>
  <c r="AT269" i="1"/>
  <c r="AS269" i="1"/>
  <c r="AQ269" i="1"/>
  <c r="AP269" i="1"/>
  <c r="AN269" i="1"/>
  <c r="AM269" i="1"/>
  <c r="AK269" i="1"/>
  <c r="AJ269" i="1"/>
  <c r="AH269" i="1"/>
  <c r="AG269" i="1"/>
  <c r="AE269" i="1"/>
  <c r="AD269" i="1"/>
  <c r="AB269" i="1"/>
  <c r="AA269" i="1"/>
  <c r="Y269" i="1"/>
  <c r="X269" i="1"/>
  <c r="V269" i="1"/>
  <c r="U269" i="1"/>
  <c r="S269" i="1"/>
  <c r="R269" i="1"/>
  <c r="P269" i="1"/>
  <c r="M269" i="1"/>
  <c r="L269" i="1"/>
  <c r="K269" i="1"/>
  <c r="J269" i="1"/>
  <c r="I269" i="1"/>
  <c r="H269" i="1"/>
  <c r="G269" i="1"/>
  <c r="Q268" i="1"/>
  <c r="P268" i="1"/>
  <c r="P261" i="1" s="1"/>
  <c r="Q267" i="1"/>
  <c r="P267" i="1"/>
  <c r="P260" i="1" s="1"/>
  <c r="CJ266" i="1"/>
  <c r="CI266" i="1"/>
  <c r="CI259" i="1" s="1"/>
  <c r="CG266" i="1"/>
  <c r="CF266" i="1"/>
  <c r="CF259" i="1" s="1"/>
  <c r="CD266" i="1"/>
  <c r="CC266" i="1"/>
  <c r="CC259" i="1" s="1"/>
  <c r="CA266" i="1"/>
  <c r="BZ266" i="1"/>
  <c r="BZ259" i="1" s="1"/>
  <c r="BX266" i="1"/>
  <c r="BW266" i="1"/>
  <c r="BW259" i="1" s="1"/>
  <c r="BU266" i="1"/>
  <c r="BT266" i="1"/>
  <c r="BT259" i="1" s="1"/>
  <c r="BR266" i="1"/>
  <c r="BQ266" i="1"/>
  <c r="BQ259" i="1" s="1"/>
  <c r="BO266" i="1"/>
  <c r="BN266" i="1"/>
  <c r="BN259" i="1" s="1"/>
  <c r="BL266" i="1"/>
  <c r="BK266" i="1"/>
  <c r="BK259" i="1" s="1"/>
  <c r="BI266" i="1"/>
  <c r="BH266" i="1"/>
  <c r="BH259" i="1" s="1"/>
  <c r="BF266" i="1"/>
  <c r="BE266" i="1"/>
  <c r="BE259" i="1" s="1"/>
  <c r="BC266" i="1"/>
  <c r="BB266" i="1"/>
  <c r="BB259" i="1" s="1"/>
  <c r="AZ266" i="1"/>
  <c r="AY266" i="1"/>
  <c r="AY259" i="1" s="1"/>
  <c r="AW266" i="1"/>
  <c r="AV266" i="1"/>
  <c r="AV259" i="1" s="1"/>
  <c r="AT266" i="1"/>
  <c r="AS266" i="1"/>
  <c r="AS259" i="1" s="1"/>
  <c r="AQ266" i="1"/>
  <c r="AP266" i="1"/>
  <c r="AP259" i="1" s="1"/>
  <c r="AN266" i="1"/>
  <c r="AM266" i="1"/>
  <c r="AM259" i="1" s="1"/>
  <c r="AK266" i="1"/>
  <c r="AJ266" i="1"/>
  <c r="AJ259" i="1" s="1"/>
  <c r="AH266" i="1"/>
  <c r="AG266" i="1"/>
  <c r="AG259" i="1" s="1"/>
  <c r="AE266" i="1"/>
  <c r="AD266" i="1"/>
  <c r="AD259" i="1" s="1"/>
  <c r="AB266" i="1"/>
  <c r="AA266" i="1"/>
  <c r="AA259" i="1" s="1"/>
  <c r="Y266" i="1"/>
  <c r="X266" i="1"/>
  <c r="X259" i="1" s="1"/>
  <c r="V266" i="1"/>
  <c r="U266" i="1"/>
  <c r="U259" i="1" s="1"/>
  <c r="S266" i="1"/>
  <c r="R266" i="1"/>
  <c r="R259" i="1" s="1"/>
  <c r="Q266" i="1"/>
  <c r="P266" i="1"/>
  <c r="P259" i="1" s="1"/>
  <c r="M266" i="1"/>
  <c r="L266" i="1"/>
  <c r="L259" i="1" s="1"/>
  <c r="K266" i="1"/>
  <c r="J266" i="1"/>
  <c r="J259" i="1" s="1"/>
  <c r="I266" i="1"/>
  <c r="H266" i="1"/>
  <c r="H259" i="1" s="1"/>
  <c r="G266" i="1"/>
  <c r="Q265" i="1"/>
  <c r="Q258" i="1" s="1"/>
  <c r="P265" i="1"/>
  <c r="Q264" i="1"/>
  <c r="P264" i="1"/>
  <c r="J264" i="1"/>
  <c r="J263" i="1" s="1"/>
  <c r="H264" i="1"/>
  <c r="G264" i="1"/>
  <c r="G263" i="1" s="1"/>
  <c r="CJ263" i="1"/>
  <c r="CI263" i="1"/>
  <c r="CG263" i="1"/>
  <c r="CF263" i="1"/>
  <c r="CF262" i="1" s="1"/>
  <c r="CD263" i="1"/>
  <c r="CC263" i="1"/>
  <c r="CA263" i="1"/>
  <c r="BZ263" i="1"/>
  <c r="BZ262" i="1" s="1"/>
  <c r="BX263" i="1"/>
  <c r="BW263" i="1"/>
  <c r="BU263" i="1"/>
  <c r="BT263" i="1"/>
  <c r="BT262" i="1" s="1"/>
  <c r="BR263" i="1"/>
  <c r="BQ263" i="1"/>
  <c r="BO263" i="1"/>
  <c r="BN263" i="1"/>
  <c r="BN262" i="1" s="1"/>
  <c r="BL263" i="1"/>
  <c r="BK263" i="1"/>
  <c r="BI263" i="1"/>
  <c r="BH263" i="1"/>
  <c r="BH262" i="1" s="1"/>
  <c r="BF263" i="1"/>
  <c r="BE263" i="1"/>
  <c r="BC263" i="1"/>
  <c r="BB263" i="1"/>
  <c r="BB262" i="1" s="1"/>
  <c r="AZ263" i="1"/>
  <c r="AY263" i="1"/>
  <c r="AW263" i="1"/>
  <c r="AV263" i="1"/>
  <c r="AV262" i="1" s="1"/>
  <c r="AT263" i="1"/>
  <c r="AS263" i="1"/>
  <c r="AQ263" i="1"/>
  <c r="AP263" i="1"/>
  <c r="AP262" i="1" s="1"/>
  <c r="AN263" i="1"/>
  <c r="AM263" i="1"/>
  <c r="AK263" i="1"/>
  <c r="AJ263" i="1"/>
  <c r="AJ262" i="1" s="1"/>
  <c r="AH263" i="1"/>
  <c r="AG263" i="1"/>
  <c r="AE263" i="1"/>
  <c r="AD263" i="1"/>
  <c r="AD262" i="1" s="1"/>
  <c r="AB263" i="1"/>
  <c r="AA263" i="1"/>
  <c r="Y263" i="1"/>
  <c r="X263" i="1"/>
  <c r="X262" i="1" s="1"/>
  <c r="V263" i="1"/>
  <c r="U263" i="1"/>
  <c r="S263" i="1"/>
  <c r="R263" i="1"/>
  <c r="R262" i="1" s="1"/>
  <c r="P263" i="1"/>
  <c r="M263" i="1"/>
  <c r="M262" i="1" s="1"/>
  <c r="L263" i="1"/>
  <c r="L262" i="1" s="1"/>
  <c r="K263" i="1"/>
  <c r="I263" i="1"/>
  <c r="H263" i="1"/>
  <c r="CJ262" i="1"/>
  <c r="CG262" i="1"/>
  <c r="CD262" i="1"/>
  <c r="CA262" i="1"/>
  <c r="BX262" i="1"/>
  <c r="BU262" i="1"/>
  <c r="BR262" i="1"/>
  <c r="BO262" i="1"/>
  <c r="BL262" i="1"/>
  <c r="BI262" i="1"/>
  <c r="BF262" i="1"/>
  <c r="BC262" i="1"/>
  <c r="AZ262" i="1"/>
  <c r="AW262" i="1"/>
  <c r="AT262" i="1"/>
  <c r="AQ262" i="1"/>
  <c r="AN262" i="1"/>
  <c r="AK262" i="1"/>
  <c r="AH262" i="1"/>
  <c r="AE262" i="1"/>
  <c r="AB262" i="1"/>
  <c r="Y262" i="1"/>
  <c r="V262" i="1"/>
  <c r="S262" i="1"/>
  <c r="K262" i="1"/>
  <c r="I262" i="1"/>
  <c r="CJ261" i="1"/>
  <c r="CI261" i="1"/>
  <c r="CG261" i="1"/>
  <c r="CF261" i="1"/>
  <c r="CD261" i="1"/>
  <c r="CC261" i="1"/>
  <c r="CA261" i="1"/>
  <c r="BZ261" i="1"/>
  <c r="BX261" i="1"/>
  <c r="BW261" i="1"/>
  <c r="BU261" i="1"/>
  <c r="BT261" i="1"/>
  <c r="BR261" i="1"/>
  <c r="BQ261" i="1"/>
  <c r="BO261" i="1"/>
  <c r="BN261" i="1"/>
  <c r="BL261" i="1"/>
  <c r="BK261" i="1"/>
  <c r="BI261" i="1"/>
  <c r="BH261" i="1"/>
  <c r="BF261" i="1"/>
  <c r="BE261" i="1"/>
  <c r="BC261" i="1"/>
  <c r="BB261" i="1"/>
  <c r="AZ261" i="1"/>
  <c r="AY261" i="1"/>
  <c r="AW261" i="1"/>
  <c r="AV261" i="1"/>
  <c r="AT261" i="1"/>
  <c r="AS261" i="1"/>
  <c r="AQ261" i="1"/>
  <c r="AP261" i="1"/>
  <c r="AN261" i="1"/>
  <c r="AM261" i="1"/>
  <c r="AK261" i="1"/>
  <c r="AJ261" i="1"/>
  <c r="AH261" i="1"/>
  <c r="AG261" i="1"/>
  <c r="AE261" i="1"/>
  <c r="AD261" i="1"/>
  <c r="AB261" i="1"/>
  <c r="AA261" i="1"/>
  <c r="Y261" i="1"/>
  <c r="X261" i="1"/>
  <c r="V261" i="1"/>
  <c r="U261" i="1"/>
  <c r="S261" i="1"/>
  <c r="R261" i="1"/>
  <c r="M261" i="1"/>
  <c r="L261" i="1"/>
  <c r="K261" i="1"/>
  <c r="J261" i="1"/>
  <c r="I261" i="1"/>
  <c r="H261" i="1"/>
  <c r="G261" i="1"/>
  <c r="F261" i="1"/>
  <c r="E261" i="1"/>
  <c r="CJ260" i="1"/>
  <c r="CI260" i="1"/>
  <c r="CG260" i="1"/>
  <c r="CF260" i="1"/>
  <c r="CD260" i="1"/>
  <c r="CC260" i="1"/>
  <c r="CA260" i="1"/>
  <c r="BZ260" i="1"/>
  <c r="BX260" i="1"/>
  <c r="BW260" i="1"/>
  <c r="BU260" i="1"/>
  <c r="BT260" i="1"/>
  <c r="BR260" i="1"/>
  <c r="BQ260" i="1"/>
  <c r="BO260" i="1"/>
  <c r="BN260" i="1"/>
  <c r="BL260" i="1"/>
  <c r="BK260" i="1"/>
  <c r="BI260" i="1"/>
  <c r="BH260" i="1"/>
  <c r="BF260" i="1"/>
  <c r="BE260" i="1"/>
  <c r="BC260" i="1"/>
  <c r="BB260" i="1"/>
  <c r="AZ260" i="1"/>
  <c r="AY260" i="1"/>
  <c r="AW260" i="1"/>
  <c r="AV260" i="1"/>
  <c r="AT260" i="1"/>
  <c r="AS260" i="1"/>
  <c r="AQ260" i="1"/>
  <c r="AP260" i="1"/>
  <c r="AN260" i="1"/>
  <c r="AM260" i="1"/>
  <c r="AK260" i="1"/>
  <c r="AJ260" i="1"/>
  <c r="AH260" i="1"/>
  <c r="AG260" i="1"/>
  <c r="AE260" i="1"/>
  <c r="AD260" i="1"/>
  <c r="AB260" i="1"/>
  <c r="AA260" i="1"/>
  <c r="Y260" i="1"/>
  <c r="X260" i="1"/>
  <c r="V260" i="1"/>
  <c r="U260" i="1"/>
  <c r="S260" i="1"/>
  <c r="R260" i="1"/>
  <c r="Q260" i="1"/>
  <c r="M260" i="1"/>
  <c r="L260" i="1"/>
  <c r="K260" i="1"/>
  <c r="J260" i="1"/>
  <c r="I260" i="1"/>
  <c r="H260" i="1"/>
  <c r="G260" i="1"/>
  <c r="E260" i="1"/>
  <c r="CJ259" i="1"/>
  <c r="CG259" i="1"/>
  <c r="CD259" i="1"/>
  <c r="CA259" i="1"/>
  <c r="BX259" i="1"/>
  <c r="BU259" i="1"/>
  <c r="BR259" i="1"/>
  <c r="BO259" i="1"/>
  <c r="BL259" i="1"/>
  <c r="BI259" i="1"/>
  <c r="BF259" i="1"/>
  <c r="BC259" i="1"/>
  <c r="AZ259" i="1"/>
  <c r="AW259" i="1"/>
  <c r="AT259" i="1"/>
  <c r="AQ259" i="1"/>
  <c r="AN259" i="1"/>
  <c r="AK259" i="1"/>
  <c r="AH259" i="1"/>
  <c r="AE259" i="1"/>
  <c r="AB259" i="1"/>
  <c r="Y259" i="1"/>
  <c r="V259" i="1"/>
  <c r="S259" i="1"/>
  <c r="Q259" i="1"/>
  <c r="I259" i="1"/>
  <c r="E259" i="1"/>
  <c r="CJ258" i="1"/>
  <c r="CI258" i="1"/>
  <c r="CG258" i="1"/>
  <c r="CF258" i="1"/>
  <c r="CD258" i="1"/>
  <c r="CC258" i="1"/>
  <c r="CA258" i="1"/>
  <c r="BZ258" i="1"/>
  <c r="BX258" i="1"/>
  <c r="BW258" i="1"/>
  <c r="BU258" i="1"/>
  <c r="BT258" i="1"/>
  <c r="BR258" i="1"/>
  <c r="BQ258" i="1"/>
  <c r="BO258" i="1"/>
  <c r="BN258" i="1"/>
  <c r="BL258" i="1"/>
  <c r="BK258" i="1"/>
  <c r="BI258" i="1"/>
  <c r="BH258" i="1"/>
  <c r="BF258" i="1"/>
  <c r="BE258" i="1"/>
  <c r="BC258" i="1"/>
  <c r="BB258" i="1"/>
  <c r="AZ258" i="1"/>
  <c r="AY258" i="1"/>
  <c r="AW258" i="1"/>
  <c r="AV258" i="1"/>
  <c r="AT258" i="1"/>
  <c r="AS258" i="1"/>
  <c r="AQ258" i="1"/>
  <c r="AP258" i="1"/>
  <c r="AN258" i="1"/>
  <c r="AM258" i="1"/>
  <c r="AK258" i="1"/>
  <c r="AJ258" i="1"/>
  <c r="AH258" i="1"/>
  <c r="AG258" i="1"/>
  <c r="AE258" i="1"/>
  <c r="AD258" i="1"/>
  <c r="AB258" i="1"/>
  <c r="AA258" i="1"/>
  <c r="Y258" i="1"/>
  <c r="X258" i="1"/>
  <c r="V258" i="1"/>
  <c r="U258" i="1"/>
  <c r="S258" i="1"/>
  <c r="R258" i="1"/>
  <c r="P258" i="1"/>
  <c r="M258" i="1"/>
  <c r="L258" i="1"/>
  <c r="K258" i="1"/>
  <c r="J258" i="1"/>
  <c r="I258" i="1"/>
  <c r="H258" i="1"/>
  <c r="E258" i="1"/>
  <c r="CJ257" i="1"/>
  <c r="CI257" i="1"/>
  <c r="CG257" i="1"/>
  <c r="CF257" i="1"/>
  <c r="CD257" i="1"/>
  <c r="CC257" i="1"/>
  <c r="CA257" i="1"/>
  <c r="BZ257" i="1"/>
  <c r="BX257" i="1"/>
  <c r="BW257" i="1"/>
  <c r="BU257" i="1"/>
  <c r="BT257" i="1"/>
  <c r="BR257" i="1"/>
  <c r="BQ257" i="1"/>
  <c r="BO257" i="1"/>
  <c r="BN257" i="1"/>
  <c r="BL257" i="1"/>
  <c r="BK257" i="1"/>
  <c r="BI257" i="1"/>
  <c r="BH257" i="1"/>
  <c r="BF257" i="1"/>
  <c r="BE257" i="1"/>
  <c r="BC257" i="1"/>
  <c r="BB257" i="1"/>
  <c r="AZ257" i="1"/>
  <c r="AY257" i="1"/>
  <c r="AW257" i="1"/>
  <c r="AV257" i="1"/>
  <c r="AT257" i="1"/>
  <c r="AS257" i="1"/>
  <c r="AQ257" i="1"/>
  <c r="AP257" i="1"/>
  <c r="AN257" i="1"/>
  <c r="AM257" i="1"/>
  <c r="AK257" i="1"/>
  <c r="AJ257" i="1"/>
  <c r="AH257" i="1"/>
  <c r="AG257" i="1"/>
  <c r="AE257" i="1"/>
  <c r="AD257" i="1"/>
  <c r="AB257" i="1"/>
  <c r="AA257" i="1"/>
  <c r="Y257" i="1"/>
  <c r="X257" i="1"/>
  <c r="V257" i="1"/>
  <c r="U257" i="1"/>
  <c r="S257" i="1"/>
  <c r="R257" i="1"/>
  <c r="P257" i="1"/>
  <c r="M257" i="1"/>
  <c r="L257" i="1"/>
  <c r="K257" i="1"/>
  <c r="I257" i="1"/>
  <c r="H257" i="1"/>
  <c r="E257" i="1"/>
  <c r="CJ256" i="1"/>
  <c r="CG256" i="1"/>
  <c r="CD256" i="1"/>
  <c r="CA256" i="1"/>
  <c r="BX256" i="1"/>
  <c r="BU256" i="1"/>
  <c r="BR256" i="1"/>
  <c r="BO256" i="1"/>
  <c r="BL256" i="1"/>
  <c r="BI256" i="1"/>
  <c r="BF256" i="1"/>
  <c r="BC256" i="1"/>
  <c r="AZ256" i="1"/>
  <c r="AW256" i="1"/>
  <c r="AT256" i="1"/>
  <c r="AQ256" i="1"/>
  <c r="AN256" i="1"/>
  <c r="AK256" i="1"/>
  <c r="AH256" i="1"/>
  <c r="AE256" i="1"/>
  <c r="AB256" i="1"/>
  <c r="Y256" i="1"/>
  <c r="V256" i="1"/>
  <c r="S256" i="1"/>
  <c r="K256" i="1"/>
  <c r="E256" i="1"/>
  <c r="CJ249" i="1"/>
  <c r="CI249" i="1"/>
  <c r="CG249" i="1"/>
  <c r="CF249" i="1"/>
  <c r="CD249" i="1"/>
  <c r="CC249" i="1"/>
  <c r="CA249" i="1"/>
  <c r="BZ249" i="1"/>
  <c r="BX249" i="1"/>
  <c r="BW249" i="1"/>
  <c r="BU249" i="1"/>
  <c r="BT249" i="1"/>
  <c r="BR249" i="1"/>
  <c r="BQ249" i="1"/>
  <c r="BO249" i="1"/>
  <c r="BN249" i="1"/>
  <c r="BL249" i="1"/>
  <c r="BK249" i="1"/>
  <c r="BI249" i="1"/>
  <c r="BH249" i="1"/>
  <c r="BF249" i="1"/>
  <c r="BE249" i="1"/>
  <c r="BC249" i="1"/>
  <c r="BB249" i="1"/>
  <c r="AZ249" i="1"/>
  <c r="AY249" i="1"/>
  <c r="AW249" i="1"/>
  <c r="AV249" i="1"/>
  <c r="AT249" i="1"/>
  <c r="AS249" i="1"/>
  <c r="AQ249" i="1"/>
  <c r="AP249" i="1"/>
  <c r="AN249" i="1"/>
  <c r="AM249" i="1"/>
  <c r="AK249" i="1"/>
  <c r="AJ249" i="1"/>
  <c r="AH249" i="1"/>
  <c r="AG249" i="1"/>
  <c r="AE249" i="1"/>
  <c r="AD249" i="1"/>
  <c r="AB249" i="1"/>
  <c r="AA249" i="1"/>
  <c r="Y249" i="1"/>
  <c r="X249" i="1"/>
  <c r="V249" i="1"/>
  <c r="U249" i="1"/>
  <c r="S249" i="1"/>
  <c r="R249" i="1"/>
  <c r="Q249" i="1"/>
  <c r="P249" i="1"/>
  <c r="Q248" i="1"/>
  <c r="P248" i="1"/>
  <c r="Q247" i="1"/>
  <c r="P247" i="1"/>
  <c r="Q246" i="1"/>
  <c r="P246" i="1"/>
  <c r="Q245" i="1"/>
  <c r="P245" i="1"/>
  <c r="AS244" i="1"/>
  <c r="P244" i="1" s="1"/>
  <c r="Q244" i="1"/>
  <c r="Q243" i="1"/>
  <c r="P243" i="1"/>
  <c r="Q242" i="1"/>
  <c r="P242" i="1"/>
  <c r="AS241" i="1"/>
  <c r="Q241" i="1"/>
  <c r="P241" i="1"/>
  <c r="Q240" i="1"/>
  <c r="P240" i="1"/>
  <c r="Q239" i="1"/>
  <c r="P239" i="1"/>
  <c r="CG237" i="1"/>
  <c r="AK237" i="1"/>
  <c r="CC234" i="1"/>
  <c r="BE234" i="1"/>
  <c r="AG234" i="1"/>
  <c r="CC232" i="1"/>
  <c r="AS232" i="1"/>
  <c r="CA231" i="1"/>
  <c r="AE231" i="1"/>
  <c r="BZ230" i="1"/>
  <c r="CC228" i="1"/>
  <c r="AS228" i="1"/>
  <c r="Q226" i="1"/>
  <c r="P226" i="1"/>
  <c r="Q225" i="1"/>
  <c r="Q224" i="1" s="1"/>
  <c r="P225" i="1"/>
  <c r="P224" i="1" s="1"/>
  <c r="CJ224" i="1"/>
  <c r="CI224" i="1"/>
  <c r="CG224" i="1"/>
  <c r="CF224" i="1"/>
  <c r="CD224" i="1"/>
  <c r="CC224" i="1"/>
  <c r="CA224" i="1"/>
  <c r="BZ224" i="1"/>
  <c r="BX224" i="1"/>
  <c r="BW224" i="1"/>
  <c r="BU224" i="1"/>
  <c r="BT224" i="1"/>
  <c r="BR224" i="1"/>
  <c r="BQ224" i="1"/>
  <c r="BO224" i="1"/>
  <c r="BN224" i="1"/>
  <c r="BL224" i="1"/>
  <c r="BK224" i="1"/>
  <c r="BI224" i="1"/>
  <c r="BH224" i="1"/>
  <c r="BF224" i="1"/>
  <c r="BE224" i="1"/>
  <c r="BC224" i="1"/>
  <c r="BB224" i="1"/>
  <c r="AZ224" i="1"/>
  <c r="AY224" i="1"/>
  <c r="AW224" i="1"/>
  <c r="AV224" i="1"/>
  <c r="AT224" i="1"/>
  <c r="AS224" i="1"/>
  <c r="AQ224" i="1"/>
  <c r="AP224" i="1"/>
  <c r="AN224" i="1"/>
  <c r="AM224" i="1"/>
  <c r="AK224" i="1"/>
  <c r="AJ224" i="1"/>
  <c r="AH224" i="1"/>
  <c r="AG224" i="1"/>
  <c r="AE224" i="1"/>
  <c r="AD224" i="1"/>
  <c r="AB224" i="1"/>
  <c r="AA224" i="1"/>
  <c r="Y224" i="1"/>
  <c r="X224" i="1"/>
  <c r="V224" i="1"/>
  <c r="U224" i="1"/>
  <c r="S224" i="1"/>
  <c r="R224" i="1"/>
  <c r="M224" i="1"/>
  <c r="L224" i="1"/>
  <c r="K224" i="1"/>
  <c r="J224" i="1"/>
  <c r="I224" i="1"/>
  <c r="H224" i="1"/>
  <c r="G224" i="1"/>
  <c r="F224" i="1"/>
  <c r="E224" i="1"/>
  <c r="Q223" i="1"/>
  <c r="P223" i="1"/>
  <c r="Q222" i="1"/>
  <c r="P222" i="1"/>
  <c r="I222" i="1"/>
  <c r="H222" i="1"/>
  <c r="H221" i="1" s="1"/>
  <c r="G222" i="1"/>
  <c r="CJ221" i="1"/>
  <c r="CI221" i="1"/>
  <c r="CG221" i="1"/>
  <c r="CG220" i="1" s="1"/>
  <c r="CG238" i="1" s="1"/>
  <c r="CG233" i="1" s="1"/>
  <c r="CF221" i="1"/>
  <c r="CD221" i="1"/>
  <c r="CC221" i="1"/>
  <c r="CA221" i="1"/>
  <c r="CA220" i="1" s="1"/>
  <c r="CA238" i="1" s="1"/>
  <c r="CA235" i="1" s="1"/>
  <c r="BZ221" i="1"/>
  <c r="BX221" i="1"/>
  <c r="BW221" i="1"/>
  <c r="BU221" i="1"/>
  <c r="BU220" i="1" s="1"/>
  <c r="BU238" i="1" s="1"/>
  <c r="BU233" i="1" s="1"/>
  <c r="BT221" i="1"/>
  <c r="BT220" i="1" s="1"/>
  <c r="BR221" i="1"/>
  <c r="BQ221" i="1"/>
  <c r="BO221" i="1"/>
  <c r="BO220" i="1" s="1"/>
  <c r="BO238" i="1" s="1"/>
  <c r="BO229" i="1" s="1"/>
  <c r="BN221" i="1"/>
  <c r="BN207" i="1" s="1"/>
  <c r="BL221" i="1"/>
  <c r="BK221" i="1"/>
  <c r="BI221" i="1"/>
  <c r="BI220" i="1" s="1"/>
  <c r="BI238" i="1" s="1"/>
  <c r="BI233" i="1" s="1"/>
  <c r="BH221" i="1"/>
  <c r="BH220" i="1" s="1"/>
  <c r="BF221" i="1"/>
  <c r="BE221" i="1"/>
  <c r="BC221" i="1"/>
  <c r="BC220" i="1" s="1"/>
  <c r="BC238" i="1" s="1"/>
  <c r="BC229" i="1" s="1"/>
  <c r="BB221" i="1"/>
  <c r="AZ221" i="1"/>
  <c r="AY221" i="1"/>
  <c r="AW221" i="1"/>
  <c r="AW220" i="1" s="1"/>
  <c r="AW238" i="1" s="1"/>
  <c r="AW237" i="1" s="1"/>
  <c r="AV221" i="1"/>
  <c r="AV220" i="1" s="1"/>
  <c r="AT221" i="1"/>
  <c r="AS221" i="1"/>
  <c r="AQ221" i="1"/>
  <c r="AQ220" i="1" s="1"/>
  <c r="AQ238" i="1" s="1"/>
  <c r="AQ229" i="1" s="1"/>
  <c r="AP221" i="1"/>
  <c r="AP207" i="1" s="1"/>
  <c r="AN221" i="1"/>
  <c r="AM221" i="1"/>
  <c r="AK221" i="1"/>
  <c r="AK220" i="1" s="1"/>
  <c r="AK238" i="1" s="1"/>
  <c r="AK233" i="1" s="1"/>
  <c r="AJ221" i="1"/>
  <c r="AJ220" i="1" s="1"/>
  <c r="AH221" i="1"/>
  <c r="AG221" i="1"/>
  <c r="AE221" i="1"/>
  <c r="AE220" i="1" s="1"/>
  <c r="AE238" i="1" s="1"/>
  <c r="AE229" i="1" s="1"/>
  <c r="AD221" i="1"/>
  <c r="AB221" i="1"/>
  <c r="AA221" i="1"/>
  <c r="Y221" i="1"/>
  <c r="Y220" i="1" s="1"/>
  <c r="Y238" i="1" s="1"/>
  <c r="Y233" i="1" s="1"/>
  <c r="X221" i="1"/>
  <c r="X220" i="1" s="1"/>
  <c r="X238" i="1" s="1"/>
  <c r="V221" i="1"/>
  <c r="U221" i="1"/>
  <c r="S221" i="1"/>
  <c r="S220" i="1" s="1"/>
  <c r="S238" i="1" s="1"/>
  <c r="S229" i="1" s="1"/>
  <c r="R221" i="1"/>
  <c r="R207" i="1" s="1"/>
  <c r="Q221" i="1"/>
  <c r="M221" i="1"/>
  <c r="L221" i="1"/>
  <c r="L220" i="1" s="1"/>
  <c r="L238" i="1" s="1"/>
  <c r="K221" i="1"/>
  <c r="J221" i="1"/>
  <c r="I221" i="1"/>
  <c r="G221" i="1"/>
  <c r="F221" i="1"/>
  <c r="E221" i="1"/>
  <c r="CI220" i="1"/>
  <c r="CI238" i="1" s="1"/>
  <c r="CF220" i="1"/>
  <c r="CF238" i="1" s="1"/>
  <c r="CF236" i="1" s="1"/>
  <c r="CC220" i="1"/>
  <c r="CC238" i="1" s="1"/>
  <c r="BZ220" i="1"/>
  <c r="BZ238" i="1" s="1"/>
  <c r="BW220" i="1"/>
  <c r="BW238" i="1" s="1"/>
  <c r="BQ220" i="1"/>
  <c r="BQ238" i="1" s="1"/>
  <c r="BQ232" i="1" s="1"/>
  <c r="BN220" i="1"/>
  <c r="BK220" i="1"/>
  <c r="BK238" i="1" s="1"/>
  <c r="BE220" i="1"/>
  <c r="BE238" i="1" s="1"/>
  <c r="BE232" i="1" s="1"/>
  <c r="BB220" i="1"/>
  <c r="AY220" i="1"/>
  <c r="AY238" i="1" s="1"/>
  <c r="AY228" i="1" s="1"/>
  <c r="AS220" i="1"/>
  <c r="AS238" i="1" s="1"/>
  <c r="AS234" i="1" s="1"/>
  <c r="AP220" i="1"/>
  <c r="AM220" i="1"/>
  <c r="AM238" i="1" s="1"/>
  <c r="AM235" i="1" s="1"/>
  <c r="AG220" i="1"/>
  <c r="AG238" i="1" s="1"/>
  <c r="AG232" i="1" s="1"/>
  <c r="AD220" i="1"/>
  <c r="AA220" i="1"/>
  <c r="AA238" i="1" s="1"/>
  <c r="U220" i="1"/>
  <c r="U238" i="1" s="1"/>
  <c r="U234" i="1" s="1"/>
  <c r="R220" i="1"/>
  <c r="R238" i="1" s="1"/>
  <c r="Q219" i="1"/>
  <c r="P219" i="1"/>
  <c r="Q218" i="1"/>
  <c r="Q211" i="1" s="1"/>
  <c r="P218" i="1"/>
  <c r="P217" i="1" s="1"/>
  <c r="CJ217" i="1"/>
  <c r="CJ210" i="1" s="1"/>
  <c r="CI217" i="1"/>
  <c r="CG217" i="1"/>
  <c r="CF217" i="1"/>
  <c r="CD217" i="1"/>
  <c r="CD210" i="1" s="1"/>
  <c r="CC217" i="1"/>
  <c r="CA217" i="1"/>
  <c r="BZ217" i="1"/>
  <c r="BX217" i="1"/>
  <c r="BX210" i="1" s="1"/>
  <c r="BW217" i="1"/>
  <c r="BU217" i="1"/>
  <c r="BT217" i="1"/>
  <c r="BR217" i="1"/>
  <c r="BR210" i="1" s="1"/>
  <c r="BQ217" i="1"/>
  <c r="BO217" i="1"/>
  <c r="BN217" i="1"/>
  <c r="BL217" i="1"/>
  <c r="BL210" i="1" s="1"/>
  <c r="BK217" i="1"/>
  <c r="BI217" i="1"/>
  <c r="BH217" i="1"/>
  <c r="BF217" i="1"/>
  <c r="BF210" i="1" s="1"/>
  <c r="BE217" i="1"/>
  <c r="BC217" i="1"/>
  <c r="BB217" i="1"/>
  <c r="AZ217" i="1"/>
  <c r="AZ210" i="1" s="1"/>
  <c r="AY217" i="1"/>
  <c r="AW217" i="1"/>
  <c r="AV217" i="1"/>
  <c r="AT217" i="1"/>
  <c r="AT210" i="1" s="1"/>
  <c r="AS217" i="1"/>
  <c r="AQ217" i="1"/>
  <c r="AP217" i="1"/>
  <c r="AN217" i="1"/>
  <c r="AN210" i="1" s="1"/>
  <c r="AM217" i="1"/>
  <c r="AK217" i="1"/>
  <c r="AJ217" i="1"/>
  <c r="AH217" i="1"/>
  <c r="AH210" i="1" s="1"/>
  <c r="AG217" i="1"/>
  <c r="AE217" i="1"/>
  <c r="AD217" i="1"/>
  <c r="AB217" i="1"/>
  <c r="AA217" i="1"/>
  <c r="Y217" i="1"/>
  <c r="X217" i="1"/>
  <c r="X213" i="1" s="1"/>
  <c r="X206" i="1" s="1"/>
  <c r="V217" i="1"/>
  <c r="U217" i="1"/>
  <c r="S217" i="1"/>
  <c r="R217" i="1"/>
  <c r="Q217" i="1"/>
  <c r="M217" i="1"/>
  <c r="L217" i="1"/>
  <c r="K217" i="1"/>
  <c r="J217" i="1"/>
  <c r="I217" i="1"/>
  <c r="H217" i="1"/>
  <c r="G217" i="1"/>
  <c r="F217" i="1"/>
  <c r="E217" i="1"/>
  <c r="Q216" i="1"/>
  <c r="P216" i="1"/>
  <c r="Q215" i="1"/>
  <c r="P215" i="1"/>
  <c r="P214" i="1" s="1"/>
  <c r="H215" i="1"/>
  <c r="CJ214" i="1"/>
  <c r="CI214" i="1"/>
  <c r="CG214" i="1"/>
  <c r="CF214" i="1"/>
  <c r="CD214" i="1"/>
  <c r="CC214" i="1"/>
  <c r="CA214" i="1"/>
  <c r="BZ214" i="1"/>
  <c r="BX214" i="1"/>
  <c r="BW214" i="1"/>
  <c r="BU214" i="1"/>
  <c r="BT214" i="1"/>
  <c r="BR214" i="1"/>
  <c r="BQ214" i="1"/>
  <c r="BO214" i="1"/>
  <c r="BN214" i="1"/>
  <c r="BL214" i="1"/>
  <c r="BK214" i="1"/>
  <c r="BI214" i="1"/>
  <c r="BH214" i="1"/>
  <c r="BF214" i="1"/>
  <c r="BE214" i="1"/>
  <c r="BC214" i="1"/>
  <c r="BB214" i="1"/>
  <c r="AZ214" i="1"/>
  <c r="AY214" i="1"/>
  <c r="AW214" i="1"/>
  <c r="AV214" i="1"/>
  <c r="AT214" i="1"/>
  <c r="AS214" i="1"/>
  <c r="AQ214" i="1"/>
  <c r="AP214" i="1"/>
  <c r="AN214" i="1"/>
  <c r="AM214" i="1"/>
  <c r="AK214" i="1"/>
  <c r="AJ214" i="1"/>
  <c r="AH214" i="1"/>
  <c r="AG214" i="1"/>
  <c r="AE214" i="1"/>
  <c r="AD214" i="1"/>
  <c r="AB214" i="1"/>
  <c r="AA214" i="1"/>
  <c r="Y214" i="1"/>
  <c r="X214" i="1"/>
  <c r="V214" i="1"/>
  <c r="U214" i="1"/>
  <c r="S214" i="1"/>
  <c r="R214" i="1"/>
  <c r="Q214" i="1"/>
  <c r="M214" i="1"/>
  <c r="L214" i="1"/>
  <c r="K214" i="1"/>
  <c r="K207" i="1" s="1"/>
  <c r="J214" i="1"/>
  <c r="I214" i="1"/>
  <c r="H214" i="1"/>
  <c r="G214" i="1"/>
  <c r="F214" i="1"/>
  <c r="E214" i="1"/>
  <c r="E207" i="1" s="1"/>
  <c r="CI213" i="1"/>
  <c r="CF213" i="1"/>
  <c r="CC213" i="1"/>
  <c r="BZ213" i="1"/>
  <c r="BW213" i="1"/>
  <c r="BT213" i="1"/>
  <c r="BQ213" i="1"/>
  <c r="BN213" i="1"/>
  <c r="BK213" i="1"/>
  <c r="BH213" i="1"/>
  <c r="BE213" i="1"/>
  <c r="BB213" i="1"/>
  <c r="AY213" i="1"/>
  <c r="AV213" i="1"/>
  <c r="AS213" i="1"/>
  <c r="AP213" i="1"/>
  <c r="AM213" i="1"/>
  <c r="AJ213" i="1"/>
  <c r="AG213" i="1"/>
  <c r="AD213" i="1"/>
  <c r="AA213" i="1"/>
  <c r="R213" i="1"/>
  <c r="R206" i="1" s="1"/>
  <c r="P213" i="1"/>
  <c r="K213" i="1"/>
  <c r="J213" i="1"/>
  <c r="CJ212" i="1"/>
  <c r="CI212" i="1"/>
  <c r="CG212" i="1"/>
  <c r="CF212" i="1"/>
  <c r="CD212" i="1"/>
  <c r="CC212" i="1"/>
  <c r="CA212" i="1"/>
  <c r="BZ212" i="1"/>
  <c r="BX212" i="1"/>
  <c r="BW212" i="1"/>
  <c r="BU212" i="1"/>
  <c r="BT212" i="1"/>
  <c r="BR212" i="1"/>
  <c r="BQ212" i="1"/>
  <c r="BO212" i="1"/>
  <c r="BN212" i="1"/>
  <c r="BL212" i="1"/>
  <c r="BK212" i="1"/>
  <c r="BI212" i="1"/>
  <c r="BH212" i="1"/>
  <c r="BF212" i="1"/>
  <c r="BE212" i="1"/>
  <c r="BC212" i="1"/>
  <c r="BB212" i="1"/>
  <c r="AZ212" i="1"/>
  <c r="AY212" i="1"/>
  <c r="AW212" i="1"/>
  <c r="AV212" i="1"/>
  <c r="AT212" i="1"/>
  <c r="AS212" i="1"/>
  <c r="AQ212" i="1"/>
  <c r="AP212" i="1"/>
  <c r="AN212" i="1"/>
  <c r="AM212" i="1"/>
  <c r="AK212" i="1"/>
  <c r="AJ212" i="1"/>
  <c r="AH212" i="1"/>
  <c r="AG212" i="1"/>
  <c r="AE212" i="1"/>
  <c r="AD212" i="1"/>
  <c r="AB212" i="1"/>
  <c r="AA212" i="1"/>
  <c r="Y212" i="1"/>
  <c r="X212" i="1"/>
  <c r="V212" i="1"/>
  <c r="U212" i="1"/>
  <c r="S212" i="1"/>
  <c r="R212" i="1"/>
  <c r="Q212" i="1"/>
  <c r="P212" i="1"/>
  <c r="M212" i="1"/>
  <c r="L212" i="1"/>
  <c r="K212" i="1"/>
  <c r="J212" i="1"/>
  <c r="I212" i="1"/>
  <c r="H212" i="1"/>
  <c r="G212" i="1"/>
  <c r="F212" i="1"/>
  <c r="E212" i="1"/>
  <c r="CJ211" i="1"/>
  <c r="CI211" i="1"/>
  <c r="CG211" i="1"/>
  <c r="CF211" i="1"/>
  <c r="CD211" i="1"/>
  <c r="CC211" i="1"/>
  <c r="CA211" i="1"/>
  <c r="BZ211" i="1"/>
  <c r="BX211" i="1"/>
  <c r="BW211" i="1"/>
  <c r="BU211" i="1"/>
  <c r="BT211" i="1"/>
  <c r="BR211" i="1"/>
  <c r="BQ211" i="1"/>
  <c r="BO211" i="1"/>
  <c r="BN211" i="1"/>
  <c r="BL211" i="1"/>
  <c r="BK211" i="1"/>
  <c r="BI211" i="1"/>
  <c r="BH211" i="1"/>
  <c r="BF211" i="1"/>
  <c r="BE211" i="1"/>
  <c r="BC211" i="1"/>
  <c r="BB211" i="1"/>
  <c r="AZ211" i="1"/>
  <c r="AY211" i="1"/>
  <c r="AW211" i="1"/>
  <c r="AV211" i="1"/>
  <c r="AT211" i="1"/>
  <c r="AS211" i="1"/>
  <c r="AQ211" i="1"/>
  <c r="AP211" i="1"/>
  <c r="AN211" i="1"/>
  <c r="AM211" i="1"/>
  <c r="AK211" i="1"/>
  <c r="AJ211" i="1"/>
  <c r="AH211" i="1"/>
  <c r="AG211" i="1"/>
  <c r="AE211" i="1"/>
  <c r="AD211" i="1"/>
  <c r="AB211" i="1"/>
  <c r="AA211" i="1"/>
  <c r="Y211" i="1"/>
  <c r="X211" i="1"/>
  <c r="V211" i="1"/>
  <c r="U211" i="1"/>
  <c r="S211" i="1"/>
  <c r="R211" i="1"/>
  <c r="P211" i="1"/>
  <c r="M211" i="1"/>
  <c r="L211" i="1"/>
  <c r="K211" i="1"/>
  <c r="J211" i="1"/>
  <c r="I211" i="1"/>
  <c r="H211" i="1"/>
  <c r="G211" i="1"/>
  <c r="F211" i="1"/>
  <c r="E211" i="1"/>
  <c r="CI210" i="1"/>
  <c r="CG210" i="1"/>
  <c r="CF210" i="1"/>
  <c r="CC210" i="1"/>
  <c r="CA210" i="1"/>
  <c r="BZ210" i="1"/>
  <c r="BW210" i="1"/>
  <c r="BU210" i="1"/>
  <c r="BT210" i="1"/>
  <c r="BQ210" i="1"/>
  <c r="BO210" i="1"/>
  <c r="BN210" i="1"/>
  <c r="BK210" i="1"/>
  <c r="BI210" i="1"/>
  <c r="BH210" i="1"/>
  <c r="BE210" i="1"/>
  <c r="BC210" i="1"/>
  <c r="BB210" i="1"/>
  <c r="AY210" i="1"/>
  <c r="AW210" i="1"/>
  <c r="AV210" i="1"/>
  <c r="AS210" i="1"/>
  <c r="AQ210" i="1"/>
  <c r="AP210" i="1"/>
  <c r="AM210" i="1"/>
  <c r="AK210" i="1"/>
  <c r="AJ210" i="1"/>
  <c r="AG210" i="1"/>
  <c r="AE210" i="1"/>
  <c r="AD210" i="1"/>
  <c r="AA210" i="1"/>
  <c r="Y210" i="1"/>
  <c r="X210" i="1"/>
  <c r="S210" i="1"/>
  <c r="R210" i="1"/>
  <c r="L210" i="1"/>
  <c r="K210" i="1"/>
  <c r="J210" i="1"/>
  <c r="H210" i="1"/>
  <c r="G210" i="1"/>
  <c r="F210" i="1"/>
  <c r="CJ209" i="1"/>
  <c r="CI209" i="1"/>
  <c r="CG209" i="1"/>
  <c r="CF209" i="1"/>
  <c r="CD209" i="1"/>
  <c r="CC209" i="1"/>
  <c r="CA209" i="1"/>
  <c r="BZ209" i="1"/>
  <c r="BX209" i="1"/>
  <c r="BW209" i="1"/>
  <c r="BU209" i="1"/>
  <c r="BT209" i="1"/>
  <c r="BR209" i="1"/>
  <c r="BQ209" i="1"/>
  <c r="BO209" i="1"/>
  <c r="BN209" i="1"/>
  <c r="BL209" i="1"/>
  <c r="BK209" i="1"/>
  <c r="BI209" i="1"/>
  <c r="BH209" i="1"/>
  <c r="BF209" i="1"/>
  <c r="BE209" i="1"/>
  <c r="BC209" i="1"/>
  <c r="BB209" i="1"/>
  <c r="AZ209" i="1"/>
  <c r="AY209" i="1"/>
  <c r="AW209" i="1"/>
  <c r="AV209" i="1"/>
  <c r="AT209" i="1"/>
  <c r="AS209" i="1"/>
  <c r="AQ209" i="1"/>
  <c r="AP209" i="1"/>
  <c r="AN209" i="1"/>
  <c r="AM209" i="1"/>
  <c r="AK209" i="1"/>
  <c r="AJ209" i="1"/>
  <c r="AH209" i="1"/>
  <c r="AG209" i="1"/>
  <c r="AE209" i="1"/>
  <c r="AD209" i="1"/>
  <c r="AB209" i="1"/>
  <c r="AA209" i="1"/>
  <c r="Y209" i="1"/>
  <c r="X209" i="1"/>
  <c r="V209" i="1"/>
  <c r="U209" i="1"/>
  <c r="S209" i="1"/>
  <c r="R209" i="1"/>
  <c r="Q209" i="1"/>
  <c r="P209" i="1"/>
  <c r="M209" i="1"/>
  <c r="L209" i="1"/>
  <c r="K209" i="1"/>
  <c r="J209" i="1"/>
  <c r="I209" i="1"/>
  <c r="H209" i="1"/>
  <c r="G209" i="1"/>
  <c r="F209" i="1"/>
  <c r="E209" i="1"/>
  <c r="CJ208" i="1"/>
  <c r="CI208" i="1"/>
  <c r="CG208" i="1"/>
  <c r="CF208" i="1"/>
  <c r="CD208" i="1"/>
  <c r="CC208" i="1"/>
  <c r="CA208" i="1"/>
  <c r="BZ208" i="1"/>
  <c r="BX208" i="1"/>
  <c r="BW208" i="1"/>
  <c r="BU208" i="1"/>
  <c r="BT208" i="1"/>
  <c r="BR208" i="1"/>
  <c r="BQ208" i="1"/>
  <c r="BO208" i="1"/>
  <c r="BN208" i="1"/>
  <c r="BL208" i="1"/>
  <c r="BK208" i="1"/>
  <c r="BI208" i="1"/>
  <c r="BH208" i="1"/>
  <c r="BF208" i="1"/>
  <c r="BE208" i="1"/>
  <c r="BC208" i="1"/>
  <c r="BB208" i="1"/>
  <c r="AZ208" i="1"/>
  <c r="AY208" i="1"/>
  <c r="AW208" i="1"/>
  <c r="AV208" i="1"/>
  <c r="AT208" i="1"/>
  <c r="AS208" i="1"/>
  <c r="AQ208" i="1"/>
  <c r="AP208" i="1"/>
  <c r="AN208" i="1"/>
  <c r="AM208" i="1"/>
  <c r="AK208" i="1"/>
  <c r="AJ208" i="1"/>
  <c r="AH208" i="1"/>
  <c r="AG208" i="1"/>
  <c r="AE208" i="1"/>
  <c r="AD208" i="1"/>
  <c r="AB208" i="1"/>
  <c r="AA208" i="1"/>
  <c r="Y208" i="1"/>
  <c r="X208" i="1"/>
  <c r="V208" i="1"/>
  <c r="U208" i="1"/>
  <c r="S208" i="1"/>
  <c r="R208" i="1"/>
  <c r="Q208" i="1"/>
  <c r="M208" i="1"/>
  <c r="L208" i="1"/>
  <c r="K208" i="1"/>
  <c r="J208" i="1"/>
  <c r="I208" i="1"/>
  <c r="G208" i="1"/>
  <c r="F208" i="1"/>
  <c r="E208" i="1"/>
  <c r="CI207" i="1"/>
  <c r="CG207" i="1"/>
  <c r="CF207" i="1"/>
  <c r="CC207" i="1"/>
  <c r="CA207" i="1"/>
  <c r="BZ207" i="1"/>
  <c r="BW207" i="1"/>
  <c r="BU207" i="1"/>
  <c r="BQ207" i="1"/>
  <c r="BO207" i="1"/>
  <c r="BK207" i="1"/>
  <c r="BI207" i="1"/>
  <c r="BH207" i="1"/>
  <c r="BE207" i="1"/>
  <c r="BC207" i="1"/>
  <c r="BB207" i="1"/>
  <c r="AY207" i="1"/>
  <c r="AW207" i="1"/>
  <c r="AS207" i="1"/>
  <c r="AQ207" i="1"/>
  <c r="AM207" i="1"/>
  <c r="AK207" i="1"/>
  <c r="AJ207" i="1"/>
  <c r="AG207" i="1"/>
  <c r="AE207" i="1"/>
  <c r="AD207" i="1"/>
  <c r="AA207" i="1"/>
  <c r="Y207" i="1"/>
  <c r="U207" i="1"/>
  <c r="S207" i="1"/>
  <c r="H207" i="1"/>
  <c r="CI206" i="1"/>
  <c r="CF206" i="1"/>
  <c r="CC206" i="1"/>
  <c r="BZ206" i="1"/>
  <c r="BW206" i="1"/>
  <c r="BQ206" i="1"/>
  <c r="BK206" i="1"/>
  <c r="BE206" i="1"/>
  <c r="AY206" i="1"/>
  <c r="AS206" i="1"/>
  <c r="AM206" i="1"/>
  <c r="AG206" i="1"/>
  <c r="AA206" i="1"/>
  <c r="Q204" i="1"/>
  <c r="P204" i="1"/>
  <c r="Q203" i="1"/>
  <c r="P203" i="1"/>
  <c r="CJ202" i="1"/>
  <c r="CI202" i="1"/>
  <c r="CG202" i="1"/>
  <c r="CF202" i="1"/>
  <c r="CD202" i="1"/>
  <c r="CC202" i="1"/>
  <c r="CA202" i="1"/>
  <c r="BZ202" i="1"/>
  <c r="BX202" i="1"/>
  <c r="BW202" i="1"/>
  <c r="BU202" i="1"/>
  <c r="BT202" i="1"/>
  <c r="BR202" i="1"/>
  <c r="BQ202" i="1"/>
  <c r="BO202" i="1"/>
  <c r="BN202" i="1"/>
  <c r="BL202" i="1"/>
  <c r="BK202" i="1"/>
  <c r="BI202" i="1"/>
  <c r="BH202" i="1"/>
  <c r="BF202" i="1"/>
  <c r="BE202" i="1"/>
  <c r="BC202" i="1"/>
  <c r="BB202" i="1"/>
  <c r="AZ202" i="1"/>
  <c r="AY202" i="1"/>
  <c r="AW202" i="1"/>
  <c r="AV202" i="1"/>
  <c r="AT202" i="1"/>
  <c r="AS202" i="1"/>
  <c r="AQ202" i="1"/>
  <c r="AP202" i="1"/>
  <c r="AN202" i="1"/>
  <c r="AM202" i="1"/>
  <c r="AK202" i="1"/>
  <c r="AJ202" i="1"/>
  <c r="AH202" i="1"/>
  <c r="AG202" i="1"/>
  <c r="AE202" i="1"/>
  <c r="AD202" i="1"/>
  <c r="AB202" i="1"/>
  <c r="AA202" i="1"/>
  <c r="Y202" i="1"/>
  <c r="X202" i="1"/>
  <c r="V202" i="1"/>
  <c r="U202" i="1"/>
  <c r="S202" i="1"/>
  <c r="R202" i="1"/>
  <c r="Q202" i="1"/>
  <c r="P202" i="1"/>
  <c r="M202" i="1"/>
  <c r="L202" i="1"/>
  <c r="K202" i="1"/>
  <c r="J202" i="1"/>
  <c r="CJ201" i="1"/>
  <c r="CI201" i="1"/>
  <c r="CG201" i="1"/>
  <c r="CF201" i="1"/>
  <c r="CD201" i="1"/>
  <c r="CC201" i="1"/>
  <c r="CA201" i="1"/>
  <c r="BZ201" i="1"/>
  <c r="BX201" i="1"/>
  <c r="BW201" i="1"/>
  <c r="BU201" i="1"/>
  <c r="BT201" i="1"/>
  <c r="BR201" i="1"/>
  <c r="BQ201" i="1"/>
  <c r="BO201" i="1"/>
  <c r="BN201" i="1"/>
  <c r="BL201" i="1"/>
  <c r="BK201" i="1"/>
  <c r="BI201" i="1"/>
  <c r="BH201" i="1"/>
  <c r="BF201" i="1"/>
  <c r="BE201" i="1"/>
  <c r="BC201" i="1"/>
  <c r="BB201" i="1"/>
  <c r="AZ201" i="1"/>
  <c r="AY201" i="1"/>
  <c r="AW201" i="1"/>
  <c r="AV201" i="1"/>
  <c r="AT201" i="1"/>
  <c r="AS201" i="1"/>
  <c r="AQ201" i="1"/>
  <c r="AP201" i="1"/>
  <c r="AN201" i="1"/>
  <c r="AM201" i="1"/>
  <c r="AK201" i="1"/>
  <c r="AJ201" i="1"/>
  <c r="AH201" i="1"/>
  <c r="AG201" i="1"/>
  <c r="AE201" i="1"/>
  <c r="AD201" i="1"/>
  <c r="AB201" i="1"/>
  <c r="AA201" i="1"/>
  <c r="Y201" i="1"/>
  <c r="X201" i="1"/>
  <c r="V201" i="1"/>
  <c r="U201" i="1"/>
  <c r="S201" i="1"/>
  <c r="Q201" i="1" s="1"/>
  <c r="R201" i="1"/>
  <c r="P201" i="1" s="1"/>
  <c r="M201" i="1"/>
  <c r="L201" i="1"/>
  <c r="L199" i="1" s="1"/>
  <c r="K201" i="1"/>
  <c r="J201" i="1"/>
  <c r="CJ200" i="1"/>
  <c r="CI200" i="1"/>
  <c r="CI199" i="1" s="1"/>
  <c r="CG200" i="1"/>
  <c r="CF200" i="1"/>
  <c r="CD200" i="1"/>
  <c r="CC200" i="1"/>
  <c r="CC199" i="1" s="1"/>
  <c r="CA200" i="1"/>
  <c r="BZ200" i="1"/>
  <c r="BX200" i="1"/>
  <c r="BW200" i="1"/>
  <c r="BW199" i="1" s="1"/>
  <c r="BU200" i="1"/>
  <c r="BT200" i="1"/>
  <c r="BR200" i="1"/>
  <c r="BQ200" i="1"/>
  <c r="BQ199" i="1" s="1"/>
  <c r="BO200" i="1"/>
  <c r="BN200" i="1"/>
  <c r="BL200" i="1"/>
  <c r="BK200" i="1"/>
  <c r="BK199" i="1" s="1"/>
  <c r="BI200" i="1"/>
  <c r="BH200" i="1"/>
  <c r="BF200" i="1"/>
  <c r="BE200" i="1"/>
  <c r="BE199" i="1" s="1"/>
  <c r="BC200" i="1"/>
  <c r="BB200" i="1"/>
  <c r="AZ200" i="1"/>
  <c r="AY200" i="1"/>
  <c r="AY199" i="1" s="1"/>
  <c r="AW200" i="1"/>
  <c r="AV200" i="1"/>
  <c r="AT200" i="1"/>
  <c r="AS200" i="1"/>
  <c r="AS199" i="1" s="1"/>
  <c r="AQ200" i="1"/>
  <c r="AP200" i="1"/>
  <c r="AN200" i="1"/>
  <c r="AM200" i="1"/>
  <c r="AM199" i="1" s="1"/>
  <c r="AK200" i="1"/>
  <c r="AJ200" i="1"/>
  <c r="AH200" i="1"/>
  <c r="AG200" i="1"/>
  <c r="AG199" i="1" s="1"/>
  <c r="AE200" i="1"/>
  <c r="AD200" i="1"/>
  <c r="AB200" i="1"/>
  <c r="AA200" i="1"/>
  <c r="AA199" i="1" s="1"/>
  <c r="Y200" i="1"/>
  <c r="X200" i="1"/>
  <c r="V200" i="1"/>
  <c r="U200" i="1"/>
  <c r="U199" i="1" s="1"/>
  <c r="S200" i="1"/>
  <c r="R200" i="1"/>
  <c r="Q200" i="1"/>
  <c r="P200" i="1"/>
  <c r="M200" i="1"/>
  <c r="L200" i="1"/>
  <c r="K200" i="1"/>
  <c r="J200" i="1"/>
  <c r="J199" i="1" s="1"/>
  <c r="CG199" i="1"/>
  <c r="CF199" i="1"/>
  <c r="CA199" i="1"/>
  <c r="BZ199" i="1"/>
  <c r="BU199" i="1"/>
  <c r="BT199" i="1"/>
  <c r="BO199" i="1"/>
  <c r="BN199" i="1"/>
  <c r="BI199" i="1"/>
  <c r="BH199" i="1"/>
  <c r="BC199" i="1"/>
  <c r="BB199" i="1"/>
  <c r="AW199" i="1"/>
  <c r="AV199" i="1"/>
  <c r="AQ199" i="1"/>
  <c r="AP199" i="1"/>
  <c r="AK199" i="1"/>
  <c r="AJ199" i="1"/>
  <c r="AE199" i="1"/>
  <c r="AD199" i="1"/>
  <c r="Y199" i="1"/>
  <c r="X199" i="1"/>
  <c r="S199" i="1"/>
  <c r="R199" i="1"/>
  <c r="P199" i="1" s="1"/>
  <c r="M199" i="1"/>
  <c r="CJ198" i="1"/>
  <c r="CI198" i="1"/>
  <c r="CG198" i="1"/>
  <c r="CF198" i="1"/>
  <c r="CD198" i="1"/>
  <c r="CC198" i="1"/>
  <c r="CA198" i="1"/>
  <c r="BZ198" i="1"/>
  <c r="BX198" i="1"/>
  <c r="BW198" i="1"/>
  <c r="BU198" i="1"/>
  <c r="BT198" i="1"/>
  <c r="BR198" i="1"/>
  <c r="BQ198" i="1"/>
  <c r="BO198" i="1"/>
  <c r="BN198" i="1"/>
  <c r="BL198" i="1"/>
  <c r="BK198" i="1"/>
  <c r="BI198" i="1"/>
  <c r="BH198" i="1"/>
  <c r="BF198" i="1"/>
  <c r="BE198" i="1"/>
  <c r="BC198" i="1"/>
  <c r="BB198" i="1"/>
  <c r="AZ198" i="1"/>
  <c r="AY198" i="1"/>
  <c r="AW198" i="1"/>
  <c r="AV198" i="1"/>
  <c r="AT198" i="1"/>
  <c r="AS198" i="1"/>
  <c r="AQ198" i="1"/>
  <c r="AP198" i="1"/>
  <c r="AN198" i="1"/>
  <c r="AM198" i="1"/>
  <c r="AK198" i="1"/>
  <c r="AJ198" i="1"/>
  <c r="AH198" i="1"/>
  <c r="AG198" i="1"/>
  <c r="AE198" i="1"/>
  <c r="AD198" i="1"/>
  <c r="AB198" i="1"/>
  <c r="AA198" i="1"/>
  <c r="Y198" i="1"/>
  <c r="X198" i="1"/>
  <c r="V198" i="1"/>
  <c r="U198" i="1"/>
  <c r="S198" i="1"/>
  <c r="R198" i="1"/>
  <c r="Q198" i="1"/>
  <c r="P198" i="1"/>
  <c r="M198" i="1"/>
  <c r="M170" i="1" s="1"/>
  <c r="L198" i="1"/>
  <c r="K198" i="1"/>
  <c r="J198" i="1"/>
  <c r="CJ197" i="1"/>
  <c r="CI197" i="1"/>
  <c r="CG197" i="1"/>
  <c r="CG196" i="1" s="1"/>
  <c r="CF197" i="1"/>
  <c r="CF196" i="1" s="1"/>
  <c r="CD197" i="1"/>
  <c r="CC197" i="1"/>
  <c r="CA197" i="1"/>
  <c r="CA196" i="1" s="1"/>
  <c r="BZ197" i="1"/>
  <c r="BZ196" i="1" s="1"/>
  <c r="BX197" i="1"/>
  <c r="BW197" i="1"/>
  <c r="BU197" i="1"/>
  <c r="BU196" i="1" s="1"/>
  <c r="BT197" i="1"/>
  <c r="BT196" i="1" s="1"/>
  <c r="BR197" i="1"/>
  <c r="BQ197" i="1"/>
  <c r="BO197" i="1"/>
  <c r="BO196" i="1" s="1"/>
  <c r="BN197" i="1"/>
  <c r="BN196" i="1" s="1"/>
  <c r="BL197" i="1"/>
  <c r="BK197" i="1"/>
  <c r="BI197" i="1"/>
  <c r="BI196" i="1" s="1"/>
  <c r="BH197" i="1"/>
  <c r="BH196" i="1" s="1"/>
  <c r="BF197" i="1"/>
  <c r="BE197" i="1"/>
  <c r="BC197" i="1"/>
  <c r="BC196" i="1" s="1"/>
  <c r="BB197" i="1"/>
  <c r="BB196" i="1" s="1"/>
  <c r="AZ197" i="1"/>
  <c r="AY197" i="1"/>
  <c r="AW197" i="1"/>
  <c r="AW196" i="1" s="1"/>
  <c r="AV197" i="1"/>
  <c r="AV196" i="1" s="1"/>
  <c r="AT197" i="1"/>
  <c r="AS197" i="1"/>
  <c r="AQ197" i="1"/>
  <c r="AQ196" i="1" s="1"/>
  <c r="AP197" i="1"/>
  <c r="AP196" i="1" s="1"/>
  <c r="AN197" i="1"/>
  <c r="AM197" i="1"/>
  <c r="AK197" i="1"/>
  <c r="AK196" i="1" s="1"/>
  <c r="AJ197" i="1"/>
  <c r="AJ196" i="1" s="1"/>
  <c r="AH197" i="1"/>
  <c r="AG197" i="1"/>
  <c r="AE197" i="1"/>
  <c r="AE196" i="1" s="1"/>
  <c r="AD197" i="1"/>
  <c r="AD196" i="1" s="1"/>
  <c r="AB197" i="1"/>
  <c r="AA197" i="1"/>
  <c r="Y197" i="1"/>
  <c r="Y196" i="1" s="1"/>
  <c r="X197" i="1"/>
  <c r="X196" i="1" s="1"/>
  <c r="V197" i="1"/>
  <c r="U197" i="1"/>
  <c r="S197" i="1"/>
  <c r="R197" i="1"/>
  <c r="P197" i="1" s="1"/>
  <c r="M197" i="1"/>
  <c r="L197" i="1"/>
  <c r="L196" i="1" s="1"/>
  <c r="K197" i="1"/>
  <c r="J197" i="1"/>
  <c r="CJ196" i="1"/>
  <c r="CI196" i="1"/>
  <c r="CD196" i="1"/>
  <c r="CC196" i="1"/>
  <c r="BX196" i="1"/>
  <c r="BW196" i="1"/>
  <c r="BR196" i="1"/>
  <c r="BQ196" i="1"/>
  <c r="BL196" i="1"/>
  <c r="BK196" i="1"/>
  <c r="BF196" i="1"/>
  <c r="BE196" i="1"/>
  <c r="AZ196" i="1"/>
  <c r="AY196" i="1"/>
  <c r="AT196" i="1"/>
  <c r="AS196" i="1"/>
  <c r="AN196" i="1"/>
  <c r="AM196" i="1"/>
  <c r="AH196" i="1"/>
  <c r="AG196" i="1"/>
  <c r="AB196" i="1"/>
  <c r="AA196" i="1"/>
  <c r="V196" i="1"/>
  <c r="U196" i="1"/>
  <c r="K196" i="1"/>
  <c r="J196" i="1"/>
  <c r="CJ195" i="1"/>
  <c r="CI195" i="1"/>
  <c r="CG195" i="1"/>
  <c r="CG157" i="1" s="1"/>
  <c r="CF195" i="1"/>
  <c r="CD195" i="1"/>
  <c r="CC195" i="1"/>
  <c r="CA195" i="1"/>
  <c r="CA157" i="1" s="1"/>
  <c r="BZ195" i="1"/>
  <c r="BX195" i="1"/>
  <c r="BW195" i="1"/>
  <c r="BU195" i="1"/>
  <c r="BU157" i="1" s="1"/>
  <c r="BT195" i="1"/>
  <c r="BR195" i="1"/>
  <c r="BQ195" i="1"/>
  <c r="BO195" i="1"/>
  <c r="BO157" i="1" s="1"/>
  <c r="BN195" i="1"/>
  <c r="BL195" i="1"/>
  <c r="BK195" i="1"/>
  <c r="BI195" i="1"/>
  <c r="BI157" i="1" s="1"/>
  <c r="BH195" i="1"/>
  <c r="BF195" i="1"/>
  <c r="BE195" i="1"/>
  <c r="BC195" i="1"/>
  <c r="BC157" i="1" s="1"/>
  <c r="BB195" i="1"/>
  <c r="AZ195" i="1"/>
  <c r="AY195" i="1"/>
  <c r="AW195" i="1"/>
  <c r="AW157" i="1" s="1"/>
  <c r="AV195" i="1"/>
  <c r="AT195" i="1"/>
  <c r="AS195" i="1"/>
  <c r="AQ195" i="1"/>
  <c r="AQ157" i="1" s="1"/>
  <c r="AP195" i="1"/>
  <c r="AN195" i="1"/>
  <c r="AM195" i="1"/>
  <c r="AK195" i="1"/>
  <c r="AK157" i="1" s="1"/>
  <c r="AJ195" i="1"/>
  <c r="AH195" i="1"/>
  <c r="AG195" i="1"/>
  <c r="AE195" i="1"/>
  <c r="AE157" i="1" s="1"/>
  <c r="AD195" i="1"/>
  <c r="AB195" i="1"/>
  <c r="AA195" i="1"/>
  <c r="Y195" i="1"/>
  <c r="Y157" i="1" s="1"/>
  <c r="X195" i="1"/>
  <c r="V195" i="1"/>
  <c r="U195" i="1"/>
  <c r="S195" i="1"/>
  <c r="R195" i="1"/>
  <c r="P195" i="1" s="1"/>
  <c r="M195" i="1"/>
  <c r="L195" i="1"/>
  <c r="K195" i="1"/>
  <c r="J195" i="1"/>
  <c r="CJ194" i="1"/>
  <c r="CJ193" i="1" s="1"/>
  <c r="CI194" i="1"/>
  <c r="CI193" i="1" s="1"/>
  <c r="CG194" i="1"/>
  <c r="CF194" i="1"/>
  <c r="CD194" i="1"/>
  <c r="CD193" i="1" s="1"/>
  <c r="CC194" i="1"/>
  <c r="CC193" i="1" s="1"/>
  <c r="CA194" i="1"/>
  <c r="BZ194" i="1"/>
  <c r="BX194" i="1"/>
  <c r="BX193" i="1" s="1"/>
  <c r="BW194" i="1"/>
  <c r="BW193" i="1" s="1"/>
  <c r="BU194" i="1"/>
  <c r="BT194" i="1"/>
  <c r="BR194" i="1"/>
  <c r="BR193" i="1" s="1"/>
  <c r="BQ194" i="1"/>
  <c r="BQ193" i="1" s="1"/>
  <c r="BO194" i="1"/>
  <c r="BN194" i="1"/>
  <c r="BL194" i="1"/>
  <c r="BL193" i="1" s="1"/>
  <c r="BK194" i="1"/>
  <c r="BK193" i="1" s="1"/>
  <c r="BI194" i="1"/>
  <c r="BH194" i="1"/>
  <c r="BF194" i="1"/>
  <c r="BF193" i="1" s="1"/>
  <c r="BE194" i="1"/>
  <c r="BE193" i="1" s="1"/>
  <c r="BC194" i="1"/>
  <c r="BB194" i="1"/>
  <c r="AZ194" i="1"/>
  <c r="AZ193" i="1" s="1"/>
  <c r="AY194" i="1"/>
  <c r="AY193" i="1" s="1"/>
  <c r="AW194" i="1"/>
  <c r="AV194" i="1"/>
  <c r="AT194" i="1"/>
  <c r="AT193" i="1" s="1"/>
  <c r="AS194" i="1"/>
  <c r="AS193" i="1" s="1"/>
  <c r="AQ194" i="1"/>
  <c r="AP194" i="1"/>
  <c r="AN194" i="1"/>
  <c r="AN193" i="1" s="1"/>
  <c r="AM194" i="1"/>
  <c r="AM193" i="1" s="1"/>
  <c r="AK194" i="1"/>
  <c r="AJ194" i="1"/>
  <c r="AH194" i="1"/>
  <c r="AH193" i="1" s="1"/>
  <c r="AG194" i="1"/>
  <c r="AG193" i="1" s="1"/>
  <c r="AE194" i="1"/>
  <c r="AD194" i="1"/>
  <c r="AB194" i="1"/>
  <c r="AB193" i="1" s="1"/>
  <c r="AA194" i="1"/>
  <c r="AA193" i="1" s="1"/>
  <c r="Y194" i="1"/>
  <c r="X194" i="1"/>
  <c r="V194" i="1"/>
  <c r="V193" i="1" s="1"/>
  <c r="U194" i="1"/>
  <c r="U193" i="1" s="1"/>
  <c r="S194" i="1"/>
  <c r="R194" i="1"/>
  <c r="Q194" i="1"/>
  <c r="P194" i="1"/>
  <c r="M194" i="1"/>
  <c r="M163" i="1" s="1"/>
  <c r="L194" i="1"/>
  <c r="K194" i="1"/>
  <c r="K193" i="1" s="1"/>
  <c r="J194" i="1"/>
  <c r="J193" i="1" s="1"/>
  <c r="CG193" i="1"/>
  <c r="CF193" i="1"/>
  <c r="CA193" i="1"/>
  <c r="BZ193" i="1"/>
  <c r="BU193" i="1"/>
  <c r="BT193" i="1"/>
  <c r="BO193" i="1"/>
  <c r="BN193" i="1"/>
  <c r="BI193" i="1"/>
  <c r="BH193" i="1"/>
  <c r="BC193" i="1"/>
  <c r="BB193" i="1"/>
  <c r="AW193" i="1"/>
  <c r="AV193" i="1"/>
  <c r="AQ193" i="1"/>
  <c r="AP193" i="1"/>
  <c r="AK193" i="1"/>
  <c r="AJ193" i="1"/>
  <c r="AE193" i="1"/>
  <c r="AD193" i="1"/>
  <c r="Y193" i="1"/>
  <c r="X193" i="1"/>
  <c r="S193" i="1"/>
  <c r="Q193" i="1" s="1"/>
  <c r="R193" i="1"/>
  <c r="P193" i="1" s="1"/>
  <c r="L193" i="1"/>
  <c r="CJ192" i="1"/>
  <c r="CJ190" i="1" s="1"/>
  <c r="CI192" i="1"/>
  <c r="CG192" i="1"/>
  <c r="CF192" i="1"/>
  <c r="CD192" i="1"/>
  <c r="CD168" i="1" s="1"/>
  <c r="CC192" i="1"/>
  <c r="CA192" i="1"/>
  <c r="BZ192" i="1"/>
  <c r="BX192" i="1"/>
  <c r="BX168" i="1" s="1"/>
  <c r="BW192" i="1"/>
  <c r="BU192" i="1"/>
  <c r="BT192" i="1"/>
  <c r="BR192" i="1"/>
  <c r="BQ192" i="1"/>
  <c r="BO192" i="1"/>
  <c r="BN192" i="1"/>
  <c r="BL192" i="1"/>
  <c r="BL190" i="1" s="1"/>
  <c r="BK192" i="1"/>
  <c r="BI192" i="1"/>
  <c r="BH192" i="1"/>
  <c r="BF192" i="1"/>
  <c r="BF168" i="1" s="1"/>
  <c r="BE192" i="1"/>
  <c r="BC192" i="1"/>
  <c r="BB192" i="1"/>
  <c r="AZ192" i="1"/>
  <c r="AZ168" i="1" s="1"/>
  <c r="AY192" i="1"/>
  <c r="AW192" i="1"/>
  <c r="AV192" i="1"/>
  <c r="AT192" i="1"/>
  <c r="AS192" i="1"/>
  <c r="AQ192" i="1"/>
  <c r="AP192" i="1"/>
  <c r="AN192" i="1"/>
  <c r="AN190" i="1" s="1"/>
  <c r="AM192" i="1"/>
  <c r="AK192" i="1"/>
  <c r="AJ192" i="1"/>
  <c r="AH192" i="1"/>
  <c r="AH168" i="1" s="1"/>
  <c r="AG192" i="1"/>
  <c r="AE192" i="1"/>
  <c r="AD192" i="1"/>
  <c r="AB192" i="1"/>
  <c r="AB168" i="1" s="1"/>
  <c r="AA192" i="1"/>
  <c r="Y192" i="1"/>
  <c r="X192" i="1"/>
  <c r="V192" i="1"/>
  <c r="V156" i="1" s="1"/>
  <c r="U192" i="1"/>
  <c r="S192" i="1"/>
  <c r="R192" i="1"/>
  <c r="Q192" i="1"/>
  <c r="P192" i="1"/>
  <c r="M192" i="1"/>
  <c r="L192" i="1"/>
  <c r="L156" i="1" s="1"/>
  <c r="K192" i="1"/>
  <c r="J192" i="1"/>
  <c r="CJ191" i="1"/>
  <c r="CI191" i="1"/>
  <c r="CG191" i="1"/>
  <c r="CG190" i="1" s="1"/>
  <c r="CF191" i="1"/>
  <c r="CF190" i="1" s="1"/>
  <c r="CD191" i="1"/>
  <c r="CC191" i="1"/>
  <c r="CA191" i="1"/>
  <c r="CA190" i="1" s="1"/>
  <c r="BZ191" i="1"/>
  <c r="BZ190" i="1" s="1"/>
  <c r="BX191" i="1"/>
  <c r="BW191" i="1"/>
  <c r="BU191" i="1"/>
  <c r="BU190" i="1" s="1"/>
  <c r="BT191" i="1"/>
  <c r="BT190" i="1" s="1"/>
  <c r="BR191" i="1"/>
  <c r="BQ191" i="1"/>
  <c r="BO191" i="1"/>
  <c r="BO190" i="1" s="1"/>
  <c r="BN191" i="1"/>
  <c r="BN190" i="1" s="1"/>
  <c r="BL191" i="1"/>
  <c r="BK191" i="1"/>
  <c r="BI191" i="1"/>
  <c r="BI190" i="1" s="1"/>
  <c r="BH191" i="1"/>
  <c r="BH190" i="1" s="1"/>
  <c r="BF191" i="1"/>
  <c r="BE191" i="1"/>
  <c r="BC191" i="1"/>
  <c r="BC190" i="1" s="1"/>
  <c r="BB191" i="1"/>
  <c r="BB190" i="1" s="1"/>
  <c r="AZ191" i="1"/>
  <c r="AY191" i="1"/>
  <c r="AW191" i="1"/>
  <c r="AW190" i="1" s="1"/>
  <c r="AV191" i="1"/>
  <c r="AV190" i="1" s="1"/>
  <c r="AT191" i="1"/>
  <c r="AS191" i="1"/>
  <c r="AQ191" i="1"/>
  <c r="AQ190" i="1" s="1"/>
  <c r="AP191" i="1"/>
  <c r="AP190" i="1" s="1"/>
  <c r="AN191" i="1"/>
  <c r="AM191" i="1"/>
  <c r="AK191" i="1"/>
  <c r="AK190" i="1" s="1"/>
  <c r="AJ191" i="1"/>
  <c r="AJ190" i="1" s="1"/>
  <c r="AH191" i="1"/>
  <c r="AG191" i="1"/>
  <c r="AE191" i="1"/>
  <c r="AE190" i="1" s="1"/>
  <c r="AD191" i="1"/>
  <c r="AD190" i="1" s="1"/>
  <c r="AB191" i="1"/>
  <c r="AA191" i="1"/>
  <c r="Y191" i="1"/>
  <c r="Y190" i="1" s="1"/>
  <c r="X191" i="1"/>
  <c r="X190" i="1" s="1"/>
  <c r="V191" i="1"/>
  <c r="U191" i="1"/>
  <c r="S191" i="1"/>
  <c r="S162" i="1" s="1"/>
  <c r="R191" i="1"/>
  <c r="P191" i="1" s="1"/>
  <c r="M191" i="1"/>
  <c r="M190" i="1" s="1"/>
  <c r="L191" i="1"/>
  <c r="L190" i="1" s="1"/>
  <c r="K191" i="1"/>
  <c r="J191" i="1"/>
  <c r="CI190" i="1"/>
  <c r="CD190" i="1"/>
  <c r="CC190" i="1"/>
  <c r="BW190" i="1"/>
  <c r="BR190" i="1"/>
  <c r="BQ190" i="1"/>
  <c r="BK190" i="1"/>
  <c r="BF190" i="1"/>
  <c r="BE190" i="1"/>
  <c r="AY190" i="1"/>
  <c r="AT190" i="1"/>
  <c r="AS190" i="1"/>
  <c r="AM190" i="1"/>
  <c r="AH190" i="1"/>
  <c r="AG190" i="1"/>
  <c r="AA190" i="1"/>
  <c r="V190" i="1"/>
  <c r="U190" i="1"/>
  <c r="J190" i="1"/>
  <c r="CJ189" i="1"/>
  <c r="CJ446" i="1" s="1"/>
  <c r="CJ440" i="1" s="1"/>
  <c r="CI189" i="1"/>
  <c r="CI446" i="1" s="1"/>
  <c r="CI440" i="1" s="1"/>
  <c r="CG189" i="1"/>
  <c r="CF189" i="1"/>
  <c r="CF446" i="1" s="1"/>
  <c r="CF440" i="1" s="1"/>
  <c r="CD189" i="1"/>
  <c r="CD446" i="1" s="1"/>
  <c r="CD440" i="1" s="1"/>
  <c r="CC189" i="1"/>
  <c r="CC446" i="1" s="1"/>
  <c r="CC440" i="1" s="1"/>
  <c r="CA189" i="1"/>
  <c r="BZ189" i="1"/>
  <c r="BZ446" i="1" s="1"/>
  <c r="BZ440" i="1" s="1"/>
  <c r="BX189" i="1"/>
  <c r="BX446" i="1" s="1"/>
  <c r="BX440" i="1" s="1"/>
  <c r="BW189" i="1"/>
  <c r="BW446" i="1" s="1"/>
  <c r="BW440" i="1" s="1"/>
  <c r="BU189" i="1"/>
  <c r="BT189" i="1"/>
  <c r="BT446" i="1" s="1"/>
  <c r="BT440" i="1" s="1"/>
  <c r="BR189" i="1"/>
  <c r="BR446" i="1" s="1"/>
  <c r="BR440" i="1" s="1"/>
  <c r="BQ189" i="1"/>
  <c r="BQ446" i="1" s="1"/>
  <c r="BQ440" i="1" s="1"/>
  <c r="BO189" i="1"/>
  <c r="BN189" i="1"/>
  <c r="BN446" i="1" s="1"/>
  <c r="BN440" i="1" s="1"/>
  <c r="BL189" i="1"/>
  <c r="BL446" i="1" s="1"/>
  <c r="BL440" i="1" s="1"/>
  <c r="BK189" i="1"/>
  <c r="BK446" i="1" s="1"/>
  <c r="BK440" i="1" s="1"/>
  <c r="BI189" i="1"/>
  <c r="BH189" i="1"/>
  <c r="BH446" i="1" s="1"/>
  <c r="BH440" i="1" s="1"/>
  <c r="BF189" i="1"/>
  <c r="BF446" i="1" s="1"/>
  <c r="BF440" i="1" s="1"/>
  <c r="BE189" i="1"/>
  <c r="BE446" i="1" s="1"/>
  <c r="BE440" i="1" s="1"/>
  <c r="BC189" i="1"/>
  <c r="BB189" i="1"/>
  <c r="BB446" i="1" s="1"/>
  <c r="BB440" i="1" s="1"/>
  <c r="AZ189" i="1"/>
  <c r="AZ446" i="1" s="1"/>
  <c r="AZ440" i="1" s="1"/>
  <c r="AY189" i="1"/>
  <c r="AY446" i="1" s="1"/>
  <c r="AY440" i="1" s="1"/>
  <c r="AW189" i="1"/>
  <c r="AV189" i="1"/>
  <c r="AV446" i="1" s="1"/>
  <c r="AV440" i="1" s="1"/>
  <c r="AT189" i="1"/>
  <c r="AT446" i="1" s="1"/>
  <c r="AT440" i="1" s="1"/>
  <c r="AS189" i="1"/>
  <c r="AS446" i="1" s="1"/>
  <c r="AS440" i="1" s="1"/>
  <c r="AQ189" i="1"/>
  <c r="AP189" i="1"/>
  <c r="AP446" i="1" s="1"/>
  <c r="AP440" i="1" s="1"/>
  <c r="AN189" i="1"/>
  <c r="AN446" i="1" s="1"/>
  <c r="AN440" i="1" s="1"/>
  <c r="AM189" i="1"/>
  <c r="AM446" i="1" s="1"/>
  <c r="AM440" i="1" s="1"/>
  <c r="AK189" i="1"/>
  <c r="AJ189" i="1"/>
  <c r="AJ446" i="1" s="1"/>
  <c r="AJ440" i="1" s="1"/>
  <c r="AH189" i="1"/>
  <c r="AH446" i="1" s="1"/>
  <c r="AH440" i="1" s="1"/>
  <c r="AG189" i="1"/>
  <c r="AG446" i="1" s="1"/>
  <c r="AG440" i="1" s="1"/>
  <c r="AE189" i="1"/>
  <c r="AD189" i="1"/>
  <c r="AD446" i="1" s="1"/>
  <c r="AD440" i="1" s="1"/>
  <c r="AA189" i="1"/>
  <c r="AA446" i="1" s="1"/>
  <c r="AA440" i="1" s="1"/>
  <c r="Y189" i="1"/>
  <c r="Y446" i="1" s="1"/>
  <c r="Y440" i="1" s="1"/>
  <c r="X189" i="1"/>
  <c r="V189" i="1"/>
  <c r="V446" i="1" s="1"/>
  <c r="V440" i="1" s="1"/>
  <c r="U189" i="1"/>
  <c r="U446" i="1" s="1"/>
  <c r="U440" i="1" s="1"/>
  <c r="S189" i="1"/>
  <c r="S446" i="1" s="1"/>
  <c r="R189" i="1"/>
  <c r="M189" i="1"/>
  <c r="M446" i="1" s="1"/>
  <c r="M440" i="1" s="1"/>
  <c r="L189" i="1"/>
  <c r="L446" i="1" s="1"/>
  <c r="L440" i="1" s="1"/>
  <c r="K189" i="1"/>
  <c r="J189" i="1"/>
  <c r="CJ188" i="1"/>
  <c r="CJ445" i="1" s="1"/>
  <c r="CI188" i="1"/>
  <c r="CG188" i="1"/>
  <c r="CG445" i="1" s="1"/>
  <c r="CF188" i="1"/>
  <c r="CF445" i="1" s="1"/>
  <c r="CD188" i="1"/>
  <c r="CD445" i="1" s="1"/>
  <c r="CC188" i="1"/>
  <c r="CA188" i="1"/>
  <c r="CA445" i="1" s="1"/>
  <c r="BZ188" i="1"/>
  <c r="BZ445" i="1" s="1"/>
  <c r="BX188" i="1"/>
  <c r="BX445" i="1" s="1"/>
  <c r="BW188" i="1"/>
  <c r="BU188" i="1"/>
  <c r="BU445" i="1" s="1"/>
  <c r="BT188" i="1"/>
  <c r="BT445" i="1" s="1"/>
  <c r="BR188" i="1"/>
  <c r="BR445" i="1" s="1"/>
  <c r="BQ188" i="1"/>
  <c r="BO188" i="1"/>
  <c r="BO445" i="1" s="1"/>
  <c r="BN188" i="1"/>
  <c r="BN445" i="1" s="1"/>
  <c r="BL188" i="1"/>
  <c r="BL445" i="1" s="1"/>
  <c r="BK188" i="1"/>
  <c r="BI188" i="1"/>
  <c r="BI445" i="1" s="1"/>
  <c r="BH188" i="1"/>
  <c r="BH445" i="1" s="1"/>
  <c r="BF188" i="1"/>
  <c r="BF445" i="1" s="1"/>
  <c r="BE188" i="1"/>
  <c r="BB188" i="1"/>
  <c r="BB445" i="1" s="1"/>
  <c r="AZ188" i="1"/>
  <c r="AZ445" i="1" s="1"/>
  <c r="AY188" i="1"/>
  <c r="AY445" i="1" s="1"/>
  <c r="AW188" i="1"/>
  <c r="AV188" i="1"/>
  <c r="AV445" i="1" s="1"/>
  <c r="AT188" i="1"/>
  <c r="AT445" i="1" s="1"/>
  <c r="AS188" i="1"/>
  <c r="AS445" i="1" s="1"/>
  <c r="AQ188" i="1"/>
  <c r="AP188" i="1"/>
  <c r="AP445" i="1" s="1"/>
  <c r="AN188" i="1"/>
  <c r="AN445" i="1" s="1"/>
  <c r="AM188" i="1"/>
  <c r="AM445" i="1" s="1"/>
  <c r="AK188" i="1"/>
  <c r="AJ188" i="1"/>
  <c r="AJ445" i="1" s="1"/>
  <c r="AH188" i="1"/>
  <c r="AH445" i="1" s="1"/>
  <c r="AG188" i="1"/>
  <c r="AG445" i="1" s="1"/>
  <c r="AE188" i="1"/>
  <c r="AD188" i="1"/>
  <c r="AD445" i="1" s="1"/>
  <c r="AB188" i="1"/>
  <c r="AB445" i="1" s="1"/>
  <c r="AA188" i="1"/>
  <c r="AA445" i="1" s="1"/>
  <c r="Y188" i="1"/>
  <c r="X188" i="1"/>
  <c r="X445" i="1" s="1"/>
  <c r="V188" i="1"/>
  <c r="V445" i="1" s="1"/>
  <c r="U188" i="1"/>
  <c r="U445" i="1" s="1"/>
  <c r="S188" i="1"/>
  <c r="R188" i="1"/>
  <c r="R445" i="1" s="1"/>
  <c r="M188" i="1"/>
  <c r="L188" i="1"/>
  <c r="L445" i="1" s="1"/>
  <c r="K188" i="1"/>
  <c r="J188" i="1"/>
  <c r="J445" i="1" s="1"/>
  <c r="CJ187" i="1"/>
  <c r="CD187" i="1"/>
  <c r="BX187" i="1"/>
  <c r="BR187" i="1"/>
  <c r="BL187" i="1"/>
  <c r="BF187" i="1"/>
  <c r="AZ187" i="1"/>
  <c r="AY187" i="1"/>
  <c r="AT187" i="1"/>
  <c r="AS187" i="1"/>
  <c r="AN187" i="1"/>
  <c r="AM187" i="1"/>
  <c r="AH187" i="1"/>
  <c r="AG187" i="1"/>
  <c r="AB187" i="1"/>
  <c r="AA187" i="1"/>
  <c r="V187" i="1"/>
  <c r="U187" i="1"/>
  <c r="Q185" i="1"/>
  <c r="P185" i="1"/>
  <c r="CJ184" i="1"/>
  <c r="CI184" i="1"/>
  <c r="CG184" i="1"/>
  <c r="CF184" i="1"/>
  <c r="CD184" i="1"/>
  <c r="CC184" i="1"/>
  <c r="CA184" i="1"/>
  <c r="BZ184" i="1"/>
  <c r="BX184" i="1"/>
  <c r="BW184" i="1"/>
  <c r="BU184" i="1"/>
  <c r="BT184" i="1"/>
  <c r="BR184" i="1"/>
  <c r="BQ184" i="1"/>
  <c r="BO184" i="1"/>
  <c r="BO152" i="1" s="1"/>
  <c r="BN184" i="1"/>
  <c r="BL184" i="1"/>
  <c r="BK184" i="1"/>
  <c r="BI184" i="1"/>
  <c r="BI152" i="1" s="1"/>
  <c r="BH184" i="1"/>
  <c r="BF184" i="1"/>
  <c r="BE184" i="1"/>
  <c r="BC184" i="1"/>
  <c r="BC152" i="1" s="1"/>
  <c r="BB184" i="1"/>
  <c r="AZ184" i="1"/>
  <c r="AY184" i="1"/>
  <c r="AW184" i="1"/>
  <c r="AW152" i="1" s="1"/>
  <c r="AV184" i="1"/>
  <c r="AT184" i="1"/>
  <c r="AS184" i="1"/>
  <c r="AQ184" i="1"/>
  <c r="AQ152" i="1" s="1"/>
  <c r="AP184" i="1"/>
  <c r="AN184" i="1"/>
  <c r="AM184" i="1"/>
  <c r="AK184" i="1"/>
  <c r="AK152" i="1" s="1"/>
  <c r="AJ184" i="1"/>
  <c r="AH184" i="1"/>
  <c r="AG184" i="1"/>
  <c r="AE184" i="1"/>
  <c r="AE152" i="1" s="1"/>
  <c r="AD184" i="1"/>
  <c r="AB184" i="1"/>
  <c r="AA184" i="1"/>
  <c r="Y184" i="1"/>
  <c r="Y152" i="1" s="1"/>
  <c r="X184" i="1"/>
  <c r="V184" i="1"/>
  <c r="U184" i="1"/>
  <c r="S184" i="1"/>
  <c r="S152" i="1" s="1"/>
  <c r="R184" i="1"/>
  <c r="Q184" i="1"/>
  <c r="P184" i="1"/>
  <c r="M184" i="1"/>
  <c r="L184" i="1"/>
  <c r="K184" i="1"/>
  <c r="J184" i="1"/>
  <c r="I184" i="1"/>
  <c r="H184" i="1"/>
  <c r="G184" i="1"/>
  <c r="F184" i="1"/>
  <c r="E184" i="1"/>
  <c r="Q183" i="1"/>
  <c r="P183" i="1"/>
  <c r="Q182" i="1"/>
  <c r="Q181" i="1" s="1"/>
  <c r="P182" i="1"/>
  <c r="P181" i="1" s="1"/>
  <c r="P149" i="1" s="1"/>
  <c r="I182" i="1"/>
  <c r="H182" i="1"/>
  <c r="H181" i="1" s="1"/>
  <c r="F182" i="1"/>
  <c r="F181" i="1" s="1"/>
  <c r="CJ181" i="1"/>
  <c r="CI181" i="1"/>
  <c r="CG181" i="1"/>
  <c r="CF181" i="1"/>
  <c r="CD181" i="1"/>
  <c r="CC181" i="1"/>
  <c r="CA181" i="1"/>
  <c r="BZ181" i="1"/>
  <c r="BX181" i="1"/>
  <c r="BW181" i="1"/>
  <c r="BU181" i="1"/>
  <c r="BT181" i="1"/>
  <c r="BR181" i="1"/>
  <c r="BQ181" i="1"/>
  <c r="BO181" i="1"/>
  <c r="BN181" i="1"/>
  <c r="BL181" i="1"/>
  <c r="BK181" i="1"/>
  <c r="BI181" i="1"/>
  <c r="BH181" i="1"/>
  <c r="BF181" i="1"/>
  <c r="BE181" i="1"/>
  <c r="BC181" i="1"/>
  <c r="BB181" i="1"/>
  <c r="AZ181" i="1"/>
  <c r="AY181" i="1"/>
  <c r="AW181" i="1"/>
  <c r="AV181" i="1"/>
  <c r="AT181" i="1"/>
  <c r="AS181" i="1"/>
  <c r="AQ181" i="1"/>
  <c r="AP181" i="1"/>
  <c r="AN181" i="1"/>
  <c r="AM181" i="1"/>
  <c r="AK181" i="1"/>
  <c r="AJ181" i="1"/>
  <c r="AH181" i="1"/>
  <c r="AG181" i="1"/>
  <c r="AE181" i="1"/>
  <c r="AD181" i="1"/>
  <c r="AB181" i="1"/>
  <c r="AA181" i="1"/>
  <c r="Y181" i="1"/>
  <c r="X181" i="1"/>
  <c r="V181" i="1"/>
  <c r="V149" i="1" s="1"/>
  <c r="U181" i="1"/>
  <c r="S181" i="1"/>
  <c r="R181" i="1"/>
  <c r="M181" i="1"/>
  <c r="M149" i="1" s="1"/>
  <c r="L181" i="1"/>
  <c r="K181" i="1"/>
  <c r="J181" i="1"/>
  <c r="I181" i="1"/>
  <c r="I149" i="1" s="1"/>
  <c r="G181" i="1"/>
  <c r="E181" i="1"/>
  <c r="Q179" i="1"/>
  <c r="P179" i="1"/>
  <c r="Q178" i="1"/>
  <c r="P178" i="1"/>
  <c r="CJ177" i="1"/>
  <c r="CI177" i="1"/>
  <c r="CG177" i="1"/>
  <c r="CF177" i="1"/>
  <c r="CD177" i="1"/>
  <c r="CC177" i="1"/>
  <c r="CA177" i="1"/>
  <c r="BZ177" i="1"/>
  <c r="BX177" i="1"/>
  <c r="BW177" i="1"/>
  <c r="BU177" i="1"/>
  <c r="BT177" i="1"/>
  <c r="BR177" i="1"/>
  <c r="BQ177" i="1"/>
  <c r="BO177" i="1"/>
  <c r="BN177" i="1"/>
  <c r="BL177" i="1"/>
  <c r="BK177" i="1"/>
  <c r="BI177" i="1"/>
  <c r="BH177" i="1"/>
  <c r="BF177" i="1"/>
  <c r="BE177" i="1"/>
  <c r="BC177" i="1"/>
  <c r="BB177" i="1"/>
  <c r="AZ177" i="1"/>
  <c r="AY177" i="1"/>
  <c r="AW177" i="1"/>
  <c r="AV177" i="1"/>
  <c r="AT177" i="1"/>
  <c r="AS177" i="1"/>
  <c r="AQ177" i="1"/>
  <c r="AP177" i="1"/>
  <c r="AN177" i="1"/>
  <c r="AM177" i="1"/>
  <c r="AK177" i="1"/>
  <c r="AJ177" i="1"/>
  <c r="AH177" i="1"/>
  <c r="AG177" i="1"/>
  <c r="AE177" i="1"/>
  <c r="AD177" i="1"/>
  <c r="AB177" i="1"/>
  <c r="AA177" i="1"/>
  <c r="Y177" i="1"/>
  <c r="X177" i="1"/>
  <c r="V177" i="1"/>
  <c r="U177" i="1"/>
  <c r="U152" i="1" s="1"/>
  <c r="S177" i="1"/>
  <c r="R177" i="1"/>
  <c r="Q177" i="1"/>
  <c r="M177" i="1"/>
  <c r="L177" i="1"/>
  <c r="K177" i="1"/>
  <c r="J177" i="1"/>
  <c r="I177" i="1"/>
  <c r="I152" i="1" s="1"/>
  <c r="H177" i="1"/>
  <c r="G177" i="1"/>
  <c r="F177" i="1"/>
  <c r="E177" i="1"/>
  <c r="E152" i="1" s="1"/>
  <c r="Q176" i="1"/>
  <c r="Q174" i="1" s="1"/>
  <c r="P176" i="1"/>
  <c r="P174" i="1" s="1"/>
  <c r="Q175" i="1"/>
  <c r="P175" i="1"/>
  <c r="H175" i="1"/>
  <c r="H174" i="1" s="1"/>
  <c r="H149" i="1" s="1"/>
  <c r="CJ174" i="1"/>
  <c r="CI174" i="1"/>
  <c r="CG174" i="1"/>
  <c r="CF174" i="1"/>
  <c r="CD174" i="1"/>
  <c r="CC174" i="1"/>
  <c r="CA174" i="1"/>
  <c r="BZ174" i="1"/>
  <c r="BX174" i="1"/>
  <c r="BW174" i="1"/>
  <c r="BU174" i="1"/>
  <c r="BT174" i="1"/>
  <c r="BR174" i="1"/>
  <c r="BQ174" i="1"/>
  <c r="BO174" i="1"/>
  <c r="BN174" i="1"/>
  <c r="BL174" i="1"/>
  <c r="BK174" i="1"/>
  <c r="BI174" i="1"/>
  <c r="BH174" i="1"/>
  <c r="BF174" i="1"/>
  <c r="BE174" i="1"/>
  <c r="BC174" i="1"/>
  <c r="BB174" i="1"/>
  <c r="AZ174" i="1"/>
  <c r="AY174" i="1"/>
  <c r="AW174" i="1"/>
  <c r="AV174" i="1"/>
  <c r="AT174" i="1"/>
  <c r="AS174" i="1"/>
  <c r="AQ174" i="1"/>
  <c r="AP174" i="1"/>
  <c r="AN174" i="1"/>
  <c r="AM174" i="1"/>
  <c r="AK174" i="1"/>
  <c r="AJ174" i="1"/>
  <c r="AH174" i="1"/>
  <c r="AG174" i="1"/>
  <c r="AE174" i="1"/>
  <c r="AD174" i="1"/>
  <c r="AB174" i="1"/>
  <c r="AA174" i="1"/>
  <c r="Y174" i="1"/>
  <c r="Y149" i="1" s="1"/>
  <c r="X174" i="1"/>
  <c r="V174" i="1"/>
  <c r="U174" i="1"/>
  <c r="S174" i="1"/>
  <c r="S149" i="1" s="1"/>
  <c r="R174" i="1"/>
  <c r="M174" i="1"/>
  <c r="L174" i="1"/>
  <c r="K174" i="1"/>
  <c r="J174" i="1"/>
  <c r="I174" i="1"/>
  <c r="G174" i="1"/>
  <c r="F174" i="1"/>
  <c r="F149" i="1" s="1"/>
  <c r="E174" i="1"/>
  <c r="CJ172" i="1"/>
  <c r="CI172" i="1"/>
  <c r="CD172" i="1"/>
  <c r="CC172" i="1"/>
  <c r="BX172" i="1"/>
  <c r="BW172" i="1"/>
  <c r="BR172" i="1"/>
  <c r="BQ172" i="1"/>
  <c r="BL172" i="1"/>
  <c r="BK172" i="1"/>
  <c r="BF172" i="1"/>
  <c r="BE172" i="1"/>
  <c r="AZ172" i="1"/>
  <c r="AY172" i="1"/>
  <c r="AT172" i="1"/>
  <c r="AS172" i="1"/>
  <c r="AN172" i="1"/>
  <c r="AM172" i="1"/>
  <c r="AH172" i="1"/>
  <c r="AG172" i="1"/>
  <c r="AB172" i="1"/>
  <c r="AA172" i="1"/>
  <c r="Y172" i="1"/>
  <c r="V172" i="1"/>
  <c r="U172" i="1"/>
  <c r="S172" i="1"/>
  <c r="M172" i="1"/>
  <c r="CJ171" i="1"/>
  <c r="CI171" i="1"/>
  <c r="CG171" i="1"/>
  <c r="CF171" i="1"/>
  <c r="CD171" i="1"/>
  <c r="CC171" i="1"/>
  <c r="CA171" i="1"/>
  <c r="BZ171" i="1"/>
  <c r="BX171" i="1"/>
  <c r="BW171" i="1"/>
  <c r="BU171" i="1"/>
  <c r="BT171" i="1"/>
  <c r="BR171" i="1"/>
  <c r="BQ171" i="1"/>
  <c r="BO171" i="1"/>
  <c r="BN171" i="1"/>
  <c r="BL171" i="1"/>
  <c r="BK171" i="1"/>
  <c r="BI171" i="1"/>
  <c r="BH171" i="1"/>
  <c r="BF171" i="1"/>
  <c r="BE171" i="1"/>
  <c r="BC171" i="1"/>
  <c r="BB171" i="1"/>
  <c r="AZ171" i="1"/>
  <c r="AY171" i="1"/>
  <c r="AW171" i="1"/>
  <c r="AV171" i="1"/>
  <c r="AT171" i="1"/>
  <c r="AS171" i="1"/>
  <c r="AQ171" i="1"/>
  <c r="AP171" i="1"/>
  <c r="AN171" i="1"/>
  <c r="AM171" i="1"/>
  <c r="AK171" i="1"/>
  <c r="AJ171" i="1"/>
  <c r="AH171" i="1"/>
  <c r="AG171" i="1"/>
  <c r="AE171" i="1"/>
  <c r="AD171" i="1"/>
  <c r="AB171" i="1"/>
  <c r="Y171" i="1"/>
  <c r="V171" i="1"/>
  <c r="S171" i="1"/>
  <c r="M171" i="1"/>
  <c r="L171" i="1"/>
  <c r="CJ170" i="1"/>
  <c r="CI170" i="1"/>
  <c r="CD170" i="1"/>
  <c r="CC170" i="1"/>
  <c r="BX170" i="1"/>
  <c r="BW170" i="1"/>
  <c r="BR170" i="1"/>
  <c r="BQ170" i="1"/>
  <c r="BL170" i="1"/>
  <c r="BK170" i="1"/>
  <c r="BF170" i="1"/>
  <c r="BE170" i="1"/>
  <c r="AZ170" i="1"/>
  <c r="AY170" i="1"/>
  <c r="AT170" i="1"/>
  <c r="AS170" i="1"/>
  <c r="AN170" i="1"/>
  <c r="AM170" i="1"/>
  <c r="AH170" i="1"/>
  <c r="AG170" i="1"/>
  <c r="AE170" i="1"/>
  <c r="AB170" i="1"/>
  <c r="AA170" i="1"/>
  <c r="Y170" i="1"/>
  <c r="V170" i="1"/>
  <c r="U170" i="1"/>
  <c r="S170" i="1"/>
  <c r="CJ169" i="1"/>
  <c r="CI169" i="1"/>
  <c r="CG169" i="1"/>
  <c r="CF169" i="1"/>
  <c r="CD169" i="1"/>
  <c r="CC169" i="1"/>
  <c r="CA169" i="1"/>
  <c r="BZ169" i="1"/>
  <c r="BX169" i="1"/>
  <c r="BW169" i="1"/>
  <c r="BU169" i="1"/>
  <c r="BT169" i="1"/>
  <c r="BR169" i="1"/>
  <c r="BQ169" i="1"/>
  <c r="BO169" i="1"/>
  <c r="BN169" i="1"/>
  <c r="BL169" i="1"/>
  <c r="BK169" i="1"/>
  <c r="BI169" i="1"/>
  <c r="BH169" i="1"/>
  <c r="BF169" i="1"/>
  <c r="BE169" i="1"/>
  <c r="BC169" i="1"/>
  <c r="BB169" i="1"/>
  <c r="AZ169" i="1"/>
  <c r="AY169" i="1"/>
  <c r="AW169" i="1"/>
  <c r="AV169" i="1"/>
  <c r="AT169" i="1"/>
  <c r="AS169" i="1"/>
  <c r="AQ169" i="1"/>
  <c r="AP169" i="1"/>
  <c r="AN169" i="1"/>
  <c r="AM169" i="1"/>
  <c r="AK169" i="1"/>
  <c r="AJ169" i="1"/>
  <c r="AH169" i="1"/>
  <c r="AG169" i="1"/>
  <c r="AE169" i="1"/>
  <c r="AD169" i="1"/>
  <c r="AB169" i="1"/>
  <c r="Y169" i="1"/>
  <c r="V169" i="1"/>
  <c r="S169" i="1"/>
  <c r="M169" i="1"/>
  <c r="L169" i="1"/>
  <c r="CI168" i="1"/>
  <c r="CG168" i="1"/>
  <c r="CC168" i="1"/>
  <c r="CA168" i="1"/>
  <c r="BW168" i="1"/>
  <c r="BU168" i="1"/>
  <c r="BR168" i="1"/>
  <c r="BQ168" i="1"/>
  <c r="BO168" i="1"/>
  <c r="BK168" i="1"/>
  <c r="BI168" i="1"/>
  <c r="BE168" i="1"/>
  <c r="BC168" i="1"/>
  <c r="AY168" i="1"/>
  <c r="AW168" i="1"/>
  <c r="AT168" i="1"/>
  <c r="AS168" i="1"/>
  <c r="AQ168" i="1"/>
  <c r="AM168" i="1"/>
  <c r="AK168" i="1"/>
  <c r="AG168" i="1"/>
  <c r="AE168" i="1"/>
  <c r="AA168" i="1"/>
  <c r="Y168" i="1"/>
  <c r="V168" i="1"/>
  <c r="U168" i="1"/>
  <c r="S168" i="1"/>
  <c r="CJ166" i="1"/>
  <c r="CG166" i="1"/>
  <c r="CF166" i="1"/>
  <c r="CD166" i="1"/>
  <c r="CA166" i="1"/>
  <c r="BZ166" i="1"/>
  <c r="BX166" i="1"/>
  <c r="BU166" i="1"/>
  <c r="BT166" i="1"/>
  <c r="BR166" i="1"/>
  <c r="BO166" i="1"/>
  <c r="BN166" i="1"/>
  <c r="BL166" i="1"/>
  <c r="BI166" i="1"/>
  <c r="BH166" i="1"/>
  <c r="BF166" i="1"/>
  <c r="BC166" i="1"/>
  <c r="BB166" i="1"/>
  <c r="AZ166" i="1"/>
  <c r="AY166" i="1"/>
  <c r="AW166" i="1"/>
  <c r="AV166" i="1"/>
  <c r="AT166" i="1"/>
  <c r="AS166" i="1"/>
  <c r="AQ166" i="1"/>
  <c r="AP166" i="1"/>
  <c r="AN166" i="1"/>
  <c r="AM166" i="1"/>
  <c r="AK166" i="1"/>
  <c r="AJ166" i="1"/>
  <c r="AH166" i="1"/>
  <c r="AG166" i="1"/>
  <c r="AE166" i="1"/>
  <c r="AD166" i="1"/>
  <c r="AB166" i="1"/>
  <c r="AA166" i="1"/>
  <c r="Y166" i="1"/>
  <c r="X166" i="1"/>
  <c r="V166" i="1"/>
  <c r="U166" i="1"/>
  <c r="S166" i="1"/>
  <c r="R166" i="1"/>
  <c r="M166" i="1"/>
  <c r="L166" i="1"/>
  <c r="K166" i="1"/>
  <c r="J166" i="1"/>
  <c r="CJ165" i="1"/>
  <c r="CI165" i="1"/>
  <c r="CG165" i="1"/>
  <c r="CD165" i="1"/>
  <c r="CC165" i="1"/>
  <c r="CA165" i="1"/>
  <c r="BX165" i="1"/>
  <c r="BW165" i="1"/>
  <c r="BU165" i="1"/>
  <c r="BR165" i="1"/>
  <c r="BQ165" i="1"/>
  <c r="BO165" i="1"/>
  <c r="BL165" i="1"/>
  <c r="BK165" i="1"/>
  <c r="BI165" i="1"/>
  <c r="BF165" i="1"/>
  <c r="BE165" i="1"/>
  <c r="BC165" i="1"/>
  <c r="AZ165" i="1"/>
  <c r="AY165" i="1"/>
  <c r="AW165" i="1"/>
  <c r="AT165" i="1"/>
  <c r="AS165" i="1"/>
  <c r="AQ165" i="1"/>
  <c r="AN165" i="1"/>
  <c r="AM165" i="1"/>
  <c r="AK165" i="1"/>
  <c r="AH165" i="1"/>
  <c r="AG165" i="1"/>
  <c r="AE165" i="1"/>
  <c r="AB165" i="1"/>
  <c r="AA165" i="1"/>
  <c r="Y165" i="1"/>
  <c r="V165" i="1"/>
  <c r="U165" i="1"/>
  <c r="S165" i="1"/>
  <c r="K165" i="1"/>
  <c r="J165" i="1"/>
  <c r="CJ164" i="1"/>
  <c r="CG164" i="1"/>
  <c r="CF164" i="1"/>
  <c r="CD164" i="1"/>
  <c r="CA164" i="1"/>
  <c r="BZ164" i="1"/>
  <c r="BX164" i="1"/>
  <c r="BU164" i="1"/>
  <c r="BT164" i="1"/>
  <c r="BR164" i="1"/>
  <c r="BO164" i="1"/>
  <c r="BN164" i="1"/>
  <c r="BL164" i="1"/>
  <c r="BI164" i="1"/>
  <c r="BH164" i="1"/>
  <c r="BF164" i="1"/>
  <c r="BC164" i="1"/>
  <c r="BB164" i="1"/>
  <c r="AZ164" i="1"/>
  <c r="AY164" i="1"/>
  <c r="AW164" i="1"/>
  <c r="AV164" i="1"/>
  <c r="AT164" i="1"/>
  <c r="AS164" i="1"/>
  <c r="AQ164" i="1"/>
  <c r="AP164" i="1"/>
  <c r="AN164" i="1"/>
  <c r="AM164" i="1"/>
  <c r="AK164" i="1"/>
  <c r="AJ164" i="1"/>
  <c r="AH164" i="1"/>
  <c r="AG164" i="1"/>
  <c r="AE164" i="1"/>
  <c r="AD164" i="1"/>
  <c r="AB164" i="1"/>
  <c r="AA164" i="1"/>
  <c r="Y164" i="1"/>
  <c r="X164" i="1"/>
  <c r="V164" i="1"/>
  <c r="U164" i="1"/>
  <c r="S164" i="1"/>
  <c r="R164" i="1"/>
  <c r="L164" i="1"/>
  <c r="K164" i="1"/>
  <c r="J164" i="1"/>
  <c r="CI163" i="1"/>
  <c r="CG163" i="1"/>
  <c r="CC163" i="1"/>
  <c r="CA163" i="1"/>
  <c r="BX163" i="1"/>
  <c r="BW163" i="1"/>
  <c r="BU163" i="1"/>
  <c r="BQ163" i="1"/>
  <c r="BO163" i="1"/>
  <c r="BK163" i="1"/>
  <c r="BI163" i="1"/>
  <c r="BE163" i="1"/>
  <c r="BC163" i="1"/>
  <c r="AZ163" i="1"/>
  <c r="AY163" i="1"/>
  <c r="AW163" i="1"/>
  <c r="AS163" i="1"/>
  <c r="AQ163" i="1"/>
  <c r="AM163" i="1"/>
  <c r="AK163" i="1"/>
  <c r="AG163" i="1"/>
  <c r="AE163" i="1"/>
  <c r="AB163" i="1"/>
  <c r="AA163" i="1"/>
  <c r="Y163" i="1"/>
  <c r="U163" i="1"/>
  <c r="S163" i="1"/>
  <c r="J163" i="1"/>
  <c r="CJ162" i="1"/>
  <c r="CG162" i="1"/>
  <c r="CF162" i="1"/>
  <c r="CD162" i="1"/>
  <c r="BZ162" i="1"/>
  <c r="BX162" i="1"/>
  <c r="BT162" i="1"/>
  <c r="BR162" i="1"/>
  <c r="BN162" i="1"/>
  <c r="BL162" i="1"/>
  <c r="BI162" i="1"/>
  <c r="BH162" i="1"/>
  <c r="BF162" i="1"/>
  <c r="BB162" i="1"/>
  <c r="AZ162" i="1"/>
  <c r="AY162" i="1"/>
  <c r="AV162" i="1"/>
  <c r="AT162" i="1"/>
  <c r="AS162" i="1"/>
  <c r="AP162" i="1"/>
  <c r="AN162" i="1"/>
  <c r="AM162" i="1"/>
  <c r="AJ162" i="1"/>
  <c r="AH162" i="1"/>
  <c r="AG162" i="1"/>
  <c r="AD162" i="1"/>
  <c r="AB162" i="1"/>
  <c r="AA162" i="1"/>
  <c r="X162" i="1"/>
  <c r="V162" i="1"/>
  <c r="U162" i="1"/>
  <c r="R162" i="1"/>
  <c r="M162" i="1"/>
  <c r="L162" i="1"/>
  <c r="K162" i="1"/>
  <c r="J162" i="1"/>
  <c r="CJ160" i="1"/>
  <c r="CI160" i="1"/>
  <c r="CG160" i="1"/>
  <c r="CF160" i="1"/>
  <c r="CD160" i="1"/>
  <c r="CC160" i="1"/>
  <c r="CA160" i="1"/>
  <c r="BZ160" i="1"/>
  <c r="BX160" i="1"/>
  <c r="BW160" i="1"/>
  <c r="BU160" i="1"/>
  <c r="BT160" i="1"/>
  <c r="BR160" i="1"/>
  <c r="BQ160" i="1"/>
  <c r="BO160" i="1"/>
  <c r="BN160" i="1"/>
  <c r="BL160" i="1"/>
  <c r="BK160" i="1"/>
  <c r="BI160" i="1"/>
  <c r="BH160" i="1"/>
  <c r="BF160" i="1"/>
  <c r="BE160" i="1"/>
  <c r="BC160" i="1"/>
  <c r="AZ160" i="1"/>
  <c r="AY160" i="1"/>
  <c r="AW160" i="1"/>
  <c r="AT160" i="1"/>
  <c r="AS160" i="1"/>
  <c r="AQ160" i="1"/>
  <c r="AP160" i="1"/>
  <c r="AN160" i="1"/>
  <c r="AM160" i="1"/>
  <c r="AK160" i="1"/>
  <c r="AJ160" i="1"/>
  <c r="AH160" i="1"/>
  <c r="AG160" i="1"/>
  <c r="AE160" i="1"/>
  <c r="AD160" i="1"/>
  <c r="AB160" i="1"/>
  <c r="AA160" i="1"/>
  <c r="Y160" i="1"/>
  <c r="V160" i="1"/>
  <c r="U160" i="1"/>
  <c r="S160" i="1"/>
  <c r="M160" i="1"/>
  <c r="L160" i="1"/>
  <c r="K160" i="1"/>
  <c r="I160" i="1"/>
  <c r="CI159" i="1"/>
  <c r="CG159" i="1"/>
  <c r="CF159" i="1"/>
  <c r="CC159" i="1"/>
  <c r="CA159" i="1"/>
  <c r="BZ159" i="1"/>
  <c r="BW159" i="1"/>
  <c r="BU159" i="1"/>
  <c r="BT159" i="1"/>
  <c r="BQ159" i="1"/>
  <c r="BO159" i="1"/>
  <c r="BN159" i="1"/>
  <c r="BK159" i="1"/>
  <c r="BI159" i="1"/>
  <c r="BH159" i="1"/>
  <c r="BE159" i="1"/>
  <c r="BC159" i="1"/>
  <c r="BB159" i="1"/>
  <c r="AY159" i="1"/>
  <c r="AW159" i="1"/>
  <c r="AV159" i="1"/>
  <c r="AS159" i="1"/>
  <c r="AQ159" i="1"/>
  <c r="AP159" i="1"/>
  <c r="AM159" i="1"/>
  <c r="AK159" i="1"/>
  <c r="AJ159" i="1"/>
  <c r="AG159" i="1"/>
  <c r="AE159" i="1"/>
  <c r="AD159" i="1"/>
  <c r="AA159" i="1"/>
  <c r="Y159" i="1"/>
  <c r="X159" i="1"/>
  <c r="U159" i="1"/>
  <c r="S159" i="1"/>
  <c r="R159" i="1"/>
  <c r="L159" i="1"/>
  <c r="I159" i="1"/>
  <c r="CJ158" i="1"/>
  <c r="CG158" i="1"/>
  <c r="CF158" i="1"/>
  <c r="CD158" i="1"/>
  <c r="CA158" i="1"/>
  <c r="BZ158" i="1"/>
  <c r="BX158" i="1"/>
  <c r="BU158" i="1"/>
  <c r="BT158" i="1"/>
  <c r="BR158" i="1"/>
  <c r="BO158" i="1"/>
  <c r="BN158" i="1"/>
  <c r="BL158" i="1"/>
  <c r="BI158" i="1"/>
  <c r="BH158" i="1"/>
  <c r="BF158" i="1"/>
  <c r="BC158" i="1"/>
  <c r="BB158" i="1"/>
  <c r="AZ158" i="1"/>
  <c r="AY158" i="1"/>
  <c r="AW158" i="1"/>
  <c r="AV158" i="1"/>
  <c r="AT158" i="1"/>
  <c r="AS158" i="1"/>
  <c r="AQ158" i="1"/>
  <c r="AP158" i="1"/>
  <c r="AN158" i="1"/>
  <c r="AM158" i="1"/>
  <c r="AK158" i="1"/>
  <c r="AJ158" i="1"/>
  <c r="AH158" i="1"/>
  <c r="AG158" i="1"/>
  <c r="AE158" i="1"/>
  <c r="AD158" i="1"/>
  <c r="AB158" i="1"/>
  <c r="AA158" i="1"/>
  <c r="Y158" i="1"/>
  <c r="X158" i="1"/>
  <c r="V158" i="1"/>
  <c r="U158" i="1"/>
  <c r="S158" i="1"/>
  <c r="R158" i="1"/>
  <c r="L158" i="1"/>
  <c r="K158" i="1"/>
  <c r="I158" i="1"/>
  <c r="CI157" i="1"/>
  <c r="CF157" i="1"/>
  <c r="CC157" i="1"/>
  <c r="BZ157" i="1"/>
  <c r="BX157" i="1"/>
  <c r="BW157" i="1"/>
  <c r="BT157" i="1"/>
  <c r="BQ157" i="1"/>
  <c r="BN157" i="1"/>
  <c r="BK157" i="1"/>
  <c r="BH157" i="1"/>
  <c r="BE157" i="1"/>
  <c r="BB157" i="1"/>
  <c r="AZ157" i="1"/>
  <c r="AY157" i="1"/>
  <c r="AV157" i="1"/>
  <c r="AS157" i="1"/>
  <c r="AP157" i="1"/>
  <c r="AM157" i="1"/>
  <c r="AJ157" i="1"/>
  <c r="AG157" i="1"/>
  <c r="AD157" i="1"/>
  <c r="AB157" i="1"/>
  <c r="AA157" i="1"/>
  <c r="X157" i="1"/>
  <c r="U157" i="1"/>
  <c r="R157" i="1"/>
  <c r="L157" i="1"/>
  <c r="I157" i="1"/>
  <c r="CJ156" i="1"/>
  <c r="CI156" i="1"/>
  <c r="CF156" i="1"/>
  <c r="CD156" i="1"/>
  <c r="CC156" i="1"/>
  <c r="BZ156" i="1"/>
  <c r="BX156" i="1"/>
  <c r="BW156" i="1"/>
  <c r="BT156" i="1"/>
  <c r="BR156" i="1"/>
  <c r="BQ156" i="1"/>
  <c r="BN156" i="1"/>
  <c r="BL156" i="1"/>
  <c r="BK156" i="1"/>
  <c r="BH156" i="1"/>
  <c r="BF156" i="1"/>
  <c r="BE156" i="1"/>
  <c r="BB156" i="1"/>
  <c r="AZ156" i="1"/>
  <c r="AY156" i="1"/>
  <c r="AV156" i="1"/>
  <c r="AT156" i="1"/>
  <c r="AS156" i="1"/>
  <c r="AP156" i="1"/>
  <c r="AN156" i="1"/>
  <c r="AM156" i="1"/>
  <c r="AJ156" i="1"/>
  <c r="AH156" i="1"/>
  <c r="AG156" i="1"/>
  <c r="AD156" i="1"/>
  <c r="AB156" i="1"/>
  <c r="AA156" i="1"/>
  <c r="U156" i="1"/>
  <c r="M156" i="1"/>
  <c r="I156" i="1"/>
  <c r="CJ154" i="1"/>
  <c r="CI154" i="1"/>
  <c r="CG154" i="1"/>
  <c r="CF154" i="1"/>
  <c r="CD154" i="1"/>
  <c r="CC154" i="1"/>
  <c r="CA154" i="1"/>
  <c r="BZ154" i="1"/>
  <c r="BX154" i="1"/>
  <c r="BW154" i="1"/>
  <c r="BU154" i="1"/>
  <c r="BT154" i="1"/>
  <c r="BR154" i="1"/>
  <c r="BQ154" i="1"/>
  <c r="BO154" i="1"/>
  <c r="BN154" i="1"/>
  <c r="BL154" i="1"/>
  <c r="BK154" i="1"/>
  <c r="BI154" i="1"/>
  <c r="BH154" i="1"/>
  <c r="BF154" i="1"/>
  <c r="BE154" i="1"/>
  <c r="BC154" i="1"/>
  <c r="BB154" i="1"/>
  <c r="AZ154" i="1"/>
  <c r="AY154" i="1"/>
  <c r="AW154" i="1"/>
  <c r="AV154" i="1"/>
  <c r="AT154" i="1"/>
  <c r="AS154" i="1"/>
  <c r="AQ154" i="1"/>
  <c r="AP154" i="1"/>
  <c r="AN154" i="1"/>
  <c r="AM154" i="1"/>
  <c r="AK154" i="1"/>
  <c r="AJ154" i="1"/>
  <c r="AH154" i="1"/>
  <c r="AG154" i="1"/>
  <c r="AE154" i="1"/>
  <c r="AD154" i="1"/>
  <c r="AB154" i="1"/>
  <c r="AA154" i="1"/>
  <c r="Y154" i="1"/>
  <c r="X154" i="1"/>
  <c r="V154" i="1"/>
  <c r="U154" i="1"/>
  <c r="S154" i="1"/>
  <c r="R154" i="1"/>
  <c r="Q154" i="1"/>
  <c r="P154" i="1"/>
  <c r="M154" i="1"/>
  <c r="L154" i="1"/>
  <c r="K154" i="1"/>
  <c r="J154" i="1"/>
  <c r="I154" i="1"/>
  <c r="H154" i="1"/>
  <c r="G154" i="1"/>
  <c r="F154" i="1"/>
  <c r="E154" i="1"/>
  <c r="CJ153" i="1"/>
  <c r="CI153" i="1"/>
  <c r="CG153" i="1"/>
  <c r="CF153" i="1"/>
  <c r="CD153" i="1"/>
  <c r="CC153" i="1"/>
  <c r="CA153" i="1"/>
  <c r="BZ153" i="1"/>
  <c r="BX153" i="1"/>
  <c r="BW153" i="1"/>
  <c r="BU153" i="1"/>
  <c r="BT153" i="1"/>
  <c r="BR153" i="1"/>
  <c r="BQ153" i="1"/>
  <c r="BO153" i="1"/>
  <c r="BN153" i="1"/>
  <c r="BL153" i="1"/>
  <c r="BK153" i="1"/>
  <c r="BI153" i="1"/>
  <c r="BH153" i="1"/>
  <c r="BF153" i="1"/>
  <c r="BE153" i="1"/>
  <c r="BC153" i="1"/>
  <c r="BB153" i="1"/>
  <c r="AZ153" i="1"/>
  <c r="AY153" i="1"/>
  <c r="AW153" i="1"/>
  <c r="AV153" i="1"/>
  <c r="AT153" i="1"/>
  <c r="AS153" i="1"/>
  <c r="AQ153" i="1"/>
  <c r="AP153" i="1"/>
  <c r="AN153" i="1"/>
  <c r="AM153" i="1"/>
  <c r="AK153" i="1"/>
  <c r="AJ153" i="1"/>
  <c r="AH153" i="1"/>
  <c r="AG153" i="1"/>
  <c r="AE153" i="1"/>
  <c r="AD153" i="1"/>
  <c r="AB153" i="1"/>
  <c r="AA153" i="1"/>
  <c r="Y153" i="1"/>
  <c r="X153" i="1"/>
  <c r="V153" i="1"/>
  <c r="U153" i="1"/>
  <c r="S153" i="1"/>
  <c r="R153" i="1"/>
  <c r="Q153" i="1"/>
  <c r="M153" i="1"/>
  <c r="L153" i="1"/>
  <c r="K153" i="1"/>
  <c r="J153" i="1"/>
  <c r="I153" i="1"/>
  <c r="H153" i="1"/>
  <c r="G153" i="1"/>
  <c r="F153" i="1"/>
  <c r="E153" i="1"/>
  <c r="CJ152" i="1"/>
  <c r="CI152" i="1"/>
  <c r="CG152" i="1"/>
  <c r="CF152" i="1"/>
  <c r="CD152" i="1"/>
  <c r="CC152" i="1"/>
  <c r="CA152" i="1"/>
  <c r="BZ152" i="1"/>
  <c r="BX152" i="1"/>
  <c r="BW152" i="1"/>
  <c r="BU152" i="1"/>
  <c r="BT152" i="1"/>
  <c r="BR152" i="1"/>
  <c r="BQ152" i="1"/>
  <c r="BN152" i="1"/>
  <c r="BL152" i="1"/>
  <c r="BK152" i="1"/>
  <c r="BH152" i="1"/>
  <c r="BF152" i="1"/>
  <c r="BE152" i="1"/>
  <c r="BB152" i="1"/>
  <c r="AZ152" i="1"/>
  <c r="AY152" i="1"/>
  <c r="AV152" i="1"/>
  <c r="AT152" i="1"/>
  <c r="AS152" i="1"/>
  <c r="AP152" i="1"/>
  <c r="AN152" i="1"/>
  <c r="AM152" i="1"/>
  <c r="AJ152" i="1"/>
  <c r="AH152" i="1"/>
  <c r="AG152" i="1"/>
  <c r="AD152" i="1"/>
  <c r="AB152" i="1"/>
  <c r="AA152" i="1"/>
  <c r="X152" i="1"/>
  <c r="V152" i="1"/>
  <c r="R152" i="1"/>
  <c r="Q152" i="1"/>
  <c r="M152" i="1"/>
  <c r="L152" i="1"/>
  <c r="K152" i="1"/>
  <c r="J152" i="1"/>
  <c r="H152" i="1"/>
  <c r="G152" i="1"/>
  <c r="F152" i="1"/>
  <c r="CJ151" i="1"/>
  <c r="CI151" i="1"/>
  <c r="CG151" i="1"/>
  <c r="CF151" i="1"/>
  <c r="CD151" i="1"/>
  <c r="CC151" i="1"/>
  <c r="CA151" i="1"/>
  <c r="BZ151" i="1"/>
  <c r="BX151" i="1"/>
  <c r="BW151" i="1"/>
  <c r="BU151" i="1"/>
  <c r="BT151" i="1"/>
  <c r="BR151" i="1"/>
  <c r="BQ151" i="1"/>
  <c r="BO151" i="1"/>
  <c r="BN151" i="1"/>
  <c r="BL151" i="1"/>
  <c r="BK151" i="1"/>
  <c r="BI151" i="1"/>
  <c r="BH151" i="1"/>
  <c r="BF151" i="1"/>
  <c r="BE151" i="1"/>
  <c r="BC151" i="1"/>
  <c r="BB151" i="1"/>
  <c r="AZ151" i="1"/>
  <c r="AY151" i="1"/>
  <c r="AW151" i="1"/>
  <c r="AV151" i="1"/>
  <c r="AT151" i="1"/>
  <c r="AS151" i="1"/>
  <c r="AQ151" i="1"/>
  <c r="AP151" i="1"/>
  <c r="AN151" i="1"/>
  <c r="AM151" i="1"/>
  <c r="AK151" i="1"/>
  <c r="AJ151" i="1"/>
  <c r="AH151" i="1"/>
  <c r="AG151" i="1"/>
  <c r="AE151" i="1"/>
  <c r="AD151" i="1"/>
  <c r="AB151" i="1"/>
  <c r="AA151" i="1"/>
  <c r="Y151" i="1"/>
  <c r="X151" i="1"/>
  <c r="V151" i="1"/>
  <c r="U151" i="1"/>
  <c r="S151" i="1"/>
  <c r="R151" i="1"/>
  <c r="Q151" i="1"/>
  <c r="P151" i="1"/>
  <c r="M151" i="1"/>
  <c r="L151" i="1"/>
  <c r="K151" i="1"/>
  <c r="J151" i="1"/>
  <c r="I151" i="1"/>
  <c r="H151" i="1"/>
  <c r="G151" i="1"/>
  <c r="F151" i="1"/>
  <c r="E151" i="1"/>
  <c r="CJ150" i="1"/>
  <c r="CI150" i="1"/>
  <c r="CG150" i="1"/>
  <c r="CF150" i="1"/>
  <c r="CD150" i="1"/>
  <c r="CC150" i="1"/>
  <c r="CA150" i="1"/>
  <c r="BZ150" i="1"/>
  <c r="BX150" i="1"/>
  <c r="BW150" i="1"/>
  <c r="BU150" i="1"/>
  <c r="BT150" i="1"/>
  <c r="BR150" i="1"/>
  <c r="BQ150" i="1"/>
  <c r="BO150" i="1"/>
  <c r="BN150" i="1"/>
  <c r="BL150" i="1"/>
  <c r="BK150" i="1"/>
  <c r="BI150" i="1"/>
  <c r="BH150" i="1"/>
  <c r="BF150" i="1"/>
  <c r="BE150" i="1"/>
  <c r="BC150" i="1"/>
  <c r="BB150" i="1"/>
  <c r="AZ150" i="1"/>
  <c r="AY150" i="1"/>
  <c r="AW150" i="1"/>
  <c r="AV150" i="1"/>
  <c r="AT150" i="1"/>
  <c r="AS150" i="1"/>
  <c r="AQ150" i="1"/>
  <c r="AP150" i="1"/>
  <c r="AN150" i="1"/>
  <c r="AM150" i="1"/>
  <c r="AK150" i="1"/>
  <c r="AJ150" i="1"/>
  <c r="AH150" i="1"/>
  <c r="AG150" i="1"/>
  <c r="AE150" i="1"/>
  <c r="AD150" i="1"/>
  <c r="AB150" i="1"/>
  <c r="AA150" i="1"/>
  <c r="Y150" i="1"/>
  <c r="X150" i="1"/>
  <c r="V150" i="1"/>
  <c r="U150" i="1"/>
  <c r="S150" i="1"/>
  <c r="R150" i="1"/>
  <c r="Q150" i="1"/>
  <c r="P150" i="1"/>
  <c r="M150" i="1"/>
  <c r="L150" i="1"/>
  <c r="K150" i="1"/>
  <c r="J150" i="1"/>
  <c r="I150" i="1"/>
  <c r="H150" i="1"/>
  <c r="G150" i="1"/>
  <c r="F150" i="1"/>
  <c r="E150" i="1"/>
  <c r="CJ149" i="1"/>
  <c r="CI149" i="1"/>
  <c r="CG149" i="1"/>
  <c r="CF149" i="1"/>
  <c r="CD149" i="1"/>
  <c r="CC149" i="1"/>
  <c r="CA149" i="1"/>
  <c r="BZ149" i="1"/>
  <c r="BX149" i="1"/>
  <c r="BW149" i="1"/>
  <c r="BU149" i="1"/>
  <c r="BT149" i="1"/>
  <c r="BR149" i="1"/>
  <c r="BQ149" i="1"/>
  <c r="BO149" i="1"/>
  <c r="BN149" i="1"/>
  <c r="BL149" i="1"/>
  <c r="BK149" i="1"/>
  <c r="BI149" i="1"/>
  <c r="BH149" i="1"/>
  <c r="BF149" i="1"/>
  <c r="BE149" i="1"/>
  <c r="BC149" i="1"/>
  <c r="BB149" i="1"/>
  <c r="AZ149" i="1"/>
  <c r="AY149" i="1"/>
  <c r="AW149" i="1"/>
  <c r="AV149" i="1"/>
  <c r="AT149" i="1"/>
  <c r="AS149" i="1"/>
  <c r="AQ149" i="1"/>
  <c r="AP149" i="1"/>
  <c r="AN149" i="1"/>
  <c r="AM149" i="1"/>
  <c r="AK149" i="1"/>
  <c r="AJ149" i="1"/>
  <c r="AH149" i="1"/>
  <c r="AG149" i="1"/>
  <c r="AE149" i="1"/>
  <c r="AD149" i="1"/>
  <c r="AB149" i="1"/>
  <c r="AA149" i="1"/>
  <c r="X149" i="1"/>
  <c r="U149" i="1"/>
  <c r="R149" i="1"/>
  <c r="Q149" i="1"/>
  <c r="L149" i="1"/>
  <c r="K149" i="1"/>
  <c r="J149" i="1"/>
  <c r="G149" i="1"/>
  <c r="E149" i="1"/>
  <c r="Q146" i="1"/>
  <c r="P146" i="1"/>
  <c r="Q145" i="1"/>
  <c r="Q144" i="1" s="1"/>
  <c r="P145" i="1"/>
  <c r="CJ144" i="1"/>
  <c r="CI144" i="1"/>
  <c r="CG144" i="1"/>
  <c r="CG126" i="1" s="1"/>
  <c r="CF144" i="1"/>
  <c r="CD144" i="1"/>
  <c r="CC144" i="1"/>
  <c r="CA144" i="1"/>
  <c r="CA126" i="1" s="1"/>
  <c r="BZ144" i="1"/>
  <c r="BX144" i="1"/>
  <c r="BW144" i="1"/>
  <c r="BU144" i="1"/>
  <c r="BU126" i="1" s="1"/>
  <c r="BT144" i="1"/>
  <c r="BR144" i="1"/>
  <c r="BQ144" i="1"/>
  <c r="BO144" i="1"/>
  <c r="BO126" i="1" s="1"/>
  <c r="BN144" i="1"/>
  <c r="BL144" i="1"/>
  <c r="BK144" i="1"/>
  <c r="BI144" i="1"/>
  <c r="BI126" i="1" s="1"/>
  <c r="BH144" i="1"/>
  <c r="BF144" i="1"/>
  <c r="BE144" i="1"/>
  <c r="BC144" i="1"/>
  <c r="BC126" i="1" s="1"/>
  <c r="BB144" i="1"/>
  <c r="AZ144" i="1"/>
  <c r="AY144" i="1"/>
  <c r="AW144" i="1"/>
  <c r="AW126" i="1" s="1"/>
  <c r="AV144" i="1"/>
  <c r="AT144" i="1"/>
  <c r="AS144" i="1"/>
  <c r="AQ144" i="1"/>
  <c r="AQ126" i="1" s="1"/>
  <c r="AP144" i="1"/>
  <c r="AN144" i="1"/>
  <c r="AM144" i="1"/>
  <c r="AK144" i="1"/>
  <c r="AK126" i="1" s="1"/>
  <c r="AJ144" i="1"/>
  <c r="AH144" i="1"/>
  <c r="AG144" i="1"/>
  <c r="AE144" i="1"/>
  <c r="AE126" i="1" s="1"/>
  <c r="AD144" i="1"/>
  <c r="AB144" i="1"/>
  <c r="AA144" i="1"/>
  <c r="Y144" i="1"/>
  <c r="Y126" i="1" s="1"/>
  <c r="X144" i="1"/>
  <c r="V144" i="1"/>
  <c r="U144" i="1"/>
  <c r="S144" i="1"/>
  <c r="S126" i="1" s="1"/>
  <c r="R144" i="1"/>
  <c r="P144" i="1"/>
  <c r="M144" i="1"/>
  <c r="L144" i="1"/>
  <c r="K144" i="1"/>
  <c r="J144" i="1"/>
  <c r="I144" i="1"/>
  <c r="I126" i="1" s="1"/>
  <c r="Q143" i="1"/>
  <c r="P143" i="1"/>
  <c r="P141" i="1" s="1"/>
  <c r="AI142" i="1"/>
  <c r="Q142" i="1"/>
  <c r="Q128" i="1" s="1"/>
  <c r="P142" i="1"/>
  <c r="CJ141" i="1"/>
  <c r="CJ125" i="1" s="1"/>
  <c r="CI141" i="1"/>
  <c r="CG141" i="1"/>
  <c r="CG125" i="1" s="1"/>
  <c r="CF141" i="1"/>
  <c r="CD141" i="1"/>
  <c r="CD125" i="1" s="1"/>
  <c r="CC141" i="1"/>
  <c r="CA141" i="1"/>
  <c r="CA125" i="1" s="1"/>
  <c r="BZ141" i="1"/>
  <c r="BX141" i="1"/>
  <c r="BX125" i="1" s="1"/>
  <c r="BW141" i="1"/>
  <c r="BU141" i="1"/>
  <c r="BU125" i="1" s="1"/>
  <c r="BT141" i="1"/>
  <c r="BR141" i="1"/>
  <c r="BR125" i="1" s="1"/>
  <c r="BQ141" i="1"/>
  <c r="BO141" i="1"/>
  <c r="BO125" i="1" s="1"/>
  <c r="BN141" i="1"/>
  <c r="BL141" i="1"/>
  <c r="BL125" i="1" s="1"/>
  <c r="BK141" i="1"/>
  <c r="BI141" i="1"/>
  <c r="BI125" i="1" s="1"/>
  <c r="BH141" i="1"/>
  <c r="BF141" i="1"/>
  <c r="BF125" i="1" s="1"/>
  <c r="BE141" i="1"/>
  <c r="BC141" i="1"/>
  <c r="BC125" i="1" s="1"/>
  <c r="BB141" i="1"/>
  <c r="AZ141" i="1"/>
  <c r="AZ125" i="1" s="1"/>
  <c r="AY141" i="1"/>
  <c r="AW141" i="1"/>
  <c r="AW125" i="1" s="1"/>
  <c r="AV141" i="1"/>
  <c r="AT141" i="1"/>
  <c r="AT125" i="1" s="1"/>
  <c r="AS141" i="1"/>
  <c r="AQ141" i="1"/>
  <c r="AQ125" i="1" s="1"/>
  <c r="AP141" i="1"/>
  <c r="AN141" i="1"/>
  <c r="AN125" i="1" s="1"/>
  <c r="AM141" i="1"/>
  <c r="AK141" i="1"/>
  <c r="AK125" i="1" s="1"/>
  <c r="AJ141" i="1"/>
  <c r="AH141" i="1"/>
  <c r="AH125" i="1" s="1"/>
  <c r="AG141" i="1"/>
  <c r="AE141" i="1"/>
  <c r="AE125" i="1" s="1"/>
  <c r="AD141" i="1"/>
  <c r="AB141" i="1"/>
  <c r="AB125" i="1" s="1"/>
  <c r="AA141" i="1"/>
  <c r="Y141" i="1"/>
  <c r="Y125" i="1" s="1"/>
  <c r="X141" i="1"/>
  <c r="V141" i="1"/>
  <c r="V125" i="1" s="1"/>
  <c r="U141" i="1"/>
  <c r="S141" i="1"/>
  <c r="S125" i="1" s="1"/>
  <c r="R141" i="1"/>
  <c r="M141" i="1"/>
  <c r="M125" i="1" s="1"/>
  <c r="L141" i="1"/>
  <c r="K141" i="1"/>
  <c r="K125" i="1" s="1"/>
  <c r="J141" i="1"/>
  <c r="I141" i="1"/>
  <c r="I125" i="1" s="1"/>
  <c r="Q139" i="1"/>
  <c r="P139" i="1"/>
  <c r="P132" i="1" s="1"/>
  <c r="Q138" i="1"/>
  <c r="Q137" i="1" s="1"/>
  <c r="Q126" i="1" s="1"/>
  <c r="P138" i="1"/>
  <c r="P137" i="1" s="1"/>
  <c r="P126" i="1" s="1"/>
  <c r="CJ137" i="1"/>
  <c r="CI137" i="1"/>
  <c r="CI126" i="1" s="1"/>
  <c r="CG137" i="1"/>
  <c r="CF137" i="1"/>
  <c r="CF126" i="1" s="1"/>
  <c r="CD137" i="1"/>
  <c r="CC137" i="1"/>
  <c r="CC126" i="1" s="1"/>
  <c r="CA137" i="1"/>
  <c r="BZ137" i="1"/>
  <c r="BZ126" i="1" s="1"/>
  <c r="BX137" i="1"/>
  <c r="BW137" i="1"/>
  <c r="BW126" i="1" s="1"/>
  <c r="BU137" i="1"/>
  <c r="BT137" i="1"/>
  <c r="BT126" i="1" s="1"/>
  <c r="BR137" i="1"/>
  <c r="BQ137" i="1"/>
  <c r="BQ126" i="1" s="1"/>
  <c r="BO137" i="1"/>
  <c r="BN137" i="1"/>
  <c r="BN126" i="1" s="1"/>
  <c r="BL137" i="1"/>
  <c r="BK137" i="1"/>
  <c r="BK126" i="1" s="1"/>
  <c r="BI137" i="1"/>
  <c r="BH137" i="1"/>
  <c r="BH126" i="1" s="1"/>
  <c r="BF137" i="1"/>
  <c r="BE137" i="1"/>
  <c r="BE126" i="1" s="1"/>
  <c r="BC137" i="1"/>
  <c r="BB137" i="1"/>
  <c r="BB126" i="1" s="1"/>
  <c r="AZ137" i="1"/>
  <c r="AY137" i="1"/>
  <c r="AY126" i="1" s="1"/>
  <c r="AW137" i="1"/>
  <c r="AV137" i="1"/>
  <c r="AV126" i="1" s="1"/>
  <c r="AT137" i="1"/>
  <c r="AS137" i="1"/>
  <c r="AS126" i="1" s="1"/>
  <c r="AQ137" i="1"/>
  <c r="AP137" i="1"/>
  <c r="AP126" i="1" s="1"/>
  <c r="AN137" i="1"/>
  <c r="AM137" i="1"/>
  <c r="AM126" i="1" s="1"/>
  <c r="AK137" i="1"/>
  <c r="AJ137" i="1"/>
  <c r="AJ126" i="1" s="1"/>
  <c r="AH137" i="1"/>
  <c r="AG137" i="1"/>
  <c r="AG126" i="1" s="1"/>
  <c r="AE137" i="1"/>
  <c r="AD137" i="1"/>
  <c r="AD126" i="1" s="1"/>
  <c r="AB137" i="1"/>
  <c r="AA137" i="1"/>
  <c r="AA126" i="1" s="1"/>
  <c r="Y137" i="1"/>
  <c r="X137" i="1"/>
  <c r="X126" i="1" s="1"/>
  <c r="V137" i="1"/>
  <c r="U137" i="1"/>
  <c r="U126" i="1" s="1"/>
  <c r="S137" i="1"/>
  <c r="R137" i="1"/>
  <c r="R126" i="1" s="1"/>
  <c r="M137" i="1"/>
  <c r="L137" i="1"/>
  <c r="L126" i="1" s="1"/>
  <c r="K137" i="1"/>
  <c r="J137" i="1"/>
  <c r="J126" i="1" s="1"/>
  <c r="I137" i="1"/>
  <c r="Q136" i="1"/>
  <c r="Q131" i="1" s="1"/>
  <c r="P136" i="1"/>
  <c r="AI135" i="1"/>
  <c r="Q135" i="1"/>
  <c r="Q134" i="1" s="1"/>
  <c r="P135" i="1"/>
  <c r="P134" i="1" s="1"/>
  <c r="P125" i="1" s="1"/>
  <c r="CJ134" i="1"/>
  <c r="CI134" i="1"/>
  <c r="CG134" i="1"/>
  <c r="CF134" i="1"/>
  <c r="CF125" i="1" s="1"/>
  <c r="CD134" i="1"/>
  <c r="CC134" i="1"/>
  <c r="CA134" i="1"/>
  <c r="BZ134" i="1"/>
  <c r="BZ125" i="1" s="1"/>
  <c r="BX134" i="1"/>
  <c r="BW134" i="1"/>
  <c r="BU134" i="1"/>
  <c r="BT134" i="1"/>
  <c r="BT125" i="1" s="1"/>
  <c r="BR134" i="1"/>
  <c r="BQ134" i="1"/>
  <c r="BO134" i="1"/>
  <c r="BN134" i="1"/>
  <c r="BN125" i="1" s="1"/>
  <c r="BL134" i="1"/>
  <c r="BK134" i="1"/>
  <c r="BI134" i="1"/>
  <c r="BH134" i="1"/>
  <c r="BH125" i="1" s="1"/>
  <c r="BF134" i="1"/>
  <c r="BE134" i="1"/>
  <c r="BC134" i="1"/>
  <c r="BB134" i="1"/>
  <c r="BB125" i="1" s="1"/>
  <c r="AZ134" i="1"/>
  <c r="AY134" i="1"/>
  <c r="AW134" i="1"/>
  <c r="AV134" i="1"/>
  <c r="AV125" i="1" s="1"/>
  <c r="AT134" i="1"/>
  <c r="AS134" i="1"/>
  <c r="AQ134" i="1"/>
  <c r="AP134" i="1"/>
  <c r="AP125" i="1" s="1"/>
  <c r="AN134" i="1"/>
  <c r="AM134" i="1"/>
  <c r="AK134" i="1"/>
  <c r="AJ134" i="1"/>
  <c r="AJ125" i="1" s="1"/>
  <c r="AH134" i="1"/>
  <c r="AG134" i="1"/>
  <c r="AE134" i="1"/>
  <c r="AD134" i="1"/>
  <c r="AD125" i="1" s="1"/>
  <c r="AB134" i="1"/>
  <c r="AA134" i="1"/>
  <c r="Y134" i="1"/>
  <c r="X134" i="1"/>
  <c r="X125" i="1" s="1"/>
  <c r="V134" i="1"/>
  <c r="U134" i="1"/>
  <c r="S134" i="1"/>
  <c r="R134" i="1"/>
  <c r="R125" i="1" s="1"/>
  <c r="M134" i="1"/>
  <c r="L134" i="1"/>
  <c r="K134" i="1"/>
  <c r="J134" i="1"/>
  <c r="I134" i="1"/>
  <c r="CJ132" i="1"/>
  <c r="CI132" i="1"/>
  <c r="CG132" i="1"/>
  <c r="CF132" i="1"/>
  <c r="CD132" i="1"/>
  <c r="CC132" i="1"/>
  <c r="CA132" i="1"/>
  <c r="BZ132" i="1"/>
  <c r="BX132" i="1"/>
  <c r="BW132" i="1"/>
  <c r="BU132" i="1"/>
  <c r="BT132" i="1"/>
  <c r="BR132" i="1"/>
  <c r="BQ132" i="1"/>
  <c r="BO132" i="1"/>
  <c r="BN132" i="1"/>
  <c r="BL132" i="1"/>
  <c r="BK132" i="1"/>
  <c r="BI132" i="1"/>
  <c r="BH132" i="1"/>
  <c r="BF132" i="1"/>
  <c r="BE132" i="1"/>
  <c r="BC132" i="1"/>
  <c r="BB132" i="1"/>
  <c r="AZ132" i="1"/>
  <c r="AY132" i="1"/>
  <c r="AW132" i="1"/>
  <c r="AV132" i="1"/>
  <c r="AT132" i="1"/>
  <c r="AS132" i="1"/>
  <c r="AQ132" i="1"/>
  <c r="AP132" i="1"/>
  <c r="AN132" i="1"/>
  <c r="AM132" i="1"/>
  <c r="AK132" i="1"/>
  <c r="AJ132" i="1"/>
  <c r="AH132" i="1"/>
  <c r="AG132" i="1"/>
  <c r="AE132" i="1"/>
  <c r="AD132" i="1"/>
  <c r="AB132" i="1"/>
  <c r="AA132" i="1"/>
  <c r="Y132" i="1"/>
  <c r="X132" i="1"/>
  <c r="V132" i="1"/>
  <c r="U132" i="1"/>
  <c r="S132" i="1"/>
  <c r="R132" i="1"/>
  <c r="Q132" i="1"/>
  <c r="M132" i="1"/>
  <c r="L132" i="1"/>
  <c r="K132" i="1"/>
  <c r="J132" i="1"/>
  <c r="I132" i="1"/>
  <c r="CJ131" i="1"/>
  <c r="CI131" i="1"/>
  <c r="CG131" i="1"/>
  <c r="CF131" i="1"/>
  <c r="CD131" i="1"/>
  <c r="CC131" i="1"/>
  <c r="CA131" i="1"/>
  <c r="BZ131" i="1"/>
  <c r="BX131" i="1"/>
  <c r="BW131" i="1"/>
  <c r="BU131" i="1"/>
  <c r="BT131" i="1"/>
  <c r="BR131" i="1"/>
  <c r="BQ131" i="1"/>
  <c r="BO131" i="1"/>
  <c r="BN131" i="1"/>
  <c r="BL131" i="1"/>
  <c r="BK131" i="1"/>
  <c r="BI131" i="1"/>
  <c r="BH131" i="1"/>
  <c r="BF131" i="1"/>
  <c r="BE131" i="1"/>
  <c r="BC131" i="1"/>
  <c r="BB131" i="1"/>
  <c r="AZ131" i="1"/>
  <c r="AY131" i="1"/>
  <c r="AW131" i="1"/>
  <c r="AV131" i="1"/>
  <c r="AT131" i="1"/>
  <c r="AS131" i="1"/>
  <c r="AQ131" i="1"/>
  <c r="AP131" i="1"/>
  <c r="AN131" i="1"/>
  <c r="AM131" i="1"/>
  <c r="AK131" i="1"/>
  <c r="AJ131" i="1"/>
  <c r="AH131" i="1"/>
  <c r="AG131" i="1"/>
  <c r="AE131" i="1"/>
  <c r="AD131" i="1"/>
  <c r="AB131" i="1"/>
  <c r="AA131" i="1"/>
  <c r="Y131" i="1"/>
  <c r="X131" i="1"/>
  <c r="V131" i="1"/>
  <c r="U131" i="1"/>
  <c r="S131" i="1"/>
  <c r="R131" i="1"/>
  <c r="P131" i="1"/>
  <c r="M131" i="1"/>
  <c r="L131" i="1"/>
  <c r="K131" i="1"/>
  <c r="J131" i="1"/>
  <c r="I131" i="1"/>
  <c r="CJ129" i="1"/>
  <c r="CI129" i="1"/>
  <c r="CG129" i="1"/>
  <c r="CF129" i="1"/>
  <c r="CD129" i="1"/>
  <c r="CC129" i="1"/>
  <c r="CA129" i="1"/>
  <c r="BZ129" i="1"/>
  <c r="BX129" i="1"/>
  <c r="BW129" i="1"/>
  <c r="BU129" i="1"/>
  <c r="BT129" i="1"/>
  <c r="BR129" i="1"/>
  <c r="BQ129" i="1"/>
  <c r="BO129" i="1"/>
  <c r="BN129" i="1"/>
  <c r="BL129" i="1"/>
  <c r="BK129" i="1"/>
  <c r="BI129" i="1"/>
  <c r="BH129" i="1"/>
  <c r="BF129" i="1"/>
  <c r="BE129" i="1"/>
  <c r="BC129" i="1"/>
  <c r="BB129" i="1"/>
  <c r="AZ129" i="1"/>
  <c r="AY129" i="1"/>
  <c r="AW129" i="1"/>
  <c r="AV129" i="1"/>
  <c r="AT129" i="1"/>
  <c r="AS129" i="1"/>
  <c r="AQ129" i="1"/>
  <c r="AP129" i="1"/>
  <c r="AN129" i="1"/>
  <c r="AM129" i="1"/>
  <c r="AK129" i="1"/>
  <c r="AJ129" i="1"/>
  <c r="AH129" i="1"/>
  <c r="AG129" i="1"/>
  <c r="AE129" i="1"/>
  <c r="AD129" i="1"/>
  <c r="AB129" i="1"/>
  <c r="AA129" i="1"/>
  <c r="Y129" i="1"/>
  <c r="X129" i="1"/>
  <c r="V129" i="1"/>
  <c r="U129" i="1"/>
  <c r="S129" i="1"/>
  <c r="R129" i="1"/>
  <c r="M129" i="1"/>
  <c r="L129" i="1"/>
  <c r="K129" i="1"/>
  <c r="J129" i="1"/>
  <c r="I129" i="1"/>
  <c r="CJ128" i="1"/>
  <c r="CI128" i="1"/>
  <c r="CG128" i="1"/>
  <c r="CF128" i="1"/>
  <c r="CD128" i="1"/>
  <c r="CC128" i="1"/>
  <c r="CA128" i="1"/>
  <c r="BZ128" i="1"/>
  <c r="BX128" i="1"/>
  <c r="BW128" i="1"/>
  <c r="BU128" i="1"/>
  <c r="BT128" i="1"/>
  <c r="BR128" i="1"/>
  <c r="BQ128" i="1"/>
  <c r="BO128" i="1"/>
  <c r="BN128" i="1"/>
  <c r="BL128" i="1"/>
  <c r="BK128" i="1"/>
  <c r="BI128" i="1"/>
  <c r="BH128" i="1"/>
  <c r="BF128" i="1"/>
  <c r="BE128" i="1"/>
  <c r="BC128" i="1"/>
  <c r="BB128" i="1"/>
  <c r="AZ128" i="1"/>
  <c r="AY128" i="1"/>
  <c r="AW128" i="1"/>
  <c r="AV128" i="1"/>
  <c r="AT128" i="1"/>
  <c r="AS128" i="1"/>
  <c r="AQ128" i="1"/>
  <c r="AP128" i="1"/>
  <c r="AN128" i="1"/>
  <c r="AM128" i="1"/>
  <c r="AK128" i="1"/>
  <c r="AJ128" i="1"/>
  <c r="AH128" i="1"/>
  <c r="AG128" i="1"/>
  <c r="AE128" i="1"/>
  <c r="AD128" i="1"/>
  <c r="AB128" i="1"/>
  <c r="AA128" i="1"/>
  <c r="Y128" i="1"/>
  <c r="X128" i="1"/>
  <c r="V128" i="1"/>
  <c r="U128" i="1"/>
  <c r="S128" i="1"/>
  <c r="R128" i="1"/>
  <c r="M128" i="1"/>
  <c r="L128" i="1"/>
  <c r="K128" i="1"/>
  <c r="J128" i="1"/>
  <c r="I128" i="1"/>
  <c r="CJ126" i="1"/>
  <c r="CD126" i="1"/>
  <c r="BX126" i="1"/>
  <c r="BR126" i="1"/>
  <c r="BL126" i="1"/>
  <c r="BF126" i="1"/>
  <c r="AZ126" i="1"/>
  <c r="AT126" i="1"/>
  <c r="AN126" i="1"/>
  <c r="AH126" i="1"/>
  <c r="AB126" i="1"/>
  <c r="V126" i="1"/>
  <c r="K126" i="1"/>
  <c r="CI125" i="1"/>
  <c r="CC125" i="1"/>
  <c r="BW125" i="1"/>
  <c r="BQ125" i="1"/>
  <c r="BK125" i="1"/>
  <c r="BE125" i="1"/>
  <c r="AY125" i="1"/>
  <c r="AS125" i="1"/>
  <c r="AM125" i="1"/>
  <c r="AG125" i="1"/>
  <c r="AA125" i="1"/>
  <c r="U125" i="1"/>
  <c r="J125" i="1"/>
  <c r="Q122" i="1"/>
  <c r="P122" i="1"/>
  <c r="Q121" i="1"/>
  <c r="P121" i="1"/>
  <c r="Q120" i="1"/>
  <c r="P120" i="1"/>
  <c r="Q119" i="1"/>
  <c r="P119" i="1"/>
  <c r="Q118" i="1"/>
  <c r="P118" i="1"/>
  <c r="Q116" i="1"/>
  <c r="P116" i="1"/>
  <c r="Q115" i="1"/>
  <c r="P115" i="1"/>
  <c r="Q114" i="1"/>
  <c r="P114" i="1"/>
  <c r="Q113" i="1"/>
  <c r="P113" i="1"/>
  <c r="Q112" i="1"/>
  <c r="P112" i="1"/>
  <c r="Q109" i="1"/>
  <c r="P109" i="1"/>
  <c r="Q108" i="1"/>
  <c r="Q95" i="1" s="1"/>
  <c r="P108" i="1"/>
  <c r="Q107" i="1"/>
  <c r="P107" i="1"/>
  <c r="Q106" i="1"/>
  <c r="Q81" i="1" s="1"/>
  <c r="P106" i="1"/>
  <c r="Q105" i="1"/>
  <c r="P105" i="1"/>
  <c r="Q103" i="1"/>
  <c r="Q90" i="1" s="1"/>
  <c r="P103" i="1"/>
  <c r="Q102" i="1"/>
  <c r="P102" i="1"/>
  <c r="Q101" i="1"/>
  <c r="Q82" i="1" s="1"/>
  <c r="P101" i="1"/>
  <c r="Q100" i="1"/>
  <c r="P100" i="1"/>
  <c r="Q99" i="1"/>
  <c r="Q86" i="1" s="1"/>
  <c r="P99" i="1"/>
  <c r="CJ96" i="1"/>
  <c r="CI96" i="1"/>
  <c r="CG96" i="1"/>
  <c r="CF96" i="1"/>
  <c r="CD96" i="1"/>
  <c r="CC96" i="1"/>
  <c r="CA96" i="1"/>
  <c r="BZ96" i="1"/>
  <c r="BX96" i="1"/>
  <c r="BW96" i="1"/>
  <c r="BU96" i="1"/>
  <c r="BT96" i="1"/>
  <c r="BR96" i="1"/>
  <c r="BQ96" i="1"/>
  <c r="BO96" i="1"/>
  <c r="BN96" i="1"/>
  <c r="BL96" i="1"/>
  <c r="BK96" i="1"/>
  <c r="BI96" i="1"/>
  <c r="BH96" i="1"/>
  <c r="BF96" i="1"/>
  <c r="BE96" i="1"/>
  <c r="BC96" i="1"/>
  <c r="BB96" i="1"/>
  <c r="AZ96" i="1"/>
  <c r="AY96" i="1"/>
  <c r="AW96" i="1"/>
  <c r="AV96" i="1"/>
  <c r="AT96" i="1"/>
  <c r="AS96" i="1"/>
  <c r="AQ96" i="1"/>
  <c r="AP96" i="1"/>
  <c r="AN96" i="1"/>
  <c r="AM96" i="1"/>
  <c r="AK96" i="1"/>
  <c r="AJ96" i="1"/>
  <c r="AH96" i="1"/>
  <c r="AG96" i="1"/>
  <c r="AE96" i="1"/>
  <c r="AD96" i="1"/>
  <c r="AB96" i="1"/>
  <c r="AA96" i="1"/>
  <c r="Y96" i="1"/>
  <c r="X96" i="1"/>
  <c r="V96" i="1"/>
  <c r="U96" i="1"/>
  <c r="S96" i="1"/>
  <c r="R96" i="1"/>
  <c r="Q96" i="1"/>
  <c r="P96" i="1"/>
  <c r="M96" i="1"/>
  <c r="L96" i="1"/>
  <c r="K96" i="1"/>
  <c r="J96" i="1"/>
  <c r="I96" i="1"/>
  <c r="CJ95" i="1"/>
  <c r="CI95" i="1"/>
  <c r="CG95" i="1"/>
  <c r="CF95" i="1"/>
  <c r="CD95" i="1"/>
  <c r="CC95" i="1"/>
  <c r="CA95" i="1"/>
  <c r="BZ95" i="1"/>
  <c r="BX95" i="1"/>
  <c r="BW95" i="1"/>
  <c r="BU95" i="1"/>
  <c r="BT95" i="1"/>
  <c r="BR95" i="1"/>
  <c r="BQ95" i="1"/>
  <c r="BO95" i="1"/>
  <c r="BN95" i="1"/>
  <c r="BL95" i="1"/>
  <c r="BK95" i="1"/>
  <c r="BI95" i="1"/>
  <c r="BH95" i="1"/>
  <c r="BF95" i="1"/>
  <c r="BE95" i="1"/>
  <c r="BC95" i="1"/>
  <c r="BB95" i="1"/>
  <c r="AZ95" i="1"/>
  <c r="AY95" i="1"/>
  <c r="AW95" i="1"/>
  <c r="AV95" i="1"/>
  <c r="AT95" i="1"/>
  <c r="AS95" i="1"/>
  <c r="AQ95" i="1"/>
  <c r="AP95" i="1"/>
  <c r="AN95" i="1"/>
  <c r="AM95" i="1"/>
  <c r="AK95" i="1"/>
  <c r="AJ95" i="1"/>
  <c r="AH95" i="1"/>
  <c r="AG95" i="1"/>
  <c r="AE95" i="1"/>
  <c r="AD95" i="1"/>
  <c r="AB95" i="1"/>
  <c r="AA95" i="1"/>
  <c r="Y95" i="1"/>
  <c r="X95" i="1"/>
  <c r="V95" i="1"/>
  <c r="U95" i="1"/>
  <c r="S95" i="1"/>
  <c r="R95" i="1"/>
  <c r="P95" i="1"/>
  <c r="M95" i="1"/>
  <c r="L95" i="1"/>
  <c r="K95" i="1"/>
  <c r="J95" i="1"/>
  <c r="I95" i="1"/>
  <c r="CJ94" i="1"/>
  <c r="CI94" i="1"/>
  <c r="CG94" i="1"/>
  <c r="CF94" i="1"/>
  <c r="CD94" i="1"/>
  <c r="CC94" i="1"/>
  <c r="CA94" i="1"/>
  <c r="BZ94" i="1"/>
  <c r="BX94" i="1"/>
  <c r="BW94" i="1"/>
  <c r="BU94" i="1"/>
  <c r="BT94" i="1"/>
  <c r="BR94" i="1"/>
  <c r="BQ94" i="1"/>
  <c r="BO94" i="1"/>
  <c r="BN94" i="1"/>
  <c r="BL94" i="1"/>
  <c r="BK94" i="1"/>
  <c r="BI94" i="1"/>
  <c r="BH94" i="1"/>
  <c r="BF94" i="1"/>
  <c r="BE94" i="1"/>
  <c r="BC94" i="1"/>
  <c r="BB94" i="1"/>
  <c r="AZ94" i="1"/>
  <c r="AY94" i="1"/>
  <c r="AW94" i="1"/>
  <c r="AV94" i="1"/>
  <c r="AT94" i="1"/>
  <c r="AS94" i="1"/>
  <c r="AQ94" i="1"/>
  <c r="AP94" i="1"/>
  <c r="AN94" i="1"/>
  <c r="AM94" i="1"/>
  <c r="AK94" i="1"/>
  <c r="AJ94" i="1"/>
  <c r="AH94" i="1"/>
  <c r="AG94" i="1"/>
  <c r="AE94" i="1"/>
  <c r="AD94" i="1"/>
  <c r="AB94" i="1"/>
  <c r="AA94" i="1"/>
  <c r="Y94" i="1"/>
  <c r="X94" i="1"/>
  <c r="V94" i="1"/>
  <c r="U94" i="1"/>
  <c r="S94" i="1"/>
  <c r="R94" i="1"/>
  <c r="Q94" i="1"/>
  <c r="P94" i="1"/>
  <c r="M94" i="1"/>
  <c r="L94" i="1"/>
  <c r="K94" i="1"/>
  <c r="J94" i="1"/>
  <c r="I94" i="1"/>
  <c r="CJ93" i="1"/>
  <c r="CI93" i="1"/>
  <c r="CG93" i="1"/>
  <c r="CF93" i="1"/>
  <c r="CD93" i="1"/>
  <c r="CC93" i="1"/>
  <c r="CA93" i="1"/>
  <c r="BZ93" i="1"/>
  <c r="BX93" i="1"/>
  <c r="BW93" i="1"/>
  <c r="BU93" i="1"/>
  <c r="BT93" i="1"/>
  <c r="BR93" i="1"/>
  <c r="BQ93" i="1"/>
  <c r="BO93" i="1"/>
  <c r="BN93" i="1"/>
  <c r="BL93" i="1"/>
  <c r="BK93" i="1"/>
  <c r="BI93" i="1"/>
  <c r="BH93" i="1"/>
  <c r="BF93" i="1"/>
  <c r="BE93" i="1"/>
  <c r="BC93" i="1"/>
  <c r="BB93" i="1"/>
  <c r="AZ93" i="1"/>
  <c r="AY93" i="1"/>
  <c r="AW93" i="1"/>
  <c r="AV93" i="1"/>
  <c r="AT93" i="1"/>
  <c r="AS93" i="1"/>
  <c r="AQ93" i="1"/>
  <c r="AP93" i="1"/>
  <c r="AN93" i="1"/>
  <c r="AM93" i="1"/>
  <c r="AK93" i="1"/>
  <c r="AJ93" i="1"/>
  <c r="AH93" i="1"/>
  <c r="AG93" i="1"/>
  <c r="AE93" i="1"/>
  <c r="AD93" i="1"/>
  <c r="AB93" i="1"/>
  <c r="AA93" i="1"/>
  <c r="Y93" i="1"/>
  <c r="X93" i="1"/>
  <c r="V93" i="1"/>
  <c r="U93" i="1"/>
  <c r="S93" i="1"/>
  <c r="R93" i="1"/>
  <c r="P93" i="1"/>
  <c r="M93" i="1"/>
  <c r="L93" i="1"/>
  <c r="K93" i="1"/>
  <c r="J93" i="1"/>
  <c r="I93" i="1"/>
  <c r="CJ92" i="1"/>
  <c r="CI92" i="1"/>
  <c r="CG92" i="1"/>
  <c r="CF92" i="1"/>
  <c r="CD92" i="1"/>
  <c r="CC92" i="1"/>
  <c r="CA92" i="1"/>
  <c r="BZ92" i="1"/>
  <c r="BX92" i="1"/>
  <c r="BW92" i="1"/>
  <c r="BU92" i="1"/>
  <c r="BT92" i="1"/>
  <c r="BR92" i="1"/>
  <c r="BQ92" i="1"/>
  <c r="BO92" i="1"/>
  <c r="BN92" i="1"/>
  <c r="BL92" i="1"/>
  <c r="BK92" i="1"/>
  <c r="BI92" i="1"/>
  <c r="BH92" i="1"/>
  <c r="BF92" i="1"/>
  <c r="BE92" i="1"/>
  <c r="BC92" i="1"/>
  <c r="BB92" i="1"/>
  <c r="AZ92" i="1"/>
  <c r="AY92" i="1"/>
  <c r="AW92" i="1"/>
  <c r="AV92" i="1"/>
  <c r="AT92" i="1"/>
  <c r="AS92" i="1"/>
  <c r="AQ92" i="1"/>
  <c r="AP92" i="1"/>
  <c r="AN92" i="1"/>
  <c r="AM92" i="1"/>
  <c r="AK92" i="1"/>
  <c r="AJ92" i="1"/>
  <c r="AH92" i="1"/>
  <c r="AG92" i="1"/>
  <c r="AE92" i="1"/>
  <c r="AD92" i="1"/>
  <c r="AB92" i="1"/>
  <c r="AA92" i="1"/>
  <c r="Y92" i="1"/>
  <c r="X92" i="1"/>
  <c r="V92" i="1"/>
  <c r="U92" i="1"/>
  <c r="S92" i="1"/>
  <c r="R92" i="1"/>
  <c r="Q92" i="1"/>
  <c r="P92" i="1"/>
  <c r="M92" i="1"/>
  <c r="L92" i="1"/>
  <c r="K92" i="1"/>
  <c r="J92" i="1"/>
  <c r="I92" i="1"/>
  <c r="CJ90" i="1"/>
  <c r="CI90" i="1"/>
  <c r="CG90" i="1"/>
  <c r="CF90" i="1"/>
  <c r="CD90" i="1"/>
  <c r="CC90" i="1"/>
  <c r="CA90" i="1"/>
  <c r="BZ90" i="1"/>
  <c r="BX90" i="1"/>
  <c r="BW90" i="1"/>
  <c r="BU90" i="1"/>
  <c r="BT90" i="1"/>
  <c r="BR90" i="1"/>
  <c r="BQ90" i="1"/>
  <c r="BO90" i="1"/>
  <c r="BN90" i="1"/>
  <c r="BL90" i="1"/>
  <c r="BK90" i="1"/>
  <c r="BI90" i="1"/>
  <c r="BH90" i="1"/>
  <c r="BF90" i="1"/>
  <c r="BE90" i="1"/>
  <c r="BC90" i="1"/>
  <c r="BB90" i="1"/>
  <c r="AZ90" i="1"/>
  <c r="AY90" i="1"/>
  <c r="AW90" i="1"/>
  <c r="AV90" i="1"/>
  <c r="AT90" i="1"/>
  <c r="AS90" i="1"/>
  <c r="AQ90" i="1"/>
  <c r="AP90" i="1"/>
  <c r="AN90" i="1"/>
  <c r="AM90" i="1"/>
  <c r="AK90" i="1"/>
  <c r="AJ90" i="1"/>
  <c r="AH90" i="1"/>
  <c r="AG90" i="1"/>
  <c r="AE90" i="1"/>
  <c r="AD90" i="1"/>
  <c r="AB90" i="1"/>
  <c r="AA90" i="1"/>
  <c r="Y90" i="1"/>
  <c r="X90" i="1"/>
  <c r="V90" i="1"/>
  <c r="U90" i="1"/>
  <c r="S90" i="1"/>
  <c r="R90" i="1"/>
  <c r="P90" i="1"/>
  <c r="M90" i="1"/>
  <c r="L90" i="1"/>
  <c r="K90" i="1"/>
  <c r="J90" i="1"/>
  <c r="I90" i="1"/>
  <c r="CJ89" i="1"/>
  <c r="CI89" i="1"/>
  <c r="CG89" i="1"/>
  <c r="CF89" i="1"/>
  <c r="CD89" i="1"/>
  <c r="CC89" i="1"/>
  <c r="CA89" i="1"/>
  <c r="BZ89" i="1"/>
  <c r="BX89" i="1"/>
  <c r="BW89" i="1"/>
  <c r="BU89" i="1"/>
  <c r="BT89" i="1"/>
  <c r="BR89" i="1"/>
  <c r="BQ89" i="1"/>
  <c r="BO89" i="1"/>
  <c r="BN89" i="1"/>
  <c r="BL89" i="1"/>
  <c r="BK89" i="1"/>
  <c r="BI89" i="1"/>
  <c r="BH89" i="1"/>
  <c r="BF89" i="1"/>
  <c r="BE89" i="1"/>
  <c r="BC89" i="1"/>
  <c r="BB89" i="1"/>
  <c r="AZ89" i="1"/>
  <c r="AY89" i="1"/>
  <c r="AW89" i="1"/>
  <c r="AV89" i="1"/>
  <c r="AT89" i="1"/>
  <c r="AS89" i="1"/>
  <c r="AQ89" i="1"/>
  <c r="AP89" i="1"/>
  <c r="AN89" i="1"/>
  <c r="AM89" i="1"/>
  <c r="AK89" i="1"/>
  <c r="AJ89" i="1"/>
  <c r="AH89" i="1"/>
  <c r="AG89" i="1"/>
  <c r="AE89" i="1"/>
  <c r="AD89" i="1"/>
  <c r="AB89" i="1"/>
  <c r="AA89" i="1"/>
  <c r="Y89" i="1"/>
  <c r="X89" i="1"/>
  <c r="V89" i="1"/>
  <c r="U89" i="1"/>
  <c r="S89" i="1"/>
  <c r="R89" i="1"/>
  <c r="Q89" i="1"/>
  <c r="P89" i="1"/>
  <c r="M89" i="1"/>
  <c r="L89" i="1"/>
  <c r="K89" i="1"/>
  <c r="J89" i="1"/>
  <c r="I89" i="1"/>
  <c r="CJ88" i="1"/>
  <c r="CI88" i="1"/>
  <c r="CG88" i="1"/>
  <c r="CF88" i="1"/>
  <c r="CD88" i="1"/>
  <c r="CC88" i="1"/>
  <c r="CA88" i="1"/>
  <c r="BZ88" i="1"/>
  <c r="BX88" i="1"/>
  <c r="BW88" i="1"/>
  <c r="BU88" i="1"/>
  <c r="BT88" i="1"/>
  <c r="BR88" i="1"/>
  <c r="BQ88" i="1"/>
  <c r="BO88" i="1"/>
  <c r="BN88" i="1"/>
  <c r="BL88" i="1"/>
  <c r="BK88" i="1"/>
  <c r="BI88" i="1"/>
  <c r="BH88" i="1"/>
  <c r="BF88" i="1"/>
  <c r="BE88" i="1"/>
  <c r="BC88" i="1"/>
  <c r="BB88" i="1"/>
  <c r="AZ88" i="1"/>
  <c r="AY88" i="1"/>
  <c r="AW88" i="1"/>
  <c r="AV88" i="1"/>
  <c r="AT88" i="1"/>
  <c r="AS88" i="1"/>
  <c r="AQ88" i="1"/>
  <c r="AP88" i="1"/>
  <c r="AN88" i="1"/>
  <c r="AM88" i="1"/>
  <c r="AK88" i="1"/>
  <c r="AJ88" i="1"/>
  <c r="AH88" i="1"/>
  <c r="AG88" i="1"/>
  <c r="AE88" i="1"/>
  <c r="AD88" i="1"/>
  <c r="AB88" i="1"/>
  <c r="AA88" i="1"/>
  <c r="Y88" i="1"/>
  <c r="X88" i="1"/>
  <c r="V88" i="1"/>
  <c r="U88" i="1"/>
  <c r="S88" i="1"/>
  <c r="R88" i="1"/>
  <c r="P88" i="1"/>
  <c r="M88" i="1"/>
  <c r="L88" i="1"/>
  <c r="K88" i="1"/>
  <c r="J88" i="1"/>
  <c r="I88" i="1"/>
  <c r="CJ87" i="1"/>
  <c r="CI87" i="1"/>
  <c r="CG87" i="1"/>
  <c r="CF87" i="1"/>
  <c r="CD87" i="1"/>
  <c r="CC87" i="1"/>
  <c r="CA87" i="1"/>
  <c r="BZ87" i="1"/>
  <c r="BX87" i="1"/>
  <c r="BW87" i="1"/>
  <c r="BU87" i="1"/>
  <c r="BT87" i="1"/>
  <c r="BR87" i="1"/>
  <c r="BQ87" i="1"/>
  <c r="BO87" i="1"/>
  <c r="BN87" i="1"/>
  <c r="BL87" i="1"/>
  <c r="BK87" i="1"/>
  <c r="BI87" i="1"/>
  <c r="BH87" i="1"/>
  <c r="BF87" i="1"/>
  <c r="BE87" i="1"/>
  <c r="BC87" i="1"/>
  <c r="BB87" i="1"/>
  <c r="AZ87" i="1"/>
  <c r="AY87" i="1"/>
  <c r="AW87" i="1"/>
  <c r="AV87" i="1"/>
  <c r="AT87" i="1"/>
  <c r="AS87" i="1"/>
  <c r="AQ87" i="1"/>
  <c r="AP87" i="1"/>
  <c r="AN87" i="1"/>
  <c r="AM87" i="1"/>
  <c r="AK87" i="1"/>
  <c r="AJ87" i="1"/>
  <c r="AH87" i="1"/>
  <c r="AG87" i="1"/>
  <c r="AE87" i="1"/>
  <c r="AD87" i="1"/>
  <c r="AB87" i="1"/>
  <c r="AA87" i="1"/>
  <c r="Y87" i="1"/>
  <c r="X87" i="1"/>
  <c r="V87" i="1"/>
  <c r="U87" i="1"/>
  <c r="S87" i="1"/>
  <c r="R87" i="1"/>
  <c r="Q87" i="1"/>
  <c r="P87" i="1"/>
  <c r="M87" i="1"/>
  <c r="L87" i="1"/>
  <c r="K87" i="1"/>
  <c r="J87" i="1"/>
  <c r="I87" i="1"/>
  <c r="CJ86" i="1"/>
  <c r="CI86" i="1"/>
  <c r="CG86" i="1"/>
  <c r="CF86" i="1"/>
  <c r="CD86" i="1"/>
  <c r="CC86" i="1"/>
  <c r="CA86" i="1"/>
  <c r="BZ86" i="1"/>
  <c r="BX86" i="1"/>
  <c r="BW86" i="1"/>
  <c r="BU86" i="1"/>
  <c r="BT86" i="1"/>
  <c r="BR86" i="1"/>
  <c r="BQ86" i="1"/>
  <c r="BO86" i="1"/>
  <c r="BN86" i="1"/>
  <c r="BL86" i="1"/>
  <c r="BK86" i="1"/>
  <c r="BI86" i="1"/>
  <c r="BH86" i="1"/>
  <c r="BF86" i="1"/>
  <c r="BE86" i="1"/>
  <c r="BC86" i="1"/>
  <c r="BB86" i="1"/>
  <c r="AZ86" i="1"/>
  <c r="AY86" i="1"/>
  <c r="AW86" i="1"/>
  <c r="AV86" i="1"/>
  <c r="AT86" i="1"/>
  <c r="AS86" i="1"/>
  <c r="AQ86" i="1"/>
  <c r="AP86" i="1"/>
  <c r="AN86" i="1"/>
  <c r="AM86" i="1"/>
  <c r="AK86" i="1"/>
  <c r="AJ86" i="1"/>
  <c r="AH86" i="1"/>
  <c r="AG86" i="1"/>
  <c r="AE86" i="1"/>
  <c r="AD86" i="1"/>
  <c r="AB86" i="1"/>
  <c r="AA86" i="1"/>
  <c r="Y86" i="1"/>
  <c r="X86" i="1"/>
  <c r="V86" i="1"/>
  <c r="U86" i="1"/>
  <c r="S86" i="1"/>
  <c r="R86" i="1"/>
  <c r="P86" i="1"/>
  <c r="M86" i="1"/>
  <c r="L86" i="1"/>
  <c r="K86" i="1"/>
  <c r="J86" i="1"/>
  <c r="I86" i="1"/>
  <c r="CJ84" i="1"/>
  <c r="CI84" i="1"/>
  <c r="CG84" i="1"/>
  <c r="CF84" i="1"/>
  <c r="CD84" i="1"/>
  <c r="CC84" i="1"/>
  <c r="CA84" i="1"/>
  <c r="BZ84" i="1"/>
  <c r="BX84" i="1"/>
  <c r="BW84" i="1"/>
  <c r="BU84" i="1"/>
  <c r="BT84" i="1"/>
  <c r="BR84" i="1"/>
  <c r="BQ84" i="1"/>
  <c r="BO84" i="1"/>
  <c r="BN84" i="1"/>
  <c r="BL84" i="1"/>
  <c r="BK84" i="1"/>
  <c r="BI84" i="1"/>
  <c r="BH84" i="1"/>
  <c r="BF84" i="1"/>
  <c r="BE84" i="1"/>
  <c r="BC84" i="1"/>
  <c r="BB84" i="1"/>
  <c r="AZ84" i="1"/>
  <c r="AY84" i="1"/>
  <c r="AW84" i="1"/>
  <c r="AV84" i="1"/>
  <c r="AT84" i="1"/>
  <c r="AS84" i="1"/>
  <c r="AQ84" i="1"/>
  <c r="AP84" i="1"/>
  <c r="AN84" i="1"/>
  <c r="AM84" i="1"/>
  <c r="AK84" i="1"/>
  <c r="AJ84" i="1"/>
  <c r="AH84" i="1"/>
  <c r="AG84" i="1"/>
  <c r="AE84" i="1"/>
  <c r="AD84" i="1"/>
  <c r="AB84" i="1"/>
  <c r="AA84" i="1"/>
  <c r="Y84" i="1"/>
  <c r="X84" i="1"/>
  <c r="V84" i="1"/>
  <c r="U84" i="1"/>
  <c r="S84" i="1"/>
  <c r="R84" i="1"/>
  <c r="Q84" i="1"/>
  <c r="P84" i="1"/>
  <c r="M84" i="1"/>
  <c r="L84" i="1"/>
  <c r="K84" i="1"/>
  <c r="J84" i="1"/>
  <c r="I84" i="1"/>
  <c r="CJ83" i="1"/>
  <c r="CI83" i="1"/>
  <c r="CG83" i="1"/>
  <c r="CF83" i="1"/>
  <c r="CD83" i="1"/>
  <c r="CC83" i="1"/>
  <c r="CA83" i="1"/>
  <c r="BZ83" i="1"/>
  <c r="BX83" i="1"/>
  <c r="BW83" i="1"/>
  <c r="BU83" i="1"/>
  <c r="BT83" i="1"/>
  <c r="BR83" i="1"/>
  <c r="BQ83" i="1"/>
  <c r="BO83" i="1"/>
  <c r="BN83" i="1"/>
  <c r="BL83" i="1"/>
  <c r="BK83" i="1"/>
  <c r="BI83" i="1"/>
  <c r="BH83" i="1"/>
  <c r="BF83" i="1"/>
  <c r="BE83" i="1"/>
  <c r="BC83" i="1"/>
  <c r="BB83" i="1"/>
  <c r="AZ83" i="1"/>
  <c r="AY83" i="1"/>
  <c r="AW83" i="1"/>
  <c r="AV83" i="1"/>
  <c r="AT83" i="1"/>
  <c r="AS83" i="1"/>
  <c r="AQ83" i="1"/>
  <c r="AP83" i="1"/>
  <c r="AN83" i="1"/>
  <c r="AM83" i="1"/>
  <c r="AK83" i="1"/>
  <c r="AJ83" i="1"/>
  <c r="AH83" i="1"/>
  <c r="AG83" i="1"/>
  <c r="AE83" i="1"/>
  <c r="AD83" i="1"/>
  <c r="AB83" i="1"/>
  <c r="AA83" i="1"/>
  <c r="Y83" i="1"/>
  <c r="X83" i="1"/>
  <c r="V83" i="1"/>
  <c r="U83" i="1"/>
  <c r="S83" i="1"/>
  <c r="R83" i="1"/>
  <c r="P83" i="1"/>
  <c r="M83" i="1"/>
  <c r="L83" i="1"/>
  <c r="K83" i="1"/>
  <c r="J83" i="1"/>
  <c r="I83" i="1"/>
  <c r="CJ82" i="1"/>
  <c r="CI82" i="1"/>
  <c r="CG82" i="1"/>
  <c r="CF82" i="1"/>
  <c r="CD82" i="1"/>
  <c r="CC82" i="1"/>
  <c r="CA82" i="1"/>
  <c r="BZ82" i="1"/>
  <c r="BX82" i="1"/>
  <c r="BW82" i="1"/>
  <c r="BU82" i="1"/>
  <c r="BT82" i="1"/>
  <c r="BR82" i="1"/>
  <c r="BQ82" i="1"/>
  <c r="BO82" i="1"/>
  <c r="BN82" i="1"/>
  <c r="BL82" i="1"/>
  <c r="BK82" i="1"/>
  <c r="BI82" i="1"/>
  <c r="BH82" i="1"/>
  <c r="BF82" i="1"/>
  <c r="BE82" i="1"/>
  <c r="BC82" i="1"/>
  <c r="BB82" i="1"/>
  <c r="AZ82" i="1"/>
  <c r="AY82" i="1"/>
  <c r="AW82" i="1"/>
  <c r="AV82" i="1"/>
  <c r="AT82" i="1"/>
  <c r="AS82" i="1"/>
  <c r="AQ82" i="1"/>
  <c r="AP82" i="1"/>
  <c r="AN82" i="1"/>
  <c r="AM82" i="1"/>
  <c r="AK82" i="1"/>
  <c r="AJ82" i="1"/>
  <c r="AH82" i="1"/>
  <c r="AG82" i="1"/>
  <c r="AE82" i="1"/>
  <c r="AD82" i="1"/>
  <c r="AB82" i="1"/>
  <c r="AA82" i="1"/>
  <c r="Y82" i="1"/>
  <c r="X82" i="1"/>
  <c r="V82" i="1"/>
  <c r="U82" i="1"/>
  <c r="S82" i="1"/>
  <c r="R82" i="1"/>
  <c r="P82" i="1"/>
  <c r="M82" i="1"/>
  <c r="L82" i="1"/>
  <c r="K82" i="1"/>
  <c r="J82" i="1"/>
  <c r="I82" i="1"/>
  <c r="CJ81" i="1"/>
  <c r="CI81" i="1"/>
  <c r="CG81" i="1"/>
  <c r="CF81" i="1"/>
  <c r="CD81" i="1"/>
  <c r="CC81" i="1"/>
  <c r="CA81" i="1"/>
  <c r="BZ81" i="1"/>
  <c r="BX81" i="1"/>
  <c r="BW81" i="1"/>
  <c r="BU81" i="1"/>
  <c r="BT81" i="1"/>
  <c r="BR81" i="1"/>
  <c r="BQ81" i="1"/>
  <c r="BO81" i="1"/>
  <c r="BN81" i="1"/>
  <c r="BL81" i="1"/>
  <c r="BK81" i="1"/>
  <c r="BI81" i="1"/>
  <c r="BH81" i="1"/>
  <c r="BF81" i="1"/>
  <c r="BE81" i="1"/>
  <c r="BC81" i="1"/>
  <c r="BB81" i="1"/>
  <c r="AZ81" i="1"/>
  <c r="AY81" i="1"/>
  <c r="AW81" i="1"/>
  <c r="AV81" i="1"/>
  <c r="AT81" i="1"/>
  <c r="AS81" i="1"/>
  <c r="AQ81" i="1"/>
  <c r="AP81" i="1"/>
  <c r="AN81" i="1"/>
  <c r="AM81" i="1"/>
  <c r="AK81" i="1"/>
  <c r="AJ81" i="1"/>
  <c r="AH81" i="1"/>
  <c r="AG81" i="1"/>
  <c r="AE81" i="1"/>
  <c r="AD81" i="1"/>
  <c r="AB81" i="1"/>
  <c r="AA81" i="1"/>
  <c r="Y81" i="1"/>
  <c r="X81" i="1"/>
  <c r="V81" i="1"/>
  <c r="U81" i="1"/>
  <c r="S81" i="1"/>
  <c r="R81" i="1"/>
  <c r="P81" i="1"/>
  <c r="M81" i="1"/>
  <c r="L81" i="1"/>
  <c r="K81" i="1"/>
  <c r="J81" i="1"/>
  <c r="I81" i="1"/>
  <c r="CJ80" i="1"/>
  <c r="CI80" i="1"/>
  <c r="CG80" i="1"/>
  <c r="CF80" i="1"/>
  <c r="CD80" i="1"/>
  <c r="CC80" i="1"/>
  <c r="CA80" i="1"/>
  <c r="BZ80" i="1"/>
  <c r="BX80" i="1"/>
  <c r="BW80" i="1"/>
  <c r="BU80" i="1"/>
  <c r="BT80" i="1"/>
  <c r="BR80" i="1"/>
  <c r="BQ80" i="1"/>
  <c r="BO80" i="1"/>
  <c r="BN80" i="1"/>
  <c r="BL80" i="1"/>
  <c r="BK80" i="1"/>
  <c r="BI80" i="1"/>
  <c r="BH80" i="1"/>
  <c r="BF80" i="1"/>
  <c r="BE80" i="1"/>
  <c r="BC80" i="1"/>
  <c r="BB80" i="1"/>
  <c r="AZ80" i="1"/>
  <c r="AY80" i="1"/>
  <c r="AW80" i="1"/>
  <c r="AV80" i="1"/>
  <c r="AT80" i="1"/>
  <c r="AS80" i="1"/>
  <c r="AQ80" i="1"/>
  <c r="AP80" i="1"/>
  <c r="AN80" i="1"/>
  <c r="AM80" i="1"/>
  <c r="AK80" i="1"/>
  <c r="AJ80" i="1"/>
  <c r="AH80" i="1"/>
  <c r="AG80" i="1"/>
  <c r="AE80" i="1"/>
  <c r="AD80" i="1"/>
  <c r="AB80" i="1"/>
  <c r="AA80" i="1"/>
  <c r="Y80" i="1"/>
  <c r="X80" i="1"/>
  <c r="V80" i="1"/>
  <c r="U80" i="1"/>
  <c r="S80" i="1"/>
  <c r="R80" i="1"/>
  <c r="Q80" i="1"/>
  <c r="P80" i="1"/>
  <c r="M80" i="1"/>
  <c r="L80" i="1"/>
  <c r="K80" i="1"/>
  <c r="J80" i="1"/>
  <c r="I80" i="1"/>
  <c r="Q76" i="1"/>
  <c r="P76" i="1"/>
  <c r="F76" i="1"/>
  <c r="I75" i="1"/>
  <c r="H75" i="1"/>
  <c r="G75" i="1"/>
  <c r="F75" i="1"/>
  <c r="E75" i="1"/>
  <c r="AN74" i="1"/>
  <c r="AM74" i="1"/>
  <c r="P74" i="1" s="1"/>
  <c r="Q74" i="1"/>
  <c r="K74" i="1"/>
  <c r="J74" i="1"/>
  <c r="J72" i="1" s="1"/>
  <c r="J42" i="1" s="1"/>
  <c r="I74" i="1"/>
  <c r="AN73" i="1"/>
  <c r="AN72" i="1" s="1"/>
  <c r="AM73" i="1"/>
  <c r="Q73" i="1"/>
  <c r="Q72" i="1" s="1"/>
  <c r="Q42" i="1" s="1"/>
  <c r="P73" i="1"/>
  <c r="K73" i="1"/>
  <c r="K72" i="1" s="1"/>
  <c r="K42" i="1" s="1"/>
  <c r="J73" i="1"/>
  <c r="I73" i="1"/>
  <c r="I46" i="1" s="1"/>
  <c r="CJ72" i="1"/>
  <c r="CI72" i="1"/>
  <c r="CG72" i="1"/>
  <c r="CF72" i="1"/>
  <c r="CF42" i="1" s="1"/>
  <c r="CD72" i="1"/>
  <c r="CC72" i="1"/>
  <c r="CA72" i="1"/>
  <c r="BZ72" i="1"/>
  <c r="BZ42" i="1" s="1"/>
  <c r="BX72" i="1"/>
  <c r="BW72" i="1"/>
  <c r="BU72" i="1"/>
  <c r="BT72" i="1"/>
  <c r="BT42" i="1" s="1"/>
  <c r="BR72" i="1"/>
  <c r="BQ72" i="1"/>
  <c r="BO72" i="1"/>
  <c r="BN72" i="1"/>
  <c r="BN42" i="1" s="1"/>
  <c r="BL72" i="1"/>
  <c r="BK72" i="1"/>
  <c r="BI72" i="1"/>
  <c r="BH72" i="1"/>
  <c r="BH42" i="1" s="1"/>
  <c r="BF72" i="1"/>
  <c r="BE72" i="1"/>
  <c r="BC72" i="1"/>
  <c r="BB72" i="1"/>
  <c r="BB42" i="1" s="1"/>
  <c r="AZ72" i="1"/>
  <c r="AY72" i="1"/>
  <c r="AW72" i="1"/>
  <c r="AV72" i="1"/>
  <c r="AV42" i="1" s="1"/>
  <c r="AT72" i="1"/>
  <c r="AS72" i="1"/>
  <c r="AQ72" i="1"/>
  <c r="AP72" i="1"/>
  <c r="AP42" i="1" s="1"/>
  <c r="AK72" i="1"/>
  <c r="AJ72" i="1"/>
  <c r="AH72" i="1"/>
  <c r="AG72" i="1"/>
  <c r="AE72" i="1"/>
  <c r="AD72" i="1"/>
  <c r="AB72" i="1"/>
  <c r="AA72" i="1"/>
  <c r="Y72" i="1"/>
  <c r="X72" i="1"/>
  <c r="V72" i="1"/>
  <c r="U72" i="1"/>
  <c r="S72" i="1"/>
  <c r="R72" i="1"/>
  <c r="M72" i="1"/>
  <c r="L72" i="1"/>
  <c r="H72" i="1"/>
  <c r="G72" i="1"/>
  <c r="F72" i="1"/>
  <c r="E72" i="1"/>
  <c r="Q71" i="1"/>
  <c r="Q50" i="1" s="1"/>
  <c r="P71" i="1"/>
  <c r="Q70" i="1"/>
  <c r="P70" i="1"/>
  <c r="CJ69" i="1"/>
  <c r="CI69" i="1"/>
  <c r="CG69" i="1"/>
  <c r="CF69" i="1"/>
  <c r="CD69" i="1"/>
  <c r="CC69" i="1"/>
  <c r="CA69" i="1"/>
  <c r="BZ69" i="1"/>
  <c r="BX69" i="1"/>
  <c r="BW69" i="1"/>
  <c r="BU69" i="1"/>
  <c r="BT69" i="1"/>
  <c r="BR69" i="1"/>
  <c r="BQ69" i="1"/>
  <c r="BO69" i="1"/>
  <c r="BN69" i="1"/>
  <c r="BL69" i="1"/>
  <c r="BK69" i="1"/>
  <c r="BI69" i="1"/>
  <c r="BH69" i="1"/>
  <c r="BF69" i="1"/>
  <c r="BE69" i="1"/>
  <c r="BC69" i="1"/>
  <c r="BB69" i="1"/>
  <c r="AZ69" i="1"/>
  <c r="AY69" i="1"/>
  <c r="AW69" i="1"/>
  <c r="AV69" i="1"/>
  <c r="AT69" i="1"/>
  <c r="AS69" i="1"/>
  <c r="AQ69" i="1"/>
  <c r="AP69" i="1"/>
  <c r="AN69" i="1"/>
  <c r="AM69" i="1"/>
  <c r="AK69" i="1"/>
  <c r="AJ69" i="1"/>
  <c r="AH69" i="1"/>
  <c r="AG69" i="1"/>
  <c r="AE69" i="1"/>
  <c r="AD69" i="1"/>
  <c r="AB69" i="1"/>
  <c r="AA69" i="1"/>
  <c r="Y69" i="1"/>
  <c r="X69" i="1"/>
  <c r="V69" i="1"/>
  <c r="U69" i="1"/>
  <c r="S69" i="1"/>
  <c r="R69" i="1"/>
  <c r="Q69" i="1"/>
  <c r="P69" i="1"/>
  <c r="M69" i="1"/>
  <c r="L69" i="1"/>
  <c r="K69" i="1"/>
  <c r="J69" i="1"/>
  <c r="I69" i="1"/>
  <c r="H69" i="1"/>
  <c r="G69" i="1"/>
  <c r="F69" i="1"/>
  <c r="E69" i="1"/>
  <c r="AN68" i="1"/>
  <c r="AM68" i="1"/>
  <c r="AM66" i="1" s="1"/>
  <c r="Q68" i="1"/>
  <c r="K68" i="1"/>
  <c r="J68" i="1"/>
  <c r="J66" i="1" s="1"/>
  <c r="J41" i="1" s="1"/>
  <c r="I68" i="1"/>
  <c r="BH67" i="1"/>
  <c r="P67" i="1" s="1"/>
  <c r="AN67" i="1"/>
  <c r="Q67" i="1"/>
  <c r="Q55" i="1" s="1"/>
  <c r="K67" i="1"/>
  <c r="K55" i="1" s="1"/>
  <c r="J67" i="1"/>
  <c r="CJ66" i="1"/>
  <c r="CI66" i="1"/>
  <c r="CG66" i="1"/>
  <c r="CF66" i="1"/>
  <c r="CD66" i="1"/>
  <c r="CC66" i="1"/>
  <c r="CA66" i="1"/>
  <c r="BZ66" i="1"/>
  <c r="BX66" i="1"/>
  <c r="BW66" i="1"/>
  <c r="BU66" i="1"/>
  <c r="BT66" i="1"/>
  <c r="BR66" i="1"/>
  <c r="BQ66" i="1"/>
  <c r="BO66" i="1"/>
  <c r="BN66" i="1"/>
  <c r="BL66" i="1"/>
  <c r="BK66" i="1"/>
  <c r="BI66" i="1"/>
  <c r="BF66" i="1"/>
  <c r="BE66" i="1"/>
  <c r="BC66" i="1"/>
  <c r="BB66" i="1"/>
  <c r="AZ66" i="1"/>
  <c r="AY66" i="1"/>
  <c r="AW66" i="1"/>
  <c r="AV66" i="1"/>
  <c r="AT66" i="1"/>
  <c r="AS66" i="1"/>
  <c r="AQ66" i="1"/>
  <c r="AP66" i="1"/>
  <c r="AN66" i="1"/>
  <c r="AK66" i="1"/>
  <c r="AJ66" i="1"/>
  <c r="AH66" i="1"/>
  <c r="AG66" i="1"/>
  <c r="AE66" i="1"/>
  <c r="AD66" i="1"/>
  <c r="AB66" i="1"/>
  <c r="AA66" i="1"/>
  <c r="Y66" i="1"/>
  <c r="X66" i="1"/>
  <c r="V66" i="1"/>
  <c r="U66" i="1"/>
  <c r="S66" i="1"/>
  <c r="R66" i="1"/>
  <c r="Q66" i="1"/>
  <c r="M66" i="1"/>
  <c r="L66" i="1"/>
  <c r="K66" i="1"/>
  <c r="I66" i="1"/>
  <c r="H66" i="1"/>
  <c r="G66" i="1"/>
  <c r="F66" i="1"/>
  <c r="E66" i="1"/>
  <c r="CJ65" i="1"/>
  <c r="CI65" i="1"/>
  <c r="CI63" i="1" s="1"/>
  <c r="CI41" i="1" s="1"/>
  <c r="CG65" i="1"/>
  <c r="CF65" i="1"/>
  <c r="CD65" i="1"/>
  <c r="CC65" i="1"/>
  <c r="CC63" i="1" s="1"/>
  <c r="CC41" i="1" s="1"/>
  <c r="CA65" i="1"/>
  <c r="BZ65" i="1"/>
  <c r="BX65" i="1"/>
  <c r="BW65" i="1"/>
  <c r="BW63" i="1" s="1"/>
  <c r="BW41" i="1" s="1"/>
  <c r="BU65" i="1"/>
  <c r="BT65" i="1"/>
  <c r="BR65" i="1"/>
  <c r="BQ65" i="1"/>
  <c r="BQ63" i="1" s="1"/>
  <c r="BO65" i="1"/>
  <c r="BN65" i="1"/>
  <c r="BL65" i="1"/>
  <c r="BK65" i="1"/>
  <c r="BK63" i="1" s="1"/>
  <c r="BI65" i="1"/>
  <c r="BH65" i="1"/>
  <c r="BF65" i="1"/>
  <c r="BE65" i="1"/>
  <c r="BE63" i="1" s="1"/>
  <c r="BE41" i="1" s="1"/>
  <c r="BC65" i="1"/>
  <c r="BB65" i="1"/>
  <c r="AZ65" i="1"/>
  <c r="AY65" i="1"/>
  <c r="AY63" i="1" s="1"/>
  <c r="AY41" i="1" s="1"/>
  <c r="AW65" i="1"/>
  <c r="AV65" i="1"/>
  <c r="AT65" i="1"/>
  <c r="AS65" i="1"/>
  <c r="AS63" i="1" s="1"/>
  <c r="AS41" i="1" s="1"/>
  <c r="AQ65" i="1"/>
  <c r="AP65" i="1"/>
  <c r="AN65" i="1"/>
  <c r="AM65" i="1"/>
  <c r="AM63" i="1" s="1"/>
  <c r="AK65" i="1"/>
  <c r="AJ65" i="1"/>
  <c r="AH65" i="1"/>
  <c r="AG65" i="1"/>
  <c r="AG63" i="1" s="1"/>
  <c r="AG41" i="1" s="1"/>
  <c r="AE65" i="1"/>
  <c r="AD65" i="1"/>
  <c r="AB65" i="1"/>
  <c r="AA65" i="1"/>
  <c r="AA63" i="1" s="1"/>
  <c r="AA41" i="1" s="1"/>
  <c r="Y65" i="1"/>
  <c r="X65" i="1"/>
  <c r="V65" i="1"/>
  <c r="U65" i="1"/>
  <c r="U63" i="1" s="1"/>
  <c r="U41" i="1" s="1"/>
  <c r="S65" i="1"/>
  <c r="Q65" i="1" s="1"/>
  <c r="Q49" i="1" s="1"/>
  <c r="R65" i="1"/>
  <c r="P65" i="1"/>
  <c r="P63" i="1" s="1"/>
  <c r="M65" i="1"/>
  <c r="L65" i="1"/>
  <c r="L49" i="1" s="1"/>
  <c r="K65" i="1"/>
  <c r="CJ64" i="1"/>
  <c r="CJ63" i="1" s="1"/>
  <c r="CJ41" i="1" s="1"/>
  <c r="CI64" i="1"/>
  <c r="CG64" i="1"/>
  <c r="CG63" i="1" s="1"/>
  <c r="CG41" i="1" s="1"/>
  <c r="CF64" i="1"/>
  <c r="CD64" i="1"/>
  <c r="CD63" i="1" s="1"/>
  <c r="CD41" i="1" s="1"/>
  <c r="CC64" i="1"/>
  <c r="CA64" i="1"/>
  <c r="CA63" i="1" s="1"/>
  <c r="CA41" i="1" s="1"/>
  <c r="BZ64" i="1"/>
  <c r="BX64" i="1"/>
  <c r="BX63" i="1" s="1"/>
  <c r="BX41" i="1" s="1"/>
  <c r="BW64" i="1"/>
  <c r="BU64" i="1"/>
  <c r="BU63" i="1" s="1"/>
  <c r="BU41" i="1" s="1"/>
  <c r="BT64" i="1"/>
  <c r="BR64" i="1"/>
  <c r="BR63" i="1" s="1"/>
  <c r="BR41" i="1" s="1"/>
  <c r="BQ64" i="1"/>
  <c r="BO64" i="1"/>
  <c r="BO63" i="1" s="1"/>
  <c r="BO41" i="1" s="1"/>
  <c r="BN64" i="1"/>
  <c r="BL64" i="1"/>
  <c r="BL63" i="1" s="1"/>
  <c r="BL41" i="1" s="1"/>
  <c r="BK64" i="1"/>
  <c r="BI64" i="1"/>
  <c r="BI63" i="1" s="1"/>
  <c r="BI41" i="1" s="1"/>
  <c r="BH64" i="1"/>
  <c r="BF64" i="1"/>
  <c r="BF63" i="1" s="1"/>
  <c r="BF41" i="1" s="1"/>
  <c r="BE64" i="1"/>
  <c r="BC64" i="1"/>
  <c r="BC63" i="1" s="1"/>
  <c r="BC41" i="1" s="1"/>
  <c r="BB64" i="1"/>
  <c r="AZ64" i="1"/>
  <c r="AZ63" i="1" s="1"/>
  <c r="AZ41" i="1" s="1"/>
  <c r="AY64" i="1"/>
  <c r="AW64" i="1"/>
  <c r="AW63" i="1" s="1"/>
  <c r="AW41" i="1" s="1"/>
  <c r="AV64" i="1"/>
  <c r="AT64" i="1"/>
  <c r="AT63" i="1" s="1"/>
  <c r="AT41" i="1" s="1"/>
  <c r="AS64" i="1"/>
  <c r="AQ64" i="1"/>
  <c r="AQ63" i="1" s="1"/>
  <c r="AQ41" i="1" s="1"/>
  <c r="AP64" i="1"/>
  <c r="AN64" i="1"/>
  <c r="AN63" i="1" s="1"/>
  <c r="AN41" i="1" s="1"/>
  <c r="AM64" i="1"/>
  <c r="AK64" i="1"/>
  <c r="AK63" i="1" s="1"/>
  <c r="AK41" i="1" s="1"/>
  <c r="AJ64" i="1"/>
  <c r="AH64" i="1"/>
  <c r="AH63" i="1" s="1"/>
  <c r="AH41" i="1" s="1"/>
  <c r="AG64" i="1"/>
  <c r="AE64" i="1"/>
  <c r="AE63" i="1" s="1"/>
  <c r="AE41" i="1" s="1"/>
  <c r="AD64" i="1"/>
  <c r="AB64" i="1"/>
  <c r="AB63" i="1" s="1"/>
  <c r="AB41" i="1" s="1"/>
  <c r="AA64" i="1"/>
  <c r="Y64" i="1"/>
  <c r="Y63" i="1" s="1"/>
  <c r="Y41" i="1" s="1"/>
  <c r="X64" i="1"/>
  <c r="V64" i="1"/>
  <c r="V63" i="1" s="1"/>
  <c r="V41" i="1" s="1"/>
  <c r="U64" i="1"/>
  <c r="S64" i="1"/>
  <c r="S63" i="1" s="1"/>
  <c r="S41" i="1" s="1"/>
  <c r="R64" i="1"/>
  <c r="P64" i="1"/>
  <c r="M64" i="1"/>
  <c r="M63" i="1" s="1"/>
  <c r="M41" i="1" s="1"/>
  <c r="L64" i="1"/>
  <c r="K64" i="1"/>
  <c r="K63" i="1" s="1"/>
  <c r="K41" i="1" s="1"/>
  <c r="CF63" i="1"/>
  <c r="CF41" i="1" s="1"/>
  <c r="BZ63" i="1"/>
  <c r="BZ41" i="1" s="1"/>
  <c r="BT63" i="1"/>
  <c r="BT41" i="1" s="1"/>
  <c r="BN63" i="1"/>
  <c r="BN41" i="1" s="1"/>
  <c r="BH63" i="1"/>
  <c r="BB63" i="1"/>
  <c r="BB41" i="1" s="1"/>
  <c r="AV63" i="1"/>
  <c r="AV41" i="1" s="1"/>
  <c r="AP63" i="1"/>
  <c r="AP41" i="1" s="1"/>
  <c r="AJ63" i="1"/>
  <c r="AD63" i="1"/>
  <c r="X63" i="1"/>
  <c r="X41" i="1" s="1"/>
  <c r="R63" i="1"/>
  <c r="J63" i="1"/>
  <c r="I63" i="1"/>
  <c r="H63" i="1"/>
  <c r="G63" i="1"/>
  <c r="F63" i="1"/>
  <c r="E63" i="1"/>
  <c r="M60" i="1"/>
  <c r="L60" i="1"/>
  <c r="K60" i="1"/>
  <c r="J60" i="1"/>
  <c r="I60" i="1"/>
  <c r="H60" i="1"/>
  <c r="G60" i="1"/>
  <c r="F60" i="1"/>
  <c r="E60" i="1"/>
  <c r="Q59" i="1"/>
  <c r="P59" i="1"/>
  <c r="Q58" i="1"/>
  <c r="P58" i="1"/>
  <c r="F58" i="1"/>
  <c r="E58" i="1"/>
  <c r="E57" i="1" s="1"/>
  <c r="CJ57" i="1"/>
  <c r="CI57" i="1"/>
  <c r="CI42" i="1" s="1"/>
  <c r="CG57" i="1"/>
  <c r="CF57" i="1"/>
  <c r="CD57" i="1"/>
  <c r="CC57" i="1"/>
  <c r="CC42" i="1" s="1"/>
  <c r="CA57" i="1"/>
  <c r="BZ57" i="1"/>
  <c r="BX57" i="1"/>
  <c r="BW57" i="1"/>
  <c r="BW42" i="1" s="1"/>
  <c r="BU57" i="1"/>
  <c r="BT57" i="1"/>
  <c r="BR57" i="1"/>
  <c r="BR42" i="1" s="1"/>
  <c r="BQ57" i="1"/>
  <c r="BQ42" i="1" s="1"/>
  <c r="BO57" i="1"/>
  <c r="BN57" i="1"/>
  <c r="BL57" i="1"/>
  <c r="BK57" i="1"/>
  <c r="BK42" i="1" s="1"/>
  <c r="BI57" i="1"/>
  <c r="BH57" i="1"/>
  <c r="BF57" i="1"/>
  <c r="BF42" i="1" s="1"/>
  <c r="BE57" i="1"/>
  <c r="BE42" i="1" s="1"/>
  <c r="BC57" i="1"/>
  <c r="BB57" i="1"/>
  <c r="AZ57" i="1"/>
  <c r="AY57" i="1"/>
  <c r="AY42" i="1" s="1"/>
  <c r="AW57" i="1"/>
  <c r="AV57" i="1"/>
  <c r="AT57" i="1"/>
  <c r="AT42" i="1" s="1"/>
  <c r="AS57" i="1"/>
  <c r="AS42" i="1" s="1"/>
  <c r="AQ57" i="1"/>
  <c r="AP57" i="1"/>
  <c r="AN57" i="1"/>
  <c r="AM57" i="1"/>
  <c r="AK57" i="1"/>
  <c r="AJ57" i="1"/>
  <c r="AH57" i="1"/>
  <c r="AH42" i="1" s="1"/>
  <c r="AG57" i="1"/>
  <c r="AG42" i="1" s="1"/>
  <c r="AE57" i="1"/>
  <c r="AD57" i="1"/>
  <c r="AB57" i="1"/>
  <c r="AA57" i="1"/>
  <c r="AA42" i="1" s="1"/>
  <c r="Y57" i="1"/>
  <c r="X57" i="1"/>
  <c r="V57" i="1"/>
  <c r="V42" i="1" s="1"/>
  <c r="U57" i="1"/>
  <c r="U42" i="1" s="1"/>
  <c r="S57" i="1"/>
  <c r="R57" i="1"/>
  <c r="Q57" i="1"/>
  <c r="P57" i="1"/>
  <c r="M57" i="1"/>
  <c r="L57" i="1"/>
  <c r="K57" i="1"/>
  <c r="J57" i="1"/>
  <c r="I57" i="1"/>
  <c r="H57" i="1"/>
  <c r="G57" i="1"/>
  <c r="F57" i="1"/>
  <c r="CJ56" i="1"/>
  <c r="CI56" i="1"/>
  <c r="CG56" i="1"/>
  <c r="CG54" i="1" s="1"/>
  <c r="CG40" i="1" s="1"/>
  <c r="CF56" i="1"/>
  <c r="CD56" i="1"/>
  <c r="CC56" i="1"/>
  <c r="CA56" i="1"/>
  <c r="CA54" i="1" s="1"/>
  <c r="CA40" i="1" s="1"/>
  <c r="BZ56" i="1"/>
  <c r="BX56" i="1"/>
  <c r="BW56" i="1"/>
  <c r="BU56" i="1"/>
  <c r="BU54" i="1" s="1"/>
  <c r="BU40" i="1" s="1"/>
  <c r="BT56" i="1"/>
  <c r="BR56" i="1"/>
  <c r="BQ56" i="1"/>
  <c r="BO56" i="1"/>
  <c r="BO54" i="1" s="1"/>
  <c r="BO40" i="1" s="1"/>
  <c r="BN56" i="1"/>
  <c r="BL56" i="1"/>
  <c r="BK56" i="1"/>
  <c r="BI56" i="1"/>
  <c r="BI54" i="1" s="1"/>
  <c r="BI40" i="1" s="1"/>
  <c r="BH56" i="1"/>
  <c r="BF56" i="1"/>
  <c r="BE56" i="1"/>
  <c r="BC56" i="1"/>
  <c r="BC54" i="1" s="1"/>
  <c r="BC40" i="1" s="1"/>
  <c r="BB56" i="1"/>
  <c r="AZ56" i="1"/>
  <c r="AY56" i="1"/>
  <c r="AW56" i="1"/>
  <c r="AW54" i="1" s="1"/>
  <c r="AW40" i="1" s="1"/>
  <c r="AV56" i="1"/>
  <c r="AT56" i="1"/>
  <c r="AS56" i="1"/>
  <c r="AQ56" i="1"/>
  <c r="AQ54" i="1" s="1"/>
  <c r="AQ40" i="1" s="1"/>
  <c r="AP56" i="1"/>
  <c r="AN56" i="1"/>
  <c r="AK56" i="1"/>
  <c r="AK54" i="1" s="1"/>
  <c r="AJ56" i="1"/>
  <c r="AH56" i="1"/>
  <c r="AG56" i="1"/>
  <c r="AE56" i="1"/>
  <c r="AE54" i="1" s="1"/>
  <c r="AD56" i="1"/>
  <c r="AB56" i="1"/>
  <c r="AA56" i="1"/>
  <c r="Y56" i="1"/>
  <c r="Y54" i="1" s="1"/>
  <c r="X56" i="1"/>
  <c r="V56" i="1"/>
  <c r="U56" i="1"/>
  <c r="S56" i="1"/>
  <c r="S54" i="1" s="1"/>
  <c r="R56" i="1"/>
  <c r="Q56" i="1"/>
  <c r="K56" i="1"/>
  <c r="I56" i="1"/>
  <c r="CJ55" i="1"/>
  <c r="CI55" i="1"/>
  <c r="CI54" i="1" s="1"/>
  <c r="CG55" i="1"/>
  <c r="CF55" i="1"/>
  <c r="CF54" i="1" s="1"/>
  <c r="CF40" i="1" s="1"/>
  <c r="CD55" i="1"/>
  <c r="CC55" i="1"/>
  <c r="CC54" i="1" s="1"/>
  <c r="CA55" i="1"/>
  <c r="BZ55" i="1"/>
  <c r="BZ54" i="1" s="1"/>
  <c r="BZ40" i="1" s="1"/>
  <c r="BX55" i="1"/>
  <c r="BW55" i="1"/>
  <c r="BW54" i="1" s="1"/>
  <c r="BU55" i="1"/>
  <c r="BT55" i="1"/>
  <c r="BT54" i="1" s="1"/>
  <c r="BR55" i="1"/>
  <c r="BQ55" i="1"/>
  <c r="BQ54" i="1" s="1"/>
  <c r="BO55" i="1"/>
  <c r="BN55" i="1"/>
  <c r="BN54" i="1" s="1"/>
  <c r="BL55" i="1"/>
  <c r="BK55" i="1"/>
  <c r="BK54" i="1" s="1"/>
  <c r="BI55" i="1"/>
  <c r="BH55" i="1"/>
  <c r="BH54" i="1" s="1"/>
  <c r="BF55" i="1"/>
  <c r="BE55" i="1"/>
  <c r="BE54" i="1" s="1"/>
  <c r="BC55" i="1"/>
  <c r="BB55" i="1"/>
  <c r="BB54" i="1" s="1"/>
  <c r="AZ55" i="1"/>
  <c r="AY55" i="1"/>
  <c r="AY54" i="1" s="1"/>
  <c r="AW55" i="1"/>
  <c r="AV55" i="1"/>
  <c r="AV54" i="1" s="1"/>
  <c r="AT55" i="1"/>
  <c r="AS55" i="1"/>
  <c r="AS54" i="1" s="1"/>
  <c r="AQ55" i="1"/>
  <c r="AP55" i="1"/>
  <c r="AP54" i="1" s="1"/>
  <c r="AN55" i="1"/>
  <c r="AM55" i="1"/>
  <c r="AK55" i="1"/>
  <c r="AJ55" i="1"/>
  <c r="AJ54" i="1" s="1"/>
  <c r="AH55" i="1"/>
  <c r="AG55" i="1"/>
  <c r="AG54" i="1" s="1"/>
  <c r="AE55" i="1"/>
  <c r="AD55" i="1"/>
  <c r="AD54" i="1" s="1"/>
  <c r="AB55" i="1"/>
  <c r="AA55" i="1"/>
  <c r="AA54" i="1" s="1"/>
  <c r="Y55" i="1"/>
  <c r="X55" i="1"/>
  <c r="X54" i="1" s="1"/>
  <c r="V55" i="1"/>
  <c r="U55" i="1"/>
  <c r="U54" i="1" s="1"/>
  <c r="S55" i="1"/>
  <c r="R55" i="1"/>
  <c r="R54" i="1" s="1"/>
  <c r="J55" i="1"/>
  <c r="J44" i="1" s="1"/>
  <c r="I55" i="1"/>
  <c r="CJ54" i="1"/>
  <c r="CJ40" i="1" s="1"/>
  <c r="CD54" i="1"/>
  <c r="CD40" i="1" s="1"/>
  <c r="BX54" i="1"/>
  <c r="BX40" i="1" s="1"/>
  <c r="BR54" i="1"/>
  <c r="BL54" i="1"/>
  <c r="BF54" i="1"/>
  <c r="AZ54" i="1"/>
  <c r="AZ40" i="1" s="1"/>
  <c r="AT54" i="1"/>
  <c r="AN54" i="1"/>
  <c r="AH54" i="1"/>
  <c r="AB54" i="1"/>
  <c r="AB40" i="1" s="1"/>
  <c r="V54" i="1"/>
  <c r="M54" i="1"/>
  <c r="L54" i="1"/>
  <c r="I54" i="1"/>
  <c r="H54" i="1"/>
  <c r="G54" i="1"/>
  <c r="F54" i="1"/>
  <c r="E54" i="1"/>
  <c r="Q53" i="1"/>
  <c r="P53" i="1"/>
  <c r="Q52" i="1"/>
  <c r="P52" i="1"/>
  <c r="CJ51" i="1"/>
  <c r="CJ77" i="1" s="1"/>
  <c r="CJ75" i="1" s="1"/>
  <c r="CI51" i="1"/>
  <c r="CI77" i="1" s="1"/>
  <c r="CI75" i="1" s="1"/>
  <c r="CG51" i="1"/>
  <c r="CG77" i="1" s="1"/>
  <c r="CG75" i="1" s="1"/>
  <c r="CF51" i="1"/>
  <c r="CF77" i="1" s="1"/>
  <c r="CF75" i="1" s="1"/>
  <c r="CD51" i="1"/>
  <c r="CD77" i="1" s="1"/>
  <c r="CD75" i="1" s="1"/>
  <c r="CC51" i="1"/>
  <c r="CC40" i="1" s="1"/>
  <c r="CA51" i="1"/>
  <c r="CA77" i="1" s="1"/>
  <c r="CA75" i="1" s="1"/>
  <c r="BZ51" i="1"/>
  <c r="BZ77" i="1" s="1"/>
  <c r="BZ75" i="1" s="1"/>
  <c r="BX51" i="1"/>
  <c r="BX77" i="1" s="1"/>
  <c r="BX75" i="1" s="1"/>
  <c r="BW51" i="1"/>
  <c r="BW77" i="1" s="1"/>
  <c r="BW75" i="1" s="1"/>
  <c r="BU51" i="1"/>
  <c r="BU77" i="1" s="1"/>
  <c r="BU75" i="1" s="1"/>
  <c r="BT51" i="1"/>
  <c r="BT77" i="1" s="1"/>
  <c r="BT75" i="1" s="1"/>
  <c r="BR51" i="1"/>
  <c r="BR77" i="1" s="1"/>
  <c r="BR75" i="1" s="1"/>
  <c r="BQ51" i="1"/>
  <c r="BQ40" i="1" s="1"/>
  <c r="BO51" i="1"/>
  <c r="BO77" i="1" s="1"/>
  <c r="BO75" i="1" s="1"/>
  <c r="BN51" i="1"/>
  <c r="BN77" i="1" s="1"/>
  <c r="BN75" i="1" s="1"/>
  <c r="BL51" i="1"/>
  <c r="BL77" i="1" s="1"/>
  <c r="BL75" i="1" s="1"/>
  <c r="BK51" i="1"/>
  <c r="BK77" i="1" s="1"/>
  <c r="BK75" i="1" s="1"/>
  <c r="BI51" i="1"/>
  <c r="BI77" i="1" s="1"/>
  <c r="BI75" i="1" s="1"/>
  <c r="BH51" i="1"/>
  <c r="BH77" i="1" s="1"/>
  <c r="BH75" i="1" s="1"/>
  <c r="BF51" i="1"/>
  <c r="BF77" i="1" s="1"/>
  <c r="BF75" i="1" s="1"/>
  <c r="BE51" i="1"/>
  <c r="BE40" i="1" s="1"/>
  <c r="BC51" i="1"/>
  <c r="BC77" i="1" s="1"/>
  <c r="BC75" i="1" s="1"/>
  <c r="BB51" i="1"/>
  <c r="BB77" i="1" s="1"/>
  <c r="BB75" i="1" s="1"/>
  <c r="AZ51" i="1"/>
  <c r="AZ77" i="1" s="1"/>
  <c r="AZ75" i="1" s="1"/>
  <c r="AY51" i="1"/>
  <c r="AY77" i="1" s="1"/>
  <c r="AY75" i="1" s="1"/>
  <c r="AW51" i="1"/>
  <c r="AW77" i="1" s="1"/>
  <c r="AW75" i="1" s="1"/>
  <c r="AV51" i="1"/>
  <c r="AV77" i="1" s="1"/>
  <c r="AV75" i="1" s="1"/>
  <c r="AT51" i="1"/>
  <c r="AT77" i="1" s="1"/>
  <c r="AT75" i="1" s="1"/>
  <c r="AS51" i="1"/>
  <c r="AS40" i="1" s="1"/>
  <c r="AQ51" i="1"/>
  <c r="AQ77" i="1" s="1"/>
  <c r="AQ75" i="1" s="1"/>
  <c r="AP51" i="1"/>
  <c r="AP77" i="1" s="1"/>
  <c r="AP75" i="1" s="1"/>
  <c r="AN51" i="1"/>
  <c r="AN77" i="1" s="1"/>
  <c r="AN75" i="1" s="1"/>
  <c r="AM51" i="1"/>
  <c r="AM77" i="1" s="1"/>
  <c r="AM75" i="1" s="1"/>
  <c r="AK51" i="1"/>
  <c r="AK77" i="1" s="1"/>
  <c r="AK75" i="1" s="1"/>
  <c r="AJ51" i="1"/>
  <c r="AJ77" i="1" s="1"/>
  <c r="AJ75" i="1" s="1"/>
  <c r="AH51" i="1"/>
  <c r="AH77" i="1" s="1"/>
  <c r="AH75" i="1" s="1"/>
  <c r="AG51" i="1"/>
  <c r="AG40" i="1" s="1"/>
  <c r="AE51" i="1"/>
  <c r="AE77" i="1" s="1"/>
  <c r="AE75" i="1" s="1"/>
  <c r="AD51" i="1"/>
  <c r="AD77" i="1" s="1"/>
  <c r="AD75" i="1" s="1"/>
  <c r="AB51" i="1"/>
  <c r="AB77" i="1" s="1"/>
  <c r="AB75" i="1" s="1"/>
  <c r="AA51" i="1"/>
  <c r="AA77" i="1" s="1"/>
  <c r="AA75" i="1" s="1"/>
  <c r="Y51" i="1"/>
  <c r="Y77" i="1" s="1"/>
  <c r="Y75" i="1" s="1"/>
  <c r="X51" i="1"/>
  <c r="X77" i="1" s="1"/>
  <c r="X75" i="1" s="1"/>
  <c r="V51" i="1"/>
  <c r="V77" i="1" s="1"/>
  <c r="V75" i="1" s="1"/>
  <c r="U51" i="1"/>
  <c r="U40" i="1" s="1"/>
  <c r="S51" i="1"/>
  <c r="S77" i="1" s="1"/>
  <c r="R51" i="1"/>
  <c r="R77" i="1" s="1"/>
  <c r="Q51" i="1"/>
  <c r="P51" i="1"/>
  <c r="M51" i="1"/>
  <c r="M77" i="1" s="1"/>
  <c r="M75" i="1" s="1"/>
  <c r="L51" i="1"/>
  <c r="L77" i="1" s="1"/>
  <c r="L75" i="1" s="1"/>
  <c r="K51" i="1"/>
  <c r="K77" i="1" s="1"/>
  <c r="K75" i="1" s="1"/>
  <c r="J51" i="1"/>
  <c r="J77" i="1" s="1"/>
  <c r="J75" i="1" s="1"/>
  <c r="I51" i="1"/>
  <c r="H51" i="1"/>
  <c r="G51" i="1"/>
  <c r="F51" i="1"/>
  <c r="E51" i="1"/>
  <c r="CJ50" i="1"/>
  <c r="CI50" i="1"/>
  <c r="CG50" i="1"/>
  <c r="CF50" i="1"/>
  <c r="CD50" i="1"/>
  <c r="CC50" i="1"/>
  <c r="CA50" i="1"/>
  <c r="BZ50" i="1"/>
  <c r="BX50" i="1"/>
  <c r="BW50" i="1"/>
  <c r="BU50" i="1"/>
  <c r="BT50" i="1"/>
  <c r="BR50" i="1"/>
  <c r="BQ50" i="1"/>
  <c r="BO50" i="1"/>
  <c r="BN50" i="1"/>
  <c r="BL50" i="1"/>
  <c r="BK50" i="1"/>
  <c r="BI50" i="1"/>
  <c r="BH50" i="1"/>
  <c r="BF50" i="1"/>
  <c r="BE50" i="1"/>
  <c r="BC50" i="1"/>
  <c r="BB50" i="1"/>
  <c r="AZ50" i="1"/>
  <c r="AY50" i="1"/>
  <c r="AW50" i="1"/>
  <c r="AV50" i="1"/>
  <c r="AT50" i="1"/>
  <c r="AS50" i="1"/>
  <c r="AQ50" i="1"/>
  <c r="AP50" i="1"/>
  <c r="AN50" i="1"/>
  <c r="AK50" i="1"/>
  <c r="AJ50" i="1"/>
  <c r="AH50" i="1"/>
  <c r="AG50" i="1"/>
  <c r="AE50" i="1"/>
  <c r="AD50" i="1"/>
  <c r="AB50" i="1"/>
  <c r="AA50" i="1"/>
  <c r="Y50" i="1"/>
  <c r="X50" i="1"/>
  <c r="V50" i="1"/>
  <c r="U50" i="1"/>
  <c r="S50" i="1"/>
  <c r="R50" i="1"/>
  <c r="M50" i="1"/>
  <c r="L50" i="1"/>
  <c r="K50" i="1"/>
  <c r="I50" i="1"/>
  <c r="CJ49" i="1"/>
  <c r="CG49" i="1"/>
  <c r="CF49" i="1"/>
  <c r="CD49" i="1"/>
  <c r="CA49" i="1"/>
  <c r="BZ49" i="1"/>
  <c r="BX49" i="1"/>
  <c r="BU49" i="1"/>
  <c r="BT49" i="1"/>
  <c r="BR49" i="1"/>
  <c r="BO49" i="1"/>
  <c r="BN49" i="1"/>
  <c r="BL49" i="1"/>
  <c r="BI49" i="1"/>
  <c r="BH49" i="1"/>
  <c r="BF49" i="1"/>
  <c r="BC49" i="1"/>
  <c r="BB49" i="1"/>
  <c r="AZ49" i="1"/>
  <c r="AW49" i="1"/>
  <c r="AV49" i="1"/>
  <c r="AT49" i="1"/>
  <c r="AQ49" i="1"/>
  <c r="AP49" i="1"/>
  <c r="AN49" i="1"/>
  <c r="AK49" i="1"/>
  <c r="AJ49" i="1"/>
  <c r="AH49" i="1"/>
  <c r="AE49" i="1"/>
  <c r="AD49" i="1"/>
  <c r="AB49" i="1"/>
  <c r="Y49" i="1"/>
  <c r="X49" i="1"/>
  <c r="V49" i="1"/>
  <c r="S49" i="1"/>
  <c r="R49" i="1"/>
  <c r="M49" i="1"/>
  <c r="K49" i="1"/>
  <c r="I49" i="1"/>
  <c r="CJ48" i="1"/>
  <c r="CI48" i="1"/>
  <c r="CF48" i="1"/>
  <c r="CD48" i="1"/>
  <c r="CC48" i="1"/>
  <c r="BZ48" i="1"/>
  <c r="BX48" i="1"/>
  <c r="BW48" i="1"/>
  <c r="BT48" i="1"/>
  <c r="BR48" i="1"/>
  <c r="BQ48" i="1"/>
  <c r="BN48" i="1"/>
  <c r="BL48" i="1"/>
  <c r="BK48" i="1"/>
  <c r="BH48" i="1"/>
  <c r="BF48" i="1"/>
  <c r="BE48" i="1"/>
  <c r="BB48" i="1"/>
  <c r="AZ48" i="1"/>
  <c r="AY48" i="1"/>
  <c r="AV48" i="1"/>
  <c r="AT48" i="1"/>
  <c r="AS48" i="1"/>
  <c r="AP48" i="1"/>
  <c r="AN48" i="1"/>
  <c r="AJ48" i="1"/>
  <c r="AH48" i="1"/>
  <c r="AG48" i="1"/>
  <c r="AD48" i="1"/>
  <c r="AB48" i="1"/>
  <c r="AA48" i="1"/>
  <c r="X48" i="1"/>
  <c r="V48" i="1"/>
  <c r="U48" i="1"/>
  <c r="R48" i="1"/>
  <c r="Q48" i="1"/>
  <c r="M48" i="1"/>
  <c r="L48" i="1"/>
  <c r="K48" i="1"/>
  <c r="I48" i="1"/>
  <c r="H48" i="1"/>
  <c r="G48" i="1"/>
  <c r="F48" i="1"/>
  <c r="E48" i="1"/>
  <c r="CJ46" i="1"/>
  <c r="CI46" i="1"/>
  <c r="CG46" i="1"/>
  <c r="CF46" i="1"/>
  <c r="CD46" i="1"/>
  <c r="CC46" i="1"/>
  <c r="CA46" i="1"/>
  <c r="BZ46" i="1"/>
  <c r="BX46" i="1"/>
  <c r="BW46" i="1"/>
  <c r="BU46" i="1"/>
  <c r="BT46" i="1"/>
  <c r="BR46" i="1"/>
  <c r="BQ46" i="1"/>
  <c r="BO46" i="1"/>
  <c r="BN46" i="1"/>
  <c r="BL46" i="1"/>
  <c r="BK46" i="1"/>
  <c r="BI46" i="1"/>
  <c r="BH46" i="1"/>
  <c r="BF46" i="1"/>
  <c r="BE46" i="1"/>
  <c r="BC46" i="1"/>
  <c r="BB46" i="1"/>
  <c r="AZ46" i="1"/>
  <c r="AY46" i="1"/>
  <c r="AW46" i="1"/>
  <c r="AV46" i="1"/>
  <c r="AT46" i="1"/>
  <c r="AS46" i="1"/>
  <c r="AQ46" i="1"/>
  <c r="AP46" i="1"/>
  <c r="AN46" i="1"/>
  <c r="AM46" i="1"/>
  <c r="AK46" i="1"/>
  <c r="AJ46" i="1"/>
  <c r="AH46" i="1"/>
  <c r="AG46" i="1"/>
  <c r="AE46" i="1"/>
  <c r="AD46" i="1"/>
  <c r="AB46" i="1"/>
  <c r="AA46" i="1"/>
  <c r="Y46" i="1"/>
  <c r="X46" i="1"/>
  <c r="V46" i="1"/>
  <c r="U46" i="1"/>
  <c r="S46" i="1"/>
  <c r="R46" i="1"/>
  <c r="P46" i="1"/>
  <c r="M46" i="1"/>
  <c r="L46" i="1"/>
  <c r="K46" i="1"/>
  <c r="J46" i="1"/>
  <c r="CI45" i="1"/>
  <c r="CG45" i="1"/>
  <c r="CF45" i="1"/>
  <c r="CC45" i="1"/>
  <c r="CA45" i="1"/>
  <c r="BZ45" i="1"/>
  <c r="BW45" i="1"/>
  <c r="BU45" i="1"/>
  <c r="BT45" i="1"/>
  <c r="BQ45" i="1"/>
  <c r="BO45" i="1"/>
  <c r="BN45" i="1"/>
  <c r="BK45" i="1"/>
  <c r="BI45" i="1"/>
  <c r="BH45" i="1"/>
  <c r="BE45" i="1"/>
  <c r="BC45" i="1"/>
  <c r="BB45" i="1"/>
  <c r="AY45" i="1"/>
  <c r="AW45" i="1"/>
  <c r="AV45" i="1"/>
  <c r="AS45" i="1"/>
  <c r="AQ45" i="1"/>
  <c r="AP45" i="1"/>
  <c r="AM45" i="1"/>
  <c r="AK45" i="1"/>
  <c r="AJ45" i="1"/>
  <c r="AG45" i="1"/>
  <c r="AE45" i="1"/>
  <c r="AD45" i="1"/>
  <c r="AA45" i="1"/>
  <c r="Y45" i="1"/>
  <c r="X45" i="1"/>
  <c r="U45" i="1"/>
  <c r="S45" i="1"/>
  <c r="R45" i="1"/>
  <c r="M45" i="1"/>
  <c r="J45" i="1"/>
  <c r="I45" i="1"/>
  <c r="CJ44" i="1"/>
  <c r="CG44" i="1"/>
  <c r="CF44" i="1"/>
  <c r="CD44" i="1"/>
  <c r="CA44" i="1"/>
  <c r="BZ44" i="1"/>
  <c r="BX44" i="1"/>
  <c r="BU44" i="1"/>
  <c r="BT44" i="1"/>
  <c r="BR44" i="1"/>
  <c r="BO44" i="1"/>
  <c r="BN44" i="1"/>
  <c r="BL44" i="1"/>
  <c r="BI44" i="1"/>
  <c r="BH44" i="1"/>
  <c r="BF44" i="1"/>
  <c r="BC44" i="1"/>
  <c r="BB44" i="1"/>
  <c r="AZ44" i="1"/>
  <c r="AW44" i="1"/>
  <c r="AV44" i="1"/>
  <c r="AT44" i="1"/>
  <c r="AQ44" i="1"/>
  <c r="AP44" i="1"/>
  <c r="AN44" i="1"/>
  <c r="AK44" i="1"/>
  <c r="AJ44" i="1"/>
  <c r="AH44" i="1"/>
  <c r="AE44" i="1"/>
  <c r="AD44" i="1"/>
  <c r="AB44" i="1"/>
  <c r="Y44" i="1"/>
  <c r="X44" i="1"/>
  <c r="V44" i="1"/>
  <c r="S44" i="1"/>
  <c r="R44" i="1"/>
  <c r="M44" i="1"/>
  <c r="L44" i="1"/>
  <c r="I44" i="1"/>
  <c r="H44" i="1"/>
  <c r="G44" i="1"/>
  <c r="F44" i="1"/>
  <c r="E44" i="1"/>
  <c r="CJ42" i="1"/>
  <c r="CG42" i="1"/>
  <c r="CD42" i="1"/>
  <c r="CA42" i="1"/>
  <c r="BX42" i="1"/>
  <c r="BU42" i="1"/>
  <c r="BO42" i="1"/>
  <c r="BL42" i="1"/>
  <c r="BI42" i="1"/>
  <c r="BC42" i="1"/>
  <c r="AZ42" i="1"/>
  <c r="AW42" i="1"/>
  <c r="AQ42" i="1"/>
  <c r="AK42" i="1"/>
  <c r="AE42" i="1"/>
  <c r="AB42" i="1"/>
  <c r="Y42" i="1"/>
  <c r="S42" i="1"/>
  <c r="M42" i="1"/>
  <c r="I41" i="1"/>
  <c r="M40" i="1"/>
  <c r="L40" i="1"/>
  <c r="I40" i="1"/>
  <c r="H38" i="1"/>
  <c r="Q37" i="1"/>
  <c r="P37" i="1"/>
  <c r="Q36" i="1"/>
  <c r="P36" i="1"/>
  <c r="P35" i="1" s="1"/>
  <c r="CJ35" i="1"/>
  <c r="CI35" i="1"/>
  <c r="CG35" i="1"/>
  <c r="CF35" i="1"/>
  <c r="CD35" i="1"/>
  <c r="CC35" i="1"/>
  <c r="CA35" i="1"/>
  <c r="BZ35" i="1"/>
  <c r="BX35" i="1"/>
  <c r="BW35" i="1"/>
  <c r="BU35" i="1"/>
  <c r="BT35" i="1"/>
  <c r="BR35" i="1"/>
  <c r="BQ35" i="1"/>
  <c r="BO35" i="1"/>
  <c r="BN35" i="1"/>
  <c r="BL35" i="1"/>
  <c r="BK35" i="1"/>
  <c r="BI35" i="1"/>
  <c r="BH35" i="1"/>
  <c r="BF35" i="1"/>
  <c r="BE35" i="1"/>
  <c r="BC35" i="1"/>
  <c r="BB35" i="1"/>
  <c r="AZ35" i="1"/>
  <c r="AY35" i="1"/>
  <c r="AW35" i="1"/>
  <c r="AV35" i="1"/>
  <c r="AT35" i="1"/>
  <c r="AS35" i="1"/>
  <c r="AQ35" i="1"/>
  <c r="AP35" i="1"/>
  <c r="AN35" i="1"/>
  <c r="AM35" i="1"/>
  <c r="AK35" i="1"/>
  <c r="AJ35" i="1"/>
  <c r="AH35" i="1"/>
  <c r="AG35" i="1"/>
  <c r="AE35" i="1"/>
  <c r="AD35" i="1"/>
  <c r="AB35" i="1"/>
  <c r="AA35" i="1"/>
  <c r="Y35" i="1"/>
  <c r="X35" i="1"/>
  <c r="V35" i="1"/>
  <c r="U35" i="1"/>
  <c r="S35" i="1"/>
  <c r="R35" i="1"/>
  <c r="Q35" i="1"/>
  <c r="K35" i="1"/>
  <c r="J35" i="1"/>
  <c r="I35" i="1"/>
  <c r="I17" i="1" s="1"/>
  <c r="H35" i="1"/>
  <c r="G35" i="1"/>
  <c r="F35" i="1"/>
  <c r="E35" i="1"/>
  <c r="E10" i="1" s="1"/>
  <c r="Q34" i="1"/>
  <c r="P34" i="1"/>
  <c r="Q33" i="1"/>
  <c r="Q32" i="1" s="1"/>
  <c r="Q17" i="1" s="1"/>
  <c r="P33" i="1"/>
  <c r="J33" i="1"/>
  <c r="CJ32" i="1"/>
  <c r="CI32" i="1"/>
  <c r="CI17" i="1" s="1"/>
  <c r="CG32" i="1"/>
  <c r="CF32" i="1"/>
  <c r="CD32" i="1"/>
  <c r="CC32" i="1"/>
  <c r="CC17" i="1" s="1"/>
  <c r="CA32" i="1"/>
  <c r="BZ32" i="1"/>
  <c r="BX32" i="1"/>
  <c r="BW32" i="1"/>
  <c r="BW17" i="1" s="1"/>
  <c r="BU32" i="1"/>
  <c r="BT32" i="1"/>
  <c r="BR32" i="1"/>
  <c r="BQ32" i="1"/>
  <c r="BQ17" i="1" s="1"/>
  <c r="BO32" i="1"/>
  <c r="BN32" i="1"/>
  <c r="BL32" i="1"/>
  <c r="BK32" i="1"/>
  <c r="BK17" i="1" s="1"/>
  <c r="BI32" i="1"/>
  <c r="BH32" i="1"/>
  <c r="BF32" i="1"/>
  <c r="BE32" i="1"/>
  <c r="BE17" i="1" s="1"/>
  <c r="BC32" i="1"/>
  <c r="BB32" i="1"/>
  <c r="AZ32" i="1"/>
  <c r="AY32" i="1"/>
  <c r="AY17" i="1" s="1"/>
  <c r="AW32" i="1"/>
  <c r="AV32" i="1"/>
  <c r="AT32" i="1"/>
  <c r="AS32" i="1"/>
  <c r="AS17" i="1" s="1"/>
  <c r="AQ32" i="1"/>
  <c r="AP32" i="1"/>
  <c r="AN32" i="1"/>
  <c r="AM32" i="1"/>
  <c r="AM17" i="1" s="1"/>
  <c r="AK32" i="1"/>
  <c r="AJ32" i="1"/>
  <c r="AH32" i="1"/>
  <c r="AG32" i="1"/>
  <c r="AG17" i="1" s="1"/>
  <c r="AE32" i="1"/>
  <c r="AD32" i="1"/>
  <c r="AB32" i="1"/>
  <c r="AA32" i="1"/>
  <c r="AA17" i="1" s="1"/>
  <c r="Y32" i="1"/>
  <c r="X32" i="1"/>
  <c r="V32" i="1"/>
  <c r="U32" i="1"/>
  <c r="U17" i="1" s="1"/>
  <c r="S32" i="1"/>
  <c r="R32" i="1"/>
  <c r="P32" i="1"/>
  <c r="P17" i="1" s="1"/>
  <c r="M32" i="1"/>
  <c r="L32" i="1"/>
  <c r="K32" i="1"/>
  <c r="J32" i="1"/>
  <c r="I32" i="1"/>
  <c r="H32" i="1"/>
  <c r="G32" i="1"/>
  <c r="F32" i="1"/>
  <c r="E32" i="1"/>
  <c r="Q29" i="1"/>
  <c r="P29" i="1"/>
  <c r="J29" i="1"/>
  <c r="J14" i="1" s="1"/>
  <c r="H29" i="1"/>
  <c r="G29" i="1"/>
  <c r="F29" i="1"/>
  <c r="E29" i="1"/>
  <c r="Q28" i="1"/>
  <c r="P28" i="1"/>
  <c r="Q27" i="1"/>
  <c r="P27" i="1"/>
  <c r="P26" i="1" s="1"/>
  <c r="P14" i="1" s="1"/>
  <c r="CJ26" i="1"/>
  <c r="CI26" i="1"/>
  <c r="CG26" i="1"/>
  <c r="CF26" i="1"/>
  <c r="CF14" i="1" s="1"/>
  <c r="CD26" i="1"/>
  <c r="CC26" i="1"/>
  <c r="CA26" i="1"/>
  <c r="BZ26" i="1"/>
  <c r="BZ14" i="1" s="1"/>
  <c r="BX26" i="1"/>
  <c r="BW26" i="1"/>
  <c r="BU26" i="1"/>
  <c r="BT26" i="1"/>
  <c r="BT14" i="1" s="1"/>
  <c r="BR26" i="1"/>
  <c r="BQ26" i="1"/>
  <c r="BO26" i="1"/>
  <c r="BN26" i="1"/>
  <c r="BN14" i="1" s="1"/>
  <c r="BL26" i="1"/>
  <c r="BK26" i="1"/>
  <c r="BI26" i="1"/>
  <c r="BH26" i="1"/>
  <c r="BH14" i="1" s="1"/>
  <c r="BF26" i="1"/>
  <c r="BE26" i="1"/>
  <c r="BC26" i="1"/>
  <c r="BB26" i="1"/>
  <c r="BB14" i="1" s="1"/>
  <c r="AZ26" i="1"/>
  <c r="AY26" i="1"/>
  <c r="AW26" i="1"/>
  <c r="AV26" i="1"/>
  <c r="AV14" i="1" s="1"/>
  <c r="AT26" i="1"/>
  <c r="AS26" i="1"/>
  <c r="AQ26" i="1"/>
  <c r="AP26" i="1"/>
  <c r="AP14" i="1" s="1"/>
  <c r="AN26" i="1"/>
  <c r="AM26" i="1"/>
  <c r="AK26" i="1"/>
  <c r="AJ26" i="1"/>
  <c r="AJ14" i="1" s="1"/>
  <c r="AH26" i="1"/>
  <c r="AG26" i="1"/>
  <c r="AE26" i="1"/>
  <c r="AD26" i="1"/>
  <c r="AD14" i="1" s="1"/>
  <c r="AB26" i="1"/>
  <c r="AA26" i="1"/>
  <c r="Y26" i="1"/>
  <c r="X26" i="1"/>
  <c r="X14" i="1" s="1"/>
  <c r="V26" i="1"/>
  <c r="U26" i="1"/>
  <c r="S26" i="1"/>
  <c r="R26" i="1"/>
  <c r="R14" i="1" s="1"/>
  <c r="Q26" i="1"/>
  <c r="M26" i="1"/>
  <c r="L26" i="1"/>
  <c r="L14" i="1" s="1"/>
  <c r="K26" i="1"/>
  <c r="J26" i="1"/>
  <c r="H26" i="1"/>
  <c r="G26" i="1"/>
  <c r="F26" i="1"/>
  <c r="E26" i="1"/>
  <c r="Q25" i="1"/>
  <c r="P25" i="1"/>
  <c r="Q24" i="1"/>
  <c r="P24" i="1"/>
  <c r="Q23" i="1"/>
  <c r="P23" i="1"/>
  <c r="J23" i="1"/>
  <c r="H23" i="1"/>
  <c r="G23" i="1"/>
  <c r="F23" i="1"/>
  <c r="E23" i="1"/>
  <c r="Q22" i="1"/>
  <c r="P22" i="1"/>
  <c r="Q21" i="1"/>
  <c r="Q20" i="1" s="1"/>
  <c r="Q11" i="1" s="1"/>
  <c r="P21" i="1"/>
  <c r="CJ20" i="1"/>
  <c r="CI20" i="1"/>
  <c r="CG20" i="1"/>
  <c r="CG11" i="1" s="1"/>
  <c r="CF20" i="1"/>
  <c r="CD20" i="1"/>
  <c r="CC20" i="1"/>
  <c r="CA20" i="1"/>
  <c r="CA11" i="1" s="1"/>
  <c r="BZ20" i="1"/>
  <c r="BX20" i="1"/>
  <c r="BW20" i="1"/>
  <c r="BU20" i="1"/>
  <c r="BU11" i="1" s="1"/>
  <c r="BT20" i="1"/>
  <c r="BR20" i="1"/>
  <c r="BQ20" i="1"/>
  <c r="BO20" i="1"/>
  <c r="BO11" i="1" s="1"/>
  <c r="BN20" i="1"/>
  <c r="BL20" i="1"/>
  <c r="BK20" i="1"/>
  <c r="BI20" i="1"/>
  <c r="BI11" i="1" s="1"/>
  <c r="BH20" i="1"/>
  <c r="BF20" i="1"/>
  <c r="BE20" i="1"/>
  <c r="BC20" i="1"/>
  <c r="BC11" i="1" s="1"/>
  <c r="BB20" i="1"/>
  <c r="AZ20" i="1"/>
  <c r="AY20" i="1"/>
  <c r="AW20" i="1"/>
  <c r="AW11" i="1" s="1"/>
  <c r="AV20" i="1"/>
  <c r="AT20" i="1"/>
  <c r="AS20" i="1"/>
  <c r="AQ20" i="1"/>
  <c r="AQ11" i="1" s="1"/>
  <c r="AP20" i="1"/>
  <c r="AN20" i="1"/>
  <c r="AM20" i="1"/>
  <c r="AK20" i="1"/>
  <c r="AK11" i="1" s="1"/>
  <c r="AJ20" i="1"/>
  <c r="AH20" i="1"/>
  <c r="AG20" i="1"/>
  <c r="AE20" i="1"/>
  <c r="AE11" i="1" s="1"/>
  <c r="AD20" i="1"/>
  <c r="AB20" i="1"/>
  <c r="AA20" i="1"/>
  <c r="Y20" i="1"/>
  <c r="Y11" i="1" s="1"/>
  <c r="X20" i="1"/>
  <c r="V20" i="1"/>
  <c r="U20" i="1"/>
  <c r="S20" i="1"/>
  <c r="S11" i="1" s="1"/>
  <c r="R20" i="1"/>
  <c r="P20" i="1"/>
  <c r="M20" i="1"/>
  <c r="M11" i="1" s="1"/>
  <c r="L20" i="1"/>
  <c r="K20" i="1"/>
  <c r="J20" i="1"/>
  <c r="I20" i="1"/>
  <c r="I11" i="1" s="1"/>
  <c r="H20" i="1"/>
  <c r="G20" i="1"/>
  <c r="F20" i="1"/>
  <c r="E20" i="1"/>
  <c r="CJ19" i="1"/>
  <c r="CI19" i="1"/>
  <c r="CG19" i="1"/>
  <c r="CF19" i="1"/>
  <c r="CD19" i="1"/>
  <c r="CC19" i="1"/>
  <c r="CA19" i="1"/>
  <c r="BZ19" i="1"/>
  <c r="BX19" i="1"/>
  <c r="BW19" i="1"/>
  <c r="BU19" i="1"/>
  <c r="BT19" i="1"/>
  <c r="BR19" i="1"/>
  <c r="BQ19" i="1"/>
  <c r="BO19" i="1"/>
  <c r="BN19" i="1"/>
  <c r="BL19" i="1"/>
  <c r="BK19" i="1"/>
  <c r="BI19" i="1"/>
  <c r="BH19" i="1"/>
  <c r="BF19" i="1"/>
  <c r="BE19" i="1"/>
  <c r="BC19" i="1"/>
  <c r="BB19" i="1"/>
  <c r="AZ19" i="1"/>
  <c r="AY19" i="1"/>
  <c r="AW19" i="1"/>
  <c r="AV19" i="1"/>
  <c r="AT19" i="1"/>
  <c r="AS19" i="1"/>
  <c r="AQ19" i="1"/>
  <c r="AP19" i="1"/>
  <c r="AN19" i="1"/>
  <c r="AM19" i="1"/>
  <c r="AK19" i="1"/>
  <c r="AJ19" i="1"/>
  <c r="AH19" i="1"/>
  <c r="AG19" i="1"/>
  <c r="AE19" i="1"/>
  <c r="AD19" i="1"/>
  <c r="AB19" i="1"/>
  <c r="AA19" i="1"/>
  <c r="Y19" i="1"/>
  <c r="X19" i="1"/>
  <c r="V19" i="1"/>
  <c r="U19" i="1"/>
  <c r="S19" i="1"/>
  <c r="R19" i="1"/>
  <c r="Q19" i="1"/>
  <c r="P19" i="1"/>
  <c r="M19" i="1"/>
  <c r="L19" i="1"/>
  <c r="K19" i="1"/>
  <c r="J19" i="1"/>
  <c r="I19" i="1"/>
  <c r="H19" i="1"/>
  <c r="G19" i="1"/>
  <c r="E19" i="1"/>
  <c r="CJ18" i="1"/>
  <c r="CI18" i="1"/>
  <c r="CG18" i="1"/>
  <c r="CF18" i="1"/>
  <c r="CD18" i="1"/>
  <c r="CC18" i="1"/>
  <c r="CA18" i="1"/>
  <c r="BZ18" i="1"/>
  <c r="BX18" i="1"/>
  <c r="BW18" i="1"/>
  <c r="BU18" i="1"/>
  <c r="BT18" i="1"/>
  <c r="BR18" i="1"/>
  <c r="BQ18" i="1"/>
  <c r="BO18" i="1"/>
  <c r="BN18" i="1"/>
  <c r="BL18" i="1"/>
  <c r="BK18" i="1"/>
  <c r="BI18" i="1"/>
  <c r="BH18" i="1"/>
  <c r="BF18" i="1"/>
  <c r="BE18" i="1"/>
  <c r="BC18" i="1"/>
  <c r="BB18" i="1"/>
  <c r="AZ18" i="1"/>
  <c r="AY18" i="1"/>
  <c r="AW18" i="1"/>
  <c r="AV18" i="1"/>
  <c r="AT18" i="1"/>
  <c r="AS18" i="1"/>
  <c r="AQ18" i="1"/>
  <c r="AP18" i="1"/>
  <c r="AN18" i="1"/>
  <c r="AM18" i="1"/>
  <c r="AK18" i="1"/>
  <c r="AJ18" i="1"/>
  <c r="AH18" i="1"/>
  <c r="AG18" i="1"/>
  <c r="AE18" i="1"/>
  <c r="AD18" i="1"/>
  <c r="AB18" i="1"/>
  <c r="AA18" i="1"/>
  <c r="Y18" i="1"/>
  <c r="X18" i="1"/>
  <c r="V18" i="1"/>
  <c r="U18" i="1"/>
  <c r="S18" i="1"/>
  <c r="R18" i="1"/>
  <c r="P18" i="1"/>
  <c r="M18" i="1"/>
  <c r="L18" i="1"/>
  <c r="K18" i="1"/>
  <c r="J18" i="1"/>
  <c r="I18" i="1"/>
  <c r="H18" i="1"/>
  <c r="G18" i="1"/>
  <c r="E18" i="1"/>
  <c r="CJ17" i="1"/>
  <c r="CG17" i="1"/>
  <c r="CF17" i="1"/>
  <c r="CD17" i="1"/>
  <c r="CA17" i="1"/>
  <c r="BZ17" i="1"/>
  <c r="BX17" i="1"/>
  <c r="BU17" i="1"/>
  <c r="BT17" i="1"/>
  <c r="BR17" i="1"/>
  <c r="BO17" i="1"/>
  <c r="BN17" i="1"/>
  <c r="BL17" i="1"/>
  <c r="BI17" i="1"/>
  <c r="BH17" i="1"/>
  <c r="BF17" i="1"/>
  <c r="BC17" i="1"/>
  <c r="BB17" i="1"/>
  <c r="AZ17" i="1"/>
  <c r="AW17" i="1"/>
  <c r="AV17" i="1"/>
  <c r="AT17" i="1"/>
  <c r="AQ17" i="1"/>
  <c r="AP17" i="1"/>
  <c r="AN17" i="1"/>
  <c r="AK17" i="1"/>
  <c r="AJ17" i="1"/>
  <c r="AH17" i="1"/>
  <c r="AE17" i="1"/>
  <c r="AD17" i="1"/>
  <c r="AB17" i="1"/>
  <c r="Y17" i="1"/>
  <c r="X17" i="1"/>
  <c r="V17" i="1"/>
  <c r="S17" i="1"/>
  <c r="R17" i="1"/>
  <c r="M17" i="1"/>
  <c r="L17" i="1"/>
  <c r="K17" i="1"/>
  <c r="CJ14" i="1"/>
  <c r="CI14" i="1"/>
  <c r="CG14" i="1"/>
  <c r="CD14" i="1"/>
  <c r="CC14" i="1"/>
  <c r="CA14" i="1"/>
  <c r="BX14" i="1"/>
  <c r="BW14" i="1"/>
  <c r="BU14" i="1"/>
  <c r="BR14" i="1"/>
  <c r="BQ14" i="1"/>
  <c r="BO14" i="1"/>
  <c r="BL14" i="1"/>
  <c r="BK14" i="1"/>
  <c r="BI14" i="1"/>
  <c r="BF14" i="1"/>
  <c r="BE14" i="1"/>
  <c r="BC14" i="1"/>
  <c r="AZ14" i="1"/>
  <c r="AY14" i="1"/>
  <c r="AW14" i="1"/>
  <c r="AT14" i="1"/>
  <c r="AS14" i="1"/>
  <c r="AQ14" i="1"/>
  <c r="AN14" i="1"/>
  <c r="AM14" i="1"/>
  <c r="AK14" i="1"/>
  <c r="AH14" i="1"/>
  <c r="AG14" i="1"/>
  <c r="AE14" i="1"/>
  <c r="AB14" i="1"/>
  <c r="AA14" i="1"/>
  <c r="Y14" i="1"/>
  <c r="V14" i="1"/>
  <c r="U14" i="1"/>
  <c r="S14" i="1"/>
  <c r="Q14" i="1"/>
  <c r="M14" i="1"/>
  <c r="K14" i="1"/>
  <c r="I14" i="1"/>
  <c r="CJ11" i="1"/>
  <c r="CI11" i="1"/>
  <c r="CF11" i="1"/>
  <c r="CD11" i="1"/>
  <c r="CC11" i="1"/>
  <c r="BZ11" i="1"/>
  <c r="BX11" i="1"/>
  <c r="BW11" i="1"/>
  <c r="BT11" i="1"/>
  <c r="BR11" i="1"/>
  <c r="BQ11" i="1"/>
  <c r="BN11" i="1"/>
  <c r="BL11" i="1"/>
  <c r="BK11" i="1"/>
  <c r="BH11" i="1"/>
  <c r="BF11" i="1"/>
  <c r="BE11" i="1"/>
  <c r="BB11" i="1"/>
  <c r="AZ11" i="1"/>
  <c r="AY11" i="1"/>
  <c r="AV11" i="1"/>
  <c r="AT11" i="1"/>
  <c r="AS11" i="1"/>
  <c r="AP11" i="1"/>
  <c r="AN11" i="1"/>
  <c r="AM11" i="1"/>
  <c r="AJ11" i="1"/>
  <c r="AH11" i="1"/>
  <c r="AG11" i="1"/>
  <c r="AD11" i="1"/>
  <c r="AB11" i="1"/>
  <c r="AA11" i="1"/>
  <c r="X11" i="1"/>
  <c r="V11" i="1"/>
  <c r="U11" i="1"/>
  <c r="R11" i="1"/>
  <c r="P11" i="1"/>
  <c r="L11" i="1"/>
  <c r="K11" i="1"/>
  <c r="J11" i="1"/>
  <c r="H10" i="1"/>
  <c r="G10" i="1"/>
  <c r="F10" i="1"/>
  <c r="N673" i="5" l="1"/>
  <c r="N629" i="5"/>
  <c r="N625" i="5"/>
  <c r="N624" i="5"/>
  <c r="N628" i="5"/>
  <c r="N1433" i="5"/>
  <c r="N678" i="5"/>
  <c r="N675" i="5" s="1"/>
  <c r="N1419" i="5"/>
  <c r="N1422" i="5"/>
  <c r="N1421" i="5"/>
  <c r="N1418" i="5" s="1"/>
  <c r="N1405" i="5" s="1"/>
  <c r="N328" i="5"/>
  <c r="N325" i="5" s="1"/>
  <c r="N326" i="5"/>
  <c r="N1323" i="5"/>
  <c r="N1322" i="5"/>
  <c r="N1642" i="5"/>
  <c r="N1672" i="5"/>
  <c r="N1636" i="5"/>
  <c r="N1646" i="5"/>
  <c r="N1647" i="5"/>
  <c r="N1373" i="5"/>
  <c r="N1367" i="5"/>
  <c r="N1505" i="5"/>
  <c r="N1504" i="5"/>
  <c r="L45" i="1"/>
  <c r="L63" i="1"/>
  <c r="L41" i="1" s="1"/>
  <c r="J446" i="1"/>
  <c r="J440" i="1" s="1"/>
  <c r="J156" i="1"/>
  <c r="J172" i="1"/>
  <c r="J158" i="1"/>
  <c r="J187" i="1"/>
  <c r="J170" i="1"/>
  <c r="J168" i="1"/>
  <c r="J160" i="1"/>
  <c r="J159" i="1"/>
  <c r="M196" i="1"/>
  <c r="M164" i="1"/>
  <c r="M158" i="1"/>
  <c r="AD238" i="1"/>
  <c r="AD230" i="1" s="1"/>
  <c r="AD206" i="1"/>
  <c r="J220" i="1"/>
  <c r="J207" i="1"/>
  <c r="J286" i="1"/>
  <c r="J282" i="1"/>
  <c r="I408" i="1"/>
  <c r="I406" i="1"/>
  <c r="I402" i="1"/>
  <c r="I398" i="1"/>
  <c r="I404" i="1"/>
  <c r="I399" i="1"/>
  <c r="I407" i="1"/>
  <c r="I405" i="1"/>
  <c r="I400" i="1"/>
  <c r="M482" i="1"/>
  <c r="M456" i="1"/>
  <c r="L457" i="1"/>
  <c r="L482" i="1"/>
  <c r="BN238" i="1"/>
  <c r="BN206" i="1"/>
  <c r="X232" i="1"/>
  <c r="X234" i="1"/>
  <c r="X236" i="1"/>
  <c r="AJ238" i="1"/>
  <c r="AJ206" i="1"/>
  <c r="AV238" i="1"/>
  <c r="AV206" i="1"/>
  <c r="BH238" i="1"/>
  <c r="BH232" i="1" s="1"/>
  <c r="BH206" i="1"/>
  <c r="BT238" i="1"/>
  <c r="BT206" i="1"/>
  <c r="S324" i="1"/>
  <c r="E337" i="1"/>
  <c r="E324" i="1"/>
  <c r="M351" i="1"/>
  <c r="M345" i="1" s="1"/>
  <c r="M346" i="1"/>
  <c r="L42" i="1"/>
  <c r="BB238" i="1"/>
  <c r="BB230" i="1" s="1"/>
  <c r="BB206" i="1"/>
  <c r="L232" i="1"/>
  <c r="L234" i="1"/>
  <c r="M256" i="1"/>
  <c r="M327" i="1"/>
  <c r="M330" i="1"/>
  <c r="I397" i="1"/>
  <c r="J482" i="1"/>
  <c r="J455" i="1"/>
  <c r="J157" i="1"/>
  <c r="M159" i="1"/>
  <c r="M165" i="1"/>
  <c r="L213" i="1"/>
  <c r="L206" i="1" s="1"/>
  <c r="L207" i="1"/>
  <c r="E210" i="1"/>
  <c r="I210" i="1"/>
  <c r="M210" i="1"/>
  <c r="U213" i="1"/>
  <c r="U206" i="1" s="1"/>
  <c r="U210" i="1"/>
  <c r="AP238" i="1"/>
  <c r="AP206" i="1"/>
  <c r="J283" i="1"/>
  <c r="E327" i="1"/>
  <c r="I401" i="1"/>
  <c r="AH40" i="1"/>
  <c r="BF40" i="1"/>
  <c r="R40" i="1"/>
  <c r="X40" i="1"/>
  <c r="AD40" i="1"/>
  <c r="AJ40" i="1"/>
  <c r="AP40" i="1"/>
  <c r="AV40" i="1"/>
  <c r="BB40" i="1"/>
  <c r="BH40" i="1"/>
  <c r="BN40" i="1"/>
  <c r="BT40" i="1"/>
  <c r="S40" i="1"/>
  <c r="Y40" i="1"/>
  <c r="AE40" i="1"/>
  <c r="AK40" i="1"/>
  <c r="E38" i="1"/>
  <c r="AD41" i="1"/>
  <c r="BK41" i="1"/>
  <c r="BQ41" i="1"/>
  <c r="L125" i="1"/>
  <c r="K446" i="1"/>
  <c r="K440" i="1" s="1"/>
  <c r="V210" i="1"/>
  <c r="P210" i="1"/>
  <c r="BE228" i="1"/>
  <c r="AQ231" i="1"/>
  <c r="G259" i="1"/>
  <c r="K275" i="1"/>
  <c r="G289" i="1"/>
  <c r="H314" i="1"/>
  <c r="L314" i="1"/>
  <c r="U330" i="1"/>
  <c r="L337" i="1"/>
  <c r="R337" i="1"/>
  <c r="X337" i="1"/>
  <c r="K482" i="1"/>
  <c r="J17" i="1"/>
  <c r="F38" i="1"/>
  <c r="G38" i="1"/>
  <c r="AN40" i="1"/>
  <c r="BL40" i="1"/>
  <c r="AJ41" i="1"/>
  <c r="R42" i="1"/>
  <c r="X42" i="1"/>
  <c r="AD42" i="1"/>
  <c r="AJ42" i="1"/>
  <c r="AN42" i="1"/>
  <c r="M168" i="1"/>
  <c r="K169" i="1"/>
  <c r="K170" i="1"/>
  <c r="K187" i="1"/>
  <c r="K445" i="1"/>
  <c r="M157" i="1"/>
  <c r="X207" i="1"/>
  <c r="AV207" i="1"/>
  <c r="BT207" i="1"/>
  <c r="U228" i="1"/>
  <c r="BQ228" i="1"/>
  <c r="BC231" i="1"/>
  <c r="U232" i="1"/>
  <c r="R327" i="1"/>
  <c r="X327" i="1"/>
  <c r="H337" i="1"/>
  <c r="E354" i="1"/>
  <c r="K410" i="1"/>
  <c r="H429" i="1"/>
  <c r="V40" i="1"/>
  <c r="AT40" i="1"/>
  <c r="BR40" i="1"/>
  <c r="R41" i="1"/>
  <c r="M126" i="1"/>
  <c r="K171" i="1"/>
  <c r="K172" i="1"/>
  <c r="K168" i="1"/>
  <c r="G207" i="1"/>
  <c r="AG228" i="1"/>
  <c r="S231" i="1"/>
  <c r="BO231" i="1"/>
  <c r="G345" i="1"/>
  <c r="H406" i="1"/>
  <c r="K44" i="1"/>
  <c r="K54" i="1"/>
  <c r="K40" i="1" s="1"/>
  <c r="P72" i="1"/>
  <c r="P42" i="1" s="1"/>
  <c r="P50" i="1"/>
  <c r="P45" i="1"/>
  <c r="P55" i="1"/>
  <c r="R75" i="1"/>
  <c r="Q44" i="1"/>
  <c r="Q54" i="1"/>
  <c r="Q40" i="1" s="1"/>
  <c r="S75" i="1"/>
  <c r="Q77" i="1"/>
  <c r="Q75" i="1" s="1"/>
  <c r="AM41" i="1"/>
  <c r="Q64" i="1"/>
  <c r="U77" i="1"/>
  <c r="U75" i="1" s="1"/>
  <c r="AG77" i="1"/>
  <c r="AG75" i="1" s="1"/>
  <c r="AS77" i="1"/>
  <c r="AS75" i="1" s="1"/>
  <c r="BE77" i="1"/>
  <c r="BE75" i="1" s="1"/>
  <c r="BQ77" i="1"/>
  <c r="BQ75" i="1" s="1"/>
  <c r="CC77" i="1"/>
  <c r="CC75" i="1" s="1"/>
  <c r="AA237" i="1"/>
  <c r="AA231" i="1"/>
  <c r="AA235" i="1"/>
  <c r="AA236" i="1"/>
  <c r="AA233" i="1"/>
  <c r="AA229" i="1"/>
  <c r="AA230" i="1"/>
  <c r="AA232" i="1"/>
  <c r="AA234" i="1"/>
  <c r="BW237" i="1"/>
  <c r="BW231" i="1"/>
  <c r="BW235" i="1"/>
  <c r="BW236" i="1"/>
  <c r="BW233" i="1"/>
  <c r="BW229" i="1"/>
  <c r="BW230" i="1"/>
  <c r="BW234" i="1"/>
  <c r="BW232" i="1"/>
  <c r="AE351" i="1"/>
  <c r="AE345" i="1" s="1"/>
  <c r="AE346" i="1"/>
  <c r="AQ351" i="1"/>
  <c r="AQ345" i="1" s="1"/>
  <c r="AQ346" i="1"/>
  <c r="AW351" i="1"/>
  <c r="AW345" i="1" s="1"/>
  <c r="AW346" i="1"/>
  <c r="BI351" i="1"/>
  <c r="BI345" i="1" s="1"/>
  <c r="BI346" i="1"/>
  <c r="BO351" i="1"/>
  <c r="BO345" i="1" s="1"/>
  <c r="BO346" i="1"/>
  <c r="CA351" i="1"/>
  <c r="CA345" i="1" s="1"/>
  <c r="CA346" i="1"/>
  <c r="K347" i="1"/>
  <c r="K351" i="1"/>
  <c r="K345" i="1" s="1"/>
  <c r="AB347" i="1"/>
  <c r="AB351" i="1"/>
  <c r="AB345" i="1" s="1"/>
  <c r="AT347" i="1"/>
  <c r="AT351" i="1"/>
  <c r="AT345" i="1" s="1"/>
  <c r="BF347" i="1"/>
  <c r="BF351" i="1"/>
  <c r="BF345" i="1" s="1"/>
  <c r="BX347" i="1"/>
  <c r="BX351" i="1"/>
  <c r="BX345" i="1" s="1"/>
  <c r="Q360" i="1"/>
  <c r="Q354" i="1" s="1"/>
  <c r="Q355" i="1"/>
  <c r="AB360" i="1"/>
  <c r="AB354" i="1" s="1"/>
  <c r="AB355" i="1"/>
  <c r="AN360" i="1"/>
  <c r="AN354" i="1" s="1"/>
  <c r="AN355" i="1"/>
  <c r="AZ360" i="1"/>
  <c r="AZ354" i="1" s="1"/>
  <c r="AZ355" i="1"/>
  <c r="BR360" i="1"/>
  <c r="BR354" i="1" s="1"/>
  <c r="BR355" i="1"/>
  <c r="CJ360" i="1"/>
  <c r="CJ354" i="1" s="1"/>
  <c r="CJ355" i="1"/>
  <c r="Q18" i="1"/>
  <c r="AA40" i="1"/>
  <c r="AY40" i="1"/>
  <c r="BK40" i="1"/>
  <c r="BW40" i="1"/>
  <c r="CI40" i="1"/>
  <c r="Q46" i="1"/>
  <c r="J50" i="1"/>
  <c r="AM50" i="1"/>
  <c r="AM56" i="1"/>
  <c r="AM48" i="1" s="1"/>
  <c r="BH66" i="1"/>
  <c r="BH41" i="1" s="1"/>
  <c r="I72" i="1"/>
  <c r="I42" i="1" s="1"/>
  <c r="Q83" i="1"/>
  <c r="Q88" i="1"/>
  <c r="Q93" i="1"/>
  <c r="P129" i="1"/>
  <c r="V157" i="1"/>
  <c r="AT157" i="1"/>
  <c r="BR157" i="1"/>
  <c r="Y162" i="1"/>
  <c r="AE162" i="1"/>
  <c r="AK162" i="1"/>
  <c r="AQ162" i="1"/>
  <c r="AW162" i="1"/>
  <c r="BC162" i="1"/>
  <c r="CA162" i="1"/>
  <c r="V163" i="1"/>
  <c r="AT163" i="1"/>
  <c r="BR163" i="1"/>
  <c r="AN168" i="1"/>
  <c r="BL168" i="1"/>
  <c r="CJ168" i="1"/>
  <c r="M445" i="1"/>
  <c r="M187" i="1"/>
  <c r="R446" i="1"/>
  <c r="R171" i="1"/>
  <c r="R169" i="1"/>
  <c r="P189" i="1"/>
  <c r="R172" i="1"/>
  <c r="R170" i="1"/>
  <c r="R168" i="1"/>
  <c r="R160" i="1"/>
  <c r="R156" i="1"/>
  <c r="X446" i="1"/>
  <c r="X440" i="1" s="1"/>
  <c r="X171" i="1"/>
  <c r="X169" i="1"/>
  <c r="X172" i="1"/>
  <c r="X170" i="1"/>
  <c r="X168" i="1"/>
  <c r="X160" i="1"/>
  <c r="X156" i="1"/>
  <c r="AE446" i="1"/>
  <c r="AE440" i="1" s="1"/>
  <c r="Q189" i="1"/>
  <c r="AE172" i="1"/>
  <c r="AK446" i="1"/>
  <c r="AK440" i="1" s="1"/>
  <c r="AK172" i="1"/>
  <c r="AK170" i="1"/>
  <c r="AQ446" i="1"/>
  <c r="AQ440" i="1" s="1"/>
  <c r="AQ172" i="1"/>
  <c r="AQ170" i="1"/>
  <c r="AW446" i="1"/>
  <c r="AW440" i="1" s="1"/>
  <c r="AW172" i="1"/>
  <c r="AW170" i="1"/>
  <c r="BC446" i="1"/>
  <c r="BC187" i="1"/>
  <c r="BC172" i="1"/>
  <c r="BC170" i="1"/>
  <c r="BI446" i="1"/>
  <c r="BI440" i="1" s="1"/>
  <c r="BI172" i="1"/>
  <c r="BI170" i="1"/>
  <c r="BO446" i="1"/>
  <c r="BO440" i="1" s="1"/>
  <c r="BO172" i="1"/>
  <c r="BO170" i="1"/>
  <c r="BU446" i="1"/>
  <c r="BU440" i="1" s="1"/>
  <c r="BU172" i="1"/>
  <c r="BU170" i="1"/>
  <c r="CA446" i="1"/>
  <c r="CA440" i="1" s="1"/>
  <c r="CA172" i="1"/>
  <c r="CA170" i="1"/>
  <c r="CG446" i="1"/>
  <c r="CG440" i="1" s="1"/>
  <c r="CG172" i="1"/>
  <c r="CG170" i="1"/>
  <c r="K190" i="1"/>
  <c r="P169" i="1"/>
  <c r="Q197" i="1"/>
  <c r="S196" i="1"/>
  <c r="Q196" i="1" s="1"/>
  <c r="K199" i="1"/>
  <c r="K159" i="1"/>
  <c r="V199" i="1"/>
  <c r="Q199" i="1" s="1"/>
  <c r="V159" i="1"/>
  <c r="AB199" i="1"/>
  <c r="AB159" i="1"/>
  <c r="AH199" i="1"/>
  <c r="AH159" i="1"/>
  <c r="AN199" i="1"/>
  <c r="AN159" i="1"/>
  <c r="AT199" i="1"/>
  <c r="AT159" i="1"/>
  <c r="AZ199" i="1"/>
  <c r="AZ159" i="1"/>
  <c r="BF199" i="1"/>
  <c r="BF159" i="1"/>
  <c r="BL199" i="1"/>
  <c r="BL159" i="1"/>
  <c r="BR199" i="1"/>
  <c r="BR159" i="1"/>
  <c r="BX199" i="1"/>
  <c r="BX159" i="1"/>
  <c r="CD199" i="1"/>
  <c r="CD159" i="1"/>
  <c r="CJ199" i="1"/>
  <c r="CJ159" i="1"/>
  <c r="R235" i="1"/>
  <c r="R237" i="1"/>
  <c r="R233" i="1"/>
  <c r="R229" i="1"/>
  <c r="R236" i="1"/>
  <c r="R231" i="1"/>
  <c r="R232" i="1"/>
  <c r="R234" i="1"/>
  <c r="P238" i="1"/>
  <c r="P235" i="1" s="1"/>
  <c r="R228" i="1"/>
  <c r="AD235" i="1"/>
  <c r="AD237" i="1"/>
  <c r="AD233" i="1"/>
  <c r="AD229" i="1"/>
  <c r="AD236" i="1"/>
  <c r="AD231" i="1"/>
  <c r="AD232" i="1"/>
  <c r="AD234" i="1"/>
  <c r="AD228" i="1"/>
  <c r="AP235" i="1"/>
  <c r="AP237" i="1"/>
  <c r="AP233" i="1"/>
  <c r="AP229" i="1"/>
  <c r="AP236" i="1"/>
  <c r="AP231" i="1"/>
  <c r="AP232" i="1"/>
  <c r="AP234" i="1"/>
  <c r="AP228" i="1"/>
  <c r="BB235" i="1"/>
  <c r="BB237" i="1"/>
  <c r="BB233" i="1"/>
  <c r="BB229" i="1"/>
  <c r="BB236" i="1"/>
  <c r="BB231" i="1"/>
  <c r="BB232" i="1"/>
  <c r="BB234" i="1"/>
  <c r="BB228" i="1"/>
  <c r="BN235" i="1"/>
  <c r="BN237" i="1"/>
  <c r="BN233" i="1"/>
  <c r="BN229" i="1"/>
  <c r="BN236" i="1"/>
  <c r="BN234" i="1"/>
  <c r="BN231" i="1"/>
  <c r="BN232" i="1"/>
  <c r="BN228" i="1"/>
  <c r="BZ235" i="1"/>
  <c r="BZ237" i="1"/>
  <c r="BZ233" i="1"/>
  <c r="BZ229" i="1"/>
  <c r="BZ236" i="1"/>
  <c r="BZ234" i="1"/>
  <c r="BZ231" i="1"/>
  <c r="BZ232" i="1"/>
  <c r="BZ228" i="1"/>
  <c r="Q220" i="1"/>
  <c r="Q207" i="1"/>
  <c r="V220" i="1"/>
  <c r="V238" i="1" s="1"/>
  <c r="V207" i="1"/>
  <c r="AB220" i="1"/>
  <c r="AB238" i="1" s="1"/>
  <c r="AB207" i="1"/>
  <c r="AH220" i="1"/>
  <c r="AH238" i="1" s="1"/>
  <c r="AH207" i="1"/>
  <c r="AN220" i="1"/>
  <c r="AN238" i="1" s="1"/>
  <c r="AN207" i="1"/>
  <c r="AT220" i="1"/>
  <c r="AT238" i="1" s="1"/>
  <c r="AT207" i="1"/>
  <c r="AZ220" i="1"/>
  <c r="AZ238" i="1" s="1"/>
  <c r="AZ207" i="1"/>
  <c r="BF220" i="1"/>
  <c r="BF238" i="1" s="1"/>
  <c r="BF207" i="1"/>
  <c r="BL220" i="1"/>
  <c r="BL238" i="1" s="1"/>
  <c r="BL207" i="1"/>
  <c r="BR220" i="1"/>
  <c r="BR238" i="1" s="1"/>
  <c r="BR207" i="1"/>
  <c r="BX220" i="1"/>
  <c r="BX238" i="1" s="1"/>
  <c r="BX207" i="1"/>
  <c r="CD220" i="1"/>
  <c r="CD238" i="1" s="1"/>
  <c r="CD207" i="1"/>
  <c r="CJ220" i="1"/>
  <c r="CJ238" i="1" s="1"/>
  <c r="CJ207" i="1"/>
  <c r="P221" i="1"/>
  <c r="P208" i="1"/>
  <c r="AA228" i="1"/>
  <c r="BW228" i="1"/>
  <c r="AP230" i="1"/>
  <c r="Q191" i="1"/>
  <c r="S190" i="1"/>
  <c r="P164" i="1"/>
  <c r="BK237" i="1"/>
  <c r="BK231" i="1"/>
  <c r="BK236" i="1"/>
  <c r="BK233" i="1"/>
  <c r="BK229" i="1"/>
  <c r="BK235" i="1"/>
  <c r="BK230" i="1"/>
  <c r="BK232" i="1"/>
  <c r="AY237" i="1"/>
  <c r="AY231" i="1"/>
  <c r="AY235" i="1"/>
  <c r="AY236" i="1"/>
  <c r="AY233" i="1"/>
  <c r="AY229" i="1"/>
  <c r="AY230" i="1"/>
  <c r="AY232" i="1"/>
  <c r="AY234" i="1"/>
  <c r="AH347" i="1"/>
  <c r="AH351" i="1"/>
  <c r="AH345" i="1" s="1"/>
  <c r="AZ347" i="1"/>
  <c r="AZ351" i="1"/>
  <c r="AZ345" i="1" s="1"/>
  <c r="BR347" i="1"/>
  <c r="BR351" i="1"/>
  <c r="BR345" i="1" s="1"/>
  <c r="CD347" i="1"/>
  <c r="CD351" i="1"/>
  <c r="CD345" i="1" s="1"/>
  <c r="V360" i="1"/>
  <c r="V354" i="1" s="1"/>
  <c r="V355" i="1"/>
  <c r="AT360" i="1"/>
  <c r="AT354" i="1" s="1"/>
  <c r="AT355" i="1"/>
  <c r="BL360" i="1"/>
  <c r="BL354" i="1" s="1"/>
  <c r="BL355" i="1"/>
  <c r="CD360" i="1"/>
  <c r="CD354" i="1" s="1"/>
  <c r="CD355" i="1"/>
  <c r="U44" i="1"/>
  <c r="AA44" i="1"/>
  <c r="AG44" i="1"/>
  <c r="AM44" i="1"/>
  <c r="AS44" i="1"/>
  <c r="AY44" i="1"/>
  <c r="BE44" i="1"/>
  <c r="BK44" i="1"/>
  <c r="BQ44" i="1"/>
  <c r="BW44" i="1"/>
  <c r="CC44" i="1"/>
  <c r="CI44" i="1"/>
  <c r="K45" i="1"/>
  <c r="V45" i="1"/>
  <c r="AB45" i="1"/>
  <c r="AH45" i="1"/>
  <c r="AN45" i="1"/>
  <c r="AT45" i="1"/>
  <c r="AZ45" i="1"/>
  <c r="BF45" i="1"/>
  <c r="BL45" i="1"/>
  <c r="BR45" i="1"/>
  <c r="BX45" i="1"/>
  <c r="CD45" i="1"/>
  <c r="CJ45" i="1"/>
  <c r="S48" i="1"/>
  <c r="Y48" i="1"/>
  <c r="AE48" i="1"/>
  <c r="AK48" i="1"/>
  <c r="AQ48" i="1"/>
  <c r="AW48" i="1"/>
  <c r="BC48" i="1"/>
  <c r="BI48" i="1"/>
  <c r="BO48" i="1"/>
  <c r="BU48" i="1"/>
  <c r="CA48" i="1"/>
  <c r="CG48" i="1"/>
  <c r="J49" i="1"/>
  <c r="P49" i="1"/>
  <c r="U49" i="1"/>
  <c r="AA49" i="1"/>
  <c r="AG49" i="1"/>
  <c r="AM49" i="1"/>
  <c r="AS49" i="1"/>
  <c r="AY49" i="1"/>
  <c r="BE49" i="1"/>
  <c r="BK49" i="1"/>
  <c r="BQ49" i="1"/>
  <c r="BW49" i="1"/>
  <c r="CC49" i="1"/>
  <c r="CI49" i="1"/>
  <c r="P68" i="1"/>
  <c r="P56" i="1" s="1"/>
  <c r="P48" i="1" s="1"/>
  <c r="AM72" i="1"/>
  <c r="AM42" i="1" s="1"/>
  <c r="P128" i="1"/>
  <c r="Q129" i="1"/>
  <c r="Q141" i="1"/>
  <c r="Q125" i="1" s="1"/>
  <c r="K156" i="1"/>
  <c r="Y156" i="1"/>
  <c r="AE156" i="1"/>
  <c r="AK156" i="1"/>
  <c r="AQ156" i="1"/>
  <c r="AW156" i="1"/>
  <c r="BC156" i="1"/>
  <c r="BI156" i="1"/>
  <c r="BO156" i="1"/>
  <c r="BU156" i="1"/>
  <c r="CA156" i="1"/>
  <c r="CG156" i="1"/>
  <c r="Q157" i="1"/>
  <c r="AN157" i="1"/>
  <c r="BL157" i="1"/>
  <c r="CJ157" i="1"/>
  <c r="BU162" i="1"/>
  <c r="AN163" i="1"/>
  <c r="BL163" i="1"/>
  <c r="CJ163" i="1"/>
  <c r="P177" i="1"/>
  <c r="P152" i="1" s="1"/>
  <c r="P153" i="1"/>
  <c r="AB190" i="1"/>
  <c r="AZ190" i="1"/>
  <c r="BX190" i="1"/>
  <c r="M193" i="1"/>
  <c r="Q195" i="1"/>
  <c r="Q169" i="1" s="1"/>
  <c r="S157" i="1"/>
  <c r="P171" i="1"/>
  <c r="I213" i="1"/>
  <c r="I207" i="1"/>
  <c r="M213" i="1"/>
  <c r="M207" i="1"/>
  <c r="Q210" i="1"/>
  <c r="Q213" i="1"/>
  <c r="Q206" i="1" s="1"/>
  <c r="AB213" i="1"/>
  <c r="AB206" i="1" s="1"/>
  <c r="AB210" i="1"/>
  <c r="AM237" i="1"/>
  <c r="AM231" i="1"/>
  <c r="AM236" i="1"/>
  <c r="AM233" i="1"/>
  <c r="AM229" i="1"/>
  <c r="AM230" i="1"/>
  <c r="AM232" i="1"/>
  <c r="AM234" i="1"/>
  <c r="CI237" i="1"/>
  <c r="CI234" i="1"/>
  <c r="CI231" i="1"/>
  <c r="CI236" i="1"/>
  <c r="CI233" i="1"/>
  <c r="CI229" i="1"/>
  <c r="CI230" i="1"/>
  <c r="CI235" i="1"/>
  <c r="CI232" i="1"/>
  <c r="Q352" i="1"/>
  <c r="S351" i="1"/>
  <c r="S345" i="1" s="1"/>
  <c r="S346" i="1"/>
  <c r="Y351" i="1"/>
  <c r="Y345" i="1" s="1"/>
  <c r="Y346" i="1"/>
  <c r="AK351" i="1"/>
  <c r="AK345" i="1" s="1"/>
  <c r="AK346" i="1"/>
  <c r="BC351" i="1"/>
  <c r="BC345" i="1" s="1"/>
  <c r="BC346" i="1"/>
  <c r="BU351" i="1"/>
  <c r="BU345" i="1" s="1"/>
  <c r="BU346" i="1"/>
  <c r="CG351" i="1"/>
  <c r="CG345" i="1" s="1"/>
  <c r="CG346" i="1"/>
  <c r="V347" i="1"/>
  <c r="V351" i="1"/>
  <c r="V345" i="1" s="1"/>
  <c r="AN347" i="1"/>
  <c r="AN351" i="1"/>
  <c r="AN345" i="1" s="1"/>
  <c r="BL347" i="1"/>
  <c r="BL351" i="1"/>
  <c r="BL345" i="1" s="1"/>
  <c r="CJ347" i="1"/>
  <c r="CJ351" i="1"/>
  <c r="CJ345" i="1" s="1"/>
  <c r="K360" i="1"/>
  <c r="K354" i="1" s="1"/>
  <c r="K355" i="1"/>
  <c r="AH360" i="1"/>
  <c r="AH354" i="1" s="1"/>
  <c r="AH355" i="1"/>
  <c r="BF360" i="1"/>
  <c r="BF354" i="1" s="1"/>
  <c r="BF355" i="1"/>
  <c r="BX360" i="1"/>
  <c r="BX354" i="1" s="1"/>
  <c r="BX355" i="1"/>
  <c r="M356" i="1"/>
  <c r="M360" i="1"/>
  <c r="M354" i="1" s="1"/>
  <c r="J56" i="1"/>
  <c r="J48" i="1" s="1"/>
  <c r="S156" i="1"/>
  <c r="K157" i="1"/>
  <c r="AH157" i="1"/>
  <c r="BF157" i="1"/>
  <c r="CD157" i="1"/>
  <c r="BO162" i="1"/>
  <c r="K163" i="1"/>
  <c r="AH163" i="1"/>
  <c r="BF163" i="1"/>
  <c r="CD163" i="1"/>
  <c r="S445" i="1"/>
  <c r="Q188" i="1"/>
  <c r="Q159" i="1" s="1"/>
  <c r="S187" i="1"/>
  <c r="Y445" i="1"/>
  <c r="Y187" i="1"/>
  <c r="AE445" i="1"/>
  <c r="AE187" i="1"/>
  <c r="AK445" i="1"/>
  <c r="AK187" i="1"/>
  <c r="AQ445" i="1"/>
  <c r="AQ187" i="1"/>
  <c r="AW445" i="1"/>
  <c r="AW187" i="1"/>
  <c r="BE445" i="1"/>
  <c r="BE187" i="1"/>
  <c r="BE166" i="1"/>
  <c r="BE164" i="1"/>
  <c r="BE162" i="1"/>
  <c r="BE158" i="1"/>
  <c r="BK445" i="1"/>
  <c r="BK187" i="1"/>
  <c r="BK166" i="1"/>
  <c r="BK164" i="1"/>
  <c r="BK162" i="1"/>
  <c r="BK158" i="1"/>
  <c r="BQ445" i="1"/>
  <c r="BQ187" i="1"/>
  <c r="BQ166" i="1"/>
  <c r="BQ164" i="1"/>
  <c r="BQ162" i="1"/>
  <c r="BQ158" i="1"/>
  <c r="BW445" i="1"/>
  <c r="BW187" i="1"/>
  <c r="BW166" i="1"/>
  <c r="BW164" i="1"/>
  <c r="BW162" i="1"/>
  <c r="BW158" i="1"/>
  <c r="CC445" i="1"/>
  <c r="CC187" i="1"/>
  <c r="CC166" i="1"/>
  <c r="CC164" i="1"/>
  <c r="CC162" i="1"/>
  <c r="CC158" i="1"/>
  <c r="CI445" i="1"/>
  <c r="CI187" i="1"/>
  <c r="CI166" i="1"/>
  <c r="CI164" i="1"/>
  <c r="CI162" i="1"/>
  <c r="CI158" i="1"/>
  <c r="P162" i="1"/>
  <c r="Q171" i="1"/>
  <c r="V213" i="1"/>
  <c r="V206" i="1" s="1"/>
  <c r="AM228" i="1"/>
  <c r="BK228" i="1"/>
  <c r="CI228" i="1"/>
  <c r="R230" i="1"/>
  <c r="BN230" i="1"/>
  <c r="BK234" i="1"/>
  <c r="AV160" i="1"/>
  <c r="BB160" i="1"/>
  <c r="L163" i="1"/>
  <c r="R163" i="1"/>
  <c r="X163" i="1"/>
  <c r="AD163" i="1"/>
  <c r="AJ163" i="1"/>
  <c r="AP163" i="1"/>
  <c r="AV163" i="1"/>
  <c r="BB163" i="1"/>
  <c r="BH163" i="1"/>
  <c r="BN163" i="1"/>
  <c r="BT163" i="1"/>
  <c r="BZ163" i="1"/>
  <c r="CF163" i="1"/>
  <c r="L165" i="1"/>
  <c r="R165" i="1"/>
  <c r="X165" i="1"/>
  <c r="AD165" i="1"/>
  <c r="AJ165" i="1"/>
  <c r="AP165" i="1"/>
  <c r="AV165" i="1"/>
  <c r="BB165" i="1"/>
  <c r="BH165" i="1"/>
  <c r="BN165" i="1"/>
  <c r="BT165" i="1"/>
  <c r="BZ165" i="1"/>
  <c r="CF165" i="1"/>
  <c r="L168" i="1"/>
  <c r="AD168" i="1"/>
  <c r="AJ168" i="1"/>
  <c r="AP168" i="1"/>
  <c r="AV168" i="1"/>
  <c r="BB168" i="1"/>
  <c r="BH168" i="1"/>
  <c r="BN168" i="1"/>
  <c r="BT168" i="1"/>
  <c r="BZ168" i="1"/>
  <c r="CF168" i="1"/>
  <c r="J169" i="1"/>
  <c r="U169" i="1"/>
  <c r="AA169" i="1"/>
  <c r="L170" i="1"/>
  <c r="AD170" i="1"/>
  <c r="AJ170" i="1"/>
  <c r="AP170" i="1"/>
  <c r="AV170" i="1"/>
  <c r="BB170" i="1"/>
  <c r="BH170" i="1"/>
  <c r="BN170" i="1"/>
  <c r="BT170" i="1"/>
  <c r="BZ170" i="1"/>
  <c r="CF170" i="1"/>
  <c r="J171" i="1"/>
  <c r="U171" i="1"/>
  <c r="AA171" i="1"/>
  <c r="L172" i="1"/>
  <c r="AD172" i="1"/>
  <c r="AJ172" i="1"/>
  <c r="AP172" i="1"/>
  <c r="AV172" i="1"/>
  <c r="BB172" i="1"/>
  <c r="BH172" i="1"/>
  <c r="BN172" i="1"/>
  <c r="BT172" i="1"/>
  <c r="BZ172" i="1"/>
  <c r="CF172" i="1"/>
  <c r="L187" i="1"/>
  <c r="R187" i="1"/>
  <c r="X187" i="1"/>
  <c r="AD187" i="1"/>
  <c r="AJ187" i="1"/>
  <c r="AP187" i="1"/>
  <c r="AV187" i="1"/>
  <c r="BB187" i="1"/>
  <c r="BH187" i="1"/>
  <c r="BN187" i="1"/>
  <c r="BT187" i="1"/>
  <c r="BZ187" i="1"/>
  <c r="CF187" i="1"/>
  <c r="J444" i="1"/>
  <c r="J438" i="1" s="1"/>
  <c r="J439" i="1"/>
  <c r="P188" i="1"/>
  <c r="U444" i="1"/>
  <c r="U438" i="1" s="1"/>
  <c r="U439" i="1"/>
  <c r="AA444" i="1"/>
  <c r="AA438" i="1" s="1"/>
  <c r="AA439" i="1"/>
  <c r="AG444" i="1"/>
  <c r="AG438" i="1" s="1"/>
  <c r="AG439" i="1"/>
  <c r="AM444" i="1"/>
  <c r="AM438" i="1" s="1"/>
  <c r="AM439" i="1"/>
  <c r="AS444" i="1"/>
  <c r="AS438" i="1" s="1"/>
  <c r="AS439" i="1"/>
  <c r="AY444" i="1"/>
  <c r="AY438" i="1" s="1"/>
  <c r="AY439" i="1"/>
  <c r="BF439" i="1"/>
  <c r="BF444" i="1"/>
  <c r="BL439" i="1"/>
  <c r="BL444" i="1"/>
  <c r="BR439" i="1"/>
  <c r="BR444" i="1"/>
  <c r="BX439" i="1"/>
  <c r="BX444" i="1"/>
  <c r="CD439" i="1"/>
  <c r="CD444" i="1"/>
  <c r="CJ439" i="1"/>
  <c r="CJ444" i="1"/>
  <c r="S440" i="1"/>
  <c r="R190" i="1"/>
  <c r="P190" i="1" s="1"/>
  <c r="R196" i="1"/>
  <c r="P196" i="1" s="1"/>
  <c r="H208" i="1"/>
  <c r="AH213" i="1"/>
  <c r="AH206" i="1" s="1"/>
  <c r="AN213" i="1"/>
  <c r="AN206" i="1" s="1"/>
  <c r="AT213" i="1"/>
  <c r="AT206" i="1" s="1"/>
  <c r="AZ213" i="1"/>
  <c r="AZ206" i="1" s="1"/>
  <c r="BF213" i="1"/>
  <c r="BF206" i="1" s="1"/>
  <c r="BL213" i="1"/>
  <c r="BL206" i="1" s="1"/>
  <c r="BR213" i="1"/>
  <c r="BR206" i="1" s="1"/>
  <c r="BX213" i="1"/>
  <c r="BX206" i="1" s="1"/>
  <c r="CD213" i="1"/>
  <c r="CD206" i="1" s="1"/>
  <c r="CJ213" i="1"/>
  <c r="CJ206" i="1" s="1"/>
  <c r="U237" i="1"/>
  <c r="U236" i="1"/>
  <c r="U235" i="1"/>
  <c r="U231" i="1"/>
  <c r="U233" i="1"/>
  <c r="U229" i="1"/>
  <c r="AG237" i="1"/>
  <c r="AG236" i="1"/>
  <c r="AG231" i="1"/>
  <c r="AG235" i="1"/>
  <c r="AG233" i="1"/>
  <c r="AG229" i="1"/>
  <c r="AS237" i="1"/>
  <c r="AS236" i="1"/>
  <c r="AS235" i="1"/>
  <c r="AS231" i="1"/>
  <c r="AS233" i="1"/>
  <c r="AS229" i="1"/>
  <c r="BE237" i="1"/>
  <c r="BE236" i="1"/>
  <c r="BE231" i="1"/>
  <c r="BE235" i="1"/>
  <c r="BE233" i="1"/>
  <c r="BE229" i="1"/>
  <c r="BQ237" i="1"/>
  <c r="BQ236" i="1"/>
  <c r="BQ235" i="1"/>
  <c r="BQ231" i="1"/>
  <c r="BQ233" i="1"/>
  <c r="BQ229" i="1"/>
  <c r="CC237" i="1"/>
  <c r="CC236" i="1"/>
  <c r="CC231" i="1"/>
  <c r="CC235" i="1"/>
  <c r="CC233" i="1"/>
  <c r="CC229" i="1"/>
  <c r="K220" i="1"/>
  <c r="CA229" i="1"/>
  <c r="U230" i="1"/>
  <c r="AG230" i="1"/>
  <c r="AS230" i="1"/>
  <c r="BE230" i="1"/>
  <c r="BQ230" i="1"/>
  <c r="CC230" i="1"/>
  <c r="AJ232" i="1"/>
  <c r="CF232" i="1"/>
  <c r="AW233" i="1"/>
  <c r="BQ234" i="1"/>
  <c r="P236" i="1"/>
  <c r="J257" i="1"/>
  <c r="BI187" i="1"/>
  <c r="BO187" i="1"/>
  <c r="BU187" i="1"/>
  <c r="CA187" i="1"/>
  <c r="CG187" i="1"/>
  <c r="K439" i="1"/>
  <c r="K444" i="1"/>
  <c r="K438" i="1" s="1"/>
  <c r="V439" i="1"/>
  <c r="V444" i="1"/>
  <c r="AB439" i="1"/>
  <c r="AB444" i="1"/>
  <c r="AH439" i="1"/>
  <c r="AH444" i="1"/>
  <c r="AN439" i="1"/>
  <c r="AN444" i="1"/>
  <c r="AN438" i="1" s="1"/>
  <c r="AT439" i="1"/>
  <c r="AT444" i="1"/>
  <c r="AZ439" i="1"/>
  <c r="AZ444" i="1"/>
  <c r="BH444" i="1"/>
  <c r="BH439" i="1"/>
  <c r="BN444" i="1"/>
  <c r="BN439" i="1"/>
  <c r="BT444" i="1"/>
  <c r="BT439" i="1"/>
  <c r="BZ444" i="1"/>
  <c r="BZ439" i="1"/>
  <c r="CF444" i="1"/>
  <c r="CF439" i="1"/>
  <c r="L235" i="1"/>
  <c r="L237" i="1"/>
  <c r="L233" i="1"/>
  <c r="L229" i="1"/>
  <c r="L231" i="1"/>
  <c r="X235" i="1"/>
  <c r="X237" i="1"/>
  <c r="X233" i="1"/>
  <c r="X229" i="1"/>
  <c r="X231" i="1"/>
  <c r="AJ235" i="1"/>
  <c r="AJ237" i="1"/>
  <c r="AJ233" i="1"/>
  <c r="AJ229" i="1"/>
  <c r="AJ231" i="1"/>
  <c r="AV235" i="1"/>
  <c r="AV237" i="1"/>
  <c r="AV233" i="1"/>
  <c r="AV229" i="1"/>
  <c r="AV231" i="1"/>
  <c r="BH235" i="1"/>
  <c r="BH237" i="1"/>
  <c r="BH233" i="1"/>
  <c r="BH229" i="1"/>
  <c r="BH234" i="1"/>
  <c r="BH231" i="1"/>
  <c r="BT235" i="1"/>
  <c r="BT237" i="1"/>
  <c r="BT233" i="1"/>
  <c r="BT229" i="1"/>
  <c r="BT234" i="1"/>
  <c r="BT231" i="1"/>
  <c r="CF235" i="1"/>
  <c r="CF237" i="1"/>
  <c r="CF233" i="1"/>
  <c r="CF229" i="1"/>
  <c r="CF234" i="1"/>
  <c r="CF231" i="1"/>
  <c r="Q238" i="1"/>
  <c r="S236" i="1"/>
  <c r="S234" i="1"/>
  <c r="S230" i="1"/>
  <c r="S237" i="1"/>
  <c r="S235" i="1"/>
  <c r="S232" i="1"/>
  <c r="S228" i="1"/>
  <c r="Y236" i="1"/>
  <c r="Y234" i="1"/>
  <c r="Y230" i="1"/>
  <c r="Y235" i="1"/>
  <c r="Y232" i="1"/>
  <c r="Y228" i="1"/>
  <c r="AE236" i="1"/>
  <c r="AE234" i="1"/>
  <c r="AE230" i="1"/>
  <c r="AE237" i="1"/>
  <c r="AE232" i="1"/>
  <c r="AE228" i="1"/>
  <c r="AK236" i="1"/>
  <c r="AK235" i="1"/>
  <c r="AK234" i="1"/>
  <c r="AK230" i="1"/>
  <c r="AK232" i="1"/>
  <c r="AK228" i="1"/>
  <c r="AQ236" i="1"/>
  <c r="AQ234" i="1"/>
  <c r="AQ230" i="1"/>
  <c r="AQ237" i="1"/>
  <c r="AQ235" i="1"/>
  <c r="AQ232" i="1"/>
  <c r="AQ228" i="1"/>
  <c r="AW236" i="1"/>
  <c r="AW234" i="1"/>
  <c r="AW230" i="1"/>
  <c r="AW235" i="1"/>
  <c r="AW232" i="1"/>
  <c r="AW228" i="1"/>
  <c r="BC236" i="1"/>
  <c r="BC234" i="1"/>
  <c r="BC230" i="1"/>
  <c r="BC237" i="1"/>
  <c r="BC232" i="1"/>
  <c r="BC228" i="1"/>
  <c r="BI236" i="1"/>
  <c r="BI235" i="1"/>
  <c r="BI234" i="1"/>
  <c r="BI230" i="1"/>
  <c r="BI232" i="1"/>
  <c r="BI228" i="1"/>
  <c r="BO236" i="1"/>
  <c r="BO234" i="1"/>
  <c r="BO230" i="1"/>
  <c r="BO237" i="1"/>
  <c r="BO235" i="1"/>
  <c r="BO232" i="1"/>
  <c r="BO228" i="1"/>
  <c r="BU236" i="1"/>
  <c r="BU234" i="1"/>
  <c r="BU230" i="1"/>
  <c r="BU235" i="1"/>
  <c r="BU232" i="1"/>
  <c r="BU228" i="1"/>
  <c r="CA236" i="1"/>
  <c r="CA234" i="1"/>
  <c r="CA230" i="1"/>
  <c r="CA237" i="1"/>
  <c r="CA232" i="1"/>
  <c r="CA228" i="1"/>
  <c r="CG236" i="1"/>
  <c r="CG235" i="1"/>
  <c r="CG230" i="1"/>
  <c r="CG234" i="1"/>
  <c r="CG232" i="1"/>
  <c r="CG228" i="1"/>
  <c r="L230" i="1"/>
  <c r="X230" i="1"/>
  <c r="AJ230" i="1"/>
  <c r="AV230" i="1"/>
  <c r="BH230" i="1"/>
  <c r="BT230" i="1"/>
  <c r="CF230" i="1"/>
  <c r="Y231" i="1"/>
  <c r="AK231" i="1"/>
  <c r="AW231" i="1"/>
  <c r="BI231" i="1"/>
  <c r="BU231" i="1"/>
  <c r="CG231" i="1"/>
  <c r="BC235" i="1"/>
  <c r="AV236" i="1"/>
  <c r="BI237" i="1"/>
  <c r="L444" i="1"/>
  <c r="L439" i="1"/>
  <c r="P445" i="1"/>
  <c r="R439" i="1"/>
  <c r="X444" i="1"/>
  <c r="X439" i="1"/>
  <c r="AD444" i="1"/>
  <c r="AD439" i="1"/>
  <c r="AJ444" i="1"/>
  <c r="AJ439" i="1"/>
  <c r="AP444" i="1"/>
  <c r="AP439" i="1"/>
  <c r="AV444" i="1"/>
  <c r="AV439" i="1"/>
  <c r="BB444" i="1"/>
  <c r="BB439" i="1"/>
  <c r="BI444" i="1"/>
  <c r="BI438" i="1" s="1"/>
  <c r="BI439" i="1"/>
  <c r="BO439" i="1"/>
  <c r="BU444" i="1"/>
  <c r="BU438" i="1" s="1"/>
  <c r="BU439" i="1"/>
  <c r="CA444" i="1"/>
  <c r="CA438" i="1" s="1"/>
  <c r="CA439" i="1"/>
  <c r="CG444" i="1"/>
  <c r="CG438" i="1" s="1"/>
  <c r="CG439" i="1"/>
  <c r="S213" i="1"/>
  <c r="S206" i="1" s="1"/>
  <c r="Y213" i="1"/>
  <c r="Y206" i="1" s="1"/>
  <c r="AE213" i="1"/>
  <c r="AE206" i="1" s="1"/>
  <c r="AK213" i="1"/>
  <c r="AK206" i="1" s="1"/>
  <c r="AQ213" i="1"/>
  <c r="AQ206" i="1" s="1"/>
  <c r="AW213" i="1"/>
  <c r="AW206" i="1" s="1"/>
  <c r="BC213" i="1"/>
  <c r="BC206" i="1" s="1"/>
  <c r="BI213" i="1"/>
  <c r="BI206" i="1" s="1"/>
  <c r="BO213" i="1"/>
  <c r="BO206" i="1" s="1"/>
  <c r="BU213" i="1"/>
  <c r="BU206" i="1" s="1"/>
  <c r="CA213" i="1"/>
  <c r="CA206" i="1" s="1"/>
  <c r="CG213" i="1"/>
  <c r="CG206" i="1" s="1"/>
  <c r="I220" i="1"/>
  <c r="I238" i="1" s="1"/>
  <c r="M220" i="1"/>
  <c r="M238" i="1" s="1"/>
  <c r="L228" i="1"/>
  <c r="X228" i="1"/>
  <c r="AJ228" i="1"/>
  <c r="AV228" i="1"/>
  <c r="BH228" i="1"/>
  <c r="BT228" i="1"/>
  <c r="CF228" i="1"/>
  <c r="Y229" i="1"/>
  <c r="AK229" i="1"/>
  <c r="AW229" i="1"/>
  <c r="BI229" i="1"/>
  <c r="BU229" i="1"/>
  <c r="CG229" i="1"/>
  <c r="S233" i="1"/>
  <c r="AE233" i="1"/>
  <c r="AQ233" i="1"/>
  <c r="BC233" i="1"/>
  <c r="BO233" i="1"/>
  <c r="CA233" i="1"/>
  <c r="AE235" i="1"/>
  <c r="L236" i="1"/>
  <c r="BH236" i="1"/>
  <c r="Y237" i="1"/>
  <c r="BU237" i="1"/>
  <c r="U262" i="1"/>
  <c r="U256" i="1"/>
  <c r="AA262" i="1"/>
  <c r="AA256" i="1"/>
  <c r="AG262" i="1"/>
  <c r="AG256" i="1"/>
  <c r="AM262" i="1"/>
  <c r="AM256" i="1"/>
  <c r="AS262" i="1"/>
  <c r="AS256" i="1"/>
  <c r="AY262" i="1"/>
  <c r="AY256" i="1"/>
  <c r="BE262" i="1"/>
  <c r="BE256" i="1"/>
  <c r="BK262" i="1"/>
  <c r="BK256" i="1"/>
  <c r="BQ262" i="1"/>
  <c r="BQ256" i="1"/>
  <c r="BW262" i="1"/>
  <c r="BW256" i="1"/>
  <c r="CC262" i="1"/>
  <c r="CC256" i="1"/>
  <c r="CI262" i="1"/>
  <c r="CI256" i="1"/>
  <c r="J262" i="1"/>
  <c r="J256" i="1"/>
  <c r="I256" i="1"/>
  <c r="K259" i="1"/>
  <c r="P262" i="1"/>
  <c r="P256" i="1"/>
  <c r="S283" i="1"/>
  <c r="S286" i="1"/>
  <c r="S289" i="1"/>
  <c r="S282" i="1"/>
  <c r="Y283" i="1"/>
  <c r="Y286" i="1"/>
  <c r="Y289" i="1"/>
  <c r="Y282" i="1"/>
  <c r="AE283" i="1"/>
  <c r="AE286" i="1"/>
  <c r="AE289" i="1"/>
  <c r="AE282" i="1"/>
  <c r="AK283" i="1"/>
  <c r="AK286" i="1"/>
  <c r="AK289" i="1"/>
  <c r="AK282" i="1"/>
  <c r="AQ283" i="1"/>
  <c r="AQ286" i="1"/>
  <c r="AQ289" i="1"/>
  <c r="AQ282" i="1"/>
  <c r="AW283" i="1"/>
  <c r="AW286" i="1"/>
  <c r="AW289" i="1"/>
  <c r="AW282" i="1"/>
  <c r="BC283" i="1"/>
  <c r="BC286" i="1"/>
  <c r="BC289" i="1"/>
  <c r="BC282" i="1"/>
  <c r="BI283" i="1"/>
  <c r="BI286" i="1"/>
  <c r="BI289" i="1"/>
  <c r="BI282" i="1"/>
  <c r="BO283" i="1"/>
  <c r="BO286" i="1"/>
  <c r="BO289" i="1"/>
  <c r="BO282" i="1"/>
  <c r="BU283" i="1"/>
  <c r="BU286" i="1"/>
  <c r="BU289" i="1"/>
  <c r="BU282" i="1"/>
  <c r="CA283" i="1"/>
  <c r="CA286" i="1"/>
  <c r="CA289" i="1"/>
  <c r="CA282" i="1"/>
  <c r="CG283" i="1"/>
  <c r="CG286" i="1"/>
  <c r="CG289" i="1"/>
  <c r="CG282" i="1"/>
  <c r="Q302" i="1"/>
  <c r="Q283" i="1" s="1"/>
  <c r="Q290" i="1"/>
  <c r="Q263" i="1"/>
  <c r="P299" i="1"/>
  <c r="P289" i="1" s="1"/>
  <c r="P290" i="1"/>
  <c r="I283" i="1"/>
  <c r="I286" i="1"/>
  <c r="I289" i="1"/>
  <c r="I282" i="1"/>
  <c r="M283" i="1"/>
  <c r="M286" i="1"/>
  <c r="M289" i="1"/>
  <c r="M282" i="1"/>
  <c r="F337" i="1"/>
  <c r="F324" i="1"/>
  <c r="G337" i="1"/>
  <c r="G324" i="1"/>
  <c r="H256" i="1"/>
  <c r="Q282" i="1"/>
  <c r="E286" i="1"/>
  <c r="Q289" i="1"/>
  <c r="P334" i="1"/>
  <c r="P327" i="1" s="1"/>
  <c r="P328" i="1"/>
  <c r="L256" i="1"/>
  <c r="R256" i="1"/>
  <c r="X256" i="1"/>
  <c r="AD256" i="1"/>
  <c r="AJ256" i="1"/>
  <c r="AP256" i="1"/>
  <c r="AV256" i="1"/>
  <c r="BB256" i="1"/>
  <c r="BH256" i="1"/>
  <c r="BN256" i="1"/>
  <c r="BT256" i="1"/>
  <c r="BZ256" i="1"/>
  <c r="CF256" i="1"/>
  <c r="Q257" i="1"/>
  <c r="R324" i="1"/>
  <c r="R330" i="1"/>
  <c r="X324" i="1"/>
  <c r="X330" i="1"/>
  <c r="AD324" i="1"/>
  <c r="AD330" i="1"/>
  <c r="AJ324" i="1"/>
  <c r="AJ330" i="1"/>
  <c r="AP324" i="1"/>
  <c r="AP330" i="1"/>
  <c r="AV324" i="1"/>
  <c r="AV330" i="1"/>
  <c r="BB324" i="1"/>
  <c r="BB330" i="1"/>
  <c r="BH324" i="1"/>
  <c r="BH330" i="1"/>
  <c r="BN324" i="1"/>
  <c r="BN330" i="1"/>
  <c r="BT324" i="1"/>
  <c r="BT330" i="1"/>
  <c r="BZ324" i="1"/>
  <c r="BZ330" i="1"/>
  <c r="CF324" i="1"/>
  <c r="CF330" i="1"/>
  <c r="I325" i="1"/>
  <c r="I331" i="1"/>
  <c r="L351" i="1"/>
  <c r="L345" i="1" s="1"/>
  <c r="L346" i="1"/>
  <c r="AE354" i="1"/>
  <c r="AQ354" i="1"/>
  <c r="BI354" i="1"/>
  <c r="CG354" i="1"/>
  <c r="L324" i="1"/>
  <c r="L330" i="1"/>
  <c r="J337" i="1"/>
  <c r="J324" i="1"/>
  <c r="P337" i="1"/>
  <c r="P324" i="1"/>
  <c r="U337" i="1"/>
  <c r="U324" i="1"/>
  <c r="AA337" i="1"/>
  <c r="AA324" i="1"/>
  <c r="AG337" i="1"/>
  <c r="AG324" i="1"/>
  <c r="AM337" i="1"/>
  <c r="AM324" i="1"/>
  <c r="AS337" i="1"/>
  <c r="AS324" i="1"/>
  <c r="AY337" i="1"/>
  <c r="AY324" i="1"/>
  <c r="BE337" i="1"/>
  <c r="BE324" i="1"/>
  <c r="BK337" i="1"/>
  <c r="BK324" i="1"/>
  <c r="BQ337" i="1"/>
  <c r="BQ324" i="1"/>
  <c r="BW337" i="1"/>
  <c r="BW324" i="1"/>
  <c r="CC337" i="1"/>
  <c r="CC324" i="1"/>
  <c r="CI337" i="1"/>
  <c r="CI324" i="1"/>
  <c r="K327" i="1"/>
  <c r="K337" i="1"/>
  <c r="Q327" i="1"/>
  <c r="Q337" i="1"/>
  <c r="V327" i="1"/>
  <c r="V337" i="1"/>
  <c r="AB327" i="1"/>
  <c r="AB337" i="1"/>
  <c r="AH327" i="1"/>
  <c r="AH337" i="1"/>
  <c r="AN327" i="1"/>
  <c r="AN337" i="1"/>
  <c r="AT327" i="1"/>
  <c r="AT337" i="1"/>
  <c r="AZ327" i="1"/>
  <c r="AZ337" i="1"/>
  <c r="BF327" i="1"/>
  <c r="BF337" i="1"/>
  <c r="BL327" i="1"/>
  <c r="BL337" i="1"/>
  <c r="BR327" i="1"/>
  <c r="BR337" i="1"/>
  <c r="BX327" i="1"/>
  <c r="BX337" i="1"/>
  <c r="CD327" i="1"/>
  <c r="CD337" i="1"/>
  <c r="CJ327" i="1"/>
  <c r="CJ337" i="1"/>
  <c r="H324" i="1"/>
  <c r="H330" i="1"/>
  <c r="Q331" i="1"/>
  <c r="U354" i="1"/>
  <c r="AG354" i="1"/>
  <c r="AS354" i="1"/>
  <c r="S360" i="1"/>
  <c r="S354" i="1" s="1"/>
  <c r="P410" i="1"/>
  <c r="P409" i="1"/>
  <c r="P408" i="1"/>
  <c r="P407" i="1"/>
  <c r="P406" i="1"/>
  <c r="P405" i="1"/>
  <c r="P404" i="1"/>
  <c r="P402" i="1"/>
  <c r="P401" i="1"/>
  <c r="P400" i="1"/>
  <c r="P399" i="1"/>
  <c r="P398" i="1"/>
  <c r="P397" i="1"/>
  <c r="J354" i="1"/>
  <c r="P377" i="1"/>
  <c r="P372" i="1"/>
  <c r="P370" i="1"/>
  <c r="P369" i="1"/>
  <c r="P368" i="1"/>
  <c r="P367" i="1"/>
  <c r="P366" i="1"/>
  <c r="P365" i="1"/>
  <c r="P373" i="1"/>
  <c r="Q370" i="1"/>
  <c r="Q369" i="1"/>
  <c r="Q368" i="1"/>
  <c r="Q367" i="1"/>
  <c r="Q366" i="1"/>
  <c r="Q365" i="1"/>
  <c r="Q378" i="1"/>
  <c r="Q377" i="1"/>
  <c r="Q376" i="1"/>
  <c r="Q375" i="1"/>
  <c r="Q374" i="1"/>
  <c r="Q373" i="1"/>
  <c r="Q372" i="1"/>
  <c r="P375" i="1"/>
  <c r="P376" i="1"/>
  <c r="P378" i="1"/>
  <c r="Q410" i="1"/>
  <c r="Q409" i="1"/>
  <c r="Q408" i="1"/>
  <c r="X438" i="1"/>
  <c r="AD438" i="1"/>
  <c r="AJ438" i="1"/>
  <c r="AP438" i="1"/>
  <c r="AV438" i="1"/>
  <c r="BB438" i="1"/>
  <c r="BH438" i="1"/>
  <c r="BN438" i="1"/>
  <c r="BT438" i="1"/>
  <c r="BZ438" i="1"/>
  <c r="CF438" i="1"/>
  <c r="L410" i="1"/>
  <c r="L409" i="1"/>
  <c r="L438" i="1"/>
  <c r="I375" i="1"/>
  <c r="M375" i="1"/>
  <c r="S375" i="1"/>
  <c r="Y375" i="1"/>
  <c r="AE375" i="1"/>
  <c r="AK375" i="1"/>
  <c r="AQ375" i="1"/>
  <c r="AW375" i="1"/>
  <c r="BC375" i="1"/>
  <c r="BI375" i="1"/>
  <c r="BO375" i="1"/>
  <c r="BU375" i="1"/>
  <c r="CA375" i="1"/>
  <c r="CG375" i="1"/>
  <c r="I376" i="1"/>
  <c r="M376" i="1"/>
  <c r="S376" i="1"/>
  <c r="Y376" i="1"/>
  <c r="AE376" i="1"/>
  <c r="AK376" i="1"/>
  <c r="AQ376" i="1"/>
  <c r="AW376" i="1"/>
  <c r="BC376" i="1"/>
  <c r="BI376" i="1"/>
  <c r="BO376" i="1"/>
  <c r="BU376" i="1"/>
  <c r="CA376" i="1"/>
  <c r="CG376" i="1"/>
  <c r="I377" i="1"/>
  <c r="M377" i="1"/>
  <c r="S377" i="1"/>
  <c r="Y377" i="1"/>
  <c r="AE377" i="1"/>
  <c r="AK377" i="1"/>
  <c r="AQ377" i="1"/>
  <c r="AW377" i="1"/>
  <c r="BC377" i="1"/>
  <c r="BI377" i="1"/>
  <c r="BO377" i="1"/>
  <c r="BU377" i="1"/>
  <c r="CA377" i="1"/>
  <c r="CG377" i="1"/>
  <c r="L355" i="1"/>
  <c r="R355" i="1"/>
  <c r="X355" i="1"/>
  <c r="AD355" i="1"/>
  <c r="AJ355" i="1"/>
  <c r="AP355" i="1"/>
  <c r="AV355" i="1"/>
  <c r="BB355" i="1"/>
  <c r="BH355" i="1"/>
  <c r="BN355" i="1"/>
  <c r="BT355" i="1"/>
  <c r="BZ355" i="1"/>
  <c r="CF355" i="1"/>
  <c r="J373" i="1"/>
  <c r="U373" i="1"/>
  <c r="AA373" i="1"/>
  <c r="AG373" i="1"/>
  <c r="AM373" i="1"/>
  <c r="AS373" i="1"/>
  <c r="AY373" i="1"/>
  <c r="BE373" i="1"/>
  <c r="BK373" i="1"/>
  <c r="BQ373" i="1"/>
  <c r="BW373" i="1"/>
  <c r="CC373" i="1"/>
  <c r="CI373" i="1"/>
  <c r="P374" i="1"/>
  <c r="U374" i="1"/>
  <c r="AA374" i="1"/>
  <c r="AG374" i="1"/>
  <c r="AM374" i="1"/>
  <c r="AS374" i="1"/>
  <c r="AY374" i="1"/>
  <c r="BE374" i="1"/>
  <c r="BK374" i="1"/>
  <c r="BQ374" i="1"/>
  <c r="BW374" i="1"/>
  <c r="CC374" i="1"/>
  <c r="CI374" i="1"/>
  <c r="J375" i="1"/>
  <c r="U375" i="1"/>
  <c r="AA375" i="1"/>
  <c r="AG375" i="1"/>
  <c r="AM375" i="1"/>
  <c r="AS375" i="1"/>
  <c r="AY375" i="1"/>
  <c r="BE375" i="1"/>
  <c r="BK375" i="1"/>
  <c r="BQ375" i="1"/>
  <c r="BW375" i="1"/>
  <c r="CC375" i="1"/>
  <c r="CI375" i="1"/>
  <c r="J376" i="1"/>
  <c r="U376" i="1"/>
  <c r="AA376" i="1"/>
  <c r="AG376" i="1"/>
  <c r="AM376" i="1"/>
  <c r="AS376" i="1"/>
  <c r="AY376" i="1"/>
  <c r="BE376" i="1"/>
  <c r="BK376" i="1"/>
  <c r="BQ376" i="1"/>
  <c r="BW376" i="1"/>
  <c r="CC376" i="1"/>
  <c r="CI376" i="1"/>
  <c r="J377" i="1"/>
  <c r="U377" i="1"/>
  <c r="AA377" i="1"/>
  <c r="AG377" i="1"/>
  <c r="AM377" i="1"/>
  <c r="AS377" i="1"/>
  <c r="AY377" i="1"/>
  <c r="BE377" i="1"/>
  <c r="BK377" i="1"/>
  <c r="BQ377" i="1"/>
  <c r="BW377" i="1"/>
  <c r="CC377" i="1"/>
  <c r="CI377" i="1"/>
  <c r="L406" i="1"/>
  <c r="L407" i="1"/>
  <c r="L408" i="1"/>
  <c r="V438" i="1"/>
  <c r="AB438" i="1"/>
  <c r="AH438" i="1"/>
  <c r="AT438" i="1"/>
  <c r="AZ438" i="1"/>
  <c r="BF438" i="1"/>
  <c r="BL438" i="1"/>
  <c r="BR438" i="1"/>
  <c r="BX438" i="1"/>
  <c r="CD438" i="1"/>
  <c r="CJ438" i="1"/>
  <c r="Q455" i="1"/>
  <c r="Q482" i="1"/>
  <c r="P532" i="1"/>
  <c r="P526" i="1" s="1"/>
  <c r="P527" i="1"/>
  <c r="Q517" i="1"/>
  <c r="Q528" i="1"/>
  <c r="Q484" i="1"/>
  <c r="Q456" i="1" s="1"/>
  <c r="Q533" i="1"/>
  <c r="Y482" i="1"/>
  <c r="R532" i="1"/>
  <c r="R526" i="1" s="1"/>
  <c r="N1352" i="5" l="1"/>
  <c r="N1351" i="5"/>
  <c r="N1621" i="5"/>
  <c r="N1620" i="5"/>
  <c r="N630" i="5"/>
  <c r="N626" i="5"/>
  <c r="N1665" i="5"/>
  <c r="N1671" i="5"/>
  <c r="N1423" i="5"/>
  <c r="N1420" i="5"/>
  <c r="AJ236" i="1"/>
  <c r="AJ234" i="1"/>
  <c r="BT232" i="1"/>
  <c r="BT236" i="1"/>
  <c r="AV232" i="1"/>
  <c r="AV234" i="1"/>
  <c r="J238" i="1"/>
  <c r="J206" i="1"/>
  <c r="P439" i="1"/>
  <c r="AW444" i="1"/>
  <c r="AW438" i="1" s="1"/>
  <c r="AW439" i="1"/>
  <c r="P330" i="1"/>
  <c r="P237" i="1"/>
  <c r="K238" i="1"/>
  <c r="K206" i="1"/>
  <c r="P187" i="1"/>
  <c r="Q187" i="1"/>
  <c r="Q346" i="1"/>
  <c r="Q351" i="1"/>
  <c r="Q345" i="1" s="1"/>
  <c r="M206" i="1"/>
  <c r="Q190" i="1"/>
  <c r="CJ234" i="1"/>
  <c r="CJ236" i="1"/>
  <c r="CJ232" i="1"/>
  <c r="CJ228" i="1"/>
  <c r="CJ237" i="1"/>
  <c r="CJ235" i="1"/>
  <c r="CJ230" i="1"/>
  <c r="CJ231" i="1"/>
  <c r="CJ233" i="1"/>
  <c r="CJ229" i="1"/>
  <c r="BX236" i="1"/>
  <c r="BX235" i="1"/>
  <c r="BX232" i="1"/>
  <c r="BX228" i="1"/>
  <c r="BX237" i="1"/>
  <c r="BX234" i="1"/>
  <c r="BX230" i="1"/>
  <c r="BX231" i="1"/>
  <c r="BX233" i="1"/>
  <c r="BX229" i="1"/>
  <c r="BL236" i="1"/>
  <c r="BL232" i="1"/>
  <c r="BL228" i="1"/>
  <c r="BL237" i="1"/>
  <c r="BL235" i="1"/>
  <c r="BL234" i="1"/>
  <c r="BL230" i="1"/>
  <c r="BL231" i="1"/>
  <c r="BL233" i="1"/>
  <c r="BL229" i="1"/>
  <c r="AZ236" i="1"/>
  <c r="AZ235" i="1"/>
  <c r="AZ232" i="1"/>
  <c r="AZ228" i="1"/>
  <c r="AZ237" i="1"/>
  <c r="AZ234" i="1"/>
  <c r="AZ230" i="1"/>
  <c r="AZ231" i="1"/>
  <c r="AZ233" i="1"/>
  <c r="AZ229" i="1"/>
  <c r="AN236" i="1"/>
  <c r="AN232" i="1"/>
  <c r="AN228" i="1"/>
  <c r="AN237" i="1"/>
  <c r="AN235" i="1"/>
  <c r="AN234" i="1"/>
  <c r="AN230" i="1"/>
  <c r="AN231" i="1"/>
  <c r="AN233" i="1"/>
  <c r="AN229" i="1"/>
  <c r="AB236" i="1"/>
  <c r="AB235" i="1"/>
  <c r="AB232" i="1"/>
  <c r="AB228" i="1"/>
  <c r="AB237" i="1"/>
  <c r="AB234" i="1"/>
  <c r="AB230" i="1"/>
  <c r="AB231" i="1"/>
  <c r="AB233" i="1"/>
  <c r="AB229" i="1"/>
  <c r="P172" i="1"/>
  <c r="P170" i="1"/>
  <c r="P168" i="1"/>
  <c r="J54" i="1"/>
  <c r="J40" i="1" s="1"/>
  <c r="AM54" i="1"/>
  <c r="AM40" i="1" s="1"/>
  <c r="Q262" i="1"/>
  <c r="Q256" i="1"/>
  <c r="CI444" i="1"/>
  <c r="CI438" i="1" s="1"/>
  <c r="CI439" i="1"/>
  <c r="BK444" i="1"/>
  <c r="BK438" i="1" s="1"/>
  <c r="BK439" i="1"/>
  <c r="Y444" i="1"/>
  <c r="Y438" i="1" s="1"/>
  <c r="Y439" i="1"/>
  <c r="P446" i="1"/>
  <c r="P440" i="1" s="1"/>
  <c r="R440" i="1"/>
  <c r="Q532" i="1"/>
  <c r="Q526" i="1" s="1"/>
  <c r="Q527" i="1"/>
  <c r="Q330" i="1"/>
  <c r="Q324" i="1"/>
  <c r="M236" i="1"/>
  <c r="M235" i="1"/>
  <c r="M234" i="1"/>
  <c r="M230" i="1"/>
  <c r="M232" i="1"/>
  <c r="M228" i="1"/>
  <c r="M229" i="1"/>
  <c r="M237" i="1"/>
  <c r="M231" i="1"/>
  <c r="M233" i="1"/>
  <c r="Q446" i="1"/>
  <c r="Q440" i="1" s="1"/>
  <c r="CC444" i="1"/>
  <c r="CC438" i="1" s="1"/>
  <c r="CC439" i="1"/>
  <c r="BQ444" i="1"/>
  <c r="BQ438" i="1" s="1"/>
  <c r="BQ439" i="1"/>
  <c r="BE444" i="1"/>
  <c r="BE438" i="1" s="1"/>
  <c r="BE439" i="1"/>
  <c r="AQ444" i="1"/>
  <c r="AQ438" i="1" s="1"/>
  <c r="AQ439" i="1"/>
  <c r="AE444" i="1"/>
  <c r="AE438" i="1" s="1"/>
  <c r="AE439" i="1"/>
  <c r="Q166" i="1"/>
  <c r="Q165" i="1"/>
  <c r="Q160" i="1"/>
  <c r="Q162" i="1"/>
  <c r="Q156" i="1"/>
  <c r="Q164" i="1"/>
  <c r="Q158" i="1"/>
  <c r="Q172" i="1"/>
  <c r="Q170" i="1"/>
  <c r="M444" i="1"/>
  <c r="M438" i="1" s="1"/>
  <c r="M439" i="1"/>
  <c r="P66" i="1"/>
  <c r="P41" i="1" s="1"/>
  <c r="Q163" i="1"/>
  <c r="BW444" i="1"/>
  <c r="BW438" i="1" s="1"/>
  <c r="BW439" i="1"/>
  <c r="AK444" i="1"/>
  <c r="AK438" i="1" s="1"/>
  <c r="AK439" i="1"/>
  <c r="P231" i="1"/>
  <c r="P233" i="1"/>
  <c r="P229" i="1"/>
  <c r="P230" i="1"/>
  <c r="P232" i="1"/>
  <c r="P234" i="1"/>
  <c r="P228" i="1"/>
  <c r="P54" i="1"/>
  <c r="P40" i="1" s="1"/>
  <c r="P44" i="1"/>
  <c r="I330" i="1"/>
  <c r="I324" i="1"/>
  <c r="I236" i="1"/>
  <c r="I234" i="1"/>
  <c r="I230" i="1"/>
  <c r="I237" i="1"/>
  <c r="I232" i="1"/>
  <c r="I228" i="1"/>
  <c r="I233" i="1"/>
  <c r="I229" i="1"/>
  <c r="I235" i="1"/>
  <c r="I231" i="1"/>
  <c r="BO444" i="1"/>
  <c r="BO438" i="1" s="1"/>
  <c r="R444" i="1"/>
  <c r="R438" i="1" s="1"/>
  <c r="Q286" i="1"/>
  <c r="Q236" i="1"/>
  <c r="Q232" i="1"/>
  <c r="Q228" i="1"/>
  <c r="Q237" i="1"/>
  <c r="Q235" i="1"/>
  <c r="Q234" i="1"/>
  <c r="Q230" i="1"/>
  <c r="Q231" i="1"/>
  <c r="Q233" i="1"/>
  <c r="Q229" i="1"/>
  <c r="P166" i="1"/>
  <c r="P159" i="1"/>
  <c r="P165" i="1"/>
  <c r="P163" i="1"/>
  <c r="P160" i="1"/>
  <c r="P157" i="1"/>
  <c r="P156" i="1"/>
  <c r="Q445" i="1"/>
  <c r="S444" i="1"/>
  <c r="S438" i="1" s="1"/>
  <c r="S439" i="1"/>
  <c r="I206" i="1"/>
  <c r="P158" i="1"/>
  <c r="P220" i="1"/>
  <c r="P206" i="1" s="1"/>
  <c r="P207" i="1"/>
  <c r="CD234" i="1"/>
  <c r="CD236" i="1"/>
  <c r="CD237" i="1"/>
  <c r="CD232" i="1"/>
  <c r="CD228" i="1"/>
  <c r="CD235" i="1"/>
  <c r="CD230" i="1"/>
  <c r="CD229" i="1"/>
  <c r="CD231" i="1"/>
  <c r="CD233" i="1"/>
  <c r="BR236" i="1"/>
  <c r="BR237" i="1"/>
  <c r="BR232" i="1"/>
  <c r="BR228" i="1"/>
  <c r="BR234" i="1"/>
  <c r="BR230" i="1"/>
  <c r="BR229" i="1"/>
  <c r="BR231" i="1"/>
  <c r="BR235" i="1"/>
  <c r="BR233" i="1"/>
  <c r="BF236" i="1"/>
  <c r="BF237" i="1"/>
  <c r="BF232" i="1"/>
  <c r="BF228" i="1"/>
  <c r="BF235" i="1"/>
  <c r="BF234" i="1"/>
  <c r="BF230" i="1"/>
  <c r="BF229" i="1"/>
  <c r="BF231" i="1"/>
  <c r="BF233" i="1"/>
  <c r="AT236" i="1"/>
  <c r="AT237" i="1"/>
  <c r="AT232" i="1"/>
  <c r="AT228" i="1"/>
  <c r="AT234" i="1"/>
  <c r="AT230" i="1"/>
  <c r="AT229" i="1"/>
  <c r="AT235" i="1"/>
  <c r="AT231" i="1"/>
  <c r="AT233" i="1"/>
  <c r="AH236" i="1"/>
  <c r="AH237" i="1"/>
  <c r="AH232" i="1"/>
  <c r="AH228" i="1"/>
  <c r="AH235" i="1"/>
  <c r="AH234" i="1"/>
  <c r="AH230" i="1"/>
  <c r="AH229" i="1"/>
  <c r="AH231" i="1"/>
  <c r="AH233" i="1"/>
  <c r="V236" i="1"/>
  <c r="V237" i="1"/>
  <c r="V232" i="1"/>
  <c r="V228" i="1"/>
  <c r="V234" i="1"/>
  <c r="V230" i="1"/>
  <c r="V235" i="1"/>
  <c r="V229" i="1"/>
  <c r="V231" i="1"/>
  <c r="V233" i="1"/>
  <c r="BC444" i="1"/>
  <c r="BC438" i="1" s="1"/>
  <c r="BC440" i="1"/>
  <c r="Q63" i="1"/>
  <c r="Q41" i="1" s="1"/>
  <c r="Q45" i="1"/>
  <c r="P77" i="1"/>
  <c r="P75" i="1" s="1"/>
  <c r="Q168" i="1"/>
  <c r="N1650" i="5" l="1"/>
  <c r="N1649" i="5"/>
  <c r="J232" i="1"/>
  <c r="J228" i="1"/>
  <c r="J234" i="1"/>
  <c r="J236" i="1"/>
  <c r="J229" i="1"/>
  <c r="J235" i="1"/>
  <c r="J237" i="1"/>
  <c r="J233" i="1"/>
  <c r="J230" i="1"/>
  <c r="J231" i="1"/>
  <c r="K237" i="1"/>
  <c r="K236" i="1"/>
  <c r="K232" i="1"/>
  <c r="K228" i="1"/>
  <c r="K235" i="1"/>
  <c r="K234" i="1"/>
  <c r="K230" i="1"/>
  <c r="K229" i="1"/>
  <c r="K231" i="1"/>
  <c r="K233" i="1"/>
  <c r="Q439" i="1"/>
  <c r="Q444" i="1"/>
  <c r="Q438" i="1" s="1"/>
  <c r="P444" i="1"/>
  <c r="P438" i="1" s="1"/>
  <c r="K42" i="5" l="1"/>
  <c r="K69" i="9" l="1"/>
  <c r="M10" i="5"/>
  <c r="M1660" i="5"/>
  <c r="M1657" i="5"/>
  <c r="M1655" i="5"/>
  <c r="M1654" i="5"/>
  <c r="M1653" i="5"/>
  <c r="M1652" i="5"/>
  <c r="M1631" i="5"/>
  <c r="M1628" i="5"/>
  <c r="M1626" i="5"/>
  <c r="M1625" i="5"/>
  <c r="M1624" i="5"/>
  <c r="M1623" i="5"/>
  <c r="M1613" i="5"/>
  <c r="M1610" i="5"/>
  <c r="M1607" i="5"/>
  <c r="M1592" i="5" s="1"/>
  <c r="M1606" i="5"/>
  <c r="M1605" i="5"/>
  <c r="M1602" i="5"/>
  <c r="M1599" i="5"/>
  <c r="M1597" i="5"/>
  <c r="M1596" i="5"/>
  <c r="M1595" i="5"/>
  <c r="M1594" i="5"/>
  <c r="M1589" i="5" s="1"/>
  <c r="M1593" i="5"/>
  <c r="M1584" i="5"/>
  <c r="M1581" i="5"/>
  <c r="M1579" i="5"/>
  <c r="M1578" i="5"/>
  <c r="M1563" i="5" s="1"/>
  <c r="M1577" i="5"/>
  <c r="M1576" i="5"/>
  <c r="M1573" i="5"/>
  <c r="M1570" i="5"/>
  <c r="M1568" i="5"/>
  <c r="M1567" i="5"/>
  <c r="M1566" i="5"/>
  <c r="M1561" i="5" s="1"/>
  <c r="M1565" i="5"/>
  <c r="M1560" i="5" s="1"/>
  <c r="M1562" i="5"/>
  <c r="M1555" i="5"/>
  <c r="M1552" i="5"/>
  <c r="M1550" i="5"/>
  <c r="M1535" i="5" s="1"/>
  <c r="M1549" i="5"/>
  <c r="M1548" i="5"/>
  <c r="M1547" i="5"/>
  <c r="M1544" i="5"/>
  <c r="M1541" i="5"/>
  <c r="M1539" i="5"/>
  <c r="M1538" i="5"/>
  <c r="M1537" i="5"/>
  <c r="M1536" i="5"/>
  <c r="M1534" i="5"/>
  <c r="M1531" i="5"/>
  <c r="M1525" i="5"/>
  <c r="M1641" i="5" s="1"/>
  <c r="M1524" i="5"/>
  <c r="M1640" i="5" s="1"/>
  <c r="M1669" i="5" s="1"/>
  <c r="M1518" i="5"/>
  <c r="M1515" i="5"/>
  <c r="M1512" i="5"/>
  <c r="M1510" i="5"/>
  <c r="M1509" i="5"/>
  <c r="M1508" i="5"/>
  <c r="M1507" i="5"/>
  <c r="M1486" i="5"/>
  <c r="M1483" i="5"/>
  <c r="M1481" i="5"/>
  <c r="M1480" i="5"/>
  <c r="M1479" i="5"/>
  <c r="M1478" i="5"/>
  <c r="M1462" i="5" s="1"/>
  <c r="M1475" i="5"/>
  <c r="M1472" i="5"/>
  <c r="M1470" i="5"/>
  <c r="M1469" i="5"/>
  <c r="M1468" i="5"/>
  <c r="M1467" i="5"/>
  <c r="M1466" i="5"/>
  <c r="M1465" i="5"/>
  <c r="M1458" i="5"/>
  <c r="M1457" i="5" s="1"/>
  <c r="M1456" i="5"/>
  <c r="M1455" i="5" s="1"/>
  <c r="M1450" i="5"/>
  <c r="M1444" i="5" s="1"/>
  <c r="M1445" i="5"/>
  <c r="M1415" i="5"/>
  <c r="M1411" i="5"/>
  <c r="M1404" i="5" s="1"/>
  <c r="M1407" i="5"/>
  <c r="M1406" i="5"/>
  <c r="M1402" i="5"/>
  <c r="M1384" i="5"/>
  <c r="M1383" i="5"/>
  <c r="M1382" i="5"/>
  <c r="M1381" i="5"/>
  <c r="M1380" i="5"/>
  <c r="M1379" i="5"/>
  <c r="M1372" i="5"/>
  <c r="M1371" i="5"/>
  <c r="M1366" i="5"/>
  <c r="M1350" i="5" s="1"/>
  <c r="M1362" i="5"/>
  <c r="M1359" i="5"/>
  <c r="M1357" i="5"/>
  <c r="M1356" i="5"/>
  <c r="M1355" i="5"/>
  <c r="M1354" i="5"/>
  <c r="M1341" i="5"/>
  <c r="M1337" i="5"/>
  <c r="M1336" i="5"/>
  <c r="M1333" i="5"/>
  <c r="M1330" i="5"/>
  <c r="M1328" i="5"/>
  <c r="M1327" i="5"/>
  <c r="M1326" i="5"/>
  <c r="M1325" i="5"/>
  <c r="M1320" i="5"/>
  <c r="M1314" i="5"/>
  <c r="M1309" i="5" s="1"/>
  <c r="M1313" i="5"/>
  <c r="M1305" i="5"/>
  <c r="M1302" i="5"/>
  <c r="M1301" i="5"/>
  <c r="M1300" i="5"/>
  <c r="M1299" i="5"/>
  <c r="M1298" i="5"/>
  <c r="M1290" i="5"/>
  <c r="M1289" i="5"/>
  <c r="M1288" i="5"/>
  <c r="M1266" i="5" s="1"/>
  <c r="M1287" i="5"/>
  <c r="M1286" i="5" s="1"/>
  <c r="M1279" i="5" s="1"/>
  <c r="M1285" i="5"/>
  <c r="M1283" i="5"/>
  <c r="M1281" i="5" s="1"/>
  <c r="M1278" i="5" s="1"/>
  <c r="M1261" i="5" s="1"/>
  <c r="M1275" i="5"/>
  <c r="M1272" i="5"/>
  <c r="M1270" i="5"/>
  <c r="M1269" i="5"/>
  <c r="M1268" i="5"/>
  <c r="M1267" i="5"/>
  <c r="M1262" i="5" s="1"/>
  <c r="M1265" i="5"/>
  <c r="M1263" i="5"/>
  <c r="M1219" i="5"/>
  <c r="M1218" i="5"/>
  <c r="M1216" i="5"/>
  <c r="M1215" i="5"/>
  <c r="M1213" i="5"/>
  <c r="M1212" i="5"/>
  <c r="M1209" i="5"/>
  <c r="M1208" i="5"/>
  <c r="M1206" i="5"/>
  <c r="M1205" i="5"/>
  <c r="M1203" i="5"/>
  <c r="M1202" i="5"/>
  <c r="M1177" i="5"/>
  <c r="M1148" i="5" s="1"/>
  <c r="M1164" i="5"/>
  <c r="M1134" i="5" s="1"/>
  <c r="M1147" i="5"/>
  <c r="M1145" i="5"/>
  <c r="M1143" i="5"/>
  <c r="M1136" i="5"/>
  <c r="M1135" i="5"/>
  <c r="M1133" i="5"/>
  <c r="M1132" i="5"/>
  <c r="M1131" i="5"/>
  <c r="M1129" i="5"/>
  <c r="M1115" i="5"/>
  <c r="M1099" i="5" s="1"/>
  <c r="M1102" i="5"/>
  <c r="M1093" i="5" s="1"/>
  <c r="M1098" i="5"/>
  <c r="M1095" i="5"/>
  <c r="M1094" i="5"/>
  <c r="M1092" i="5"/>
  <c r="M1075" i="5"/>
  <c r="M1074" i="5"/>
  <c r="M1073" i="5"/>
  <c r="M1072" i="5"/>
  <c r="M1071" i="5"/>
  <c r="M1070" i="5"/>
  <c r="M1044" i="5"/>
  <c r="M1043" i="5"/>
  <c r="M1042" i="5"/>
  <c r="M1041" i="5"/>
  <c r="M1040" i="5"/>
  <c r="M1039" i="5"/>
  <c r="M1032" i="5"/>
  <c r="M1027" i="5"/>
  <c r="M1022" i="5"/>
  <c r="M1017" i="5"/>
  <c r="M1012" i="5"/>
  <c r="M990" i="5"/>
  <c r="M985" i="5"/>
  <c r="M976" i="5"/>
  <c r="M967" i="5"/>
  <c r="M959" i="5" s="1"/>
  <c r="M954" i="5"/>
  <c r="M951" i="5"/>
  <c r="M948" i="5"/>
  <c r="M945" i="5"/>
  <c r="M942" i="5"/>
  <c r="M939" i="5"/>
  <c r="M930" i="5"/>
  <c r="M927" i="5"/>
  <c r="M922" i="5"/>
  <c r="M917" i="5"/>
  <c r="M915" i="5" s="1"/>
  <c r="M916" i="5"/>
  <c r="M911" i="5"/>
  <c r="M909" i="5"/>
  <c r="M906" i="5"/>
  <c r="M903" i="5"/>
  <c r="M899" i="5" s="1"/>
  <c r="M900" i="5"/>
  <c r="M891" i="5"/>
  <c r="M890" i="5"/>
  <c r="M888" i="5"/>
  <c r="M872" i="5" s="1"/>
  <c r="M880" i="5"/>
  <c r="M864" i="5" s="1"/>
  <c r="M853" i="5"/>
  <c r="M848" i="5"/>
  <c r="M844" i="5"/>
  <c r="M841" i="5"/>
  <c r="M835" i="5"/>
  <c r="M818" i="5" s="1"/>
  <c r="M830" i="5"/>
  <c r="M826" i="5"/>
  <c r="M823" i="5"/>
  <c r="M821" i="5"/>
  <c r="M814" i="5"/>
  <c r="M1528" i="5" s="1"/>
  <c r="M1644" i="5" s="1"/>
  <c r="M813" i="5"/>
  <c r="M807" i="5" s="1"/>
  <c r="M809" i="5"/>
  <c r="M808" i="5"/>
  <c r="M803" i="5"/>
  <c r="M800" i="5"/>
  <c r="M797" i="5" s="1"/>
  <c r="M799" i="5"/>
  <c r="M798" i="5"/>
  <c r="M793" i="5"/>
  <c r="M790" i="5"/>
  <c r="M787" i="5"/>
  <c r="M785" i="5"/>
  <c r="M781" i="5"/>
  <c r="M768" i="5" s="1"/>
  <c r="M778" i="5"/>
  <c r="M775" i="5"/>
  <c r="M766" i="5" s="1"/>
  <c r="M773" i="5"/>
  <c r="M771" i="5"/>
  <c r="M770" i="5"/>
  <c r="M763" i="5"/>
  <c r="M1317" i="5" s="1"/>
  <c r="M1346" i="5" s="1"/>
  <c r="M1339" i="5" s="1"/>
  <c r="M1324" i="5" s="1"/>
  <c r="M762" i="5"/>
  <c r="M1316" i="5" s="1"/>
  <c r="M1315" i="5" s="1"/>
  <c r="M758" i="5"/>
  <c r="M752" i="5"/>
  <c r="M749" i="5"/>
  <c r="M748" i="5"/>
  <c r="M747" i="5"/>
  <c r="M746" i="5"/>
  <c r="M742" i="5"/>
  <c r="M739" i="5"/>
  <c r="M738" i="5"/>
  <c r="M737" i="5"/>
  <c r="M733" i="5"/>
  <c r="M732" i="5"/>
  <c r="M731" i="5"/>
  <c r="M729" i="5"/>
  <c r="M723" i="5"/>
  <c r="M720" i="5"/>
  <c r="M718" i="5"/>
  <c r="M703" i="5" s="1"/>
  <c r="M717" i="5"/>
  <c r="M702" i="5" s="1"/>
  <c r="M716" i="5"/>
  <c r="M715" i="5"/>
  <c r="M712" i="5"/>
  <c r="M709" i="5"/>
  <c r="M707" i="5"/>
  <c r="M706" i="5"/>
  <c r="M705" i="5"/>
  <c r="M704" i="5"/>
  <c r="M699" i="5"/>
  <c r="M696" i="5"/>
  <c r="M1441" i="5" s="1"/>
  <c r="M695" i="5"/>
  <c r="M1440" i="5" s="1"/>
  <c r="M693" i="5"/>
  <c r="M1438" i="5" s="1"/>
  <c r="M692" i="5"/>
  <c r="M1437" i="5" s="1"/>
  <c r="M687" i="5"/>
  <c r="M1432" i="5" s="1"/>
  <c r="M686" i="5"/>
  <c r="M1431" i="5" s="1"/>
  <c r="M684" i="5"/>
  <c r="M1429" i="5" s="1"/>
  <c r="M683" i="5"/>
  <c r="M1428" i="5" s="1"/>
  <c r="M672" i="5"/>
  <c r="M671" i="5"/>
  <c r="M670" i="5"/>
  <c r="M668" i="5" s="1"/>
  <c r="M661" i="5" s="1"/>
  <c r="M669" i="5"/>
  <c r="M667" i="5"/>
  <c r="M666" i="5"/>
  <c r="M665" i="5"/>
  <c r="M664" i="5"/>
  <c r="M655" i="5"/>
  <c r="M652" i="5"/>
  <c r="M651" i="5"/>
  <c r="M650" i="5"/>
  <c r="M649" i="5"/>
  <c r="M648" i="5"/>
  <c r="M645" i="5"/>
  <c r="M642" i="5"/>
  <c r="M641" i="5"/>
  <c r="M640" i="5"/>
  <c r="M639" i="5"/>
  <c r="M638" i="5"/>
  <c r="M618" i="5"/>
  <c r="M615" i="5"/>
  <c r="M614" i="5"/>
  <c r="M556" i="5" s="1"/>
  <c r="M613" i="5"/>
  <c r="M555" i="5" s="1"/>
  <c r="M612" i="5"/>
  <c r="M611" i="5"/>
  <c r="M604" i="5"/>
  <c r="M601" i="5"/>
  <c r="M600" i="5"/>
  <c r="M599" i="5"/>
  <c r="M598" i="5"/>
  <c r="M597" i="5"/>
  <c r="M566" i="5" s="1"/>
  <c r="M594" i="5"/>
  <c r="M591" i="5"/>
  <c r="M590" i="5"/>
  <c r="M563" i="5" s="1"/>
  <c r="M589" i="5"/>
  <c r="M562" i="5" s="1"/>
  <c r="M588" i="5"/>
  <c r="M558" i="5" s="1"/>
  <c r="M587" i="5"/>
  <c r="M584" i="5"/>
  <c r="M581" i="5"/>
  <c r="M580" i="5"/>
  <c r="M579" i="5"/>
  <c r="M578" i="5"/>
  <c r="M577" i="5"/>
  <c r="M552" i="5" s="1"/>
  <c r="M574" i="5"/>
  <c r="M571" i="5"/>
  <c r="M570" i="5"/>
  <c r="M569" i="5"/>
  <c r="M560" i="5"/>
  <c r="M559" i="5"/>
  <c r="M549" i="5"/>
  <c r="M548" i="5"/>
  <c r="M547" i="5"/>
  <c r="M530" i="5"/>
  <c r="M681" i="5" s="1"/>
  <c r="M1426" i="5" s="1"/>
  <c r="M517" i="5"/>
  <c r="M514" i="5"/>
  <c r="M507" i="5"/>
  <c r="M500" i="5"/>
  <c r="M494" i="5"/>
  <c r="M489" i="5"/>
  <c r="M487" i="5"/>
  <c r="M486" i="5"/>
  <c r="M481" i="5" s="1"/>
  <c r="M483" i="5"/>
  <c r="M482" i="5"/>
  <c r="M445" i="5"/>
  <c r="M444" i="5"/>
  <c r="M442" i="5"/>
  <c r="M441" i="5"/>
  <c r="M439" i="5"/>
  <c r="M438" i="5"/>
  <c r="M436" i="5"/>
  <c r="M435" i="5"/>
  <c r="M432" i="5"/>
  <c r="M431" i="5"/>
  <c r="M429" i="5"/>
  <c r="M428" i="5"/>
  <c r="M426" i="5"/>
  <c r="M425" i="5"/>
  <c r="M423" i="5"/>
  <c r="M422" i="5"/>
  <c r="M416" i="5"/>
  <c r="M413" i="5"/>
  <c r="M412" i="5"/>
  <c r="M411" i="5"/>
  <c r="M410" i="5"/>
  <c r="M404" i="5"/>
  <c r="M403" i="5"/>
  <c r="M402" i="5"/>
  <c r="M401" i="5"/>
  <c r="M389" i="5"/>
  <c r="M388" i="5"/>
  <c r="M381" i="5"/>
  <c r="M379" i="5" s="1"/>
  <c r="M380" i="5"/>
  <c r="M374" i="5"/>
  <c r="M373" i="5"/>
  <c r="M366" i="5"/>
  <c r="M364" i="5" s="1"/>
  <c r="M365" i="5"/>
  <c r="M363" i="5" s="1"/>
  <c r="M358" i="5"/>
  <c r="M357" i="5"/>
  <c r="M356" i="5"/>
  <c r="M355" i="5"/>
  <c r="M354" i="5"/>
  <c r="M352" i="5"/>
  <c r="M351" i="5"/>
  <c r="M350" i="5"/>
  <c r="M342" i="5"/>
  <c r="M341" i="5"/>
  <c r="M340" i="5"/>
  <c r="M543" i="5" s="1"/>
  <c r="M694" i="5" s="1"/>
  <c r="M1439" i="5" s="1"/>
  <c r="M339" i="5"/>
  <c r="M540" i="5" s="1"/>
  <c r="M691" i="5" s="1"/>
  <c r="M1436" i="5" s="1"/>
  <c r="M338" i="5"/>
  <c r="M539" i="5" s="1"/>
  <c r="M690" i="5" s="1"/>
  <c r="M1435" i="5" s="1"/>
  <c r="M334" i="5"/>
  <c r="M534" i="5" s="1"/>
  <c r="M685" i="5" s="1"/>
  <c r="M1430" i="5" s="1"/>
  <c r="M333" i="5"/>
  <c r="M531" i="5" s="1"/>
  <c r="M682" i="5" s="1"/>
  <c r="M1427" i="5" s="1"/>
  <c r="M332" i="5"/>
  <c r="M316" i="5"/>
  <c r="M310" i="5"/>
  <c r="M307" i="5"/>
  <c r="M306" i="5"/>
  <c r="M305" i="5"/>
  <c r="M304" i="5"/>
  <c r="M302" i="5"/>
  <c r="M301" i="5"/>
  <c r="M300" i="5" s="1"/>
  <c r="M297" i="5"/>
  <c r="M296" i="5"/>
  <c r="M295" i="5"/>
  <c r="M291" i="5"/>
  <c r="M288" i="5"/>
  <c r="M285" i="5" s="1"/>
  <c r="M287" i="5"/>
  <c r="M286" i="5"/>
  <c r="M278" i="5"/>
  <c r="M275" i="5"/>
  <c r="M266" i="5" s="1"/>
  <c r="M272" i="5"/>
  <c r="M268" i="5"/>
  <c r="M267" i="5"/>
  <c r="M261" i="5"/>
  <c r="M321" i="5" s="1"/>
  <c r="M315" i="5" s="1"/>
  <c r="M260" i="5"/>
  <c r="M259" i="5"/>
  <c r="M258" i="5"/>
  <c r="M252" i="5"/>
  <c r="M248" i="5"/>
  <c r="M246" i="5"/>
  <c r="M242" i="5"/>
  <c r="M337" i="5" s="1"/>
  <c r="M538" i="5" s="1"/>
  <c r="M689" i="5" s="1"/>
  <c r="M1434" i="5" s="1"/>
  <c r="M241" i="5"/>
  <c r="M238" i="5"/>
  <c r="M529" i="5" s="1"/>
  <c r="M680" i="5" s="1"/>
  <c r="M1425" i="5" s="1"/>
  <c r="M237" i="5"/>
  <c r="M528" i="5" s="1"/>
  <c r="M231" i="5"/>
  <c r="M227" i="5"/>
  <c r="M215" i="5"/>
  <c r="M211" i="5"/>
  <c r="M210" i="5" s="1"/>
  <c r="M207" i="5"/>
  <c r="M204" i="5"/>
  <c r="M203" i="5"/>
  <c r="M202" i="5"/>
  <c r="M197" i="5"/>
  <c r="M193" i="5"/>
  <c r="M189" i="5"/>
  <c r="M186" i="5"/>
  <c r="M185" i="5"/>
  <c r="M175" i="5"/>
  <c r="M172" i="5"/>
  <c r="M168" i="5"/>
  <c r="M165" i="5"/>
  <c r="M163" i="5"/>
  <c r="M162" i="5"/>
  <c r="M161" i="5"/>
  <c r="M160" i="5"/>
  <c r="M159" i="5"/>
  <c r="M138" i="5"/>
  <c r="M137" i="5"/>
  <c r="M136" i="5"/>
  <c r="M134" i="5"/>
  <c r="M133" i="5"/>
  <c r="M132" i="5"/>
  <c r="M130" i="5"/>
  <c r="M129" i="5"/>
  <c r="M128" i="5"/>
  <c r="M95" i="5"/>
  <c r="M94" i="5"/>
  <c r="M93" i="5"/>
  <c r="M91" i="5"/>
  <c r="M90" i="5"/>
  <c r="M89" i="5"/>
  <c r="M87" i="5"/>
  <c r="M86" i="5"/>
  <c r="M85" i="5"/>
  <c r="M79" i="5"/>
  <c r="M76" i="5"/>
  <c r="M73" i="5" s="1"/>
  <c r="M75" i="5"/>
  <c r="M74" i="5"/>
  <c r="M70" i="5"/>
  <c r="M67" i="5"/>
  <c r="M64" i="5" s="1"/>
  <c r="M66" i="5"/>
  <c r="M65" i="5"/>
  <c r="M59" i="5"/>
  <c r="M283" i="5" s="1"/>
  <c r="M271" i="5" s="1"/>
  <c r="M55" i="5"/>
  <c r="M54" i="5" s="1"/>
  <c r="M282" i="5" s="1"/>
  <c r="M270" i="5" s="1"/>
  <c r="M46" i="5"/>
  <c r="M38" i="5"/>
  <c r="M34" i="5"/>
  <c r="M29" i="5"/>
  <c r="M25" i="5"/>
  <c r="M23" i="5"/>
  <c r="M201" i="5" l="1"/>
  <c r="M377" i="5"/>
  <c r="M561" i="5"/>
  <c r="M757" i="5"/>
  <c r="M767" i="5"/>
  <c r="M769" i="5"/>
  <c r="M870" i="5"/>
  <c r="M912" i="5"/>
  <c r="M1100" i="5"/>
  <c r="M1130" i="5"/>
  <c r="M1141" i="5"/>
  <c r="M1502" i="5"/>
  <c r="M1591" i="5"/>
  <c r="M236" i="5"/>
  <c r="M224" i="5" s="1"/>
  <c r="M349" i="5"/>
  <c r="M362" i="5"/>
  <c r="M701" i="5"/>
  <c r="M908" i="5"/>
  <c r="M913" i="5"/>
  <c r="M1312" i="5"/>
  <c r="M44" i="5"/>
  <c r="M158" i="5"/>
  <c r="M192" i="5"/>
  <c r="M183" i="5" s="1"/>
  <c r="M526" i="5"/>
  <c r="M523" i="5" s="1"/>
  <c r="M479" i="5" s="1"/>
  <c r="M910" i="5"/>
  <c r="M914" i="5"/>
  <c r="M963" i="5"/>
  <c r="M1264" i="5"/>
  <c r="M1639" i="5"/>
  <c r="M698" i="5"/>
  <c r="M756" i="5"/>
  <c r="M869" i="5"/>
  <c r="M1521" i="5"/>
  <c r="M1506" i="5" s="1"/>
  <c r="M1564" i="5"/>
  <c r="M634" i="5"/>
  <c r="M633" i="5"/>
  <c r="M635" i="5"/>
  <c r="M537" i="5"/>
  <c r="M525" i="5" s="1"/>
  <c r="M336" i="5"/>
  <c r="M335" i="5" s="1"/>
  <c r="M327" i="5" s="1"/>
  <c r="M240" i="5"/>
  <c r="M225" i="5" s="1"/>
  <c r="M346" i="5"/>
  <c r="M817" i="5"/>
  <c r="M816" i="5"/>
  <c r="M860" i="5"/>
  <c r="M1294" i="5"/>
  <c r="M43" i="5"/>
  <c r="M257" i="5"/>
  <c r="M320" i="5"/>
  <c r="M378" i="5"/>
  <c r="M636" i="5"/>
  <c r="M1673" i="5"/>
  <c r="M1666" i="5" s="1"/>
  <c r="M1651" i="5" s="1"/>
  <c r="M1637" i="5"/>
  <c r="M1622" i="5" s="1"/>
  <c r="M1375" i="5"/>
  <c r="M1368" i="5" s="1"/>
  <c r="M1353" i="5" s="1"/>
  <c r="M1663" i="5"/>
  <c r="M1533" i="5"/>
  <c r="M820" i="5"/>
  <c r="M819" i="5"/>
  <c r="M863" i="5"/>
  <c r="M862" i="5"/>
  <c r="M865" i="5"/>
  <c r="M861" i="5"/>
  <c r="M33" i="5"/>
  <c r="M21" i="5" s="1"/>
  <c r="M22" i="5"/>
  <c r="M281" i="5"/>
  <c r="M269" i="5" s="1"/>
  <c r="M679" i="5"/>
  <c r="M637" i="5"/>
  <c r="M663" i="5"/>
  <c r="M660" i="5" s="1"/>
  <c r="M736" i="5"/>
  <c r="M726" i="5" s="1"/>
  <c r="M728" i="5"/>
  <c r="M1310" i="5"/>
  <c r="M1345" i="5"/>
  <c r="M958" i="5"/>
  <c r="M965" i="5"/>
  <c r="M961" i="5"/>
  <c r="M964" i="5"/>
  <c r="M960" i="5"/>
  <c r="M962" i="5"/>
  <c r="M966" i="5"/>
  <c r="M1311" i="5"/>
  <c r="M1297" i="5" s="1"/>
  <c r="M1464" i="5"/>
  <c r="M1670" i="5"/>
  <c r="M1664" i="5" s="1"/>
  <c r="M1648" i="5" s="1"/>
  <c r="M1635" i="5"/>
  <c r="M1619" i="5" s="1"/>
  <c r="M1530" i="5"/>
  <c r="M1532" i="5"/>
  <c r="M1588" i="5"/>
  <c r="M1590" i="5"/>
  <c r="M1634" i="5"/>
  <c r="M1647" i="5"/>
  <c r="M1646" i="5"/>
  <c r="M499" i="5"/>
  <c r="M632" i="5"/>
  <c r="M812" i="5"/>
  <c r="M806" i="5" s="1"/>
  <c r="M1527" i="5"/>
  <c r="M294" i="5"/>
  <c r="M353" i="5"/>
  <c r="M347" i="5" s="1"/>
  <c r="M551" i="5"/>
  <c r="M553" i="5"/>
  <c r="M565" i="5"/>
  <c r="M567" i="5"/>
  <c r="M568" i="5"/>
  <c r="M554" i="5"/>
  <c r="M1319" i="5"/>
  <c r="M1321" i="5"/>
  <c r="M1370" i="5"/>
  <c r="M1365" i="5"/>
  <c r="M1443" i="5"/>
  <c r="M1442" i="5"/>
  <c r="M1461" i="5"/>
  <c r="M1463" i="5"/>
  <c r="M45" i="5"/>
  <c r="M42" i="5" s="1"/>
  <c r="M184" i="5"/>
  <c r="M221" i="5"/>
  <c r="M330" i="5"/>
  <c r="M700" i="5"/>
  <c r="M761" i="5"/>
  <c r="M755" i="5" s="1"/>
  <c r="M1097" i="5"/>
  <c r="M1142" i="5"/>
  <c r="M1146" i="5"/>
  <c r="M1308" i="5"/>
  <c r="M1293" i="5" s="1"/>
  <c r="M1501" i="5"/>
  <c r="M1523" i="5"/>
  <c r="M1559" i="5"/>
  <c r="M331" i="5"/>
  <c r="M867" i="5"/>
  <c r="M871" i="5"/>
  <c r="M1519" i="5"/>
  <c r="M1503" i="5" s="1"/>
  <c r="M868" i="5"/>
  <c r="M1144" i="5"/>
  <c r="M329" i="5" l="1"/>
  <c r="M223" i="5"/>
  <c r="M348" i="5"/>
  <c r="M345" i="5" s="1"/>
  <c r="M1668" i="5"/>
  <c r="M1374" i="5"/>
  <c r="M1338" i="5"/>
  <c r="M1344" i="5"/>
  <c r="M1296" i="5"/>
  <c r="M1295" i="5"/>
  <c r="M677" i="5"/>
  <c r="M674" i="5" s="1"/>
  <c r="M1424" i="5"/>
  <c r="M222" i="5"/>
  <c r="M220" i="5"/>
  <c r="M328" i="5"/>
  <c r="M325" i="5" s="1"/>
  <c r="M326" i="5"/>
  <c r="M1348" i="5"/>
  <c r="M1349" i="5"/>
  <c r="M245" i="5"/>
  <c r="M244" i="5"/>
  <c r="M1618" i="5"/>
  <c r="M1617" i="5"/>
  <c r="M1292" i="5"/>
  <c r="M1520" i="5"/>
  <c r="M1526" i="5"/>
  <c r="M1643" i="5"/>
  <c r="M314" i="5"/>
  <c r="M319" i="5"/>
  <c r="M313" i="5" s="1"/>
  <c r="M688" i="5"/>
  <c r="M676" i="5" s="1"/>
  <c r="M527" i="5"/>
  <c r="M524" i="5" s="1"/>
  <c r="M480" i="5" s="1"/>
  <c r="M522" i="5"/>
  <c r="M478" i="5" s="1"/>
  <c r="L1115" i="5"/>
  <c r="L888" i="5"/>
  <c r="L664" i="5"/>
  <c r="L591" i="5"/>
  <c r="M1373" i="5" l="1"/>
  <c r="M1367" i="5"/>
  <c r="M1505" i="5"/>
  <c r="M1504" i="5"/>
  <c r="M629" i="5"/>
  <c r="M625" i="5"/>
  <c r="M1642" i="5"/>
  <c r="M1672" i="5"/>
  <c r="M1636" i="5"/>
  <c r="M1433" i="5"/>
  <c r="M678" i="5"/>
  <c r="M675" i="5" s="1"/>
  <c r="M673" i="5"/>
  <c r="M624" i="5" s="1"/>
  <c r="M1422" i="5"/>
  <c r="M1419" i="5" s="1"/>
  <c r="M1421" i="5"/>
  <c r="M1418" i="5" s="1"/>
  <c r="M1405" i="5" s="1"/>
  <c r="M1323" i="5"/>
  <c r="M1322" i="5"/>
  <c r="L326" i="3"/>
  <c r="L329" i="3"/>
  <c r="L330" i="3"/>
  <c r="L331" i="3"/>
  <c r="M630" i="5" l="1"/>
  <c r="M626" i="5"/>
  <c r="M628" i="5"/>
  <c r="M1621" i="5"/>
  <c r="M1620" i="5"/>
  <c r="M1665" i="5"/>
  <c r="M1671" i="5"/>
  <c r="M1423" i="5"/>
  <c r="M1420" i="5" s="1"/>
  <c r="M1352" i="5"/>
  <c r="M1351" i="5"/>
  <c r="K105" i="8"/>
  <c r="K106" i="8"/>
  <c r="K97" i="8"/>
  <c r="K96" i="8"/>
  <c r="K95" i="8"/>
  <c r="K94" i="8"/>
  <c r="K80" i="8"/>
  <c r="K79" i="8"/>
  <c r="K78" i="8"/>
  <c r="K76" i="8"/>
  <c r="K59" i="8" s="1"/>
  <c r="K75" i="8"/>
  <c r="K53" i="8" s="1"/>
  <c r="K74" i="8"/>
  <c r="K51" i="8" s="1"/>
  <c r="K21" i="8"/>
  <c r="K20" i="8"/>
  <c r="K22" i="8"/>
  <c r="K19" i="8" s="1"/>
  <c r="K17" i="8"/>
  <c r="K13" i="8" s="1"/>
  <c r="M1650" i="5" l="1"/>
  <c r="M1649" i="5"/>
  <c r="K46" i="8"/>
  <c r="K57" i="8"/>
  <c r="K149" i="8"/>
  <c r="K159" i="8"/>
  <c r="K157" i="8" s="1"/>
  <c r="K58" i="8"/>
  <c r="K54" i="8"/>
  <c r="K55" i="8"/>
  <c r="K49" i="8"/>
  <c r="K50" i="8"/>
  <c r="K11" i="8"/>
  <c r="K12" i="8"/>
  <c r="K39" i="8" l="1"/>
  <c r="K41" i="8"/>
  <c r="K40" i="8"/>
  <c r="K128" i="8"/>
  <c r="K127" i="8"/>
  <c r="K126" i="8"/>
  <c r="O489" i="2"/>
  <c r="N489" i="2"/>
  <c r="O488" i="2"/>
  <c r="N488" i="2"/>
  <c r="O486" i="2"/>
  <c r="N486" i="2"/>
  <c r="O485" i="2"/>
  <c r="N485" i="2"/>
  <c r="O482" i="2"/>
  <c r="N482" i="2"/>
  <c r="O481" i="2"/>
  <c r="N481" i="2"/>
  <c r="O478" i="2"/>
  <c r="N478" i="2"/>
  <c r="O477" i="2"/>
  <c r="N477" i="2"/>
  <c r="L870" i="2"/>
  <c r="L869" i="2"/>
  <c r="L867" i="2"/>
  <c r="L866" i="2"/>
  <c r="L891" i="2"/>
  <c r="L890" i="2"/>
  <c r="L888" i="2"/>
  <c r="L887" i="2"/>
  <c r="Z267" i="3" l="1"/>
  <c r="Y267" i="3"/>
  <c r="Y331" i="3"/>
  <c r="Y330" i="3"/>
  <c r="J324" i="3"/>
  <c r="J323" i="3"/>
  <c r="O348" i="3"/>
  <c r="N348" i="3"/>
  <c r="O347" i="3"/>
  <c r="N347" i="3"/>
  <c r="O351" i="3"/>
  <c r="N351" i="3"/>
  <c r="O350" i="3"/>
  <c r="N350" i="3"/>
  <c r="Y427" i="3"/>
  <c r="O424" i="3"/>
  <c r="N424" i="3"/>
  <c r="O423" i="3"/>
  <c r="N423" i="3"/>
  <c r="O418" i="3"/>
  <c r="N418" i="3"/>
  <c r="O417" i="3"/>
  <c r="N417" i="3"/>
  <c r="O405" i="3"/>
  <c r="N405" i="3"/>
  <c r="O404" i="3"/>
  <c r="N404" i="3"/>
  <c r="O399" i="3"/>
  <c r="N399" i="3"/>
  <c r="O398" i="3"/>
  <c r="N398" i="3"/>
  <c r="O389" i="3"/>
  <c r="N389" i="3"/>
  <c r="O388" i="3"/>
  <c r="N388" i="3"/>
  <c r="O386" i="3"/>
  <c r="N386" i="3"/>
  <c r="O385" i="3"/>
  <c r="N385" i="3"/>
  <c r="O383" i="3"/>
  <c r="N383" i="3"/>
  <c r="O382" i="3"/>
  <c r="N382" i="3"/>
  <c r="O380" i="3"/>
  <c r="N380" i="3"/>
  <c r="O379" i="3"/>
  <c r="N379" i="3"/>
  <c r="O363" i="3"/>
  <c r="N363" i="3"/>
  <c r="O362" i="3"/>
  <c r="N362" i="3"/>
  <c r="O360" i="3"/>
  <c r="N360" i="3"/>
  <c r="O359" i="3"/>
  <c r="N359" i="3"/>
  <c r="O341" i="3"/>
  <c r="N341" i="3"/>
  <c r="O340" i="3"/>
  <c r="N340" i="3"/>
  <c r="O338" i="3"/>
  <c r="N338" i="3"/>
  <c r="O337" i="3"/>
  <c r="N337" i="3"/>
  <c r="O320" i="3"/>
  <c r="N320" i="3"/>
  <c r="O319" i="3"/>
  <c r="O317" i="3" s="1"/>
  <c r="N319" i="3"/>
  <c r="N317" i="3" s="1"/>
  <c r="O318" i="3"/>
  <c r="N318" i="3"/>
  <c r="O310" i="3"/>
  <c r="N310" i="3"/>
  <c r="O308" i="3"/>
  <c r="N308" i="3"/>
  <c r="L308" i="3"/>
  <c r="L421" i="3"/>
  <c r="O380" i="2" l="1"/>
  <c r="N380" i="2"/>
  <c r="O379" i="2"/>
  <c r="CJ17" i="2"/>
  <c r="CG379" i="2"/>
  <c r="CA379" i="2"/>
  <c r="BF379" i="2"/>
  <c r="BC636" i="2"/>
  <c r="BC610" i="2"/>
  <c r="BC577" i="2"/>
  <c r="AZ379" i="2"/>
  <c r="AW379" i="2" l="1"/>
  <c r="Y633" i="2" l="1"/>
  <c r="Y610" i="2"/>
  <c r="Y613" i="2"/>
  <c r="N610" i="2"/>
  <c r="Y379" i="2"/>
  <c r="V646" i="2"/>
  <c r="V169" i="2"/>
  <c r="S162" i="2"/>
  <c r="O712" i="2"/>
  <c r="N712" i="2"/>
  <c r="O711" i="2"/>
  <c r="N711" i="2"/>
  <c r="O709" i="2"/>
  <c r="N709" i="2"/>
  <c r="O708" i="2"/>
  <c r="O705" i="2" s="1"/>
  <c r="N708" i="2"/>
  <c r="O665" i="2"/>
  <c r="N665" i="2"/>
  <c r="O664" i="2"/>
  <c r="N664" i="2"/>
  <c r="O658" i="2"/>
  <c r="N658" i="2"/>
  <c r="O657" i="2"/>
  <c r="N657" i="2"/>
  <c r="P613" i="2"/>
  <c r="P636" i="2"/>
  <c r="O619" i="2"/>
  <c r="N619" i="2"/>
  <c r="O618" i="2"/>
  <c r="N618" i="2"/>
  <c r="O617" i="2"/>
  <c r="N617" i="2"/>
  <c r="O616" i="2"/>
  <c r="N616" i="2"/>
  <c r="O613" i="2"/>
  <c r="O612" i="2"/>
  <c r="N612" i="2"/>
  <c r="O611" i="2"/>
  <c r="N611" i="2"/>
  <c r="O610" i="2"/>
  <c r="O582" i="2"/>
  <c r="N582" i="2"/>
  <c r="O581" i="2"/>
  <c r="N581" i="2"/>
  <c r="O580" i="2"/>
  <c r="N580" i="2"/>
  <c r="DC583" i="2"/>
  <c r="DC573" i="2" s="1"/>
  <c r="DB583" i="2"/>
  <c r="DB573" i="2" s="1"/>
  <c r="DF578" i="2"/>
  <c r="DE578" i="2"/>
  <c r="DE569" i="2" s="1"/>
  <c r="CZ583" i="2"/>
  <c r="CZ573" i="2" s="1"/>
  <c r="CY583" i="2"/>
  <c r="CW583" i="2"/>
  <c r="CV583" i="2"/>
  <c r="CV572" i="2" s="1"/>
  <c r="CT583" i="2"/>
  <c r="CT573" i="2" s="1"/>
  <c r="CS583" i="2"/>
  <c r="CQ583" i="2"/>
  <c r="CQ573" i="2" s="1"/>
  <c r="CP583" i="2"/>
  <c r="CP573" i="2" s="1"/>
  <c r="CN583" i="2"/>
  <c r="CN572" i="2" s="1"/>
  <c r="CM583" i="2"/>
  <c r="CK583" i="2"/>
  <c r="CK573" i="2" s="1"/>
  <c r="CJ583" i="2"/>
  <c r="CJ573" i="2" s="1"/>
  <c r="CH583" i="2"/>
  <c r="CH572" i="2" s="1"/>
  <c r="CG583" i="2"/>
  <c r="CE583" i="2"/>
  <c r="CE573" i="2" s="1"/>
  <c r="CD583" i="2"/>
  <c r="CB583" i="2"/>
  <c r="CB572" i="2" s="1"/>
  <c r="CA583" i="2"/>
  <c r="BY583" i="2"/>
  <c r="BX583" i="2"/>
  <c r="BV583" i="2"/>
  <c r="BV573" i="2" s="1"/>
  <c r="BU583" i="2"/>
  <c r="BU572" i="2" s="1"/>
  <c r="BS583" i="2"/>
  <c r="BR583" i="2"/>
  <c r="BP583" i="2"/>
  <c r="BP573" i="2" s="1"/>
  <c r="BO583" i="2"/>
  <c r="BM583" i="2"/>
  <c r="BM573" i="2" s="1"/>
  <c r="BL583" i="2"/>
  <c r="BL572" i="2" s="1"/>
  <c r="BJ583" i="2"/>
  <c r="BJ572" i="2" s="1"/>
  <c r="BI583" i="2"/>
  <c r="BG583" i="2"/>
  <c r="BG572" i="2" s="1"/>
  <c r="BF583" i="2"/>
  <c r="BD583" i="2"/>
  <c r="BD573" i="2" s="1"/>
  <c r="BC583" i="2"/>
  <c r="BC573" i="2" s="1"/>
  <c r="BA583" i="2"/>
  <c r="BA572" i="2" s="1"/>
  <c r="AZ583" i="2"/>
  <c r="AX583" i="2"/>
  <c r="AX571" i="2" s="1"/>
  <c r="AW583" i="2"/>
  <c r="AU583" i="2"/>
  <c r="AU573" i="2" s="1"/>
  <c r="AT583" i="2"/>
  <c r="AT572" i="2" s="1"/>
  <c r="AR583" i="2"/>
  <c r="AR573" i="2" s="1"/>
  <c r="AQ583" i="2"/>
  <c r="AO583" i="2"/>
  <c r="AO572" i="2" s="1"/>
  <c r="AN583" i="2"/>
  <c r="AL583" i="2"/>
  <c r="AL573" i="2" s="1"/>
  <c r="AK583" i="2"/>
  <c r="AK573" i="2" s="1"/>
  <c r="AI583" i="2"/>
  <c r="AI572" i="2" s="1"/>
  <c r="AH583" i="2"/>
  <c r="AF583" i="2"/>
  <c r="AF572" i="2" s="1"/>
  <c r="AE583" i="2"/>
  <c r="AC583" i="2"/>
  <c r="AC573" i="2" s="1"/>
  <c r="AB583" i="2"/>
  <c r="Z583" i="2"/>
  <c r="Z572" i="2" s="1"/>
  <c r="Y583" i="2"/>
  <c r="W583" i="2"/>
  <c r="V583" i="2"/>
  <c r="V573" i="2" s="1"/>
  <c r="T583" i="2"/>
  <c r="T572" i="2" s="1"/>
  <c r="S583" i="2"/>
  <c r="Q583" i="2"/>
  <c r="P583" i="2"/>
  <c r="O577" i="2"/>
  <c r="N577" i="2"/>
  <c r="O576" i="2"/>
  <c r="N576" i="2"/>
  <c r="O575" i="2"/>
  <c r="N575" i="2"/>
  <c r="DF534" i="2"/>
  <c r="DE534" i="2"/>
  <c r="DF533" i="2"/>
  <c r="DE533" i="2"/>
  <c r="DF531" i="2"/>
  <c r="DE531" i="2"/>
  <c r="DF530" i="2"/>
  <c r="DE530" i="2"/>
  <c r="DF706" i="2"/>
  <c r="DE706" i="2"/>
  <c r="DC706" i="2"/>
  <c r="DB706" i="2"/>
  <c r="DF705" i="2"/>
  <c r="DE705" i="2"/>
  <c r="DC705" i="2"/>
  <c r="DB705" i="2"/>
  <c r="CZ706" i="2"/>
  <c r="CY706" i="2"/>
  <c r="CW706" i="2"/>
  <c r="CV706" i="2"/>
  <c r="CT706" i="2"/>
  <c r="CS706" i="2"/>
  <c r="CZ705" i="2"/>
  <c r="CY705" i="2"/>
  <c r="CW705" i="2"/>
  <c r="CV705" i="2"/>
  <c r="CT705" i="2"/>
  <c r="CS705" i="2"/>
  <c r="CQ706" i="2"/>
  <c r="CP706" i="2"/>
  <c r="CN706" i="2"/>
  <c r="CM706" i="2"/>
  <c r="CK706" i="2"/>
  <c r="CJ706" i="2"/>
  <c r="CQ705" i="2"/>
  <c r="CP705" i="2"/>
  <c r="CN705" i="2"/>
  <c r="CM705" i="2"/>
  <c r="CK705" i="2"/>
  <c r="CJ705" i="2"/>
  <c r="CH706" i="2"/>
  <c r="CG706" i="2"/>
  <c r="CE706" i="2"/>
  <c r="CD706" i="2"/>
  <c r="CB706" i="2"/>
  <c r="CA706" i="2"/>
  <c r="CH705" i="2"/>
  <c r="CG705" i="2"/>
  <c r="CE705" i="2"/>
  <c r="CD705" i="2"/>
  <c r="CB705" i="2"/>
  <c r="CA705" i="2"/>
  <c r="BY706" i="2"/>
  <c r="BX706" i="2"/>
  <c r="BV706" i="2"/>
  <c r="BU706" i="2"/>
  <c r="BS706" i="2"/>
  <c r="BR706" i="2"/>
  <c r="BY705" i="2"/>
  <c r="BX705" i="2"/>
  <c r="BV705" i="2"/>
  <c r="BU705" i="2"/>
  <c r="BS705" i="2"/>
  <c r="BR705" i="2"/>
  <c r="BP706" i="2"/>
  <c r="BO706" i="2"/>
  <c r="BM706" i="2"/>
  <c r="BL706" i="2"/>
  <c r="BJ706" i="2"/>
  <c r="BI706" i="2"/>
  <c r="BP705" i="2"/>
  <c r="BO705" i="2"/>
  <c r="BM705" i="2"/>
  <c r="BL705" i="2"/>
  <c r="BJ705" i="2"/>
  <c r="BI705" i="2"/>
  <c r="BG706" i="2"/>
  <c r="BF706" i="2"/>
  <c r="BD706" i="2"/>
  <c r="BC706" i="2"/>
  <c r="BA706" i="2"/>
  <c r="AZ706" i="2"/>
  <c r="BG705" i="2"/>
  <c r="BF705" i="2"/>
  <c r="BD705" i="2"/>
  <c r="BC705" i="2"/>
  <c r="BA705" i="2"/>
  <c r="AZ705" i="2"/>
  <c r="AX706" i="2"/>
  <c r="AW706" i="2"/>
  <c r="AU706" i="2"/>
  <c r="AT706" i="2"/>
  <c r="AR706" i="2"/>
  <c r="AQ706" i="2"/>
  <c r="AX705" i="2"/>
  <c r="AW705" i="2"/>
  <c r="AU705" i="2"/>
  <c r="AT705" i="2"/>
  <c r="AR705" i="2"/>
  <c r="AQ705" i="2"/>
  <c r="AO706" i="2"/>
  <c r="AN706" i="2"/>
  <c r="AL706" i="2"/>
  <c r="AK706" i="2"/>
  <c r="AI706" i="2"/>
  <c r="AH706" i="2"/>
  <c r="AO705" i="2"/>
  <c r="AN705" i="2"/>
  <c r="AL705" i="2"/>
  <c r="AK705" i="2"/>
  <c r="AI705" i="2"/>
  <c r="AH705" i="2"/>
  <c r="AF706" i="2"/>
  <c r="AE706" i="2"/>
  <c r="AC706" i="2"/>
  <c r="AB706" i="2"/>
  <c r="Z706" i="2"/>
  <c r="Y706" i="2"/>
  <c r="AF705" i="2"/>
  <c r="AE705" i="2"/>
  <c r="AC705" i="2"/>
  <c r="AB705" i="2"/>
  <c r="Z705" i="2"/>
  <c r="Y705" i="2"/>
  <c r="W706" i="2"/>
  <c r="V706" i="2"/>
  <c r="W705" i="2"/>
  <c r="V705" i="2"/>
  <c r="T706" i="2"/>
  <c r="S706" i="2"/>
  <c r="T705" i="2"/>
  <c r="S705" i="2"/>
  <c r="Q706" i="2"/>
  <c r="P706" i="2"/>
  <c r="Q705" i="2"/>
  <c r="P705" i="2"/>
  <c r="N706" i="2"/>
  <c r="DF668" i="2"/>
  <c r="DE668" i="2"/>
  <c r="DC668" i="2"/>
  <c r="DB668" i="2"/>
  <c r="DF667" i="2"/>
  <c r="DF652" i="2" s="1"/>
  <c r="DE667" i="2"/>
  <c r="DE652" i="2" s="1"/>
  <c r="DC667" i="2"/>
  <c r="DC652" i="2" s="1"/>
  <c r="DB667" i="2"/>
  <c r="DB653" i="2" s="1"/>
  <c r="DF661" i="2"/>
  <c r="DF648" i="2" s="1"/>
  <c r="DE661" i="2"/>
  <c r="DC661" i="2"/>
  <c r="DB661" i="2"/>
  <c r="DB648" i="2" s="1"/>
  <c r="DF660" i="2"/>
  <c r="DF649" i="2" s="1"/>
  <c r="DE660" i="2"/>
  <c r="DC660" i="2"/>
  <c r="DC650" i="2" s="1"/>
  <c r="DB660" i="2"/>
  <c r="DB647" i="2" s="1"/>
  <c r="DF654" i="2"/>
  <c r="DE654" i="2"/>
  <c r="DC654" i="2"/>
  <c r="DB654" i="2"/>
  <c r="DF653" i="2"/>
  <c r="DE653" i="2"/>
  <c r="DC653" i="2"/>
  <c r="DF651" i="2"/>
  <c r="DE651" i="2"/>
  <c r="DC651" i="2"/>
  <c r="DB651" i="2"/>
  <c r="DF650" i="2"/>
  <c r="DC649" i="2"/>
  <c r="DE648" i="2"/>
  <c r="DC648" i="2"/>
  <c r="DF647" i="2"/>
  <c r="DC647" i="2"/>
  <c r="CZ668" i="2"/>
  <c r="CY668" i="2"/>
  <c r="CW668" i="2"/>
  <c r="CV668" i="2"/>
  <c r="CT668" i="2"/>
  <c r="CS668" i="2"/>
  <c r="CZ667" i="2"/>
  <c r="CY667" i="2"/>
  <c r="CY653" i="2" s="1"/>
  <c r="CW667" i="2"/>
  <c r="CW652" i="2" s="1"/>
  <c r="CV667" i="2"/>
  <c r="CT667" i="2"/>
  <c r="CS667" i="2"/>
  <c r="CZ661" i="2"/>
  <c r="CZ651" i="2" s="1"/>
  <c r="CY661" i="2"/>
  <c r="CY651" i="2" s="1"/>
  <c r="CW661" i="2"/>
  <c r="CW651" i="2" s="1"/>
  <c r="CV661" i="2"/>
  <c r="CV648" i="2" s="1"/>
  <c r="CT661" i="2"/>
  <c r="CT649" i="2" s="1"/>
  <c r="CS661" i="2"/>
  <c r="CS651" i="2" s="1"/>
  <c r="CZ660" i="2"/>
  <c r="CY660" i="2"/>
  <c r="CY647" i="2" s="1"/>
  <c r="CW660" i="2"/>
  <c r="CW650" i="2" s="1"/>
  <c r="CV660" i="2"/>
  <c r="CV650" i="2" s="1"/>
  <c r="CT660" i="2"/>
  <c r="CT650" i="2" s="1"/>
  <c r="CS660" i="2"/>
  <c r="CS650" i="2" s="1"/>
  <c r="CZ654" i="2"/>
  <c r="CY654" i="2"/>
  <c r="CW654" i="2"/>
  <c r="CV654" i="2"/>
  <c r="CT654" i="2"/>
  <c r="CS654" i="2"/>
  <c r="CV653" i="2"/>
  <c r="CS653" i="2"/>
  <c r="CV651" i="2"/>
  <c r="CT651" i="2"/>
  <c r="CY648" i="2"/>
  <c r="CS648" i="2"/>
  <c r="CV647" i="2"/>
  <c r="CQ668" i="2"/>
  <c r="CQ654" i="2" s="1"/>
  <c r="CP668" i="2"/>
  <c r="CP654" i="2" s="1"/>
  <c r="CN668" i="2"/>
  <c r="CM668" i="2"/>
  <c r="CQ667" i="2"/>
  <c r="CP667" i="2"/>
  <c r="CP652" i="2" s="1"/>
  <c r="CN667" i="2"/>
  <c r="CM667" i="2"/>
  <c r="CM652" i="2" s="1"/>
  <c r="CK652" i="2"/>
  <c r="CQ661" i="2"/>
  <c r="CQ648" i="2" s="1"/>
  <c r="CP661" i="2"/>
  <c r="CP651" i="2" s="1"/>
  <c r="CN661" i="2"/>
  <c r="CN651" i="2" s="1"/>
  <c r="CM661" i="2"/>
  <c r="CJ651" i="2"/>
  <c r="CQ660" i="2"/>
  <c r="CQ650" i="2" s="1"/>
  <c r="CP660" i="2"/>
  <c r="CN660" i="2"/>
  <c r="CN650" i="2" s="1"/>
  <c r="CM660" i="2"/>
  <c r="CM650" i="2" s="1"/>
  <c r="CK650" i="2"/>
  <c r="CN654" i="2"/>
  <c r="CM654" i="2"/>
  <c r="CK654" i="2"/>
  <c r="CJ654" i="2"/>
  <c r="CN653" i="2"/>
  <c r="CM653" i="2"/>
  <c r="CK653" i="2"/>
  <c r="CJ653" i="2"/>
  <c r="CJ652" i="2"/>
  <c r="CQ651" i="2"/>
  <c r="CK651" i="2"/>
  <c r="CP650" i="2"/>
  <c r="CJ650" i="2"/>
  <c r="CQ649" i="2"/>
  <c r="CK649" i="2"/>
  <c r="CN648" i="2"/>
  <c r="CK648" i="2"/>
  <c r="CJ648" i="2"/>
  <c r="CN647" i="2"/>
  <c r="CK647" i="2"/>
  <c r="CJ647" i="2"/>
  <c r="CJ646" i="2"/>
  <c r="CH652" i="2"/>
  <c r="CD652" i="2"/>
  <c r="CB652" i="2"/>
  <c r="CG651" i="2"/>
  <c r="CE651" i="2"/>
  <c r="CA651" i="2"/>
  <c r="CH650" i="2"/>
  <c r="CD650" i="2"/>
  <c r="CB650" i="2"/>
  <c r="CH654" i="2"/>
  <c r="CG654" i="2"/>
  <c r="CE654" i="2"/>
  <c r="CD654" i="2"/>
  <c r="CB654" i="2"/>
  <c r="CA654" i="2"/>
  <c r="CH653" i="2"/>
  <c r="CG653" i="2"/>
  <c r="CE653" i="2"/>
  <c r="CD653" i="2"/>
  <c r="CB653" i="2"/>
  <c r="CA653" i="2"/>
  <c r="CG652" i="2"/>
  <c r="CE652" i="2"/>
  <c r="CA652" i="2"/>
  <c r="CH651" i="2"/>
  <c r="CD651" i="2"/>
  <c r="CB651" i="2"/>
  <c r="CG650" i="2"/>
  <c r="CE650" i="2"/>
  <c r="CA650" i="2"/>
  <c r="CH649" i="2"/>
  <c r="CD649" i="2"/>
  <c r="CB649" i="2"/>
  <c r="CH648" i="2"/>
  <c r="CG648" i="2"/>
  <c r="CE648" i="2"/>
  <c r="CD648" i="2"/>
  <c r="CB648" i="2"/>
  <c r="CA648" i="2"/>
  <c r="CH647" i="2"/>
  <c r="CG647" i="2"/>
  <c r="CE647" i="2"/>
  <c r="CD647" i="2"/>
  <c r="CB647" i="2"/>
  <c r="CA647" i="2"/>
  <c r="CG646" i="2"/>
  <c r="CE646" i="2"/>
  <c r="CA646" i="2"/>
  <c r="BX652" i="2"/>
  <c r="BV652" i="2"/>
  <c r="BR652" i="2"/>
  <c r="BY651" i="2"/>
  <c r="BU651" i="2"/>
  <c r="BS651" i="2"/>
  <c r="BX650" i="2"/>
  <c r="BV650" i="2"/>
  <c r="BR650" i="2"/>
  <c r="BY654" i="2"/>
  <c r="BX654" i="2"/>
  <c r="BV654" i="2"/>
  <c r="BU654" i="2"/>
  <c r="BS654" i="2"/>
  <c r="BR654" i="2"/>
  <c r="BY653" i="2"/>
  <c r="BX653" i="2"/>
  <c r="BV653" i="2"/>
  <c r="BU653" i="2"/>
  <c r="BS653" i="2"/>
  <c r="BR653" i="2"/>
  <c r="BY652" i="2"/>
  <c r="BU652" i="2"/>
  <c r="BS652" i="2"/>
  <c r="BX651" i="2"/>
  <c r="BV651" i="2"/>
  <c r="BR651" i="2"/>
  <c r="BY650" i="2"/>
  <c r="BU650" i="2"/>
  <c r="BS650" i="2"/>
  <c r="BX649" i="2"/>
  <c r="BV649" i="2"/>
  <c r="BR649" i="2"/>
  <c r="BY648" i="2"/>
  <c r="BX648" i="2"/>
  <c r="BV648" i="2"/>
  <c r="BU648" i="2"/>
  <c r="BS648" i="2"/>
  <c r="BR648" i="2"/>
  <c r="BY647" i="2"/>
  <c r="BX647" i="2"/>
  <c r="BV647" i="2"/>
  <c r="BU647" i="2"/>
  <c r="BS647" i="2"/>
  <c r="BR647" i="2"/>
  <c r="BY646" i="2"/>
  <c r="BU646" i="2"/>
  <c r="BS646" i="2"/>
  <c r="BP654" i="2"/>
  <c r="BO654" i="2"/>
  <c r="BM654" i="2"/>
  <c r="BL654" i="2"/>
  <c r="BJ654" i="2"/>
  <c r="BI654" i="2"/>
  <c r="BP653" i="2"/>
  <c r="BO653" i="2"/>
  <c r="BM653" i="2"/>
  <c r="BL653" i="2"/>
  <c r="BJ653" i="2"/>
  <c r="BI653" i="2"/>
  <c r="BP652" i="2"/>
  <c r="BO652" i="2"/>
  <c r="BM652" i="2"/>
  <c r="BL652" i="2"/>
  <c r="BJ652" i="2"/>
  <c r="BI652" i="2"/>
  <c r="BP651" i="2"/>
  <c r="BO651" i="2"/>
  <c r="BM651" i="2"/>
  <c r="BL651" i="2"/>
  <c r="BJ651" i="2"/>
  <c r="BI651" i="2"/>
  <c r="BP650" i="2"/>
  <c r="BO650" i="2"/>
  <c r="BM650" i="2"/>
  <c r="BL650" i="2"/>
  <c r="BJ650" i="2"/>
  <c r="BI650" i="2"/>
  <c r="BP649" i="2"/>
  <c r="BO649" i="2"/>
  <c r="BM649" i="2"/>
  <c r="BL649" i="2"/>
  <c r="BJ649" i="2"/>
  <c r="BI649" i="2"/>
  <c r="BP648" i="2"/>
  <c r="BO648" i="2"/>
  <c r="BM648" i="2"/>
  <c r="BL648" i="2"/>
  <c r="BJ648" i="2"/>
  <c r="BI648" i="2"/>
  <c r="BP647" i="2"/>
  <c r="BO647" i="2"/>
  <c r="BM647" i="2"/>
  <c r="BL647" i="2"/>
  <c r="BJ647" i="2"/>
  <c r="BI647" i="2"/>
  <c r="BP646" i="2"/>
  <c r="BO646" i="2"/>
  <c r="BM646" i="2"/>
  <c r="BL646" i="2"/>
  <c r="BJ646" i="2"/>
  <c r="BI646" i="2"/>
  <c r="BF652" i="2"/>
  <c r="AZ652" i="2"/>
  <c r="BC651" i="2"/>
  <c r="BF650" i="2"/>
  <c r="AZ650" i="2"/>
  <c r="BG654" i="2"/>
  <c r="BF654" i="2"/>
  <c r="BD654" i="2"/>
  <c r="BC654" i="2"/>
  <c r="BA654" i="2"/>
  <c r="AZ654" i="2"/>
  <c r="BG653" i="2"/>
  <c r="BF653" i="2"/>
  <c r="BD653" i="2"/>
  <c r="BC653" i="2"/>
  <c r="BA653" i="2"/>
  <c r="AZ653" i="2"/>
  <c r="BG652" i="2"/>
  <c r="BD652" i="2"/>
  <c r="BC652" i="2"/>
  <c r="BA652" i="2"/>
  <c r="BG651" i="2"/>
  <c r="BF651" i="2"/>
  <c r="BD651" i="2"/>
  <c r="BA651" i="2"/>
  <c r="AZ651" i="2"/>
  <c r="BG650" i="2"/>
  <c r="BD650" i="2"/>
  <c r="BC650" i="2"/>
  <c r="BA650" i="2"/>
  <c r="BG649" i="2"/>
  <c r="BF649" i="2"/>
  <c r="BD649" i="2"/>
  <c r="BA649" i="2"/>
  <c r="AZ649" i="2"/>
  <c r="BG648" i="2"/>
  <c r="BF648" i="2"/>
  <c r="BD648" i="2"/>
  <c r="BC648" i="2"/>
  <c r="BA648" i="2"/>
  <c r="AZ648" i="2"/>
  <c r="BG647" i="2"/>
  <c r="BF647" i="2"/>
  <c r="BD647" i="2"/>
  <c r="BC647" i="2"/>
  <c r="BA647" i="2"/>
  <c r="AZ647" i="2"/>
  <c r="BG646" i="2"/>
  <c r="BD646" i="2"/>
  <c r="BC646" i="2"/>
  <c r="BA646" i="2"/>
  <c r="AX652" i="2"/>
  <c r="AW652" i="2"/>
  <c r="AR652" i="2"/>
  <c r="AQ652" i="2"/>
  <c r="AU651" i="2"/>
  <c r="AT651" i="2"/>
  <c r="AX650" i="2"/>
  <c r="AW650" i="2"/>
  <c r="AR650" i="2"/>
  <c r="AQ650" i="2"/>
  <c r="AX654" i="2"/>
  <c r="AW654" i="2"/>
  <c r="AU654" i="2"/>
  <c r="AT654" i="2"/>
  <c r="AR654" i="2"/>
  <c r="AQ654" i="2"/>
  <c r="AX653" i="2"/>
  <c r="AW653" i="2"/>
  <c r="AU653" i="2"/>
  <c r="AT653" i="2"/>
  <c r="AR653" i="2"/>
  <c r="AQ653" i="2"/>
  <c r="AU652" i="2"/>
  <c r="AT652" i="2"/>
  <c r="AX651" i="2"/>
  <c r="AW651" i="2"/>
  <c r="AR651" i="2"/>
  <c r="AQ651" i="2"/>
  <c r="AU650" i="2"/>
  <c r="AT650" i="2"/>
  <c r="AX649" i="2"/>
  <c r="AW649" i="2"/>
  <c r="AR649" i="2"/>
  <c r="AQ649" i="2"/>
  <c r="AX648" i="2"/>
  <c r="AW648" i="2"/>
  <c r="AU648" i="2"/>
  <c r="AT648" i="2"/>
  <c r="AR648" i="2"/>
  <c r="AQ648" i="2"/>
  <c r="AX647" i="2"/>
  <c r="AW647" i="2"/>
  <c r="AU647" i="2"/>
  <c r="AT647" i="2"/>
  <c r="AR647" i="2"/>
  <c r="AQ647" i="2"/>
  <c r="AU646" i="2"/>
  <c r="AT646" i="2"/>
  <c r="AO652" i="2"/>
  <c r="AN652" i="2"/>
  <c r="AI652" i="2"/>
  <c r="AH652" i="2"/>
  <c r="AL651" i="2"/>
  <c r="AK651" i="2"/>
  <c r="AO650" i="2"/>
  <c r="AN650" i="2"/>
  <c r="AI650" i="2"/>
  <c r="AH650" i="2"/>
  <c r="AO654" i="2"/>
  <c r="AN654" i="2"/>
  <c r="AL654" i="2"/>
  <c r="AK654" i="2"/>
  <c r="AI654" i="2"/>
  <c r="AH654" i="2"/>
  <c r="AO653" i="2"/>
  <c r="AN653" i="2"/>
  <c r="AL653" i="2"/>
  <c r="AK653" i="2"/>
  <c r="AI653" i="2"/>
  <c r="AH653" i="2"/>
  <c r="AL652" i="2"/>
  <c r="AK652" i="2"/>
  <c r="AO651" i="2"/>
  <c r="AN651" i="2"/>
  <c r="AI651" i="2"/>
  <c r="AH651" i="2"/>
  <c r="AL650" i="2"/>
  <c r="AK650" i="2"/>
  <c r="AO649" i="2"/>
  <c r="AN649" i="2"/>
  <c r="AI649" i="2"/>
  <c r="AH649" i="2"/>
  <c r="AO648" i="2"/>
  <c r="AN648" i="2"/>
  <c r="AL648" i="2"/>
  <c r="AK648" i="2"/>
  <c r="AI648" i="2"/>
  <c r="AH648" i="2"/>
  <c r="AO647" i="2"/>
  <c r="AN647" i="2"/>
  <c r="AL647" i="2"/>
  <c r="AK647" i="2"/>
  <c r="AI647" i="2"/>
  <c r="AH647" i="2"/>
  <c r="AL646" i="2"/>
  <c r="AK646" i="2"/>
  <c r="AF652" i="2"/>
  <c r="AE652" i="2"/>
  <c r="Z652" i="2"/>
  <c r="Y652" i="2"/>
  <c r="AC651" i="2"/>
  <c r="AB651" i="2"/>
  <c r="AF650" i="2"/>
  <c r="AE650" i="2"/>
  <c r="Z650" i="2"/>
  <c r="Y650" i="2"/>
  <c r="AF654" i="2"/>
  <c r="AE654" i="2"/>
  <c r="AC654" i="2"/>
  <c r="AB654" i="2"/>
  <c r="Z654" i="2"/>
  <c r="Y654" i="2"/>
  <c r="AF653" i="2"/>
  <c r="AE653" i="2"/>
  <c r="AC653" i="2"/>
  <c r="AB653" i="2"/>
  <c r="Z653" i="2"/>
  <c r="Y653" i="2"/>
  <c r="AC652" i="2"/>
  <c r="AB652" i="2"/>
  <c r="AF651" i="2"/>
  <c r="AE651" i="2"/>
  <c r="Z651" i="2"/>
  <c r="Y651" i="2"/>
  <c r="AC650" i="2"/>
  <c r="AB650" i="2"/>
  <c r="AF649" i="2"/>
  <c r="AE649" i="2"/>
  <c r="Z649" i="2"/>
  <c r="Y649" i="2"/>
  <c r="AF648" i="2"/>
  <c r="AE648" i="2"/>
  <c r="AC648" i="2"/>
  <c r="AB648" i="2"/>
  <c r="Z648" i="2"/>
  <c r="Y648" i="2"/>
  <c r="AF647" i="2"/>
  <c r="AE647" i="2"/>
  <c r="AC647" i="2"/>
  <c r="AB647" i="2"/>
  <c r="Z647" i="2"/>
  <c r="Y647" i="2"/>
  <c r="AC646" i="2"/>
  <c r="AB646" i="2"/>
  <c r="DF569" i="2"/>
  <c r="DF568" i="2"/>
  <c r="DF567" i="2"/>
  <c r="CY573" i="2"/>
  <c r="CS573" i="2"/>
  <c r="CY572" i="2"/>
  <c r="CS572" i="2"/>
  <c r="CY571" i="2"/>
  <c r="CS571" i="2"/>
  <c r="CM573" i="2"/>
  <c r="CQ572" i="2"/>
  <c r="CP572" i="2"/>
  <c r="CM572" i="2"/>
  <c r="CK572" i="2"/>
  <c r="CJ572" i="2"/>
  <c r="CM571" i="2"/>
  <c r="CG573" i="2"/>
  <c r="CA573" i="2"/>
  <c r="CG572" i="2"/>
  <c r="CA572" i="2"/>
  <c r="CG571" i="2"/>
  <c r="CA571" i="2"/>
  <c r="BY573" i="2"/>
  <c r="BX573" i="2"/>
  <c r="BS573" i="2"/>
  <c r="BR573" i="2"/>
  <c r="BY572" i="2"/>
  <c r="BX572" i="2"/>
  <c r="BV572" i="2"/>
  <c r="BS572" i="2"/>
  <c r="BR572" i="2"/>
  <c r="BY571" i="2"/>
  <c r="BX571" i="2"/>
  <c r="BS571" i="2"/>
  <c r="BR571" i="2"/>
  <c r="BO573" i="2"/>
  <c r="BI573" i="2"/>
  <c r="BO572" i="2"/>
  <c r="BM572" i="2"/>
  <c r="BI572" i="2"/>
  <c r="BP571" i="2"/>
  <c r="BO571" i="2"/>
  <c r="BI571" i="2"/>
  <c r="BF573" i="2"/>
  <c r="AZ573" i="2"/>
  <c r="BF572" i="2"/>
  <c r="BC572" i="2"/>
  <c r="AZ572" i="2"/>
  <c r="BF571" i="2"/>
  <c r="AZ571" i="2"/>
  <c r="AX573" i="2"/>
  <c r="AW573" i="2"/>
  <c r="AQ573" i="2"/>
  <c r="AX572" i="2"/>
  <c r="AW572" i="2"/>
  <c r="AU572" i="2"/>
  <c r="AQ572" i="2"/>
  <c r="AW571" i="2"/>
  <c r="AQ571" i="2"/>
  <c r="AN573" i="2"/>
  <c r="AH573" i="2"/>
  <c r="AN572" i="2"/>
  <c r="AL572" i="2"/>
  <c r="AK572" i="2"/>
  <c r="AH572" i="2"/>
  <c r="AN571" i="2"/>
  <c r="AH571" i="2"/>
  <c r="AE573" i="2"/>
  <c r="Y573" i="2"/>
  <c r="AE572" i="2"/>
  <c r="AC572" i="2"/>
  <c r="Y572" i="2"/>
  <c r="AE571" i="2"/>
  <c r="Y571" i="2"/>
  <c r="W573" i="2"/>
  <c r="W572" i="2"/>
  <c r="V572" i="2"/>
  <c r="W571" i="2"/>
  <c r="T573" i="2"/>
  <c r="S573" i="2"/>
  <c r="S572" i="2"/>
  <c r="T571" i="2"/>
  <c r="S571" i="2"/>
  <c r="Q573" i="2"/>
  <c r="P573" i="2"/>
  <c r="Q572" i="2"/>
  <c r="P572" i="2"/>
  <c r="Q571" i="2"/>
  <c r="P571" i="2"/>
  <c r="DF474" i="2"/>
  <c r="DE474" i="2"/>
  <c r="DC474" i="2"/>
  <c r="DB474" i="2"/>
  <c r="DF473" i="2"/>
  <c r="DE473" i="2"/>
  <c r="DC473" i="2"/>
  <c r="DB473" i="2"/>
  <c r="DF471" i="2"/>
  <c r="DE471" i="2"/>
  <c r="DC471" i="2"/>
  <c r="DB471" i="2"/>
  <c r="DF470" i="2"/>
  <c r="DE470" i="2"/>
  <c r="DC470" i="2"/>
  <c r="DB470" i="2"/>
  <c r="CZ474" i="2"/>
  <c r="CY474" i="2"/>
  <c r="CW474" i="2"/>
  <c r="CV474" i="2"/>
  <c r="CT474" i="2"/>
  <c r="CS474" i="2"/>
  <c r="CZ473" i="2"/>
  <c r="CY473" i="2"/>
  <c r="CW473" i="2"/>
  <c r="CV473" i="2"/>
  <c r="CT473" i="2"/>
  <c r="CS473" i="2"/>
  <c r="CZ471" i="2"/>
  <c r="CY471" i="2"/>
  <c r="CW471" i="2"/>
  <c r="CV471" i="2"/>
  <c r="CT471" i="2"/>
  <c r="CS471" i="2"/>
  <c r="CZ470" i="2"/>
  <c r="CY470" i="2"/>
  <c r="CW470" i="2"/>
  <c r="CV470" i="2"/>
  <c r="CT470" i="2"/>
  <c r="CS470" i="2"/>
  <c r="CQ474" i="2"/>
  <c r="CP474" i="2"/>
  <c r="CN474" i="2"/>
  <c r="CM474" i="2"/>
  <c r="CK474" i="2"/>
  <c r="CJ474" i="2"/>
  <c r="CQ473" i="2"/>
  <c r="CP473" i="2"/>
  <c r="CN473" i="2"/>
  <c r="CM473" i="2"/>
  <c r="CK473" i="2"/>
  <c r="CJ473" i="2"/>
  <c r="CQ471" i="2"/>
  <c r="CP471" i="2"/>
  <c r="CN471" i="2"/>
  <c r="CM471" i="2"/>
  <c r="CK471" i="2"/>
  <c r="CJ471" i="2"/>
  <c r="CQ470" i="2"/>
  <c r="CP470" i="2"/>
  <c r="CN470" i="2"/>
  <c r="CM470" i="2"/>
  <c r="CK470" i="2"/>
  <c r="CJ470" i="2"/>
  <c r="CH474" i="2"/>
  <c r="CG474" i="2"/>
  <c r="CE474" i="2"/>
  <c r="CD474" i="2"/>
  <c r="CB474" i="2"/>
  <c r="CA474" i="2"/>
  <c r="CH473" i="2"/>
  <c r="CG473" i="2"/>
  <c r="CE473" i="2"/>
  <c r="CD473" i="2"/>
  <c r="CB473" i="2"/>
  <c r="CA473" i="2"/>
  <c r="CH471" i="2"/>
  <c r="CG471" i="2"/>
  <c r="CE471" i="2"/>
  <c r="CD471" i="2"/>
  <c r="CB471" i="2"/>
  <c r="CA471" i="2"/>
  <c r="CH470" i="2"/>
  <c r="CG470" i="2"/>
  <c r="CE470" i="2"/>
  <c r="CD470" i="2"/>
  <c r="CB470" i="2"/>
  <c r="CA470" i="2"/>
  <c r="BY474" i="2"/>
  <c r="BX474" i="2"/>
  <c r="BV474" i="2"/>
  <c r="BU474" i="2"/>
  <c r="BS474" i="2"/>
  <c r="BR474" i="2"/>
  <c r="BY473" i="2"/>
  <c r="BX473" i="2"/>
  <c r="BV473" i="2"/>
  <c r="BU473" i="2"/>
  <c r="BS473" i="2"/>
  <c r="BR473" i="2"/>
  <c r="BY471" i="2"/>
  <c r="BX471" i="2"/>
  <c r="BV471" i="2"/>
  <c r="BU471" i="2"/>
  <c r="BS471" i="2"/>
  <c r="BR471" i="2"/>
  <c r="BY470" i="2"/>
  <c r="BX470" i="2"/>
  <c r="BV470" i="2"/>
  <c r="BU470" i="2"/>
  <c r="BS470" i="2"/>
  <c r="BR470" i="2"/>
  <c r="BP474" i="2"/>
  <c r="BO474" i="2"/>
  <c r="BM474" i="2"/>
  <c r="BL474" i="2"/>
  <c r="BJ474" i="2"/>
  <c r="BI474" i="2"/>
  <c r="BP473" i="2"/>
  <c r="BO473" i="2"/>
  <c r="BM473" i="2"/>
  <c r="BL473" i="2"/>
  <c r="BJ473" i="2"/>
  <c r="BI473" i="2"/>
  <c r="BP471" i="2"/>
  <c r="BO471" i="2"/>
  <c r="BM471" i="2"/>
  <c r="BL471" i="2"/>
  <c r="BJ471" i="2"/>
  <c r="BI471" i="2"/>
  <c r="BP470" i="2"/>
  <c r="BO470" i="2"/>
  <c r="BM470" i="2"/>
  <c r="BL470" i="2"/>
  <c r="BJ470" i="2"/>
  <c r="BI470" i="2"/>
  <c r="BG474" i="2"/>
  <c r="BF474" i="2"/>
  <c r="BD474" i="2"/>
  <c r="BC474" i="2"/>
  <c r="BA474" i="2"/>
  <c r="AZ474" i="2"/>
  <c r="BG473" i="2"/>
  <c r="BF473" i="2"/>
  <c r="BD473" i="2"/>
  <c r="BC473" i="2"/>
  <c r="BA473" i="2"/>
  <c r="AZ473" i="2"/>
  <c r="BG471" i="2"/>
  <c r="BF471" i="2"/>
  <c r="BD471" i="2"/>
  <c r="BC471" i="2"/>
  <c r="BA471" i="2"/>
  <c r="AZ471" i="2"/>
  <c r="BG470" i="2"/>
  <c r="BF470" i="2"/>
  <c r="BD470" i="2"/>
  <c r="BC470" i="2"/>
  <c r="BA470" i="2"/>
  <c r="AZ470" i="2"/>
  <c r="AX474" i="2"/>
  <c r="AW474" i="2"/>
  <c r="AU474" i="2"/>
  <c r="AT474" i="2"/>
  <c r="AR474" i="2"/>
  <c r="AQ474" i="2"/>
  <c r="AX473" i="2"/>
  <c r="AW473" i="2"/>
  <c r="AU473" i="2"/>
  <c r="AT473" i="2"/>
  <c r="AR473" i="2"/>
  <c r="AQ473" i="2"/>
  <c r="AX471" i="2"/>
  <c r="AW471" i="2"/>
  <c r="AU471" i="2"/>
  <c r="AT471" i="2"/>
  <c r="AR471" i="2"/>
  <c r="AQ471" i="2"/>
  <c r="AX470" i="2"/>
  <c r="AW470" i="2"/>
  <c r="AU470" i="2"/>
  <c r="AT470" i="2"/>
  <c r="AR470" i="2"/>
  <c r="AQ470" i="2"/>
  <c r="AO474" i="2"/>
  <c r="AN474" i="2"/>
  <c r="AL474" i="2"/>
  <c r="AK474" i="2"/>
  <c r="AI474" i="2"/>
  <c r="AH474" i="2"/>
  <c r="AO473" i="2"/>
  <c r="AN473" i="2"/>
  <c r="AL473" i="2"/>
  <c r="AK473" i="2"/>
  <c r="AI473" i="2"/>
  <c r="AH473" i="2"/>
  <c r="AO471" i="2"/>
  <c r="AN471" i="2"/>
  <c r="AL471" i="2"/>
  <c r="AK471" i="2"/>
  <c r="AI471" i="2"/>
  <c r="AH471" i="2"/>
  <c r="AO470" i="2"/>
  <c r="AN470" i="2"/>
  <c r="AL470" i="2"/>
  <c r="AK470" i="2"/>
  <c r="AI470" i="2"/>
  <c r="AH470" i="2"/>
  <c r="AF474" i="2"/>
  <c r="AE474" i="2"/>
  <c r="AC474" i="2"/>
  <c r="AB474" i="2"/>
  <c r="Z474" i="2"/>
  <c r="Y474" i="2"/>
  <c r="AF473" i="2"/>
  <c r="AE473" i="2"/>
  <c r="AC473" i="2"/>
  <c r="AB473" i="2"/>
  <c r="Z473" i="2"/>
  <c r="Y473" i="2"/>
  <c r="AF471" i="2"/>
  <c r="AE471" i="2"/>
  <c r="AC471" i="2"/>
  <c r="AB471" i="2"/>
  <c r="Z471" i="2"/>
  <c r="Y471" i="2"/>
  <c r="AF470" i="2"/>
  <c r="AE470" i="2"/>
  <c r="AC470" i="2"/>
  <c r="AB470" i="2"/>
  <c r="Z470" i="2"/>
  <c r="Y470" i="2"/>
  <c r="W474" i="2"/>
  <c r="V474" i="2"/>
  <c r="W473" i="2"/>
  <c r="V473" i="2"/>
  <c r="W471" i="2"/>
  <c r="V471" i="2"/>
  <c r="W470" i="2"/>
  <c r="V470" i="2"/>
  <c r="T474" i="2"/>
  <c r="S474" i="2"/>
  <c r="T473" i="2"/>
  <c r="S473" i="2"/>
  <c r="T471" i="2"/>
  <c r="S471" i="2"/>
  <c r="T470" i="2"/>
  <c r="S470" i="2"/>
  <c r="Q474" i="2"/>
  <c r="P474" i="2"/>
  <c r="Q473" i="2"/>
  <c r="P473" i="2"/>
  <c r="Q471" i="2"/>
  <c r="P471" i="2"/>
  <c r="Q470" i="2"/>
  <c r="P470" i="2"/>
  <c r="O474" i="2"/>
  <c r="N474" i="2"/>
  <c r="O473" i="2"/>
  <c r="N473" i="2"/>
  <c r="O471" i="2"/>
  <c r="N471" i="2"/>
  <c r="O470" i="2"/>
  <c r="N470" i="2"/>
  <c r="O371" i="2"/>
  <c r="N371" i="2"/>
  <c r="O370" i="2"/>
  <c r="N370" i="2"/>
  <c r="CS652" i="2" l="1"/>
  <c r="DB649" i="2"/>
  <c r="CV649" i="2"/>
  <c r="BJ573" i="2"/>
  <c r="CZ571" i="2"/>
  <c r="CZ572" i="2"/>
  <c r="CM647" i="2"/>
  <c r="CN652" i="2"/>
  <c r="CS647" i="2"/>
  <c r="CY652" i="2"/>
  <c r="DB650" i="2"/>
  <c r="CZ648" i="2"/>
  <c r="AR571" i="2"/>
  <c r="AR572" i="2"/>
  <c r="BD572" i="2"/>
  <c r="BP572" i="2"/>
  <c r="CT571" i="2"/>
  <c r="CT572" i="2"/>
  <c r="CP647" i="2"/>
  <c r="CP648" i="2"/>
  <c r="DF646" i="2"/>
  <c r="DB652" i="2"/>
  <c r="BJ571" i="2"/>
  <c r="CY646" i="2"/>
  <c r="CT648" i="2"/>
  <c r="CW648" i="2"/>
  <c r="N613" i="2"/>
  <c r="DE650" i="2"/>
  <c r="DE646" i="2"/>
  <c r="DE649" i="2"/>
  <c r="DE647" i="2"/>
  <c r="AB573" i="2"/>
  <c r="AB572" i="2"/>
  <c r="CM648" i="2"/>
  <c r="CM649" i="2"/>
  <c r="CM651" i="2"/>
  <c r="CQ652" i="2"/>
  <c r="CQ653" i="2"/>
  <c r="CQ647" i="2"/>
  <c r="CW573" i="2"/>
  <c r="CW572" i="2"/>
  <c r="CZ650" i="2"/>
  <c r="CZ649" i="2"/>
  <c r="CZ647" i="2"/>
  <c r="CT652" i="2"/>
  <c r="CT653" i="2"/>
  <c r="CT647" i="2"/>
  <c r="CD571" i="2"/>
  <c r="CD573" i="2"/>
  <c r="CD572" i="2"/>
  <c r="CY650" i="2"/>
  <c r="CV652" i="2"/>
  <c r="N379" i="2"/>
  <c r="CP653" i="2"/>
  <c r="CW647" i="2"/>
  <c r="CW653" i="2"/>
  <c r="DB646" i="2"/>
  <c r="CN646" i="2"/>
  <c r="CZ652" i="2"/>
  <c r="DC646" i="2"/>
  <c r="O706" i="2"/>
  <c r="CP646" i="2"/>
  <c r="CS646" i="2"/>
  <c r="CW646" i="2"/>
  <c r="N705" i="2"/>
  <c r="DB571" i="2"/>
  <c r="DB572" i="2"/>
  <c r="DC571" i="2"/>
  <c r="DC572" i="2"/>
  <c r="DE567" i="2"/>
  <c r="DE568" i="2"/>
  <c r="CV571" i="2"/>
  <c r="CW571" i="2"/>
  <c r="CV573" i="2"/>
  <c r="CN571" i="2"/>
  <c r="CN573" i="2"/>
  <c r="CJ571" i="2"/>
  <c r="CP571" i="2"/>
  <c r="CK571" i="2"/>
  <c r="CQ571" i="2"/>
  <c r="CB571" i="2"/>
  <c r="CH571" i="2"/>
  <c r="CE572" i="2"/>
  <c r="CB573" i="2"/>
  <c r="CH573" i="2"/>
  <c r="CE571" i="2"/>
  <c r="BU573" i="2"/>
  <c r="BV571" i="2"/>
  <c r="BU571" i="2"/>
  <c r="BM571" i="2"/>
  <c r="BL571" i="2"/>
  <c r="BL573" i="2"/>
  <c r="BA571" i="2"/>
  <c r="BG571" i="2"/>
  <c r="BA573" i="2"/>
  <c r="BG573" i="2"/>
  <c r="BC571" i="2"/>
  <c r="BD571" i="2"/>
  <c r="AT573" i="2"/>
  <c r="AU571" i="2"/>
  <c r="AT571" i="2"/>
  <c r="AI571" i="2"/>
  <c r="AO571" i="2"/>
  <c r="AI573" i="2"/>
  <c r="AO573" i="2"/>
  <c r="AK571" i="2"/>
  <c r="AL571" i="2"/>
  <c r="Z571" i="2"/>
  <c r="AF571" i="2"/>
  <c r="Z573" i="2"/>
  <c r="AF573" i="2"/>
  <c r="AB571" i="2"/>
  <c r="AC571" i="2"/>
  <c r="V571" i="2"/>
  <c r="CZ653" i="2"/>
  <c r="CV646" i="2"/>
  <c r="CS649" i="2"/>
  <c r="CY649" i="2"/>
  <c r="CT646" i="2"/>
  <c r="CZ646" i="2"/>
  <c r="CW649" i="2"/>
  <c r="CM646" i="2"/>
  <c r="CJ649" i="2"/>
  <c r="CP649" i="2"/>
  <c r="CK646" i="2"/>
  <c r="CQ646" i="2"/>
  <c r="CN649" i="2"/>
  <c r="CD646" i="2"/>
  <c r="CA649" i="2"/>
  <c r="CG649" i="2"/>
  <c r="CB646" i="2"/>
  <c r="CH646" i="2"/>
  <c r="CE649" i="2"/>
  <c r="BV646" i="2"/>
  <c r="BS649" i="2"/>
  <c r="BY649" i="2"/>
  <c r="BR646" i="2"/>
  <c r="BX646" i="2"/>
  <c r="BU649" i="2"/>
  <c r="AZ646" i="2"/>
  <c r="BF646" i="2"/>
  <c r="BC649" i="2"/>
  <c r="AQ646" i="2"/>
  <c r="AW646" i="2"/>
  <c r="AT649" i="2"/>
  <c r="AR646" i="2"/>
  <c r="AX646" i="2"/>
  <c r="AU649" i="2"/>
  <c r="AH646" i="2"/>
  <c r="AN646" i="2"/>
  <c r="AK649" i="2"/>
  <c r="AI646" i="2"/>
  <c r="AO646" i="2"/>
  <c r="AL649" i="2"/>
  <c r="Y646" i="2"/>
  <c r="AE646" i="2"/>
  <c r="AB649" i="2"/>
  <c r="Z646" i="2"/>
  <c r="AF646" i="2"/>
  <c r="AC649" i="2"/>
  <c r="DF607" i="2"/>
  <c r="DE607" i="2"/>
  <c r="DF606" i="2"/>
  <c r="DE606" i="2"/>
  <c r="DF605" i="2"/>
  <c r="DE605" i="2"/>
  <c r="DF603" i="2"/>
  <c r="DE603" i="2"/>
  <c r="DF602" i="2"/>
  <c r="DE602" i="2"/>
  <c r="DF601" i="2"/>
  <c r="DE601" i="2"/>
  <c r="CK607" i="2"/>
  <c r="CJ607" i="2"/>
  <c r="CK606" i="2"/>
  <c r="CJ606" i="2"/>
  <c r="CK605" i="2"/>
  <c r="CJ605" i="2"/>
  <c r="CK603" i="2"/>
  <c r="CJ603" i="2"/>
  <c r="CK602" i="2"/>
  <c r="CJ602" i="2"/>
  <c r="CK601" i="2"/>
  <c r="CJ601" i="2"/>
  <c r="CH607" i="2"/>
  <c r="CG607" i="2"/>
  <c r="CE607" i="2"/>
  <c r="CD607" i="2"/>
  <c r="CB607" i="2"/>
  <c r="CA607" i="2"/>
  <c r="CH606" i="2"/>
  <c r="CG606" i="2"/>
  <c r="CE606" i="2"/>
  <c r="CD606" i="2"/>
  <c r="CB606" i="2"/>
  <c r="CA606" i="2"/>
  <c r="CH605" i="2"/>
  <c r="CG605" i="2"/>
  <c r="CE605" i="2"/>
  <c r="CD605" i="2"/>
  <c r="CB605" i="2"/>
  <c r="CA605" i="2"/>
  <c r="CH603" i="2"/>
  <c r="CG603" i="2"/>
  <c r="CE603" i="2"/>
  <c r="CD603" i="2"/>
  <c r="CB603" i="2"/>
  <c r="CA603" i="2"/>
  <c r="CH602" i="2"/>
  <c r="CG602" i="2"/>
  <c r="CE602" i="2"/>
  <c r="CD602" i="2"/>
  <c r="CB602" i="2"/>
  <c r="CA602" i="2"/>
  <c r="CH601" i="2"/>
  <c r="CG601" i="2"/>
  <c r="CE601" i="2"/>
  <c r="CD601" i="2"/>
  <c r="CB601" i="2"/>
  <c r="CA601" i="2"/>
  <c r="BY607" i="2"/>
  <c r="BX607" i="2"/>
  <c r="BV607" i="2"/>
  <c r="BU607" i="2"/>
  <c r="BS607" i="2"/>
  <c r="BR607" i="2"/>
  <c r="BY606" i="2"/>
  <c r="BX606" i="2"/>
  <c r="BV606" i="2"/>
  <c r="BU606" i="2"/>
  <c r="BS606" i="2"/>
  <c r="BR606" i="2"/>
  <c r="BY605" i="2"/>
  <c r="BX605" i="2"/>
  <c r="BV605" i="2"/>
  <c r="BU605" i="2"/>
  <c r="BS605" i="2"/>
  <c r="BR605" i="2"/>
  <c r="BY603" i="2"/>
  <c r="BX603" i="2"/>
  <c r="BV603" i="2"/>
  <c r="BU603" i="2"/>
  <c r="BS603" i="2"/>
  <c r="BR603" i="2"/>
  <c r="BY602" i="2"/>
  <c r="BX602" i="2"/>
  <c r="BV602" i="2"/>
  <c r="BU602" i="2"/>
  <c r="BS602" i="2"/>
  <c r="BR602" i="2"/>
  <c r="BY601" i="2"/>
  <c r="BX601" i="2"/>
  <c r="BV601" i="2"/>
  <c r="BU601" i="2"/>
  <c r="BS601" i="2"/>
  <c r="BR601" i="2"/>
  <c r="BP607" i="2"/>
  <c r="BO607" i="2"/>
  <c r="BM607" i="2"/>
  <c r="BL607" i="2"/>
  <c r="BJ607" i="2"/>
  <c r="BI607" i="2"/>
  <c r="BP606" i="2"/>
  <c r="BO606" i="2"/>
  <c r="BM606" i="2"/>
  <c r="BL606" i="2"/>
  <c r="BJ606" i="2"/>
  <c r="BI606" i="2"/>
  <c r="BP605" i="2"/>
  <c r="BO605" i="2"/>
  <c r="BM605" i="2"/>
  <c r="BL605" i="2"/>
  <c r="BJ605" i="2"/>
  <c r="BI605" i="2"/>
  <c r="BP603" i="2"/>
  <c r="BO603" i="2"/>
  <c r="BM603" i="2"/>
  <c r="BL603" i="2"/>
  <c r="BJ603" i="2"/>
  <c r="BI603" i="2"/>
  <c r="BP602" i="2"/>
  <c r="BO602" i="2"/>
  <c r="BM602" i="2"/>
  <c r="BL602" i="2"/>
  <c r="BJ602" i="2"/>
  <c r="BI602" i="2"/>
  <c r="BP601" i="2"/>
  <c r="BO601" i="2"/>
  <c r="BM601" i="2"/>
  <c r="BL601" i="2"/>
  <c r="BJ601" i="2"/>
  <c r="BI601" i="2"/>
  <c r="BG607" i="2"/>
  <c r="BF607" i="2"/>
  <c r="BD607" i="2"/>
  <c r="BC607" i="2"/>
  <c r="BA607" i="2"/>
  <c r="AZ607" i="2"/>
  <c r="BG606" i="2"/>
  <c r="BF606" i="2"/>
  <c r="BD606" i="2"/>
  <c r="BC606" i="2"/>
  <c r="BA606" i="2"/>
  <c r="AZ606" i="2"/>
  <c r="BG605" i="2"/>
  <c r="BF605" i="2"/>
  <c r="BD605" i="2"/>
  <c r="BC605" i="2"/>
  <c r="BA605" i="2"/>
  <c r="AZ605" i="2"/>
  <c r="BG603" i="2"/>
  <c r="BF603" i="2"/>
  <c r="BD603" i="2"/>
  <c r="BC603" i="2"/>
  <c r="BA603" i="2"/>
  <c r="AZ603" i="2"/>
  <c r="BG602" i="2"/>
  <c r="BF602" i="2"/>
  <c r="BD602" i="2"/>
  <c r="BC602" i="2"/>
  <c r="BA602" i="2"/>
  <c r="AZ602" i="2"/>
  <c r="BG601" i="2"/>
  <c r="BF601" i="2"/>
  <c r="BD601" i="2"/>
  <c r="BC601" i="2"/>
  <c r="BA601" i="2"/>
  <c r="AZ601" i="2"/>
  <c r="AX607" i="2"/>
  <c r="AW607" i="2"/>
  <c r="AU607" i="2"/>
  <c r="AT607" i="2"/>
  <c r="AR607" i="2"/>
  <c r="AQ607" i="2"/>
  <c r="AX606" i="2"/>
  <c r="AW606" i="2"/>
  <c r="AU606" i="2"/>
  <c r="AT606" i="2"/>
  <c r="AR606" i="2"/>
  <c r="AQ606" i="2"/>
  <c r="AX605" i="2"/>
  <c r="AW605" i="2"/>
  <c r="AU605" i="2"/>
  <c r="AT605" i="2"/>
  <c r="AR605" i="2"/>
  <c r="AQ605" i="2"/>
  <c r="AX603" i="2"/>
  <c r="AW603" i="2"/>
  <c r="AU603" i="2"/>
  <c r="AT603" i="2"/>
  <c r="AR603" i="2"/>
  <c r="AQ603" i="2"/>
  <c r="AX602" i="2"/>
  <c r="AW602" i="2"/>
  <c r="AU602" i="2"/>
  <c r="AT602" i="2"/>
  <c r="AR602" i="2"/>
  <c r="AQ602" i="2"/>
  <c r="AX601" i="2"/>
  <c r="AW601" i="2"/>
  <c r="AU601" i="2"/>
  <c r="AT601" i="2"/>
  <c r="AR601" i="2"/>
  <c r="AQ601" i="2"/>
  <c r="AO607" i="2"/>
  <c r="AN607" i="2"/>
  <c r="AL607" i="2"/>
  <c r="AK607" i="2"/>
  <c r="AI607" i="2"/>
  <c r="AH607" i="2"/>
  <c r="AO606" i="2"/>
  <c r="AN606" i="2"/>
  <c r="AL606" i="2"/>
  <c r="AK606" i="2"/>
  <c r="AI606" i="2"/>
  <c r="AH606" i="2"/>
  <c r="AO605" i="2"/>
  <c r="AN605" i="2"/>
  <c r="AL605" i="2"/>
  <c r="AK605" i="2"/>
  <c r="AI605" i="2"/>
  <c r="AH605" i="2"/>
  <c r="AO603" i="2"/>
  <c r="AN603" i="2"/>
  <c r="AL603" i="2"/>
  <c r="AK603" i="2"/>
  <c r="AI603" i="2"/>
  <c r="AH603" i="2"/>
  <c r="AO602" i="2"/>
  <c r="AN602" i="2"/>
  <c r="AL602" i="2"/>
  <c r="AK602" i="2"/>
  <c r="AI602" i="2"/>
  <c r="AH602" i="2"/>
  <c r="AO601" i="2"/>
  <c r="AN601" i="2"/>
  <c r="AL601" i="2"/>
  <c r="AK601" i="2"/>
  <c r="AI601" i="2"/>
  <c r="AH601" i="2"/>
  <c r="AF607" i="2"/>
  <c r="AE607" i="2"/>
  <c r="AC607" i="2"/>
  <c r="AB607" i="2"/>
  <c r="Z607" i="2"/>
  <c r="Y607" i="2"/>
  <c r="AF606" i="2"/>
  <c r="AE606" i="2"/>
  <c r="AC606" i="2"/>
  <c r="AB606" i="2"/>
  <c r="Z606" i="2"/>
  <c r="Y606" i="2"/>
  <c r="AF605" i="2"/>
  <c r="AE605" i="2"/>
  <c r="AC605" i="2"/>
  <c r="AB605" i="2"/>
  <c r="Z605" i="2"/>
  <c r="Y605" i="2"/>
  <c r="AF603" i="2"/>
  <c r="AE603" i="2"/>
  <c r="AC603" i="2"/>
  <c r="AB603" i="2"/>
  <c r="Z603" i="2"/>
  <c r="Y603" i="2"/>
  <c r="AF602" i="2"/>
  <c r="AE602" i="2"/>
  <c r="AC602" i="2"/>
  <c r="AB602" i="2"/>
  <c r="Z602" i="2"/>
  <c r="Y602" i="2"/>
  <c r="AF601" i="2"/>
  <c r="AE601" i="2"/>
  <c r="AC601" i="2"/>
  <c r="AB601" i="2"/>
  <c r="Z601" i="2"/>
  <c r="Y601" i="2"/>
  <c r="W607" i="2"/>
  <c r="V607" i="2"/>
  <c r="W606" i="2"/>
  <c r="V606" i="2"/>
  <c r="W605" i="2"/>
  <c r="V605" i="2"/>
  <c r="W603" i="2"/>
  <c r="V603" i="2"/>
  <c r="W602" i="2"/>
  <c r="V602" i="2"/>
  <c r="W601" i="2"/>
  <c r="V601" i="2"/>
  <c r="T607" i="2"/>
  <c r="S607" i="2"/>
  <c r="T606" i="2"/>
  <c r="S606" i="2"/>
  <c r="T605" i="2"/>
  <c r="S605" i="2"/>
  <c r="T603" i="2"/>
  <c r="S603" i="2"/>
  <c r="T602" i="2"/>
  <c r="S602" i="2"/>
  <c r="T601" i="2"/>
  <c r="S601" i="2"/>
  <c r="Q607" i="2"/>
  <c r="P607" i="2"/>
  <c r="Q606" i="2"/>
  <c r="P606" i="2"/>
  <c r="Q605" i="2"/>
  <c r="P605" i="2"/>
  <c r="Q603" i="2"/>
  <c r="P603" i="2"/>
  <c r="Q602" i="2"/>
  <c r="P602" i="2"/>
  <c r="Q601" i="2"/>
  <c r="P601" i="2"/>
  <c r="O607" i="2"/>
  <c r="O606" i="2"/>
  <c r="O605" i="2"/>
  <c r="N607" i="2"/>
  <c r="N606" i="2"/>
  <c r="N605" i="2"/>
  <c r="O603" i="2"/>
  <c r="O602" i="2"/>
  <c r="O601" i="2"/>
  <c r="N603" i="2"/>
  <c r="N602" i="2"/>
  <c r="K602" i="2"/>
  <c r="N601" i="2"/>
  <c r="O633" i="2"/>
  <c r="N633" i="2"/>
  <c r="O632" i="2"/>
  <c r="N632" i="2"/>
  <c r="O636" i="2"/>
  <c r="N636" i="2"/>
  <c r="O635" i="2"/>
  <c r="N635" i="2"/>
  <c r="O643" i="2"/>
  <c r="N643" i="2"/>
  <c r="O642" i="2"/>
  <c r="N642" i="2"/>
  <c r="O640" i="2"/>
  <c r="N640" i="2"/>
  <c r="O639" i="2"/>
  <c r="N639" i="2"/>
  <c r="DF629" i="2"/>
  <c r="DE629" i="2"/>
  <c r="DF628" i="2"/>
  <c r="DE628" i="2"/>
  <c r="DF626" i="2"/>
  <c r="DE626" i="2"/>
  <c r="DF625" i="2"/>
  <c r="DE625" i="2"/>
  <c r="DF623" i="2"/>
  <c r="DE623" i="2"/>
  <c r="DF622" i="2"/>
  <c r="DE622" i="2"/>
  <c r="CK629" i="2"/>
  <c r="CJ629" i="2"/>
  <c r="CK628" i="2"/>
  <c r="CJ628" i="2"/>
  <c r="CK626" i="2"/>
  <c r="CJ626" i="2"/>
  <c r="CK625" i="2"/>
  <c r="CJ625" i="2"/>
  <c r="CK623" i="2"/>
  <c r="CJ623" i="2"/>
  <c r="CK622" i="2"/>
  <c r="CJ622" i="2"/>
  <c r="CH629" i="2"/>
  <c r="CG629" i="2"/>
  <c r="CE629" i="2"/>
  <c r="CD629" i="2"/>
  <c r="CB629" i="2"/>
  <c r="CA629" i="2"/>
  <c r="CH628" i="2"/>
  <c r="CG628" i="2"/>
  <c r="CE628" i="2"/>
  <c r="CD628" i="2"/>
  <c r="CB628" i="2"/>
  <c r="CA628" i="2"/>
  <c r="CH626" i="2"/>
  <c r="CG626" i="2"/>
  <c r="CE626" i="2"/>
  <c r="CD626" i="2"/>
  <c r="CB626" i="2"/>
  <c r="CA626" i="2"/>
  <c r="CH625" i="2"/>
  <c r="CG625" i="2"/>
  <c r="CE625" i="2"/>
  <c r="CD625" i="2"/>
  <c r="CB625" i="2"/>
  <c r="CA625" i="2"/>
  <c r="CH623" i="2"/>
  <c r="CG623" i="2"/>
  <c r="CE623" i="2"/>
  <c r="CD623" i="2"/>
  <c r="CB623" i="2"/>
  <c r="CA623" i="2"/>
  <c r="CH622" i="2"/>
  <c r="CG622" i="2"/>
  <c r="CE622" i="2"/>
  <c r="CD622" i="2"/>
  <c r="CB622" i="2"/>
  <c r="CA622" i="2"/>
  <c r="BY629" i="2"/>
  <c r="BX629" i="2"/>
  <c r="BV629" i="2"/>
  <c r="BU629" i="2"/>
  <c r="BS629" i="2"/>
  <c r="BR629" i="2"/>
  <c r="BY628" i="2"/>
  <c r="BX628" i="2"/>
  <c r="BV628" i="2"/>
  <c r="BU628" i="2"/>
  <c r="BS628" i="2"/>
  <c r="BR628" i="2"/>
  <c r="BY626" i="2"/>
  <c r="BX626" i="2"/>
  <c r="BV626" i="2"/>
  <c r="BU626" i="2"/>
  <c r="BS626" i="2"/>
  <c r="BR626" i="2"/>
  <c r="BY625" i="2"/>
  <c r="BX625" i="2"/>
  <c r="BV625" i="2"/>
  <c r="BU625" i="2"/>
  <c r="BS625" i="2"/>
  <c r="BR625" i="2"/>
  <c r="BY623" i="2"/>
  <c r="BX623" i="2"/>
  <c r="BV623" i="2"/>
  <c r="BU623" i="2"/>
  <c r="BS623" i="2"/>
  <c r="BR623" i="2"/>
  <c r="BY622" i="2"/>
  <c r="BX622" i="2"/>
  <c r="BV622" i="2"/>
  <c r="BU622" i="2"/>
  <c r="BS622" i="2"/>
  <c r="BR622" i="2"/>
  <c r="BP629" i="2"/>
  <c r="BO629" i="2"/>
  <c r="BM629" i="2"/>
  <c r="BL629" i="2"/>
  <c r="BJ629" i="2"/>
  <c r="BI629" i="2"/>
  <c r="BP628" i="2"/>
  <c r="BO628" i="2"/>
  <c r="BM628" i="2"/>
  <c r="BL628" i="2"/>
  <c r="BJ628" i="2"/>
  <c r="BI628" i="2"/>
  <c r="BP626" i="2"/>
  <c r="BO626" i="2"/>
  <c r="BM626" i="2"/>
  <c r="BL626" i="2"/>
  <c r="BJ626" i="2"/>
  <c r="BI626" i="2"/>
  <c r="BP625" i="2"/>
  <c r="BO625" i="2"/>
  <c r="BM625" i="2"/>
  <c r="BL625" i="2"/>
  <c r="BJ625" i="2"/>
  <c r="BI625" i="2"/>
  <c r="BP623" i="2"/>
  <c r="BO623" i="2"/>
  <c r="BM623" i="2"/>
  <c r="BL623" i="2"/>
  <c r="BJ623" i="2"/>
  <c r="BI623" i="2"/>
  <c r="BP622" i="2"/>
  <c r="BO622" i="2"/>
  <c r="BM622" i="2"/>
  <c r="BL622" i="2"/>
  <c r="BJ622" i="2"/>
  <c r="BI622" i="2"/>
  <c r="BG629" i="2"/>
  <c r="BF629" i="2"/>
  <c r="BD629" i="2"/>
  <c r="BC629" i="2"/>
  <c r="BA629" i="2"/>
  <c r="AZ629" i="2"/>
  <c r="BG628" i="2"/>
  <c r="BF628" i="2"/>
  <c r="BD628" i="2"/>
  <c r="BC628" i="2"/>
  <c r="BA628" i="2"/>
  <c r="AZ628" i="2"/>
  <c r="BG626" i="2"/>
  <c r="BF626" i="2"/>
  <c r="BD626" i="2"/>
  <c r="BC626" i="2"/>
  <c r="BA626" i="2"/>
  <c r="AZ626" i="2"/>
  <c r="BG625" i="2"/>
  <c r="BF625" i="2"/>
  <c r="BD625" i="2"/>
  <c r="BC625" i="2"/>
  <c r="BA625" i="2"/>
  <c r="AZ625" i="2"/>
  <c r="BG623" i="2"/>
  <c r="BF623" i="2"/>
  <c r="BD623" i="2"/>
  <c r="BC623" i="2"/>
  <c r="BA623" i="2"/>
  <c r="AZ623" i="2"/>
  <c r="BG622" i="2"/>
  <c r="BF622" i="2"/>
  <c r="BD622" i="2"/>
  <c r="BC622" i="2"/>
  <c r="BA622" i="2"/>
  <c r="AZ622" i="2"/>
  <c r="AX629" i="2"/>
  <c r="AW629" i="2"/>
  <c r="AU629" i="2"/>
  <c r="AT629" i="2"/>
  <c r="AR629" i="2"/>
  <c r="AQ629" i="2"/>
  <c r="AX628" i="2"/>
  <c r="AW628" i="2"/>
  <c r="AU628" i="2"/>
  <c r="AT628" i="2"/>
  <c r="AR628" i="2"/>
  <c r="AQ628" i="2"/>
  <c r="AX626" i="2"/>
  <c r="AW626" i="2"/>
  <c r="AU626" i="2"/>
  <c r="AT626" i="2"/>
  <c r="AR626" i="2"/>
  <c r="AQ626" i="2"/>
  <c r="AX625" i="2"/>
  <c r="AW625" i="2"/>
  <c r="AU625" i="2"/>
  <c r="AT625" i="2"/>
  <c r="AR625" i="2"/>
  <c r="AQ625" i="2"/>
  <c r="AX623" i="2"/>
  <c r="AW623" i="2"/>
  <c r="AU623" i="2"/>
  <c r="AT623" i="2"/>
  <c r="AR623" i="2"/>
  <c r="AQ623" i="2"/>
  <c r="AX622" i="2"/>
  <c r="AW622" i="2"/>
  <c r="AU622" i="2"/>
  <c r="AT622" i="2"/>
  <c r="AR622" i="2"/>
  <c r="AQ622" i="2"/>
  <c r="AO629" i="2"/>
  <c r="AN629" i="2"/>
  <c r="AL629" i="2"/>
  <c r="AK629" i="2"/>
  <c r="AI629" i="2"/>
  <c r="AH629" i="2"/>
  <c r="AO628" i="2"/>
  <c r="AN628" i="2"/>
  <c r="AL628" i="2"/>
  <c r="AK628" i="2"/>
  <c r="AI628" i="2"/>
  <c r="AH628" i="2"/>
  <c r="AO626" i="2"/>
  <c r="AN626" i="2"/>
  <c r="AL626" i="2"/>
  <c r="AK626" i="2"/>
  <c r="AI626" i="2"/>
  <c r="AH626" i="2"/>
  <c r="AO625" i="2"/>
  <c r="AN625" i="2"/>
  <c r="AL625" i="2"/>
  <c r="AK625" i="2"/>
  <c r="AI625" i="2"/>
  <c r="AH625" i="2"/>
  <c r="AO623" i="2"/>
  <c r="AN623" i="2"/>
  <c r="AL623" i="2"/>
  <c r="AK623" i="2"/>
  <c r="AI623" i="2"/>
  <c r="AH623" i="2"/>
  <c r="AO622" i="2"/>
  <c r="AN622" i="2"/>
  <c r="AL622" i="2"/>
  <c r="AK622" i="2"/>
  <c r="AI622" i="2"/>
  <c r="AH622" i="2"/>
  <c r="AF629" i="2"/>
  <c r="AE629" i="2"/>
  <c r="AC629" i="2"/>
  <c r="AB629" i="2"/>
  <c r="Z629" i="2"/>
  <c r="Y629" i="2"/>
  <c r="AF628" i="2"/>
  <c r="AE628" i="2"/>
  <c r="AC628" i="2"/>
  <c r="AB628" i="2"/>
  <c r="Z628" i="2"/>
  <c r="Y628" i="2"/>
  <c r="AF626" i="2"/>
  <c r="AE626" i="2"/>
  <c r="AC626" i="2"/>
  <c r="AB626" i="2"/>
  <c r="Z626" i="2"/>
  <c r="Y626" i="2"/>
  <c r="AF625" i="2"/>
  <c r="AE625" i="2"/>
  <c r="AC625" i="2"/>
  <c r="AB625" i="2"/>
  <c r="Z625" i="2"/>
  <c r="Y625" i="2"/>
  <c r="AF623" i="2"/>
  <c r="AE623" i="2"/>
  <c r="AC623" i="2"/>
  <c r="AB623" i="2"/>
  <c r="Z623" i="2"/>
  <c r="Y623" i="2"/>
  <c r="AF622" i="2"/>
  <c r="AE622" i="2"/>
  <c r="AC622" i="2"/>
  <c r="AB622" i="2"/>
  <c r="Z622" i="2"/>
  <c r="Y622" i="2"/>
  <c r="W629" i="2"/>
  <c r="V629" i="2"/>
  <c r="W628" i="2"/>
  <c r="V628" i="2"/>
  <c r="W626" i="2"/>
  <c r="V626" i="2"/>
  <c r="W625" i="2"/>
  <c r="V625" i="2"/>
  <c r="W623" i="2"/>
  <c r="V623" i="2"/>
  <c r="W622" i="2"/>
  <c r="V622" i="2"/>
  <c r="T629" i="2"/>
  <c r="S629" i="2"/>
  <c r="T628" i="2"/>
  <c r="S628" i="2"/>
  <c r="T626" i="2"/>
  <c r="S626" i="2"/>
  <c r="T625" i="2"/>
  <c r="S625" i="2"/>
  <c r="T623" i="2"/>
  <c r="S623" i="2"/>
  <c r="T622" i="2"/>
  <c r="S622" i="2"/>
  <c r="Q629" i="2"/>
  <c r="P629" i="2"/>
  <c r="Q628" i="2"/>
  <c r="P628" i="2"/>
  <c r="Q626" i="2"/>
  <c r="P626" i="2"/>
  <c r="Q625" i="2"/>
  <c r="P625" i="2"/>
  <c r="Q623" i="2"/>
  <c r="P623" i="2"/>
  <c r="Q622" i="2"/>
  <c r="P622" i="2"/>
  <c r="O628" i="2"/>
  <c r="W654" i="2"/>
  <c r="V654" i="2"/>
  <c r="W653" i="2"/>
  <c r="V653" i="2"/>
  <c r="W652" i="2"/>
  <c r="V652" i="2"/>
  <c r="W651" i="2"/>
  <c r="V651" i="2"/>
  <c r="W650" i="2"/>
  <c r="V650" i="2"/>
  <c r="W649" i="2"/>
  <c r="V649" i="2"/>
  <c r="W648" i="2"/>
  <c r="V648" i="2"/>
  <c r="W647" i="2"/>
  <c r="V647" i="2"/>
  <c r="W646" i="2"/>
  <c r="T654" i="2"/>
  <c r="S654" i="2"/>
  <c r="T653" i="2"/>
  <c r="S653" i="2"/>
  <c r="T652" i="2"/>
  <c r="S652" i="2"/>
  <c r="T651" i="2"/>
  <c r="S651" i="2"/>
  <c r="T650" i="2"/>
  <c r="S650" i="2"/>
  <c r="T649" i="2"/>
  <c r="S649" i="2"/>
  <c r="T648" i="2"/>
  <c r="S648" i="2"/>
  <c r="T647" i="2"/>
  <c r="S647" i="2"/>
  <c r="T646" i="2"/>
  <c r="S646" i="2"/>
  <c r="Q654" i="2"/>
  <c r="P654" i="2"/>
  <c r="Q653" i="2"/>
  <c r="P653" i="2"/>
  <c r="Q652" i="2"/>
  <c r="P652" i="2"/>
  <c r="Q651" i="2"/>
  <c r="P651" i="2"/>
  <c r="Q650" i="2"/>
  <c r="P650" i="2"/>
  <c r="Q649" i="2"/>
  <c r="P649" i="2"/>
  <c r="Q648" i="2"/>
  <c r="P648" i="2"/>
  <c r="Q647" i="2"/>
  <c r="P647" i="2"/>
  <c r="Q646" i="2"/>
  <c r="P646" i="2"/>
  <c r="K625" i="2"/>
  <c r="N843" i="2"/>
  <c r="N842" i="2"/>
  <c r="N840" i="2"/>
  <c r="N839" i="2"/>
  <c r="N837" i="2"/>
  <c r="N836" i="2"/>
  <c r="N834" i="2"/>
  <c r="N833" i="2"/>
  <c r="N629" i="2" l="1"/>
  <c r="O629" i="2"/>
  <c r="O622" i="2"/>
  <c r="N626" i="2"/>
  <c r="O626" i="2"/>
  <c r="O625" i="2"/>
  <c r="N628" i="2"/>
  <c r="N625" i="2"/>
  <c r="N622" i="2"/>
  <c r="N623" i="2"/>
  <c r="O623" i="2"/>
  <c r="N884" i="2"/>
  <c r="N883" i="2"/>
  <c r="N881" i="2"/>
  <c r="N880" i="2"/>
  <c r="N863" i="2"/>
  <c r="N862" i="2"/>
  <c r="N860" i="2"/>
  <c r="N859" i="2"/>
  <c r="O843" i="2"/>
  <c r="O842" i="2"/>
  <c r="O840" i="2"/>
  <c r="O839" i="2"/>
  <c r="O837" i="2"/>
  <c r="O836" i="2"/>
  <c r="O834" i="2"/>
  <c r="O833" i="2"/>
  <c r="O860" i="2"/>
  <c r="O859" i="2"/>
  <c r="O863" i="2"/>
  <c r="O862" i="2"/>
  <c r="O884" i="2"/>
  <c r="O883" i="2"/>
  <c r="O881" i="2"/>
  <c r="O880" i="2"/>
  <c r="DF831" i="2"/>
  <c r="DE831" i="2"/>
  <c r="DF830" i="2"/>
  <c r="DE830" i="2"/>
  <c r="DF828" i="2"/>
  <c r="DE828" i="2"/>
  <c r="DF827" i="2"/>
  <c r="DE827" i="2"/>
  <c r="DF856" i="2"/>
  <c r="DF870" i="2"/>
  <c r="DE870" i="2"/>
  <c r="DE856" i="2" s="1"/>
  <c r="DF869" i="2"/>
  <c r="DF855" i="2" s="1"/>
  <c r="DE869" i="2"/>
  <c r="DE855" i="2" s="1"/>
  <c r="DF867" i="2"/>
  <c r="DF853" i="2" s="1"/>
  <c r="DE867" i="2"/>
  <c r="DE853" i="2" s="1"/>
  <c r="DF866" i="2"/>
  <c r="DF852" i="2" s="1"/>
  <c r="DE866" i="2"/>
  <c r="DE852" i="2" s="1"/>
  <c r="DF891" i="2"/>
  <c r="DF877" i="2" s="1"/>
  <c r="DE891" i="2"/>
  <c r="DE877" i="2" s="1"/>
  <c r="DF876" i="2"/>
  <c r="DE888" i="2"/>
  <c r="DE874" i="2" s="1"/>
  <c r="DE873" i="2"/>
  <c r="DF873" i="2"/>
  <c r="CG340" i="2"/>
  <c r="CG325" i="2"/>
  <c r="CD340" i="2"/>
  <c r="CA340" i="2"/>
  <c r="BX340" i="2"/>
  <c r="BU326" i="2"/>
  <c r="BU325" i="2"/>
  <c r="BO341" i="2"/>
  <c r="BO340" i="2"/>
  <c r="BO325" i="2"/>
  <c r="BL340" i="2"/>
  <c r="BI340" i="2"/>
  <c r="BI326" i="2"/>
  <c r="BI325" i="2"/>
  <c r="BF340" i="2"/>
  <c r="BF325" i="2"/>
  <c r="BC340" i="2"/>
  <c r="AW325" i="2"/>
  <c r="AT340" i="2"/>
  <c r="AN340" i="2"/>
  <c r="AK340" i="2"/>
  <c r="AK325" i="2"/>
  <c r="AH340" i="2"/>
  <c r="AE340" i="2"/>
  <c r="AB340" i="2"/>
  <c r="Y340" i="2"/>
  <c r="Y325" i="2"/>
  <c r="P340" i="2"/>
  <c r="S340" i="2"/>
  <c r="DE346" i="2"/>
  <c r="N346" i="2" s="1"/>
  <c r="K346" i="2"/>
  <c r="O347" i="2"/>
  <c r="N347" i="2"/>
  <c r="O346" i="2"/>
  <c r="O341" i="2"/>
  <c r="N341" i="2"/>
  <c r="O340" i="2"/>
  <c r="O332" i="2"/>
  <c r="N332" i="2"/>
  <c r="O331" i="2"/>
  <c r="N331" i="2"/>
  <c r="O326" i="2"/>
  <c r="O325" i="2"/>
  <c r="DF345" i="2"/>
  <c r="DE345" i="2"/>
  <c r="DF344" i="2"/>
  <c r="DE344" i="2"/>
  <c r="DF343" i="2"/>
  <c r="DE343" i="2"/>
  <c r="DF339" i="2"/>
  <c r="DE339" i="2"/>
  <c r="DF338" i="2"/>
  <c r="DE338" i="2"/>
  <c r="DF337" i="2"/>
  <c r="DE337" i="2"/>
  <c r="CK345" i="2"/>
  <c r="CJ345" i="2"/>
  <c r="CK344" i="2"/>
  <c r="CJ344" i="2"/>
  <c r="CK343" i="2"/>
  <c r="CJ343" i="2"/>
  <c r="CK339" i="2"/>
  <c r="CJ339" i="2"/>
  <c r="CK338" i="2"/>
  <c r="CJ338" i="2"/>
  <c r="CK337" i="2"/>
  <c r="CJ337" i="2"/>
  <c r="CH345" i="2"/>
  <c r="CG345" i="2"/>
  <c r="CE345" i="2"/>
  <c r="CD345" i="2"/>
  <c r="CB345" i="2"/>
  <c r="CA345" i="2"/>
  <c r="CH344" i="2"/>
  <c r="CG344" i="2"/>
  <c r="CE344" i="2"/>
  <c r="CD344" i="2"/>
  <c r="CB344" i="2"/>
  <c r="CA344" i="2"/>
  <c r="CH343" i="2"/>
  <c r="CH335" i="2" s="1"/>
  <c r="CG343" i="2"/>
  <c r="CE343" i="2"/>
  <c r="CD343" i="2"/>
  <c r="CB343" i="2"/>
  <c r="CB335" i="2" s="1"/>
  <c r="CA343" i="2"/>
  <c r="CH339" i="2"/>
  <c r="CG339" i="2"/>
  <c r="CE339" i="2"/>
  <c r="CD339" i="2"/>
  <c r="CB339" i="2"/>
  <c r="CA339" i="2"/>
  <c r="CH338" i="2"/>
  <c r="CG338" i="2"/>
  <c r="CE338" i="2"/>
  <c r="CD338" i="2"/>
  <c r="CB338" i="2"/>
  <c r="CA338" i="2"/>
  <c r="CH337" i="2"/>
  <c r="CG337" i="2"/>
  <c r="CE337" i="2"/>
  <c r="CE334" i="2" s="1"/>
  <c r="CD337" i="2"/>
  <c r="CB337" i="2"/>
  <c r="CA337" i="2"/>
  <c r="BY345" i="2"/>
  <c r="BX345" i="2"/>
  <c r="BV345" i="2"/>
  <c r="BU345" i="2"/>
  <c r="BS345" i="2"/>
  <c r="BR345" i="2"/>
  <c r="BY344" i="2"/>
  <c r="BX344" i="2"/>
  <c r="BV344" i="2"/>
  <c r="BU344" i="2"/>
  <c r="BS344" i="2"/>
  <c r="BR344" i="2"/>
  <c r="BY343" i="2"/>
  <c r="BY335" i="2" s="1"/>
  <c r="BX343" i="2"/>
  <c r="BV343" i="2"/>
  <c r="BU343" i="2"/>
  <c r="BS343" i="2"/>
  <c r="BS335" i="2" s="1"/>
  <c r="BR343" i="2"/>
  <c r="BY339" i="2"/>
  <c r="BX339" i="2"/>
  <c r="BV339" i="2"/>
  <c r="BU339" i="2"/>
  <c r="BS339" i="2"/>
  <c r="BR339" i="2"/>
  <c r="BY338" i="2"/>
  <c r="BX338" i="2"/>
  <c r="BV338" i="2"/>
  <c r="BU338" i="2"/>
  <c r="BS338" i="2"/>
  <c r="BR338" i="2"/>
  <c r="BY337" i="2"/>
  <c r="BX337" i="2"/>
  <c r="BV337" i="2"/>
  <c r="BV334" i="2" s="1"/>
  <c r="BU337" i="2"/>
  <c r="BS337" i="2"/>
  <c r="BR337" i="2"/>
  <c r="BP345" i="2"/>
  <c r="BO345" i="2"/>
  <c r="BM345" i="2"/>
  <c r="BL345" i="2"/>
  <c r="BJ345" i="2"/>
  <c r="BI345" i="2"/>
  <c r="BP344" i="2"/>
  <c r="BO344" i="2"/>
  <c r="BM344" i="2"/>
  <c r="BL344" i="2"/>
  <c r="BJ344" i="2"/>
  <c r="BI344" i="2"/>
  <c r="BP343" i="2"/>
  <c r="BP335" i="2" s="1"/>
  <c r="BO343" i="2"/>
  <c r="BM343" i="2"/>
  <c r="BL343" i="2"/>
  <c r="BJ343" i="2"/>
  <c r="BJ335" i="2" s="1"/>
  <c r="BI343" i="2"/>
  <c r="BP339" i="2"/>
  <c r="BO339" i="2"/>
  <c r="BM339" i="2"/>
  <c r="BL339" i="2"/>
  <c r="BJ339" i="2"/>
  <c r="BI339" i="2"/>
  <c r="BP338" i="2"/>
  <c r="BO338" i="2"/>
  <c r="BM338" i="2"/>
  <c r="BL338" i="2"/>
  <c r="BJ338" i="2"/>
  <c r="BI338" i="2"/>
  <c r="BP337" i="2"/>
  <c r="BO337" i="2"/>
  <c r="BM337" i="2"/>
  <c r="BM334" i="2" s="1"/>
  <c r="BL337" i="2"/>
  <c r="BJ337" i="2"/>
  <c r="BI337" i="2"/>
  <c r="BG345" i="2"/>
  <c r="BF345" i="2"/>
  <c r="BD345" i="2"/>
  <c r="BC345" i="2"/>
  <c r="BA345" i="2"/>
  <c r="AZ345" i="2"/>
  <c r="BG344" i="2"/>
  <c r="BF344" i="2"/>
  <c r="BD344" i="2"/>
  <c r="BC344" i="2"/>
  <c r="BA344" i="2"/>
  <c r="AZ344" i="2"/>
  <c r="BG343" i="2"/>
  <c r="BG335" i="2" s="1"/>
  <c r="BF343" i="2"/>
  <c r="BD343" i="2"/>
  <c r="BC343" i="2"/>
  <c r="BA343" i="2"/>
  <c r="BA335" i="2" s="1"/>
  <c r="AZ343" i="2"/>
  <c r="BG339" i="2"/>
  <c r="BF339" i="2"/>
  <c r="BD339" i="2"/>
  <c r="BC339" i="2"/>
  <c r="BA339" i="2"/>
  <c r="AZ339" i="2"/>
  <c r="BG338" i="2"/>
  <c r="BF338" i="2"/>
  <c r="BD338" i="2"/>
  <c r="BC338" i="2"/>
  <c r="BA338" i="2"/>
  <c r="AZ338" i="2"/>
  <c r="BG337" i="2"/>
  <c r="BF337" i="2"/>
  <c r="BD337" i="2"/>
  <c r="BD334" i="2" s="1"/>
  <c r="BC337" i="2"/>
  <c r="BA337" i="2"/>
  <c r="AZ337" i="2"/>
  <c r="AX345" i="2"/>
  <c r="AW345" i="2"/>
  <c r="AU345" i="2"/>
  <c r="AT345" i="2"/>
  <c r="AR345" i="2"/>
  <c r="AQ345" i="2"/>
  <c r="AX344" i="2"/>
  <c r="AW344" i="2"/>
  <c r="AU344" i="2"/>
  <c r="AT344" i="2"/>
  <c r="AR344" i="2"/>
  <c r="AQ344" i="2"/>
  <c r="AX343" i="2"/>
  <c r="AX335" i="2" s="1"/>
  <c r="AW343" i="2"/>
  <c r="AU343" i="2"/>
  <c r="AT343" i="2"/>
  <c r="AR343" i="2"/>
  <c r="AR335" i="2" s="1"/>
  <c r="AQ343" i="2"/>
  <c r="AX339" i="2"/>
  <c r="AW339" i="2"/>
  <c r="AU339" i="2"/>
  <c r="AT339" i="2"/>
  <c r="AR339" i="2"/>
  <c r="AQ339" i="2"/>
  <c r="AX338" i="2"/>
  <c r="AW338" i="2"/>
  <c r="AU338" i="2"/>
  <c r="AT338" i="2"/>
  <c r="AR338" i="2"/>
  <c r="AQ338" i="2"/>
  <c r="AX337" i="2"/>
  <c r="AW337" i="2"/>
  <c r="AU337" i="2"/>
  <c r="AU334" i="2" s="1"/>
  <c r="AT337" i="2"/>
  <c r="AR337" i="2"/>
  <c r="AQ337" i="2"/>
  <c r="AO345" i="2"/>
  <c r="AN345" i="2"/>
  <c r="AL345" i="2"/>
  <c r="AK345" i="2"/>
  <c r="AI345" i="2"/>
  <c r="AH345" i="2"/>
  <c r="AO344" i="2"/>
  <c r="AN344" i="2"/>
  <c r="AL344" i="2"/>
  <c r="AK344" i="2"/>
  <c r="AI344" i="2"/>
  <c r="AH344" i="2"/>
  <c r="AO343" i="2"/>
  <c r="AO335" i="2" s="1"/>
  <c r="AN343" i="2"/>
  <c r="AL343" i="2"/>
  <c r="AK343" i="2"/>
  <c r="AI343" i="2"/>
  <c r="AI335" i="2" s="1"/>
  <c r="AH343" i="2"/>
  <c r="AO339" i="2"/>
  <c r="AN339" i="2"/>
  <c r="AL339" i="2"/>
  <c r="AK339" i="2"/>
  <c r="AI339" i="2"/>
  <c r="AH339" i="2"/>
  <c r="AO338" i="2"/>
  <c r="AN338" i="2"/>
  <c r="AL338" i="2"/>
  <c r="AK338" i="2"/>
  <c r="AI338" i="2"/>
  <c r="AH338" i="2"/>
  <c r="AO337" i="2"/>
  <c r="AN337" i="2"/>
  <c r="AL337" i="2"/>
  <c r="AL334" i="2" s="1"/>
  <c r="AK337" i="2"/>
  <c r="AI337" i="2"/>
  <c r="AH337" i="2"/>
  <c r="AF345" i="2"/>
  <c r="AE345" i="2"/>
  <c r="AC345" i="2"/>
  <c r="AB345" i="2"/>
  <c r="Z345" i="2"/>
  <c r="Y345" i="2"/>
  <c r="AF344" i="2"/>
  <c r="AE344" i="2"/>
  <c r="AC344" i="2"/>
  <c r="AB344" i="2"/>
  <c r="Z344" i="2"/>
  <c r="Y344" i="2"/>
  <c r="AF343" i="2"/>
  <c r="AF335" i="2" s="1"/>
  <c r="AE343" i="2"/>
  <c r="AC343" i="2"/>
  <c r="AB343" i="2"/>
  <c r="Z343" i="2"/>
  <c r="Z335" i="2" s="1"/>
  <c r="Y343" i="2"/>
  <c r="AF339" i="2"/>
  <c r="AE339" i="2"/>
  <c r="AC339" i="2"/>
  <c r="AB339" i="2"/>
  <c r="Z339" i="2"/>
  <c r="Y339" i="2"/>
  <c r="AF338" i="2"/>
  <c r="AE338" i="2"/>
  <c r="AC338" i="2"/>
  <c r="AB338" i="2"/>
  <c r="Z338" i="2"/>
  <c r="Y338" i="2"/>
  <c r="AF337" i="2"/>
  <c r="AE337" i="2"/>
  <c r="AC337" i="2"/>
  <c r="AC334" i="2" s="1"/>
  <c r="AB337" i="2"/>
  <c r="Z337" i="2"/>
  <c r="Y337" i="2"/>
  <c r="W345" i="2"/>
  <c r="V345" i="2"/>
  <c r="W344" i="2"/>
  <c r="V344" i="2"/>
  <c r="W343" i="2"/>
  <c r="W335" i="2" s="1"/>
  <c r="V343" i="2"/>
  <c r="T345" i="2"/>
  <c r="S345" i="2"/>
  <c r="T344" i="2"/>
  <c r="S344" i="2"/>
  <c r="T343" i="2"/>
  <c r="S343" i="2"/>
  <c r="Q345" i="2"/>
  <c r="P345" i="2"/>
  <c r="Q344" i="2"/>
  <c r="P344" i="2"/>
  <c r="Q343" i="2"/>
  <c r="Q335" i="2" s="1"/>
  <c r="P343" i="2"/>
  <c r="W339" i="2"/>
  <c r="V339" i="2"/>
  <c r="W338" i="2"/>
  <c r="V338" i="2"/>
  <c r="W337" i="2"/>
  <c r="V337" i="2"/>
  <c r="T339" i="2"/>
  <c r="S339" i="2"/>
  <c r="T338" i="2"/>
  <c r="S338" i="2"/>
  <c r="T337" i="2"/>
  <c r="S337" i="2"/>
  <c r="Q339" i="2"/>
  <c r="P339" i="2"/>
  <c r="Q338" i="2"/>
  <c r="P338" i="2"/>
  <c r="Q337" i="2"/>
  <c r="P337" i="2"/>
  <c r="DF330" i="2"/>
  <c r="DE330" i="2"/>
  <c r="DF329" i="2"/>
  <c r="DE329" i="2"/>
  <c r="DF328" i="2"/>
  <c r="DE328" i="2"/>
  <c r="CK330" i="2"/>
  <c r="CJ330" i="2"/>
  <c r="CK329" i="2"/>
  <c r="CJ329" i="2"/>
  <c r="CK328" i="2"/>
  <c r="CJ328" i="2"/>
  <c r="CH330" i="2"/>
  <c r="CG330" i="2"/>
  <c r="CE330" i="2"/>
  <c r="CD330" i="2"/>
  <c r="CB330" i="2"/>
  <c r="CA330" i="2"/>
  <c r="CH329" i="2"/>
  <c r="CG329" i="2"/>
  <c r="CE329" i="2"/>
  <c r="CD329" i="2"/>
  <c r="CB329" i="2"/>
  <c r="CA329" i="2"/>
  <c r="CH328" i="2"/>
  <c r="CH310" i="2" s="1"/>
  <c r="CG328" i="2"/>
  <c r="CE328" i="2"/>
  <c r="CD328" i="2"/>
  <c r="CB328" i="2"/>
  <c r="CA328" i="2"/>
  <c r="BY330" i="2"/>
  <c r="BX330" i="2"/>
  <c r="BV330" i="2"/>
  <c r="BU330" i="2"/>
  <c r="BS330" i="2"/>
  <c r="BR330" i="2"/>
  <c r="BY329" i="2"/>
  <c r="BX329" i="2"/>
  <c r="BV329" i="2"/>
  <c r="BU329" i="2"/>
  <c r="BS329" i="2"/>
  <c r="BR329" i="2"/>
  <c r="BY328" i="2"/>
  <c r="BX328" i="2"/>
  <c r="BV328" i="2"/>
  <c r="BV310" i="2" s="1"/>
  <c r="BU328" i="2"/>
  <c r="BS328" i="2"/>
  <c r="BR328" i="2"/>
  <c r="BP330" i="2"/>
  <c r="BO330" i="2"/>
  <c r="BM330" i="2"/>
  <c r="BL330" i="2"/>
  <c r="BJ330" i="2"/>
  <c r="BI330" i="2"/>
  <c r="BP329" i="2"/>
  <c r="BO329" i="2"/>
  <c r="BM329" i="2"/>
  <c r="BL329" i="2"/>
  <c r="BJ329" i="2"/>
  <c r="BI329" i="2"/>
  <c r="BP328" i="2"/>
  <c r="BO328" i="2"/>
  <c r="BM328" i="2"/>
  <c r="BL328" i="2"/>
  <c r="BJ328" i="2"/>
  <c r="BJ310" i="2" s="1"/>
  <c r="BI328" i="2"/>
  <c r="BG330" i="2"/>
  <c r="BF330" i="2"/>
  <c r="BD330" i="2"/>
  <c r="BC330" i="2"/>
  <c r="BA330" i="2"/>
  <c r="AZ330" i="2"/>
  <c r="BG329" i="2"/>
  <c r="BF329" i="2"/>
  <c r="BD329" i="2"/>
  <c r="BC329" i="2"/>
  <c r="BA329" i="2"/>
  <c r="AZ329" i="2"/>
  <c r="BG328" i="2"/>
  <c r="BF328" i="2"/>
  <c r="BD328" i="2"/>
  <c r="BD310" i="2" s="1"/>
  <c r="BC328" i="2"/>
  <c r="BA328" i="2"/>
  <c r="AZ328" i="2"/>
  <c r="AX330" i="2"/>
  <c r="AW330" i="2"/>
  <c r="AU330" i="2"/>
  <c r="AT330" i="2"/>
  <c r="AR330" i="2"/>
  <c r="AQ330" i="2"/>
  <c r="AX329" i="2"/>
  <c r="AW329" i="2"/>
  <c r="AU329" i="2"/>
  <c r="AT329" i="2"/>
  <c r="AR329" i="2"/>
  <c r="AQ329" i="2"/>
  <c r="AX328" i="2"/>
  <c r="AX310" i="2" s="1"/>
  <c r="AW328" i="2"/>
  <c r="AU328" i="2"/>
  <c r="AT328" i="2"/>
  <c r="AR328" i="2"/>
  <c r="AQ328" i="2"/>
  <c r="AO330" i="2"/>
  <c r="AN330" i="2"/>
  <c r="AL330" i="2"/>
  <c r="AK330" i="2"/>
  <c r="AI330" i="2"/>
  <c r="AH330" i="2"/>
  <c r="AO329" i="2"/>
  <c r="AN329" i="2"/>
  <c r="AL329" i="2"/>
  <c r="AK329" i="2"/>
  <c r="AI329" i="2"/>
  <c r="AH329" i="2"/>
  <c r="AO328" i="2"/>
  <c r="AN328" i="2"/>
  <c r="AL328" i="2"/>
  <c r="AK328" i="2"/>
  <c r="AI328" i="2"/>
  <c r="AH328" i="2"/>
  <c r="AF330" i="2"/>
  <c r="AE330" i="2"/>
  <c r="AC330" i="2"/>
  <c r="AB330" i="2"/>
  <c r="Z330" i="2"/>
  <c r="Y330" i="2"/>
  <c r="AF329" i="2"/>
  <c r="AE329" i="2"/>
  <c r="AC329" i="2"/>
  <c r="AB329" i="2"/>
  <c r="Z329" i="2"/>
  <c r="Y329" i="2"/>
  <c r="AF328" i="2"/>
  <c r="AE328" i="2"/>
  <c r="AC328" i="2"/>
  <c r="AB328" i="2"/>
  <c r="Z328" i="2"/>
  <c r="Y328" i="2"/>
  <c r="W330" i="2"/>
  <c r="V330" i="2"/>
  <c r="W329" i="2"/>
  <c r="V329" i="2"/>
  <c r="W328" i="2"/>
  <c r="V328" i="2"/>
  <c r="T330" i="2"/>
  <c r="S330" i="2"/>
  <c r="T329" i="2"/>
  <c r="S329" i="2"/>
  <c r="T328" i="2"/>
  <c r="S328" i="2"/>
  <c r="S310" i="2" s="1"/>
  <c r="Q330" i="2"/>
  <c r="P330" i="2"/>
  <c r="Q329" i="2"/>
  <c r="P329" i="2"/>
  <c r="Q328" i="2"/>
  <c r="P328" i="2"/>
  <c r="DF324" i="2"/>
  <c r="DE324" i="2"/>
  <c r="DF323" i="2"/>
  <c r="DE323" i="2"/>
  <c r="DF322" i="2"/>
  <c r="DF309" i="2" s="1"/>
  <c r="DE322" i="2"/>
  <c r="CK324" i="2"/>
  <c r="CJ324" i="2"/>
  <c r="CK323" i="2"/>
  <c r="CJ323" i="2"/>
  <c r="CK322" i="2"/>
  <c r="CJ322" i="2"/>
  <c r="CH324" i="2"/>
  <c r="CG324" i="2"/>
  <c r="CE324" i="2"/>
  <c r="CD324" i="2"/>
  <c r="CB324" i="2"/>
  <c r="CA324" i="2"/>
  <c r="CH323" i="2"/>
  <c r="CG323" i="2"/>
  <c r="CE323" i="2"/>
  <c r="CD323" i="2"/>
  <c r="CB323" i="2"/>
  <c r="CA323" i="2"/>
  <c r="CH322" i="2"/>
  <c r="CG322" i="2"/>
  <c r="CG309" i="2" s="1"/>
  <c r="CE322" i="2"/>
  <c r="CD322" i="2"/>
  <c r="CB322" i="2"/>
  <c r="CB309" i="2" s="1"/>
  <c r="CA322" i="2"/>
  <c r="BY324" i="2"/>
  <c r="BX324" i="2"/>
  <c r="BV324" i="2"/>
  <c r="BU324" i="2"/>
  <c r="BS324" i="2"/>
  <c r="BR324" i="2"/>
  <c r="BY323" i="2"/>
  <c r="BY309" i="2" s="1"/>
  <c r="BX323" i="2"/>
  <c r="BV323" i="2"/>
  <c r="BU323" i="2"/>
  <c r="BS323" i="2"/>
  <c r="BR323" i="2"/>
  <c r="BY322" i="2"/>
  <c r="BX322" i="2"/>
  <c r="BV322" i="2"/>
  <c r="BV309" i="2" s="1"/>
  <c r="BU322" i="2"/>
  <c r="BS322" i="2"/>
  <c r="BR322" i="2"/>
  <c r="BP324" i="2"/>
  <c r="BO324" i="2"/>
  <c r="BM324" i="2"/>
  <c r="BL324" i="2"/>
  <c r="BJ324" i="2"/>
  <c r="BI324" i="2"/>
  <c r="BP323" i="2"/>
  <c r="BO323" i="2"/>
  <c r="BM323" i="2"/>
  <c r="BL323" i="2"/>
  <c r="BJ323" i="2"/>
  <c r="BI323" i="2"/>
  <c r="BP322" i="2"/>
  <c r="BP309" i="2" s="1"/>
  <c r="BO322" i="2"/>
  <c r="BM322" i="2"/>
  <c r="BL322" i="2"/>
  <c r="BJ322" i="2"/>
  <c r="BI322" i="2"/>
  <c r="BG324" i="2"/>
  <c r="BF324" i="2"/>
  <c r="BD324" i="2"/>
  <c r="BC324" i="2"/>
  <c r="BA324" i="2"/>
  <c r="AZ324" i="2"/>
  <c r="BG323" i="2"/>
  <c r="BF323" i="2"/>
  <c r="BD323" i="2"/>
  <c r="BC323" i="2"/>
  <c r="BA323" i="2"/>
  <c r="BA309" i="2" s="1"/>
  <c r="AZ323" i="2"/>
  <c r="BG322" i="2"/>
  <c r="BF322" i="2"/>
  <c r="BD322" i="2"/>
  <c r="BC322" i="2"/>
  <c r="BC309" i="2" s="1"/>
  <c r="BA322" i="2"/>
  <c r="AZ322" i="2"/>
  <c r="AX324" i="2"/>
  <c r="AW324" i="2"/>
  <c r="AU324" i="2"/>
  <c r="AT324" i="2"/>
  <c r="AR324" i="2"/>
  <c r="AQ324" i="2"/>
  <c r="AX323" i="2"/>
  <c r="AW323" i="2"/>
  <c r="AU323" i="2"/>
  <c r="AT323" i="2"/>
  <c r="AR323" i="2"/>
  <c r="AQ323" i="2"/>
  <c r="AX322" i="2"/>
  <c r="AW322" i="2"/>
  <c r="AU322" i="2"/>
  <c r="AT322" i="2"/>
  <c r="AR322" i="2"/>
  <c r="AR309" i="2" s="1"/>
  <c r="AQ322" i="2"/>
  <c r="AO324" i="2"/>
  <c r="AN324" i="2"/>
  <c r="AL324" i="2"/>
  <c r="AK324" i="2"/>
  <c r="AI324" i="2"/>
  <c r="AH324" i="2"/>
  <c r="AO323" i="2"/>
  <c r="AO309" i="2" s="1"/>
  <c r="AN323" i="2"/>
  <c r="AL323" i="2"/>
  <c r="AK323" i="2"/>
  <c r="AI323" i="2"/>
  <c r="AH323" i="2"/>
  <c r="AO322" i="2"/>
  <c r="AN322" i="2"/>
  <c r="AL322" i="2"/>
  <c r="AL309" i="2" s="1"/>
  <c r="AK322" i="2"/>
  <c r="AI322" i="2"/>
  <c r="AH322" i="2"/>
  <c r="AF324" i="2"/>
  <c r="AE324" i="2"/>
  <c r="AC324" i="2"/>
  <c r="AB324" i="2"/>
  <c r="Z324" i="2"/>
  <c r="Y324" i="2"/>
  <c r="AF323" i="2"/>
  <c r="AE323" i="2"/>
  <c r="AC323" i="2"/>
  <c r="AB323" i="2"/>
  <c r="Z323" i="2"/>
  <c r="Y323" i="2"/>
  <c r="AF322" i="2"/>
  <c r="AF309" i="2" s="1"/>
  <c r="AE322" i="2"/>
  <c r="AC322" i="2"/>
  <c r="AB322" i="2"/>
  <c r="Z322" i="2"/>
  <c r="Y322" i="2"/>
  <c r="Y309" i="2" s="1"/>
  <c r="W324" i="2"/>
  <c r="V324" i="2"/>
  <c r="W323" i="2"/>
  <c r="W309" i="2" s="1"/>
  <c r="V323" i="2"/>
  <c r="W322" i="2"/>
  <c r="V322" i="2"/>
  <c r="T324" i="2"/>
  <c r="S324" i="2"/>
  <c r="T323" i="2"/>
  <c r="S323" i="2"/>
  <c r="T322" i="2"/>
  <c r="T309" i="2" s="1"/>
  <c r="S322" i="2"/>
  <c r="Q324" i="2"/>
  <c r="P324" i="2"/>
  <c r="Q323" i="2"/>
  <c r="P323" i="2"/>
  <c r="Q322" i="2"/>
  <c r="P322" i="2"/>
  <c r="DC275" i="2"/>
  <c r="DB275" i="2"/>
  <c r="DC274" i="2"/>
  <c r="DB274" i="2"/>
  <c r="CZ275" i="2"/>
  <c r="CZ265" i="2" s="1"/>
  <c r="CY275" i="2"/>
  <c r="CY262" i="2" s="1"/>
  <c r="CZ274" i="2"/>
  <c r="CZ261" i="2" s="1"/>
  <c r="CY274" i="2"/>
  <c r="CW275" i="2"/>
  <c r="CW265" i="2" s="1"/>
  <c r="CV275" i="2"/>
  <c r="CV265" i="2" s="1"/>
  <c r="CW274" i="2"/>
  <c r="CW264" i="2" s="1"/>
  <c r="CV274" i="2"/>
  <c r="CT275" i="2"/>
  <c r="CT262" i="2" s="1"/>
  <c r="CS275" i="2"/>
  <c r="CT274" i="2"/>
  <c r="CS274" i="2"/>
  <c r="CQ275" i="2"/>
  <c r="CQ262" i="2" s="1"/>
  <c r="CP275" i="2"/>
  <c r="CQ274" i="2"/>
  <c r="CP274" i="2"/>
  <c r="CN275" i="2"/>
  <c r="CN262" i="2" s="1"/>
  <c r="CM275" i="2"/>
  <c r="CN274" i="2"/>
  <c r="CN261" i="2" s="1"/>
  <c r="CM274" i="2"/>
  <c r="DC265" i="2"/>
  <c r="DB265" i="2"/>
  <c r="DC264" i="2"/>
  <c r="DB264" i="2"/>
  <c r="DB262" i="2"/>
  <c r="DC261" i="2"/>
  <c r="DB261" i="2"/>
  <c r="CY264" i="2"/>
  <c r="CY261" i="2"/>
  <c r="CV264" i="2"/>
  <c r="CV262" i="2"/>
  <c r="CW261" i="2"/>
  <c r="CV261" i="2"/>
  <c r="CT261" i="2"/>
  <c r="CS261" i="2"/>
  <c r="CP264" i="2"/>
  <c r="CQ261" i="2"/>
  <c r="CP261" i="2"/>
  <c r="CN264" i="2"/>
  <c r="CM264" i="2"/>
  <c r="CM261" i="2"/>
  <c r="K308" i="2"/>
  <c r="DF275" i="2"/>
  <c r="DE275" i="2"/>
  <c r="DF274" i="2"/>
  <c r="DE274" i="2"/>
  <c r="CK275" i="2"/>
  <c r="CK265" i="2" s="1"/>
  <c r="CJ275" i="2"/>
  <c r="CK274" i="2"/>
  <c r="CK261" i="2" s="1"/>
  <c r="CJ274" i="2"/>
  <c r="CJ264" i="2" s="1"/>
  <c r="CH275" i="2"/>
  <c r="CH265" i="2" s="1"/>
  <c r="CG275" i="2"/>
  <c r="CE275" i="2"/>
  <c r="CE265" i="2" s="1"/>
  <c r="CD275" i="2"/>
  <c r="CD265" i="2" s="1"/>
  <c r="CB275" i="2"/>
  <c r="CB262" i="2" s="1"/>
  <c r="CA275" i="2"/>
  <c r="CH274" i="2"/>
  <c r="CH264" i="2" s="1"/>
  <c r="CG274" i="2"/>
  <c r="CG264" i="2" s="1"/>
  <c r="CE274" i="2"/>
  <c r="CE264" i="2" s="1"/>
  <c r="CD274" i="2"/>
  <c r="CB274" i="2"/>
  <c r="CB264" i="2" s="1"/>
  <c r="CA274" i="2"/>
  <c r="CA264" i="2" s="1"/>
  <c r="BY275" i="2"/>
  <c r="BX275" i="2"/>
  <c r="BV275" i="2"/>
  <c r="BU275" i="2"/>
  <c r="BU265" i="2" s="1"/>
  <c r="BS275" i="2"/>
  <c r="BS262" i="2" s="1"/>
  <c r="BR275" i="2"/>
  <c r="BY274" i="2"/>
  <c r="BX274" i="2"/>
  <c r="BX264" i="2" s="1"/>
  <c r="BV274" i="2"/>
  <c r="BV264" i="2" s="1"/>
  <c r="BU274" i="2"/>
  <c r="BS274" i="2"/>
  <c r="BR274" i="2"/>
  <c r="BP275" i="2"/>
  <c r="BP265" i="2" s="1"/>
  <c r="BO275" i="2"/>
  <c r="BM275" i="2"/>
  <c r="BL275" i="2"/>
  <c r="BL265" i="2" s="1"/>
  <c r="BJ275" i="2"/>
  <c r="BJ265" i="2" s="1"/>
  <c r="BI275" i="2"/>
  <c r="BP274" i="2"/>
  <c r="BO274" i="2"/>
  <c r="BO261" i="2" s="1"/>
  <c r="BM274" i="2"/>
  <c r="BM261" i="2" s="1"/>
  <c r="BL274" i="2"/>
  <c r="BJ274" i="2"/>
  <c r="BI274" i="2"/>
  <c r="BI261" i="2" s="1"/>
  <c r="BG275" i="2"/>
  <c r="BG265" i="2" s="1"/>
  <c r="BF275" i="2"/>
  <c r="BD275" i="2"/>
  <c r="BD265" i="2" s="1"/>
  <c r="BC275" i="2"/>
  <c r="BC262" i="2" s="1"/>
  <c r="BA275" i="2"/>
  <c r="BA262" i="2" s="1"/>
  <c r="AZ275" i="2"/>
  <c r="BG274" i="2"/>
  <c r="BG264" i="2" s="1"/>
  <c r="BF274" i="2"/>
  <c r="BD274" i="2"/>
  <c r="BD264" i="2" s="1"/>
  <c r="BC274" i="2"/>
  <c r="BA274" i="2"/>
  <c r="AZ274" i="2"/>
  <c r="AZ261" i="2" s="1"/>
  <c r="AX275" i="2"/>
  <c r="AX265" i="2" s="1"/>
  <c r="AW275" i="2"/>
  <c r="AU275" i="2"/>
  <c r="AU262" i="2" s="1"/>
  <c r="AT275" i="2"/>
  <c r="AR275" i="2"/>
  <c r="AR265" i="2" s="1"/>
  <c r="AQ275" i="2"/>
  <c r="AX274" i="2"/>
  <c r="AW274" i="2"/>
  <c r="AW264" i="2" s="1"/>
  <c r="AU274" i="2"/>
  <c r="AU261" i="2" s="1"/>
  <c r="AT274" i="2"/>
  <c r="AR274" i="2"/>
  <c r="AR261" i="2" s="1"/>
  <c r="AQ274" i="2"/>
  <c r="AO275" i="2"/>
  <c r="AO262" i="2" s="1"/>
  <c r="AN275" i="2"/>
  <c r="AL275" i="2"/>
  <c r="AK275" i="2"/>
  <c r="AI275" i="2"/>
  <c r="AI262" i="2" s="1"/>
  <c r="AH275" i="2"/>
  <c r="AO274" i="2"/>
  <c r="AN274" i="2"/>
  <c r="AN264" i="2" s="1"/>
  <c r="AL274" i="2"/>
  <c r="AL264" i="2" s="1"/>
  <c r="AK274" i="2"/>
  <c r="AI274" i="2"/>
  <c r="AH274" i="2"/>
  <c r="AF275" i="2"/>
  <c r="AF265" i="2" s="1"/>
  <c r="AE275" i="2"/>
  <c r="AC275" i="2"/>
  <c r="AB275" i="2"/>
  <c r="AB265" i="2" s="1"/>
  <c r="Z275" i="2"/>
  <c r="Z265" i="2" s="1"/>
  <c r="Y275" i="2"/>
  <c r="AF274" i="2"/>
  <c r="AE274" i="2"/>
  <c r="AC274" i="2"/>
  <c r="AC264" i="2" s="1"/>
  <c r="AB274" i="2"/>
  <c r="Z274" i="2"/>
  <c r="Y274" i="2"/>
  <c r="W275" i="2"/>
  <c r="W265" i="2" s="1"/>
  <c r="V275" i="2"/>
  <c r="W274" i="2"/>
  <c r="V274" i="2"/>
  <c r="V264" i="2" s="1"/>
  <c r="T275" i="2"/>
  <c r="T262" i="2" s="1"/>
  <c r="S275" i="2"/>
  <c r="T274" i="2"/>
  <c r="S274" i="2"/>
  <c r="S264" i="2" s="1"/>
  <c r="Q275" i="2"/>
  <c r="Q262" i="2" s="1"/>
  <c r="P275" i="2"/>
  <c r="Q274" i="2"/>
  <c r="P274" i="2"/>
  <c r="P264" i="2" s="1"/>
  <c r="DF265" i="2"/>
  <c r="DE265" i="2"/>
  <c r="DF264" i="2"/>
  <c r="DE264" i="2"/>
  <c r="DF262" i="2"/>
  <c r="DE262" i="2"/>
  <c r="DF261" i="2"/>
  <c r="CJ265" i="2"/>
  <c r="CJ262" i="2"/>
  <c r="CG265" i="2"/>
  <c r="CA265" i="2"/>
  <c r="CD264" i="2"/>
  <c r="CG262" i="2"/>
  <c r="CA262" i="2"/>
  <c r="CG261" i="2"/>
  <c r="CD261" i="2"/>
  <c r="CB261" i="2"/>
  <c r="BY265" i="2"/>
  <c r="BX265" i="2"/>
  <c r="BY262" i="2"/>
  <c r="BM264" i="2"/>
  <c r="BJ261" i="2"/>
  <c r="BC265" i="2"/>
  <c r="AZ264" i="2"/>
  <c r="BG261" i="2"/>
  <c r="BF261" i="2"/>
  <c r="BD261" i="2"/>
  <c r="AU265" i="2"/>
  <c r="AU264" i="2"/>
  <c r="AR264" i="2"/>
  <c r="AW261" i="2"/>
  <c r="AK265" i="2"/>
  <c r="AI265" i="2"/>
  <c r="AK262" i="2"/>
  <c r="AL261" i="2"/>
  <c r="AE264" i="2"/>
  <c r="AF262" i="2"/>
  <c r="AE261" i="2"/>
  <c r="W262" i="2"/>
  <c r="V261" i="2"/>
  <c r="S261" i="2"/>
  <c r="Q265" i="2"/>
  <c r="P261" i="2"/>
  <c r="O272" i="2"/>
  <c r="N272" i="2"/>
  <c r="O271" i="2"/>
  <c r="N271" i="2"/>
  <c r="O269" i="2"/>
  <c r="N269" i="2"/>
  <c r="O268" i="2"/>
  <c r="N268" i="2"/>
  <c r="N139" i="2"/>
  <c r="O139" i="2"/>
  <c r="N140" i="2"/>
  <c r="O140" i="2"/>
  <c r="N142" i="2"/>
  <c r="N338" i="2" s="1"/>
  <c r="O142" i="2"/>
  <c r="O338" i="2" s="1"/>
  <c r="N143" i="2"/>
  <c r="N344" i="2" s="1"/>
  <c r="O143" i="2"/>
  <c r="O344" i="2" s="1"/>
  <c r="N145" i="2"/>
  <c r="N339" i="2" s="1"/>
  <c r="O145" i="2"/>
  <c r="O339" i="2" s="1"/>
  <c r="N146" i="2"/>
  <c r="N345" i="2" s="1"/>
  <c r="O146" i="2"/>
  <c r="O345" i="2" s="1"/>
  <c r="O170" i="2"/>
  <c r="O169" i="2"/>
  <c r="O163" i="2"/>
  <c r="N163" i="2"/>
  <c r="O162" i="2"/>
  <c r="O228" i="2"/>
  <c r="N228" i="2"/>
  <c r="O227" i="2"/>
  <c r="N227" i="2"/>
  <c r="O225" i="2"/>
  <c r="N225" i="2"/>
  <c r="O224" i="2"/>
  <c r="N224" i="2"/>
  <c r="O222" i="2"/>
  <c r="N222" i="2"/>
  <c r="O221" i="2"/>
  <c r="N221" i="2"/>
  <c r="O218" i="2"/>
  <c r="N218" i="2"/>
  <c r="O217" i="2"/>
  <c r="N217" i="2"/>
  <c r="O215" i="2"/>
  <c r="N215" i="2"/>
  <c r="O214" i="2"/>
  <c r="N214" i="2"/>
  <c r="O212" i="2"/>
  <c r="N212" i="2"/>
  <c r="N192" i="2" s="1"/>
  <c r="O211" i="2"/>
  <c r="N211" i="2"/>
  <c r="O208" i="2"/>
  <c r="O188" i="2" s="1"/>
  <c r="N208" i="2"/>
  <c r="O207" i="2"/>
  <c r="N207" i="2"/>
  <c r="O205" i="2"/>
  <c r="N205" i="2"/>
  <c r="N185" i="2" s="1"/>
  <c r="O204" i="2"/>
  <c r="O184" i="2" s="1"/>
  <c r="N204" i="2"/>
  <c r="O202" i="2"/>
  <c r="N202" i="2"/>
  <c r="N182" i="2" s="1"/>
  <c r="O201" i="2"/>
  <c r="O181" i="2" s="1"/>
  <c r="N201" i="2"/>
  <c r="O17" i="2"/>
  <c r="N18" i="2"/>
  <c r="O18" i="2"/>
  <c r="DE192" i="2"/>
  <c r="DE182" i="2"/>
  <c r="N188" i="2"/>
  <c r="DF198" i="2"/>
  <c r="DE198" i="2"/>
  <c r="DC198" i="2"/>
  <c r="DB198" i="2"/>
  <c r="DF197" i="2"/>
  <c r="DE197" i="2"/>
  <c r="DC197" i="2"/>
  <c r="DB197" i="2"/>
  <c r="DF195" i="2"/>
  <c r="DE195" i="2"/>
  <c r="DC195" i="2"/>
  <c r="DB195" i="2"/>
  <c r="DF194" i="2"/>
  <c r="DE194" i="2"/>
  <c r="DC194" i="2"/>
  <c r="DB194" i="2"/>
  <c r="DF192" i="2"/>
  <c r="DC192" i="2"/>
  <c r="DB192" i="2"/>
  <c r="DF191" i="2"/>
  <c r="DE191" i="2"/>
  <c r="DC191" i="2"/>
  <c r="DB191" i="2"/>
  <c r="DF188" i="2"/>
  <c r="DE188" i="2"/>
  <c r="DC188" i="2"/>
  <c r="DB188" i="2"/>
  <c r="DF187" i="2"/>
  <c r="DE187" i="2"/>
  <c r="DC187" i="2"/>
  <c r="DB187" i="2"/>
  <c r="DF185" i="2"/>
  <c r="DE185" i="2"/>
  <c r="DC185" i="2"/>
  <c r="DB185" i="2"/>
  <c r="DF184" i="2"/>
  <c r="DE184" i="2"/>
  <c r="DC184" i="2"/>
  <c r="DB184" i="2"/>
  <c r="DF182" i="2"/>
  <c r="DC182" i="2"/>
  <c r="DB182" i="2"/>
  <c r="DF181" i="2"/>
  <c r="DE181" i="2"/>
  <c r="DC181" i="2"/>
  <c r="DB181" i="2"/>
  <c r="CZ198" i="2"/>
  <c r="CY198" i="2"/>
  <c r="CW198" i="2"/>
  <c r="CV198" i="2"/>
  <c r="CT198" i="2"/>
  <c r="CS198" i="2"/>
  <c r="CZ197" i="2"/>
  <c r="CY197" i="2"/>
  <c r="CW197" i="2"/>
  <c r="CV197" i="2"/>
  <c r="CT197" i="2"/>
  <c r="CS197" i="2"/>
  <c r="CZ195" i="2"/>
  <c r="CY195" i="2"/>
  <c r="CW195" i="2"/>
  <c r="CV195" i="2"/>
  <c r="CT195" i="2"/>
  <c r="CS195" i="2"/>
  <c r="CZ194" i="2"/>
  <c r="CY194" i="2"/>
  <c r="CW194" i="2"/>
  <c r="CV194" i="2"/>
  <c r="CT194" i="2"/>
  <c r="CS194" i="2"/>
  <c r="CZ192" i="2"/>
  <c r="CY192" i="2"/>
  <c r="CW192" i="2"/>
  <c r="CV192" i="2"/>
  <c r="CT192" i="2"/>
  <c r="CS192" i="2"/>
  <c r="CZ191" i="2"/>
  <c r="CY191" i="2"/>
  <c r="CW191" i="2"/>
  <c r="CV191" i="2"/>
  <c r="CT191" i="2"/>
  <c r="CS191" i="2"/>
  <c r="CZ188" i="2"/>
  <c r="CY188" i="2"/>
  <c r="CW188" i="2"/>
  <c r="CV188" i="2"/>
  <c r="CT188" i="2"/>
  <c r="CS188" i="2"/>
  <c r="CZ187" i="2"/>
  <c r="CY187" i="2"/>
  <c r="CW187" i="2"/>
  <c r="CV187" i="2"/>
  <c r="CT187" i="2"/>
  <c r="CS187" i="2"/>
  <c r="CZ185" i="2"/>
  <c r="CY185" i="2"/>
  <c r="CW185" i="2"/>
  <c r="CV185" i="2"/>
  <c r="CT185" i="2"/>
  <c r="CS185" i="2"/>
  <c r="CZ184" i="2"/>
  <c r="CY184" i="2"/>
  <c r="CW184" i="2"/>
  <c r="CV184" i="2"/>
  <c r="CT184" i="2"/>
  <c r="CS184" i="2"/>
  <c r="CZ182" i="2"/>
  <c r="CY182" i="2"/>
  <c r="CW182" i="2"/>
  <c r="CV182" i="2"/>
  <c r="CT182" i="2"/>
  <c r="CS182" i="2"/>
  <c r="CZ181" i="2"/>
  <c r="CY181" i="2"/>
  <c r="CW181" i="2"/>
  <c r="CV181" i="2"/>
  <c r="CT181" i="2"/>
  <c r="CS181" i="2"/>
  <c r="CQ198" i="2"/>
  <c r="CP198" i="2"/>
  <c r="CN198" i="2"/>
  <c r="CM198" i="2"/>
  <c r="CK198" i="2"/>
  <c r="CJ198" i="2"/>
  <c r="CQ197" i="2"/>
  <c r="CP197" i="2"/>
  <c r="CN197" i="2"/>
  <c r="CM197" i="2"/>
  <c r="CK197" i="2"/>
  <c r="CJ197" i="2"/>
  <c r="CQ195" i="2"/>
  <c r="CP195" i="2"/>
  <c r="CN195" i="2"/>
  <c r="CM195" i="2"/>
  <c r="CK195" i="2"/>
  <c r="CJ195" i="2"/>
  <c r="CQ194" i="2"/>
  <c r="CP194" i="2"/>
  <c r="CN194" i="2"/>
  <c r="CM194" i="2"/>
  <c r="CK194" i="2"/>
  <c r="CJ194" i="2"/>
  <c r="CQ192" i="2"/>
  <c r="CP192" i="2"/>
  <c r="CN192" i="2"/>
  <c r="CM192" i="2"/>
  <c r="CK192" i="2"/>
  <c r="CJ192" i="2"/>
  <c r="CQ191" i="2"/>
  <c r="CP191" i="2"/>
  <c r="CN191" i="2"/>
  <c r="CM191" i="2"/>
  <c r="CK191" i="2"/>
  <c r="CJ191" i="2"/>
  <c r="CQ188" i="2"/>
  <c r="CP188" i="2"/>
  <c r="CN188" i="2"/>
  <c r="CM188" i="2"/>
  <c r="CK188" i="2"/>
  <c r="CJ188" i="2"/>
  <c r="CQ187" i="2"/>
  <c r="CP187" i="2"/>
  <c r="CN187" i="2"/>
  <c r="CM187" i="2"/>
  <c r="CK187" i="2"/>
  <c r="CJ187" i="2"/>
  <c r="CQ185" i="2"/>
  <c r="CP185" i="2"/>
  <c r="CN185" i="2"/>
  <c r="CM185" i="2"/>
  <c r="CK185" i="2"/>
  <c r="CJ185" i="2"/>
  <c r="CQ184" i="2"/>
  <c r="CP184" i="2"/>
  <c r="CN184" i="2"/>
  <c r="CM184" i="2"/>
  <c r="CK184" i="2"/>
  <c r="CJ184" i="2"/>
  <c r="CQ182" i="2"/>
  <c r="CP182" i="2"/>
  <c r="CN182" i="2"/>
  <c r="CM182" i="2"/>
  <c r="CK182" i="2"/>
  <c r="CJ182" i="2"/>
  <c r="CQ181" i="2"/>
  <c r="CP181" i="2"/>
  <c r="CN181" i="2"/>
  <c r="CM181" i="2"/>
  <c r="CK181" i="2"/>
  <c r="CJ181" i="2"/>
  <c r="CH198" i="2"/>
  <c r="CG198" i="2"/>
  <c r="CE198" i="2"/>
  <c r="CD198" i="2"/>
  <c r="CB198" i="2"/>
  <c r="CA198" i="2"/>
  <c r="CH197" i="2"/>
  <c r="CG197" i="2"/>
  <c r="CE197" i="2"/>
  <c r="CD197" i="2"/>
  <c r="CB197" i="2"/>
  <c r="CA197" i="2"/>
  <c r="CH195" i="2"/>
  <c r="CG195" i="2"/>
  <c r="CE195" i="2"/>
  <c r="CD195" i="2"/>
  <c r="CB195" i="2"/>
  <c r="CA195" i="2"/>
  <c r="CH194" i="2"/>
  <c r="CG194" i="2"/>
  <c r="CE194" i="2"/>
  <c r="CD194" i="2"/>
  <c r="CB194" i="2"/>
  <c r="CA194" i="2"/>
  <c r="CH192" i="2"/>
  <c r="CG192" i="2"/>
  <c r="CE192" i="2"/>
  <c r="CD192" i="2"/>
  <c r="CB192" i="2"/>
  <c r="CA192" i="2"/>
  <c r="CH191" i="2"/>
  <c r="CG191" i="2"/>
  <c r="CE191" i="2"/>
  <c r="CD191" i="2"/>
  <c r="CB191" i="2"/>
  <c r="CA191" i="2"/>
  <c r="CH188" i="2"/>
  <c r="CG188" i="2"/>
  <c r="CE188" i="2"/>
  <c r="CD188" i="2"/>
  <c r="CB188" i="2"/>
  <c r="CA188" i="2"/>
  <c r="CH187" i="2"/>
  <c r="CG187" i="2"/>
  <c r="CE187" i="2"/>
  <c r="CD187" i="2"/>
  <c r="CB187" i="2"/>
  <c r="CA187" i="2"/>
  <c r="CH185" i="2"/>
  <c r="CG185" i="2"/>
  <c r="CE185" i="2"/>
  <c r="CD185" i="2"/>
  <c r="CB185" i="2"/>
  <c r="CA185" i="2"/>
  <c r="CH184" i="2"/>
  <c r="CG184" i="2"/>
  <c r="CE184" i="2"/>
  <c r="CD184" i="2"/>
  <c r="CB184" i="2"/>
  <c r="CA184" i="2"/>
  <c r="CH182" i="2"/>
  <c r="CG182" i="2"/>
  <c r="CE182" i="2"/>
  <c r="CD182" i="2"/>
  <c r="CB182" i="2"/>
  <c r="CA182" i="2"/>
  <c r="CH181" i="2"/>
  <c r="CG181" i="2"/>
  <c r="CE181" i="2"/>
  <c r="CD181" i="2"/>
  <c r="CB181" i="2"/>
  <c r="CA181" i="2"/>
  <c r="BY198" i="2"/>
  <c r="BX198" i="2"/>
  <c r="BV198" i="2"/>
  <c r="BU198" i="2"/>
  <c r="BS198" i="2"/>
  <c r="BR198" i="2"/>
  <c r="BY197" i="2"/>
  <c r="BX197" i="2"/>
  <c r="BV197" i="2"/>
  <c r="BU197" i="2"/>
  <c r="BS197" i="2"/>
  <c r="BR197" i="2"/>
  <c r="BY195" i="2"/>
  <c r="BX195" i="2"/>
  <c r="BV195" i="2"/>
  <c r="BU195" i="2"/>
  <c r="BS195" i="2"/>
  <c r="BR195" i="2"/>
  <c r="BY194" i="2"/>
  <c r="BX194" i="2"/>
  <c r="BV194" i="2"/>
  <c r="BU194" i="2"/>
  <c r="BS194" i="2"/>
  <c r="BR194" i="2"/>
  <c r="BY192" i="2"/>
  <c r="BX192" i="2"/>
  <c r="BV192" i="2"/>
  <c r="BU192" i="2"/>
  <c r="BS192" i="2"/>
  <c r="BR192" i="2"/>
  <c r="BY191" i="2"/>
  <c r="BX191" i="2"/>
  <c r="BV191" i="2"/>
  <c r="BU191" i="2"/>
  <c r="BS191" i="2"/>
  <c r="BR191" i="2"/>
  <c r="BY188" i="2"/>
  <c r="BX188" i="2"/>
  <c r="BV188" i="2"/>
  <c r="BU188" i="2"/>
  <c r="BS188" i="2"/>
  <c r="BR188" i="2"/>
  <c r="BY187" i="2"/>
  <c r="BX187" i="2"/>
  <c r="BV187" i="2"/>
  <c r="BU187" i="2"/>
  <c r="BS187" i="2"/>
  <c r="BR187" i="2"/>
  <c r="BY185" i="2"/>
  <c r="BX185" i="2"/>
  <c r="BV185" i="2"/>
  <c r="BU185" i="2"/>
  <c r="BS185" i="2"/>
  <c r="BR185" i="2"/>
  <c r="BY184" i="2"/>
  <c r="BX184" i="2"/>
  <c r="BV184" i="2"/>
  <c r="BU184" i="2"/>
  <c r="BS184" i="2"/>
  <c r="BR184" i="2"/>
  <c r="BY182" i="2"/>
  <c r="BX182" i="2"/>
  <c r="BV182" i="2"/>
  <c r="BU182" i="2"/>
  <c r="BS182" i="2"/>
  <c r="BR182" i="2"/>
  <c r="BY181" i="2"/>
  <c r="BX181" i="2"/>
  <c r="BV181" i="2"/>
  <c r="BU181" i="2"/>
  <c r="BS181" i="2"/>
  <c r="BR181" i="2"/>
  <c r="BP198" i="2"/>
  <c r="BO198" i="2"/>
  <c r="BM198" i="2"/>
  <c r="BL198" i="2"/>
  <c r="BJ198" i="2"/>
  <c r="BI198" i="2"/>
  <c r="BP197" i="2"/>
  <c r="BO197" i="2"/>
  <c r="BM197" i="2"/>
  <c r="BL197" i="2"/>
  <c r="BJ197" i="2"/>
  <c r="BI197" i="2"/>
  <c r="BP195" i="2"/>
  <c r="BO195" i="2"/>
  <c r="BM195" i="2"/>
  <c r="BL195" i="2"/>
  <c r="BJ195" i="2"/>
  <c r="BI195" i="2"/>
  <c r="BP194" i="2"/>
  <c r="BO194" i="2"/>
  <c r="BM194" i="2"/>
  <c r="BL194" i="2"/>
  <c r="BJ194" i="2"/>
  <c r="BI194" i="2"/>
  <c r="BP192" i="2"/>
  <c r="BO192" i="2"/>
  <c r="BM192" i="2"/>
  <c r="BL192" i="2"/>
  <c r="BJ192" i="2"/>
  <c r="BI192" i="2"/>
  <c r="BP191" i="2"/>
  <c r="BO191" i="2"/>
  <c r="BM191" i="2"/>
  <c r="BL191" i="2"/>
  <c r="BJ191" i="2"/>
  <c r="BI191" i="2"/>
  <c r="BP188" i="2"/>
  <c r="BO188" i="2"/>
  <c r="BM188" i="2"/>
  <c r="BL188" i="2"/>
  <c r="BJ188" i="2"/>
  <c r="BI188" i="2"/>
  <c r="BP187" i="2"/>
  <c r="BO187" i="2"/>
  <c r="BM187" i="2"/>
  <c r="BL187" i="2"/>
  <c r="BJ187" i="2"/>
  <c r="BI187" i="2"/>
  <c r="BP185" i="2"/>
  <c r="BO185" i="2"/>
  <c r="BM185" i="2"/>
  <c r="BL185" i="2"/>
  <c r="BJ185" i="2"/>
  <c r="BI185" i="2"/>
  <c r="BP184" i="2"/>
  <c r="BO184" i="2"/>
  <c r="BM184" i="2"/>
  <c r="BL184" i="2"/>
  <c r="BJ184" i="2"/>
  <c r="BI184" i="2"/>
  <c r="BP182" i="2"/>
  <c r="BO182" i="2"/>
  <c r="BM182" i="2"/>
  <c r="BL182" i="2"/>
  <c r="BJ182" i="2"/>
  <c r="BI182" i="2"/>
  <c r="BP181" i="2"/>
  <c r="BO181" i="2"/>
  <c r="BM181" i="2"/>
  <c r="BL181" i="2"/>
  <c r="BJ181" i="2"/>
  <c r="BI181" i="2"/>
  <c r="BG198" i="2"/>
  <c r="BF198" i="2"/>
  <c r="BD198" i="2"/>
  <c r="BC198" i="2"/>
  <c r="BA198" i="2"/>
  <c r="AZ198" i="2"/>
  <c r="BG197" i="2"/>
  <c r="BF197" i="2"/>
  <c r="BD197" i="2"/>
  <c r="BC197" i="2"/>
  <c r="BA197" i="2"/>
  <c r="AZ197" i="2"/>
  <c r="BG195" i="2"/>
  <c r="BF195" i="2"/>
  <c r="BD195" i="2"/>
  <c r="BC195" i="2"/>
  <c r="BA195" i="2"/>
  <c r="AZ195" i="2"/>
  <c r="BG194" i="2"/>
  <c r="BF194" i="2"/>
  <c r="BD194" i="2"/>
  <c r="BC194" i="2"/>
  <c r="BA194" i="2"/>
  <c r="AZ194" i="2"/>
  <c r="BG192" i="2"/>
  <c r="BF192" i="2"/>
  <c r="BD192" i="2"/>
  <c r="BC192" i="2"/>
  <c r="BA192" i="2"/>
  <c r="AZ192" i="2"/>
  <c r="BG191" i="2"/>
  <c r="BF191" i="2"/>
  <c r="BD191" i="2"/>
  <c r="BC191" i="2"/>
  <c r="BA191" i="2"/>
  <c r="AZ191" i="2"/>
  <c r="BG188" i="2"/>
  <c r="BF188" i="2"/>
  <c r="BD188" i="2"/>
  <c r="BC188" i="2"/>
  <c r="BA188" i="2"/>
  <c r="AZ188" i="2"/>
  <c r="BG187" i="2"/>
  <c r="BF187" i="2"/>
  <c r="BD187" i="2"/>
  <c r="BC187" i="2"/>
  <c r="BA187" i="2"/>
  <c r="AZ187" i="2"/>
  <c r="BG185" i="2"/>
  <c r="BF185" i="2"/>
  <c r="BD185" i="2"/>
  <c r="BC185" i="2"/>
  <c r="BA185" i="2"/>
  <c r="AZ185" i="2"/>
  <c r="BG184" i="2"/>
  <c r="BF184" i="2"/>
  <c r="BD184" i="2"/>
  <c r="BC184" i="2"/>
  <c r="BA184" i="2"/>
  <c r="AZ184" i="2"/>
  <c r="BG182" i="2"/>
  <c r="BF182" i="2"/>
  <c r="BD182" i="2"/>
  <c r="BC182" i="2"/>
  <c r="BA182" i="2"/>
  <c r="AZ182" i="2"/>
  <c r="BG181" i="2"/>
  <c r="BF181" i="2"/>
  <c r="BD181" i="2"/>
  <c r="BC181" i="2"/>
  <c r="BA181" i="2"/>
  <c r="AZ181" i="2"/>
  <c r="AX198" i="2"/>
  <c r="AW198" i="2"/>
  <c r="AU198" i="2"/>
  <c r="AT198" i="2"/>
  <c r="AR198" i="2"/>
  <c r="AQ198" i="2"/>
  <c r="AX197" i="2"/>
  <c r="AW197" i="2"/>
  <c r="AU197" i="2"/>
  <c r="AT197" i="2"/>
  <c r="AR197" i="2"/>
  <c r="AQ197" i="2"/>
  <c r="AX195" i="2"/>
  <c r="AW195" i="2"/>
  <c r="AU195" i="2"/>
  <c r="AT195" i="2"/>
  <c r="AR195" i="2"/>
  <c r="AQ195" i="2"/>
  <c r="AX194" i="2"/>
  <c r="AW194" i="2"/>
  <c r="AU194" i="2"/>
  <c r="AT194" i="2"/>
  <c r="AR194" i="2"/>
  <c r="AQ194" i="2"/>
  <c r="AX192" i="2"/>
  <c r="AW192" i="2"/>
  <c r="AU192" i="2"/>
  <c r="AT192" i="2"/>
  <c r="AR192" i="2"/>
  <c r="AQ192" i="2"/>
  <c r="AX191" i="2"/>
  <c r="AW191" i="2"/>
  <c r="AU191" i="2"/>
  <c r="AT191" i="2"/>
  <c r="AR191" i="2"/>
  <c r="AQ191" i="2"/>
  <c r="AX188" i="2"/>
  <c r="AW188" i="2"/>
  <c r="AU188" i="2"/>
  <c r="AT188" i="2"/>
  <c r="AR188" i="2"/>
  <c r="AQ188" i="2"/>
  <c r="AX187" i="2"/>
  <c r="AW187" i="2"/>
  <c r="AU187" i="2"/>
  <c r="AT187" i="2"/>
  <c r="AR187" i="2"/>
  <c r="AQ187" i="2"/>
  <c r="AX185" i="2"/>
  <c r="AW185" i="2"/>
  <c r="AU185" i="2"/>
  <c r="AT185" i="2"/>
  <c r="AR185" i="2"/>
  <c r="AQ185" i="2"/>
  <c r="AX184" i="2"/>
  <c r="AW184" i="2"/>
  <c r="AU184" i="2"/>
  <c r="AT184" i="2"/>
  <c r="AR184" i="2"/>
  <c r="AQ184" i="2"/>
  <c r="AX182" i="2"/>
  <c r="AW182" i="2"/>
  <c r="AU182" i="2"/>
  <c r="AT182" i="2"/>
  <c r="AR182" i="2"/>
  <c r="AQ182" i="2"/>
  <c r="AX181" i="2"/>
  <c r="AW181" i="2"/>
  <c r="AU181" i="2"/>
  <c r="AT181" i="2"/>
  <c r="AR181" i="2"/>
  <c r="AQ181" i="2"/>
  <c r="AO198" i="2"/>
  <c r="AN198" i="2"/>
  <c r="AL198" i="2"/>
  <c r="AK198" i="2"/>
  <c r="AI198" i="2"/>
  <c r="AH198" i="2"/>
  <c r="AO197" i="2"/>
  <c r="AN197" i="2"/>
  <c r="AL197" i="2"/>
  <c r="AK197" i="2"/>
  <c r="AI197" i="2"/>
  <c r="AH197" i="2"/>
  <c r="AO195" i="2"/>
  <c r="AN195" i="2"/>
  <c r="AL195" i="2"/>
  <c r="AK195" i="2"/>
  <c r="AI195" i="2"/>
  <c r="AH195" i="2"/>
  <c r="AO194" i="2"/>
  <c r="AN194" i="2"/>
  <c r="AL194" i="2"/>
  <c r="AK194" i="2"/>
  <c r="AI194" i="2"/>
  <c r="AH194" i="2"/>
  <c r="AO192" i="2"/>
  <c r="AN192" i="2"/>
  <c r="AL192" i="2"/>
  <c r="AK192" i="2"/>
  <c r="AI192" i="2"/>
  <c r="AH192" i="2"/>
  <c r="AO191" i="2"/>
  <c r="AN191" i="2"/>
  <c r="AL191" i="2"/>
  <c r="AK191" i="2"/>
  <c r="AI191" i="2"/>
  <c r="AH191" i="2"/>
  <c r="AO188" i="2"/>
  <c r="AN188" i="2"/>
  <c r="AL188" i="2"/>
  <c r="AK188" i="2"/>
  <c r="AI188" i="2"/>
  <c r="AH188" i="2"/>
  <c r="AO187" i="2"/>
  <c r="AN187" i="2"/>
  <c r="AL187" i="2"/>
  <c r="AK187" i="2"/>
  <c r="AI187" i="2"/>
  <c r="AH187" i="2"/>
  <c r="AO185" i="2"/>
  <c r="AN185" i="2"/>
  <c r="AL185" i="2"/>
  <c r="AK185" i="2"/>
  <c r="AI185" i="2"/>
  <c r="AH185" i="2"/>
  <c r="AO184" i="2"/>
  <c r="AN184" i="2"/>
  <c r="AL184" i="2"/>
  <c r="AK184" i="2"/>
  <c r="AI184" i="2"/>
  <c r="AH184" i="2"/>
  <c r="AO182" i="2"/>
  <c r="AN182" i="2"/>
  <c r="AL182" i="2"/>
  <c r="AK182" i="2"/>
  <c r="AI182" i="2"/>
  <c r="AH182" i="2"/>
  <c r="AO181" i="2"/>
  <c r="AN181" i="2"/>
  <c r="AL181" i="2"/>
  <c r="AK181" i="2"/>
  <c r="AI181" i="2"/>
  <c r="AH181" i="2"/>
  <c r="AF198" i="2"/>
  <c r="AE198" i="2"/>
  <c r="AC198" i="2"/>
  <c r="AB198" i="2"/>
  <c r="Z198" i="2"/>
  <c r="Y198" i="2"/>
  <c r="AF197" i="2"/>
  <c r="AE197" i="2"/>
  <c r="AC197" i="2"/>
  <c r="AB197" i="2"/>
  <c r="Z197" i="2"/>
  <c r="Y197" i="2"/>
  <c r="AF195" i="2"/>
  <c r="AE195" i="2"/>
  <c r="AC195" i="2"/>
  <c r="AB195" i="2"/>
  <c r="Z195" i="2"/>
  <c r="Y195" i="2"/>
  <c r="AF194" i="2"/>
  <c r="AE194" i="2"/>
  <c r="AC194" i="2"/>
  <c r="AB194" i="2"/>
  <c r="Z194" i="2"/>
  <c r="Y194" i="2"/>
  <c r="AF192" i="2"/>
  <c r="AE192" i="2"/>
  <c r="AC192" i="2"/>
  <c r="AB192" i="2"/>
  <c r="Z192" i="2"/>
  <c r="Y192" i="2"/>
  <c r="AF191" i="2"/>
  <c r="AE191" i="2"/>
  <c r="AC191" i="2"/>
  <c r="AB191" i="2"/>
  <c r="Z191" i="2"/>
  <c r="Y191" i="2"/>
  <c r="AF188" i="2"/>
  <c r="AE188" i="2"/>
  <c r="AC188" i="2"/>
  <c r="AB188" i="2"/>
  <c r="Z188" i="2"/>
  <c r="Y188" i="2"/>
  <c r="AF187" i="2"/>
  <c r="AE187" i="2"/>
  <c r="AC187" i="2"/>
  <c r="AB187" i="2"/>
  <c r="Z187" i="2"/>
  <c r="Y187" i="2"/>
  <c r="AF185" i="2"/>
  <c r="AE185" i="2"/>
  <c r="AC185" i="2"/>
  <c r="AB185" i="2"/>
  <c r="Z185" i="2"/>
  <c r="Y185" i="2"/>
  <c r="AF184" i="2"/>
  <c r="AE184" i="2"/>
  <c r="AC184" i="2"/>
  <c r="AB184" i="2"/>
  <c r="Z184" i="2"/>
  <c r="Y184" i="2"/>
  <c r="AF182" i="2"/>
  <c r="AE182" i="2"/>
  <c r="AC182" i="2"/>
  <c r="AB182" i="2"/>
  <c r="Z182" i="2"/>
  <c r="Y182" i="2"/>
  <c r="AF181" i="2"/>
  <c r="AE181" i="2"/>
  <c r="AC181" i="2"/>
  <c r="AB181" i="2"/>
  <c r="Z181" i="2"/>
  <c r="Y181" i="2"/>
  <c r="W198" i="2"/>
  <c r="V198" i="2"/>
  <c r="W197" i="2"/>
  <c r="V197" i="2"/>
  <c r="W195" i="2"/>
  <c r="V195" i="2"/>
  <c r="W194" i="2"/>
  <c r="V194" i="2"/>
  <c r="W192" i="2"/>
  <c r="V192" i="2"/>
  <c r="W191" i="2"/>
  <c r="V191" i="2"/>
  <c r="W188" i="2"/>
  <c r="V188" i="2"/>
  <c r="W187" i="2"/>
  <c r="V187" i="2"/>
  <c r="W185" i="2"/>
  <c r="V185" i="2"/>
  <c r="W184" i="2"/>
  <c r="V184" i="2"/>
  <c r="W182" i="2"/>
  <c r="V182" i="2"/>
  <c r="W181" i="2"/>
  <c r="V181" i="2"/>
  <c r="T198" i="2"/>
  <c r="S198" i="2"/>
  <c r="T197" i="2"/>
  <c r="S197" i="2"/>
  <c r="T195" i="2"/>
  <c r="S195" i="2"/>
  <c r="T194" i="2"/>
  <c r="S194" i="2"/>
  <c r="T192" i="2"/>
  <c r="S192" i="2"/>
  <c r="T191" i="2"/>
  <c r="S191" i="2"/>
  <c r="T188" i="2"/>
  <c r="S188" i="2"/>
  <c r="T187" i="2"/>
  <c r="S187" i="2"/>
  <c r="T185" i="2"/>
  <c r="S185" i="2"/>
  <c r="T184" i="2"/>
  <c r="S184" i="2"/>
  <c r="T182" i="2"/>
  <c r="S182" i="2"/>
  <c r="T181" i="2"/>
  <c r="S181" i="2"/>
  <c r="Q198" i="2"/>
  <c r="P198" i="2"/>
  <c r="Q197" i="2"/>
  <c r="P197" i="2"/>
  <c r="Q195" i="2"/>
  <c r="P195" i="2"/>
  <c r="Q194" i="2"/>
  <c r="P194" i="2"/>
  <c r="Q192" i="2"/>
  <c r="P192" i="2"/>
  <c r="Q191" i="2"/>
  <c r="P191" i="2"/>
  <c r="Q188" i="2"/>
  <c r="P188" i="2"/>
  <c r="Q187" i="2"/>
  <c r="P187" i="2"/>
  <c r="Q185" i="2"/>
  <c r="P185" i="2"/>
  <c r="Q184" i="2"/>
  <c r="P184" i="2"/>
  <c r="Q182" i="2"/>
  <c r="P182" i="2"/>
  <c r="Q181" i="2"/>
  <c r="P181" i="2"/>
  <c r="O197" i="2"/>
  <c r="O185" i="2"/>
  <c r="O182" i="2"/>
  <c r="DB169" i="2"/>
  <c r="DB168" i="2" s="1"/>
  <c r="CY169" i="2"/>
  <c r="CY168" i="2" s="1"/>
  <c r="CV169" i="2"/>
  <c r="CV168" i="2" s="1"/>
  <c r="CS169" i="2"/>
  <c r="DC173" i="2"/>
  <c r="DC159" i="2" s="1"/>
  <c r="DB173" i="2"/>
  <c r="DC168" i="2"/>
  <c r="DC166" i="2"/>
  <c r="DC153" i="2" s="1"/>
  <c r="DB166" i="2"/>
  <c r="DC165" i="2"/>
  <c r="DC155" i="2" s="1"/>
  <c r="DB165" i="2"/>
  <c r="DC161" i="2"/>
  <c r="DB161" i="2"/>
  <c r="DB159" i="2"/>
  <c r="DB156" i="2"/>
  <c r="CZ173" i="2"/>
  <c r="CY173" i="2"/>
  <c r="CZ168" i="2"/>
  <c r="CZ166" i="2"/>
  <c r="CY166" i="2"/>
  <c r="CY156" i="2" s="1"/>
  <c r="CZ165" i="2"/>
  <c r="CZ155" i="2" s="1"/>
  <c r="CY165" i="2"/>
  <c r="CZ161" i="2"/>
  <c r="CY161" i="2"/>
  <c r="CZ159" i="2"/>
  <c r="CW173" i="2"/>
  <c r="CW159" i="2" s="1"/>
  <c r="CV173" i="2"/>
  <c r="CW168" i="2"/>
  <c r="CW166" i="2"/>
  <c r="CW153" i="2" s="1"/>
  <c r="CV166" i="2"/>
  <c r="CV156" i="2" s="1"/>
  <c r="CW165" i="2"/>
  <c r="CW155" i="2" s="1"/>
  <c r="CV165" i="2"/>
  <c r="CW161" i="2"/>
  <c r="CV161" i="2"/>
  <c r="CV159" i="2"/>
  <c r="CW156" i="2"/>
  <c r="CT173" i="2"/>
  <c r="CT159" i="2" s="1"/>
  <c r="CS173" i="2"/>
  <c r="CT168" i="2"/>
  <c r="CT166" i="2"/>
  <c r="CT164" i="2" s="1"/>
  <c r="CS166" i="2"/>
  <c r="CT165" i="2"/>
  <c r="CS165" i="2"/>
  <c r="CT161" i="2"/>
  <c r="CS161" i="2"/>
  <c r="CS159" i="2"/>
  <c r="CS156" i="2"/>
  <c r="CQ173" i="2"/>
  <c r="CQ159" i="2" s="1"/>
  <c r="CP173" i="2"/>
  <c r="CP159" i="2" s="1"/>
  <c r="CQ168" i="2"/>
  <c r="CP168" i="2"/>
  <c r="CQ166" i="2"/>
  <c r="CP166" i="2"/>
  <c r="CP153" i="2" s="1"/>
  <c r="CQ165" i="2"/>
  <c r="CP165" i="2"/>
  <c r="CP155" i="2" s="1"/>
  <c r="CQ161" i="2"/>
  <c r="CP161" i="2"/>
  <c r="CQ156" i="2"/>
  <c r="CN173" i="2"/>
  <c r="CM173" i="2"/>
  <c r="CM159" i="2" s="1"/>
  <c r="CM168" i="2"/>
  <c r="CN168" i="2"/>
  <c r="CN166" i="2"/>
  <c r="CN156" i="2" s="1"/>
  <c r="CM166" i="2"/>
  <c r="CM153" i="2" s="1"/>
  <c r="CN165" i="2"/>
  <c r="CM165" i="2"/>
  <c r="CN161" i="2"/>
  <c r="CM161" i="2"/>
  <c r="CM155" i="2"/>
  <c r="CJ169" i="2"/>
  <c r="CJ168" i="2" s="1"/>
  <c r="CG169" i="2"/>
  <c r="CD169" i="2"/>
  <c r="CA169" i="2"/>
  <c r="BX169" i="2"/>
  <c r="BU169" i="2"/>
  <c r="BU168" i="2" s="1"/>
  <c r="BL169" i="2"/>
  <c r="BL168" i="2" s="1"/>
  <c r="BF169" i="2"/>
  <c r="BC169" i="2"/>
  <c r="AW169" i="2"/>
  <c r="AW168" i="2" s="1"/>
  <c r="AK169" i="2"/>
  <c r="AK168" i="2" s="1"/>
  <c r="S161" i="2"/>
  <c r="S169" i="2"/>
  <c r="DE170" i="2"/>
  <c r="N170" i="2" s="1"/>
  <c r="DF172" i="2"/>
  <c r="DE172" i="2"/>
  <c r="CK173" i="2"/>
  <c r="CK159" i="2" s="1"/>
  <c r="CJ173" i="2"/>
  <c r="CH173" i="2"/>
  <c r="CH159" i="2" s="1"/>
  <c r="CG173" i="2"/>
  <c r="CE173" i="2"/>
  <c r="CE159" i="2" s="1"/>
  <c r="CD173" i="2"/>
  <c r="CD153" i="2" s="1"/>
  <c r="CB173" i="2"/>
  <c r="CB159" i="2" s="1"/>
  <c r="CA173" i="2"/>
  <c r="CA159" i="2" s="1"/>
  <c r="BY173" i="2"/>
  <c r="BY159" i="2" s="1"/>
  <c r="BX173" i="2"/>
  <c r="BV173" i="2"/>
  <c r="BU173" i="2"/>
  <c r="BS173" i="2"/>
  <c r="BS159" i="2" s="1"/>
  <c r="BR173" i="2"/>
  <c r="BP173" i="2"/>
  <c r="BO173" i="2"/>
  <c r="BM173" i="2"/>
  <c r="BM159" i="2" s="1"/>
  <c r="BL173" i="2"/>
  <c r="BJ173" i="2"/>
  <c r="BJ159" i="2" s="1"/>
  <c r="BI173" i="2"/>
  <c r="BG173" i="2"/>
  <c r="BG159" i="2" s="1"/>
  <c r="BF173" i="2"/>
  <c r="BD173" i="2"/>
  <c r="BC173" i="2"/>
  <c r="BC159" i="2" s="1"/>
  <c r="BA173" i="2"/>
  <c r="BA159" i="2" s="1"/>
  <c r="AZ173" i="2"/>
  <c r="AZ159" i="2" s="1"/>
  <c r="AX173" i="2"/>
  <c r="AW173" i="2"/>
  <c r="AU173" i="2"/>
  <c r="AT173" i="2"/>
  <c r="AR173" i="2"/>
  <c r="AR159" i="2" s="1"/>
  <c r="AQ173" i="2"/>
  <c r="AO173" i="2"/>
  <c r="AO159" i="2" s="1"/>
  <c r="AN173" i="2"/>
  <c r="AN159" i="2" s="1"/>
  <c r="AL173" i="2"/>
  <c r="AL159" i="2" s="1"/>
  <c r="AK173" i="2"/>
  <c r="AK159" i="2" s="1"/>
  <c r="AI173" i="2"/>
  <c r="AI159" i="2" s="1"/>
  <c r="AH173" i="2"/>
  <c r="AH159" i="2" s="1"/>
  <c r="AF173" i="2"/>
  <c r="AE173" i="2"/>
  <c r="AC173" i="2"/>
  <c r="AB173" i="2"/>
  <c r="Z173" i="2"/>
  <c r="Y173" i="2"/>
  <c r="W173" i="2"/>
  <c r="V173" i="2"/>
  <c r="T173" i="2"/>
  <c r="S173" i="2"/>
  <c r="Q173" i="2"/>
  <c r="P173" i="2"/>
  <c r="K172" i="2"/>
  <c r="DF166" i="2"/>
  <c r="DE166" i="2"/>
  <c r="DF165" i="2"/>
  <c r="DF155" i="2" s="1"/>
  <c r="DE165" i="2"/>
  <c r="CK166" i="2"/>
  <c r="CJ166" i="2"/>
  <c r="CJ156" i="2" s="1"/>
  <c r="CK165" i="2"/>
  <c r="CJ165" i="2"/>
  <c r="CH166" i="2"/>
  <c r="CG166" i="2"/>
  <c r="CG153" i="2" s="1"/>
  <c r="CE166" i="2"/>
  <c r="CD166" i="2"/>
  <c r="CB166" i="2"/>
  <c r="CA166" i="2"/>
  <c r="CA156" i="2" s="1"/>
  <c r="CH165" i="2"/>
  <c r="CG165" i="2"/>
  <c r="CG155" i="2" s="1"/>
  <c r="CE165" i="2"/>
  <c r="CD165" i="2"/>
  <c r="CD155" i="2" s="1"/>
  <c r="CB165" i="2"/>
  <c r="CB155" i="2" s="1"/>
  <c r="CA165" i="2"/>
  <c r="BY166" i="2"/>
  <c r="BX166" i="2"/>
  <c r="BX156" i="2" s="1"/>
  <c r="BV166" i="2"/>
  <c r="BV156" i="2" s="1"/>
  <c r="BU166" i="2"/>
  <c r="BS166" i="2"/>
  <c r="BR166" i="2"/>
  <c r="BY165" i="2"/>
  <c r="BY155" i="2" s="1"/>
  <c r="BX165" i="2"/>
  <c r="BV165" i="2"/>
  <c r="BU165" i="2"/>
  <c r="BS165" i="2"/>
  <c r="BR165" i="2"/>
  <c r="BR155" i="2" s="1"/>
  <c r="BP166" i="2"/>
  <c r="BO166" i="2"/>
  <c r="BO153" i="2" s="1"/>
  <c r="BM166" i="2"/>
  <c r="BL166" i="2"/>
  <c r="BJ166" i="2"/>
  <c r="BJ156" i="2" s="1"/>
  <c r="BI166" i="2"/>
  <c r="BI164" i="2" s="1"/>
  <c r="BP165" i="2"/>
  <c r="BO165" i="2"/>
  <c r="BO155" i="2" s="1"/>
  <c r="BM165" i="2"/>
  <c r="BL165" i="2"/>
  <c r="BL164" i="2" s="1"/>
  <c r="BJ165" i="2"/>
  <c r="BI165" i="2"/>
  <c r="BG166" i="2"/>
  <c r="BF166" i="2"/>
  <c r="BF156" i="2" s="1"/>
  <c r="BD166" i="2"/>
  <c r="BD153" i="2" s="1"/>
  <c r="BC166" i="2"/>
  <c r="BA166" i="2"/>
  <c r="BA156" i="2" s="1"/>
  <c r="AZ166" i="2"/>
  <c r="AZ156" i="2" s="1"/>
  <c r="BG165" i="2"/>
  <c r="BG155" i="2" s="1"/>
  <c r="BF165" i="2"/>
  <c r="BD165" i="2"/>
  <c r="BC165" i="2"/>
  <c r="BA165" i="2"/>
  <c r="BA155" i="2" s="1"/>
  <c r="AZ165" i="2"/>
  <c r="AZ155" i="2" s="1"/>
  <c r="AX166" i="2"/>
  <c r="AX156" i="2" s="1"/>
  <c r="AW166" i="2"/>
  <c r="AW153" i="2" s="1"/>
  <c r="AU166" i="2"/>
  <c r="AU164" i="2" s="1"/>
  <c r="AT166" i="2"/>
  <c r="AR166" i="2"/>
  <c r="AQ166" i="2"/>
  <c r="AQ156" i="2" s="1"/>
  <c r="AX165" i="2"/>
  <c r="AW165" i="2"/>
  <c r="AW155" i="2" s="1"/>
  <c r="AU165" i="2"/>
  <c r="AU155" i="2" s="1"/>
  <c r="AT165" i="2"/>
  <c r="AT164" i="2" s="1"/>
  <c r="AR165" i="2"/>
  <c r="AQ165" i="2"/>
  <c r="AO166" i="2"/>
  <c r="AN166" i="2"/>
  <c r="AL166" i="2"/>
  <c r="AK166" i="2"/>
  <c r="AK156" i="2" s="1"/>
  <c r="AI166" i="2"/>
  <c r="AH166" i="2"/>
  <c r="AH156" i="2" s="1"/>
  <c r="AO165" i="2"/>
  <c r="AN165" i="2"/>
  <c r="AL165" i="2"/>
  <c r="AK165" i="2"/>
  <c r="AK155" i="2" s="1"/>
  <c r="AI165" i="2"/>
  <c r="AI155" i="2" s="1"/>
  <c r="AH165" i="2"/>
  <c r="AH155" i="2" s="1"/>
  <c r="AF166" i="2"/>
  <c r="AF156" i="2" s="1"/>
  <c r="AE166" i="2"/>
  <c r="AC166" i="2"/>
  <c r="AB166" i="2"/>
  <c r="Z166" i="2"/>
  <c r="Y166" i="2"/>
  <c r="Y156" i="2" s="1"/>
  <c r="AF165" i="2"/>
  <c r="AF155" i="2" s="1"/>
  <c r="AE165" i="2"/>
  <c r="AE155" i="2" s="1"/>
  <c r="AC165" i="2"/>
  <c r="AC155" i="2" s="1"/>
  <c r="AB165" i="2"/>
  <c r="AB155" i="2" s="1"/>
  <c r="Z165" i="2"/>
  <c r="Y165" i="2"/>
  <c r="W166" i="2"/>
  <c r="V166" i="2"/>
  <c r="W165" i="2"/>
  <c r="W155" i="2" s="1"/>
  <c r="V165" i="2"/>
  <c r="V155" i="2" s="1"/>
  <c r="T166" i="2"/>
  <c r="S166" i="2"/>
  <c r="S156" i="2" s="1"/>
  <c r="T165" i="2"/>
  <c r="Q166" i="2"/>
  <c r="P166" i="2"/>
  <c r="Q165" i="2"/>
  <c r="P165" i="2"/>
  <c r="L166" i="2"/>
  <c r="L165" i="2"/>
  <c r="K166" i="2"/>
  <c r="K165" i="2"/>
  <c r="DF168" i="2"/>
  <c r="DF161" i="2"/>
  <c r="DE161" i="2"/>
  <c r="DE156" i="2"/>
  <c r="DE155" i="2"/>
  <c r="CK168" i="2"/>
  <c r="CK161" i="2"/>
  <c r="CJ161" i="2"/>
  <c r="CJ155" i="2"/>
  <c r="CH168" i="2"/>
  <c r="CE168" i="2"/>
  <c r="CB168" i="2"/>
  <c r="CD164" i="2"/>
  <c r="CH161" i="2"/>
  <c r="CG161" i="2"/>
  <c r="CE161" i="2"/>
  <c r="CD161" i="2"/>
  <c r="CB161" i="2"/>
  <c r="CA161" i="2"/>
  <c r="CG159" i="2"/>
  <c r="CD159" i="2"/>
  <c r="CH156" i="2"/>
  <c r="CG156" i="2"/>
  <c r="CE156" i="2"/>
  <c r="CD156" i="2"/>
  <c r="CH155" i="2"/>
  <c r="CE155" i="2"/>
  <c r="CA155" i="2"/>
  <c r="CH153" i="2"/>
  <c r="BY168" i="2"/>
  <c r="BX168" i="2"/>
  <c r="BV168" i="2"/>
  <c r="BS168" i="2"/>
  <c r="BR168" i="2"/>
  <c r="BV164" i="2"/>
  <c r="BY161" i="2"/>
  <c r="BX161" i="2"/>
  <c r="BV161" i="2"/>
  <c r="BU161" i="2"/>
  <c r="BS161" i="2"/>
  <c r="BR161" i="2"/>
  <c r="BV159" i="2"/>
  <c r="BU159" i="2"/>
  <c r="BU156" i="2"/>
  <c r="BR156" i="2"/>
  <c r="BX155" i="2"/>
  <c r="BU155" i="2"/>
  <c r="BS155" i="2"/>
  <c r="BU153" i="2"/>
  <c r="BP168" i="2"/>
  <c r="BO168" i="2"/>
  <c r="BM168" i="2"/>
  <c r="BJ168" i="2"/>
  <c r="BI168" i="2"/>
  <c r="BP161" i="2"/>
  <c r="BO161" i="2"/>
  <c r="BM161" i="2"/>
  <c r="BL161" i="2"/>
  <c r="BJ161" i="2"/>
  <c r="BI161" i="2"/>
  <c r="BP159" i="2"/>
  <c r="BO159" i="2"/>
  <c r="BL159" i="2"/>
  <c r="BI159" i="2"/>
  <c r="BL156" i="2"/>
  <c r="BI156" i="2"/>
  <c r="BL155" i="2"/>
  <c r="BI155" i="2"/>
  <c r="BL153" i="2"/>
  <c r="BI153" i="2"/>
  <c r="BG168" i="2"/>
  <c r="BF168" i="2"/>
  <c r="BD168" i="2"/>
  <c r="BA168" i="2"/>
  <c r="AZ168" i="2"/>
  <c r="BG161" i="2"/>
  <c r="BF161" i="2"/>
  <c r="BD161" i="2"/>
  <c r="BC161" i="2"/>
  <c r="BA161" i="2"/>
  <c r="AZ161" i="2"/>
  <c r="BD159" i="2"/>
  <c r="BD156" i="2"/>
  <c r="BC156" i="2"/>
  <c r="BF155" i="2"/>
  <c r="BC155" i="2"/>
  <c r="BA153" i="2"/>
  <c r="AX168" i="2"/>
  <c r="AU168" i="2"/>
  <c r="AT168" i="2"/>
  <c r="AR168" i="2"/>
  <c r="AQ168" i="2"/>
  <c r="AX161" i="2"/>
  <c r="AW161" i="2"/>
  <c r="AU161" i="2"/>
  <c r="AT161" i="2"/>
  <c r="AR161" i="2"/>
  <c r="AQ161" i="2"/>
  <c r="AX159" i="2"/>
  <c r="AW159" i="2"/>
  <c r="AQ159" i="2"/>
  <c r="AW156" i="2"/>
  <c r="AT156" i="2"/>
  <c r="AT155" i="2"/>
  <c r="AQ155" i="2"/>
  <c r="AX153" i="2"/>
  <c r="AQ153" i="2"/>
  <c r="AO168" i="2"/>
  <c r="AN168" i="2"/>
  <c r="AL168" i="2"/>
  <c r="AI168" i="2"/>
  <c r="AH168" i="2"/>
  <c r="AO161" i="2"/>
  <c r="AN161" i="2"/>
  <c r="AL161" i="2"/>
  <c r="AK161" i="2"/>
  <c r="AI161" i="2"/>
  <c r="AH161" i="2"/>
  <c r="AN156" i="2"/>
  <c r="AL156" i="2"/>
  <c r="AI156" i="2"/>
  <c r="AO155" i="2"/>
  <c r="AN155" i="2"/>
  <c r="AL153" i="2"/>
  <c r="AF168" i="2"/>
  <c r="AE168" i="2"/>
  <c r="AC168" i="2"/>
  <c r="AB168" i="2"/>
  <c r="Z168" i="2"/>
  <c r="Y168" i="2"/>
  <c r="AF161" i="2"/>
  <c r="AE161" i="2"/>
  <c r="AC161" i="2"/>
  <c r="AB161" i="2"/>
  <c r="Z161" i="2"/>
  <c r="Y161" i="2"/>
  <c r="AF159" i="2"/>
  <c r="AE159" i="2"/>
  <c r="Z159" i="2"/>
  <c r="AC156" i="2"/>
  <c r="AB156" i="2"/>
  <c r="Z155" i="2"/>
  <c r="Y155" i="2"/>
  <c r="W168" i="2"/>
  <c r="V168" i="2"/>
  <c r="T168" i="2"/>
  <c r="Q168" i="2"/>
  <c r="P168" i="2"/>
  <c r="W161" i="2"/>
  <c r="V161" i="2"/>
  <c r="T161" i="2"/>
  <c r="Q161" i="2"/>
  <c r="P161" i="2"/>
  <c r="W159" i="2"/>
  <c r="V156" i="2"/>
  <c r="T159" i="2"/>
  <c r="Q159" i="2"/>
  <c r="Q155" i="2"/>
  <c r="DF136" i="2"/>
  <c r="DF127" i="2"/>
  <c r="DF112" i="2" s="1"/>
  <c r="DE127" i="2"/>
  <c r="DE115" i="2" s="1"/>
  <c r="DF114" i="2"/>
  <c r="DC126" i="2"/>
  <c r="DC111" i="2" s="1"/>
  <c r="DB126" i="2"/>
  <c r="DB114" i="2" s="1"/>
  <c r="CZ126" i="2"/>
  <c r="CZ114" i="2" s="1"/>
  <c r="CY126" i="2"/>
  <c r="CW126" i="2"/>
  <c r="CV126" i="2"/>
  <c r="CV114" i="2" s="1"/>
  <c r="CT126" i="2"/>
  <c r="CT111" i="2" s="1"/>
  <c r="CS126" i="2"/>
  <c r="CQ126" i="2"/>
  <c r="CQ114" i="2" s="1"/>
  <c r="CP126" i="2"/>
  <c r="CP108" i="2" s="1"/>
  <c r="CN126" i="2"/>
  <c r="CN111" i="2" s="1"/>
  <c r="CM126" i="2"/>
  <c r="CK126" i="2"/>
  <c r="CK114" i="2" s="1"/>
  <c r="CJ126" i="2"/>
  <c r="CJ108" i="2" s="1"/>
  <c r="CH126" i="2"/>
  <c r="CG126" i="2"/>
  <c r="CE126" i="2"/>
  <c r="CD126" i="2"/>
  <c r="CD114" i="2" s="1"/>
  <c r="CB126" i="2"/>
  <c r="CA126" i="2"/>
  <c r="BY126" i="2"/>
  <c r="BY111" i="2" s="1"/>
  <c r="BX126" i="2"/>
  <c r="BX111" i="2" s="1"/>
  <c r="BV126" i="2"/>
  <c r="BV114" i="2" s="1"/>
  <c r="BU126" i="2"/>
  <c r="BU114" i="2" s="1"/>
  <c r="BS126" i="2"/>
  <c r="BR126" i="2"/>
  <c r="BR114" i="2" s="1"/>
  <c r="BP126" i="2"/>
  <c r="BP111" i="2" s="1"/>
  <c r="BO126" i="2"/>
  <c r="BM126" i="2"/>
  <c r="BM114" i="2" s="1"/>
  <c r="BL126" i="2"/>
  <c r="BL111" i="2" s="1"/>
  <c r="BJ126" i="2"/>
  <c r="BJ114" i="2" s="1"/>
  <c r="BI126" i="2"/>
  <c r="BG126" i="2"/>
  <c r="BF126" i="2"/>
  <c r="BF114" i="2" s="1"/>
  <c r="BD126" i="2"/>
  <c r="BC126" i="2"/>
  <c r="BA126" i="2"/>
  <c r="AZ126" i="2"/>
  <c r="AZ114" i="2" s="1"/>
  <c r="AX126" i="2"/>
  <c r="AW126" i="2"/>
  <c r="AU126" i="2"/>
  <c r="AT126" i="2"/>
  <c r="AR126" i="2"/>
  <c r="AQ126" i="2"/>
  <c r="AO126" i="2"/>
  <c r="AN126" i="2"/>
  <c r="AN114" i="2" s="1"/>
  <c r="AL126" i="2"/>
  <c r="AK126" i="2"/>
  <c r="AK114" i="2" s="1"/>
  <c r="AI126" i="2"/>
  <c r="AH126" i="2"/>
  <c r="AH114" i="2" s="1"/>
  <c r="AF126" i="2"/>
  <c r="AE126" i="2"/>
  <c r="AC126" i="2"/>
  <c r="AC114" i="2" s="1"/>
  <c r="AB126" i="2"/>
  <c r="AB114" i="2" s="1"/>
  <c r="Z126" i="2"/>
  <c r="Y126" i="2"/>
  <c r="W126" i="2"/>
  <c r="W114" i="2" s="1"/>
  <c r="V126" i="2"/>
  <c r="V114" i="2" s="1"/>
  <c r="T126" i="2"/>
  <c r="Q126" i="2"/>
  <c r="Q111" i="2" s="1"/>
  <c r="P126" i="2"/>
  <c r="DC137" i="2"/>
  <c r="DB137" i="2"/>
  <c r="DE136" i="2"/>
  <c r="DC134" i="2"/>
  <c r="DB134" i="2"/>
  <c r="DE133" i="2"/>
  <c r="DC131" i="2"/>
  <c r="DB131" i="2"/>
  <c r="DE130" i="2"/>
  <c r="CZ137" i="2"/>
  <c r="CY137" i="2"/>
  <c r="CW137" i="2"/>
  <c r="CV137" i="2"/>
  <c r="CT137" i="2"/>
  <c r="CS137" i="2"/>
  <c r="CZ134" i="2"/>
  <c r="CY134" i="2"/>
  <c r="CW134" i="2"/>
  <c r="CV134" i="2"/>
  <c r="CT134" i="2"/>
  <c r="CS134" i="2"/>
  <c r="CZ131" i="2"/>
  <c r="CY131" i="2"/>
  <c r="CW131" i="2"/>
  <c r="CV131" i="2"/>
  <c r="CT131" i="2"/>
  <c r="CS131" i="2"/>
  <c r="CQ137" i="2"/>
  <c r="CP137" i="2"/>
  <c r="CN137" i="2"/>
  <c r="CM137" i="2"/>
  <c r="CK137" i="2"/>
  <c r="CJ137" i="2"/>
  <c r="CQ134" i="2"/>
  <c r="CP134" i="2"/>
  <c r="CN134" i="2"/>
  <c r="CM134" i="2"/>
  <c r="CK134" i="2"/>
  <c r="CJ134" i="2"/>
  <c r="CQ131" i="2"/>
  <c r="CP131" i="2"/>
  <c r="CN131" i="2"/>
  <c r="CM131" i="2"/>
  <c r="CK131" i="2"/>
  <c r="CJ131" i="2"/>
  <c r="CH137" i="2"/>
  <c r="CG137" i="2"/>
  <c r="CE137" i="2"/>
  <c r="CD137" i="2"/>
  <c r="CB137" i="2"/>
  <c r="CA137" i="2"/>
  <c r="CH134" i="2"/>
  <c r="CG134" i="2"/>
  <c r="CE134" i="2"/>
  <c r="CD134" i="2"/>
  <c r="CB134" i="2"/>
  <c r="CA134" i="2"/>
  <c r="CH131" i="2"/>
  <c r="CG131" i="2"/>
  <c r="CE131" i="2"/>
  <c r="CD131" i="2"/>
  <c r="CB131" i="2"/>
  <c r="CA131" i="2"/>
  <c r="BY137" i="2"/>
  <c r="BX137" i="2"/>
  <c r="BV137" i="2"/>
  <c r="BU137" i="2"/>
  <c r="BS137" i="2"/>
  <c r="BR137" i="2"/>
  <c r="BY134" i="2"/>
  <c r="BX134" i="2"/>
  <c r="BV134" i="2"/>
  <c r="BU134" i="2"/>
  <c r="BS134" i="2"/>
  <c r="BR134" i="2"/>
  <c r="BY131" i="2"/>
  <c r="BX131" i="2"/>
  <c r="BV131" i="2"/>
  <c r="BU131" i="2"/>
  <c r="BS131" i="2"/>
  <c r="BR131" i="2"/>
  <c r="BP137" i="2"/>
  <c r="BO137" i="2"/>
  <c r="BM137" i="2"/>
  <c r="BL137" i="2"/>
  <c r="BJ137" i="2"/>
  <c r="BI137" i="2"/>
  <c r="BP134" i="2"/>
  <c r="BO134" i="2"/>
  <c r="BM134" i="2"/>
  <c r="BL134" i="2"/>
  <c r="BJ134" i="2"/>
  <c r="BI134" i="2"/>
  <c r="BP131" i="2"/>
  <c r="BO131" i="2"/>
  <c r="BM131" i="2"/>
  <c r="BL131" i="2"/>
  <c r="BJ131" i="2"/>
  <c r="BI131" i="2"/>
  <c r="BG137" i="2"/>
  <c r="BF137" i="2"/>
  <c r="BD137" i="2"/>
  <c r="BC137" i="2"/>
  <c r="BA137" i="2"/>
  <c r="AZ137" i="2"/>
  <c r="BG134" i="2"/>
  <c r="BF134" i="2"/>
  <c r="BD134" i="2"/>
  <c r="BC134" i="2"/>
  <c r="BA134" i="2"/>
  <c r="AZ134" i="2"/>
  <c r="BG131" i="2"/>
  <c r="BF131" i="2"/>
  <c r="BD131" i="2"/>
  <c r="BC131" i="2"/>
  <c r="BA131" i="2"/>
  <c r="AZ131" i="2"/>
  <c r="AX137" i="2"/>
  <c r="AW137" i="2"/>
  <c r="AU137" i="2"/>
  <c r="AT137" i="2"/>
  <c r="AR137" i="2"/>
  <c r="AQ137" i="2"/>
  <c r="AX134" i="2"/>
  <c r="AW134" i="2"/>
  <c r="AU134" i="2"/>
  <c r="AT134" i="2"/>
  <c r="AR134" i="2"/>
  <c r="AQ134" i="2"/>
  <c r="AX131" i="2"/>
  <c r="AW131" i="2"/>
  <c r="AU131" i="2"/>
  <c r="AT131" i="2"/>
  <c r="AR131" i="2"/>
  <c r="AQ131" i="2"/>
  <c r="AO137" i="2"/>
  <c r="AN137" i="2"/>
  <c r="AL137" i="2"/>
  <c r="AK137" i="2"/>
  <c r="AI137" i="2"/>
  <c r="AH137" i="2"/>
  <c r="AO134" i="2"/>
  <c r="AN134" i="2"/>
  <c r="AL134" i="2"/>
  <c r="AK134" i="2"/>
  <c r="AI134" i="2"/>
  <c r="AH134" i="2"/>
  <c r="AO131" i="2"/>
  <c r="AN131" i="2"/>
  <c r="AL131" i="2"/>
  <c r="AK131" i="2"/>
  <c r="AI131" i="2"/>
  <c r="AH131" i="2"/>
  <c r="AF137" i="2"/>
  <c r="AE137" i="2"/>
  <c r="AC137" i="2"/>
  <c r="AB137" i="2"/>
  <c r="Z137" i="2"/>
  <c r="Y137" i="2"/>
  <c r="AF134" i="2"/>
  <c r="AE134" i="2"/>
  <c r="AC134" i="2"/>
  <c r="AB134" i="2"/>
  <c r="Z134" i="2"/>
  <c r="Y134" i="2"/>
  <c r="AF131" i="2"/>
  <c r="AE131" i="2"/>
  <c r="AC131" i="2"/>
  <c r="AB131" i="2"/>
  <c r="Z131" i="2"/>
  <c r="Y131" i="2"/>
  <c r="W137" i="2"/>
  <c r="V137" i="2"/>
  <c r="W134" i="2"/>
  <c r="V134" i="2"/>
  <c r="W131" i="2"/>
  <c r="V131" i="2"/>
  <c r="T137" i="2"/>
  <c r="S137" i="2"/>
  <c r="T134" i="2"/>
  <c r="S134" i="2"/>
  <c r="T131" i="2"/>
  <c r="S131" i="2"/>
  <c r="Q137" i="2"/>
  <c r="P137" i="2"/>
  <c r="Q134" i="2"/>
  <c r="P134" i="2"/>
  <c r="Q131" i="2"/>
  <c r="P131" i="2"/>
  <c r="O127" i="2"/>
  <c r="O124" i="2"/>
  <c r="N124" i="2"/>
  <c r="N330" i="2" s="1"/>
  <c r="O123" i="2"/>
  <c r="O324" i="2" s="1"/>
  <c r="N123" i="2"/>
  <c r="N324" i="2" s="1"/>
  <c r="O121" i="2"/>
  <c r="O329" i="2" s="1"/>
  <c r="N121" i="2"/>
  <c r="O120" i="2"/>
  <c r="O323" i="2" s="1"/>
  <c r="N120" i="2"/>
  <c r="N323" i="2" s="1"/>
  <c r="O118" i="2"/>
  <c r="N118" i="2"/>
  <c r="O117" i="2"/>
  <c r="O660" i="2" s="1"/>
  <c r="N117" i="2"/>
  <c r="DC115" i="2"/>
  <c r="DB115" i="2"/>
  <c r="DE114" i="2"/>
  <c r="DC112" i="2"/>
  <c r="DB112" i="2"/>
  <c r="DE111" i="2"/>
  <c r="DE109" i="2"/>
  <c r="DC109" i="2"/>
  <c r="DB109" i="2"/>
  <c r="DE108" i="2"/>
  <c r="DC108" i="2"/>
  <c r="CZ115" i="2"/>
  <c r="CY115" i="2"/>
  <c r="CW115" i="2"/>
  <c r="CV115" i="2"/>
  <c r="CT115" i="2"/>
  <c r="CS115" i="2"/>
  <c r="CY114" i="2"/>
  <c r="CT114" i="2"/>
  <c r="CS114" i="2"/>
  <c r="CZ112" i="2"/>
  <c r="CY112" i="2"/>
  <c r="CW112" i="2"/>
  <c r="CV112" i="2"/>
  <c r="CT112" i="2"/>
  <c r="CS112" i="2"/>
  <c r="CZ111" i="2"/>
  <c r="CY111" i="2"/>
  <c r="CS111" i="2"/>
  <c r="CZ109" i="2"/>
  <c r="CY109" i="2"/>
  <c r="CW109" i="2"/>
  <c r="CV109" i="2"/>
  <c r="CT109" i="2"/>
  <c r="CS109" i="2"/>
  <c r="CY108" i="2"/>
  <c r="CT108" i="2"/>
  <c r="CS108" i="2"/>
  <c r="CQ115" i="2"/>
  <c r="CP115" i="2"/>
  <c r="CN115" i="2"/>
  <c r="CM115" i="2"/>
  <c r="CK115" i="2"/>
  <c r="CJ115" i="2"/>
  <c r="CP114" i="2"/>
  <c r="CN114" i="2"/>
  <c r="CM114" i="2"/>
  <c r="CQ112" i="2"/>
  <c r="CP112" i="2"/>
  <c r="CN112" i="2"/>
  <c r="CM112" i="2"/>
  <c r="CK112" i="2"/>
  <c r="CJ112" i="2"/>
  <c r="CP111" i="2"/>
  <c r="CM111" i="2"/>
  <c r="CQ109" i="2"/>
  <c r="CP109" i="2"/>
  <c r="CN109" i="2"/>
  <c r="CM109" i="2"/>
  <c r="CK109" i="2"/>
  <c r="CJ109" i="2"/>
  <c r="CN108" i="2"/>
  <c r="CM108" i="2"/>
  <c r="CH115" i="2"/>
  <c r="CG115" i="2"/>
  <c r="CE115" i="2"/>
  <c r="CD115" i="2"/>
  <c r="CB115" i="2"/>
  <c r="CA115" i="2"/>
  <c r="CH114" i="2"/>
  <c r="CG114" i="2"/>
  <c r="CB114" i="2"/>
  <c r="CA114" i="2"/>
  <c r="CH112" i="2"/>
  <c r="CG112" i="2"/>
  <c r="CE112" i="2"/>
  <c r="CD112" i="2"/>
  <c r="CB112" i="2"/>
  <c r="CA112" i="2"/>
  <c r="CH111" i="2"/>
  <c r="CG111" i="2"/>
  <c r="CB111" i="2"/>
  <c r="CA111" i="2"/>
  <c r="CH109" i="2"/>
  <c r="CG109" i="2"/>
  <c r="CE109" i="2"/>
  <c r="CD109" i="2"/>
  <c r="CB109" i="2"/>
  <c r="CA109" i="2"/>
  <c r="CH108" i="2"/>
  <c r="CG108" i="2"/>
  <c r="CB108" i="2"/>
  <c r="CA108" i="2"/>
  <c r="BY115" i="2"/>
  <c r="BX115" i="2"/>
  <c r="BV115" i="2"/>
  <c r="BU115" i="2"/>
  <c r="BS115" i="2"/>
  <c r="BR115" i="2"/>
  <c r="BY114" i="2"/>
  <c r="BY112" i="2"/>
  <c r="BX112" i="2"/>
  <c r="BV112" i="2"/>
  <c r="BU112" i="2"/>
  <c r="BS112" i="2"/>
  <c r="BR112" i="2"/>
  <c r="BS111" i="2"/>
  <c r="BR111" i="2"/>
  <c r="BY109" i="2"/>
  <c r="BX109" i="2"/>
  <c r="BV109" i="2"/>
  <c r="BU109" i="2"/>
  <c r="BS109" i="2"/>
  <c r="BR109" i="2"/>
  <c r="BY108" i="2"/>
  <c r="BP115" i="2"/>
  <c r="BO115" i="2"/>
  <c r="BM115" i="2"/>
  <c r="BL115" i="2"/>
  <c r="BJ115" i="2"/>
  <c r="BI115" i="2"/>
  <c r="BP114" i="2"/>
  <c r="BO114" i="2"/>
  <c r="BL114" i="2"/>
  <c r="BI114" i="2"/>
  <c r="BP112" i="2"/>
  <c r="BO112" i="2"/>
  <c r="BM112" i="2"/>
  <c r="BL112" i="2"/>
  <c r="BJ112" i="2"/>
  <c r="BI112" i="2"/>
  <c r="BO111" i="2"/>
  <c r="BJ111" i="2"/>
  <c r="BI111" i="2"/>
  <c r="BP109" i="2"/>
  <c r="BO109" i="2"/>
  <c r="BM109" i="2"/>
  <c r="BL109" i="2"/>
  <c r="BJ109" i="2"/>
  <c r="BI109" i="2"/>
  <c r="BP108" i="2"/>
  <c r="BO108" i="2"/>
  <c r="BI108" i="2"/>
  <c r="BG115" i="2"/>
  <c r="BF115" i="2"/>
  <c r="BD115" i="2"/>
  <c r="BC115" i="2"/>
  <c r="BA115" i="2"/>
  <c r="AZ115" i="2"/>
  <c r="BD114" i="2"/>
  <c r="BC114" i="2"/>
  <c r="BG112" i="2"/>
  <c r="BF112" i="2"/>
  <c r="BD112" i="2"/>
  <c r="BC112" i="2"/>
  <c r="BA112" i="2"/>
  <c r="AZ112" i="2"/>
  <c r="BF111" i="2"/>
  <c r="BD111" i="2"/>
  <c r="BC111" i="2"/>
  <c r="BG109" i="2"/>
  <c r="BF109" i="2"/>
  <c r="BD109" i="2"/>
  <c r="BC109" i="2"/>
  <c r="BA109" i="2"/>
  <c r="AZ109" i="2"/>
  <c r="BF108" i="2"/>
  <c r="BD108" i="2"/>
  <c r="BC108" i="2"/>
  <c r="AX115" i="2"/>
  <c r="AW115" i="2"/>
  <c r="AU115" i="2"/>
  <c r="AT115" i="2"/>
  <c r="AR115" i="2"/>
  <c r="AQ115" i="2"/>
  <c r="AX114" i="2"/>
  <c r="AW114" i="2"/>
  <c r="AU114" i="2"/>
  <c r="AT114" i="2"/>
  <c r="AR114" i="2"/>
  <c r="AQ114" i="2"/>
  <c r="AX112" i="2"/>
  <c r="AW112" i="2"/>
  <c r="AU112" i="2"/>
  <c r="AT112" i="2"/>
  <c r="AR112" i="2"/>
  <c r="AQ112" i="2"/>
  <c r="AX111" i="2"/>
  <c r="AW111" i="2"/>
  <c r="AU111" i="2"/>
  <c r="AT111" i="2"/>
  <c r="AR111" i="2"/>
  <c r="AQ111" i="2"/>
  <c r="AX109" i="2"/>
  <c r="AW109" i="2"/>
  <c r="AU109" i="2"/>
  <c r="AT109" i="2"/>
  <c r="AR109" i="2"/>
  <c r="AQ109" i="2"/>
  <c r="AX108" i="2"/>
  <c r="AW108" i="2"/>
  <c r="AU108" i="2"/>
  <c r="AT108" i="2"/>
  <c r="AR108" i="2"/>
  <c r="AQ108" i="2"/>
  <c r="AO115" i="2"/>
  <c r="AN115" i="2"/>
  <c r="AL115" i="2"/>
  <c r="AK115" i="2"/>
  <c r="AI115" i="2"/>
  <c r="AH115" i="2"/>
  <c r="AO112" i="2"/>
  <c r="AN112" i="2"/>
  <c r="AL112" i="2"/>
  <c r="AK112" i="2"/>
  <c r="AI112" i="2"/>
  <c r="AH112" i="2"/>
  <c r="AO109" i="2"/>
  <c r="AN109" i="2"/>
  <c r="AL109" i="2"/>
  <c r="AK109" i="2"/>
  <c r="AI109" i="2"/>
  <c r="AH109" i="2"/>
  <c r="AF115" i="2"/>
  <c r="AE115" i="2"/>
  <c r="AC115" i="2"/>
  <c r="AB115" i="2"/>
  <c r="Z115" i="2"/>
  <c r="Y115" i="2"/>
  <c r="AF114" i="2"/>
  <c r="AE114" i="2"/>
  <c r="Z114" i="2"/>
  <c r="Y114" i="2"/>
  <c r="AF112" i="2"/>
  <c r="AE112" i="2"/>
  <c r="AC112" i="2"/>
  <c r="AB112" i="2"/>
  <c r="Z112" i="2"/>
  <c r="Y112" i="2"/>
  <c r="AF111" i="2"/>
  <c r="AE111" i="2"/>
  <c r="Z111" i="2"/>
  <c r="Y111" i="2"/>
  <c r="AF109" i="2"/>
  <c r="AE109" i="2"/>
  <c r="AC109" i="2"/>
  <c r="AB109" i="2"/>
  <c r="Z109" i="2"/>
  <c r="Y109" i="2"/>
  <c r="AF108" i="2"/>
  <c r="AE108" i="2"/>
  <c r="Z108" i="2"/>
  <c r="Y108" i="2"/>
  <c r="W115" i="2"/>
  <c r="V115" i="2"/>
  <c r="W112" i="2"/>
  <c r="V112" i="2"/>
  <c r="W109" i="2"/>
  <c r="V109" i="2"/>
  <c r="T115" i="2"/>
  <c r="S115" i="2"/>
  <c r="T114" i="2"/>
  <c r="T112" i="2"/>
  <c r="S112" i="2"/>
  <c r="T111" i="2"/>
  <c r="T109" i="2"/>
  <c r="S109" i="2"/>
  <c r="T108" i="2"/>
  <c r="Q115" i="2"/>
  <c r="Q114" i="2"/>
  <c r="Q112" i="2"/>
  <c r="Q109" i="2"/>
  <c r="Q108" i="2"/>
  <c r="P115" i="2"/>
  <c r="P112" i="2"/>
  <c r="P111" i="2"/>
  <c r="P109" i="2"/>
  <c r="L127" i="2"/>
  <c r="L126" i="2"/>
  <c r="L111" i="2" s="1"/>
  <c r="K127" i="2"/>
  <c r="K112" i="2" s="1"/>
  <c r="K126" i="2"/>
  <c r="O13" i="2"/>
  <c r="O11" i="2" s="1"/>
  <c r="N13" i="2"/>
  <c r="O12" i="2"/>
  <c r="O93" i="2"/>
  <c r="O92" i="2"/>
  <c r="O84" i="2"/>
  <c r="O83" i="2"/>
  <c r="DB17" i="2"/>
  <c r="CY17" i="2"/>
  <c r="CY86" i="2" s="1"/>
  <c r="CV17" i="2"/>
  <c r="CV95" i="2" s="1"/>
  <c r="CV92" i="2"/>
  <c r="CS17" i="2"/>
  <c r="CS16" i="2" s="1"/>
  <c r="CJ92" i="2"/>
  <c r="CG92" i="2"/>
  <c r="CD92" i="2"/>
  <c r="CA83" i="2"/>
  <c r="BX92" i="2"/>
  <c r="BO83" i="2"/>
  <c r="BF92" i="2"/>
  <c r="BF83" i="2"/>
  <c r="AK83" i="2"/>
  <c r="V83" i="2"/>
  <c r="S92" i="2"/>
  <c r="S83" i="2"/>
  <c r="P92" i="2"/>
  <c r="P83" i="2"/>
  <c r="DE93" i="2"/>
  <c r="DE84" i="2"/>
  <c r="N84" i="2" s="1"/>
  <c r="DF96" i="2"/>
  <c r="DF149" i="2" s="1"/>
  <c r="O149" i="2" s="1"/>
  <c r="O137" i="2" s="1"/>
  <c r="DE96" i="2"/>
  <c r="DE149" i="2" s="1"/>
  <c r="DF87" i="2"/>
  <c r="DE87" i="2"/>
  <c r="DE173" i="2" s="1"/>
  <c r="DC95" i="2"/>
  <c r="DC148" i="2" s="1"/>
  <c r="DC130" i="2" s="1"/>
  <c r="DC90" i="2"/>
  <c r="DB90" i="2"/>
  <c r="DF89" i="2"/>
  <c r="DE89" i="2"/>
  <c r="DC86" i="2"/>
  <c r="DC81" i="2"/>
  <c r="DB81" i="2"/>
  <c r="DF80" i="2"/>
  <c r="DE80" i="2"/>
  <c r="CZ95" i="2"/>
  <c r="CW95" i="2"/>
  <c r="CW148" i="2" s="1"/>
  <c r="CW130" i="2" s="1"/>
  <c r="CT95" i="2"/>
  <c r="CT148" i="2" s="1"/>
  <c r="CT136" i="2" s="1"/>
  <c r="CZ90" i="2"/>
  <c r="CY90" i="2"/>
  <c r="CW90" i="2"/>
  <c r="CV90" i="2"/>
  <c r="CT90" i="2"/>
  <c r="CS90" i="2"/>
  <c r="CZ86" i="2"/>
  <c r="CZ172" i="2" s="1"/>
  <c r="CZ152" i="2" s="1"/>
  <c r="CW86" i="2"/>
  <c r="CT86" i="2"/>
  <c r="CZ81" i="2"/>
  <c r="CY81" i="2"/>
  <c r="CW81" i="2"/>
  <c r="CV81" i="2"/>
  <c r="CT81" i="2"/>
  <c r="CS81" i="2"/>
  <c r="CQ95" i="2"/>
  <c r="CQ148" i="2" s="1"/>
  <c r="CQ136" i="2" s="1"/>
  <c r="CP95" i="2"/>
  <c r="CP148" i="2" s="1"/>
  <c r="CP136" i="2" s="1"/>
  <c r="CN95" i="2"/>
  <c r="CN148" i="2" s="1"/>
  <c r="CN133" i="2" s="1"/>
  <c r="CM95" i="2"/>
  <c r="CM148" i="2" s="1"/>
  <c r="CK95" i="2"/>
  <c r="CK148" i="2" s="1"/>
  <c r="CJ95" i="2"/>
  <c r="CQ90" i="2"/>
  <c r="CP90" i="2"/>
  <c r="CN90" i="2"/>
  <c r="CM90" i="2"/>
  <c r="CK90" i="2"/>
  <c r="CJ90" i="2"/>
  <c r="CQ89" i="2"/>
  <c r="CK89" i="2"/>
  <c r="CQ86" i="2"/>
  <c r="CQ172" i="2" s="1"/>
  <c r="CP86" i="2"/>
  <c r="CP172" i="2" s="1"/>
  <c r="CN86" i="2"/>
  <c r="CN172" i="2" s="1"/>
  <c r="CM86" i="2"/>
  <c r="CM172" i="2" s="1"/>
  <c r="CM152" i="2" s="1"/>
  <c r="CK86" i="2"/>
  <c r="CK80" i="2" s="1"/>
  <c r="CJ86" i="2"/>
  <c r="CJ80" i="2" s="1"/>
  <c r="CQ81" i="2"/>
  <c r="CP81" i="2"/>
  <c r="CN81" i="2"/>
  <c r="CM81" i="2"/>
  <c r="CK81" i="2"/>
  <c r="CJ81" i="2"/>
  <c r="CQ80" i="2"/>
  <c r="CN80" i="2"/>
  <c r="CM80" i="2"/>
  <c r="CH95" i="2"/>
  <c r="CH148" i="2" s="1"/>
  <c r="CE95" i="2"/>
  <c r="CE148" i="2" s="1"/>
  <c r="CE136" i="2" s="1"/>
  <c r="CB95" i="2"/>
  <c r="CH90" i="2"/>
  <c r="CG90" i="2"/>
  <c r="CE90" i="2"/>
  <c r="CD90" i="2"/>
  <c r="CB90" i="2"/>
  <c r="CA90" i="2"/>
  <c r="CH89" i="2"/>
  <c r="CH86" i="2"/>
  <c r="CH172" i="2" s="1"/>
  <c r="CH171" i="2" s="1"/>
  <c r="CE86" i="2"/>
  <c r="CE80" i="2" s="1"/>
  <c r="CB86" i="2"/>
  <c r="CB172" i="2" s="1"/>
  <c r="CB171" i="2" s="1"/>
  <c r="CH81" i="2"/>
  <c r="CG81" i="2"/>
  <c r="CE81" i="2"/>
  <c r="CD81" i="2"/>
  <c r="CB81" i="2"/>
  <c r="CA81" i="2"/>
  <c r="BY95" i="2"/>
  <c r="BV95" i="2"/>
  <c r="BV148" i="2" s="1"/>
  <c r="BV136" i="2" s="1"/>
  <c r="BS95" i="2"/>
  <c r="BS148" i="2" s="1"/>
  <c r="BY90" i="2"/>
  <c r="BX90" i="2"/>
  <c r="BV90" i="2"/>
  <c r="BU90" i="2"/>
  <c r="BS90" i="2"/>
  <c r="BR90" i="2"/>
  <c r="BV89" i="2"/>
  <c r="BY86" i="2"/>
  <c r="BY172" i="2" s="1"/>
  <c r="BV86" i="2"/>
  <c r="BV172" i="2" s="1"/>
  <c r="BV158" i="2" s="1"/>
  <c r="BS86" i="2"/>
  <c r="BY81" i="2"/>
  <c r="BX81" i="2"/>
  <c r="BV81" i="2"/>
  <c r="BU81" i="2"/>
  <c r="BS81" i="2"/>
  <c r="BR81" i="2"/>
  <c r="BP95" i="2"/>
  <c r="BP148" i="2" s="1"/>
  <c r="BM95" i="2"/>
  <c r="BM89" i="2" s="1"/>
  <c r="BJ95" i="2"/>
  <c r="BP90" i="2"/>
  <c r="BO90" i="2"/>
  <c r="BM90" i="2"/>
  <c r="BL90" i="2"/>
  <c r="BJ90" i="2"/>
  <c r="BI90" i="2"/>
  <c r="BP86" i="2"/>
  <c r="BM86" i="2"/>
  <c r="BM172" i="2" s="1"/>
  <c r="BJ86" i="2"/>
  <c r="BJ172" i="2" s="1"/>
  <c r="BJ158" i="2" s="1"/>
  <c r="BP81" i="2"/>
  <c r="BO81" i="2"/>
  <c r="BM81" i="2"/>
  <c r="BL81" i="2"/>
  <c r="BJ81" i="2"/>
  <c r="BI81" i="2"/>
  <c r="BM80" i="2"/>
  <c r="BG95" i="2"/>
  <c r="BD95" i="2"/>
  <c r="BD148" i="2" s="1"/>
  <c r="BD136" i="2" s="1"/>
  <c r="BA95" i="2"/>
  <c r="BA148" i="2" s="1"/>
  <c r="BA136" i="2" s="1"/>
  <c r="BG90" i="2"/>
  <c r="BF90" i="2"/>
  <c r="BD90" i="2"/>
  <c r="BC90" i="2"/>
  <c r="BA90" i="2"/>
  <c r="AZ90" i="2"/>
  <c r="BA89" i="2"/>
  <c r="BG86" i="2"/>
  <c r="BD86" i="2"/>
  <c r="BD172" i="2" s="1"/>
  <c r="BA86" i="2"/>
  <c r="BA172" i="2" s="1"/>
  <c r="BG81" i="2"/>
  <c r="BF81" i="2"/>
  <c r="BD81" i="2"/>
  <c r="BC81" i="2"/>
  <c r="BA81" i="2"/>
  <c r="AZ81" i="2"/>
  <c r="BD80" i="2"/>
  <c r="AX95" i="2"/>
  <c r="AX148" i="2" s="1"/>
  <c r="AX136" i="2" s="1"/>
  <c r="AU95" i="2"/>
  <c r="AT95" i="2"/>
  <c r="AR95" i="2"/>
  <c r="AR148" i="2" s="1"/>
  <c r="AR136" i="2" s="1"/>
  <c r="AX90" i="2"/>
  <c r="AW90" i="2"/>
  <c r="AU90" i="2"/>
  <c r="AT90" i="2"/>
  <c r="AR90" i="2"/>
  <c r="AQ90" i="2"/>
  <c r="AX89" i="2"/>
  <c r="AR89" i="2"/>
  <c r="AX86" i="2"/>
  <c r="AX172" i="2" s="1"/>
  <c r="AU86" i="2"/>
  <c r="AU172" i="2" s="1"/>
  <c r="AU158" i="2" s="1"/>
  <c r="AT86" i="2"/>
  <c r="AT172" i="2" s="1"/>
  <c r="AT158" i="2" s="1"/>
  <c r="AR86" i="2"/>
  <c r="AR172" i="2" s="1"/>
  <c r="AX81" i="2"/>
  <c r="AW81" i="2"/>
  <c r="AU81" i="2"/>
  <c r="AT81" i="2"/>
  <c r="AR81" i="2"/>
  <c r="AQ81" i="2"/>
  <c r="AT80" i="2"/>
  <c r="AR80" i="2"/>
  <c r="AO95" i="2"/>
  <c r="AO148" i="2" s="1"/>
  <c r="AO136" i="2" s="1"/>
  <c r="AN95" i="2"/>
  <c r="AN148" i="2" s="1"/>
  <c r="AN136" i="2" s="1"/>
  <c r="AL95" i="2"/>
  <c r="AL148" i="2" s="1"/>
  <c r="AL136" i="2" s="1"/>
  <c r="AI95" i="2"/>
  <c r="AI148" i="2" s="1"/>
  <c r="AI136" i="2" s="1"/>
  <c r="AH95" i="2"/>
  <c r="AH148" i="2" s="1"/>
  <c r="AO90" i="2"/>
  <c r="AN90" i="2"/>
  <c r="AL90" i="2"/>
  <c r="AK90" i="2"/>
  <c r="AI90" i="2"/>
  <c r="AH90" i="2"/>
  <c r="AO89" i="2"/>
  <c r="AH89" i="2"/>
  <c r="AO86" i="2"/>
  <c r="AO172" i="2" s="1"/>
  <c r="AN86" i="2"/>
  <c r="AN172" i="2" s="1"/>
  <c r="AN158" i="2" s="1"/>
  <c r="AL86" i="2"/>
  <c r="AL172" i="2" s="1"/>
  <c r="AL171" i="2" s="1"/>
  <c r="AI86" i="2"/>
  <c r="AH86" i="2"/>
  <c r="AH172" i="2" s="1"/>
  <c r="AH158" i="2" s="1"/>
  <c r="AO81" i="2"/>
  <c r="AN81" i="2"/>
  <c r="AL81" i="2"/>
  <c r="AK81" i="2"/>
  <c r="AI81" i="2"/>
  <c r="AH81" i="2"/>
  <c r="AF95" i="2"/>
  <c r="AF148" i="2" s="1"/>
  <c r="AF136" i="2" s="1"/>
  <c r="AE95" i="2"/>
  <c r="AE148" i="2" s="1"/>
  <c r="AE130" i="2" s="1"/>
  <c r="AC95" i="2"/>
  <c r="AC148" i="2" s="1"/>
  <c r="AC136" i="2" s="1"/>
  <c r="AB95" i="2"/>
  <c r="AB148" i="2" s="1"/>
  <c r="AB136" i="2" s="1"/>
  <c r="Z95" i="2"/>
  <c r="Z148" i="2" s="1"/>
  <c r="Z136" i="2" s="1"/>
  <c r="Y95" i="2"/>
  <c r="AF90" i="2"/>
  <c r="AE90" i="2"/>
  <c r="AC90" i="2"/>
  <c r="AB90" i="2"/>
  <c r="Z90" i="2"/>
  <c r="Y90" i="2"/>
  <c r="AF89" i="2"/>
  <c r="AC89" i="2"/>
  <c r="AF86" i="2"/>
  <c r="AF172" i="2" s="1"/>
  <c r="AE86" i="2"/>
  <c r="AE172" i="2" s="1"/>
  <c r="AE158" i="2" s="1"/>
  <c r="AC86" i="2"/>
  <c r="AC172" i="2" s="1"/>
  <c r="AB86" i="2"/>
  <c r="AB172" i="2" s="1"/>
  <c r="Z86" i="2"/>
  <c r="Z172" i="2" s="1"/>
  <c r="Y86" i="2"/>
  <c r="AF81" i="2"/>
  <c r="AE81" i="2"/>
  <c r="AC81" i="2"/>
  <c r="AB81" i="2"/>
  <c r="Z81" i="2"/>
  <c r="Y81" i="2"/>
  <c r="AF80" i="2"/>
  <c r="AB80" i="2"/>
  <c r="W95" i="2"/>
  <c r="W148" i="2" s="1"/>
  <c r="W136" i="2" s="1"/>
  <c r="T95" i="2"/>
  <c r="Q95" i="2"/>
  <c r="Q148" i="2" s="1"/>
  <c r="Q136" i="2" s="1"/>
  <c r="W86" i="2"/>
  <c r="T86" i="2"/>
  <c r="T172" i="2" s="1"/>
  <c r="Q86" i="2"/>
  <c r="L96" i="2"/>
  <c r="L95" i="2"/>
  <c r="L87" i="2"/>
  <c r="L173" i="2" s="1"/>
  <c r="L86" i="2"/>
  <c r="L172" i="2" s="1"/>
  <c r="K96" i="2"/>
  <c r="K87" i="2"/>
  <c r="K173" i="2" s="1"/>
  <c r="DF16" i="2"/>
  <c r="DF42" i="2" s="1"/>
  <c r="DE16" i="2"/>
  <c r="DE42" i="2" s="1"/>
  <c r="DC16" i="2"/>
  <c r="CZ16" i="2"/>
  <c r="CY16" i="2"/>
  <c r="CW16" i="2"/>
  <c r="CT16" i="2"/>
  <c r="CQ16" i="2"/>
  <c r="CP16" i="2"/>
  <c r="CN16" i="2"/>
  <c r="CM16" i="2"/>
  <c r="CK16" i="2"/>
  <c r="CK42" i="2" s="1"/>
  <c r="CJ16" i="2"/>
  <c r="CH16" i="2"/>
  <c r="CE16" i="2"/>
  <c r="CE42" i="2" s="1"/>
  <c r="CB16" i="2"/>
  <c r="BY16" i="2"/>
  <c r="BV16" i="2"/>
  <c r="BV42" i="2" s="1"/>
  <c r="BS16" i="2"/>
  <c r="BS42" i="2" s="1"/>
  <c r="BP16" i="2"/>
  <c r="BM16" i="2"/>
  <c r="BM42" i="2" s="1"/>
  <c r="BJ16" i="2"/>
  <c r="BG16" i="2"/>
  <c r="BG42" i="2" s="1"/>
  <c r="BD16" i="2"/>
  <c r="BD42" i="2" s="1"/>
  <c r="BA16" i="2"/>
  <c r="BA42" i="2" s="1"/>
  <c r="AX16" i="2"/>
  <c r="AU16" i="2"/>
  <c r="AU42" i="2" s="1"/>
  <c r="AT16" i="2"/>
  <c r="AT42" i="2" s="1"/>
  <c r="AR16" i="2"/>
  <c r="AO16" i="2"/>
  <c r="AO42" i="2" s="1"/>
  <c r="AN16" i="2"/>
  <c r="AL16" i="2"/>
  <c r="AL42" i="2" s="1"/>
  <c r="AI16" i="2"/>
  <c r="AH16" i="2"/>
  <c r="AF16" i="2"/>
  <c r="AE16" i="2"/>
  <c r="AE42" i="2" s="1"/>
  <c r="AC16" i="2"/>
  <c r="AC42" i="2" s="1"/>
  <c r="AB16" i="2"/>
  <c r="Z16" i="2"/>
  <c r="Y16" i="2"/>
  <c r="Y42" i="2" s="1"/>
  <c r="W16" i="2"/>
  <c r="T16" i="2"/>
  <c r="Q16" i="2"/>
  <c r="Q42" i="2" s="1"/>
  <c r="CG17" i="2"/>
  <c r="CG86" i="2" s="1"/>
  <c r="CD17" i="2"/>
  <c r="CD95" i="2" s="1"/>
  <c r="CD148" i="2" s="1"/>
  <c r="CD136" i="2" s="1"/>
  <c r="CA17" i="2"/>
  <c r="BX17" i="2"/>
  <c r="BX86" i="2" s="1"/>
  <c r="BU17" i="2"/>
  <c r="BR17" i="2"/>
  <c r="BR95" i="2" s="1"/>
  <c r="BO17" i="2"/>
  <c r="BO16" i="2" s="1"/>
  <c r="BO42" i="2" s="1"/>
  <c r="BL17" i="2"/>
  <c r="BL95" i="2" s="1"/>
  <c r="BI17" i="2"/>
  <c r="BI86" i="2" s="1"/>
  <c r="BF17" i="2"/>
  <c r="BF95" i="2" s="1"/>
  <c r="BF148" i="2" s="1"/>
  <c r="BC17" i="2"/>
  <c r="AZ17" i="2"/>
  <c r="AZ86" i="2" s="1"/>
  <c r="AW17" i="2"/>
  <c r="AW95" i="2" s="1"/>
  <c r="AW89" i="2" s="1"/>
  <c r="AQ17" i="2"/>
  <c r="AQ95" i="2" s="1"/>
  <c r="AK17" i="2"/>
  <c r="AK16" i="2" s="1"/>
  <c r="AK42" i="2" s="1"/>
  <c r="V17" i="2"/>
  <c r="V95" i="2" s="1"/>
  <c r="V89" i="2" s="1"/>
  <c r="S17" i="2"/>
  <c r="S86" i="2" s="1"/>
  <c r="S172" i="2" s="1"/>
  <c r="S171" i="2" s="1"/>
  <c r="P17" i="2"/>
  <c r="P86" i="2" s="1"/>
  <c r="L16" i="2"/>
  <c r="K16" i="2"/>
  <c r="K42" i="2" s="1"/>
  <c r="L77" i="2"/>
  <c r="L76" i="2"/>
  <c r="K77" i="2"/>
  <c r="K76" i="2"/>
  <c r="K578" i="2" s="1"/>
  <c r="K59" i="2"/>
  <c r="L60" i="2"/>
  <c r="L59" i="2"/>
  <c r="K60" i="2"/>
  <c r="DF11" i="2"/>
  <c r="DF77" i="2" s="1"/>
  <c r="DE11" i="2"/>
  <c r="DE77" i="2" s="1"/>
  <c r="DE583" i="2" s="1"/>
  <c r="DC11" i="2"/>
  <c r="DB11" i="2"/>
  <c r="DB76" i="2" s="1"/>
  <c r="CZ11" i="2"/>
  <c r="CY11" i="2"/>
  <c r="CW11" i="2"/>
  <c r="CW76" i="2" s="1"/>
  <c r="CV11" i="2"/>
  <c r="CV76" i="2" s="1"/>
  <c r="CT11" i="2"/>
  <c r="CS11" i="2"/>
  <c r="CS76" i="2" s="1"/>
  <c r="CQ11" i="2"/>
  <c r="CQ76" i="2" s="1"/>
  <c r="CP11" i="2"/>
  <c r="CN11" i="2"/>
  <c r="CN76" i="2" s="1"/>
  <c r="CM11" i="2"/>
  <c r="CM76" i="2" s="1"/>
  <c r="CK11" i="2"/>
  <c r="CK41" i="2" s="1"/>
  <c r="CJ11" i="2"/>
  <c r="CJ59" i="2" s="1"/>
  <c r="CJ45" i="2" s="1"/>
  <c r="CH11" i="2"/>
  <c r="CH76" i="2" s="1"/>
  <c r="CG11" i="2"/>
  <c r="CE11" i="2"/>
  <c r="CD11" i="2"/>
  <c r="CB11" i="2"/>
  <c r="CB76" i="2" s="1"/>
  <c r="CA11" i="2"/>
  <c r="BY11" i="2"/>
  <c r="BX11" i="2"/>
  <c r="BV11" i="2"/>
  <c r="BV76" i="2" s="1"/>
  <c r="BU11" i="2"/>
  <c r="BU76" i="2" s="1"/>
  <c r="BS11" i="2"/>
  <c r="BS41" i="2" s="1"/>
  <c r="BR11" i="2"/>
  <c r="BP11" i="2"/>
  <c r="BO11" i="2"/>
  <c r="BO76" i="2" s="1"/>
  <c r="BM11" i="2"/>
  <c r="BM76" i="2" s="1"/>
  <c r="BL11" i="2"/>
  <c r="BL76" i="2" s="1"/>
  <c r="BJ11" i="2"/>
  <c r="BI11" i="2"/>
  <c r="BI76" i="2" s="1"/>
  <c r="BG11" i="2"/>
  <c r="BG59" i="2" s="1"/>
  <c r="BF11" i="2"/>
  <c r="BD11" i="2"/>
  <c r="BD76" i="2" s="1"/>
  <c r="BC11" i="2"/>
  <c r="BC59" i="2" s="1"/>
  <c r="BC45" i="2" s="1"/>
  <c r="BA11" i="2"/>
  <c r="BA41" i="2" s="1"/>
  <c r="AZ11" i="2"/>
  <c r="AX11" i="2"/>
  <c r="AW11" i="2"/>
  <c r="AW59" i="2" s="1"/>
  <c r="AW45" i="2" s="1"/>
  <c r="AU11" i="2"/>
  <c r="AU76" i="2" s="1"/>
  <c r="AT11" i="2"/>
  <c r="AR11" i="2"/>
  <c r="AQ11" i="2"/>
  <c r="AQ59" i="2" s="1"/>
  <c r="AQ45" i="2" s="1"/>
  <c r="AO11" i="2"/>
  <c r="AO41" i="2" s="1"/>
  <c r="AN11" i="2"/>
  <c r="AN76" i="2" s="1"/>
  <c r="AL11" i="2"/>
  <c r="AL76" i="2" s="1"/>
  <c r="AK11" i="2"/>
  <c r="AI11" i="2"/>
  <c r="AI41" i="2" s="1"/>
  <c r="AH11" i="2"/>
  <c r="AH59" i="2" s="1"/>
  <c r="AF11" i="2"/>
  <c r="AF41" i="2" s="1"/>
  <c r="AE11" i="2"/>
  <c r="AC11" i="2"/>
  <c r="AC41" i="2" s="1"/>
  <c r="AB11" i="2"/>
  <c r="Z11" i="2"/>
  <c r="Z41" i="2" s="1"/>
  <c r="Y11" i="2"/>
  <c r="W11" i="2"/>
  <c r="W41" i="2" s="1"/>
  <c r="V11" i="2"/>
  <c r="T11" i="2"/>
  <c r="Q11" i="2"/>
  <c r="Q41" i="2" s="1"/>
  <c r="P11" i="2"/>
  <c r="P76" i="2" s="1"/>
  <c r="L11" i="2"/>
  <c r="S12" i="2"/>
  <c r="N12" i="2" s="1"/>
  <c r="N11" i="2" s="1"/>
  <c r="K11" i="2"/>
  <c r="K41" i="2" s="1"/>
  <c r="K26" i="2" s="1"/>
  <c r="W90" i="2"/>
  <c r="V90" i="2"/>
  <c r="W89" i="2"/>
  <c r="T90" i="2"/>
  <c r="S90" i="2"/>
  <c r="Q90" i="2"/>
  <c r="P90" i="2"/>
  <c r="W81" i="2"/>
  <c r="V81" i="2"/>
  <c r="T81" i="2"/>
  <c r="S81" i="2"/>
  <c r="T80" i="2"/>
  <c r="Q81" i="2"/>
  <c r="P81" i="2"/>
  <c r="S56" i="2"/>
  <c r="N56" i="2" s="1"/>
  <c r="N73" i="2"/>
  <c r="DF60" i="2"/>
  <c r="O60" i="2" s="1"/>
  <c r="DE60" i="2"/>
  <c r="DE46" i="2" s="1"/>
  <c r="DC63" i="2"/>
  <c r="DB63" i="2"/>
  <c r="DF62" i="2"/>
  <c r="DE62" i="2"/>
  <c r="CZ76" i="2"/>
  <c r="CZ578" i="2" s="1"/>
  <c r="CY76" i="2"/>
  <c r="CT76" i="2"/>
  <c r="CZ63" i="2"/>
  <c r="CY63" i="2"/>
  <c r="CW63" i="2"/>
  <c r="CV63" i="2"/>
  <c r="CT63" i="2"/>
  <c r="CS63" i="2"/>
  <c r="CP76" i="2"/>
  <c r="CQ63" i="2"/>
  <c r="CP63" i="2"/>
  <c r="CN63" i="2"/>
  <c r="CM63" i="2"/>
  <c r="CK63" i="2"/>
  <c r="CJ63" i="2"/>
  <c r="CG76" i="2"/>
  <c r="CA76" i="2"/>
  <c r="CH63" i="2"/>
  <c r="CG63" i="2"/>
  <c r="CE63" i="2"/>
  <c r="CD63" i="2"/>
  <c r="CB63" i="2"/>
  <c r="CA63" i="2"/>
  <c r="CG62" i="2"/>
  <c r="BX76" i="2"/>
  <c r="BS76" i="2"/>
  <c r="BY63" i="2"/>
  <c r="BX63" i="2"/>
  <c r="BV63" i="2"/>
  <c r="BU63" i="2"/>
  <c r="BS63" i="2"/>
  <c r="BR63" i="2"/>
  <c r="BP76" i="2"/>
  <c r="BJ76" i="2"/>
  <c r="BJ578" i="2" s="1"/>
  <c r="BP63" i="2"/>
  <c r="BO63" i="2"/>
  <c r="BM63" i="2"/>
  <c r="BL63" i="2"/>
  <c r="BJ63" i="2"/>
  <c r="BI63" i="2"/>
  <c r="BG76" i="2"/>
  <c r="BF76" i="2"/>
  <c r="BG63" i="2"/>
  <c r="BF63" i="2"/>
  <c r="BD63" i="2"/>
  <c r="BC63" i="2"/>
  <c r="BA63" i="2"/>
  <c r="AZ63" i="2"/>
  <c r="AX76" i="2"/>
  <c r="AR76" i="2"/>
  <c r="AR578" i="2" s="1"/>
  <c r="AX63" i="2"/>
  <c r="AW63" i="2"/>
  <c r="AU63" i="2"/>
  <c r="AT63" i="2"/>
  <c r="AR63" i="2"/>
  <c r="AQ63" i="2"/>
  <c r="AI76" i="2"/>
  <c r="AH76" i="2"/>
  <c r="AO63" i="2"/>
  <c r="AN63" i="2"/>
  <c r="AL63" i="2"/>
  <c r="AK63" i="2"/>
  <c r="AI63" i="2"/>
  <c r="AH63" i="2"/>
  <c r="AN62" i="2"/>
  <c r="AE76" i="2"/>
  <c r="AE578" i="2" s="1"/>
  <c r="Y76" i="2"/>
  <c r="AF63" i="2"/>
  <c r="AE63" i="2"/>
  <c r="AC63" i="2"/>
  <c r="AB63" i="2"/>
  <c r="Z63" i="2"/>
  <c r="Y63" i="2"/>
  <c r="W76" i="2"/>
  <c r="V76" i="2"/>
  <c r="T76" i="2"/>
  <c r="Q76" i="2"/>
  <c r="W63" i="2"/>
  <c r="V63" i="2"/>
  <c r="W62" i="2"/>
  <c r="T63" i="2"/>
  <c r="S63" i="2"/>
  <c r="Q63" i="2"/>
  <c r="P63" i="2"/>
  <c r="CZ59" i="2"/>
  <c r="CZ45" i="2" s="1"/>
  <c r="CY59" i="2"/>
  <c r="CY45" i="2" s="1"/>
  <c r="CW59" i="2"/>
  <c r="CW45" i="2" s="1"/>
  <c r="CT59" i="2"/>
  <c r="CP59" i="2"/>
  <c r="CP45" i="2" s="1"/>
  <c r="CM59" i="2"/>
  <c r="CM45" i="2" s="1"/>
  <c r="CH59" i="2"/>
  <c r="CH45" i="2" s="1"/>
  <c r="CG59" i="2"/>
  <c r="CG45" i="2" s="1"/>
  <c r="CB59" i="2"/>
  <c r="CB45" i="2" s="1"/>
  <c r="CA59" i="2"/>
  <c r="CA45" i="2" s="1"/>
  <c r="BS59" i="2"/>
  <c r="BS45" i="2" s="1"/>
  <c r="BR59" i="2"/>
  <c r="BR45" i="2" s="1"/>
  <c r="BP59" i="2"/>
  <c r="BP45" i="2" s="1"/>
  <c r="BO59" i="2"/>
  <c r="BO45" i="2" s="1"/>
  <c r="BL59" i="2"/>
  <c r="BJ59" i="2"/>
  <c r="BJ45" i="2" s="1"/>
  <c r="BI59" i="2"/>
  <c r="BI45" i="2" s="1"/>
  <c r="BF59" i="2"/>
  <c r="BF45" i="2" s="1"/>
  <c r="BD59" i="2"/>
  <c r="BD45" i="2" s="1"/>
  <c r="AX59" i="2"/>
  <c r="AX45" i="2" s="1"/>
  <c r="AT59" i="2"/>
  <c r="AT45" i="2" s="1"/>
  <c r="AR59" i="2"/>
  <c r="AN59" i="2"/>
  <c r="DC46" i="2"/>
  <c r="DB46" i="2"/>
  <c r="DF45" i="2"/>
  <c r="DE45" i="2"/>
  <c r="CZ46" i="2"/>
  <c r="CY46" i="2"/>
  <c r="CW46" i="2"/>
  <c r="CV46" i="2"/>
  <c r="CT46" i="2"/>
  <c r="CS46" i="2"/>
  <c r="CT45" i="2"/>
  <c r="CQ46" i="2"/>
  <c r="CP46" i="2"/>
  <c r="CN46" i="2"/>
  <c r="CM46" i="2"/>
  <c r="CK46" i="2"/>
  <c r="CJ46" i="2"/>
  <c r="CH46" i="2"/>
  <c r="CG46" i="2"/>
  <c r="CE46" i="2"/>
  <c r="CD46" i="2"/>
  <c r="CB46" i="2"/>
  <c r="CA46" i="2"/>
  <c r="BY46" i="2"/>
  <c r="BX46" i="2"/>
  <c r="BV46" i="2"/>
  <c r="BU46" i="2"/>
  <c r="BS46" i="2"/>
  <c r="BR46" i="2"/>
  <c r="BP46" i="2"/>
  <c r="BO46" i="2"/>
  <c r="BM46" i="2"/>
  <c r="BL46" i="2"/>
  <c r="BJ46" i="2"/>
  <c r="BI46" i="2"/>
  <c r="BL45" i="2"/>
  <c r="BG46" i="2"/>
  <c r="BF46" i="2"/>
  <c r="BD46" i="2"/>
  <c r="BC46" i="2"/>
  <c r="BA46" i="2"/>
  <c r="AZ46" i="2"/>
  <c r="BG45" i="2"/>
  <c r="AX46" i="2"/>
  <c r="AW46" i="2"/>
  <c r="AU46" i="2"/>
  <c r="AT46" i="2"/>
  <c r="AR46" i="2"/>
  <c r="AQ46" i="2"/>
  <c r="AR45" i="2"/>
  <c r="AO46" i="2"/>
  <c r="AN46" i="2"/>
  <c r="AL46" i="2"/>
  <c r="AK46" i="2"/>
  <c r="AI46" i="2"/>
  <c r="AH46" i="2"/>
  <c r="AN45" i="2"/>
  <c r="AH45" i="2"/>
  <c r="AF46" i="2"/>
  <c r="AE46" i="2"/>
  <c r="AC46" i="2"/>
  <c r="AB46" i="2"/>
  <c r="Z46" i="2"/>
  <c r="Y46" i="2"/>
  <c r="AF59" i="2"/>
  <c r="AF45" i="2" s="1"/>
  <c r="AE59" i="2"/>
  <c r="AE45" i="2" s="1"/>
  <c r="Z59" i="2"/>
  <c r="Z45" i="2" s="1"/>
  <c r="Y59" i="2"/>
  <c r="Y45" i="2" s="1"/>
  <c r="W59" i="2"/>
  <c r="T59" i="2"/>
  <c r="Q59" i="2"/>
  <c r="O77" i="2"/>
  <c r="O74" i="2"/>
  <c r="N74" i="2"/>
  <c r="O73" i="2"/>
  <c r="O57" i="2"/>
  <c r="N57" i="2"/>
  <c r="O56" i="2"/>
  <c r="O40" i="2"/>
  <c r="N40" i="2"/>
  <c r="O39" i="2"/>
  <c r="N39" i="2"/>
  <c r="O38" i="2"/>
  <c r="N38" i="2"/>
  <c r="O36" i="2"/>
  <c r="N36" i="2"/>
  <c r="O35" i="2"/>
  <c r="N35" i="2"/>
  <c r="O34" i="2"/>
  <c r="N34" i="2"/>
  <c r="DF41" i="2"/>
  <c r="DE41" i="2"/>
  <c r="CJ42" i="2"/>
  <c r="CH42" i="2"/>
  <c r="CH41" i="2"/>
  <c r="CG41" i="2"/>
  <c r="CB42" i="2"/>
  <c r="CB41" i="2"/>
  <c r="CA41" i="2"/>
  <c r="BY42" i="2"/>
  <c r="BP42" i="2"/>
  <c r="BP41" i="2"/>
  <c r="BO41" i="2"/>
  <c r="BL41" i="2"/>
  <c r="BJ42" i="2"/>
  <c r="BJ41" i="2"/>
  <c r="BI41" i="2"/>
  <c r="BG41" i="2"/>
  <c r="BF41" i="2"/>
  <c r="AZ41" i="2"/>
  <c r="AX42" i="2"/>
  <c r="AX41" i="2"/>
  <c r="AU41" i="2"/>
  <c r="AR42" i="2"/>
  <c r="AR41" i="2"/>
  <c r="AN42" i="2"/>
  <c r="AN41" i="2"/>
  <c r="AL41" i="2"/>
  <c r="AI42" i="2"/>
  <c r="AH42" i="2"/>
  <c r="AH41" i="2"/>
  <c r="AF42" i="2"/>
  <c r="AE41" i="2"/>
  <c r="AB42" i="2"/>
  <c r="Z42" i="2"/>
  <c r="Y41" i="2"/>
  <c r="W42" i="2"/>
  <c r="T42" i="2"/>
  <c r="T41" i="2"/>
  <c r="O22" i="2"/>
  <c r="O21" i="2"/>
  <c r="BC21" i="2"/>
  <c r="N21" i="2" s="1"/>
  <c r="BC22" i="2"/>
  <c r="N22" i="2" s="1"/>
  <c r="BP89" i="2" l="1"/>
  <c r="T265" i="2"/>
  <c r="AC261" i="2"/>
  <c r="AO265" i="2"/>
  <c r="AX262" i="2"/>
  <c r="BJ262" i="2"/>
  <c r="BV261" i="2"/>
  <c r="BS265" i="2"/>
  <c r="BL86" i="2"/>
  <c r="BL172" i="2" s="1"/>
  <c r="BG262" i="2"/>
  <c r="BP262" i="2"/>
  <c r="CE261" i="2"/>
  <c r="CH262" i="2"/>
  <c r="CB265" i="2"/>
  <c r="CK262" i="2"/>
  <c r="CT265" i="2"/>
  <c r="V334" i="2"/>
  <c r="CT89" i="2"/>
  <c r="CK335" i="2"/>
  <c r="DF335" i="2"/>
  <c r="DB153" i="2"/>
  <c r="AR262" i="2"/>
  <c r="BA265" i="2"/>
  <c r="CN265" i="2"/>
  <c r="BU95" i="2"/>
  <c r="BU16" i="2"/>
  <c r="BU42" i="2" s="1"/>
  <c r="Y148" i="2"/>
  <c r="Y133" i="2" s="1"/>
  <c r="Y89" i="2"/>
  <c r="AR62" i="2"/>
  <c r="CG16" i="2"/>
  <c r="CG42" i="2" s="1"/>
  <c r="AC80" i="2"/>
  <c r="Y172" i="2"/>
  <c r="Y158" i="2" s="1"/>
  <c r="Y80" i="2"/>
  <c r="BG148" i="2"/>
  <c r="BG133" i="2" s="1"/>
  <c r="BG89" i="2"/>
  <c r="BS80" i="2"/>
  <c r="BS172" i="2"/>
  <c r="T148" i="2"/>
  <c r="T130" i="2" s="1"/>
  <c r="T89" i="2"/>
  <c r="CN89" i="2"/>
  <c r="CJ148" i="2"/>
  <c r="CJ136" i="2" s="1"/>
  <c r="CJ89" i="2"/>
  <c r="N87" i="2"/>
  <c r="CZ62" i="2"/>
  <c r="AW16" i="2"/>
  <c r="AW42" i="2" s="1"/>
  <c r="Z89" i="2"/>
  <c r="CE89" i="2"/>
  <c r="CB148" i="2"/>
  <c r="CB130" i="2" s="1"/>
  <c r="CB89" i="2"/>
  <c r="N127" i="2"/>
  <c r="BO156" i="2"/>
  <c r="BO164" i="2"/>
  <c r="BV153" i="2"/>
  <c r="BC164" i="2"/>
  <c r="O198" i="2"/>
  <c r="CE262" i="2"/>
  <c r="W310" i="2"/>
  <c r="AU310" i="2"/>
  <c r="BM310" i="2"/>
  <c r="CE310" i="2"/>
  <c r="Q334" i="2"/>
  <c r="T335" i="2"/>
  <c r="AF334" i="2"/>
  <c r="AC335" i="2"/>
  <c r="AI334" i="2"/>
  <c r="AX334" i="2"/>
  <c r="AU335" i="2"/>
  <c r="BA334" i="2"/>
  <c r="BP334" i="2"/>
  <c r="BM335" i="2"/>
  <c r="BS334" i="2"/>
  <c r="CH334" i="2"/>
  <c r="CE335" i="2"/>
  <c r="CK334" i="2"/>
  <c r="CZ262" i="2"/>
  <c r="AN578" i="2"/>
  <c r="AL80" i="2"/>
  <c r="BD89" i="2"/>
  <c r="N83" i="2"/>
  <c r="N96" i="2"/>
  <c r="BJ108" i="2"/>
  <c r="CZ108" i="2"/>
  <c r="DF109" i="2"/>
  <c r="DE112" i="2"/>
  <c r="AB164" i="2"/>
  <c r="P153" i="2"/>
  <c r="W164" i="2"/>
  <c r="AL164" i="2"/>
  <c r="AI153" i="2"/>
  <c r="AO153" i="2"/>
  <c r="BP153" i="2"/>
  <c r="CE164" i="2"/>
  <c r="CB153" i="2"/>
  <c r="S153" i="2"/>
  <c r="Y153" i="2"/>
  <c r="CY153" i="2"/>
  <c r="Z262" i="2"/>
  <c r="AN261" i="2"/>
  <c r="BU262" i="2"/>
  <c r="CJ261" i="2"/>
  <c r="S335" i="2"/>
  <c r="CJ334" i="2"/>
  <c r="CN62" i="2"/>
  <c r="CN578" i="2"/>
  <c r="BI172" i="2"/>
  <c r="BI80" i="2"/>
  <c r="CG172" i="2"/>
  <c r="CG171" i="2" s="1"/>
  <c r="CG80" i="2"/>
  <c r="AH136" i="2"/>
  <c r="AH133" i="2"/>
  <c r="AH130" i="2"/>
  <c r="BF133" i="2"/>
  <c r="BF130" i="2"/>
  <c r="BF136" i="2"/>
  <c r="P578" i="2"/>
  <c r="DC156" i="2"/>
  <c r="N343" i="2"/>
  <c r="N335" i="2" s="1"/>
  <c r="N668" i="2"/>
  <c r="N654" i="2" s="1"/>
  <c r="Q382" i="2"/>
  <c r="Q373" i="2"/>
  <c r="W382" i="2"/>
  <c r="W376" i="2" s="1"/>
  <c r="W373" i="2"/>
  <c r="W367" i="2" s="1"/>
  <c r="AF382" i="2"/>
  <c r="AF376" i="2" s="1"/>
  <c r="AF373" i="2"/>
  <c r="AF367" i="2" s="1"/>
  <c r="AI382" i="2"/>
  <c r="AI376" i="2" s="1"/>
  <c r="AI373" i="2"/>
  <c r="AI367" i="2" s="1"/>
  <c r="AL383" i="2"/>
  <c r="AL377" i="2" s="1"/>
  <c r="AL374" i="2"/>
  <c r="AL368" i="2" s="1"/>
  <c r="AX382" i="2"/>
  <c r="AX376" i="2" s="1"/>
  <c r="AX373" i="2"/>
  <c r="AX367" i="2" s="1"/>
  <c r="BA373" i="2"/>
  <c r="BA367" i="2" s="1"/>
  <c r="BA382" i="2"/>
  <c r="BA376" i="2" s="1"/>
  <c r="BD374" i="2"/>
  <c r="BD368" i="2" s="1"/>
  <c r="BD383" i="2"/>
  <c r="BD377" i="2" s="1"/>
  <c r="BP264" i="2"/>
  <c r="BP382" i="2"/>
  <c r="BP376" i="2" s="1"/>
  <c r="BP373" i="2"/>
  <c r="BP367" i="2" s="1"/>
  <c r="BS261" i="2"/>
  <c r="BS373" i="2"/>
  <c r="BS367" i="2" s="1"/>
  <c r="BS382" i="2"/>
  <c r="BS376" i="2" s="1"/>
  <c r="BV265" i="2"/>
  <c r="BV374" i="2"/>
  <c r="BV368" i="2" s="1"/>
  <c r="BV383" i="2"/>
  <c r="BV377" i="2" s="1"/>
  <c r="CH382" i="2"/>
  <c r="CH376" i="2" s="1"/>
  <c r="CH373" i="2"/>
  <c r="CH367" i="2" s="1"/>
  <c r="CK373" i="2"/>
  <c r="CK367" i="2" s="1"/>
  <c r="CK382" i="2"/>
  <c r="CK376" i="2" s="1"/>
  <c r="CQ383" i="2"/>
  <c r="CQ377" i="2" s="1"/>
  <c r="CQ374" i="2"/>
  <c r="CQ368" i="2" s="1"/>
  <c r="CW374" i="2"/>
  <c r="CW368" i="2" s="1"/>
  <c r="CW383" i="2"/>
  <c r="CW377" i="2" s="1"/>
  <c r="DC374" i="2"/>
  <c r="DC368" i="2" s="1"/>
  <c r="DC383" i="2"/>
  <c r="DC377" i="2" s="1"/>
  <c r="CP62" i="2"/>
  <c r="CP578" i="2"/>
  <c r="CV59" i="2"/>
  <c r="CV45" i="2" s="1"/>
  <c r="V62" i="2"/>
  <c r="W578" i="2"/>
  <c r="Y62" i="2"/>
  <c r="Y578" i="2"/>
  <c r="CY62" i="2"/>
  <c r="CY578" i="2"/>
  <c r="DF63" i="2"/>
  <c r="DF583" i="2"/>
  <c r="BO62" i="2"/>
  <c r="CW62" i="2"/>
  <c r="CW578" i="2"/>
  <c r="AI89" i="2"/>
  <c r="BV80" i="2"/>
  <c r="BF89" i="2"/>
  <c r="BX108" i="2"/>
  <c r="BX114" i="2"/>
  <c r="CJ111" i="2"/>
  <c r="Q130" i="2"/>
  <c r="L108" i="2"/>
  <c r="AL155" i="2"/>
  <c r="AO156" i="2"/>
  <c r="CA153" i="2"/>
  <c r="CY159" i="2"/>
  <c r="O337" i="2"/>
  <c r="O334" i="2" s="1"/>
  <c r="O667" i="2"/>
  <c r="BA261" i="2"/>
  <c r="P383" i="2"/>
  <c r="P374" i="2"/>
  <c r="V383" i="2"/>
  <c r="V377" i="2" s="1"/>
  <c r="V374" i="2"/>
  <c r="V368" i="2" s="1"/>
  <c r="Y383" i="2"/>
  <c r="Y377" i="2" s="1"/>
  <c r="Y374" i="2"/>
  <c r="Y368" i="2" s="1"/>
  <c r="AK382" i="2"/>
  <c r="AK376" i="2" s="1"/>
  <c r="AK373" i="2"/>
  <c r="AK367" i="2" s="1"/>
  <c r="AN383" i="2"/>
  <c r="AN377" i="2" s="1"/>
  <c r="AN374" i="2"/>
  <c r="AN368" i="2" s="1"/>
  <c r="AQ383" i="2"/>
  <c r="AQ377" i="2" s="1"/>
  <c r="AQ374" i="2"/>
  <c r="AQ368" i="2" s="1"/>
  <c r="BC382" i="2"/>
  <c r="BC376" i="2" s="1"/>
  <c r="BC373" i="2"/>
  <c r="BC367" i="2" s="1"/>
  <c r="BF383" i="2"/>
  <c r="BF377" i="2" s="1"/>
  <c r="BF374" i="2"/>
  <c r="BF368" i="2" s="1"/>
  <c r="BI383" i="2"/>
  <c r="BI377" i="2" s="1"/>
  <c r="BI374" i="2"/>
  <c r="BI368" i="2" s="1"/>
  <c r="BU382" i="2"/>
  <c r="BU376" i="2" s="1"/>
  <c r="BU373" i="2"/>
  <c r="BU367" i="2" s="1"/>
  <c r="BX262" i="2"/>
  <c r="BX383" i="2"/>
  <c r="BX377" i="2" s="1"/>
  <c r="BX374" i="2"/>
  <c r="BX368" i="2" s="1"/>
  <c r="CA383" i="2"/>
  <c r="CA377" i="2" s="1"/>
  <c r="CA374" i="2"/>
  <c r="CA368" i="2" s="1"/>
  <c r="CJ383" i="2"/>
  <c r="CJ377" i="2" s="1"/>
  <c r="CJ374" i="2"/>
  <c r="CJ368" i="2" s="1"/>
  <c r="CM382" i="2"/>
  <c r="CM376" i="2" s="1"/>
  <c r="CM373" i="2"/>
  <c r="CM367" i="2" s="1"/>
  <c r="CS264" i="2"/>
  <c r="CS373" i="2"/>
  <c r="CS367" i="2" s="1"/>
  <c r="CS382" i="2"/>
  <c r="CS376" i="2" s="1"/>
  <c r="CY382" i="2"/>
  <c r="CY376" i="2" s="1"/>
  <c r="CY373" i="2"/>
  <c r="CY367" i="2" s="1"/>
  <c r="V310" i="2"/>
  <c r="AB310" i="2"/>
  <c r="AE310" i="2"/>
  <c r="AH310" i="2"/>
  <c r="AK310" i="2"/>
  <c r="AQ310" i="2"/>
  <c r="BF310" i="2"/>
  <c r="BL310" i="2"/>
  <c r="BO310" i="2"/>
  <c r="BR310" i="2"/>
  <c r="BU310" i="2"/>
  <c r="CA310" i="2"/>
  <c r="T334" i="2"/>
  <c r="AZ95" i="2"/>
  <c r="AE62" i="2"/>
  <c r="AC76" i="2"/>
  <c r="CZ569" i="2"/>
  <c r="CZ568" i="2"/>
  <c r="CZ567" i="2"/>
  <c r="BD62" i="2"/>
  <c r="BD578" i="2"/>
  <c r="CB62" i="2"/>
  <c r="CB578" i="2"/>
  <c r="CM62" i="2"/>
  <c r="CM578" i="2"/>
  <c r="AE80" i="2"/>
  <c r="AB89" i="2"/>
  <c r="AH80" i="2"/>
  <c r="AN89" i="2"/>
  <c r="AU80" i="2"/>
  <c r="BY80" i="2"/>
  <c r="BU86" i="2"/>
  <c r="BU578" i="2" s="1"/>
  <c r="CB80" i="2"/>
  <c r="CP80" i="2"/>
  <c r="CM89" i="2"/>
  <c r="CZ80" i="2"/>
  <c r="AZ108" i="2"/>
  <c r="BL108" i="2"/>
  <c r="DF115" i="2"/>
  <c r="CE133" i="2"/>
  <c r="CT133" i="2"/>
  <c r="V148" i="2"/>
  <c r="BJ153" i="2"/>
  <c r="O165" i="2"/>
  <c r="AK164" i="2"/>
  <c r="BU164" i="2"/>
  <c r="CM156" i="2"/>
  <c r="CS153" i="2"/>
  <c r="N337" i="2"/>
  <c r="N667" i="2"/>
  <c r="AX261" i="2"/>
  <c r="BA264" i="2"/>
  <c r="Q383" i="2"/>
  <c r="Q374" i="2"/>
  <c r="W374" i="2"/>
  <c r="W368" i="2" s="1"/>
  <c r="W383" i="2"/>
  <c r="W377" i="2" s="1"/>
  <c r="Z383" i="2"/>
  <c r="Z377" i="2" s="1"/>
  <c r="Z374" i="2"/>
  <c r="Z368" i="2" s="1"/>
  <c r="AL382" i="2"/>
  <c r="AL376" i="2" s="1"/>
  <c r="AL373" i="2"/>
  <c r="AL367" i="2" s="1"/>
  <c r="AO383" i="2"/>
  <c r="AO377" i="2" s="1"/>
  <c r="AO374" i="2"/>
  <c r="AO368" i="2" s="1"/>
  <c r="AR383" i="2"/>
  <c r="AR377" i="2" s="1"/>
  <c r="AR374" i="2"/>
  <c r="AR368" i="2" s="1"/>
  <c r="BD382" i="2"/>
  <c r="BD376" i="2" s="1"/>
  <c r="BD373" i="2"/>
  <c r="BD367" i="2" s="1"/>
  <c r="BG383" i="2"/>
  <c r="BG377" i="2" s="1"/>
  <c r="BG374" i="2"/>
  <c r="BG368" i="2" s="1"/>
  <c r="BJ383" i="2"/>
  <c r="BJ377" i="2" s="1"/>
  <c r="BJ374" i="2"/>
  <c r="BJ368" i="2" s="1"/>
  <c r="BV382" i="2"/>
  <c r="BV376" i="2" s="1"/>
  <c r="BV373" i="2"/>
  <c r="BV367" i="2" s="1"/>
  <c r="BY383" i="2"/>
  <c r="BY377" i="2" s="1"/>
  <c r="BY374" i="2"/>
  <c r="BY368" i="2" s="1"/>
  <c r="CB383" i="2"/>
  <c r="CB377" i="2" s="1"/>
  <c r="CB374" i="2"/>
  <c r="CB368" i="2" s="1"/>
  <c r="CK383" i="2"/>
  <c r="CK377" i="2" s="1"/>
  <c r="CK374" i="2"/>
  <c r="CK368" i="2" s="1"/>
  <c r="CQ265" i="2"/>
  <c r="CN382" i="2"/>
  <c r="CN376" i="2" s="1"/>
  <c r="CN373" i="2"/>
  <c r="CN367" i="2" s="1"/>
  <c r="CT373" i="2"/>
  <c r="CT367" i="2" s="1"/>
  <c r="CT382" i="2"/>
  <c r="CT376" i="2" s="1"/>
  <c r="CZ382" i="2"/>
  <c r="CZ376" i="2" s="1"/>
  <c r="CZ373" i="2"/>
  <c r="CZ367" i="2" s="1"/>
  <c r="AU309" i="2"/>
  <c r="CE309" i="2"/>
  <c r="AC310" i="2"/>
  <c r="AI310" i="2"/>
  <c r="AL310" i="2"/>
  <c r="BG310" i="2"/>
  <c r="BS310" i="2"/>
  <c r="V335" i="2"/>
  <c r="AE334" i="2"/>
  <c r="AB335" i="2"/>
  <c r="AE335" i="2"/>
  <c r="AH334" i="2"/>
  <c r="AK334" i="2"/>
  <c r="AH335" i="2"/>
  <c r="AW334" i="2"/>
  <c r="AT335" i="2"/>
  <c r="AW335" i="2"/>
  <c r="AZ334" i="2"/>
  <c r="AZ335" i="2"/>
  <c r="BO334" i="2"/>
  <c r="BL335" i="2"/>
  <c r="BO335" i="2"/>
  <c r="BR334" i="2"/>
  <c r="BU334" i="2"/>
  <c r="BR335" i="2"/>
  <c r="CG334" i="2"/>
  <c r="CD335" i="2"/>
  <c r="CG335" i="2"/>
  <c r="CJ335" i="2"/>
  <c r="CV62" i="2"/>
  <c r="BX95" i="2"/>
  <c r="AE568" i="2"/>
  <c r="AE569" i="2"/>
  <c r="AE567" i="2"/>
  <c r="AH62" i="2"/>
  <c r="AH578" i="2"/>
  <c r="S95" i="2"/>
  <c r="S148" i="2" s="1"/>
  <c r="S136" i="2" s="1"/>
  <c r="AQ86" i="2"/>
  <c r="BI95" i="2"/>
  <c r="CJ114" i="2"/>
  <c r="CE130" i="2"/>
  <c r="Y159" i="2"/>
  <c r="O195" i="2"/>
  <c r="AX264" i="2"/>
  <c r="S382" i="2"/>
  <c r="S376" i="2" s="1"/>
  <c r="S373" i="2"/>
  <c r="S367" i="2" s="1"/>
  <c r="Y382" i="2"/>
  <c r="Y376" i="2" s="1"/>
  <c r="Y373" i="2"/>
  <c r="Y367" i="2" s="1"/>
  <c r="AB262" i="2"/>
  <c r="AB383" i="2"/>
  <c r="AB377" i="2" s="1"/>
  <c r="AB374" i="2"/>
  <c r="AB368" i="2" s="1"/>
  <c r="AN382" i="2"/>
  <c r="AN376" i="2" s="1"/>
  <c r="AN373" i="2"/>
  <c r="AN367" i="2" s="1"/>
  <c r="AQ373" i="2"/>
  <c r="AQ367" i="2" s="1"/>
  <c r="AQ382" i="2"/>
  <c r="AQ376" i="2" s="1"/>
  <c r="AT374" i="2"/>
  <c r="AT368" i="2" s="1"/>
  <c r="AT383" i="2"/>
  <c r="AT377" i="2" s="1"/>
  <c r="BF373" i="2"/>
  <c r="BF367" i="2" s="1"/>
  <c r="BF382" i="2"/>
  <c r="BF376" i="2" s="1"/>
  <c r="BI264" i="2"/>
  <c r="BI373" i="2"/>
  <c r="BI367" i="2" s="1"/>
  <c r="BI382" i="2"/>
  <c r="BI376" i="2" s="1"/>
  <c r="BL262" i="2"/>
  <c r="BL374" i="2"/>
  <c r="BL368" i="2" s="1"/>
  <c r="BL383" i="2"/>
  <c r="BL377" i="2" s="1"/>
  <c r="BX382" i="2"/>
  <c r="BX376" i="2" s="1"/>
  <c r="BX373" i="2"/>
  <c r="BX367" i="2" s="1"/>
  <c r="CA373" i="2"/>
  <c r="CA367" i="2" s="1"/>
  <c r="CA382" i="2"/>
  <c r="CA376" i="2" s="1"/>
  <c r="CD374" i="2"/>
  <c r="CD368" i="2" s="1"/>
  <c r="CD383" i="2"/>
  <c r="CD377" i="2" s="1"/>
  <c r="DE382" i="2"/>
  <c r="DE376" i="2" s="1"/>
  <c r="DE373" i="2"/>
  <c r="DE367" i="2" s="1"/>
  <c r="CM374" i="2"/>
  <c r="CM368" i="2" s="1"/>
  <c r="CM383" i="2"/>
  <c r="CM377" i="2" s="1"/>
  <c r="CS262" i="2"/>
  <c r="CS383" i="2"/>
  <c r="CS377" i="2" s="1"/>
  <c r="CS374" i="2"/>
  <c r="CS368" i="2" s="1"/>
  <c r="CY383" i="2"/>
  <c r="CY377" i="2" s="1"/>
  <c r="CY374" i="2"/>
  <c r="CY368" i="2" s="1"/>
  <c r="CH62" i="2"/>
  <c r="CH578" i="2"/>
  <c r="BM62" i="2"/>
  <c r="BM578" i="2"/>
  <c r="DF46" i="2"/>
  <c r="AI62" i="2"/>
  <c r="AI578" i="2"/>
  <c r="AR569" i="2"/>
  <c r="AR568" i="2"/>
  <c r="AR567" i="2"/>
  <c r="BF62" i="2"/>
  <c r="AU62" i="2"/>
  <c r="AU578" i="2"/>
  <c r="DB62" i="2"/>
  <c r="AQ16" i="2"/>
  <c r="AQ42" i="2" s="1"/>
  <c r="AE89" i="2"/>
  <c r="AN80" i="2"/>
  <c r="AX80" i="2"/>
  <c r="CH80" i="2"/>
  <c r="CG95" i="2"/>
  <c r="CP89" i="2"/>
  <c r="CS95" i="2"/>
  <c r="O96" i="2"/>
  <c r="O90" i="2" s="1"/>
  <c r="AZ111" i="2"/>
  <c r="Q133" i="2"/>
  <c r="S159" i="2"/>
  <c r="CB156" i="2"/>
  <c r="N169" i="2"/>
  <c r="CV153" i="2"/>
  <c r="O192" i="2"/>
  <c r="Y264" i="2"/>
  <c r="AL265" i="2"/>
  <c r="AT262" i="2"/>
  <c r="BF264" i="2"/>
  <c r="CH261" i="2"/>
  <c r="CK264" i="2"/>
  <c r="T373" i="2"/>
  <c r="T367" i="2" s="1"/>
  <c r="T382" i="2"/>
  <c r="T376" i="2" s="1"/>
  <c r="Z382" i="2"/>
  <c r="Z376" i="2" s="1"/>
  <c r="Z373" i="2"/>
  <c r="Z367" i="2" s="1"/>
  <c r="AC383" i="2"/>
  <c r="AC377" i="2" s="1"/>
  <c r="AC374" i="2"/>
  <c r="AC368" i="2" s="1"/>
  <c r="AO264" i="2"/>
  <c r="AO382" i="2"/>
  <c r="AO376" i="2" s="1"/>
  <c r="AO373" i="2"/>
  <c r="AO367" i="2" s="1"/>
  <c r="AR382" i="2"/>
  <c r="AR376" i="2" s="1"/>
  <c r="AR373" i="2"/>
  <c r="AR367" i="2" s="1"/>
  <c r="AU383" i="2"/>
  <c r="AU377" i="2" s="1"/>
  <c r="AU374" i="2"/>
  <c r="AU368" i="2" s="1"/>
  <c r="BG382" i="2"/>
  <c r="BG376" i="2" s="1"/>
  <c r="BG373" i="2"/>
  <c r="BG367" i="2" s="1"/>
  <c r="BJ264" i="2"/>
  <c r="BJ373" i="2"/>
  <c r="BJ367" i="2" s="1"/>
  <c r="BJ382" i="2"/>
  <c r="BJ376" i="2" s="1"/>
  <c r="BM265" i="2"/>
  <c r="BM374" i="2"/>
  <c r="BM368" i="2" s="1"/>
  <c r="BM383" i="2"/>
  <c r="BM377" i="2" s="1"/>
  <c r="BY261" i="2"/>
  <c r="BY382" i="2"/>
  <c r="BY376" i="2" s="1"/>
  <c r="BY373" i="2"/>
  <c r="BY367" i="2" s="1"/>
  <c r="CB373" i="2"/>
  <c r="CB367" i="2" s="1"/>
  <c r="CB382" i="2"/>
  <c r="CB376" i="2" s="1"/>
  <c r="CE374" i="2"/>
  <c r="CE368" i="2" s="1"/>
  <c r="CE383" i="2"/>
  <c r="CE377" i="2" s="1"/>
  <c r="DF382" i="2"/>
  <c r="DF376" i="2" s="1"/>
  <c r="DF373" i="2"/>
  <c r="DF367" i="2" s="1"/>
  <c r="CW262" i="2"/>
  <c r="DC262" i="2"/>
  <c r="CN374" i="2"/>
  <c r="CN368" i="2" s="1"/>
  <c r="CN383" i="2"/>
  <c r="CN377" i="2" s="1"/>
  <c r="CT383" i="2"/>
  <c r="CT377" i="2" s="1"/>
  <c r="CT374" i="2"/>
  <c r="CT368" i="2" s="1"/>
  <c r="CZ383" i="2"/>
  <c r="CZ377" i="2" s="1"/>
  <c r="CZ374" i="2"/>
  <c r="CZ368" i="2" s="1"/>
  <c r="Q309" i="2"/>
  <c r="Z309" i="2"/>
  <c r="AI309" i="2"/>
  <c r="AX309" i="2"/>
  <c r="BD309" i="2"/>
  <c r="BG309" i="2"/>
  <c r="BJ309" i="2"/>
  <c r="BS309" i="2"/>
  <c r="CH309" i="2"/>
  <c r="CK309" i="2"/>
  <c r="AR310" i="2"/>
  <c r="BP310" i="2"/>
  <c r="CB310" i="2"/>
  <c r="DF310" i="2"/>
  <c r="P334" i="2"/>
  <c r="CT62" i="2"/>
  <c r="CT578" i="2"/>
  <c r="AX62" i="2"/>
  <c r="AX578" i="2"/>
  <c r="BG62" i="2"/>
  <c r="BG578" i="2"/>
  <c r="BJ569" i="2"/>
  <c r="BJ568" i="2"/>
  <c r="BJ567" i="2"/>
  <c r="BS62" i="2"/>
  <c r="BS578" i="2"/>
  <c r="AK76" i="2"/>
  <c r="AK41" i="2"/>
  <c r="BI62" i="2"/>
  <c r="BI578" i="2"/>
  <c r="BU62" i="2"/>
  <c r="CQ62" i="2"/>
  <c r="CQ578" i="2"/>
  <c r="S16" i="2"/>
  <c r="S42" i="2" s="1"/>
  <c r="S30" i="2" s="1"/>
  <c r="BI16" i="2"/>
  <c r="BI42" i="2" s="1"/>
  <c r="CW89" i="2"/>
  <c r="N92" i="2"/>
  <c r="AE133" i="2"/>
  <c r="AE136" i="2"/>
  <c r="AN130" i="2"/>
  <c r="AN133" i="2"/>
  <c r="BM148" i="2"/>
  <c r="BM136" i="2" s="1"/>
  <c r="CN153" i="2"/>
  <c r="CQ153" i="2"/>
  <c r="CS164" i="2"/>
  <c r="CW164" i="2"/>
  <c r="AT265" i="2"/>
  <c r="BX261" i="2"/>
  <c r="S383" i="2"/>
  <c r="S377" i="2" s="1"/>
  <c r="S374" i="2"/>
  <c r="S368" i="2" s="1"/>
  <c r="AB382" i="2"/>
  <c r="AB376" i="2" s="1"/>
  <c r="AB373" i="2"/>
  <c r="AB367" i="2" s="1"/>
  <c r="AE383" i="2"/>
  <c r="AE377" i="2" s="1"/>
  <c r="AE374" i="2"/>
  <c r="AE368" i="2" s="1"/>
  <c r="AH383" i="2"/>
  <c r="AH377" i="2" s="1"/>
  <c r="AH374" i="2"/>
  <c r="AH368" i="2" s="1"/>
  <c r="AT382" i="2"/>
  <c r="AT376" i="2" s="1"/>
  <c r="AT373" i="2"/>
  <c r="AT367" i="2" s="1"/>
  <c r="AW383" i="2"/>
  <c r="AW377" i="2" s="1"/>
  <c r="AW374" i="2"/>
  <c r="AW368" i="2" s="1"/>
  <c r="AZ383" i="2"/>
  <c r="AZ377" i="2" s="1"/>
  <c r="AZ374" i="2"/>
  <c r="AZ368" i="2" s="1"/>
  <c r="BL382" i="2"/>
  <c r="BL376" i="2" s="1"/>
  <c r="BL373" i="2"/>
  <c r="BL367" i="2" s="1"/>
  <c r="BO383" i="2"/>
  <c r="BO377" i="2" s="1"/>
  <c r="BO374" i="2"/>
  <c r="BO368" i="2" s="1"/>
  <c r="BR383" i="2"/>
  <c r="BR377" i="2" s="1"/>
  <c r="BR374" i="2"/>
  <c r="BR368" i="2" s="1"/>
  <c r="CD382" i="2"/>
  <c r="CD376" i="2" s="1"/>
  <c r="CD373" i="2"/>
  <c r="CD367" i="2" s="1"/>
  <c r="CG383" i="2"/>
  <c r="CG377" i="2" s="1"/>
  <c r="CG374" i="2"/>
  <c r="CG368" i="2" s="1"/>
  <c r="DE374" i="2"/>
  <c r="DE368" i="2" s="1"/>
  <c r="DE383" i="2"/>
  <c r="DE377" i="2" s="1"/>
  <c r="CP382" i="2"/>
  <c r="CP376" i="2" s="1"/>
  <c r="CP373" i="2"/>
  <c r="CP367" i="2" s="1"/>
  <c r="CV382" i="2"/>
  <c r="CV376" i="2" s="1"/>
  <c r="CV373" i="2"/>
  <c r="CV367" i="2" s="1"/>
  <c r="DB382" i="2"/>
  <c r="DB376" i="2" s="1"/>
  <c r="DB373" i="2"/>
  <c r="DB367" i="2" s="1"/>
  <c r="Y310" i="2"/>
  <c r="AN310" i="2"/>
  <c r="AT310" i="2"/>
  <c r="AW310" i="2"/>
  <c r="AZ310" i="2"/>
  <c r="BC310" i="2"/>
  <c r="BI310" i="2"/>
  <c r="BX310" i="2"/>
  <c r="CD310" i="2"/>
  <c r="CG310" i="2"/>
  <c r="CJ310" i="2"/>
  <c r="DE310" i="2"/>
  <c r="CP156" i="2"/>
  <c r="AC59" i="2"/>
  <c r="AC45" i="2" s="1"/>
  <c r="Q62" i="2"/>
  <c r="Q578" i="2"/>
  <c r="BJ62" i="2"/>
  <c r="BP62" i="2"/>
  <c r="BP578" i="2"/>
  <c r="BX62" i="2"/>
  <c r="BX578" i="2"/>
  <c r="CA62" i="2"/>
  <c r="AL62" i="2"/>
  <c r="AL578" i="2"/>
  <c r="BV62" i="2"/>
  <c r="BV578" i="2"/>
  <c r="CS62" i="2"/>
  <c r="DE573" i="2"/>
  <c r="DE572" i="2"/>
  <c r="DE571" i="2"/>
  <c r="BL80" i="2"/>
  <c r="DC89" i="2"/>
  <c r="Y130" i="2"/>
  <c r="BA133" i="2"/>
  <c r="BG136" i="2"/>
  <c r="V164" i="2"/>
  <c r="AT152" i="2"/>
  <c r="CK172" i="2"/>
  <c r="CM164" i="2"/>
  <c r="CP164" i="2"/>
  <c r="CS155" i="2"/>
  <c r="AL262" i="2"/>
  <c r="AQ261" i="2"/>
  <c r="T383" i="2"/>
  <c r="T377" i="2" s="1"/>
  <c r="T374" i="2"/>
  <c r="T368" i="2" s="1"/>
  <c r="AC382" i="2"/>
  <c r="AC376" i="2" s="1"/>
  <c r="AC373" i="2"/>
  <c r="AC367" i="2" s="1"/>
  <c r="AF383" i="2"/>
  <c r="AF377" i="2" s="1"/>
  <c r="AF374" i="2"/>
  <c r="AF368" i="2" s="1"/>
  <c r="AI383" i="2"/>
  <c r="AI377" i="2" s="1"/>
  <c r="AI374" i="2"/>
  <c r="AI368" i="2" s="1"/>
  <c r="AU382" i="2"/>
  <c r="AU376" i="2" s="1"/>
  <c r="AU373" i="2"/>
  <c r="AU367" i="2" s="1"/>
  <c r="AX383" i="2"/>
  <c r="AX377" i="2" s="1"/>
  <c r="AX374" i="2"/>
  <c r="AX368" i="2" s="1"/>
  <c r="BA383" i="2"/>
  <c r="BA377" i="2" s="1"/>
  <c r="BA374" i="2"/>
  <c r="BA368" i="2" s="1"/>
  <c r="BM382" i="2"/>
  <c r="BM376" i="2" s="1"/>
  <c r="BM373" i="2"/>
  <c r="BM367" i="2" s="1"/>
  <c r="BP383" i="2"/>
  <c r="BP377" i="2" s="1"/>
  <c r="BP374" i="2"/>
  <c r="BP368" i="2" s="1"/>
  <c r="BS383" i="2"/>
  <c r="BS377" i="2" s="1"/>
  <c r="BS374" i="2"/>
  <c r="BS368" i="2" s="1"/>
  <c r="CE382" i="2"/>
  <c r="CE376" i="2" s="1"/>
  <c r="CE373" i="2"/>
  <c r="CE367" i="2" s="1"/>
  <c r="CH383" i="2"/>
  <c r="CH377" i="2" s="1"/>
  <c r="CH374" i="2"/>
  <c r="CH368" i="2" s="1"/>
  <c r="DF383" i="2"/>
  <c r="DF377" i="2" s="1"/>
  <c r="DF374" i="2"/>
  <c r="DF368" i="2" s="1"/>
  <c r="CT264" i="2"/>
  <c r="CZ264" i="2"/>
  <c r="CQ264" i="2"/>
  <c r="CQ382" i="2"/>
  <c r="CQ376" i="2" s="1"/>
  <c r="CQ373" i="2"/>
  <c r="CQ367" i="2" s="1"/>
  <c r="CW382" i="2"/>
  <c r="CW376" i="2" s="1"/>
  <c r="CW373" i="2"/>
  <c r="CW367" i="2" s="1"/>
  <c r="DC382" i="2"/>
  <c r="DC376" i="2" s="1"/>
  <c r="DC373" i="2"/>
  <c r="DC367" i="2" s="1"/>
  <c r="AC309" i="2"/>
  <c r="BM309" i="2"/>
  <c r="AO310" i="2"/>
  <c r="BA310" i="2"/>
  <c r="BY310" i="2"/>
  <c r="CK310" i="2"/>
  <c r="P335" i="2"/>
  <c r="AB334" i="2"/>
  <c r="Y335" i="2"/>
  <c r="AK335" i="2"/>
  <c r="AN335" i="2"/>
  <c r="AQ334" i="2"/>
  <c r="AT334" i="2"/>
  <c r="AQ335" i="2"/>
  <c r="BF334" i="2"/>
  <c r="BC335" i="2"/>
  <c r="BF335" i="2"/>
  <c r="BI335" i="2"/>
  <c r="BX334" i="2"/>
  <c r="BU335" i="2"/>
  <c r="BX335" i="2"/>
  <c r="CA335" i="2"/>
  <c r="DE334" i="2"/>
  <c r="DE335" i="2"/>
  <c r="T62" i="2"/>
  <c r="T578" i="2"/>
  <c r="CG578" i="2"/>
  <c r="CJ76" i="2"/>
  <c r="CJ62" i="2" s="1"/>
  <c r="AN569" i="2"/>
  <c r="AN568" i="2"/>
  <c r="AN567" i="2"/>
  <c r="BL62" i="2"/>
  <c r="BL578" i="2"/>
  <c r="Z80" i="2"/>
  <c r="AW86" i="2"/>
  <c r="CY95" i="2"/>
  <c r="BG130" i="2"/>
  <c r="BJ164" i="2"/>
  <c r="CG158" i="2"/>
  <c r="O343" i="2"/>
  <c r="O668" i="2"/>
  <c r="O654" i="2" s="1"/>
  <c r="Y261" i="2"/>
  <c r="AQ264" i="2"/>
  <c r="BD262" i="2"/>
  <c r="CA261" i="2"/>
  <c r="CD262" i="2"/>
  <c r="DE261" i="2"/>
  <c r="P382" i="2"/>
  <c r="P373" i="2"/>
  <c r="V382" i="2"/>
  <c r="V376" i="2" s="1"/>
  <c r="V373" i="2"/>
  <c r="V367" i="2" s="1"/>
  <c r="AE382" i="2"/>
  <c r="AE376" i="2" s="1"/>
  <c r="AE373" i="2"/>
  <c r="AE367" i="2" s="1"/>
  <c r="AH264" i="2"/>
  <c r="AH373" i="2"/>
  <c r="AH367" i="2" s="1"/>
  <c r="AH382" i="2"/>
  <c r="AH376" i="2" s="1"/>
  <c r="AK383" i="2"/>
  <c r="AK377" i="2" s="1"/>
  <c r="AK374" i="2"/>
  <c r="AK368" i="2" s="1"/>
  <c r="AW382" i="2"/>
  <c r="AW376" i="2" s="1"/>
  <c r="AW373" i="2"/>
  <c r="AW367" i="2" s="1"/>
  <c r="AZ373" i="2"/>
  <c r="AZ367" i="2" s="1"/>
  <c r="AZ382" i="2"/>
  <c r="AZ376" i="2" s="1"/>
  <c r="BC374" i="2"/>
  <c r="BC368" i="2" s="1"/>
  <c r="BC383" i="2"/>
  <c r="BC377" i="2" s="1"/>
  <c r="BO264" i="2"/>
  <c r="BO382" i="2"/>
  <c r="BO376" i="2" s="1"/>
  <c r="BO373" i="2"/>
  <c r="BO367" i="2" s="1"/>
  <c r="BR264" i="2"/>
  <c r="BR373" i="2"/>
  <c r="BR367" i="2" s="1"/>
  <c r="BR382" i="2"/>
  <c r="BR376" i="2" s="1"/>
  <c r="BU374" i="2"/>
  <c r="BU368" i="2" s="1"/>
  <c r="BU383" i="2"/>
  <c r="BU377" i="2" s="1"/>
  <c r="CG382" i="2"/>
  <c r="CG376" i="2" s="1"/>
  <c r="CG373" i="2"/>
  <c r="CG367" i="2" s="1"/>
  <c r="CJ373" i="2"/>
  <c r="CJ367" i="2" s="1"/>
  <c r="CJ382" i="2"/>
  <c r="CJ376" i="2" s="1"/>
  <c r="CS265" i="2"/>
  <c r="CY265" i="2"/>
  <c r="CP383" i="2"/>
  <c r="CP377" i="2" s="1"/>
  <c r="CP374" i="2"/>
  <c r="CP368" i="2" s="1"/>
  <c r="CV374" i="2"/>
  <c r="CV368" i="2" s="1"/>
  <c r="CV383" i="2"/>
  <c r="CV377" i="2" s="1"/>
  <c r="DB374" i="2"/>
  <c r="DB368" i="2" s="1"/>
  <c r="DB383" i="2"/>
  <c r="DB377" i="2" s="1"/>
  <c r="S309" i="2"/>
  <c r="AE309" i="2"/>
  <c r="AK309" i="2"/>
  <c r="AQ309" i="2"/>
  <c r="BO309" i="2"/>
  <c r="CA309" i="2"/>
  <c r="DE309" i="2"/>
  <c r="W334" i="2"/>
  <c r="Z334" i="2"/>
  <c r="AO334" i="2"/>
  <c r="AL335" i="2"/>
  <c r="AR334" i="2"/>
  <c r="BG334" i="2"/>
  <c r="BD335" i="2"/>
  <c r="BJ334" i="2"/>
  <c r="BY334" i="2"/>
  <c r="BV335" i="2"/>
  <c r="CB334" i="2"/>
  <c r="DF334" i="2"/>
  <c r="DF888" i="2"/>
  <c r="CJ172" i="2"/>
  <c r="CJ171" i="2" s="1"/>
  <c r="O322" i="2"/>
  <c r="Q310" i="2"/>
  <c r="O328" i="2"/>
  <c r="O661" i="2"/>
  <c r="N328" i="2"/>
  <c r="N661" i="2"/>
  <c r="N322" i="2"/>
  <c r="N660" i="2"/>
  <c r="DE876" i="2"/>
  <c r="CD334" i="2"/>
  <c r="CA334" i="2"/>
  <c r="N326" i="2"/>
  <c r="BU309" i="2"/>
  <c r="BL334" i="2"/>
  <c r="BI334" i="2"/>
  <c r="BI309" i="2"/>
  <c r="BC334" i="2"/>
  <c r="AW309" i="2"/>
  <c r="N325" i="2"/>
  <c r="AN334" i="2"/>
  <c r="Y334" i="2"/>
  <c r="N340" i="2"/>
  <c r="N334" i="2" s="1"/>
  <c r="S334" i="2"/>
  <c r="BA171" i="2"/>
  <c r="BA158" i="2"/>
  <c r="AX171" i="2"/>
  <c r="AX158" i="2"/>
  <c r="AX152" i="2"/>
  <c r="BP172" i="2"/>
  <c r="BP158" i="2" s="1"/>
  <c r="BP80" i="2"/>
  <c r="CM133" i="2"/>
  <c r="CM136" i="2"/>
  <c r="CM130" i="2"/>
  <c r="CT80" i="2"/>
  <c r="CT172" i="2"/>
  <c r="DC172" i="2"/>
  <c r="DC80" i="2"/>
  <c r="DF173" i="2"/>
  <c r="DF159" i="2" s="1"/>
  <c r="DF81" i="2"/>
  <c r="DE90" i="2"/>
  <c r="N93" i="2"/>
  <c r="N90" i="2" s="1"/>
  <c r="CD89" i="2"/>
  <c r="V136" i="2"/>
  <c r="V130" i="2"/>
  <c r="CY164" i="2"/>
  <c r="CY155" i="2"/>
  <c r="DB164" i="2"/>
  <c r="DB155" i="2"/>
  <c r="CQ164" i="2"/>
  <c r="CQ155" i="2"/>
  <c r="CQ152" i="2"/>
  <c r="AZ172" i="2"/>
  <c r="AZ158" i="2" s="1"/>
  <c r="AZ80" i="2"/>
  <c r="BX172" i="2"/>
  <c r="BX80" i="2"/>
  <c r="AO171" i="2"/>
  <c r="AO158" i="2"/>
  <c r="AT148" i="2"/>
  <c r="AT89" i="2"/>
  <c r="AZ148" i="2"/>
  <c r="AZ89" i="2"/>
  <c r="DC59" i="2"/>
  <c r="DC45" i="2" s="1"/>
  <c r="DC76" i="2"/>
  <c r="AK86" i="2"/>
  <c r="AK172" i="2" s="1"/>
  <c r="AK171" i="2" s="1"/>
  <c r="AK95" i="2"/>
  <c r="BC95" i="2"/>
  <c r="BC16" i="2"/>
  <c r="BC42" i="2" s="1"/>
  <c r="BC86" i="2"/>
  <c r="BO86" i="2"/>
  <c r="BO578" i="2" s="1"/>
  <c r="BO95" i="2"/>
  <c r="CA95" i="2"/>
  <c r="CA86" i="2"/>
  <c r="CA172" i="2" s="1"/>
  <c r="CA171" i="2" s="1"/>
  <c r="CA16" i="2"/>
  <c r="CA42" i="2" s="1"/>
  <c r="Q80" i="2"/>
  <c r="O86" i="2"/>
  <c r="P172" i="2"/>
  <c r="AO80" i="2"/>
  <c r="AI172" i="2"/>
  <c r="AI80" i="2"/>
  <c r="AU148" i="2"/>
  <c r="AU89" i="2"/>
  <c r="BG172" i="2"/>
  <c r="BG80" i="2"/>
  <c r="BR148" i="2"/>
  <c r="BR89" i="2"/>
  <c r="BY148" i="2"/>
  <c r="BY89" i="2"/>
  <c r="S80" i="2"/>
  <c r="V133" i="2"/>
  <c r="BM130" i="2"/>
  <c r="BM133" i="2"/>
  <c r="Q172" i="2"/>
  <c r="Q152" i="2" s="1"/>
  <c r="AR171" i="2"/>
  <c r="AR158" i="2"/>
  <c r="AR152" i="2"/>
  <c r="CP171" i="2"/>
  <c r="CP158" i="2"/>
  <c r="O87" i="2"/>
  <c r="O583" i="2" s="1"/>
  <c r="AL89" i="2"/>
  <c r="BA80" i="2"/>
  <c r="BC168" i="2"/>
  <c r="BL148" i="2"/>
  <c r="BL136" i="2" s="1"/>
  <c r="BL89" i="2"/>
  <c r="BS136" i="2"/>
  <c r="BS130" i="2"/>
  <c r="CW80" i="2"/>
  <c r="CW172" i="2"/>
  <c r="BS133" i="2"/>
  <c r="CB136" i="2"/>
  <c r="CB133" i="2"/>
  <c r="CE172" i="2"/>
  <c r="P265" i="2"/>
  <c r="P262" i="2"/>
  <c r="S265" i="2"/>
  <c r="S262" i="2"/>
  <c r="V262" i="2"/>
  <c r="V265" i="2"/>
  <c r="AB264" i="2"/>
  <c r="AB261" i="2"/>
  <c r="Y262" i="2"/>
  <c r="Y265" i="2"/>
  <c r="AE262" i="2"/>
  <c r="AE265" i="2"/>
  <c r="AK264" i="2"/>
  <c r="AK261" i="2"/>
  <c r="AH262" i="2"/>
  <c r="AH265" i="2"/>
  <c r="AN262" i="2"/>
  <c r="AN265" i="2"/>
  <c r="AT264" i="2"/>
  <c r="AT261" i="2"/>
  <c r="AQ265" i="2"/>
  <c r="AQ262" i="2"/>
  <c r="AW265" i="2"/>
  <c r="AW262" i="2"/>
  <c r="BC264" i="2"/>
  <c r="BC261" i="2"/>
  <c r="AZ265" i="2"/>
  <c r="AZ262" i="2"/>
  <c r="BF265" i="2"/>
  <c r="BF262" i="2"/>
  <c r="BL264" i="2"/>
  <c r="BL261" i="2"/>
  <c r="BI265" i="2"/>
  <c r="BI262" i="2"/>
  <c r="BO262" i="2"/>
  <c r="BO265" i="2"/>
  <c r="BU264" i="2"/>
  <c r="BU261" i="2"/>
  <c r="BR265" i="2"/>
  <c r="BR262" i="2"/>
  <c r="AI59" i="2"/>
  <c r="AI45" i="2" s="1"/>
  <c r="V41" i="2"/>
  <c r="V59" i="2"/>
  <c r="AB76" i="2"/>
  <c r="AB59" i="2"/>
  <c r="AB45" i="2" s="1"/>
  <c r="AT76" i="2"/>
  <c r="AT41" i="2"/>
  <c r="AZ76" i="2"/>
  <c r="AZ59" i="2"/>
  <c r="AZ45" i="2" s="1"/>
  <c r="BR41" i="2"/>
  <c r="BR76" i="2"/>
  <c r="BX59" i="2"/>
  <c r="BX45" i="2" s="1"/>
  <c r="BX41" i="2"/>
  <c r="CD76" i="2"/>
  <c r="CD41" i="2"/>
  <c r="N17" i="2"/>
  <c r="P95" i="2"/>
  <c r="P16" i="2"/>
  <c r="P42" i="2" s="1"/>
  <c r="AQ148" i="2"/>
  <c r="AQ89" i="2"/>
  <c r="BF86" i="2"/>
  <c r="BF172" i="2" s="1"/>
  <c r="BF158" i="2" s="1"/>
  <c r="BF16" i="2"/>
  <c r="BF42" i="2" s="1"/>
  <c r="BR86" i="2"/>
  <c r="BR16" i="2"/>
  <c r="BR42" i="2" s="1"/>
  <c r="CD86" i="2"/>
  <c r="CD16" i="2"/>
  <c r="CD42" i="2" s="1"/>
  <c r="T158" i="2"/>
  <c r="T171" i="2"/>
  <c r="S89" i="2"/>
  <c r="Z171" i="2"/>
  <c r="Z158" i="2"/>
  <c r="Z152" i="2"/>
  <c r="AF171" i="2"/>
  <c r="AF158" i="2"/>
  <c r="AC130" i="2"/>
  <c r="AC133" i="2"/>
  <c r="BJ80" i="2"/>
  <c r="BL158" i="2"/>
  <c r="BL152" i="2"/>
  <c r="BP136" i="2"/>
  <c r="BP133" i="2"/>
  <c r="BS89" i="2"/>
  <c r="CY89" i="2"/>
  <c r="CY148" i="2"/>
  <c r="AK80" i="2"/>
  <c r="L109" i="2"/>
  <c r="L112" i="2"/>
  <c r="BM108" i="2"/>
  <c r="BM111" i="2"/>
  <c r="CK108" i="2"/>
  <c r="CQ108" i="2"/>
  <c r="CK111" i="2"/>
  <c r="CQ111" i="2"/>
  <c r="DC114" i="2"/>
  <c r="N112" i="2"/>
  <c r="N329" i="2"/>
  <c r="BP130" i="2"/>
  <c r="BV171" i="2"/>
  <c r="BS171" i="2"/>
  <c r="BS152" i="2"/>
  <c r="BS158" i="2"/>
  <c r="P41" i="2"/>
  <c r="P59" i="2"/>
  <c r="AO59" i="2"/>
  <c r="AO45" i="2" s="1"/>
  <c r="AO76" i="2"/>
  <c r="BA76" i="2"/>
  <c r="BA59" i="2"/>
  <c r="BA45" i="2" s="1"/>
  <c r="BY76" i="2"/>
  <c r="BY59" i="2"/>
  <c r="BY45" i="2" s="1"/>
  <c r="BY41" i="2"/>
  <c r="CE76" i="2"/>
  <c r="CE41" i="2"/>
  <c r="BU148" i="2"/>
  <c r="BU133" i="2" s="1"/>
  <c r="BU89" i="2"/>
  <c r="W172" i="2"/>
  <c r="W152" i="2" s="1"/>
  <c r="W80" i="2"/>
  <c r="T136" i="2"/>
  <c r="T133" i="2"/>
  <c r="BJ89" i="2"/>
  <c r="BJ148" i="2"/>
  <c r="CH133" i="2"/>
  <c r="CH130" i="2"/>
  <c r="CH136" i="2"/>
  <c r="CN171" i="2"/>
  <c r="CN158" i="2"/>
  <c r="CK136" i="2"/>
  <c r="CK133" i="2"/>
  <c r="CQ130" i="2"/>
  <c r="CQ133" i="2"/>
  <c r="CS148" i="2"/>
  <c r="CS136" i="2" s="1"/>
  <c r="CS89" i="2"/>
  <c r="CZ148" i="2"/>
  <c r="CZ89" i="2"/>
  <c r="BF80" i="2"/>
  <c r="CA80" i="2"/>
  <c r="M17" i="2"/>
  <c r="CS86" i="2"/>
  <c r="CS578" i="2" s="1"/>
  <c r="DB95" i="2"/>
  <c r="DB16" i="2"/>
  <c r="DB15" i="2" s="1"/>
  <c r="O330" i="2"/>
  <c r="O310" i="2" s="1"/>
  <c r="O115" i="2"/>
  <c r="CK130" i="2"/>
  <c r="P114" i="2"/>
  <c r="P108" i="2"/>
  <c r="AC111" i="2"/>
  <c r="AC108" i="2"/>
  <c r="AI114" i="2"/>
  <c r="AI111" i="2"/>
  <c r="AI108" i="2"/>
  <c r="AO114" i="2"/>
  <c r="AO111" i="2"/>
  <c r="AO108" i="2"/>
  <c r="BA114" i="2"/>
  <c r="BA111" i="2"/>
  <c r="BA108" i="2"/>
  <c r="BG114" i="2"/>
  <c r="BG111" i="2"/>
  <c r="BG108" i="2"/>
  <c r="BS114" i="2"/>
  <c r="BS108" i="2"/>
  <c r="CE114" i="2"/>
  <c r="CE111" i="2"/>
  <c r="CE108" i="2"/>
  <c r="CW114" i="2"/>
  <c r="CW111" i="2"/>
  <c r="CW108" i="2"/>
  <c r="AW148" i="2"/>
  <c r="AC158" i="2"/>
  <c r="AC171" i="2"/>
  <c r="AC152" i="2"/>
  <c r="BM171" i="2"/>
  <c r="BM158" i="2"/>
  <c r="CS168" i="2"/>
  <c r="T153" i="2"/>
  <c r="T156" i="2"/>
  <c r="AR156" i="2"/>
  <c r="AR153" i="2"/>
  <c r="BS156" i="2"/>
  <c r="BS153" i="2"/>
  <c r="BY156" i="2"/>
  <c r="BY153" i="2"/>
  <c r="DF156" i="2"/>
  <c r="AC159" i="2"/>
  <c r="AC153" i="2"/>
  <c r="CJ159" i="2"/>
  <c r="CJ153" i="2"/>
  <c r="DC164" i="2"/>
  <c r="DC152" i="2"/>
  <c r="V16" i="2"/>
  <c r="V42" i="2" s="1"/>
  <c r="AZ16" i="2"/>
  <c r="AZ42" i="2" s="1"/>
  <c r="BL16" i="2"/>
  <c r="BL42" i="2" s="1"/>
  <c r="BX16" i="2"/>
  <c r="BX42" i="2" s="1"/>
  <c r="V86" i="2"/>
  <c r="V578" i="2" s="1"/>
  <c r="BY171" i="2"/>
  <c r="BY158" i="2"/>
  <c r="DC136" i="2"/>
  <c r="DC133" i="2"/>
  <c r="DF131" i="2"/>
  <c r="DF137" i="2"/>
  <c r="CY80" i="2"/>
  <c r="CY172" i="2"/>
  <c r="O112" i="2"/>
  <c r="Y136" i="2"/>
  <c r="BA130" i="2"/>
  <c r="CT130" i="2"/>
  <c r="DF134" i="2"/>
  <c r="AF153" i="2"/>
  <c r="AC164" i="2"/>
  <c r="AL152" i="2"/>
  <c r="BI158" i="2"/>
  <c r="BY152" i="2"/>
  <c r="CD168" i="2"/>
  <c r="CN159" i="2"/>
  <c r="CN164" i="2"/>
  <c r="CN155" i="2"/>
  <c r="CN152" i="2"/>
  <c r="N16" i="2"/>
  <c r="P164" i="2"/>
  <c r="N166" i="2"/>
  <c r="N156" i="2" s="1"/>
  <c r="P156" i="2"/>
  <c r="W156" i="2"/>
  <c r="W153" i="2"/>
  <c r="Z156" i="2"/>
  <c r="Z153" i="2"/>
  <c r="AU152" i="2"/>
  <c r="BD164" i="2"/>
  <c r="BD155" i="2"/>
  <c r="BD152" i="2"/>
  <c r="BG156" i="2"/>
  <c r="BG153" i="2"/>
  <c r="BG164" i="2"/>
  <c r="BM164" i="2"/>
  <c r="BM155" i="2"/>
  <c r="BV152" i="2"/>
  <c r="BV155" i="2"/>
  <c r="CK156" i="2"/>
  <c r="CK153" i="2"/>
  <c r="AU171" i="2"/>
  <c r="AU159" i="2"/>
  <c r="Q89" i="2"/>
  <c r="S165" i="2"/>
  <c r="S155" i="2" s="1"/>
  <c r="S126" i="2"/>
  <c r="S11" i="2"/>
  <c r="AB158" i="2"/>
  <c r="AB152" i="2"/>
  <c r="BD171" i="2"/>
  <c r="BD158" i="2"/>
  <c r="CQ171" i="2"/>
  <c r="CQ158" i="2"/>
  <c r="CZ171" i="2"/>
  <c r="CZ158" i="2"/>
  <c r="DF90" i="2"/>
  <c r="N149" i="2"/>
  <c r="N131" i="2" s="1"/>
  <c r="DE137" i="2"/>
  <c r="DE134" i="2"/>
  <c r="P80" i="2"/>
  <c r="CV89" i="2"/>
  <c r="O95" i="2"/>
  <c r="BR108" i="2"/>
  <c r="CD108" i="2"/>
  <c r="CD111" i="2"/>
  <c r="CV108" i="2"/>
  <c r="CV111" i="2"/>
  <c r="W130" i="2"/>
  <c r="W133" i="2"/>
  <c r="CV148" i="2"/>
  <c r="AL158" i="2"/>
  <c r="BM152" i="2"/>
  <c r="BP156" i="2"/>
  <c r="CB164" i="2"/>
  <c r="Q164" i="2"/>
  <c r="O166" i="2"/>
  <c r="BF159" i="2"/>
  <c r="BF153" i="2"/>
  <c r="BR159" i="2"/>
  <c r="BR153" i="2"/>
  <c r="BX159" i="2"/>
  <c r="BX153" i="2"/>
  <c r="CP152" i="2"/>
  <c r="CT156" i="2"/>
  <c r="CT153" i="2"/>
  <c r="V153" i="2"/>
  <c r="AE156" i="2"/>
  <c r="AE153" i="2"/>
  <c r="AZ153" i="2"/>
  <c r="O173" i="2"/>
  <c r="O159" i="2" s="1"/>
  <c r="BJ171" i="2"/>
  <c r="CZ156" i="2"/>
  <c r="CZ153" i="2"/>
  <c r="O335" i="2"/>
  <c r="Q264" i="2"/>
  <c r="Q261" i="2"/>
  <c r="T264" i="2"/>
  <c r="T261" i="2"/>
  <c r="W264" i="2"/>
  <c r="W261" i="2"/>
  <c r="Z264" i="2"/>
  <c r="Z261" i="2"/>
  <c r="AF264" i="2"/>
  <c r="AF261" i="2"/>
  <c r="AC265" i="2"/>
  <c r="AC262" i="2"/>
  <c r="AI261" i="2"/>
  <c r="AI264" i="2"/>
  <c r="T164" i="2"/>
  <c r="Z164" i="2"/>
  <c r="AF164" i="2"/>
  <c r="AF152" i="2"/>
  <c r="AI164" i="2"/>
  <c r="AO164" i="2"/>
  <c r="AO152" i="2"/>
  <c r="AR164" i="2"/>
  <c r="AR155" i="2"/>
  <c r="AX164" i="2"/>
  <c r="AX155" i="2"/>
  <c r="AU156" i="2"/>
  <c r="AU153" i="2"/>
  <c r="BA164" i="2"/>
  <c r="BA152" i="2"/>
  <c r="BJ155" i="2"/>
  <c r="BJ152" i="2"/>
  <c r="BP164" i="2"/>
  <c r="BP155" i="2"/>
  <c r="BP152" i="2"/>
  <c r="BM156" i="2"/>
  <c r="BM153" i="2"/>
  <c r="BS164" i="2"/>
  <c r="BY164" i="2"/>
  <c r="CH164" i="2"/>
  <c r="CK164" i="2"/>
  <c r="CK155" i="2"/>
  <c r="CK152" i="2"/>
  <c r="DF164" i="2"/>
  <c r="P159" i="2"/>
  <c r="N173" i="2"/>
  <c r="CT155" i="2"/>
  <c r="CT152" i="2"/>
  <c r="CV164" i="2"/>
  <c r="CV155" i="2"/>
  <c r="N162" i="2"/>
  <c r="N161" i="2" s="1"/>
  <c r="CM265" i="2"/>
  <c r="CM262" i="2"/>
  <c r="CP265" i="2"/>
  <c r="CP262" i="2"/>
  <c r="AH261" i="2"/>
  <c r="BR261" i="2"/>
  <c r="BY264" i="2"/>
  <c r="T310" i="2"/>
  <c r="Z310" i="2"/>
  <c r="AF310" i="2"/>
  <c r="Y164" i="2"/>
  <c r="AE164" i="2"/>
  <c r="AH164" i="2"/>
  <c r="AN164" i="2"/>
  <c r="AQ164" i="2"/>
  <c r="AW164" i="2"/>
  <c r="AZ164" i="2"/>
  <c r="BF164" i="2"/>
  <c r="BR164" i="2"/>
  <c r="BX164" i="2"/>
  <c r="CA164" i="2"/>
  <c r="CG164" i="2"/>
  <c r="CJ164" i="2"/>
  <c r="DE164" i="2"/>
  <c r="AB171" i="2"/>
  <c r="AT171" i="2"/>
  <c r="BL171" i="2"/>
  <c r="DE171" i="2"/>
  <c r="DE153" i="2"/>
  <c r="CA158" i="2"/>
  <c r="CZ164" i="2"/>
  <c r="BM262" i="2"/>
  <c r="BS264" i="2"/>
  <c r="P309" i="2"/>
  <c r="V309" i="2"/>
  <c r="AB309" i="2"/>
  <c r="AH309" i="2"/>
  <c r="AN309" i="2"/>
  <c r="AT309" i="2"/>
  <c r="AZ309" i="2"/>
  <c r="BF309" i="2"/>
  <c r="BL309" i="2"/>
  <c r="BR309" i="2"/>
  <c r="BX309" i="2"/>
  <c r="CD309" i="2"/>
  <c r="CJ309" i="2"/>
  <c r="P310" i="2"/>
  <c r="O309" i="2"/>
  <c r="O191" i="2"/>
  <c r="O187" i="2"/>
  <c r="N274" i="2"/>
  <c r="N261" i="2" s="1"/>
  <c r="N275" i="2"/>
  <c r="N262" i="2" s="1"/>
  <c r="BV262" i="2"/>
  <c r="BP261" i="2"/>
  <c r="AO261" i="2"/>
  <c r="O274" i="2"/>
  <c r="O261" i="2" s="1"/>
  <c r="O275" i="2"/>
  <c r="O265" i="2" s="1"/>
  <c r="O194" i="2"/>
  <c r="N184" i="2"/>
  <c r="N194" i="2"/>
  <c r="N197" i="2"/>
  <c r="N187" i="2"/>
  <c r="N181" i="2"/>
  <c r="N191" i="2"/>
  <c r="N198" i="2"/>
  <c r="N195" i="2"/>
  <c r="CM171" i="2"/>
  <c r="CM158" i="2"/>
  <c r="CJ152" i="2"/>
  <c r="CG168" i="2"/>
  <c r="CG152" i="2"/>
  <c r="CA152" i="2"/>
  <c r="CA168" i="2"/>
  <c r="BX158" i="2"/>
  <c r="N168" i="2"/>
  <c r="S168" i="2"/>
  <c r="DE159" i="2"/>
  <c r="DE168" i="2"/>
  <c r="DE152" i="2"/>
  <c r="DE158" i="2"/>
  <c r="DF152" i="2"/>
  <c r="DF158" i="2"/>
  <c r="CB152" i="2"/>
  <c r="CH152" i="2"/>
  <c r="CE153" i="2"/>
  <c r="CB158" i="2"/>
  <c r="CH158" i="2"/>
  <c r="AZ171" i="2"/>
  <c r="AZ152" i="2"/>
  <c r="BC153" i="2"/>
  <c r="AT153" i="2"/>
  <c r="AT159" i="2"/>
  <c r="AK152" i="2"/>
  <c r="AH153" i="2"/>
  <c r="AN153" i="2"/>
  <c r="AK158" i="2"/>
  <c r="AH171" i="2"/>
  <c r="AN171" i="2"/>
  <c r="AH152" i="2"/>
  <c r="AN152" i="2"/>
  <c r="AK153" i="2"/>
  <c r="AE171" i="2"/>
  <c r="N159" i="2"/>
  <c r="Y171" i="2"/>
  <c r="Y152" i="2"/>
  <c r="AE152" i="2"/>
  <c r="AB153" i="2"/>
  <c r="AB159" i="2"/>
  <c r="W158" i="2"/>
  <c r="V159" i="2"/>
  <c r="S158" i="2"/>
  <c r="P158" i="2"/>
  <c r="O155" i="2"/>
  <c r="S152" i="2"/>
  <c r="T152" i="2"/>
  <c r="T155" i="2"/>
  <c r="Q153" i="2"/>
  <c r="Q156" i="2"/>
  <c r="O156" i="2"/>
  <c r="P152" i="2"/>
  <c r="P155" i="2"/>
  <c r="O161" i="2"/>
  <c r="O168" i="2"/>
  <c r="CY130" i="2"/>
  <c r="CW136" i="2"/>
  <c r="CW133" i="2"/>
  <c r="N134" i="2"/>
  <c r="O131" i="2"/>
  <c r="O134" i="2"/>
  <c r="DE131" i="2"/>
  <c r="DF130" i="2"/>
  <c r="DF133" i="2"/>
  <c r="CN130" i="2"/>
  <c r="CN136" i="2"/>
  <c r="CJ130" i="2"/>
  <c r="CP130" i="2"/>
  <c r="CJ133" i="2"/>
  <c r="CP133" i="2"/>
  <c r="CD130" i="2"/>
  <c r="CD133" i="2"/>
  <c r="BU130" i="2"/>
  <c r="BU136" i="2"/>
  <c r="BV130" i="2"/>
  <c r="BV133" i="2"/>
  <c r="BL133" i="2"/>
  <c r="BD130" i="2"/>
  <c r="BD133" i="2"/>
  <c r="AR130" i="2"/>
  <c r="AX130" i="2"/>
  <c r="AR133" i="2"/>
  <c r="AX133" i="2"/>
  <c r="AI130" i="2"/>
  <c r="AO130" i="2"/>
  <c r="AI133" i="2"/>
  <c r="AO133" i="2"/>
  <c r="AL130" i="2"/>
  <c r="AL133" i="2"/>
  <c r="Z130" i="2"/>
  <c r="AF130" i="2"/>
  <c r="Z133" i="2"/>
  <c r="AF133" i="2"/>
  <c r="AB130" i="2"/>
  <c r="AB133" i="2"/>
  <c r="N109" i="2"/>
  <c r="N115" i="2"/>
  <c r="O109" i="2"/>
  <c r="DF108" i="2"/>
  <c r="DF111" i="2"/>
  <c r="DB108" i="2"/>
  <c r="DB111" i="2"/>
  <c r="BU108" i="2"/>
  <c r="BU111" i="2"/>
  <c r="BV108" i="2"/>
  <c r="BV111" i="2"/>
  <c r="O126" i="2"/>
  <c r="O111" i="2" s="1"/>
  <c r="AK108" i="2"/>
  <c r="AK111" i="2"/>
  <c r="AL108" i="2"/>
  <c r="AL111" i="2"/>
  <c r="AL114" i="2"/>
  <c r="AH108" i="2"/>
  <c r="AN108" i="2"/>
  <c r="AH111" i="2"/>
  <c r="AN111" i="2"/>
  <c r="AB108" i="2"/>
  <c r="AB111" i="2"/>
  <c r="V108" i="2"/>
  <c r="V111" i="2"/>
  <c r="W108" i="2"/>
  <c r="W111" i="2"/>
  <c r="N126" i="2"/>
  <c r="N111" i="2" s="1"/>
  <c r="O16" i="2"/>
  <c r="DB86" i="2"/>
  <c r="DB578" i="2" s="1"/>
  <c r="CV16" i="2"/>
  <c r="CV15" i="2" s="1"/>
  <c r="CV86" i="2"/>
  <c r="CV578" i="2" s="1"/>
  <c r="CS59" i="2"/>
  <c r="CS45" i="2" s="1"/>
  <c r="DE81" i="2"/>
  <c r="N81" i="2"/>
  <c r="O89" i="2"/>
  <c r="O81" i="2"/>
  <c r="O80" i="2"/>
  <c r="O42" i="2"/>
  <c r="N77" i="2"/>
  <c r="DE63" i="2"/>
  <c r="O63" i="2"/>
  <c r="DB59" i="2"/>
  <c r="DB45" i="2" s="1"/>
  <c r="CJ41" i="2"/>
  <c r="CK59" i="2"/>
  <c r="CK45" i="2" s="1"/>
  <c r="CQ59" i="2"/>
  <c r="CQ45" i="2" s="1"/>
  <c r="CK76" i="2"/>
  <c r="CN59" i="2"/>
  <c r="CN45" i="2" s="1"/>
  <c r="CD59" i="2"/>
  <c r="CD45" i="2" s="1"/>
  <c r="CE59" i="2"/>
  <c r="CE45" i="2" s="1"/>
  <c r="BU41" i="2"/>
  <c r="BU59" i="2"/>
  <c r="BU45" i="2" s="1"/>
  <c r="BV41" i="2"/>
  <c r="BV59" i="2"/>
  <c r="BV45" i="2" s="1"/>
  <c r="BM41" i="2"/>
  <c r="BM59" i="2"/>
  <c r="BM45" i="2" s="1"/>
  <c r="BC41" i="2"/>
  <c r="BD41" i="2"/>
  <c r="BC76" i="2"/>
  <c r="AQ41" i="2"/>
  <c r="AW41" i="2"/>
  <c r="AQ76" i="2"/>
  <c r="AW76" i="2"/>
  <c r="AU59" i="2"/>
  <c r="AU45" i="2" s="1"/>
  <c r="AK59" i="2"/>
  <c r="AK45" i="2" s="1"/>
  <c r="AL59" i="2"/>
  <c r="AL45" i="2" s="1"/>
  <c r="AB41" i="2"/>
  <c r="Z76" i="2"/>
  <c r="AF76" i="2"/>
  <c r="N60" i="2"/>
  <c r="P62" i="2"/>
  <c r="CJ10" i="2"/>
  <c r="O19" i="2"/>
  <c r="N19" i="2"/>
  <c r="O14" i="2"/>
  <c r="N14" i="2"/>
  <c r="DE15" i="2"/>
  <c r="DF15" i="2"/>
  <c r="DC15" i="2"/>
  <c r="CZ15" i="2"/>
  <c r="CY15" i="2"/>
  <c r="CW15" i="2"/>
  <c r="CT15" i="2"/>
  <c r="CS15" i="2"/>
  <c r="CQ15" i="2"/>
  <c r="CP15" i="2"/>
  <c r="CN15" i="2"/>
  <c r="CM15" i="2"/>
  <c r="DF10" i="2"/>
  <c r="DE10" i="2"/>
  <c r="DC10" i="2"/>
  <c r="DB10" i="2"/>
  <c r="CZ10" i="2"/>
  <c r="CY10" i="2"/>
  <c r="CW10" i="2"/>
  <c r="CV10" i="2"/>
  <c r="CT10" i="2"/>
  <c r="CS10" i="2"/>
  <c r="CQ10" i="2"/>
  <c r="CP10" i="2"/>
  <c r="CN10" i="2"/>
  <c r="CM10" i="2"/>
  <c r="O148" i="2" l="1"/>
  <c r="O133" i="2" s="1"/>
  <c r="V569" i="2"/>
  <c r="V568" i="2"/>
  <c r="V567" i="2"/>
  <c r="CS568" i="2"/>
  <c r="CS567" i="2"/>
  <c r="CS569" i="2"/>
  <c r="BO568" i="2"/>
  <c r="BO567" i="2"/>
  <c r="BO569" i="2"/>
  <c r="CV568" i="2"/>
  <c r="CV567" i="2"/>
  <c r="CV569" i="2"/>
  <c r="DB569" i="2"/>
  <c r="DB567" i="2"/>
  <c r="DB568" i="2"/>
  <c r="O571" i="2"/>
  <c r="O573" i="2"/>
  <c r="O572" i="2"/>
  <c r="BU569" i="2"/>
  <c r="BU568" i="2"/>
  <c r="BU567" i="2"/>
  <c r="Q569" i="2"/>
  <c r="Q568" i="2"/>
  <c r="Q567" i="2"/>
  <c r="CT569" i="2"/>
  <c r="CT568" i="2"/>
  <c r="CT567" i="2"/>
  <c r="AO62" i="2"/>
  <c r="AO578" i="2"/>
  <c r="AB62" i="2"/>
  <c r="AB578" i="2"/>
  <c r="CA578" i="2"/>
  <c r="BF578" i="2"/>
  <c r="BM568" i="2"/>
  <c r="BM567" i="2"/>
  <c r="BM569" i="2"/>
  <c r="AH569" i="2"/>
  <c r="AH568" i="2"/>
  <c r="AH567" i="2"/>
  <c r="N653" i="2"/>
  <c r="N652" i="2"/>
  <c r="DF573" i="2"/>
  <c r="DF572" i="2"/>
  <c r="DF571" i="2"/>
  <c r="N63" i="2"/>
  <c r="N583" i="2"/>
  <c r="N310" i="2"/>
  <c r="BR62" i="2"/>
  <c r="BR578" i="2"/>
  <c r="CP567" i="2"/>
  <c r="CP569" i="2"/>
  <c r="CP568" i="2"/>
  <c r="CK62" i="2"/>
  <c r="CK578" i="2"/>
  <c r="BF152" i="2"/>
  <c r="CE62" i="2"/>
  <c r="CE578" i="2"/>
  <c r="N42" i="2"/>
  <c r="BX568" i="2"/>
  <c r="BX569" i="2"/>
  <c r="BX567" i="2"/>
  <c r="BI568" i="2"/>
  <c r="BI569" i="2"/>
  <c r="BI567" i="2"/>
  <c r="CH569" i="2"/>
  <c r="CH568" i="2"/>
  <c r="CH567" i="2"/>
  <c r="CM569" i="2"/>
  <c r="CM568" i="2"/>
  <c r="CM567" i="2"/>
  <c r="CY568" i="2"/>
  <c r="CY569" i="2"/>
  <c r="CY567" i="2"/>
  <c r="P568" i="2"/>
  <c r="P569" i="2"/>
  <c r="P567" i="2"/>
  <c r="CK158" i="2"/>
  <c r="CK171" i="2"/>
  <c r="AW172" i="2"/>
  <c r="AW80" i="2"/>
  <c r="CG567" i="2"/>
  <c r="CG569" i="2"/>
  <c r="CG568" i="2"/>
  <c r="BG569" i="2"/>
  <c r="BG568" i="2"/>
  <c r="BG567" i="2"/>
  <c r="BU172" i="2"/>
  <c r="BU80" i="2"/>
  <c r="AC62" i="2"/>
  <c r="AC578" i="2"/>
  <c r="N374" i="2"/>
  <c r="N368" i="2" s="1"/>
  <c r="P368" i="2"/>
  <c r="AW62" i="2"/>
  <c r="AW578" i="2"/>
  <c r="AQ62" i="2"/>
  <c r="AQ578" i="2"/>
  <c r="AF62" i="2"/>
  <c r="AF578" i="2"/>
  <c r="AZ62" i="2"/>
  <c r="AZ578" i="2"/>
  <c r="CJ578" i="2"/>
  <c r="T569" i="2"/>
  <c r="T568" i="2"/>
  <c r="T567" i="2"/>
  <c r="BV569" i="2"/>
  <c r="BV568" i="2"/>
  <c r="BV567" i="2"/>
  <c r="BP569" i="2"/>
  <c r="BP568" i="2"/>
  <c r="BP567" i="2"/>
  <c r="O374" i="2"/>
  <c r="O368" i="2" s="1"/>
  <c r="Q368" i="2"/>
  <c r="CB569" i="2"/>
  <c r="CB568" i="2"/>
  <c r="CB567" i="2"/>
  <c r="N383" i="2"/>
  <c r="N377" i="2" s="1"/>
  <c r="P377" i="2"/>
  <c r="CW568" i="2"/>
  <c r="CW567" i="2"/>
  <c r="CW569" i="2"/>
  <c r="Y569" i="2"/>
  <c r="Y568" i="2"/>
  <c r="Y567" i="2"/>
  <c r="O373" i="2"/>
  <c r="O367" i="2" s="1"/>
  <c r="Q367" i="2"/>
  <c r="BI152" i="2"/>
  <c r="BI171" i="2"/>
  <c r="BY62" i="2"/>
  <c r="BY578" i="2"/>
  <c r="DC62" i="2"/>
  <c r="DC578" i="2"/>
  <c r="P367" i="2"/>
  <c r="N373" i="2"/>
  <c r="N367" i="2" s="1"/>
  <c r="BL568" i="2"/>
  <c r="BL567" i="2"/>
  <c r="BL569" i="2"/>
  <c r="AK62" i="2"/>
  <c r="AK578" i="2"/>
  <c r="AX569" i="2"/>
  <c r="AX568" i="2"/>
  <c r="AX567" i="2"/>
  <c r="AI569" i="2"/>
  <c r="AI568" i="2"/>
  <c r="AI567" i="2"/>
  <c r="BI148" i="2"/>
  <c r="BI89" i="2"/>
  <c r="BX148" i="2"/>
  <c r="BX89" i="2"/>
  <c r="O383" i="2"/>
  <c r="O377" i="2" s="1"/>
  <c r="Q377" i="2"/>
  <c r="O382" i="2"/>
  <c r="O376" i="2" s="1"/>
  <c r="Q376" i="2"/>
  <c r="CN569" i="2"/>
  <c r="CN568" i="2"/>
  <c r="CN567" i="2"/>
  <c r="BA62" i="2"/>
  <c r="BA578" i="2"/>
  <c r="Z62" i="2"/>
  <c r="Z578" i="2"/>
  <c r="N137" i="2"/>
  <c r="BC62" i="2"/>
  <c r="BC578" i="2"/>
  <c r="CD62" i="2"/>
  <c r="CD578" i="2"/>
  <c r="AT62" i="2"/>
  <c r="AT578" i="2"/>
  <c r="N382" i="2"/>
  <c r="N376" i="2" s="1"/>
  <c r="P376" i="2"/>
  <c r="AL568" i="2"/>
  <c r="AL567" i="2"/>
  <c r="AL569" i="2"/>
  <c r="CQ568" i="2"/>
  <c r="CQ567" i="2"/>
  <c r="CQ569" i="2"/>
  <c r="BS569" i="2"/>
  <c r="BS568" i="2"/>
  <c r="BS567" i="2"/>
  <c r="CG148" i="2"/>
  <c r="CG89" i="2"/>
  <c r="AU569" i="2"/>
  <c r="AU568" i="2"/>
  <c r="AU567" i="2"/>
  <c r="AQ172" i="2"/>
  <c r="AQ80" i="2"/>
  <c r="BD568" i="2"/>
  <c r="BD567" i="2"/>
  <c r="BD569" i="2"/>
  <c r="O653" i="2"/>
  <c r="O652" i="2"/>
  <c r="W569" i="2"/>
  <c r="W568" i="2"/>
  <c r="W567" i="2"/>
  <c r="DF874" i="2"/>
  <c r="CJ158" i="2"/>
  <c r="CJ567" i="2"/>
  <c r="CJ568" i="2"/>
  <c r="CJ569" i="2"/>
  <c r="O650" i="2"/>
  <c r="O649" i="2"/>
  <c r="O647" i="2"/>
  <c r="O646" i="2"/>
  <c r="O648" i="2"/>
  <c r="O651" i="2"/>
  <c r="N650" i="2"/>
  <c r="N646" i="2"/>
  <c r="N647" i="2"/>
  <c r="N649" i="2"/>
  <c r="N648" i="2"/>
  <c r="N651" i="2"/>
  <c r="N309" i="2"/>
  <c r="BO148" i="2"/>
  <c r="BO89" i="2"/>
  <c r="BC89" i="2"/>
  <c r="BC148" i="2"/>
  <c r="AT133" i="2"/>
  <c r="AT136" i="2"/>
  <c r="AT130" i="2"/>
  <c r="BX171" i="2"/>
  <c r="BX152" i="2"/>
  <c r="BL130" i="2"/>
  <c r="S76" i="2"/>
  <c r="S41" i="2"/>
  <c r="S59" i="2"/>
  <c r="N59" i="2" s="1"/>
  <c r="CY171" i="2"/>
  <c r="CY158" i="2"/>
  <c r="CY152" i="2"/>
  <c r="DF153" i="2"/>
  <c r="DB89" i="2"/>
  <c r="DB148" i="2"/>
  <c r="BJ136" i="2"/>
  <c r="BJ133" i="2"/>
  <c r="BJ130" i="2"/>
  <c r="CD172" i="2"/>
  <c r="CD80" i="2"/>
  <c r="P148" i="2"/>
  <c r="P89" i="2"/>
  <c r="N95" i="2"/>
  <c r="N89" i="2" s="1"/>
  <c r="AU136" i="2"/>
  <c r="AU130" i="2"/>
  <c r="AU133" i="2"/>
  <c r="O41" i="2"/>
  <c r="S133" i="2"/>
  <c r="DB80" i="2"/>
  <c r="DB172" i="2"/>
  <c r="S130" i="2"/>
  <c r="CS130" i="2"/>
  <c r="W171" i="2"/>
  <c r="BF171" i="2"/>
  <c r="S164" i="2"/>
  <c r="N165" i="2"/>
  <c r="AW136" i="2"/>
  <c r="AW130" i="2"/>
  <c r="AW133" i="2"/>
  <c r="CZ133" i="2"/>
  <c r="CZ130" i="2"/>
  <c r="CZ136" i="2"/>
  <c r="CY136" i="2"/>
  <c r="CY133" i="2"/>
  <c r="BR172" i="2"/>
  <c r="BR80" i="2"/>
  <c r="AQ133" i="2"/>
  <c r="AQ130" i="2"/>
  <c r="AQ136" i="2"/>
  <c r="CE158" i="2"/>
  <c r="CE152" i="2"/>
  <c r="CE171" i="2"/>
  <c r="CW171" i="2"/>
  <c r="CW158" i="2"/>
  <c r="CW152" i="2"/>
  <c r="BY133" i="2"/>
  <c r="BY130" i="2"/>
  <c r="BY136" i="2"/>
  <c r="BG171" i="2"/>
  <c r="BG158" i="2"/>
  <c r="BG152" i="2"/>
  <c r="AI158" i="2"/>
  <c r="AI152" i="2"/>
  <c r="AI171" i="2"/>
  <c r="CA148" i="2"/>
  <c r="CA89" i="2"/>
  <c r="CT171" i="2"/>
  <c r="CT158" i="2"/>
  <c r="Q158" i="2"/>
  <c r="O172" i="2"/>
  <c r="O171" i="2" s="1"/>
  <c r="CV80" i="2"/>
  <c r="CV172" i="2"/>
  <c r="CV133" i="2"/>
  <c r="CV136" i="2"/>
  <c r="CV130" i="2"/>
  <c r="BR133" i="2"/>
  <c r="BR136" i="2"/>
  <c r="BR130" i="2"/>
  <c r="N86" i="2"/>
  <c r="N80" i="2" s="1"/>
  <c r="BO172" i="2"/>
  <c r="BO80" i="2"/>
  <c r="AK148" i="2"/>
  <c r="AK89" i="2"/>
  <c r="CS133" i="2"/>
  <c r="Q171" i="2"/>
  <c r="BP171" i="2"/>
  <c r="S114" i="2"/>
  <c r="S111" i="2"/>
  <c r="S108" i="2"/>
  <c r="V172" i="2"/>
  <c r="V80" i="2"/>
  <c r="CS172" i="2"/>
  <c r="CS80" i="2"/>
  <c r="DF171" i="2"/>
  <c r="P171" i="2"/>
  <c r="BC80" i="2"/>
  <c r="BC172" i="2"/>
  <c r="AZ136" i="2"/>
  <c r="AZ130" i="2"/>
  <c r="AZ133" i="2"/>
  <c r="DC171" i="2"/>
  <c r="DC158" i="2"/>
  <c r="N264" i="2"/>
  <c r="N265" i="2"/>
  <c r="O264" i="2"/>
  <c r="O262" i="2"/>
  <c r="N153" i="2"/>
  <c r="N155" i="2"/>
  <c r="N164" i="2"/>
  <c r="O164" i="2"/>
  <c r="O153" i="2"/>
  <c r="O130" i="2"/>
  <c r="O136" i="2"/>
  <c r="N108" i="2"/>
  <c r="O114" i="2"/>
  <c r="O108" i="2"/>
  <c r="N114" i="2"/>
  <c r="O59" i="2"/>
  <c r="N76" i="2"/>
  <c r="N62" i="2" s="1"/>
  <c r="O76" i="2"/>
  <c r="O152" i="2" l="1"/>
  <c r="O158" i="2"/>
  <c r="AQ568" i="2"/>
  <c r="AQ567" i="2"/>
  <c r="AQ569" i="2"/>
  <c r="CA567" i="2"/>
  <c r="CA569" i="2"/>
  <c r="CA568" i="2"/>
  <c r="AQ158" i="2"/>
  <c r="AQ152" i="2"/>
  <c r="AQ171" i="2"/>
  <c r="Z569" i="2"/>
  <c r="Z568" i="2"/>
  <c r="Z567" i="2"/>
  <c r="BU171" i="2"/>
  <c r="BU152" i="2"/>
  <c r="BU158" i="2"/>
  <c r="AW152" i="2"/>
  <c r="AW158" i="2"/>
  <c r="AW171" i="2"/>
  <c r="AB569" i="2"/>
  <c r="AB568" i="2"/>
  <c r="AB567" i="2"/>
  <c r="N578" i="2"/>
  <c r="N567" i="2" s="1"/>
  <c r="S26" i="2"/>
  <c r="S28" i="2"/>
  <c r="S27" i="2"/>
  <c r="AT567" i="2"/>
  <c r="AT569" i="2"/>
  <c r="AT568" i="2"/>
  <c r="AW568" i="2"/>
  <c r="AW569" i="2"/>
  <c r="AW567" i="2"/>
  <c r="CK568" i="2"/>
  <c r="CK567" i="2"/>
  <c r="CK569" i="2"/>
  <c r="N572" i="2"/>
  <c r="N571" i="2"/>
  <c r="N573" i="2"/>
  <c r="S62" i="2"/>
  <c r="S578" i="2"/>
  <c r="BA569" i="2"/>
  <c r="BA568" i="2"/>
  <c r="BA567" i="2"/>
  <c r="AO569" i="2"/>
  <c r="AO568" i="2"/>
  <c r="AO567" i="2"/>
  <c r="O62" i="2"/>
  <c r="O578" i="2"/>
  <c r="CD567" i="2"/>
  <c r="CD569" i="2"/>
  <c r="CD568" i="2"/>
  <c r="AZ569" i="2"/>
  <c r="AZ568" i="2"/>
  <c r="AZ567" i="2"/>
  <c r="N41" i="2"/>
  <c r="BX133" i="2"/>
  <c r="BX136" i="2"/>
  <c r="BX130" i="2"/>
  <c r="DC569" i="2"/>
  <c r="DC567" i="2"/>
  <c r="DC568" i="2"/>
  <c r="CG130" i="2"/>
  <c r="CG133" i="2"/>
  <c r="CG136" i="2"/>
  <c r="BC568" i="2"/>
  <c r="BC567" i="2"/>
  <c r="BC569" i="2"/>
  <c r="AK569" i="2"/>
  <c r="AK568" i="2"/>
  <c r="AK567" i="2"/>
  <c r="AF569" i="2"/>
  <c r="AF568" i="2"/>
  <c r="AF567" i="2"/>
  <c r="AC568" i="2"/>
  <c r="AC567" i="2"/>
  <c r="AC569" i="2"/>
  <c r="BI130" i="2"/>
  <c r="BI136" i="2"/>
  <c r="BI133" i="2"/>
  <c r="BY569" i="2"/>
  <c r="BY568" i="2"/>
  <c r="BY567" i="2"/>
  <c r="CE568" i="2"/>
  <c r="CE569" i="2"/>
  <c r="CE567" i="2"/>
  <c r="BR568" i="2"/>
  <c r="BR567" i="2"/>
  <c r="BR569" i="2"/>
  <c r="BF569" i="2"/>
  <c r="BF568" i="2"/>
  <c r="BF567" i="2"/>
  <c r="BC171" i="2"/>
  <c r="BC152" i="2"/>
  <c r="BC158" i="2"/>
  <c r="V171" i="2"/>
  <c r="V158" i="2"/>
  <c r="V152" i="2"/>
  <c r="AK136" i="2"/>
  <c r="AK133" i="2"/>
  <c r="AK130" i="2"/>
  <c r="BR158" i="2"/>
  <c r="BR171" i="2"/>
  <c r="BR152" i="2"/>
  <c r="N172" i="2"/>
  <c r="CS171" i="2"/>
  <c r="CS158" i="2"/>
  <c r="CS152" i="2"/>
  <c r="BO171" i="2"/>
  <c r="BO152" i="2"/>
  <c r="BO158" i="2"/>
  <c r="CV171" i="2"/>
  <c r="CV158" i="2"/>
  <c r="CV152" i="2"/>
  <c r="N148" i="2"/>
  <c r="P136" i="2"/>
  <c r="P133" i="2"/>
  <c r="P130" i="2"/>
  <c r="BO133" i="2"/>
  <c r="BO130" i="2"/>
  <c r="BO136" i="2"/>
  <c r="DB171" i="2"/>
  <c r="DB158" i="2"/>
  <c r="DB152" i="2"/>
  <c r="CD171" i="2"/>
  <c r="CD158" i="2"/>
  <c r="CD152" i="2"/>
  <c r="DB133" i="2"/>
  <c r="DB130" i="2"/>
  <c r="DB136" i="2"/>
  <c r="CA133" i="2"/>
  <c r="CA136" i="2"/>
  <c r="CA130" i="2"/>
  <c r="BC136" i="2"/>
  <c r="BC133" i="2"/>
  <c r="BC130" i="2"/>
  <c r="O568" i="2" l="1"/>
  <c r="O567" i="2"/>
  <c r="O569" i="2"/>
  <c r="S569" i="2"/>
  <c r="S568" i="2"/>
  <c r="S567" i="2"/>
  <c r="N569" i="2"/>
  <c r="N568" i="2"/>
  <c r="N136" i="2"/>
  <c r="N130" i="2"/>
  <c r="N133" i="2"/>
  <c r="N158" i="2"/>
  <c r="N152" i="2"/>
  <c r="N171" i="2"/>
  <c r="AU15" i="2" l="1"/>
  <c r="AT15" i="2"/>
  <c r="AU10" i="2"/>
  <c r="AT10" i="2"/>
  <c r="L711" i="2" l="1"/>
  <c r="L388" i="2"/>
  <c r="L387" i="2"/>
  <c r="K387" i="2"/>
  <c r="K408" i="2"/>
  <c r="CQ419" i="2"/>
  <c r="CP419" i="2"/>
  <c r="CN419" i="2"/>
  <c r="CM419" i="2"/>
  <c r="CK419" i="2"/>
  <c r="CJ419" i="2"/>
  <c r="CQ418" i="2"/>
  <c r="CP418" i="2"/>
  <c r="CN418" i="2"/>
  <c r="CM418" i="2"/>
  <c r="CK418" i="2"/>
  <c r="CJ418" i="2"/>
  <c r="CQ416" i="2"/>
  <c r="CP416" i="2"/>
  <c r="CN416" i="2"/>
  <c r="CM416" i="2"/>
  <c r="CK416" i="2"/>
  <c r="CJ416" i="2"/>
  <c r="CQ415" i="2"/>
  <c r="CP415" i="2"/>
  <c r="CN415" i="2"/>
  <c r="CM415" i="2"/>
  <c r="CK415" i="2"/>
  <c r="CJ415" i="2"/>
  <c r="CH419" i="2"/>
  <c r="CG419" i="2"/>
  <c r="CE419" i="2"/>
  <c r="CD419" i="2"/>
  <c r="CB419" i="2"/>
  <c r="CA419" i="2"/>
  <c r="CH418" i="2"/>
  <c r="CG418" i="2"/>
  <c r="CE418" i="2"/>
  <c r="CD418" i="2"/>
  <c r="CB418" i="2"/>
  <c r="CA418" i="2"/>
  <c r="CH416" i="2"/>
  <c r="CG416" i="2"/>
  <c r="CE416" i="2"/>
  <c r="CD416" i="2"/>
  <c r="CB416" i="2"/>
  <c r="CA416" i="2"/>
  <c r="CH415" i="2"/>
  <c r="CG415" i="2"/>
  <c r="CE415" i="2"/>
  <c r="CD415" i="2"/>
  <c r="CB415" i="2"/>
  <c r="CA415" i="2"/>
  <c r="BY419" i="2"/>
  <c r="BX419" i="2"/>
  <c r="BV419" i="2"/>
  <c r="BU419" i="2"/>
  <c r="BS419" i="2"/>
  <c r="BR419" i="2"/>
  <c r="BY418" i="2"/>
  <c r="BX418" i="2"/>
  <c r="BV418" i="2"/>
  <c r="BU418" i="2"/>
  <c r="BS418" i="2"/>
  <c r="BR418" i="2"/>
  <c r="BY416" i="2"/>
  <c r="BX416" i="2"/>
  <c r="BV416" i="2"/>
  <c r="BU416" i="2"/>
  <c r="BS416" i="2"/>
  <c r="BR416" i="2"/>
  <c r="BY415" i="2"/>
  <c r="BX415" i="2"/>
  <c r="BV415" i="2"/>
  <c r="BU415" i="2"/>
  <c r="BS415" i="2"/>
  <c r="BR415" i="2"/>
  <c r="BP419" i="2"/>
  <c r="BO419" i="2"/>
  <c r="BM419" i="2"/>
  <c r="BL419" i="2"/>
  <c r="BJ419" i="2"/>
  <c r="BI419" i="2"/>
  <c r="BP418" i="2"/>
  <c r="BO418" i="2"/>
  <c r="BM418" i="2"/>
  <c r="BL418" i="2"/>
  <c r="BJ418" i="2"/>
  <c r="BI418" i="2"/>
  <c r="BP416" i="2"/>
  <c r="BO416" i="2"/>
  <c r="BM416" i="2"/>
  <c r="BL416" i="2"/>
  <c r="BJ416" i="2"/>
  <c r="BI416" i="2"/>
  <c r="BP415" i="2"/>
  <c r="BO415" i="2"/>
  <c r="BM415" i="2"/>
  <c r="BL415" i="2"/>
  <c r="BJ415" i="2"/>
  <c r="BI415" i="2"/>
  <c r="BG419" i="2"/>
  <c r="BF419" i="2"/>
  <c r="BD419" i="2"/>
  <c r="BC419" i="2"/>
  <c r="BA419" i="2"/>
  <c r="AZ419" i="2"/>
  <c r="BG418" i="2"/>
  <c r="BF418" i="2"/>
  <c r="BD418" i="2"/>
  <c r="BC418" i="2"/>
  <c r="BA418" i="2"/>
  <c r="AZ418" i="2"/>
  <c r="BG416" i="2"/>
  <c r="BF416" i="2"/>
  <c r="BD416" i="2"/>
  <c r="BC416" i="2"/>
  <c r="BA416" i="2"/>
  <c r="AZ416" i="2"/>
  <c r="BG415" i="2"/>
  <c r="BF415" i="2"/>
  <c r="BD415" i="2"/>
  <c r="BC415" i="2"/>
  <c r="BA415" i="2"/>
  <c r="AZ415" i="2"/>
  <c r="AX419" i="2"/>
  <c r="AW419" i="2"/>
  <c r="AU419" i="2"/>
  <c r="AT419" i="2"/>
  <c r="AR419" i="2"/>
  <c r="AQ419" i="2"/>
  <c r="AX418" i="2"/>
  <c r="AW418" i="2"/>
  <c r="AU418" i="2"/>
  <c r="AT418" i="2"/>
  <c r="AR418" i="2"/>
  <c r="AQ418" i="2"/>
  <c r="AX416" i="2"/>
  <c r="AW416" i="2"/>
  <c r="AU416" i="2"/>
  <c r="AT416" i="2"/>
  <c r="AR416" i="2"/>
  <c r="AQ416" i="2"/>
  <c r="AX415" i="2"/>
  <c r="AW415" i="2"/>
  <c r="AU415" i="2"/>
  <c r="AT415" i="2"/>
  <c r="AR415" i="2"/>
  <c r="AQ415" i="2"/>
  <c r="AO419" i="2"/>
  <c r="AN419" i="2"/>
  <c r="AL419" i="2"/>
  <c r="AK419" i="2"/>
  <c r="AI419" i="2"/>
  <c r="AH419" i="2"/>
  <c r="AO418" i="2"/>
  <c r="AN418" i="2"/>
  <c r="AL418" i="2"/>
  <c r="AK418" i="2"/>
  <c r="AI418" i="2"/>
  <c r="AH418" i="2"/>
  <c r="AO416" i="2"/>
  <c r="AN416" i="2"/>
  <c r="AL416" i="2"/>
  <c r="AK416" i="2"/>
  <c r="AI416" i="2"/>
  <c r="AH416" i="2"/>
  <c r="AO415" i="2"/>
  <c r="AN415" i="2"/>
  <c r="AL415" i="2"/>
  <c r="AK415" i="2"/>
  <c r="AI415" i="2"/>
  <c r="AH415" i="2"/>
  <c r="AF419" i="2"/>
  <c r="AE419" i="2"/>
  <c r="AC419" i="2"/>
  <c r="AB419" i="2"/>
  <c r="Z419" i="2"/>
  <c r="Y419" i="2"/>
  <c r="AF418" i="2"/>
  <c r="AE418" i="2"/>
  <c r="AC418" i="2"/>
  <c r="AB418" i="2"/>
  <c r="Z418" i="2"/>
  <c r="Y418" i="2"/>
  <c r="AF416" i="2"/>
  <c r="AE416" i="2"/>
  <c r="AC416" i="2"/>
  <c r="AB416" i="2"/>
  <c r="Z416" i="2"/>
  <c r="Y416" i="2"/>
  <c r="AF415" i="2"/>
  <c r="AE415" i="2"/>
  <c r="AC415" i="2"/>
  <c r="AB415" i="2"/>
  <c r="Z415" i="2"/>
  <c r="Y415" i="2"/>
  <c r="W419" i="2"/>
  <c r="V419" i="2"/>
  <c r="W418" i="2"/>
  <c r="V418" i="2"/>
  <c r="W416" i="2"/>
  <c r="V416" i="2"/>
  <c r="W415" i="2"/>
  <c r="V415" i="2"/>
  <c r="T419" i="2"/>
  <c r="S419" i="2"/>
  <c r="T418" i="2"/>
  <c r="S418" i="2"/>
  <c r="T416" i="2"/>
  <c r="S416" i="2"/>
  <c r="T415" i="2"/>
  <c r="S415" i="2"/>
  <c r="Q419" i="2"/>
  <c r="P419" i="2"/>
  <c r="Q418" i="2"/>
  <c r="P418" i="2"/>
  <c r="Q416" i="2"/>
  <c r="P416" i="2"/>
  <c r="Q415" i="2"/>
  <c r="P415" i="2"/>
  <c r="L419" i="2"/>
  <c r="L418" i="2"/>
  <c r="L415" i="2"/>
  <c r="L416" i="2"/>
  <c r="K416" i="2"/>
  <c r="J416" i="2"/>
  <c r="L474" i="2"/>
  <c r="L473" i="2"/>
  <c r="L471" i="2"/>
  <c r="L470" i="2"/>
  <c r="K474" i="2"/>
  <c r="K473" i="2"/>
  <c r="K471" i="2"/>
  <c r="K470" i="2"/>
  <c r="K891" i="2"/>
  <c r="K870" i="2"/>
  <c r="K867" i="2"/>
  <c r="K888" i="2"/>
  <c r="K28" i="2" l="1"/>
  <c r="K32" i="2"/>
  <c r="Y28" i="2"/>
  <c r="K27" i="2" l="1"/>
  <c r="K30" i="2"/>
  <c r="K31" i="2"/>
  <c r="O32" i="2"/>
  <c r="DF32" i="2"/>
  <c r="DE32" i="2"/>
  <c r="DF31" i="2"/>
  <c r="DE31" i="2"/>
  <c r="DF30" i="2"/>
  <c r="DE30" i="2"/>
  <c r="DF28" i="2"/>
  <c r="DE28" i="2"/>
  <c r="DF27" i="2"/>
  <c r="DE27" i="2"/>
  <c r="DF26" i="2"/>
  <c r="DE26" i="2"/>
  <c r="DC32" i="2"/>
  <c r="DB32" i="2"/>
  <c r="DC31" i="2"/>
  <c r="DB31" i="2"/>
  <c r="DC30" i="2"/>
  <c r="DB30" i="2"/>
  <c r="DC28" i="2"/>
  <c r="DB28" i="2"/>
  <c r="DC27" i="2"/>
  <c r="DB27" i="2"/>
  <c r="DC26" i="2"/>
  <c r="DB26" i="2"/>
  <c r="CZ32" i="2"/>
  <c r="CY32" i="2"/>
  <c r="CW32" i="2"/>
  <c r="CV32" i="2"/>
  <c r="CT32" i="2"/>
  <c r="CS32" i="2"/>
  <c r="CZ31" i="2"/>
  <c r="CY31" i="2"/>
  <c r="CW31" i="2"/>
  <c r="CV31" i="2"/>
  <c r="CT31" i="2"/>
  <c r="CS31" i="2"/>
  <c r="CZ30" i="2"/>
  <c r="CY30" i="2"/>
  <c r="CW30" i="2"/>
  <c r="CV30" i="2"/>
  <c r="CT30" i="2"/>
  <c r="CS30" i="2"/>
  <c r="CZ28" i="2"/>
  <c r="CY28" i="2"/>
  <c r="CW28" i="2"/>
  <c r="CV28" i="2"/>
  <c r="CT28" i="2"/>
  <c r="CS28" i="2"/>
  <c r="CZ27" i="2"/>
  <c r="CY27" i="2"/>
  <c r="CW27" i="2"/>
  <c r="CV27" i="2"/>
  <c r="CT27" i="2"/>
  <c r="CS27" i="2"/>
  <c r="CZ26" i="2"/>
  <c r="CY26" i="2"/>
  <c r="CW26" i="2"/>
  <c r="CV26" i="2"/>
  <c r="CT26" i="2"/>
  <c r="CS26" i="2"/>
  <c r="CQ32" i="2"/>
  <c r="CP32" i="2"/>
  <c r="CN32" i="2"/>
  <c r="CM32" i="2"/>
  <c r="CK32" i="2"/>
  <c r="CJ32" i="2"/>
  <c r="CQ31" i="2"/>
  <c r="CP31" i="2"/>
  <c r="CN31" i="2"/>
  <c r="CM31" i="2"/>
  <c r="CK31" i="2"/>
  <c r="CJ31" i="2"/>
  <c r="CQ30" i="2"/>
  <c r="CP30" i="2"/>
  <c r="CN30" i="2"/>
  <c r="CM30" i="2"/>
  <c r="CK30" i="2"/>
  <c r="CJ30" i="2"/>
  <c r="CQ28" i="2"/>
  <c r="CP28" i="2"/>
  <c r="CN28" i="2"/>
  <c r="CM28" i="2"/>
  <c r="CK28" i="2"/>
  <c r="CJ28" i="2"/>
  <c r="CQ27" i="2"/>
  <c r="CP27" i="2"/>
  <c r="CN27" i="2"/>
  <c r="CM27" i="2"/>
  <c r="CK27" i="2"/>
  <c r="CJ27" i="2"/>
  <c r="CQ26" i="2"/>
  <c r="CP26" i="2"/>
  <c r="CN26" i="2"/>
  <c r="CM26" i="2"/>
  <c r="CK26" i="2"/>
  <c r="CJ26" i="2"/>
  <c r="CH32" i="2"/>
  <c r="CG32" i="2"/>
  <c r="CE32" i="2"/>
  <c r="CD32" i="2"/>
  <c r="CB32" i="2"/>
  <c r="CA32" i="2"/>
  <c r="CH31" i="2"/>
  <c r="CG31" i="2"/>
  <c r="CE31" i="2"/>
  <c r="CD31" i="2"/>
  <c r="CB31" i="2"/>
  <c r="CA31" i="2"/>
  <c r="CH30" i="2"/>
  <c r="CG30" i="2"/>
  <c r="CE30" i="2"/>
  <c r="CD30" i="2"/>
  <c r="CB30" i="2"/>
  <c r="CA30" i="2"/>
  <c r="CH28" i="2"/>
  <c r="CG28" i="2"/>
  <c r="CE28" i="2"/>
  <c r="CD28" i="2"/>
  <c r="CB28" i="2"/>
  <c r="CA28" i="2"/>
  <c r="CH27" i="2"/>
  <c r="CG27" i="2"/>
  <c r="CE27" i="2"/>
  <c r="CD27" i="2"/>
  <c r="CB27" i="2"/>
  <c r="CA27" i="2"/>
  <c r="CH26" i="2"/>
  <c r="CG26" i="2"/>
  <c r="CE26" i="2"/>
  <c r="CD26" i="2"/>
  <c r="CB26" i="2"/>
  <c r="CA26" i="2"/>
  <c r="BY32" i="2"/>
  <c r="BX32" i="2"/>
  <c r="BV32" i="2"/>
  <c r="BU32" i="2"/>
  <c r="BS32" i="2"/>
  <c r="BR32" i="2"/>
  <c r="BY31" i="2"/>
  <c r="BX31" i="2"/>
  <c r="BV31" i="2"/>
  <c r="BU31" i="2"/>
  <c r="BS31" i="2"/>
  <c r="BR31" i="2"/>
  <c r="BY30" i="2"/>
  <c r="BX30" i="2"/>
  <c r="BV30" i="2"/>
  <c r="BU30" i="2"/>
  <c r="BS30" i="2"/>
  <c r="BR30" i="2"/>
  <c r="BY28" i="2"/>
  <c r="BX28" i="2"/>
  <c r="BV28" i="2"/>
  <c r="BU28" i="2"/>
  <c r="BS28" i="2"/>
  <c r="BR28" i="2"/>
  <c r="BY27" i="2"/>
  <c r="BX27" i="2"/>
  <c r="BV27" i="2"/>
  <c r="BU27" i="2"/>
  <c r="BS27" i="2"/>
  <c r="BR27" i="2"/>
  <c r="BY26" i="2"/>
  <c r="BX26" i="2"/>
  <c r="BV26" i="2"/>
  <c r="BU26" i="2"/>
  <c r="BS26" i="2"/>
  <c r="BR26" i="2"/>
  <c r="BP32" i="2"/>
  <c r="BO32" i="2"/>
  <c r="BM32" i="2"/>
  <c r="BL32" i="2"/>
  <c r="BJ32" i="2"/>
  <c r="BI32" i="2"/>
  <c r="BP31" i="2"/>
  <c r="BO31" i="2"/>
  <c r="BM31" i="2"/>
  <c r="BL31" i="2"/>
  <c r="BJ31" i="2"/>
  <c r="BI31" i="2"/>
  <c r="BP30" i="2"/>
  <c r="BO30" i="2"/>
  <c r="BM30" i="2"/>
  <c r="BL30" i="2"/>
  <c r="BJ30" i="2"/>
  <c r="BI30" i="2"/>
  <c r="BP28" i="2"/>
  <c r="BO28" i="2"/>
  <c r="BM28" i="2"/>
  <c r="BL28" i="2"/>
  <c r="BJ28" i="2"/>
  <c r="BI28" i="2"/>
  <c r="BP27" i="2"/>
  <c r="BO27" i="2"/>
  <c r="BM27" i="2"/>
  <c r="BL27" i="2"/>
  <c r="BJ27" i="2"/>
  <c r="BI27" i="2"/>
  <c r="BP26" i="2"/>
  <c r="BO26" i="2"/>
  <c r="BM26" i="2"/>
  <c r="BL26" i="2"/>
  <c r="BJ26" i="2"/>
  <c r="BI26" i="2"/>
  <c r="BG32" i="2"/>
  <c r="BF32" i="2"/>
  <c r="BD32" i="2"/>
  <c r="BC32" i="2"/>
  <c r="BA32" i="2"/>
  <c r="AZ32" i="2"/>
  <c r="BG31" i="2"/>
  <c r="BF31" i="2"/>
  <c r="BD31" i="2"/>
  <c r="BC31" i="2"/>
  <c r="BA31" i="2"/>
  <c r="AZ31" i="2"/>
  <c r="BG30" i="2"/>
  <c r="BF30" i="2"/>
  <c r="BD30" i="2"/>
  <c r="BC30" i="2"/>
  <c r="BA30" i="2"/>
  <c r="AZ30" i="2"/>
  <c r="BG28" i="2"/>
  <c r="BF28" i="2"/>
  <c r="BD28" i="2"/>
  <c r="BC28" i="2"/>
  <c r="BA28" i="2"/>
  <c r="AZ28" i="2"/>
  <c r="BG27" i="2"/>
  <c r="BF27" i="2"/>
  <c r="BD27" i="2"/>
  <c r="BC27" i="2"/>
  <c r="BA27" i="2"/>
  <c r="AZ27" i="2"/>
  <c r="BG26" i="2"/>
  <c r="BF26" i="2"/>
  <c r="BD26" i="2"/>
  <c r="BC26" i="2"/>
  <c r="BA26" i="2"/>
  <c r="AZ26" i="2"/>
  <c r="AX32" i="2"/>
  <c r="AW32" i="2"/>
  <c r="AU32" i="2"/>
  <c r="AT32" i="2"/>
  <c r="AR32" i="2"/>
  <c r="AQ32" i="2"/>
  <c r="AX31" i="2"/>
  <c r="AW31" i="2"/>
  <c r="AU31" i="2"/>
  <c r="AT31" i="2"/>
  <c r="AR31" i="2"/>
  <c r="AQ31" i="2"/>
  <c r="AX30" i="2"/>
  <c r="AW30" i="2"/>
  <c r="AU30" i="2"/>
  <c r="AT30" i="2"/>
  <c r="AR30" i="2"/>
  <c r="AQ30" i="2"/>
  <c r="AX28" i="2"/>
  <c r="AW28" i="2"/>
  <c r="AU28" i="2"/>
  <c r="AT28" i="2"/>
  <c r="AR28" i="2"/>
  <c r="AQ28" i="2"/>
  <c r="AX27" i="2"/>
  <c r="AW27" i="2"/>
  <c r="AU27" i="2"/>
  <c r="AT27" i="2"/>
  <c r="AR27" i="2"/>
  <c r="AQ27" i="2"/>
  <c r="AX26" i="2"/>
  <c r="AW26" i="2"/>
  <c r="AU26" i="2"/>
  <c r="AT26" i="2"/>
  <c r="AR26" i="2"/>
  <c r="AQ26" i="2"/>
  <c r="AO32" i="2"/>
  <c r="AN32" i="2"/>
  <c r="AL32" i="2"/>
  <c r="AK32" i="2"/>
  <c r="AI32" i="2"/>
  <c r="AH32" i="2"/>
  <c r="AO31" i="2"/>
  <c r="AN31" i="2"/>
  <c r="AL31" i="2"/>
  <c r="AK31" i="2"/>
  <c r="AI31" i="2"/>
  <c r="AH31" i="2"/>
  <c r="AO30" i="2"/>
  <c r="AN30" i="2"/>
  <c r="AL30" i="2"/>
  <c r="AK30" i="2"/>
  <c r="AI30" i="2"/>
  <c r="AH30" i="2"/>
  <c r="AO28" i="2"/>
  <c r="AN28" i="2"/>
  <c r="AL28" i="2"/>
  <c r="AK28" i="2"/>
  <c r="AI28" i="2"/>
  <c r="AH28" i="2"/>
  <c r="AO27" i="2"/>
  <c r="AN27" i="2"/>
  <c r="AL27" i="2"/>
  <c r="AK27" i="2"/>
  <c r="AI27" i="2"/>
  <c r="AH27" i="2"/>
  <c r="AO26" i="2"/>
  <c r="AN26" i="2"/>
  <c r="AL26" i="2"/>
  <c r="AK26" i="2"/>
  <c r="AI26" i="2"/>
  <c r="AH26" i="2"/>
  <c r="AF32" i="2"/>
  <c r="AE32" i="2"/>
  <c r="AC32" i="2"/>
  <c r="AB32" i="2"/>
  <c r="Z32" i="2"/>
  <c r="Y32" i="2"/>
  <c r="AF31" i="2"/>
  <c r="AE31" i="2"/>
  <c r="AC31" i="2"/>
  <c r="AB31" i="2"/>
  <c r="Z31" i="2"/>
  <c r="Y31" i="2"/>
  <c r="AF30" i="2"/>
  <c r="AE30" i="2"/>
  <c r="AC30" i="2"/>
  <c r="AB30" i="2"/>
  <c r="Z30" i="2"/>
  <c r="Y30" i="2"/>
  <c r="AF28" i="2"/>
  <c r="AE28" i="2"/>
  <c r="AC28" i="2"/>
  <c r="AB28" i="2"/>
  <c r="Z28" i="2"/>
  <c r="AF27" i="2"/>
  <c r="AE27" i="2"/>
  <c r="AC27" i="2"/>
  <c r="AB27" i="2"/>
  <c r="Z27" i="2"/>
  <c r="Y27" i="2"/>
  <c r="AF26" i="2"/>
  <c r="AE26" i="2"/>
  <c r="AC26" i="2"/>
  <c r="AB26" i="2"/>
  <c r="Z26" i="2"/>
  <c r="Y26" i="2"/>
  <c r="W32" i="2"/>
  <c r="V32" i="2"/>
  <c r="W31" i="2"/>
  <c r="V31" i="2"/>
  <c r="W30" i="2"/>
  <c r="V30" i="2"/>
  <c r="W28" i="2"/>
  <c r="V28" i="2"/>
  <c r="W27" i="2"/>
  <c r="V27" i="2"/>
  <c r="W26" i="2"/>
  <c r="V26" i="2"/>
  <c r="T32" i="2"/>
  <c r="S32" i="2"/>
  <c r="T31" i="2"/>
  <c r="S31" i="2"/>
  <c r="T30" i="2"/>
  <c r="T28" i="2"/>
  <c r="T27" i="2"/>
  <c r="T26" i="2"/>
  <c r="Q32" i="2"/>
  <c r="P32" i="2"/>
  <c r="Q31" i="2"/>
  <c r="P31" i="2"/>
  <c r="Q30" i="2"/>
  <c r="P30" i="2"/>
  <c r="Q28" i="2"/>
  <c r="P28" i="2"/>
  <c r="Q27" i="2"/>
  <c r="P27" i="2"/>
  <c r="Q26" i="2"/>
  <c r="P26" i="2"/>
  <c r="O30" i="2"/>
  <c r="DF20" i="2"/>
  <c r="DE20" i="2"/>
  <c r="CY22" i="2"/>
  <c r="CY20" i="2" s="1"/>
  <c r="CV22" i="2"/>
  <c r="CV20" i="2" s="1"/>
  <c r="CS22" i="2"/>
  <c r="DC20" i="2"/>
  <c r="DB20" i="2"/>
  <c r="CZ20" i="2"/>
  <c r="CW20" i="2"/>
  <c r="CT20" i="2"/>
  <c r="CQ20" i="2"/>
  <c r="CP20" i="2"/>
  <c r="CN20" i="2"/>
  <c r="CM20" i="2"/>
  <c r="AU20" i="2"/>
  <c r="AT20" i="2"/>
  <c r="O429" i="2"/>
  <c r="N429" i="2"/>
  <c r="O428" i="2"/>
  <c r="N428" i="2"/>
  <c r="O426" i="2"/>
  <c r="N426" i="2"/>
  <c r="N419" i="2" s="1"/>
  <c r="O425" i="2"/>
  <c r="O418" i="2" s="1"/>
  <c r="N425" i="2"/>
  <c r="N418" i="2" s="1"/>
  <c r="O423" i="2"/>
  <c r="O416" i="2" s="1"/>
  <c r="N423" i="2"/>
  <c r="N416" i="2" s="1"/>
  <c r="O422" i="2"/>
  <c r="O415" i="2" s="1"/>
  <c r="N422" i="2"/>
  <c r="N415" i="2" s="1"/>
  <c r="O394" i="2"/>
  <c r="N394" i="2"/>
  <c r="O393" i="2"/>
  <c r="N393" i="2"/>
  <c r="O391" i="2"/>
  <c r="N391" i="2"/>
  <c r="O390" i="2"/>
  <c r="O387" i="2" s="1"/>
  <c r="N390" i="2"/>
  <c r="CQ388" i="2"/>
  <c r="CP388" i="2"/>
  <c r="CN388" i="2"/>
  <c r="CM388" i="2"/>
  <c r="CK388" i="2"/>
  <c r="CJ388" i="2"/>
  <c r="CQ387" i="2"/>
  <c r="CP387" i="2"/>
  <c r="CN387" i="2"/>
  <c r="CM387" i="2"/>
  <c r="CK387" i="2"/>
  <c r="CJ387" i="2"/>
  <c r="CH388" i="2"/>
  <c r="CG388" i="2"/>
  <c r="CE388" i="2"/>
  <c r="CD388" i="2"/>
  <c r="CB388" i="2"/>
  <c r="CA388" i="2"/>
  <c r="CH387" i="2"/>
  <c r="CG387" i="2"/>
  <c r="CE387" i="2"/>
  <c r="CD387" i="2"/>
  <c r="CB387" i="2"/>
  <c r="CA387" i="2"/>
  <c r="BY388" i="2"/>
  <c r="BX388" i="2"/>
  <c r="BV388" i="2"/>
  <c r="BU388" i="2"/>
  <c r="BS388" i="2"/>
  <c r="BR388" i="2"/>
  <c r="BY387" i="2"/>
  <c r="BX387" i="2"/>
  <c r="BV387" i="2"/>
  <c r="BU387" i="2"/>
  <c r="BS387" i="2"/>
  <c r="BR387" i="2"/>
  <c r="BP388" i="2"/>
  <c r="BO388" i="2"/>
  <c r="BM388" i="2"/>
  <c r="BL388" i="2"/>
  <c r="BJ388" i="2"/>
  <c r="BI388" i="2"/>
  <c r="BP387" i="2"/>
  <c r="BO387" i="2"/>
  <c r="BM387" i="2"/>
  <c r="BL387" i="2"/>
  <c r="BJ387" i="2"/>
  <c r="BI387" i="2"/>
  <c r="BG388" i="2"/>
  <c r="BF388" i="2"/>
  <c r="BD388" i="2"/>
  <c r="BC388" i="2"/>
  <c r="BA388" i="2"/>
  <c r="AZ388" i="2"/>
  <c r="BG387" i="2"/>
  <c r="BF387" i="2"/>
  <c r="BD387" i="2"/>
  <c r="BC387" i="2"/>
  <c r="BA387" i="2"/>
  <c r="AZ387" i="2"/>
  <c r="AX388" i="2"/>
  <c r="AW388" i="2"/>
  <c r="AU388" i="2"/>
  <c r="AT388" i="2"/>
  <c r="AR388" i="2"/>
  <c r="AQ388" i="2"/>
  <c r="AX387" i="2"/>
  <c r="AW387" i="2"/>
  <c r="AU387" i="2"/>
  <c r="AT387" i="2"/>
  <c r="AR387" i="2"/>
  <c r="AQ387" i="2"/>
  <c r="AO388" i="2"/>
  <c r="AN388" i="2"/>
  <c r="AL388" i="2"/>
  <c r="AK388" i="2"/>
  <c r="AI388" i="2"/>
  <c r="AH388" i="2"/>
  <c r="AO387" i="2"/>
  <c r="AN387" i="2"/>
  <c r="AL387" i="2"/>
  <c r="AK387" i="2"/>
  <c r="AI387" i="2"/>
  <c r="AH387" i="2"/>
  <c r="AF388" i="2"/>
  <c r="AE388" i="2"/>
  <c r="AC388" i="2"/>
  <c r="AB388" i="2"/>
  <c r="Z388" i="2"/>
  <c r="Y388" i="2"/>
  <c r="AF387" i="2"/>
  <c r="AE387" i="2"/>
  <c r="AC387" i="2"/>
  <c r="AB387" i="2"/>
  <c r="Z387" i="2"/>
  <c r="Y387" i="2"/>
  <c r="W388" i="2"/>
  <c r="V388" i="2"/>
  <c r="W387" i="2"/>
  <c r="V387" i="2"/>
  <c r="T388" i="2"/>
  <c r="S388" i="2"/>
  <c r="T387" i="2"/>
  <c r="S387" i="2"/>
  <c r="Q388" i="2"/>
  <c r="P388" i="2"/>
  <c r="Q387" i="2"/>
  <c r="P387" i="2"/>
  <c r="O403" i="2"/>
  <c r="N403" i="2"/>
  <c r="O402" i="2"/>
  <c r="N402" i="2"/>
  <c r="O400" i="2"/>
  <c r="N400" i="2"/>
  <c r="O399" i="2"/>
  <c r="N399" i="2"/>
  <c r="CQ397" i="2"/>
  <c r="CP397" i="2"/>
  <c r="CN397" i="2"/>
  <c r="CM397" i="2"/>
  <c r="CK397" i="2"/>
  <c r="CJ397" i="2"/>
  <c r="CQ396" i="2"/>
  <c r="CP396" i="2"/>
  <c r="CN396" i="2"/>
  <c r="CM396" i="2"/>
  <c r="CK396" i="2"/>
  <c r="CJ396" i="2"/>
  <c r="CH397" i="2"/>
  <c r="CG397" i="2"/>
  <c r="CE397" i="2"/>
  <c r="CD397" i="2"/>
  <c r="CB397" i="2"/>
  <c r="CA397" i="2"/>
  <c r="CH396" i="2"/>
  <c r="CG396" i="2"/>
  <c r="CE396" i="2"/>
  <c r="CD396" i="2"/>
  <c r="CB396" i="2"/>
  <c r="CA396" i="2"/>
  <c r="BY397" i="2"/>
  <c r="BX397" i="2"/>
  <c r="BV397" i="2"/>
  <c r="BU397" i="2"/>
  <c r="BS397" i="2"/>
  <c r="BR397" i="2"/>
  <c r="BY396" i="2"/>
  <c r="BX396" i="2"/>
  <c r="BV396" i="2"/>
  <c r="BU396" i="2"/>
  <c r="BS396" i="2"/>
  <c r="BR396" i="2"/>
  <c r="BP397" i="2"/>
  <c r="BO397" i="2"/>
  <c r="BM397" i="2"/>
  <c r="BL397" i="2"/>
  <c r="BJ397" i="2"/>
  <c r="BI397" i="2"/>
  <c r="BP396" i="2"/>
  <c r="BO396" i="2"/>
  <c r="BM396" i="2"/>
  <c r="BL396" i="2"/>
  <c r="BJ396" i="2"/>
  <c r="BI396" i="2"/>
  <c r="BG397" i="2"/>
  <c r="BF397" i="2"/>
  <c r="BD397" i="2"/>
  <c r="BC397" i="2"/>
  <c r="BA397" i="2"/>
  <c r="AZ397" i="2"/>
  <c r="BG396" i="2"/>
  <c r="BF396" i="2"/>
  <c r="BD396" i="2"/>
  <c r="BC396" i="2"/>
  <c r="BA396" i="2"/>
  <c r="AZ396" i="2"/>
  <c r="AX397" i="2"/>
  <c r="AW397" i="2"/>
  <c r="AU397" i="2"/>
  <c r="AT397" i="2"/>
  <c r="AR397" i="2"/>
  <c r="AQ397" i="2"/>
  <c r="AX396" i="2"/>
  <c r="AW396" i="2"/>
  <c r="AU396" i="2"/>
  <c r="AT396" i="2"/>
  <c r="AR396" i="2"/>
  <c r="AQ396" i="2"/>
  <c r="AO397" i="2"/>
  <c r="AN397" i="2"/>
  <c r="AL397" i="2"/>
  <c r="AK397" i="2"/>
  <c r="AI397" i="2"/>
  <c r="AH397" i="2"/>
  <c r="AO396" i="2"/>
  <c r="AN396" i="2"/>
  <c r="AL396" i="2"/>
  <c r="AK396" i="2"/>
  <c r="AI396" i="2"/>
  <c r="AH396" i="2"/>
  <c r="AF397" i="2"/>
  <c r="AE397" i="2"/>
  <c r="AC397" i="2"/>
  <c r="AB397" i="2"/>
  <c r="Z397" i="2"/>
  <c r="Y397" i="2"/>
  <c r="AF396" i="2"/>
  <c r="AE396" i="2"/>
  <c r="AC396" i="2"/>
  <c r="AB396" i="2"/>
  <c r="Z396" i="2"/>
  <c r="Y396" i="2"/>
  <c r="W397" i="2"/>
  <c r="V397" i="2"/>
  <c r="W396" i="2"/>
  <c r="V396" i="2"/>
  <c r="T397" i="2"/>
  <c r="S397" i="2"/>
  <c r="T396" i="2"/>
  <c r="S396" i="2"/>
  <c r="Q397" i="2"/>
  <c r="P397" i="2"/>
  <c r="Q396" i="2"/>
  <c r="P396" i="2"/>
  <c r="O412" i="2"/>
  <c r="N412" i="2"/>
  <c r="O411" i="2"/>
  <c r="N411" i="2"/>
  <c r="O409" i="2"/>
  <c r="N409" i="2"/>
  <c r="N406" i="2" s="1"/>
  <c r="O408" i="2"/>
  <c r="N408" i="2"/>
  <c r="CQ406" i="2"/>
  <c r="CP406" i="2"/>
  <c r="CN406" i="2"/>
  <c r="CM406" i="2"/>
  <c r="CK406" i="2"/>
  <c r="CJ406" i="2"/>
  <c r="CQ405" i="2"/>
  <c r="CP405" i="2"/>
  <c r="CN405" i="2"/>
  <c r="CM405" i="2"/>
  <c r="CK405" i="2"/>
  <c r="CJ405" i="2"/>
  <c r="CH406" i="2"/>
  <c r="CG406" i="2"/>
  <c r="CE406" i="2"/>
  <c r="CD406" i="2"/>
  <c r="CB406" i="2"/>
  <c r="CA406" i="2"/>
  <c r="CH405" i="2"/>
  <c r="CG405" i="2"/>
  <c r="CE405" i="2"/>
  <c r="CD405" i="2"/>
  <c r="CB405" i="2"/>
  <c r="CA405" i="2"/>
  <c r="BY406" i="2"/>
  <c r="BX406" i="2"/>
  <c r="BV406" i="2"/>
  <c r="BU406" i="2"/>
  <c r="BS406" i="2"/>
  <c r="BR406" i="2"/>
  <c r="BY405" i="2"/>
  <c r="BX405" i="2"/>
  <c r="BV405" i="2"/>
  <c r="BU405" i="2"/>
  <c r="BS405" i="2"/>
  <c r="BR405" i="2"/>
  <c r="BP406" i="2"/>
  <c r="BO406" i="2"/>
  <c r="BM406" i="2"/>
  <c r="BL406" i="2"/>
  <c r="BJ406" i="2"/>
  <c r="BI406" i="2"/>
  <c r="BP405" i="2"/>
  <c r="BO405" i="2"/>
  <c r="BM405" i="2"/>
  <c r="BL405" i="2"/>
  <c r="BJ405" i="2"/>
  <c r="BI405" i="2"/>
  <c r="BG406" i="2"/>
  <c r="BF406" i="2"/>
  <c r="BD406" i="2"/>
  <c r="BC406" i="2"/>
  <c r="BA406" i="2"/>
  <c r="AZ406" i="2"/>
  <c r="BG405" i="2"/>
  <c r="BF405" i="2"/>
  <c r="BD405" i="2"/>
  <c r="BC405" i="2"/>
  <c r="BA405" i="2"/>
  <c r="AZ405" i="2"/>
  <c r="AX406" i="2"/>
  <c r="AW406" i="2"/>
  <c r="AU406" i="2"/>
  <c r="AT406" i="2"/>
  <c r="AR406" i="2"/>
  <c r="AQ406" i="2"/>
  <c r="AX405" i="2"/>
  <c r="AW405" i="2"/>
  <c r="AU405" i="2"/>
  <c r="AT405" i="2"/>
  <c r="AR405" i="2"/>
  <c r="AQ405" i="2"/>
  <c r="AO406" i="2"/>
  <c r="AN406" i="2"/>
  <c r="AL406" i="2"/>
  <c r="AK406" i="2"/>
  <c r="AI406" i="2"/>
  <c r="AH406" i="2"/>
  <c r="AO405" i="2"/>
  <c r="AN405" i="2"/>
  <c r="AL405" i="2"/>
  <c r="AK405" i="2"/>
  <c r="AI405" i="2"/>
  <c r="AH405" i="2"/>
  <c r="AF406" i="2"/>
  <c r="AE406" i="2"/>
  <c r="AC406" i="2"/>
  <c r="AB406" i="2"/>
  <c r="Z406" i="2"/>
  <c r="Y406" i="2"/>
  <c r="AF405" i="2"/>
  <c r="AE405" i="2"/>
  <c r="AC405" i="2"/>
  <c r="AB405" i="2"/>
  <c r="Z405" i="2"/>
  <c r="Y405" i="2"/>
  <c r="W406" i="2"/>
  <c r="V406" i="2"/>
  <c r="W405" i="2"/>
  <c r="V405" i="2"/>
  <c r="T406" i="2"/>
  <c r="S406" i="2"/>
  <c r="T405" i="2"/>
  <c r="S405" i="2"/>
  <c r="Q406" i="2"/>
  <c r="Q405" i="2"/>
  <c r="P406" i="2"/>
  <c r="P405" i="2"/>
  <c r="O467" i="2"/>
  <c r="N467" i="2"/>
  <c r="O466" i="2"/>
  <c r="N466" i="2"/>
  <c r="O464" i="2"/>
  <c r="O463" i="2"/>
  <c r="N464" i="2"/>
  <c r="N463" i="2"/>
  <c r="N460" i="2" s="1"/>
  <c r="CQ461" i="2"/>
  <c r="CP461" i="2"/>
  <c r="CN461" i="2"/>
  <c r="CM461" i="2"/>
  <c r="CK461" i="2"/>
  <c r="CJ461" i="2"/>
  <c r="CQ460" i="2"/>
  <c r="CP460" i="2"/>
  <c r="CN460" i="2"/>
  <c r="CM460" i="2"/>
  <c r="CK460" i="2"/>
  <c r="CJ460" i="2"/>
  <c r="CH461" i="2"/>
  <c r="CG461" i="2"/>
  <c r="CE461" i="2"/>
  <c r="CD461" i="2"/>
  <c r="CB461" i="2"/>
  <c r="CA461" i="2"/>
  <c r="CH460" i="2"/>
  <c r="CG460" i="2"/>
  <c r="CE460" i="2"/>
  <c r="CD460" i="2"/>
  <c r="CB460" i="2"/>
  <c r="CA460" i="2"/>
  <c r="BY461" i="2"/>
  <c r="BX461" i="2"/>
  <c r="BV461" i="2"/>
  <c r="BU461" i="2"/>
  <c r="BS461" i="2"/>
  <c r="BR461" i="2"/>
  <c r="BY460" i="2"/>
  <c r="BX460" i="2"/>
  <c r="BV460" i="2"/>
  <c r="BU460" i="2"/>
  <c r="BS460" i="2"/>
  <c r="BR460" i="2"/>
  <c r="BP461" i="2"/>
  <c r="BO461" i="2"/>
  <c r="BM461" i="2"/>
  <c r="BL461" i="2"/>
  <c r="BJ461" i="2"/>
  <c r="BI461" i="2"/>
  <c r="BP460" i="2"/>
  <c r="BO460" i="2"/>
  <c r="BM460" i="2"/>
  <c r="BL460" i="2"/>
  <c r="BJ460" i="2"/>
  <c r="BI460" i="2"/>
  <c r="BG461" i="2"/>
  <c r="BF461" i="2"/>
  <c r="BD461" i="2"/>
  <c r="BC461" i="2"/>
  <c r="BA461" i="2"/>
  <c r="AZ461" i="2"/>
  <c r="BG460" i="2"/>
  <c r="BF460" i="2"/>
  <c r="BD460" i="2"/>
  <c r="BC460" i="2"/>
  <c r="BA460" i="2"/>
  <c r="AZ460" i="2"/>
  <c r="AX461" i="2"/>
  <c r="AW461" i="2"/>
  <c r="AU461" i="2"/>
  <c r="AT461" i="2"/>
  <c r="AR461" i="2"/>
  <c r="AQ461" i="2"/>
  <c r="AX460" i="2"/>
  <c r="AW460" i="2"/>
  <c r="AU460" i="2"/>
  <c r="AT460" i="2"/>
  <c r="AR460" i="2"/>
  <c r="AQ460" i="2"/>
  <c r="AO461" i="2"/>
  <c r="AN461" i="2"/>
  <c r="AL461" i="2"/>
  <c r="AK461" i="2"/>
  <c r="AI461" i="2"/>
  <c r="AH461" i="2"/>
  <c r="AO460" i="2"/>
  <c r="AN460" i="2"/>
  <c r="AL460" i="2"/>
  <c r="AK460" i="2"/>
  <c r="AI460" i="2"/>
  <c r="AH460" i="2"/>
  <c r="AF461" i="2"/>
  <c r="AE461" i="2"/>
  <c r="AC461" i="2"/>
  <c r="AB461" i="2"/>
  <c r="Z461" i="2"/>
  <c r="Y461" i="2"/>
  <c r="AF460" i="2"/>
  <c r="AE460" i="2"/>
  <c r="AC460" i="2"/>
  <c r="AB460" i="2"/>
  <c r="Z460" i="2"/>
  <c r="Y460" i="2"/>
  <c r="W461" i="2"/>
  <c r="V461" i="2"/>
  <c r="W460" i="2"/>
  <c r="V460" i="2"/>
  <c r="T461" i="2"/>
  <c r="S461" i="2"/>
  <c r="T460" i="2"/>
  <c r="S460" i="2"/>
  <c r="Q461" i="2"/>
  <c r="P461" i="2"/>
  <c r="Q460" i="2"/>
  <c r="P460" i="2"/>
  <c r="O461" i="2"/>
  <c r="N548" i="2"/>
  <c r="N547" i="2"/>
  <c r="N545" i="2"/>
  <c r="N544" i="2"/>
  <c r="N541" i="2"/>
  <c r="N534" i="2" s="1"/>
  <c r="N540" i="2"/>
  <c r="N538" i="2"/>
  <c r="N537" i="2"/>
  <c r="N505" i="2"/>
  <c r="N504" i="2"/>
  <c r="N502" i="2"/>
  <c r="N501" i="2"/>
  <c r="N499" i="2"/>
  <c r="N498" i="2"/>
  <c r="N496" i="2"/>
  <c r="N495" i="2"/>
  <c r="CQ492" i="2"/>
  <c r="CP492" i="2"/>
  <c r="CQ491" i="2"/>
  <c r="CP491" i="2"/>
  <c r="CQ534" i="2"/>
  <c r="CP534" i="2"/>
  <c r="CQ533" i="2"/>
  <c r="CP533" i="2"/>
  <c r="CQ531" i="2"/>
  <c r="CP531" i="2"/>
  <c r="CQ530" i="2"/>
  <c r="CP530" i="2"/>
  <c r="CN534" i="2"/>
  <c r="CM534" i="2"/>
  <c r="CN533" i="2"/>
  <c r="CM533" i="2"/>
  <c r="CN531" i="2"/>
  <c r="CM531" i="2"/>
  <c r="CN530" i="2"/>
  <c r="CM530" i="2"/>
  <c r="CA533" i="2"/>
  <c r="K890" i="2"/>
  <c r="K887" i="2"/>
  <c r="K869" i="2"/>
  <c r="K866" i="2"/>
  <c r="N819" i="2"/>
  <c r="CQ814" i="2"/>
  <c r="CP814" i="2"/>
  <c r="CQ813" i="2"/>
  <c r="CP813" i="2"/>
  <c r="CN814" i="2"/>
  <c r="CM814" i="2"/>
  <c r="CN813" i="2"/>
  <c r="CM813" i="2"/>
  <c r="DC870" i="2"/>
  <c r="DC891" i="2" s="1"/>
  <c r="DC877" i="2" s="1"/>
  <c r="DB870" i="2"/>
  <c r="DB891" i="2" s="1"/>
  <c r="DB877" i="2" s="1"/>
  <c r="DC869" i="2"/>
  <c r="DC890" i="2" s="1"/>
  <c r="DC876" i="2" s="1"/>
  <c r="DB869" i="2"/>
  <c r="DB890" i="2" s="1"/>
  <c r="DB876" i="2" s="1"/>
  <c r="DC867" i="2"/>
  <c r="DC888" i="2" s="1"/>
  <c r="DC874" i="2" s="1"/>
  <c r="DB867" i="2"/>
  <c r="DB888" i="2" s="1"/>
  <c r="DB874" i="2" s="1"/>
  <c r="DC866" i="2"/>
  <c r="DC887" i="2" s="1"/>
  <c r="DC873" i="2" s="1"/>
  <c r="DB866" i="2"/>
  <c r="DB887" i="2" s="1"/>
  <c r="DB873" i="2" s="1"/>
  <c r="CZ870" i="2"/>
  <c r="CZ891" i="2" s="1"/>
  <c r="CZ877" i="2" s="1"/>
  <c r="CY870" i="2"/>
  <c r="CY891" i="2" s="1"/>
  <c r="CY877" i="2" s="1"/>
  <c r="CZ869" i="2"/>
  <c r="CZ890" i="2" s="1"/>
  <c r="CZ876" i="2" s="1"/>
  <c r="CY869" i="2"/>
  <c r="CY890" i="2" s="1"/>
  <c r="CY876" i="2" s="1"/>
  <c r="CZ867" i="2"/>
  <c r="CZ888" i="2" s="1"/>
  <c r="CZ874" i="2" s="1"/>
  <c r="CY867" i="2"/>
  <c r="CY888" i="2" s="1"/>
  <c r="CY874" i="2" s="1"/>
  <c r="CZ866" i="2"/>
  <c r="CZ887" i="2" s="1"/>
  <c r="CZ873" i="2" s="1"/>
  <c r="CY866" i="2"/>
  <c r="CY887" i="2" s="1"/>
  <c r="CY873" i="2" s="1"/>
  <c r="CW870" i="2"/>
  <c r="CW891" i="2" s="1"/>
  <c r="CW877" i="2" s="1"/>
  <c r="CV870" i="2"/>
  <c r="CV891" i="2" s="1"/>
  <c r="CV877" i="2" s="1"/>
  <c r="CW869" i="2"/>
  <c r="CW890" i="2" s="1"/>
  <c r="CW876" i="2" s="1"/>
  <c r="CV869" i="2"/>
  <c r="CV890" i="2" s="1"/>
  <c r="CV876" i="2" s="1"/>
  <c r="CW867" i="2"/>
  <c r="CW888" i="2" s="1"/>
  <c r="CW874" i="2" s="1"/>
  <c r="CV867" i="2"/>
  <c r="CV888" i="2" s="1"/>
  <c r="CV874" i="2" s="1"/>
  <c r="CW866" i="2"/>
  <c r="CW887" i="2" s="1"/>
  <c r="CW873" i="2" s="1"/>
  <c r="CV866" i="2"/>
  <c r="CV887" i="2" s="1"/>
  <c r="CV873" i="2" s="1"/>
  <c r="CT870" i="2"/>
  <c r="CT891" i="2" s="1"/>
  <c r="CT877" i="2" s="1"/>
  <c r="CS870" i="2"/>
  <c r="CS891" i="2" s="1"/>
  <c r="CS877" i="2" s="1"/>
  <c r="CT869" i="2"/>
  <c r="CT890" i="2" s="1"/>
  <c r="CT876" i="2" s="1"/>
  <c r="CS869" i="2"/>
  <c r="CS890" i="2" s="1"/>
  <c r="CS876" i="2" s="1"/>
  <c r="CT867" i="2"/>
  <c r="CT888" i="2" s="1"/>
  <c r="CT874" i="2" s="1"/>
  <c r="CS867" i="2"/>
  <c r="CS888" i="2" s="1"/>
  <c r="CS874" i="2" s="1"/>
  <c r="CT866" i="2"/>
  <c r="CT887" i="2" s="1"/>
  <c r="CT873" i="2" s="1"/>
  <c r="CS866" i="2"/>
  <c r="CS887" i="2" s="1"/>
  <c r="CS873" i="2" s="1"/>
  <c r="DC856" i="2"/>
  <c r="DB856" i="2"/>
  <c r="DC855" i="2"/>
  <c r="DB855" i="2"/>
  <c r="DC853" i="2"/>
  <c r="DB853" i="2"/>
  <c r="DC852" i="2"/>
  <c r="DB852" i="2"/>
  <c r="CZ856" i="2"/>
  <c r="CY856" i="2"/>
  <c r="CZ855" i="2"/>
  <c r="CY855" i="2"/>
  <c r="CZ853" i="2"/>
  <c r="CY853" i="2"/>
  <c r="CZ852" i="2"/>
  <c r="CY852" i="2"/>
  <c r="CW856" i="2"/>
  <c r="CV856" i="2"/>
  <c r="CW855" i="2"/>
  <c r="CV855" i="2"/>
  <c r="CW853" i="2"/>
  <c r="CV853" i="2"/>
  <c r="CW852" i="2"/>
  <c r="CV852" i="2"/>
  <c r="CT856" i="2"/>
  <c r="CS856" i="2"/>
  <c r="CT855" i="2"/>
  <c r="CS855" i="2"/>
  <c r="CT853" i="2"/>
  <c r="CS853" i="2"/>
  <c r="CT852" i="2"/>
  <c r="CS852" i="2"/>
  <c r="DC831" i="2"/>
  <c r="DB831" i="2"/>
  <c r="DC830" i="2"/>
  <c r="DB830" i="2"/>
  <c r="DC828" i="2"/>
  <c r="DB828" i="2"/>
  <c r="DC827" i="2"/>
  <c r="DB827" i="2"/>
  <c r="CZ831" i="2"/>
  <c r="CY831" i="2"/>
  <c r="CZ830" i="2"/>
  <c r="CY830" i="2"/>
  <c r="CZ828" i="2"/>
  <c r="CY828" i="2"/>
  <c r="CZ827" i="2"/>
  <c r="CY827" i="2"/>
  <c r="CW831" i="2"/>
  <c r="CV831" i="2"/>
  <c r="CW830" i="2"/>
  <c r="CV830" i="2"/>
  <c r="CW828" i="2"/>
  <c r="CV828" i="2"/>
  <c r="CW827" i="2"/>
  <c r="CV827" i="2"/>
  <c r="CT831" i="2"/>
  <c r="CS831" i="2"/>
  <c r="CT830" i="2"/>
  <c r="CS830" i="2"/>
  <c r="CT828" i="2"/>
  <c r="CS828" i="2"/>
  <c r="CT827" i="2"/>
  <c r="CS827" i="2"/>
  <c r="CQ870" i="2"/>
  <c r="CQ856" i="2" s="1"/>
  <c r="CP870" i="2"/>
  <c r="CP856" i="2" s="1"/>
  <c r="CQ869" i="2"/>
  <c r="CQ855" i="2" s="1"/>
  <c r="CP869" i="2"/>
  <c r="CP855" i="2" s="1"/>
  <c r="CQ867" i="2"/>
  <c r="CQ853" i="2" s="1"/>
  <c r="CP867" i="2"/>
  <c r="CP853" i="2" s="1"/>
  <c r="CQ866" i="2"/>
  <c r="CQ852" i="2" s="1"/>
  <c r="CP866" i="2"/>
  <c r="CP852" i="2" s="1"/>
  <c r="CQ891" i="2"/>
  <c r="CQ877" i="2" s="1"/>
  <c r="CP891" i="2"/>
  <c r="CP877" i="2" s="1"/>
  <c r="CQ890" i="2"/>
  <c r="CQ876" i="2" s="1"/>
  <c r="CP890" i="2"/>
  <c r="CP876" i="2" s="1"/>
  <c r="CQ888" i="2"/>
  <c r="CQ874" i="2" s="1"/>
  <c r="CP888" i="2"/>
  <c r="CP874" i="2" s="1"/>
  <c r="CQ887" i="2"/>
  <c r="CQ873" i="2" s="1"/>
  <c r="CN870" i="2"/>
  <c r="CN856" i="2" s="1"/>
  <c r="CM870" i="2"/>
  <c r="CM856" i="2" s="1"/>
  <c r="CN869" i="2"/>
  <c r="CN890" i="2" s="1"/>
  <c r="CN876" i="2" s="1"/>
  <c r="CM869" i="2"/>
  <c r="CM855" i="2" s="1"/>
  <c r="CN867" i="2"/>
  <c r="CN853" i="2" s="1"/>
  <c r="CM867" i="2"/>
  <c r="CM853" i="2" s="1"/>
  <c r="CN866" i="2"/>
  <c r="CN887" i="2" s="1"/>
  <c r="CN873" i="2" s="1"/>
  <c r="CM866" i="2"/>
  <c r="CM852" i="2" s="1"/>
  <c r="CQ831" i="2"/>
  <c r="CP831" i="2"/>
  <c r="CQ830" i="2"/>
  <c r="CP830" i="2"/>
  <c r="CQ828" i="2"/>
  <c r="CP828" i="2"/>
  <c r="CQ827" i="2"/>
  <c r="CP827" i="2"/>
  <c r="CN831" i="2"/>
  <c r="CM831" i="2"/>
  <c r="CN830" i="2"/>
  <c r="CM830" i="2"/>
  <c r="CN828" i="2"/>
  <c r="CM828" i="2"/>
  <c r="CN827" i="2"/>
  <c r="CM827" i="2"/>
  <c r="CJ827" i="2"/>
  <c r="CN492" i="2"/>
  <c r="CM492" i="2"/>
  <c r="CN491" i="2"/>
  <c r="CM491" i="2"/>
  <c r="O505" i="2"/>
  <c r="O504" i="2"/>
  <c r="O502" i="2"/>
  <c r="O501" i="2"/>
  <c r="O499" i="2"/>
  <c r="O498" i="2"/>
  <c r="O496" i="2"/>
  <c r="O495" i="2"/>
  <c r="CK492" i="2"/>
  <c r="CJ492" i="2"/>
  <c r="CK491" i="2"/>
  <c r="CJ491" i="2"/>
  <c r="CH492" i="2"/>
  <c r="CG492" i="2"/>
  <c r="CE492" i="2"/>
  <c r="CD492" i="2"/>
  <c r="CB492" i="2"/>
  <c r="CA492" i="2"/>
  <c r="CH491" i="2"/>
  <c r="CG491" i="2"/>
  <c r="CE491" i="2"/>
  <c r="CD491" i="2"/>
  <c r="CB491" i="2"/>
  <c r="CA491" i="2"/>
  <c r="BY492" i="2"/>
  <c r="BX492" i="2"/>
  <c r="BV492" i="2"/>
  <c r="BU492" i="2"/>
  <c r="BS492" i="2"/>
  <c r="BR492" i="2"/>
  <c r="BY491" i="2"/>
  <c r="BX491" i="2"/>
  <c r="BV491" i="2"/>
  <c r="BU491" i="2"/>
  <c r="BS491" i="2"/>
  <c r="BR491" i="2"/>
  <c r="BP492" i="2"/>
  <c r="BO492" i="2"/>
  <c r="BM492" i="2"/>
  <c r="BL492" i="2"/>
  <c r="BJ492" i="2"/>
  <c r="BI492" i="2"/>
  <c r="BP491" i="2"/>
  <c r="BO491" i="2"/>
  <c r="BM491" i="2"/>
  <c r="BL491" i="2"/>
  <c r="BJ491" i="2"/>
  <c r="BI491" i="2"/>
  <c r="BG492" i="2"/>
  <c r="BF492" i="2"/>
  <c r="BD492" i="2"/>
  <c r="BC492" i="2"/>
  <c r="BA492" i="2"/>
  <c r="AZ492" i="2"/>
  <c r="BG491" i="2"/>
  <c r="BF491" i="2"/>
  <c r="BD491" i="2"/>
  <c r="BC491" i="2"/>
  <c r="BA491" i="2"/>
  <c r="AZ491" i="2"/>
  <c r="AX492" i="2"/>
  <c r="AW492" i="2"/>
  <c r="AU492" i="2"/>
  <c r="AT492" i="2"/>
  <c r="AR492" i="2"/>
  <c r="AQ492" i="2"/>
  <c r="AX491" i="2"/>
  <c r="AW491" i="2"/>
  <c r="AU491" i="2"/>
  <c r="AT491" i="2"/>
  <c r="AR491" i="2"/>
  <c r="AQ491" i="2"/>
  <c r="AO492" i="2"/>
  <c r="AN492" i="2"/>
  <c r="AL492" i="2"/>
  <c r="AK492" i="2"/>
  <c r="AI492" i="2"/>
  <c r="AH492" i="2"/>
  <c r="AO491" i="2"/>
  <c r="AN491" i="2"/>
  <c r="AL491" i="2"/>
  <c r="AK491" i="2"/>
  <c r="AI491" i="2"/>
  <c r="AH491" i="2"/>
  <c r="AF492" i="2"/>
  <c r="AE492" i="2"/>
  <c r="AC492" i="2"/>
  <c r="AB492" i="2"/>
  <c r="Z492" i="2"/>
  <c r="Y492" i="2"/>
  <c r="AF491" i="2"/>
  <c r="AE491" i="2"/>
  <c r="AC491" i="2"/>
  <c r="AB491" i="2"/>
  <c r="Z491" i="2"/>
  <c r="Y491" i="2"/>
  <c r="W492" i="2"/>
  <c r="V492" i="2"/>
  <c r="W491" i="2"/>
  <c r="V491" i="2"/>
  <c r="T492" i="2"/>
  <c r="S492" i="2"/>
  <c r="T491" i="2"/>
  <c r="S491" i="2"/>
  <c r="Q492" i="2"/>
  <c r="P492" i="2"/>
  <c r="Q491" i="2"/>
  <c r="P491" i="2"/>
  <c r="O545" i="2"/>
  <c r="O544" i="2"/>
  <c r="O548" i="2"/>
  <c r="O547" i="2"/>
  <c r="O541" i="2"/>
  <c r="O540" i="2"/>
  <c r="O538" i="2"/>
  <c r="O537" i="2"/>
  <c r="O816" i="2"/>
  <c r="O819" i="2"/>
  <c r="CK534" i="2"/>
  <c r="CJ534" i="2"/>
  <c r="CK533" i="2"/>
  <c r="CJ533" i="2"/>
  <c r="CK531" i="2"/>
  <c r="CJ531" i="2"/>
  <c r="CK530" i="2"/>
  <c r="CJ530" i="2"/>
  <c r="CH534" i="2"/>
  <c r="CG534" i="2"/>
  <c r="CE534" i="2"/>
  <c r="CD534" i="2"/>
  <c r="CB534" i="2"/>
  <c r="CA534" i="2"/>
  <c r="CH533" i="2"/>
  <c r="CG533" i="2"/>
  <c r="CE533" i="2"/>
  <c r="CD533" i="2"/>
  <c r="CB533" i="2"/>
  <c r="CH531" i="2"/>
  <c r="CG531" i="2"/>
  <c r="CE531" i="2"/>
  <c r="CD531" i="2"/>
  <c r="CB531" i="2"/>
  <c r="CA531" i="2"/>
  <c r="CH530" i="2"/>
  <c r="CG530" i="2"/>
  <c r="CE530" i="2"/>
  <c r="CD530" i="2"/>
  <c r="CB530" i="2"/>
  <c r="CA530" i="2"/>
  <c r="BY534" i="2"/>
  <c r="BX534" i="2"/>
  <c r="BV534" i="2"/>
  <c r="BU534" i="2"/>
  <c r="BS534" i="2"/>
  <c r="BR534" i="2"/>
  <c r="BY533" i="2"/>
  <c r="BX533" i="2"/>
  <c r="BV533" i="2"/>
  <c r="BU533" i="2"/>
  <c r="BS533" i="2"/>
  <c r="BR533" i="2"/>
  <c r="BY531" i="2"/>
  <c r="BX531" i="2"/>
  <c r="BV531" i="2"/>
  <c r="BU531" i="2"/>
  <c r="BS531" i="2"/>
  <c r="BR531" i="2"/>
  <c r="BY530" i="2"/>
  <c r="BX530" i="2"/>
  <c r="BV530" i="2"/>
  <c r="BU530" i="2"/>
  <c r="BS530" i="2"/>
  <c r="BR530" i="2"/>
  <c r="BP534" i="2"/>
  <c r="BO534" i="2"/>
  <c r="BM534" i="2"/>
  <c r="BL534" i="2"/>
  <c r="BJ534" i="2"/>
  <c r="BI534" i="2"/>
  <c r="BP533" i="2"/>
  <c r="BO533" i="2"/>
  <c r="BM533" i="2"/>
  <c r="BL533" i="2"/>
  <c r="BJ533" i="2"/>
  <c r="BI533" i="2"/>
  <c r="BP531" i="2"/>
  <c r="BO531" i="2"/>
  <c r="BM531" i="2"/>
  <c r="BL531" i="2"/>
  <c r="BJ531" i="2"/>
  <c r="BI531" i="2"/>
  <c r="BP530" i="2"/>
  <c r="BO530" i="2"/>
  <c r="BM530" i="2"/>
  <c r="BL530" i="2"/>
  <c r="BJ530" i="2"/>
  <c r="BI530" i="2"/>
  <c r="BG534" i="2"/>
  <c r="BF534" i="2"/>
  <c r="BD534" i="2"/>
  <c r="BC534" i="2"/>
  <c r="BA534" i="2"/>
  <c r="AZ534" i="2"/>
  <c r="BG533" i="2"/>
  <c r="BF533" i="2"/>
  <c r="BD533" i="2"/>
  <c r="BC533" i="2"/>
  <c r="BA533" i="2"/>
  <c r="AZ533" i="2"/>
  <c r="BG531" i="2"/>
  <c r="BF531" i="2"/>
  <c r="BD531" i="2"/>
  <c r="BC531" i="2"/>
  <c r="BA531" i="2"/>
  <c r="AZ531" i="2"/>
  <c r="BG530" i="2"/>
  <c r="BF530" i="2"/>
  <c r="BD530" i="2"/>
  <c r="BC530" i="2"/>
  <c r="BA530" i="2"/>
  <c r="AZ530" i="2"/>
  <c r="AX534" i="2"/>
  <c r="AW534" i="2"/>
  <c r="AU534" i="2"/>
  <c r="AT534" i="2"/>
  <c r="AR534" i="2"/>
  <c r="AQ534" i="2"/>
  <c r="AX533" i="2"/>
  <c r="AW533" i="2"/>
  <c r="AU533" i="2"/>
  <c r="AT533" i="2"/>
  <c r="AR533" i="2"/>
  <c r="AQ533" i="2"/>
  <c r="AX531" i="2"/>
  <c r="AW531" i="2"/>
  <c r="AU531" i="2"/>
  <c r="AT531" i="2"/>
  <c r="AR531" i="2"/>
  <c r="AQ531" i="2"/>
  <c r="AX530" i="2"/>
  <c r="AW530" i="2"/>
  <c r="AU530" i="2"/>
  <c r="AT530" i="2"/>
  <c r="AR530" i="2"/>
  <c r="AQ530" i="2"/>
  <c r="AO534" i="2"/>
  <c r="AN534" i="2"/>
  <c r="AL534" i="2"/>
  <c r="AK534" i="2"/>
  <c r="AI534" i="2"/>
  <c r="AH534" i="2"/>
  <c r="AO533" i="2"/>
  <c r="AN533" i="2"/>
  <c r="AL533" i="2"/>
  <c r="AK533" i="2"/>
  <c r="AI533" i="2"/>
  <c r="AH533" i="2"/>
  <c r="AO531" i="2"/>
  <c r="AN531" i="2"/>
  <c r="AL531" i="2"/>
  <c r="AK531" i="2"/>
  <c r="AI531" i="2"/>
  <c r="AH531" i="2"/>
  <c r="AO530" i="2"/>
  <c r="AN530" i="2"/>
  <c r="AL530" i="2"/>
  <c r="AK530" i="2"/>
  <c r="AI530" i="2"/>
  <c r="AH530" i="2"/>
  <c r="AF534" i="2"/>
  <c r="AE534" i="2"/>
  <c r="AC534" i="2"/>
  <c r="AB534" i="2"/>
  <c r="Z534" i="2"/>
  <c r="Y534" i="2"/>
  <c r="AF533" i="2"/>
  <c r="AE533" i="2"/>
  <c r="AC533" i="2"/>
  <c r="AB533" i="2"/>
  <c r="Z533" i="2"/>
  <c r="Y533" i="2"/>
  <c r="AF531" i="2"/>
  <c r="AE531" i="2"/>
  <c r="AC531" i="2"/>
  <c r="AB531" i="2"/>
  <c r="Z531" i="2"/>
  <c r="Y531" i="2"/>
  <c r="AF530" i="2"/>
  <c r="AE530" i="2"/>
  <c r="AC530" i="2"/>
  <c r="AB530" i="2"/>
  <c r="Z530" i="2"/>
  <c r="Y530" i="2"/>
  <c r="W534" i="2"/>
  <c r="V534" i="2"/>
  <c r="W533" i="2"/>
  <c r="V533" i="2"/>
  <c r="W531" i="2"/>
  <c r="V531" i="2"/>
  <c r="W530" i="2"/>
  <c r="V530" i="2"/>
  <c r="T534" i="2"/>
  <c r="S534" i="2"/>
  <c r="T533" i="2"/>
  <c r="S533" i="2"/>
  <c r="T531" i="2"/>
  <c r="S531" i="2"/>
  <c r="T530" i="2"/>
  <c r="S530" i="2"/>
  <c r="Q534" i="2"/>
  <c r="P534" i="2"/>
  <c r="Q533" i="2"/>
  <c r="P533" i="2"/>
  <c r="Q531" i="2"/>
  <c r="P531" i="2"/>
  <c r="Q530" i="2"/>
  <c r="P530" i="2"/>
  <c r="K706" i="2"/>
  <c r="L706" i="2"/>
  <c r="L705" i="2"/>
  <c r="K705" i="2"/>
  <c r="Q820" i="2"/>
  <c r="O820" i="2" s="1"/>
  <c r="P820" i="2"/>
  <c r="N820" i="2" s="1"/>
  <c r="Q817" i="2"/>
  <c r="O817" i="2" s="1"/>
  <c r="P817" i="2"/>
  <c r="P816" i="2"/>
  <c r="CK814" i="2"/>
  <c r="CJ814" i="2"/>
  <c r="CH814" i="2"/>
  <c r="CG814" i="2"/>
  <c r="CE814" i="2"/>
  <c r="CD814" i="2"/>
  <c r="CK813" i="2"/>
  <c r="CJ813" i="2"/>
  <c r="CH813" i="2"/>
  <c r="CG813" i="2"/>
  <c r="CE813" i="2"/>
  <c r="CD813" i="2"/>
  <c r="CB814" i="2"/>
  <c r="CA814" i="2"/>
  <c r="BY814" i="2"/>
  <c r="BX814" i="2"/>
  <c r="BV814" i="2"/>
  <c r="BU814" i="2"/>
  <c r="CB813" i="2"/>
  <c r="CA813" i="2"/>
  <c r="BY813" i="2"/>
  <c r="BX813" i="2"/>
  <c r="BV813" i="2"/>
  <c r="BU813" i="2"/>
  <c r="BS814" i="2"/>
  <c r="BR814" i="2"/>
  <c r="BP814" i="2"/>
  <c r="BO814" i="2"/>
  <c r="BM814" i="2"/>
  <c r="BL814" i="2"/>
  <c r="BS813" i="2"/>
  <c r="BR813" i="2"/>
  <c r="BP813" i="2"/>
  <c r="BO813" i="2"/>
  <c r="BM813" i="2"/>
  <c r="BL813" i="2"/>
  <c r="BJ814" i="2"/>
  <c r="BI814" i="2"/>
  <c r="BG814" i="2"/>
  <c r="BF814" i="2"/>
  <c r="BD814" i="2"/>
  <c r="BC814" i="2"/>
  <c r="BJ813" i="2"/>
  <c r="BI813" i="2"/>
  <c r="BG813" i="2"/>
  <c r="BF813" i="2"/>
  <c r="BD813" i="2"/>
  <c r="BC813" i="2"/>
  <c r="BA814" i="2"/>
  <c r="AZ814" i="2"/>
  <c r="AX814" i="2"/>
  <c r="AW814" i="2"/>
  <c r="AU814" i="2"/>
  <c r="AT814" i="2"/>
  <c r="BA813" i="2"/>
  <c r="AZ813" i="2"/>
  <c r="AX813" i="2"/>
  <c r="AW813" i="2"/>
  <c r="AU813" i="2"/>
  <c r="AT813" i="2"/>
  <c r="AR814" i="2"/>
  <c r="AQ814" i="2"/>
  <c r="AO814" i="2"/>
  <c r="AN814" i="2"/>
  <c r="AL814" i="2"/>
  <c r="AK814" i="2"/>
  <c r="AR813" i="2"/>
  <c r="AQ813" i="2"/>
  <c r="AO813" i="2"/>
  <c r="AN813" i="2"/>
  <c r="AL813" i="2"/>
  <c r="AK813" i="2"/>
  <c r="AI814" i="2"/>
  <c r="AH814" i="2"/>
  <c r="AF814" i="2"/>
  <c r="AE814" i="2"/>
  <c r="AC814" i="2"/>
  <c r="AB814" i="2"/>
  <c r="AI813" i="2"/>
  <c r="AH813" i="2"/>
  <c r="AF813" i="2"/>
  <c r="AE813" i="2"/>
  <c r="AC813" i="2"/>
  <c r="AB813" i="2"/>
  <c r="Z814" i="2"/>
  <c r="Y814" i="2"/>
  <c r="Z813" i="2"/>
  <c r="Y813" i="2"/>
  <c r="W814" i="2"/>
  <c r="V814" i="2"/>
  <c r="W813" i="2"/>
  <c r="V813" i="2"/>
  <c r="T814" i="2"/>
  <c r="S814" i="2"/>
  <c r="T813" i="2"/>
  <c r="S813" i="2"/>
  <c r="K813" i="2"/>
  <c r="CK870" i="2"/>
  <c r="CK891" i="2" s="1"/>
  <c r="CK877" i="2" s="1"/>
  <c r="CJ870" i="2"/>
  <c r="CJ891" i="2" s="1"/>
  <c r="CJ877" i="2" s="1"/>
  <c r="CK869" i="2"/>
  <c r="CK890" i="2" s="1"/>
  <c r="CK876" i="2" s="1"/>
  <c r="CJ869" i="2"/>
  <c r="CK867" i="2"/>
  <c r="CK888" i="2" s="1"/>
  <c r="CK874" i="2" s="1"/>
  <c r="CJ867" i="2"/>
  <c r="CJ888" i="2" s="1"/>
  <c r="CJ874" i="2" s="1"/>
  <c r="CK866" i="2"/>
  <c r="CK887" i="2" s="1"/>
  <c r="CK873" i="2" s="1"/>
  <c r="CJ866" i="2"/>
  <c r="CH870" i="2"/>
  <c r="CH891" i="2" s="1"/>
  <c r="CH877" i="2" s="1"/>
  <c r="CG870" i="2"/>
  <c r="CG856" i="2" s="1"/>
  <c r="CH869" i="2"/>
  <c r="CH855" i="2" s="1"/>
  <c r="CG869" i="2"/>
  <c r="CG890" i="2" s="1"/>
  <c r="CG876" i="2" s="1"/>
  <c r="CH867" i="2"/>
  <c r="CH888" i="2" s="1"/>
  <c r="CH874" i="2" s="1"/>
  <c r="CG867" i="2"/>
  <c r="CG888" i="2" s="1"/>
  <c r="CG874" i="2" s="1"/>
  <c r="CH866" i="2"/>
  <c r="CH852" i="2" s="1"/>
  <c r="CG866" i="2"/>
  <c r="CG852" i="2" s="1"/>
  <c r="CE870" i="2"/>
  <c r="CE891" i="2" s="1"/>
  <c r="CE877" i="2" s="1"/>
  <c r="CD870" i="2"/>
  <c r="CD891" i="2" s="1"/>
  <c r="CD877" i="2" s="1"/>
  <c r="CE869" i="2"/>
  <c r="CE890" i="2" s="1"/>
  <c r="CE876" i="2" s="1"/>
  <c r="CD869" i="2"/>
  <c r="CE867" i="2"/>
  <c r="CE853" i="2" s="1"/>
  <c r="CD867" i="2"/>
  <c r="CE866" i="2"/>
  <c r="CE852" i="2" s="1"/>
  <c r="CD866" i="2"/>
  <c r="CD887" i="2" s="1"/>
  <c r="CD873" i="2" s="1"/>
  <c r="CE856" i="2"/>
  <c r="CB870" i="2"/>
  <c r="CB891" i="2" s="1"/>
  <c r="CB877" i="2" s="1"/>
  <c r="CA870" i="2"/>
  <c r="CB869" i="2"/>
  <c r="CB855" i="2" s="1"/>
  <c r="CA869" i="2"/>
  <c r="CA855" i="2" s="1"/>
  <c r="CB867" i="2"/>
  <c r="CA867" i="2"/>
  <c r="CB866" i="2"/>
  <c r="CB887" i="2" s="1"/>
  <c r="CB873" i="2" s="1"/>
  <c r="CA866" i="2"/>
  <c r="CA887" i="2" s="1"/>
  <c r="CA873" i="2" s="1"/>
  <c r="BY870" i="2"/>
  <c r="BX870" i="2"/>
  <c r="BY869" i="2"/>
  <c r="BY855" i="2" s="1"/>
  <c r="BX869" i="2"/>
  <c r="BX890" i="2" s="1"/>
  <c r="BX876" i="2" s="1"/>
  <c r="BY867" i="2"/>
  <c r="BY888" i="2" s="1"/>
  <c r="BY874" i="2" s="1"/>
  <c r="BX867" i="2"/>
  <c r="BX888" i="2" s="1"/>
  <c r="BX874" i="2" s="1"/>
  <c r="BY866" i="2"/>
  <c r="BY852" i="2" s="1"/>
  <c r="BX866" i="2"/>
  <c r="BY891" i="2"/>
  <c r="BY877" i="2" s="1"/>
  <c r="BV870" i="2"/>
  <c r="BU870" i="2"/>
  <c r="BU891" i="2" s="1"/>
  <c r="BU877" i="2" s="1"/>
  <c r="BV869" i="2"/>
  <c r="BU869" i="2"/>
  <c r="BU855" i="2" s="1"/>
  <c r="BV867" i="2"/>
  <c r="BV853" i="2" s="1"/>
  <c r="BU867" i="2"/>
  <c r="BV866" i="2"/>
  <c r="BU866" i="2"/>
  <c r="BU852" i="2" s="1"/>
  <c r="BV891" i="2"/>
  <c r="BV877" i="2" s="1"/>
  <c r="BS870" i="2"/>
  <c r="BS891" i="2" s="1"/>
  <c r="BS877" i="2" s="1"/>
  <c r="BR870" i="2"/>
  <c r="BR891" i="2" s="1"/>
  <c r="BR877" i="2" s="1"/>
  <c r="BS869" i="2"/>
  <c r="BS890" i="2" s="1"/>
  <c r="BS876" i="2" s="1"/>
  <c r="BR869" i="2"/>
  <c r="BR855" i="2" s="1"/>
  <c r="BS867" i="2"/>
  <c r="BS888" i="2" s="1"/>
  <c r="BS874" i="2" s="1"/>
  <c r="BR867" i="2"/>
  <c r="BS866" i="2"/>
  <c r="BS887" i="2" s="1"/>
  <c r="BS873" i="2" s="1"/>
  <c r="BR866" i="2"/>
  <c r="BR887" i="2" s="1"/>
  <c r="BR873" i="2" s="1"/>
  <c r="BP870" i="2"/>
  <c r="BP856" i="2" s="1"/>
  <c r="BO870" i="2"/>
  <c r="BO856" i="2" s="1"/>
  <c r="BP869" i="2"/>
  <c r="BP855" i="2" s="1"/>
  <c r="BO869" i="2"/>
  <c r="BO890" i="2" s="1"/>
  <c r="BO876" i="2" s="1"/>
  <c r="BP867" i="2"/>
  <c r="BP888" i="2" s="1"/>
  <c r="BP874" i="2" s="1"/>
  <c r="BO867" i="2"/>
  <c r="BO888" i="2" s="1"/>
  <c r="BO874" i="2" s="1"/>
  <c r="BP866" i="2"/>
  <c r="BP887" i="2" s="1"/>
  <c r="BP873" i="2" s="1"/>
  <c r="BO866" i="2"/>
  <c r="BO852" i="2" s="1"/>
  <c r="BM870" i="2"/>
  <c r="BM891" i="2" s="1"/>
  <c r="BM877" i="2" s="1"/>
  <c r="BL870" i="2"/>
  <c r="BM869" i="2"/>
  <c r="BM890" i="2" s="1"/>
  <c r="BM876" i="2" s="1"/>
  <c r="BL869" i="2"/>
  <c r="BL855" i="2" s="1"/>
  <c r="BM867" i="2"/>
  <c r="BM853" i="2" s="1"/>
  <c r="BL867" i="2"/>
  <c r="BM866" i="2"/>
  <c r="BM852" i="2" s="1"/>
  <c r="BL866" i="2"/>
  <c r="BL887" i="2" s="1"/>
  <c r="BL873" i="2" s="1"/>
  <c r="BJ870" i="2"/>
  <c r="BI870" i="2"/>
  <c r="BI891" i="2" s="1"/>
  <c r="BI877" i="2" s="1"/>
  <c r="BJ869" i="2"/>
  <c r="BJ890" i="2" s="1"/>
  <c r="BJ876" i="2" s="1"/>
  <c r="BI869" i="2"/>
  <c r="BI890" i="2" s="1"/>
  <c r="BI876" i="2" s="1"/>
  <c r="BJ867" i="2"/>
  <c r="BJ888" i="2" s="1"/>
  <c r="BJ874" i="2" s="1"/>
  <c r="BI867" i="2"/>
  <c r="BI853" i="2" s="1"/>
  <c r="BJ866" i="2"/>
  <c r="BJ887" i="2" s="1"/>
  <c r="BJ873" i="2" s="1"/>
  <c r="BI866" i="2"/>
  <c r="BI887" i="2" s="1"/>
  <c r="BI873" i="2" s="1"/>
  <c r="BG870" i="2"/>
  <c r="BG891" i="2" s="1"/>
  <c r="BG877" i="2" s="1"/>
  <c r="BF870" i="2"/>
  <c r="BF856" i="2" s="1"/>
  <c r="BG869" i="2"/>
  <c r="BF869" i="2"/>
  <c r="BF890" i="2" s="1"/>
  <c r="BF876" i="2" s="1"/>
  <c r="BG867" i="2"/>
  <c r="BG853" i="2" s="1"/>
  <c r="BF867" i="2"/>
  <c r="BG866" i="2"/>
  <c r="BG887" i="2" s="1"/>
  <c r="BG873" i="2" s="1"/>
  <c r="BF866" i="2"/>
  <c r="BF887" i="2" s="1"/>
  <c r="BF873" i="2" s="1"/>
  <c r="BD870" i="2"/>
  <c r="BC870" i="2"/>
  <c r="BC891" i="2" s="1"/>
  <c r="BC877" i="2" s="1"/>
  <c r="BD869" i="2"/>
  <c r="BD890" i="2" s="1"/>
  <c r="BD876" i="2" s="1"/>
  <c r="BC869" i="2"/>
  <c r="BC890" i="2" s="1"/>
  <c r="BC876" i="2" s="1"/>
  <c r="BD867" i="2"/>
  <c r="BD888" i="2" s="1"/>
  <c r="BD874" i="2" s="1"/>
  <c r="BC867" i="2"/>
  <c r="BC853" i="2" s="1"/>
  <c r="BD866" i="2"/>
  <c r="BD887" i="2" s="1"/>
  <c r="BD873" i="2" s="1"/>
  <c r="BC866" i="2"/>
  <c r="BC887" i="2" s="1"/>
  <c r="BC873" i="2" s="1"/>
  <c r="BD891" i="2"/>
  <c r="BD877" i="2" s="1"/>
  <c r="BA870" i="2"/>
  <c r="AZ870" i="2"/>
  <c r="AZ891" i="2" s="1"/>
  <c r="AZ877" i="2" s="1"/>
  <c r="BA869" i="2"/>
  <c r="BA890" i="2" s="1"/>
  <c r="BA876" i="2" s="1"/>
  <c r="AZ869" i="2"/>
  <c r="BA867" i="2"/>
  <c r="BA888" i="2" s="1"/>
  <c r="BA874" i="2" s="1"/>
  <c r="AZ867" i="2"/>
  <c r="AZ853" i="2" s="1"/>
  <c r="BA866" i="2"/>
  <c r="BA852" i="2" s="1"/>
  <c r="AZ866" i="2"/>
  <c r="AZ887" i="2" s="1"/>
  <c r="AZ873" i="2" s="1"/>
  <c r="BA891" i="2"/>
  <c r="BA877" i="2" s="1"/>
  <c r="AX870" i="2"/>
  <c r="AX891" i="2" s="1"/>
  <c r="AX877" i="2" s="1"/>
  <c r="AW870" i="2"/>
  <c r="AW856" i="2" s="1"/>
  <c r="AX869" i="2"/>
  <c r="AX890" i="2" s="1"/>
  <c r="AX876" i="2" s="1"/>
  <c r="AW869" i="2"/>
  <c r="AW890" i="2" s="1"/>
  <c r="AW876" i="2" s="1"/>
  <c r="AX867" i="2"/>
  <c r="AW867" i="2"/>
  <c r="AW888" i="2" s="1"/>
  <c r="AX866" i="2"/>
  <c r="AX852" i="2" s="1"/>
  <c r="AW866" i="2"/>
  <c r="AU870" i="2"/>
  <c r="AU856" i="2" s="1"/>
  <c r="AT870" i="2"/>
  <c r="AT856" i="2" s="1"/>
  <c r="AU869" i="2"/>
  <c r="AT869" i="2"/>
  <c r="AT890" i="2" s="1"/>
  <c r="AT876" i="2" s="1"/>
  <c r="AU867" i="2"/>
  <c r="AU888" i="2" s="1"/>
  <c r="AU874" i="2" s="1"/>
  <c r="AT867" i="2"/>
  <c r="AT853" i="2" s="1"/>
  <c r="AU866" i="2"/>
  <c r="AT866" i="2"/>
  <c r="AT887" i="2" s="1"/>
  <c r="AT873" i="2" s="1"/>
  <c r="AR870" i="2"/>
  <c r="AR891" i="2" s="1"/>
  <c r="AR877" i="2" s="1"/>
  <c r="AQ870" i="2"/>
  <c r="AR869" i="2"/>
  <c r="AR855" i="2" s="1"/>
  <c r="AQ869" i="2"/>
  <c r="AQ890" i="2" s="1"/>
  <c r="AQ876" i="2" s="1"/>
  <c r="AR867" i="2"/>
  <c r="AR853" i="2" s="1"/>
  <c r="AQ867" i="2"/>
  <c r="AQ888" i="2" s="1"/>
  <c r="AQ874" i="2" s="1"/>
  <c r="AR866" i="2"/>
  <c r="AQ866" i="2"/>
  <c r="AQ887" i="2" s="1"/>
  <c r="AQ873" i="2" s="1"/>
  <c r="AO870" i="2"/>
  <c r="AO856" i="2" s="1"/>
  <c r="AN870" i="2"/>
  <c r="AN891" i="2" s="1"/>
  <c r="AN877" i="2" s="1"/>
  <c r="AO869" i="2"/>
  <c r="AN869" i="2"/>
  <c r="AN890" i="2" s="1"/>
  <c r="AN876" i="2" s="1"/>
  <c r="AO867" i="2"/>
  <c r="AO888" i="2" s="1"/>
  <c r="AO874" i="2" s="1"/>
  <c r="AN867" i="2"/>
  <c r="AN853" i="2" s="1"/>
  <c r="AO866" i="2"/>
  <c r="AO852" i="2" s="1"/>
  <c r="AN866" i="2"/>
  <c r="AN887" i="2" s="1"/>
  <c r="AN873" i="2" s="1"/>
  <c r="AL870" i="2"/>
  <c r="AK870" i="2"/>
  <c r="AK891" i="2" s="1"/>
  <c r="AK877" i="2" s="1"/>
  <c r="AL869" i="2"/>
  <c r="AL890" i="2" s="1"/>
  <c r="AL876" i="2" s="1"/>
  <c r="AK869" i="2"/>
  <c r="AK890" i="2" s="1"/>
  <c r="AK876" i="2" s="1"/>
  <c r="AL867" i="2"/>
  <c r="AL888" i="2" s="1"/>
  <c r="AL874" i="2" s="1"/>
  <c r="AK867" i="2"/>
  <c r="AK888" i="2" s="1"/>
  <c r="AK874" i="2" s="1"/>
  <c r="AL866" i="2"/>
  <c r="AL887" i="2" s="1"/>
  <c r="AL873" i="2" s="1"/>
  <c r="AK866" i="2"/>
  <c r="AK852" i="2" s="1"/>
  <c r="AL856" i="2"/>
  <c r="AI870" i="2"/>
  <c r="AH870" i="2"/>
  <c r="AH891" i="2" s="1"/>
  <c r="AH877" i="2" s="1"/>
  <c r="AI869" i="2"/>
  <c r="AI855" i="2" s="1"/>
  <c r="AH869" i="2"/>
  <c r="AI867" i="2"/>
  <c r="AI888" i="2" s="1"/>
  <c r="AI874" i="2" s="1"/>
  <c r="AH867" i="2"/>
  <c r="AI866" i="2"/>
  <c r="AI887" i="2" s="1"/>
  <c r="AI873" i="2" s="1"/>
  <c r="AH866" i="2"/>
  <c r="AI891" i="2"/>
  <c r="AI877" i="2" s="1"/>
  <c r="AF870" i="2"/>
  <c r="AF856" i="2" s="1"/>
  <c r="AE870" i="2"/>
  <c r="AE856" i="2" s="1"/>
  <c r="AF869" i="2"/>
  <c r="AE869" i="2"/>
  <c r="AE855" i="2" s="1"/>
  <c r="AF867" i="2"/>
  <c r="AE867" i="2"/>
  <c r="AE888" i="2" s="1"/>
  <c r="AE874" i="2" s="1"/>
  <c r="AF866" i="2"/>
  <c r="AF887" i="2" s="1"/>
  <c r="AF873" i="2" s="1"/>
  <c r="AE866" i="2"/>
  <c r="AE852" i="2" s="1"/>
  <c r="AC870" i="2"/>
  <c r="AC891" i="2" s="1"/>
  <c r="AC877" i="2" s="1"/>
  <c r="AB870" i="2"/>
  <c r="AB891" i="2" s="1"/>
  <c r="AB877" i="2" s="1"/>
  <c r="AC869" i="2"/>
  <c r="AC890" i="2" s="1"/>
  <c r="AC876" i="2" s="1"/>
  <c r="AB869" i="2"/>
  <c r="AB855" i="2" s="1"/>
  <c r="AC867" i="2"/>
  <c r="AB867" i="2"/>
  <c r="AB888" i="2" s="1"/>
  <c r="AB874" i="2" s="1"/>
  <c r="AC866" i="2"/>
  <c r="AC887" i="2" s="1"/>
  <c r="AC873" i="2" s="1"/>
  <c r="AB866" i="2"/>
  <c r="AB887" i="2" s="1"/>
  <c r="AB873" i="2" s="1"/>
  <c r="Z870" i="2"/>
  <c r="Z891" i="2" s="1"/>
  <c r="Z877" i="2" s="1"/>
  <c r="Y870" i="2"/>
  <c r="Y856" i="2" s="1"/>
  <c r="Z869" i="2"/>
  <c r="Z890" i="2" s="1"/>
  <c r="Z876" i="2" s="1"/>
  <c r="Y869" i="2"/>
  <c r="Y890" i="2" s="1"/>
  <c r="Z867" i="2"/>
  <c r="Z853" i="2" s="1"/>
  <c r="Y867" i="2"/>
  <c r="Y888" i="2" s="1"/>
  <c r="Y874" i="2" s="1"/>
  <c r="Z866" i="2"/>
  <c r="Z887" i="2" s="1"/>
  <c r="Z873" i="2" s="1"/>
  <c r="Y866" i="2"/>
  <c r="Y852" i="2" s="1"/>
  <c r="Z856" i="2"/>
  <c r="W870" i="2"/>
  <c r="W891" i="2" s="1"/>
  <c r="W877" i="2" s="1"/>
  <c r="V870" i="2"/>
  <c r="W869" i="2"/>
  <c r="W890" i="2" s="1"/>
  <c r="W876" i="2" s="1"/>
  <c r="V869" i="2"/>
  <c r="V890" i="2" s="1"/>
  <c r="V876" i="2" s="1"/>
  <c r="W867" i="2"/>
  <c r="W888" i="2" s="1"/>
  <c r="W874" i="2" s="1"/>
  <c r="V867" i="2"/>
  <c r="V888" i="2" s="1"/>
  <c r="V874" i="2" s="1"/>
  <c r="W866" i="2"/>
  <c r="W887" i="2" s="1"/>
  <c r="W873" i="2" s="1"/>
  <c r="V866" i="2"/>
  <c r="V855" i="2"/>
  <c r="T870" i="2"/>
  <c r="S870" i="2"/>
  <c r="T869" i="2"/>
  <c r="T855" i="2" s="1"/>
  <c r="S869" i="2"/>
  <c r="S890" i="2" s="1"/>
  <c r="S876" i="2" s="1"/>
  <c r="T867" i="2"/>
  <c r="T888" i="2" s="1"/>
  <c r="T874" i="2" s="1"/>
  <c r="S867" i="2"/>
  <c r="T866" i="2"/>
  <c r="T852" i="2" s="1"/>
  <c r="S866" i="2"/>
  <c r="S852" i="2" s="1"/>
  <c r="T891" i="2"/>
  <c r="T877" i="2" s="1"/>
  <c r="P856" i="2"/>
  <c r="Q869" i="2"/>
  <c r="P869" i="2"/>
  <c r="P888" i="2"/>
  <c r="Q866" i="2"/>
  <c r="P866" i="2"/>
  <c r="CK831" i="2"/>
  <c r="CJ831" i="2"/>
  <c r="CK830" i="2"/>
  <c r="CJ830" i="2"/>
  <c r="CK828" i="2"/>
  <c r="CJ828" i="2"/>
  <c r="CK827" i="2"/>
  <c r="CH831" i="2"/>
  <c r="CG831" i="2"/>
  <c r="CE831" i="2"/>
  <c r="CD831" i="2"/>
  <c r="CB831" i="2"/>
  <c r="CA831" i="2"/>
  <c r="CH830" i="2"/>
  <c r="CG830" i="2"/>
  <c r="CE830" i="2"/>
  <c r="CD830" i="2"/>
  <c r="CB830" i="2"/>
  <c r="CA830" i="2"/>
  <c r="CH828" i="2"/>
  <c r="CG828" i="2"/>
  <c r="CE828" i="2"/>
  <c r="CD828" i="2"/>
  <c r="CB828" i="2"/>
  <c r="CA828" i="2"/>
  <c r="CH827" i="2"/>
  <c r="CG827" i="2"/>
  <c r="CE827" i="2"/>
  <c r="CD827" i="2"/>
  <c r="CB827" i="2"/>
  <c r="CA827" i="2"/>
  <c r="BY831" i="2"/>
  <c r="BX831" i="2"/>
  <c r="BV831" i="2"/>
  <c r="BU831" i="2"/>
  <c r="BS831" i="2"/>
  <c r="BR831" i="2"/>
  <c r="BY830" i="2"/>
  <c r="BX830" i="2"/>
  <c r="BV830" i="2"/>
  <c r="BU830" i="2"/>
  <c r="BS830" i="2"/>
  <c r="BR830" i="2"/>
  <c r="BY828" i="2"/>
  <c r="BX828" i="2"/>
  <c r="BV828" i="2"/>
  <c r="BU828" i="2"/>
  <c r="BS828" i="2"/>
  <c r="BR828" i="2"/>
  <c r="BY827" i="2"/>
  <c r="BX827" i="2"/>
  <c r="BV827" i="2"/>
  <c r="BU827" i="2"/>
  <c r="BS827" i="2"/>
  <c r="BR827" i="2"/>
  <c r="BP831" i="2"/>
  <c r="BO831" i="2"/>
  <c r="BM831" i="2"/>
  <c r="BL831" i="2"/>
  <c r="BJ831" i="2"/>
  <c r="BI831" i="2"/>
  <c r="BP830" i="2"/>
  <c r="BO830" i="2"/>
  <c r="BM830" i="2"/>
  <c r="BL830" i="2"/>
  <c r="BJ830" i="2"/>
  <c r="BI830" i="2"/>
  <c r="BP828" i="2"/>
  <c r="BO828" i="2"/>
  <c r="BM828" i="2"/>
  <c r="BL828" i="2"/>
  <c r="BJ828" i="2"/>
  <c r="BI828" i="2"/>
  <c r="BP827" i="2"/>
  <c r="BO827" i="2"/>
  <c r="BM827" i="2"/>
  <c r="BL827" i="2"/>
  <c r="BJ827" i="2"/>
  <c r="BI827" i="2"/>
  <c r="BG831" i="2"/>
  <c r="BF831" i="2"/>
  <c r="BD831" i="2"/>
  <c r="BC831" i="2"/>
  <c r="BA831" i="2"/>
  <c r="AZ831" i="2"/>
  <c r="BG830" i="2"/>
  <c r="BF830" i="2"/>
  <c r="BD830" i="2"/>
  <c r="BC830" i="2"/>
  <c r="BA830" i="2"/>
  <c r="AZ830" i="2"/>
  <c r="BG828" i="2"/>
  <c r="BF828" i="2"/>
  <c r="BD828" i="2"/>
  <c r="BC828" i="2"/>
  <c r="BA828" i="2"/>
  <c r="AZ828" i="2"/>
  <c r="BG827" i="2"/>
  <c r="BF827" i="2"/>
  <c r="BD827" i="2"/>
  <c r="BC827" i="2"/>
  <c r="BA827" i="2"/>
  <c r="AZ827" i="2"/>
  <c r="AX831" i="2"/>
  <c r="AW831" i="2"/>
  <c r="AU831" i="2"/>
  <c r="AT831" i="2"/>
  <c r="AR831" i="2"/>
  <c r="AQ831" i="2"/>
  <c r="AX830" i="2"/>
  <c r="AW830" i="2"/>
  <c r="AU830" i="2"/>
  <c r="AT830" i="2"/>
  <c r="AR830" i="2"/>
  <c r="AQ830" i="2"/>
  <c r="AX828" i="2"/>
  <c r="AW828" i="2"/>
  <c r="AU828" i="2"/>
  <c r="AT828" i="2"/>
  <c r="AR828" i="2"/>
  <c r="AQ828" i="2"/>
  <c r="AX827" i="2"/>
  <c r="AW827" i="2"/>
  <c r="AU827" i="2"/>
  <c r="AT827" i="2"/>
  <c r="AR827" i="2"/>
  <c r="AQ827" i="2"/>
  <c r="AO831" i="2"/>
  <c r="AN831" i="2"/>
  <c r="AL831" i="2"/>
  <c r="AK831" i="2"/>
  <c r="AI831" i="2"/>
  <c r="AH831" i="2"/>
  <c r="AO830" i="2"/>
  <c r="AN830" i="2"/>
  <c r="AL830" i="2"/>
  <c r="AK830" i="2"/>
  <c r="AI830" i="2"/>
  <c r="AH830" i="2"/>
  <c r="AO828" i="2"/>
  <c r="AN828" i="2"/>
  <c r="AL828" i="2"/>
  <c r="AK828" i="2"/>
  <c r="AI828" i="2"/>
  <c r="AH828" i="2"/>
  <c r="AO827" i="2"/>
  <c r="AN827" i="2"/>
  <c r="AL827" i="2"/>
  <c r="AK827" i="2"/>
  <c r="AI827" i="2"/>
  <c r="AH827" i="2"/>
  <c r="AF831" i="2"/>
  <c r="AE831" i="2"/>
  <c r="AC831" i="2"/>
  <c r="AB831" i="2"/>
  <c r="Z831" i="2"/>
  <c r="Y831" i="2"/>
  <c r="AF830" i="2"/>
  <c r="AE830" i="2"/>
  <c r="AC830" i="2"/>
  <c r="AB830" i="2"/>
  <c r="Z830" i="2"/>
  <c r="Y830" i="2"/>
  <c r="AF828" i="2"/>
  <c r="AE828" i="2"/>
  <c r="AC828" i="2"/>
  <c r="AB828" i="2"/>
  <c r="Z828" i="2"/>
  <c r="Y828" i="2"/>
  <c r="AF827" i="2"/>
  <c r="AE827" i="2"/>
  <c r="AC827" i="2"/>
  <c r="AB827" i="2"/>
  <c r="Z827" i="2"/>
  <c r="Y827" i="2"/>
  <c r="W831" i="2"/>
  <c r="V831" i="2"/>
  <c r="W830" i="2"/>
  <c r="V830" i="2"/>
  <c r="W828" i="2"/>
  <c r="V828" i="2"/>
  <c r="W827" i="2"/>
  <c r="V827" i="2"/>
  <c r="T831" i="2"/>
  <c r="S831" i="2"/>
  <c r="T830" i="2"/>
  <c r="S830" i="2"/>
  <c r="T828" i="2"/>
  <c r="S828" i="2"/>
  <c r="T827" i="2"/>
  <c r="S827" i="2"/>
  <c r="Q831" i="2"/>
  <c r="P831" i="2"/>
  <c r="Q830" i="2"/>
  <c r="P830" i="2"/>
  <c r="Q828" i="2"/>
  <c r="P828" i="2"/>
  <c r="Q827" i="2"/>
  <c r="P827" i="2"/>
  <c r="CH887" i="2"/>
  <c r="CH873" i="2" s="1"/>
  <c r="BO891" i="2"/>
  <c r="BO877" i="2" s="1"/>
  <c r="BO887" i="2"/>
  <c r="BO873" i="2" s="1"/>
  <c r="AH888" i="2"/>
  <c r="AH874" i="2" s="1"/>
  <c r="P891" i="2"/>
  <c r="CK852" i="2"/>
  <c r="BU856" i="2"/>
  <c r="BF855" i="2"/>
  <c r="BJ853" i="2"/>
  <c r="BA855" i="2"/>
  <c r="AH856" i="2"/>
  <c r="AO853" i="2"/>
  <c r="AK853" i="2"/>
  <c r="AH853" i="2"/>
  <c r="AF852" i="2"/>
  <c r="Q853" i="2"/>
  <c r="P853" i="2"/>
  <c r="CK20" i="2"/>
  <c r="CJ20" i="2"/>
  <c r="CH20" i="2"/>
  <c r="CG20" i="2"/>
  <c r="CE20" i="2"/>
  <c r="CD20" i="2"/>
  <c r="CB20" i="2"/>
  <c r="CA20" i="2"/>
  <c r="BY20" i="2"/>
  <c r="BX20" i="2"/>
  <c r="BV20" i="2"/>
  <c r="BU20" i="2"/>
  <c r="BS20" i="2"/>
  <c r="BR20" i="2"/>
  <c r="BP20" i="2"/>
  <c r="BO20" i="2"/>
  <c r="BM20" i="2"/>
  <c r="BL20" i="2"/>
  <c r="BJ20" i="2"/>
  <c r="BI20" i="2"/>
  <c r="BG20" i="2"/>
  <c r="BF20" i="2"/>
  <c r="BD20" i="2"/>
  <c r="BA20" i="2"/>
  <c r="AZ20" i="2"/>
  <c r="AX20" i="2"/>
  <c r="AW20" i="2"/>
  <c r="AR20" i="2"/>
  <c r="AQ20" i="2"/>
  <c r="AO20" i="2"/>
  <c r="AN20" i="2"/>
  <c r="AL20" i="2"/>
  <c r="AK20" i="2"/>
  <c r="AI20" i="2"/>
  <c r="AH20" i="2"/>
  <c r="AF20" i="2"/>
  <c r="AE20" i="2"/>
  <c r="AC20" i="2"/>
  <c r="AB20" i="2"/>
  <c r="Z20" i="2"/>
  <c r="Y20" i="2"/>
  <c r="W20" i="2"/>
  <c r="V20" i="2"/>
  <c r="T20" i="2"/>
  <c r="S20" i="2"/>
  <c r="Q20" i="2"/>
  <c r="P20" i="2"/>
  <c r="CK15" i="2"/>
  <c r="CJ15" i="2"/>
  <c r="CH15" i="2"/>
  <c r="CG15" i="2"/>
  <c r="CE15" i="2"/>
  <c r="CD15" i="2"/>
  <c r="CB15" i="2"/>
  <c r="CA15" i="2"/>
  <c r="BY15" i="2"/>
  <c r="BX15" i="2"/>
  <c r="BV15" i="2"/>
  <c r="BU15" i="2"/>
  <c r="BS15" i="2"/>
  <c r="BR15" i="2"/>
  <c r="BP15" i="2"/>
  <c r="BO15" i="2"/>
  <c r="BM15" i="2"/>
  <c r="BL15" i="2"/>
  <c r="BJ15" i="2"/>
  <c r="BI15" i="2"/>
  <c r="BG15" i="2"/>
  <c r="BF15" i="2"/>
  <c r="BD15" i="2"/>
  <c r="BC15" i="2"/>
  <c r="BA15" i="2"/>
  <c r="AZ15" i="2"/>
  <c r="AX15" i="2"/>
  <c r="AW15" i="2"/>
  <c r="AR15" i="2"/>
  <c r="AQ15" i="2"/>
  <c r="AO15" i="2"/>
  <c r="AN15" i="2"/>
  <c r="AL15" i="2"/>
  <c r="AK15" i="2"/>
  <c r="AI15" i="2"/>
  <c r="AH15" i="2"/>
  <c r="AF15" i="2"/>
  <c r="AE15" i="2"/>
  <c r="AC15" i="2"/>
  <c r="AB15" i="2"/>
  <c r="Z15" i="2"/>
  <c r="Y15" i="2"/>
  <c r="W15" i="2"/>
  <c r="V15" i="2"/>
  <c r="T15" i="2"/>
  <c r="S15" i="2"/>
  <c r="Q15" i="2"/>
  <c r="P15" i="2"/>
  <c r="CK10" i="2"/>
  <c r="CH10" i="2"/>
  <c r="CG10" i="2"/>
  <c r="CE10" i="2"/>
  <c r="CD10" i="2"/>
  <c r="CB10" i="2"/>
  <c r="CA10" i="2"/>
  <c r="BY10" i="2"/>
  <c r="BX10" i="2"/>
  <c r="BV10" i="2"/>
  <c r="BU10" i="2"/>
  <c r="BS10" i="2"/>
  <c r="BR10" i="2"/>
  <c r="BP10" i="2"/>
  <c r="BO10" i="2"/>
  <c r="BM10" i="2"/>
  <c r="BL10" i="2"/>
  <c r="BJ10" i="2"/>
  <c r="BI10" i="2"/>
  <c r="BG10" i="2"/>
  <c r="BF10" i="2"/>
  <c r="BD10" i="2"/>
  <c r="BC10" i="2"/>
  <c r="BA10" i="2"/>
  <c r="AZ10" i="2"/>
  <c r="AX10" i="2"/>
  <c r="AW10" i="2"/>
  <c r="AR10" i="2"/>
  <c r="AQ10" i="2"/>
  <c r="AO10" i="2"/>
  <c r="AN10" i="2"/>
  <c r="AL10" i="2"/>
  <c r="AK10" i="2"/>
  <c r="AI10" i="2"/>
  <c r="AH10" i="2"/>
  <c r="AF10" i="2"/>
  <c r="AE10" i="2"/>
  <c r="AC10" i="2"/>
  <c r="AB10" i="2"/>
  <c r="Z10" i="2"/>
  <c r="Y10" i="2"/>
  <c r="W10" i="2"/>
  <c r="V10" i="2"/>
  <c r="T10" i="2"/>
  <c r="S10" i="2"/>
  <c r="Q10" i="2"/>
  <c r="P10" i="2"/>
  <c r="O397" i="2" l="1"/>
  <c r="CP887" i="2"/>
  <c r="CP873" i="2" s="1"/>
  <c r="AE853" i="2"/>
  <c r="N867" i="2"/>
  <c r="N853" i="2" s="1"/>
  <c r="O492" i="2"/>
  <c r="O867" i="2"/>
  <c r="N531" i="2"/>
  <c r="O419" i="2"/>
  <c r="N869" i="2"/>
  <c r="N855" i="2" s="1"/>
  <c r="O405" i="2"/>
  <c r="N387" i="2"/>
  <c r="AE891" i="2"/>
  <c r="AE877" i="2" s="1"/>
  <c r="S856" i="2"/>
  <c r="N870" i="2"/>
  <c r="N397" i="2"/>
  <c r="P852" i="2"/>
  <c r="N866" i="2"/>
  <c r="CB856" i="2"/>
  <c r="Q855" i="2"/>
  <c r="Q890" i="2"/>
  <c r="O869" i="2"/>
  <c r="Q891" i="2"/>
  <c r="O870" i="2"/>
  <c r="O856" i="2" s="1"/>
  <c r="Q887" i="2"/>
  <c r="O866" i="2"/>
  <c r="CJ855" i="2"/>
  <c r="CJ887" i="2"/>
  <c r="Z852" i="2"/>
  <c r="AR856" i="2"/>
  <c r="BX855" i="2"/>
  <c r="BM887" i="2"/>
  <c r="BM873" i="2" s="1"/>
  <c r="CG887" i="2"/>
  <c r="CG873" i="2" s="1"/>
  <c r="O530" i="2"/>
  <c r="O533" i="2"/>
  <c r="N461" i="2"/>
  <c r="BM855" i="2"/>
  <c r="CD856" i="2"/>
  <c r="BC888" i="2"/>
  <c r="BC874" i="2" s="1"/>
  <c r="Q856" i="2"/>
  <c r="BM856" i="2"/>
  <c r="BG888" i="2"/>
  <c r="BG874" i="2" s="1"/>
  <c r="W852" i="2"/>
  <c r="AZ856" i="2"/>
  <c r="BG856" i="2"/>
  <c r="BS856" i="2"/>
  <c r="CK853" i="2"/>
  <c r="S891" i="2"/>
  <c r="S877" i="2" s="1"/>
  <c r="AR888" i="2"/>
  <c r="AR874" i="2" s="1"/>
  <c r="O827" i="2"/>
  <c r="O830" i="2"/>
  <c r="O27" i="2"/>
  <c r="BC20" i="2"/>
  <c r="W855" i="2"/>
  <c r="AK856" i="2"/>
  <c r="BS853" i="2"/>
  <c r="CG855" i="2"/>
  <c r="AT888" i="2"/>
  <c r="AT874" i="2" s="1"/>
  <c r="BM888" i="2"/>
  <c r="BM874" i="2" s="1"/>
  <c r="BY890" i="2"/>
  <c r="BY876" i="2" s="1"/>
  <c r="CS20" i="2"/>
  <c r="BO853" i="2"/>
  <c r="CD852" i="2"/>
  <c r="N831" i="2"/>
  <c r="N828" i="2"/>
  <c r="O28" i="2"/>
  <c r="AO887" i="2"/>
  <c r="AO873" i="2" s="1"/>
  <c r="AB856" i="2"/>
  <c r="O26" i="2"/>
  <c r="AC856" i="2"/>
  <c r="AK855" i="2"/>
  <c r="BO855" i="2"/>
  <c r="BU887" i="2"/>
  <c r="BU873" i="2" s="1"/>
  <c r="BP852" i="2"/>
  <c r="CN852" i="2"/>
  <c r="CN888" i="2"/>
  <c r="CN874" i="2" s="1"/>
  <c r="N32" i="2"/>
  <c r="O31" i="2"/>
  <c r="N27" i="2"/>
  <c r="N30" i="2"/>
  <c r="N31" i="2"/>
  <c r="N26" i="2"/>
  <c r="N28" i="2"/>
  <c r="AN856" i="2"/>
  <c r="P887" i="2"/>
  <c r="AN888" i="2"/>
  <c r="AN874" i="2" s="1"/>
  <c r="AT891" i="2"/>
  <c r="AT877" i="2" s="1"/>
  <c r="AQ853" i="2"/>
  <c r="BS855" i="2"/>
  <c r="BA887" i="2"/>
  <c r="BA873" i="2" s="1"/>
  <c r="BF891" i="2"/>
  <c r="BF877" i="2" s="1"/>
  <c r="BL890" i="2"/>
  <c r="BL876" i="2" s="1"/>
  <c r="BV888" i="2"/>
  <c r="BV874" i="2" s="1"/>
  <c r="CB890" i="2"/>
  <c r="CB876" i="2" s="1"/>
  <c r="O828" i="2"/>
  <c r="O831" i="2"/>
  <c r="AX887" i="2"/>
  <c r="AX873" i="2" s="1"/>
  <c r="CB852" i="2"/>
  <c r="CN855" i="2"/>
  <c r="BL852" i="2"/>
  <c r="Z855" i="2"/>
  <c r="BC856" i="2"/>
  <c r="CK855" i="2"/>
  <c r="T890" i="2"/>
  <c r="T876" i="2" s="1"/>
  <c r="AI890" i="2"/>
  <c r="AI876" i="2" s="1"/>
  <c r="AO891" i="2"/>
  <c r="AO877" i="2" s="1"/>
  <c r="AU853" i="2"/>
  <c r="BP890" i="2"/>
  <c r="BP876" i="2" s="1"/>
  <c r="BU890" i="2"/>
  <c r="BU876" i="2" s="1"/>
  <c r="AC852" i="2"/>
  <c r="CJ890" i="2"/>
  <c r="O534" i="2"/>
  <c r="BL888" i="2"/>
  <c r="BL874" i="2" s="1"/>
  <c r="BL853" i="2"/>
  <c r="BR853" i="2"/>
  <c r="BR888" i="2"/>
  <c r="BR874" i="2" s="1"/>
  <c r="BX852" i="2"/>
  <c r="BX887" i="2"/>
  <c r="BX873" i="2" s="1"/>
  <c r="P813" i="2"/>
  <c r="N816" i="2"/>
  <c r="N813" i="2" s="1"/>
  <c r="BR856" i="2"/>
  <c r="AF888" i="2"/>
  <c r="AF874" i="2" s="1"/>
  <c r="AF853" i="2"/>
  <c r="AU852" i="2"/>
  <c r="AU887" i="2"/>
  <c r="AU873" i="2" s="1"/>
  <c r="AW852" i="2"/>
  <c r="AW887" i="2"/>
  <c r="AW873" i="2" s="1"/>
  <c r="BJ856" i="2"/>
  <c r="BJ891" i="2"/>
  <c r="BJ877" i="2" s="1"/>
  <c r="CD890" i="2"/>
  <c r="CD876" i="2" s="1"/>
  <c r="CD855" i="2"/>
  <c r="N817" i="2"/>
  <c r="N814" i="2" s="1"/>
  <c r="P814" i="2"/>
  <c r="CN891" i="2"/>
  <c r="CN877" i="2" s="1"/>
  <c r="N852" i="2"/>
  <c r="N491" i="2"/>
  <c r="Q873" i="2"/>
  <c r="Q852" i="2"/>
  <c r="AX853" i="2"/>
  <c r="AX888" i="2"/>
  <c r="AX874" i="2" s="1"/>
  <c r="CA852" i="2"/>
  <c r="CM891" i="2"/>
  <c r="CM877" i="2" s="1"/>
  <c r="N15" i="2"/>
  <c r="AZ888" i="2"/>
  <c r="AZ874" i="2" s="1"/>
  <c r="CA890" i="2"/>
  <c r="CA876" i="2" s="1"/>
  <c r="AQ891" i="2"/>
  <c r="AQ877" i="2" s="1"/>
  <c r="AQ856" i="2"/>
  <c r="CB888" i="2"/>
  <c r="CB874" i="2" s="1"/>
  <c r="CB853" i="2"/>
  <c r="CM888" i="2"/>
  <c r="CM874" i="2" s="1"/>
  <c r="O388" i="2"/>
  <c r="O406" i="2"/>
  <c r="O396" i="2"/>
  <c r="O531" i="2"/>
  <c r="CM887" i="2"/>
  <c r="CM873" i="2" s="1"/>
  <c r="CM890" i="2"/>
  <c r="CM876" i="2" s="1"/>
  <c r="N856" i="2"/>
  <c r="CJ852" i="2"/>
  <c r="CH890" i="2"/>
  <c r="CH876" i="2" s="1"/>
  <c r="N388" i="2"/>
  <c r="N405" i="2"/>
  <c r="N396" i="2"/>
  <c r="O460" i="2"/>
  <c r="N533" i="2"/>
  <c r="N530" i="2"/>
  <c r="O814" i="2"/>
  <c r="Q814" i="2"/>
  <c r="N492" i="2"/>
  <c r="O491" i="2"/>
  <c r="O813" i="2"/>
  <c r="Q813" i="2"/>
  <c r="BX856" i="2"/>
  <c r="BX891" i="2"/>
  <c r="BX877" i="2" s="1"/>
  <c r="CA853" i="2"/>
  <c r="CA888" i="2"/>
  <c r="CA874" i="2" s="1"/>
  <c r="CA856" i="2"/>
  <c r="CA891" i="2"/>
  <c r="CA877" i="2" s="1"/>
  <c r="CG853" i="2"/>
  <c r="AW891" i="2"/>
  <c r="AW877" i="2" s="1"/>
  <c r="CE888" i="2"/>
  <c r="CE874" i="2" s="1"/>
  <c r="AO855" i="2"/>
  <c r="AO890" i="2"/>
  <c r="AO876" i="2" s="1"/>
  <c r="AR852" i="2"/>
  <c r="AR887" i="2"/>
  <c r="AR873" i="2" s="1"/>
  <c r="AU890" i="2"/>
  <c r="AU876" i="2" s="1"/>
  <c r="AU855" i="2"/>
  <c r="BL891" i="2"/>
  <c r="BL877" i="2" s="1"/>
  <c r="BL856" i="2"/>
  <c r="BV852" i="2"/>
  <c r="BV887" i="2"/>
  <c r="BV873" i="2" s="1"/>
  <c r="BV855" i="2"/>
  <c r="BV890" i="2"/>
  <c r="BV876" i="2" s="1"/>
  <c r="AL852" i="2"/>
  <c r="AW853" i="2"/>
  <c r="BP853" i="2"/>
  <c r="V852" i="2"/>
  <c r="V887" i="2"/>
  <c r="V873" i="2" s="1"/>
  <c r="AF890" i="2"/>
  <c r="AF876" i="2" s="1"/>
  <c r="AF855" i="2"/>
  <c r="AH887" i="2"/>
  <c r="AH873" i="2" s="1"/>
  <c r="AH852" i="2"/>
  <c r="AH855" i="2"/>
  <c r="AH890" i="2"/>
  <c r="AH876" i="2" s="1"/>
  <c r="BG890" i="2"/>
  <c r="BG876" i="2" s="1"/>
  <c r="BG855" i="2"/>
  <c r="BU888" i="2"/>
  <c r="BU874" i="2" s="1"/>
  <c r="BU853" i="2"/>
  <c r="N10" i="2"/>
  <c r="O15" i="2"/>
  <c r="O20" i="2"/>
  <c r="Y853" i="2"/>
  <c r="AL855" i="2"/>
  <c r="BG852" i="2"/>
  <c r="CK856" i="2"/>
  <c r="Y891" i="2"/>
  <c r="Y877" i="2" s="1"/>
  <c r="AR890" i="2"/>
  <c r="AR876" i="2" s="1"/>
  <c r="BP891" i="2"/>
  <c r="BP877" i="2" s="1"/>
  <c r="CG891" i="2"/>
  <c r="CG877" i="2" s="1"/>
  <c r="P890" i="2"/>
  <c r="P855" i="2"/>
  <c r="S853" i="2"/>
  <c r="S888" i="2"/>
  <c r="S874" i="2" s="1"/>
  <c r="AZ890" i="2"/>
  <c r="AZ876" i="2" s="1"/>
  <c r="AZ855" i="2"/>
  <c r="BF888" i="2"/>
  <c r="BF874" i="2" s="1"/>
  <c r="BF853" i="2"/>
  <c r="CD888" i="2"/>
  <c r="CD874" i="2" s="1"/>
  <c r="CD853" i="2"/>
  <c r="AC853" i="2"/>
  <c r="AC888" i="2"/>
  <c r="AC874" i="2" s="1"/>
  <c r="O10" i="2"/>
  <c r="N20" i="2"/>
  <c r="AI852" i="2"/>
  <c r="CJ853" i="2"/>
  <c r="CJ856" i="2"/>
  <c r="CH853" i="2"/>
  <c r="CH856" i="2"/>
  <c r="CE855" i="2"/>
  <c r="CE887" i="2"/>
  <c r="CE873" i="2" s="1"/>
  <c r="N830" i="2"/>
  <c r="BY887" i="2"/>
  <c r="BY873" i="2" s="1"/>
  <c r="BX853" i="2"/>
  <c r="BY853" i="2"/>
  <c r="BY856" i="2"/>
  <c r="BV856" i="2"/>
  <c r="BR852" i="2"/>
  <c r="BS852" i="2"/>
  <c r="BR890" i="2"/>
  <c r="BR876" i="2" s="1"/>
  <c r="BI856" i="2"/>
  <c r="BI852" i="2"/>
  <c r="BJ855" i="2"/>
  <c r="BI855" i="2"/>
  <c r="BJ852" i="2"/>
  <c r="BI888" i="2"/>
  <c r="BI874" i="2" s="1"/>
  <c r="BF852" i="2"/>
  <c r="BD853" i="2"/>
  <c r="BD856" i="2"/>
  <c r="BC852" i="2"/>
  <c r="BC855" i="2"/>
  <c r="BD852" i="2"/>
  <c r="BD855" i="2"/>
  <c r="AZ852" i="2"/>
  <c r="BA856" i="2"/>
  <c r="BA853" i="2"/>
  <c r="AX856" i="2"/>
  <c r="AW855" i="2"/>
  <c r="AX855" i="2"/>
  <c r="AU891" i="2"/>
  <c r="AU877" i="2" s="1"/>
  <c r="AT852" i="2"/>
  <c r="AT855" i="2"/>
  <c r="AQ852" i="2"/>
  <c r="AQ855" i="2"/>
  <c r="AN852" i="2"/>
  <c r="AN855" i="2"/>
  <c r="AL853" i="2"/>
  <c r="AL891" i="2"/>
  <c r="AL877" i="2" s="1"/>
  <c r="AK887" i="2"/>
  <c r="AK873" i="2" s="1"/>
  <c r="AI853" i="2"/>
  <c r="AI856" i="2"/>
  <c r="AF891" i="2"/>
  <c r="AE887" i="2"/>
  <c r="AE873" i="2" s="1"/>
  <c r="AE890" i="2"/>
  <c r="AE876" i="2" s="1"/>
  <c r="AB852" i="2"/>
  <c r="AC855" i="2"/>
  <c r="AB890" i="2"/>
  <c r="AB876" i="2" s="1"/>
  <c r="O852" i="2"/>
  <c r="AB853" i="2"/>
  <c r="Z888" i="2"/>
  <c r="Z874" i="2" s="1"/>
  <c r="Y855" i="2"/>
  <c r="Y887" i="2"/>
  <c r="Y873" i="2" s="1"/>
  <c r="N827" i="2"/>
  <c r="V856" i="2"/>
  <c r="V853" i="2"/>
  <c r="W856" i="2"/>
  <c r="V891" i="2"/>
  <c r="V877" i="2" s="1"/>
  <c r="W853" i="2"/>
  <c r="O855" i="2"/>
  <c r="S887" i="2"/>
  <c r="S873" i="2" s="1"/>
  <c r="O853" i="2"/>
  <c r="T887" i="2"/>
  <c r="T873" i="2" s="1"/>
  <c r="T853" i="2"/>
  <c r="T856" i="2"/>
  <c r="S855" i="2"/>
  <c r="P877" i="2"/>
  <c r="Q888" i="2"/>
  <c r="P874" i="2"/>
  <c r="AW874" i="2"/>
  <c r="Y876" i="2"/>
  <c r="W46" i="2"/>
  <c r="V46" i="2"/>
  <c r="W45" i="2"/>
  <c r="V45" i="2"/>
  <c r="T46" i="2"/>
  <c r="S46" i="2"/>
  <c r="T45" i="2"/>
  <c r="S45" i="2"/>
  <c r="Q46" i="2"/>
  <c r="P46" i="2"/>
  <c r="Q45" i="2"/>
  <c r="P45" i="2"/>
  <c r="O46" i="2"/>
  <c r="N46" i="2"/>
  <c r="O45" i="2"/>
  <c r="N45" i="2"/>
  <c r="L317" i="3"/>
  <c r="Z317" i="3"/>
  <c r="Y317" i="3"/>
  <c r="O299" i="3"/>
  <c r="N299" i="3"/>
  <c r="O298" i="3"/>
  <c r="N298" i="3"/>
  <c r="O296" i="3"/>
  <c r="N296" i="3"/>
  <c r="O295" i="3"/>
  <c r="N295" i="3"/>
  <c r="O267" i="3"/>
  <c r="N267" i="3"/>
  <c r="O266" i="3"/>
  <c r="N266" i="3"/>
  <c r="O265" i="3"/>
  <c r="N265" i="3"/>
  <c r="O264" i="3"/>
  <c r="N264" i="3"/>
  <c r="O259" i="3"/>
  <c r="N259" i="3"/>
  <c r="O258" i="3"/>
  <c r="N258" i="3"/>
  <c r="O246" i="3"/>
  <c r="N246" i="3"/>
  <c r="O245" i="3"/>
  <c r="N245" i="3"/>
  <c r="O243" i="3"/>
  <c r="N243" i="3"/>
  <c r="O242" i="3"/>
  <c r="N242" i="3"/>
  <c r="O239" i="3"/>
  <c r="N239" i="3"/>
  <c r="O238" i="3"/>
  <c r="N238" i="3"/>
  <c r="O236" i="3"/>
  <c r="N236" i="3"/>
  <c r="O235" i="3"/>
  <c r="N235" i="3"/>
  <c r="O221" i="3"/>
  <c r="N221" i="3"/>
  <c r="O220" i="3"/>
  <c r="N220" i="3"/>
  <c r="O219" i="3"/>
  <c r="N219" i="3"/>
  <c r="O218" i="3"/>
  <c r="N218" i="3"/>
  <c r="O217" i="3"/>
  <c r="N217" i="3"/>
  <c r="O216" i="3"/>
  <c r="N216" i="3"/>
  <c r="O212" i="3"/>
  <c r="N212" i="3"/>
  <c r="O211" i="3"/>
  <c r="N211" i="3"/>
  <c r="O209" i="3"/>
  <c r="N209" i="3"/>
  <c r="O208" i="3"/>
  <c r="N208" i="3"/>
  <c r="O203" i="3"/>
  <c r="N203" i="3"/>
  <c r="N202" i="3"/>
  <c r="O200" i="3"/>
  <c r="N200" i="3"/>
  <c r="O199" i="3"/>
  <c r="N199" i="3"/>
  <c r="O197" i="3"/>
  <c r="N197" i="3"/>
  <c r="O196" i="3"/>
  <c r="N196" i="3"/>
  <c r="O891" i="2" l="1"/>
  <c r="O877" i="2" s="1"/>
  <c r="N891" i="2"/>
  <c r="N890" i="2"/>
  <c r="P873" i="2"/>
  <c r="N887" i="2"/>
  <c r="N873" i="2" s="1"/>
  <c r="O890" i="2"/>
  <c r="O876" i="2" s="1"/>
  <c r="O888" i="2"/>
  <c r="N888" i="2"/>
  <c r="N874" i="2" s="1"/>
  <c r="O887" i="2"/>
  <c r="O873" i="2" s="1"/>
  <c r="Q877" i="2"/>
  <c r="CJ876" i="2"/>
  <c r="N876" i="2"/>
  <c r="CJ873" i="2"/>
  <c r="N877" i="2"/>
  <c r="P876" i="2"/>
  <c r="AF877" i="2"/>
  <c r="Q876" i="2"/>
  <c r="O874" i="2"/>
  <c r="Q874" i="2"/>
  <c r="O187" i="3"/>
  <c r="N187" i="3"/>
  <c r="O186" i="3"/>
  <c r="O184" i="3"/>
  <c r="N184" i="3"/>
  <c r="O183" i="3"/>
  <c r="N183" i="3"/>
  <c r="O178" i="3"/>
  <c r="N178" i="3"/>
  <c r="O177" i="3"/>
  <c r="N177" i="3"/>
  <c r="O175" i="3"/>
  <c r="N175" i="3"/>
  <c r="O174" i="3"/>
  <c r="N174" i="3"/>
  <c r="P157" i="3"/>
  <c r="Q157" i="3"/>
  <c r="S157" i="3"/>
  <c r="T157" i="3"/>
  <c r="O157" i="3" s="1"/>
  <c r="V157" i="3"/>
  <c r="W157" i="3"/>
  <c r="O158" i="3"/>
  <c r="N158" i="3"/>
  <c r="O155" i="3"/>
  <c r="N155" i="3"/>
  <c r="O151" i="3"/>
  <c r="N151" i="3"/>
  <c r="O148" i="3"/>
  <c r="N148" i="3"/>
  <c r="W139" i="3"/>
  <c r="V139" i="3"/>
  <c r="T139" i="3"/>
  <c r="S139" i="3"/>
  <c r="Q139" i="3"/>
  <c r="P139" i="3"/>
  <c r="N139" i="3" s="1"/>
  <c r="O138" i="3"/>
  <c r="N138" i="3"/>
  <c r="O130" i="3"/>
  <c r="N130" i="3"/>
  <c r="O129" i="3"/>
  <c r="N129" i="3"/>
  <c r="O112" i="3"/>
  <c r="O124" i="3"/>
  <c r="N124" i="3"/>
  <c r="O123" i="3"/>
  <c r="N123" i="3"/>
  <c r="O121" i="3"/>
  <c r="N121" i="3"/>
  <c r="O120" i="3"/>
  <c r="N120" i="3"/>
  <c r="O118" i="3"/>
  <c r="N118" i="3"/>
  <c r="O117" i="3"/>
  <c r="O111" i="3" s="1"/>
  <c r="N117" i="3"/>
  <c r="N111" i="3" s="1"/>
  <c r="Z71" i="3"/>
  <c r="O71" i="3" s="1"/>
  <c r="O97" i="3"/>
  <c r="N97" i="3"/>
  <c r="O96" i="3"/>
  <c r="N96" i="3"/>
  <c r="O94" i="3"/>
  <c r="N94" i="3"/>
  <c r="O93" i="3"/>
  <c r="N93" i="3"/>
  <c r="O91" i="3"/>
  <c r="N91" i="3"/>
  <c r="O90" i="3"/>
  <c r="N90" i="3"/>
  <c r="O77" i="3"/>
  <c r="N77" i="3"/>
  <c r="O76" i="3"/>
  <c r="N76" i="3"/>
  <c r="O74" i="3"/>
  <c r="N74" i="3"/>
  <c r="O73" i="3"/>
  <c r="N73" i="3"/>
  <c r="N71" i="3"/>
  <c r="O70" i="3"/>
  <c r="N70" i="3"/>
  <c r="O67" i="3"/>
  <c r="N67" i="3"/>
  <c r="O66" i="3"/>
  <c r="N66" i="3"/>
  <c r="O64" i="3"/>
  <c r="N64" i="3"/>
  <c r="O63" i="3"/>
  <c r="N63" i="3"/>
  <c r="O61" i="3"/>
  <c r="N61" i="3"/>
  <c r="O60" i="3"/>
  <c r="N60" i="3"/>
  <c r="Z44" i="3"/>
  <c r="Z47" i="3"/>
  <c r="Y47" i="3"/>
  <c r="W47" i="3"/>
  <c r="V47" i="3"/>
  <c r="T47" i="3"/>
  <c r="S47" i="3"/>
  <c r="Q47" i="3"/>
  <c r="P47" i="3"/>
  <c r="O44" i="3"/>
  <c r="N44" i="3"/>
  <c r="O38" i="3"/>
  <c r="N38" i="3"/>
  <c r="O35" i="3"/>
  <c r="N35" i="3"/>
  <c r="O34" i="3"/>
  <c r="N34" i="3"/>
  <c r="O32" i="3"/>
  <c r="N32" i="3"/>
  <c r="O31" i="3"/>
  <c r="N31" i="3"/>
  <c r="O29" i="3"/>
  <c r="N29" i="3"/>
  <c r="O28" i="3"/>
  <c r="N28" i="3"/>
  <c r="O14" i="3"/>
  <c r="N14" i="3"/>
  <c r="O12" i="3"/>
  <c r="N12" i="3"/>
  <c r="Z427" i="3"/>
  <c r="Z426" i="3"/>
  <c r="Y426" i="3"/>
  <c r="Z421" i="3"/>
  <c r="Z412" i="3" s="1"/>
  <c r="Y421" i="3"/>
  <c r="Z420" i="3"/>
  <c r="Y420" i="3"/>
  <c r="Y411" i="3" s="1"/>
  <c r="Z415" i="3"/>
  <c r="Y415" i="3"/>
  <c r="Z414" i="3"/>
  <c r="Y414" i="3"/>
  <c r="Y412" i="3"/>
  <c r="Z411" i="3"/>
  <c r="Z408" i="3"/>
  <c r="Y408" i="3"/>
  <c r="Z407" i="3"/>
  <c r="Y407" i="3"/>
  <c r="Z402" i="3"/>
  <c r="Y402" i="3"/>
  <c r="Y393" i="3" s="1"/>
  <c r="Z401" i="3"/>
  <c r="Y401" i="3"/>
  <c r="Y392" i="3" s="1"/>
  <c r="Z396" i="3"/>
  <c r="Y396" i="3"/>
  <c r="Z395" i="3"/>
  <c r="Y395" i="3"/>
  <c r="Z393" i="3"/>
  <c r="Z392" i="3"/>
  <c r="Z377" i="3"/>
  <c r="Y377" i="3"/>
  <c r="Z376" i="3"/>
  <c r="Y376" i="3"/>
  <c r="Z374" i="3"/>
  <c r="Y374" i="3"/>
  <c r="Z373" i="3"/>
  <c r="Y373" i="3"/>
  <c r="Z357" i="3"/>
  <c r="Y357" i="3"/>
  <c r="Z356" i="3"/>
  <c r="Z353" i="3" s="1"/>
  <c r="Y353" i="3"/>
  <c r="Y354" i="3"/>
  <c r="Z345" i="3"/>
  <c r="Y345" i="3"/>
  <c r="Z344" i="3"/>
  <c r="Y344" i="3"/>
  <c r="Z335" i="3"/>
  <c r="Y335" i="3"/>
  <c r="Z334" i="3"/>
  <c r="Y334" i="3"/>
  <c r="Z331" i="3"/>
  <c r="Z330" i="3"/>
  <c r="Z329" i="3"/>
  <c r="Y329" i="3"/>
  <c r="Z327" i="3"/>
  <c r="Y327" i="3"/>
  <c r="Z326" i="3"/>
  <c r="Y326" i="3"/>
  <c r="Z325" i="3"/>
  <c r="Y325" i="3"/>
  <c r="Z316" i="3"/>
  <c r="Y316" i="3"/>
  <c r="Z305" i="3"/>
  <c r="Y305" i="3"/>
  <c r="Z315" i="3"/>
  <c r="Y315" i="3"/>
  <c r="Z306" i="3"/>
  <c r="Y306" i="3"/>
  <c r="Z293" i="3"/>
  <c r="Y293" i="3"/>
  <c r="Z292" i="3"/>
  <c r="Y292" i="3"/>
  <c r="Y261" i="3"/>
  <c r="Z232" i="3"/>
  <c r="Y232" i="3"/>
  <c r="Z231" i="3"/>
  <c r="Y231" i="3"/>
  <c r="Z229" i="3"/>
  <c r="Y229" i="3"/>
  <c r="Z228" i="3"/>
  <c r="Y228" i="3"/>
  <c r="Z224" i="3"/>
  <c r="Y224" i="3"/>
  <c r="Z223" i="3"/>
  <c r="Z322" i="3" s="1"/>
  <c r="Y223" i="3"/>
  <c r="Y322" i="3" s="1"/>
  <c r="Y215" i="3"/>
  <c r="Z206" i="3"/>
  <c r="Y206" i="3"/>
  <c r="Z205" i="3"/>
  <c r="Y205" i="3"/>
  <c r="Z194" i="3"/>
  <c r="Y194" i="3"/>
  <c r="Z193" i="3"/>
  <c r="Y193" i="3"/>
  <c r="Z191" i="3"/>
  <c r="Y191" i="3"/>
  <c r="Z190" i="3"/>
  <c r="Y190" i="3"/>
  <c r="Z181" i="3"/>
  <c r="Y181" i="3"/>
  <c r="Z180" i="3"/>
  <c r="Y180" i="3"/>
  <c r="Z172" i="3"/>
  <c r="Y172" i="3"/>
  <c r="Z171" i="3"/>
  <c r="Y171" i="3"/>
  <c r="Z154" i="3"/>
  <c r="Y154" i="3"/>
  <c r="Z150" i="3"/>
  <c r="Y150" i="3"/>
  <c r="Z147" i="3"/>
  <c r="Y147" i="3"/>
  <c r="Z145" i="3"/>
  <c r="Y145" i="3"/>
  <c r="Z142" i="3"/>
  <c r="Z136" i="3" s="1"/>
  <c r="Y142" i="3"/>
  <c r="Y136" i="3" s="1"/>
  <c r="Z135" i="3"/>
  <c r="Y135" i="3"/>
  <c r="Z133" i="3"/>
  <c r="Z127" i="3" s="1"/>
  <c r="Y133" i="3"/>
  <c r="N133" i="3" s="1"/>
  <c r="Z126" i="3"/>
  <c r="Y126" i="3"/>
  <c r="Z115" i="3"/>
  <c r="Y115" i="3"/>
  <c r="Z114" i="3"/>
  <c r="Y114" i="3"/>
  <c r="Z112" i="3"/>
  <c r="Y112" i="3"/>
  <c r="Z111" i="3"/>
  <c r="Y111" i="3"/>
  <c r="Z107" i="3"/>
  <c r="Z88" i="3" s="1"/>
  <c r="Y107" i="3"/>
  <c r="Z106" i="3"/>
  <c r="Z87" i="3" s="1"/>
  <c r="Y106" i="3"/>
  <c r="Y87" i="3" s="1"/>
  <c r="Z104" i="3"/>
  <c r="Y104" i="3"/>
  <c r="Z103" i="3"/>
  <c r="Z84" i="3" s="1"/>
  <c r="Y103" i="3"/>
  <c r="Y84" i="3" s="1"/>
  <c r="Z101" i="3"/>
  <c r="Y101" i="3"/>
  <c r="Z100" i="3"/>
  <c r="Y100" i="3"/>
  <c r="Y81" i="3" s="1"/>
  <c r="Y88" i="3"/>
  <c r="Z85" i="3"/>
  <c r="Y85" i="3"/>
  <c r="Y82" i="3"/>
  <c r="Z81" i="3"/>
  <c r="Z58" i="3"/>
  <c r="Y58" i="3"/>
  <c r="Z57" i="3"/>
  <c r="Y57" i="3"/>
  <c r="Z55" i="3"/>
  <c r="Y55" i="3"/>
  <c r="Z54" i="3"/>
  <c r="Y54" i="3"/>
  <c r="Z52" i="3"/>
  <c r="Y52" i="3"/>
  <c r="Z51" i="3"/>
  <c r="Y51" i="3"/>
  <c r="Z46" i="3"/>
  <c r="Z40" i="3" s="1"/>
  <c r="Y46" i="3"/>
  <c r="Y40" i="3" s="1"/>
  <c r="Z41" i="3"/>
  <c r="Y41" i="3"/>
  <c r="Z26" i="3"/>
  <c r="Y26" i="3"/>
  <c r="Z23" i="3"/>
  <c r="Y23" i="3"/>
  <c r="Z20" i="3"/>
  <c r="Y20" i="3"/>
  <c r="Z261" i="3"/>
  <c r="Y15" i="3"/>
  <c r="Y13" i="3" s="1"/>
  <c r="Z10" i="3"/>
  <c r="Y10" i="3"/>
  <c r="Y214" i="3" l="1"/>
  <c r="N114" i="3"/>
  <c r="Z214" i="3"/>
  <c r="O133" i="3"/>
  <c r="O139" i="3"/>
  <c r="Y127" i="3"/>
  <c r="Z328" i="3"/>
  <c r="O328" i="3" s="1"/>
  <c r="Y324" i="3"/>
  <c r="N47" i="3"/>
  <c r="Z82" i="3"/>
  <c r="Z215" i="3"/>
  <c r="Y312" i="3"/>
  <c r="Z324" i="3"/>
  <c r="O47" i="3"/>
  <c r="O41" i="3" s="1"/>
  <c r="N157" i="3"/>
  <c r="Y328" i="3"/>
  <c r="Z354" i="3"/>
  <c r="Z313" i="3"/>
  <c r="Z144" i="3"/>
  <c r="Z323" i="3"/>
  <c r="Y323" i="3"/>
  <c r="Y144" i="3"/>
  <c r="Z312" i="3"/>
  <c r="Z15" i="3"/>
  <c r="V309" i="3"/>
  <c r="V307" i="3"/>
  <c r="V315" i="3" s="1"/>
  <c r="S309" i="3"/>
  <c r="N309" i="3" s="1"/>
  <c r="S307" i="3"/>
  <c r="V186" i="3"/>
  <c r="P186" i="3"/>
  <c r="N186" i="3" s="1"/>
  <c r="S260" i="3"/>
  <c r="V43" i="3"/>
  <c r="S43" i="3"/>
  <c r="V147" i="3"/>
  <c r="V11" i="3"/>
  <c r="V37" i="3" s="1"/>
  <c r="S11" i="3"/>
  <c r="W427" i="3"/>
  <c r="W415" i="3" s="1"/>
  <c r="V427" i="3"/>
  <c r="V415" i="3" s="1"/>
  <c r="W426" i="3"/>
  <c r="W414" i="3" s="1"/>
  <c r="V426" i="3"/>
  <c r="V414" i="3" s="1"/>
  <c r="T427" i="3"/>
  <c r="T415" i="3" s="1"/>
  <c r="S427" i="3"/>
  <c r="S415" i="3" s="1"/>
  <c r="T426" i="3"/>
  <c r="T414" i="3" s="1"/>
  <c r="S426" i="3"/>
  <c r="S414" i="3" s="1"/>
  <c r="Q427" i="3"/>
  <c r="P427" i="3"/>
  <c r="Q426" i="3"/>
  <c r="P426" i="3"/>
  <c r="W421" i="3"/>
  <c r="W412" i="3" s="1"/>
  <c r="V421" i="3"/>
  <c r="V412" i="3" s="1"/>
  <c r="W420" i="3"/>
  <c r="W411" i="3" s="1"/>
  <c r="V420" i="3"/>
  <c r="T421" i="3"/>
  <c r="S421" i="3"/>
  <c r="S412" i="3" s="1"/>
  <c r="T420" i="3"/>
  <c r="S420" i="3"/>
  <c r="S411" i="3" s="1"/>
  <c r="Q421" i="3"/>
  <c r="P421" i="3"/>
  <c r="Q420" i="3"/>
  <c r="O420" i="3" s="1"/>
  <c r="P420" i="3"/>
  <c r="N420" i="3" s="1"/>
  <c r="T412" i="3"/>
  <c r="T411" i="3"/>
  <c r="Q415" i="3"/>
  <c r="P411" i="3"/>
  <c r="W408" i="3"/>
  <c r="W396" i="3" s="1"/>
  <c r="V408" i="3"/>
  <c r="V396" i="3" s="1"/>
  <c r="W407" i="3"/>
  <c r="V407" i="3"/>
  <c r="V395" i="3" s="1"/>
  <c r="T408" i="3"/>
  <c r="T396" i="3" s="1"/>
  <c r="S408" i="3"/>
  <c r="T407" i="3"/>
  <c r="T395" i="3" s="1"/>
  <c r="S407" i="3"/>
  <c r="S395" i="3" s="1"/>
  <c r="Q408" i="3"/>
  <c r="P408" i="3"/>
  <c r="P396" i="3" s="1"/>
  <c r="Q407" i="3"/>
  <c r="P407" i="3"/>
  <c r="W402" i="3"/>
  <c r="W393" i="3" s="1"/>
  <c r="V402" i="3"/>
  <c r="V393" i="3" s="1"/>
  <c r="W401" i="3"/>
  <c r="W392" i="3" s="1"/>
  <c r="V401" i="3"/>
  <c r="T402" i="3"/>
  <c r="S402" i="3"/>
  <c r="S393" i="3" s="1"/>
  <c r="T401" i="3"/>
  <c r="S401" i="3"/>
  <c r="S392" i="3" s="1"/>
  <c r="Q402" i="3"/>
  <c r="P402" i="3"/>
  <c r="Q401" i="3"/>
  <c r="O401" i="3" s="1"/>
  <c r="P401" i="3"/>
  <c r="N401" i="3" s="1"/>
  <c r="W395" i="3"/>
  <c r="S396" i="3"/>
  <c r="T393" i="3"/>
  <c r="W377" i="3"/>
  <c r="V377" i="3"/>
  <c r="W376" i="3"/>
  <c r="V376" i="3"/>
  <c r="W374" i="3"/>
  <c r="V374" i="3"/>
  <c r="W373" i="3"/>
  <c r="V373" i="3"/>
  <c r="T377" i="3"/>
  <c r="S377" i="3"/>
  <c r="T376" i="3"/>
  <c r="S376" i="3"/>
  <c r="T374" i="3"/>
  <c r="S374" i="3"/>
  <c r="T373" i="3"/>
  <c r="S373" i="3"/>
  <c r="Q377" i="3"/>
  <c r="P377" i="3"/>
  <c r="Q376" i="3"/>
  <c r="P376" i="3"/>
  <c r="Q374" i="3"/>
  <c r="P374" i="3"/>
  <c r="Q373" i="3"/>
  <c r="P373" i="3"/>
  <c r="O377" i="3"/>
  <c r="N377" i="3"/>
  <c r="O376" i="3"/>
  <c r="N376" i="3"/>
  <c r="O374" i="3"/>
  <c r="N374" i="3"/>
  <c r="O373" i="3"/>
  <c r="N373" i="3"/>
  <c r="W357" i="3"/>
  <c r="V357" i="3"/>
  <c r="V354" i="3" s="1"/>
  <c r="W356" i="3"/>
  <c r="W353" i="3" s="1"/>
  <c r="V356" i="3"/>
  <c r="T357" i="3"/>
  <c r="T354" i="3" s="1"/>
  <c r="S357" i="3"/>
  <c r="T356" i="3"/>
  <c r="S356" i="3"/>
  <c r="Q357" i="3"/>
  <c r="O357" i="3" s="1"/>
  <c r="P357" i="3"/>
  <c r="P354" i="3" s="1"/>
  <c r="Q356" i="3"/>
  <c r="Q353" i="3" s="1"/>
  <c r="P356" i="3"/>
  <c r="N356" i="3" s="1"/>
  <c r="W354" i="3"/>
  <c r="S354" i="3"/>
  <c r="T353" i="3"/>
  <c r="S353" i="3"/>
  <c r="P353" i="3"/>
  <c r="W345" i="3"/>
  <c r="V345" i="3"/>
  <c r="W344" i="3"/>
  <c r="V344" i="3"/>
  <c r="T345" i="3"/>
  <c r="S345" i="3"/>
  <c r="T344" i="3"/>
  <c r="S344" i="3"/>
  <c r="Q345" i="3"/>
  <c r="P345" i="3"/>
  <c r="Q344" i="3"/>
  <c r="P344" i="3"/>
  <c r="O345" i="3"/>
  <c r="N345" i="3"/>
  <c r="O344" i="3"/>
  <c r="N344" i="3"/>
  <c r="W316" i="3"/>
  <c r="W313" i="3" s="1"/>
  <c r="V316" i="3"/>
  <c r="T316" i="3"/>
  <c r="T313" i="3" s="1"/>
  <c r="S316" i="3"/>
  <c r="S313" i="3" s="1"/>
  <c r="T315" i="3"/>
  <c r="Q316" i="3"/>
  <c r="P316" i="3"/>
  <c r="Q315" i="3"/>
  <c r="P315" i="3"/>
  <c r="Q309" i="3"/>
  <c r="T309" i="3"/>
  <c r="W309" i="3"/>
  <c r="W307" i="3"/>
  <c r="W315" i="3" s="1"/>
  <c r="T307" i="3"/>
  <c r="L305" i="3"/>
  <c r="O306" i="3"/>
  <c r="N306" i="3"/>
  <c r="W306" i="3"/>
  <c r="V306" i="3"/>
  <c r="T306" i="3"/>
  <c r="S306" i="3"/>
  <c r="S305" i="3"/>
  <c r="Q306" i="3"/>
  <c r="P306" i="3"/>
  <c r="Q305" i="3"/>
  <c r="P305" i="3"/>
  <c r="K229" i="3"/>
  <c r="W232" i="3"/>
  <c r="V232" i="3"/>
  <c r="W231" i="3"/>
  <c r="V231" i="3"/>
  <c r="W229" i="3"/>
  <c r="V229" i="3"/>
  <c r="W228" i="3"/>
  <c r="V228" i="3"/>
  <c r="T232" i="3"/>
  <c r="S232" i="3"/>
  <c r="T231" i="3"/>
  <c r="S231" i="3"/>
  <c r="T229" i="3"/>
  <c r="S229" i="3"/>
  <c r="T228" i="3"/>
  <c r="S228" i="3"/>
  <c r="Q232" i="3"/>
  <c r="P232" i="3"/>
  <c r="Q231" i="3"/>
  <c r="P231" i="3"/>
  <c r="Q229" i="3"/>
  <c r="P229" i="3"/>
  <c r="Q228" i="3"/>
  <c r="P228" i="3"/>
  <c r="O232" i="3"/>
  <c r="N232" i="3"/>
  <c r="O231" i="3"/>
  <c r="N231" i="3"/>
  <c r="O229" i="3"/>
  <c r="N229" i="3"/>
  <c r="O228" i="3"/>
  <c r="N228" i="3"/>
  <c r="W224" i="3"/>
  <c r="W215" i="3" s="1"/>
  <c r="V224" i="3"/>
  <c r="V215" i="3" s="1"/>
  <c r="V223" i="3"/>
  <c r="V322" i="3" s="1"/>
  <c r="T224" i="3"/>
  <c r="T215" i="3" s="1"/>
  <c r="S224" i="3"/>
  <c r="S215" i="3" s="1"/>
  <c r="T223" i="3"/>
  <c r="T214" i="3" s="1"/>
  <c r="S223" i="3"/>
  <c r="S214" i="3" s="1"/>
  <c r="Q224" i="3"/>
  <c r="Q215" i="3" s="1"/>
  <c r="P224" i="3"/>
  <c r="P215" i="3" s="1"/>
  <c r="P223" i="3"/>
  <c r="O205" i="3"/>
  <c r="N205" i="3"/>
  <c r="W206" i="3"/>
  <c r="V206" i="3"/>
  <c r="W205" i="3"/>
  <c r="V205" i="3"/>
  <c r="T206" i="3"/>
  <c r="S206" i="3"/>
  <c r="T205" i="3"/>
  <c r="S205" i="3"/>
  <c r="Q206" i="3"/>
  <c r="P206" i="3"/>
  <c r="Q205" i="3"/>
  <c r="P205" i="3"/>
  <c r="O206" i="3"/>
  <c r="N206" i="3"/>
  <c r="W202" i="3"/>
  <c r="W223" i="3" s="1"/>
  <c r="Q202" i="3"/>
  <c r="Q193" i="3" s="1"/>
  <c r="W194" i="3"/>
  <c r="V194" i="3"/>
  <c r="V193" i="3"/>
  <c r="W191" i="3"/>
  <c r="V191" i="3"/>
  <c r="W190" i="3"/>
  <c r="V190" i="3"/>
  <c r="T194" i="3"/>
  <c r="S194" i="3"/>
  <c r="T193" i="3"/>
  <c r="S193" i="3"/>
  <c r="T191" i="3"/>
  <c r="S191" i="3"/>
  <c r="T190" i="3"/>
  <c r="S190" i="3"/>
  <c r="Q194" i="3"/>
  <c r="P194" i="3"/>
  <c r="P193" i="3"/>
  <c r="Q191" i="3"/>
  <c r="P191" i="3"/>
  <c r="P190" i="3"/>
  <c r="O194" i="3"/>
  <c r="N194" i="3"/>
  <c r="N193" i="3"/>
  <c r="O191" i="3"/>
  <c r="N191" i="3"/>
  <c r="N190" i="3"/>
  <c r="W181" i="3"/>
  <c r="V181" i="3"/>
  <c r="W180" i="3"/>
  <c r="V180" i="3"/>
  <c r="T181" i="3"/>
  <c r="S181" i="3"/>
  <c r="T180" i="3"/>
  <c r="S180" i="3"/>
  <c r="Q181" i="3"/>
  <c r="P181" i="3"/>
  <c r="Q180" i="3"/>
  <c r="O181" i="3"/>
  <c r="N181" i="3"/>
  <c r="W172" i="3"/>
  <c r="V172" i="3"/>
  <c r="W171" i="3"/>
  <c r="V171" i="3"/>
  <c r="T172" i="3"/>
  <c r="S172" i="3"/>
  <c r="T171" i="3"/>
  <c r="S171" i="3"/>
  <c r="Q172" i="3"/>
  <c r="P172" i="3"/>
  <c r="Q171" i="3"/>
  <c r="P171" i="3"/>
  <c r="O172" i="3"/>
  <c r="N172" i="3"/>
  <c r="W335" i="3"/>
  <c r="V335" i="3"/>
  <c r="W334" i="3"/>
  <c r="V334" i="3"/>
  <c r="T335" i="3"/>
  <c r="S335" i="3"/>
  <c r="T334" i="3"/>
  <c r="S334" i="3"/>
  <c r="Q335" i="3"/>
  <c r="P335" i="3"/>
  <c r="Q334" i="3"/>
  <c r="P334" i="3"/>
  <c r="O335" i="3"/>
  <c r="N335" i="3"/>
  <c r="O334" i="3"/>
  <c r="N334" i="3"/>
  <c r="W331" i="3"/>
  <c r="W330" i="3"/>
  <c r="W329" i="3"/>
  <c r="V331" i="3"/>
  <c r="V330" i="3"/>
  <c r="V329" i="3"/>
  <c r="T331" i="3"/>
  <c r="T330" i="3"/>
  <c r="T329" i="3"/>
  <c r="S331" i="3"/>
  <c r="S330" i="3"/>
  <c r="S329" i="3"/>
  <c r="Q331" i="3"/>
  <c r="Q330" i="3"/>
  <c r="Q329" i="3"/>
  <c r="P331" i="3"/>
  <c r="P330" i="3"/>
  <c r="P329" i="3"/>
  <c r="W327" i="3"/>
  <c r="V327" i="3"/>
  <c r="W326" i="3"/>
  <c r="W325" i="3"/>
  <c r="T327" i="3"/>
  <c r="S327" i="3"/>
  <c r="T326" i="3"/>
  <c r="S326" i="3"/>
  <c r="T325" i="3"/>
  <c r="S325" i="3"/>
  <c r="T322" i="3"/>
  <c r="Q327" i="3"/>
  <c r="P327" i="3"/>
  <c r="Q326" i="3"/>
  <c r="P326" i="3"/>
  <c r="Q325" i="3"/>
  <c r="P325" i="3"/>
  <c r="L316" i="3"/>
  <c r="K331" i="3"/>
  <c r="K327" i="3"/>
  <c r="K330" i="3"/>
  <c r="K326" i="3"/>
  <c r="K329" i="3"/>
  <c r="K325" i="3"/>
  <c r="V313" i="3"/>
  <c r="P313" i="3"/>
  <c r="O293" i="3"/>
  <c r="N292" i="3"/>
  <c r="W293" i="3"/>
  <c r="V293" i="3"/>
  <c r="W292" i="3"/>
  <c r="V292" i="3"/>
  <c r="T293" i="3"/>
  <c r="S293" i="3"/>
  <c r="T292" i="3"/>
  <c r="S292" i="3"/>
  <c r="Q293" i="3"/>
  <c r="Q292" i="3"/>
  <c r="N293" i="3"/>
  <c r="P293" i="3"/>
  <c r="P292" i="3"/>
  <c r="T260" i="3"/>
  <c r="O260" i="3" s="1"/>
  <c r="S261" i="3"/>
  <c r="P261" i="3"/>
  <c r="Q261" i="3"/>
  <c r="W154" i="3"/>
  <c r="V154" i="3"/>
  <c r="T154" i="3"/>
  <c r="S154" i="3"/>
  <c r="Q154" i="3"/>
  <c r="P154" i="3"/>
  <c r="N154" i="3" s="1"/>
  <c r="W150" i="3"/>
  <c r="T150" i="3"/>
  <c r="S150" i="3"/>
  <c r="Q150" i="3"/>
  <c r="P150" i="3"/>
  <c r="W147" i="3"/>
  <c r="T147" i="3"/>
  <c r="S147" i="3"/>
  <c r="P147" i="3"/>
  <c r="Q147" i="3"/>
  <c r="W145" i="3"/>
  <c r="V145" i="3"/>
  <c r="T145" i="3"/>
  <c r="S145" i="3"/>
  <c r="Q145" i="3"/>
  <c r="P145" i="3"/>
  <c r="O145" i="3"/>
  <c r="N145" i="3"/>
  <c r="W142" i="3"/>
  <c r="V142" i="3"/>
  <c r="V136" i="3" s="1"/>
  <c r="W141" i="3"/>
  <c r="V141" i="3"/>
  <c r="V135" i="3" s="1"/>
  <c r="T142" i="3"/>
  <c r="T136" i="3" s="1"/>
  <c r="S142" i="3"/>
  <c r="S136" i="3" s="1"/>
  <c r="T141" i="3"/>
  <c r="S141" i="3"/>
  <c r="S135" i="3" s="1"/>
  <c r="Q142" i="3"/>
  <c r="P142" i="3"/>
  <c r="N142" i="3" s="1"/>
  <c r="N136" i="3" s="1"/>
  <c r="Q141" i="3"/>
  <c r="P141" i="3"/>
  <c r="P135" i="3" s="1"/>
  <c r="W136" i="3"/>
  <c r="W135" i="3"/>
  <c r="T135" i="3"/>
  <c r="Q136" i="3"/>
  <c r="Q135" i="3"/>
  <c r="W132" i="3"/>
  <c r="W126" i="3" s="1"/>
  <c r="V132" i="3"/>
  <c r="T132" i="3"/>
  <c r="T126" i="3" s="1"/>
  <c r="S132" i="3"/>
  <c r="S126" i="3" s="1"/>
  <c r="Q132" i="3"/>
  <c r="P132" i="3"/>
  <c r="P126" i="3" s="1"/>
  <c r="O127" i="3"/>
  <c r="W127" i="3"/>
  <c r="V127" i="3"/>
  <c r="V126" i="3"/>
  <c r="T127" i="3"/>
  <c r="S127" i="3"/>
  <c r="Q127" i="3"/>
  <c r="N127" i="3"/>
  <c r="P127" i="3"/>
  <c r="N112" i="3"/>
  <c r="W115" i="3"/>
  <c r="V115" i="3"/>
  <c r="W114" i="3"/>
  <c r="V114" i="3"/>
  <c r="W112" i="3"/>
  <c r="V112" i="3"/>
  <c r="W111" i="3"/>
  <c r="V111" i="3"/>
  <c r="T115" i="3"/>
  <c r="S115" i="3"/>
  <c r="T114" i="3"/>
  <c r="S114" i="3"/>
  <c r="T112" i="3"/>
  <c r="S112" i="3"/>
  <c r="T111" i="3"/>
  <c r="S111" i="3"/>
  <c r="Q115" i="3"/>
  <c r="P115" i="3"/>
  <c r="Q114" i="3"/>
  <c r="P114" i="3"/>
  <c r="Q112" i="3"/>
  <c r="P112" i="3"/>
  <c r="Q111" i="3"/>
  <c r="P111" i="3"/>
  <c r="O115" i="3"/>
  <c r="N115" i="3"/>
  <c r="O114" i="3"/>
  <c r="W107" i="3"/>
  <c r="W88" i="3" s="1"/>
  <c r="V107" i="3"/>
  <c r="V88" i="3" s="1"/>
  <c r="W106" i="3"/>
  <c r="W87" i="3" s="1"/>
  <c r="V106" i="3"/>
  <c r="V87" i="3" s="1"/>
  <c r="T107" i="3"/>
  <c r="T88" i="3" s="1"/>
  <c r="S107" i="3"/>
  <c r="S88" i="3" s="1"/>
  <c r="T106" i="3"/>
  <c r="T87" i="3" s="1"/>
  <c r="S106" i="3"/>
  <c r="Q107" i="3"/>
  <c r="P107" i="3"/>
  <c r="Q106" i="3"/>
  <c r="P106" i="3"/>
  <c r="W104" i="3"/>
  <c r="W85" i="3" s="1"/>
  <c r="V104" i="3"/>
  <c r="V85" i="3" s="1"/>
  <c r="W103" i="3"/>
  <c r="W84" i="3" s="1"/>
  <c r="V103" i="3"/>
  <c r="V84" i="3" s="1"/>
  <c r="T104" i="3"/>
  <c r="T85" i="3" s="1"/>
  <c r="S104" i="3"/>
  <c r="T103" i="3"/>
  <c r="T84" i="3" s="1"/>
  <c r="S103" i="3"/>
  <c r="S84" i="3" s="1"/>
  <c r="Q104" i="3"/>
  <c r="Q85" i="3" s="1"/>
  <c r="P104" i="3"/>
  <c r="N104" i="3" s="1"/>
  <c r="Q103" i="3"/>
  <c r="P103" i="3"/>
  <c r="W101" i="3"/>
  <c r="W82" i="3" s="1"/>
  <c r="V101" i="3"/>
  <c r="W100" i="3"/>
  <c r="W81" i="3" s="1"/>
  <c r="V100" i="3"/>
  <c r="V81" i="3" s="1"/>
  <c r="T101" i="3"/>
  <c r="T82" i="3" s="1"/>
  <c r="S101" i="3"/>
  <c r="S82" i="3" s="1"/>
  <c r="T100" i="3"/>
  <c r="T81" i="3" s="1"/>
  <c r="S100" i="3"/>
  <c r="S81" i="3" s="1"/>
  <c r="Q101" i="3"/>
  <c r="O101" i="3" s="1"/>
  <c r="O82" i="3" s="1"/>
  <c r="P101" i="3"/>
  <c r="Q100" i="3"/>
  <c r="P100" i="3"/>
  <c r="N85" i="3"/>
  <c r="V82" i="3"/>
  <c r="S85" i="3"/>
  <c r="P85" i="3"/>
  <c r="Q82" i="3"/>
  <c r="Q81" i="3"/>
  <c r="N52" i="3"/>
  <c r="N54" i="3"/>
  <c r="W58" i="3"/>
  <c r="V58" i="3"/>
  <c r="W57" i="3"/>
  <c r="V57" i="3"/>
  <c r="W55" i="3"/>
  <c r="V55" i="3"/>
  <c r="W54" i="3"/>
  <c r="V54" i="3"/>
  <c r="W52" i="3"/>
  <c r="V52" i="3"/>
  <c r="W51" i="3"/>
  <c r="V51" i="3"/>
  <c r="T58" i="3"/>
  <c r="S58" i="3"/>
  <c r="T57" i="3"/>
  <c r="S57" i="3"/>
  <c r="T55" i="3"/>
  <c r="S55" i="3"/>
  <c r="T54" i="3"/>
  <c r="S54" i="3"/>
  <c r="T52" i="3"/>
  <c r="S52" i="3"/>
  <c r="T51" i="3"/>
  <c r="S51" i="3"/>
  <c r="Q58" i="3"/>
  <c r="P58" i="3"/>
  <c r="Q57" i="3"/>
  <c r="P57" i="3"/>
  <c r="Q55" i="3"/>
  <c r="P55" i="3"/>
  <c r="Q54" i="3"/>
  <c r="P54" i="3"/>
  <c r="Q52" i="3"/>
  <c r="P52" i="3"/>
  <c r="Q51" i="3"/>
  <c r="P51" i="3"/>
  <c r="O58" i="3"/>
  <c r="N58" i="3"/>
  <c r="O57" i="3"/>
  <c r="N57" i="3"/>
  <c r="O55" i="3"/>
  <c r="N55" i="3"/>
  <c r="O54" i="3"/>
  <c r="O52" i="3"/>
  <c r="W43" i="3"/>
  <c r="T43" i="3"/>
  <c r="Q46" i="3"/>
  <c r="P46" i="3"/>
  <c r="P40" i="3" s="1"/>
  <c r="W41" i="3"/>
  <c r="V41" i="3"/>
  <c r="T41" i="3"/>
  <c r="S41" i="3"/>
  <c r="Q41" i="3"/>
  <c r="P41" i="3"/>
  <c r="Q40" i="3"/>
  <c r="N41" i="3"/>
  <c r="T37" i="3"/>
  <c r="P37" i="3"/>
  <c r="Q37" i="3"/>
  <c r="P15" i="3"/>
  <c r="P13" i="3" s="1"/>
  <c r="Q15" i="3"/>
  <c r="Q13" i="3" s="1"/>
  <c r="W11" i="3"/>
  <c r="W15" i="3" s="1"/>
  <c r="W13" i="3" s="1"/>
  <c r="T11" i="3"/>
  <c r="T261" i="3" s="1"/>
  <c r="W26" i="3"/>
  <c r="V26" i="3"/>
  <c r="W23" i="3"/>
  <c r="V23" i="3"/>
  <c r="W20" i="3"/>
  <c r="V20" i="3"/>
  <c r="T26" i="3"/>
  <c r="S26" i="3"/>
  <c r="T23" i="3"/>
  <c r="S23" i="3"/>
  <c r="T20" i="3"/>
  <c r="S20" i="3"/>
  <c r="Q26" i="3"/>
  <c r="P26" i="3"/>
  <c r="Q23" i="3"/>
  <c r="P23" i="3"/>
  <c r="Q20" i="3"/>
  <c r="P20" i="3"/>
  <c r="O26" i="3"/>
  <c r="N26" i="3"/>
  <c r="O23" i="3"/>
  <c r="N23" i="3"/>
  <c r="O20" i="3"/>
  <c r="N20" i="3"/>
  <c r="Q10" i="3"/>
  <c r="P10" i="3"/>
  <c r="T324" i="3" l="1"/>
  <c r="O329" i="3"/>
  <c r="Q392" i="3"/>
  <c r="K323" i="3"/>
  <c r="Q323" i="3"/>
  <c r="O327" i="3"/>
  <c r="N329" i="3"/>
  <c r="Q190" i="3"/>
  <c r="P136" i="3"/>
  <c r="O326" i="3"/>
  <c r="N224" i="3"/>
  <c r="N43" i="3"/>
  <c r="T312" i="3"/>
  <c r="N357" i="3"/>
  <c r="N354" i="3" s="1"/>
  <c r="O147" i="3"/>
  <c r="W323" i="3"/>
  <c r="W321" i="3" s="1"/>
  <c r="O331" i="3"/>
  <c r="N316" i="3"/>
  <c r="Q411" i="3"/>
  <c r="O154" i="3"/>
  <c r="W10" i="3"/>
  <c r="T15" i="3"/>
  <c r="W37" i="3"/>
  <c r="O37" i="3" s="1"/>
  <c r="T46" i="3"/>
  <c r="N147" i="3"/>
  <c r="N327" i="3"/>
  <c r="N331" i="3"/>
  <c r="O330" i="3"/>
  <c r="O309" i="3"/>
  <c r="W214" i="3"/>
  <c r="W322" i="3"/>
  <c r="W312" i="3" s="1"/>
  <c r="S15" i="3"/>
  <c r="S13" i="3" s="1"/>
  <c r="N11" i="3"/>
  <c r="N132" i="3"/>
  <c r="T323" i="3"/>
  <c r="T321" i="3" s="1"/>
  <c r="V305" i="3"/>
  <c r="N408" i="3"/>
  <c r="N396" i="3" s="1"/>
  <c r="O11" i="3"/>
  <c r="S37" i="3"/>
  <c r="N37" i="3" s="1"/>
  <c r="O104" i="3"/>
  <c r="O85" i="3" s="1"/>
  <c r="Q126" i="3"/>
  <c r="O132" i="3"/>
  <c r="O126" i="3" s="1"/>
  <c r="S144" i="3"/>
  <c r="W261" i="3"/>
  <c r="O261" i="3" s="1"/>
  <c r="Q324" i="3"/>
  <c r="O325" i="3"/>
  <c r="S324" i="3"/>
  <c r="W324" i="3"/>
  <c r="O324" i="3" s="1"/>
  <c r="W193" i="3"/>
  <c r="O356" i="3"/>
  <c r="P393" i="3"/>
  <c r="N402" i="3"/>
  <c r="N393" i="3" s="1"/>
  <c r="P412" i="3"/>
  <c r="N421" i="3"/>
  <c r="S315" i="3"/>
  <c r="N307" i="3"/>
  <c r="O103" i="3"/>
  <c r="O84" i="3" s="1"/>
  <c r="P81" i="3"/>
  <c r="N100" i="3"/>
  <c r="P87" i="3"/>
  <c r="N106" i="3"/>
  <c r="Q393" i="3"/>
  <c r="O402" i="3"/>
  <c r="Q412" i="3"/>
  <c r="O421" i="3"/>
  <c r="O412" i="3" s="1"/>
  <c r="Q87" i="3"/>
  <c r="O106" i="3"/>
  <c r="N141" i="3"/>
  <c r="N135" i="3" s="1"/>
  <c r="P322" i="3"/>
  <c r="N223" i="3"/>
  <c r="N315" i="3"/>
  <c r="P395" i="3"/>
  <c r="N407" i="3"/>
  <c r="P414" i="3"/>
  <c r="N426" i="3"/>
  <c r="O224" i="3"/>
  <c r="W46" i="3"/>
  <c r="W40" i="3" s="1"/>
  <c r="O100" i="3"/>
  <c r="O81" i="3" s="1"/>
  <c r="O43" i="3"/>
  <c r="N101" i="3"/>
  <c r="N82" i="3" s="1"/>
  <c r="P88" i="3"/>
  <c r="N107" i="3"/>
  <c r="N88" i="3" s="1"/>
  <c r="O141" i="3"/>
  <c r="O135" i="3" s="1"/>
  <c r="O202" i="3"/>
  <c r="Q223" i="3"/>
  <c r="O315" i="3"/>
  <c r="P392" i="3"/>
  <c r="O392" i="3"/>
  <c r="O407" i="3"/>
  <c r="Q414" i="3"/>
  <c r="O426" i="3"/>
  <c r="N328" i="3"/>
  <c r="N313" i="3" s="1"/>
  <c r="Y313" i="3"/>
  <c r="O150" i="3"/>
  <c r="O144" i="3" s="1"/>
  <c r="P415" i="3"/>
  <c r="N427" i="3"/>
  <c r="N415" i="3" s="1"/>
  <c r="N260" i="3"/>
  <c r="Q88" i="3"/>
  <c r="O107" i="3"/>
  <c r="O88" i="3" s="1"/>
  <c r="P82" i="3"/>
  <c r="P84" i="3"/>
  <c r="N103" i="3"/>
  <c r="O142" i="3"/>
  <c r="O136" i="3" s="1"/>
  <c r="S322" i="3"/>
  <c r="S312" i="3" s="1"/>
  <c r="N330" i="3"/>
  <c r="O307" i="3"/>
  <c r="Q313" i="3"/>
  <c r="O316" i="3"/>
  <c r="O313" i="3" s="1"/>
  <c r="Q395" i="3"/>
  <c r="Q396" i="3"/>
  <c r="O408" i="3"/>
  <c r="O396" i="3" s="1"/>
  <c r="O427" i="3"/>
  <c r="O415" i="3" s="1"/>
  <c r="Z321" i="3"/>
  <c r="Y321" i="3"/>
  <c r="N412" i="3"/>
  <c r="O393" i="3"/>
  <c r="Q354" i="3"/>
  <c r="O354" i="3"/>
  <c r="N215" i="3"/>
  <c r="Z13" i="3"/>
  <c r="O15" i="3"/>
  <c r="O13" i="3" s="1"/>
  <c r="N395" i="3"/>
  <c r="N392" i="3"/>
  <c r="N411" i="3"/>
  <c r="N353" i="3"/>
  <c r="N305" i="3"/>
  <c r="N214" i="3"/>
  <c r="P214" i="3"/>
  <c r="P180" i="3"/>
  <c r="N180" i="3"/>
  <c r="N126" i="3"/>
  <c r="N51" i="3"/>
  <c r="N81" i="3"/>
  <c r="V150" i="3"/>
  <c r="N150" i="3" s="1"/>
  <c r="V326" i="3"/>
  <c r="N326" i="3" s="1"/>
  <c r="V325" i="3"/>
  <c r="V323" i="3" s="1"/>
  <c r="V321" i="3" s="1"/>
  <c r="S323" i="3"/>
  <c r="P323" i="3"/>
  <c r="P321" i="3" s="1"/>
  <c r="P324" i="3"/>
  <c r="V10" i="3"/>
  <c r="V15" i="3"/>
  <c r="V13" i="3" s="1"/>
  <c r="V261" i="3"/>
  <c r="N261" i="3" s="1"/>
  <c r="V46" i="3"/>
  <c r="N10" i="3"/>
  <c r="S10" i="3"/>
  <c r="S46" i="3"/>
  <c r="S40" i="3" s="1"/>
  <c r="O414" i="3"/>
  <c r="O411" i="3"/>
  <c r="V411" i="3"/>
  <c r="N414" i="3"/>
  <c r="O395" i="3"/>
  <c r="V392" i="3"/>
  <c r="T392" i="3"/>
  <c r="O353" i="3"/>
  <c r="V353" i="3"/>
  <c r="O305" i="3"/>
  <c r="W305" i="3"/>
  <c r="T305" i="3"/>
  <c r="V214" i="3"/>
  <c r="V312" i="3"/>
  <c r="P312" i="3"/>
  <c r="O215" i="3"/>
  <c r="O180" i="3"/>
  <c r="N171" i="3"/>
  <c r="O171" i="3"/>
  <c r="O292" i="3"/>
  <c r="W144" i="3"/>
  <c r="P144" i="3"/>
  <c r="T144" i="3"/>
  <c r="Q144" i="3"/>
  <c r="S87" i="3"/>
  <c r="O87" i="3"/>
  <c r="N87" i="3"/>
  <c r="N84" i="3"/>
  <c r="Q84" i="3"/>
  <c r="O51" i="3"/>
  <c r="T40" i="3"/>
  <c r="T13" i="3"/>
  <c r="T10" i="3"/>
  <c r="O10" i="3"/>
  <c r="H668" i="2"/>
  <c r="G668" i="2"/>
  <c r="F668" i="2"/>
  <c r="H667" i="2"/>
  <c r="G667" i="2"/>
  <c r="F667" i="2"/>
  <c r="L668" i="2"/>
  <c r="L667" i="2"/>
  <c r="K668" i="2"/>
  <c r="K667" i="2"/>
  <c r="J668" i="2"/>
  <c r="I668" i="2"/>
  <c r="H661" i="2"/>
  <c r="G661" i="2"/>
  <c r="F661" i="2"/>
  <c r="H660" i="2"/>
  <c r="G660" i="2"/>
  <c r="F660" i="2"/>
  <c r="L661" i="2"/>
  <c r="L660" i="2"/>
  <c r="K661" i="2"/>
  <c r="K660" i="2"/>
  <c r="J661" i="2"/>
  <c r="J660" i="2"/>
  <c r="I661" i="2"/>
  <c r="O46" i="3" l="1"/>
  <c r="O40" i="3" s="1"/>
  <c r="N323" i="3"/>
  <c r="N46" i="3"/>
  <c r="O223" i="3"/>
  <c r="O214" i="3" s="1"/>
  <c r="Q214" i="3"/>
  <c r="Q322" i="3"/>
  <c r="N15" i="3"/>
  <c r="N13" i="3" s="1"/>
  <c r="O190" i="3"/>
  <c r="O193" i="3"/>
  <c r="N322" i="3"/>
  <c r="N321" i="3" s="1"/>
  <c r="N325" i="3"/>
  <c r="S321" i="3"/>
  <c r="O323" i="3"/>
  <c r="N312" i="3"/>
  <c r="N40" i="3"/>
  <c r="N144" i="3"/>
  <c r="V144" i="3"/>
  <c r="V324" i="3"/>
  <c r="N324" i="3" s="1"/>
  <c r="V40" i="3"/>
  <c r="L169" i="2"/>
  <c r="L162" i="2"/>
  <c r="L92" i="2"/>
  <c r="L83" i="2"/>
  <c r="L73" i="2"/>
  <c r="L56" i="2"/>
  <c r="L45" i="2" s="1"/>
  <c r="L652" i="2"/>
  <c r="L607" i="2"/>
  <c r="L606" i="2"/>
  <c r="L605" i="2"/>
  <c r="L603" i="2"/>
  <c r="L602" i="2"/>
  <c r="L601" i="2"/>
  <c r="L345" i="2"/>
  <c r="K345" i="2"/>
  <c r="J345" i="2"/>
  <c r="I345" i="2"/>
  <c r="L344" i="2"/>
  <c r="K344" i="2"/>
  <c r="J344" i="2"/>
  <c r="I344" i="2"/>
  <c r="L343" i="2"/>
  <c r="K343" i="2"/>
  <c r="K335" i="2" s="1"/>
  <c r="J343" i="2"/>
  <c r="I343" i="2"/>
  <c r="L339" i="2"/>
  <c r="H339" i="2"/>
  <c r="G339" i="2"/>
  <c r="F339" i="2"/>
  <c r="K339" i="2"/>
  <c r="L338" i="2"/>
  <c r="H338" i="2"/>
  <c r="G338" i="2"/>
  <c r="F338" i="2"/>
  <c r="K338" i="2"/>
  <c r="L337" i="2"/>
  <c r="H337" i="2"/>
  <c r="G337" i="2"/>
  <c r="F337" i="2"/>
  <c r="K337" i="2"/>
  <c r="L330" i="2"/>
  <c r="K330" i="2"/>
  <c r="J330" i="2"/>
  <c r="I330" i="2"/>
  <c r="I324" i="2"/>
  <c r="L329" i="2"/>
  <c r="K329" i="2"/>
  <c r="J329" i="2"/>
  <c r="I329" i="2"/>
  <c r="I323" i="2"/>
  <c r="L328" i="2"/>
  <c r="K328" i="2"/>
  <c r="J328" i="2"/>
  <c r="I328" i="2"/>
  <c r="L324" i="2"/>
  <c r="K324" i="2"/>
  <c r="J324" i="2"/>
  <c r="L323" i="2"/>
  <c r="K323" i="2"/>
  <c r="J323" i="2"/>
  <c r="L322" i="2"/>
  <c r="K322" i="2"/>
  <c r="J322" i="2"/>
  <c r="L275" i="2"/>
  <c r="K275" i="2"/>
  <c r="K383" i="2" s="1"/>
  <c r="J275" i="2"/>
  <c r="J383" i="2" s="1"/>
  <c r="I275" i="2"/>
  <c r="I383" i="2" s="1"/>
  <c r="L274" i="2"/>
  <c r="K274" i="2"/>
  <c r="J274" i="2"/>
  <c r="J373" i="2" s="1"/>
  <c r="I274" i="2"/>
  <c r="I382" i="2" s="1"/>
  <c r="L170" i="2"/>
  <c r="H166" i="2"/>
  <c r="H165" i="2"/>
  <c r="G166" i="2"/>
  <c r="G165" i="2"/>
  <c r="F166" i="2"/>
  <c r="F165" i="2"/>
  <c r="L156" i="2"/>
  <c r="L155" i="2"/>
  <c r="J166" i="2"/>
  <c r="J165" i="2"/>
  <c r="I166" i="2"/>
  <c r="H173" i="2"/>
  <c r="H172" i="2"/>
  <c r="G173" i="2"/>
  <c r="G172" i="2"/>
  <c r="F173" i="2"/>
  <c r="F172" i="2"/>
  <c r="H149" i="2"/>
  <c r="H148" i="2"/>
  <c r="G149" i="2"/>
  <c r="G148" i="2"/>
  <c r="F149" i="2"/>
  <c r="F148" i="2"/>
  <c r="L148" i="2"/>
  <c r="L136" i="2" s="1"/>
  <c r="J127" i="2"/>
  <c r="J126" i="2"/>
  <c r="I127" i="2"/>
  <c r="L93" i="2"/>
  <c r="L84" i="2"/>
  <c r="L85" i="2"/>
  <c r="L46" i="2"/>
  <c r="H96" i="2"/>
  <c r="H95" i="2"/>
  <c r="F96" i="2"/>
  <c r="F95" i="2"/>
  <c r="G96" i="2"/>
  <c r="G95" i="2"/>
  <c r="L89" i="2"/>
  <c r="J77" i="2"/>
  <c r="I77" i="2"/>
  <c r="J76" i="2"/>
  <c r="L903" i="2"/>
  <c r="L902" i="2"/>
  <c r="L894" i="2"/>
  <c r="L893" i="2"/>
  <c r="L877" i="2"/>
  <c r="L876" i="2"/>
  <c r="L874" i="2"/>
  <c r="L873" i="2"/>
  <c r="L856" i="2"/>
  <c r="L855" i="2"/>
  <c r="L853" i="2"/>
  <c r="L852" i="2"/>
  <c r="L831" i="2"/>
  <c r="L830" i="2"/>
  <c r="L828" i="2"/>
  <c r="L827" i="2"/>
  <c r="L821" i="2"/>
  <c r="L814" i="2"/>
  <c r="L813" i="2"/>
  <c r="L804" i="2"/>
  <c r="L803" i="2"/>
  <c r="L786" i="2"/>
  <c r="L785" i="2"/>
  <c r="L767" i="2"/>
  <c r="L766" i="2"/>
  <c r="L742" i="2"/>
  <c r="L741" i="2"/>
  <c r="L731" i="2"/>
  <c r="L730" i="2"/>
  <c r="L722" i="2"/>
  <c r="L721" i="2"/>
  <c r="L716" i="2"/>
  <c r="L713" i="2"/>
  <c r="L680" i="2"/>
  <c r="L677" i="2"/>
  <c r="L673" i="2"/>
  <c r="L670" i="2"/>
  <c r="L651" i="2"/>
  <c r="L650" i="2"/>
  <c r="L649" i="2"/>
  <c r="L628" i="2"/>
  <c r="L629" i="2"/>
  <c r="L626" i="2"/>
  <c r="L625" i="2"/>
  <c r="L623" i="2"/>
  <c r="L534" i="2"/>
  <c r="L533" i="2"/>
  <c r="L531" i="2"/>
  <c r="L530" i="2"/>
  <c r="L492" i="2"/>
  <c r="L491" i="2"/>
  <c r="L461" i="2"/>
  <c r="L460" i="2"/>
  <c r="L406" i="2"/>
  <c r="L405" i="2"/>
  <c r="L397" i="2"/>
  <c r="L396" i="2"/>
  <c r="L363" i="2"/>
  <c r="L360" i="2"/>
  <c r="L308" i="2"/>
  <c r="L291" i="2"/>
  <c r="L290" i="2"/>
  <c r="L288" i="2"/>
  <c r="L287" i="2"/>
  <c r="L278" i="2"/>
  <c r="L277" i="2"/>
  <c r="L246" i="2"/>
  <c r="L245" i="2"/>
  <c r="L243" i="2"/>
  <c r="L242" i="2"/>
  <c r="L231" i="2"/>
  <c r="L230" i="2"/>
  <c r="L198" i="2"/>
  <c r="L197" i="2"/>
  <c r="L195" i="2"/>
  <c r="L194" i="2"/>
  <c r="L192" i="2"/>
  <c r="L191" i="2"/>
  <c r="L188" i="2"/>
  <c r="L187" i="2"/>
  <c r="L185" i="2"/>
  <c r="L184" i="2"/>
  <c r="L182" i="2"/>
  <c r="L181" i="2"/>
  <c r="L161" i="2"/>
  <c r="L105" i="2"/>
  <c r="L104" i="2"/>
  <c r="L32" i="2"/>
  <c r="L31" i="2"/>
  <c r="L30" i="2"/>
  <c r="L28" i="2"/>
  <c r="L27" i="2"/>
  <c r="L26" i="2"/>
  <c r="L20" i="2"/>
  <c r="L15" i="2"/>
  <c r="L10" i="2"/>
  <c r="L309" i="2" l="1"/>
  <c r="K310" i="2"/>
  <c r="L334" i="2"/>
  <c r="Q312" i="3"/>
  <c r="O322" i="3"/>
  <c r="O312" i="3" s="1"/>
  <c r="Q321" i="3"/>
  <c r="O321" i="3"/>
  <c r="K334" i="2"/>
  <c r="L310" i="2"/>
  <c r="K373" i="2"/>
  <c r="K261" i="2"/>
  <c r="L382" i="2"/>
  <c r="L376" i="2" s="1"/>
  <c r="L264" i="2"/>
  <c r="L261" i="2"/>
  <c r="L265" i="2"/>
  <c r="L262" i="2"/>
  <c r="K309" i="2"/>
  <c r="L335" i="2"/>
  <c r="L91" i="2"/>
  <c r="K382" i="2"/>
  <c r="L97" i="2"/>
  <c r="L149" i="2"/>
  <c r="L134" i="2" s="1"/>
  <c r="L171" i="2"/>
  <c r="J374" i="2"/>
  <c r="L82" i="2"/>
  <c r="J382" i="2"/>
  <c r="K374" i="2"/>
  <c r="I373" i="2"/>
  <c r="L131" i="2"/>
  <c r="L133" i="2"/>
  <c r="L114" i="2"/>
  <c r="L168" i="2"/>
  <c r="L158" i="2"/>
  <c r="L164" i="2"/>
  <c r="L62" i="2"/>
  <c r="L578" i="2"/>
  <c r="L63" i="2"/>
  <c r="L583" i="2"/>
  <c r="L571" i="2" s="1"/>
  <c r="L374" i="2"/>
  <c r="L368" i="2" s="1"/>
  <c r="L383" i="2"/>
  <c r="L377" i="2" s="1"/>
  <c r="L115" i="2"/>
  <c r="I374" i="2"/>
  <c r="L130" i="2"/>
  <c r="L373" i="2"/>
  <c r="L367" i="2" s="1"/>
  <c r="L152" i="2"/>
  <c r="L647" i="2"/>
  <c r="L653" i="2"/>
  <c r="L646" i="2"/>
  <c r="L654" i="2"/>
  <c r="L648" i="2"/>
  <c r="L90" i="2"/>
  <c r="L80" i="2"/>
  <c r="L81" i="2"/>
  <c r="L622" i="2"/>
  <c r="L153" i="2"/>
  <c r="L137" i="2" l="1"/>
  <c r="L159" i="2"/>
  <c r="L94" i="2"/>
  <c r="L569" i="2"/>
  <c r="L568" i="2"/>
  <c r="L567" i="2"/>
  <c r="L572" i="2"/>
  <c r="L573" i="2"/>
  <c r="K324" i="3" l="1"/>
  <c r="L315" i="3"/>
  <c r="K316" i="3"/>
  <c r="L224" i="3"/>
  <c r="L328" i="3" s="1"/>
  <c r="L313" i="3" s="1"/>
  <c r="L223" i="3"/>
  <c r="L322" i="3" s="1"/>
  <c r="L26" i="3"/>
  <c r="L23" i="3"/>
  <c r="L20" i="3"/>
  <c r="L180" i="3"/>
  <c r="L312" i="3" l="1"/>
  <c r="L427" i="3"/>
  <c r="L426" i="3"/>
  <c r="K427" i="3"/>
  <c r="J427" i="3"/>
  <c r="I427" i="3"/>
  <c r="L408" i="3"/>
  <c r="L407" i="3"/>
  <c r="K408" i="3"/>
  <c r="J408" i="3"/>
  <c r="I408" i="3"/>
  <c r="L420" i="3"/>
  <c r="K421" i="3"/>
  <c r="J421" i="3"/>
  <c r="I421" i="3"/>
  <c r="L402" i="3"/>
  <c r="L401" i="3"/>
  <c r="K402" i="3"/>
  <c r="J402" i="3"/>
  <c r="I402" i="3"/>
  <c r="L357" i="3"/>
  <c r="L356" i="3"/>
  <c r="L353" i="3" s="1"/>
  <c r="K357" i="3"/>
  <c r="J357" i="3"/>
  <c r="I357" i="3"/>
  <c r="K350" i="3"/>
  <c r="J351" i="3"/>
  <c r="I351" i="3"/>
  <c r="K317" i="3"/>
  <c r="K224" i="3"/>
  <c r="K328" i="3" s="1"/>
  <c r="K313" i="3" s="1"/>
  <c r="J224" i="3"/>
  <c r="I223" i="3"/>
  <c r="H224" i="3"/>
  <c r="H223" i="3"/>
  <c r="L144" i="7" l="1"/>
  <c r="K144" i="7"/>
  <c r="J144" i="7"/>
  <c r="I144" i="7"/>
  <c r="L122" i="7"/>
  <c r="K122" i="7"/>
  <c r="J122" i="7"/>
  <c r="I122" i="7"/>
  <c r="L108" i="7"/>
  <c r="L107" i="7"/>
  <c r="L106" i="7"/>
  <c r="L105" i="7"/>
  <c r="K108" i="7"/>
  <c r="K107" i="7"/>
  <c r="K106" i="7"/>
  <c r="K105" i="7"/>
  <c r="J108" i="7"/>
  <c r="J107" i="7"/>
  <c r="J106" i="7"/>
  <c r="J105" i="7"/>
  <c r="L75" i="7"/>
  <c r="K75" i="7"/>
  <c r="J75" i="7"/>
  <c r="I75" i="7"/>
  <c r="L32" i="7"/>
  <c r="L23" i="7" s="1"/>
  <c r="K32" i="7"/>
  <c r="J32" i="7"/>
  <c r="I32" i="7"/>
  <c r="L17" i="7" l="1"/>
  <c r="L19" i="7"/>
  <c r="L18" i="7"/>
  <c r="L20" i="7"/>
  <c r="L21" i="7"/>
  <c r="L22" i="7"/>
  <c r="I21" i="8" l="1"/>
  <c r="I20" i="8"/>
  <c r="I134" i="8" l="1"/>
  <c r="L106" i="8"/>
  <c r="L105" i="8"/>
  <c r="L97" i="8"/>
  <c r="L96" i="8"/>
  <c r="L95" i="8"/>
  <c r="L94" i="8"/>
  <c r="L80" i="8"/>
  <c r="L79" i="8"/>
  <c r="L78" i="8"/>
  <c r="L76" i="8"/>
  <c r="L59" i="8" s="1"/>
  <c r="L75" i="8"/>
  <c r="L54" i="8" s="1"/>
  <c r="L74" i="8"/>
  <c r="L22" i="8"/>
  <c r="L19" i="8" s="1"/>
  <c r="I22" i="8"/>
  <c r="I19" i="8" s="1"/>
  <c r="L21" i="8"/>
  <c r="L20" i="8"/>
  <c r="L17" i="8"/>
  <c r="L149" i="8" s="1"/>
  <c r="I17" i="8"/>
  <c r="I159" i="8" s="1"/>
  <c r="L207" i="8"/>
  <c r="L204" i="8"/>
  <c r="L203" i="8"/>
  <c r="L198" i="8"/>
  <c r="L197" i="8"/>
  <c r="L196" i="8"/>
  <c r="L181" i="8"/>
  <c r="L173" i="8"/>
  <c r="L171" i="8"/>
  <c r="L170" i="8"/>
  <c r="L169" i="8"/>
  <c r="L168" i="8"/>
  <c r="L167" i="8"/>
  <c r="L166" i="8"/>
  <c r="L160" i="8"/>
  <c r="L152" i="8"/>
  <c r="L119" i="8"/>
  <c r="L118" i="8"/>
  <c r="L114" i="8"/>
  <c r="L89" i="8"/>
  <c r="L34" i="8"/>
  <c r="L165" i="8" l="1"/>
  <c r="L128" i="8"/>
  <c r="L127" i="8"/>
  <c r="L126" i="8"/>
  <c r="L51" i="8"/>
  <c r="L49" i="8"/>
  <c r="I46" i="8"/>
  <c r="L46" i="8"/>
  <c r="L13" i="8"/>
  <c r="L11" i="8"/>
  <c r="L55" i="8"/>
  <c r="L159" i="8"/>
  <c r="L157" i="8" s="1"/>
  <c r="L57" i="8"/>
  <c r="L58" i="8"/>
  <c r="L53" i="8"/>
  <c r="L50" i="8"/>
  <c r="L12" i="8"/>
  <c r="L39" i="8" l="1"/>
  <c r="L40" i="8"/>
  <c r="L41" i="8"/>
  <c r="L373" i="5" l="1"/>
  <c r="CK1305" i="5" l="1"/>
  <c r="CJ1305" i="5"/>
  <c r="CH1305" i="5"/>
  <c r="CG1305" i="5"/>
  <c r="CE1305" i="5"/>
  <c r="CD1305" i="5"/>
  <c r="CB1305" i="5"/>
  <c r="CA1305" i="5"/>
  <c r="BY1305" i="5"/>
  <c r="BX1305" i="5"/>
  <c r="BV1305" i="5"/>
  <c r="BU1305" i="5"/>
  <c r="BS1305" i="5"/>
  <c r="BR1305" i="5"/>
  <c r="BP1305" i="5"/>
  <c r="BO1305" i="5"/>
  <c r="BM1305" i="5"/>
  <c r="BL1305" i="5"/>
  <c r="BJ1305" i="5"/>
  <c r="BI1305" i="5"/>
  <c r="BG1305" i="5"/>
  <c r="BF1305" i="5"/>
  <c r="BD1305" i="5"/>
  <c r="BC1305" i="5"/>
  <c r="BA1305" i="5"/>
  <c r="AZ1305" i="5"/>
  <c r="AX1305" i="5"/>
  <c r="AW1305" i="5"/>
  <c r="AU1305" i="5"/>
  <c r="AT1305" i="5"/>
  <c r="AR1305" i="5"/>
  <c r="AQ1305" i="5"/>
  <c r="AO1305" i="5"/>
  <c r="AN1305" i="5"/>
  <c r="AL1305" i="5"/>
  <c r="AK1305" i="5"/>
  <c r="AI1305" i="5"/>
  <c r="AH1305" i="5"/>
  <c r="AF1305" i="5"/>
  <c r="AE1305" i="5"/>
  <c r="AC1305" i="5"/>
  <c r="AB1305" i="5"/>
  <c r="Z1305" i="5"/>
  <c r="Y1305" i="5"/>
  <c r="W1305" i="5"/>
  <c r="V1305" i="5"/>
  <c r="T1305" i="5"/>
  <c r="S1305" i="5"/>
  <c r="CK1333" i="5"/>
  <c r="CJ1333" i="5"/>
  <c r="CH1333" i="5"/>
  <c r="CG1333" i="5"/>
  <c r="CE1333" i="5"/>
  <c r="CD1333" i="5"/>
  <c r="CB1333" i="5"/>
  <c r="CA1333" i="5"/>
  <c r="BY1333" i="5"/>
  <c r="BX1333" i="5"/>
  <c r="BV1333" i="5"/>
  <c r="BU1333" i="5"/>
  <c r="BS1333" i="5"/>
  <c r="BR1333" i="5"/>
  <c r="BP1333" i="5"/>
  <c r="BO1333" i="5"/>
  <c r="BM1333" i="5"/>
  <c r="BL1333" i="5"/>
  <c r="BJ1333" i="5"/>
  <c r="BI1333" i="5"/>
  <c r="BG1333" i="5"/>
  <c r="BF1333" i="5"/>
  <c r="BD1333" i="5"/>
  <c r="BC1333" i="5"/>
  <c r="BA1333" i="5"/>
  <c r="AZ1333" i="5"/>
  <c r="AX1333" i="5"/>
  <c r="AW1333" i="5"/>
  <c r="AU1333" i="5"/>
  <c r="AT1333" i="5"/>
  <c r="AR1333" i="5"/>
  <c r="AQ1333" i="5"/>
  <c r="AO1333" i="5"/>
  <c r="AN1333" i="5"/>
  <c r="AL1333" i="5"/>
  <c r="AK1333" i="5"/>
  <c r="AI1333" i="5"/>
  <c r="AH1333" i="5"/>
  <c r="AF1333" i="5"/>
  <c r="AE1333" i="5"/>
  <c r="AC1333" i="5"/>
  <c r="AB1333" i="5"/>
  <c r="Z1333" i="5"/>
  <c r="Y1333" i="5"/>
  <c r="W1333" i="5"/>
  <c r="V1333" i="5"/>
  <c r="T1333" i="5"/>
  <c r="S1333" i="5"/>
  <c r="CK1362" i="5"/>
  <c r="CJ1362" i="5"/>
  <c r="CH1362" i="5"/>
  <c r="CG1362" i="5"/>
  <c r="CE1362" i="5"/>
  <c r="CD1362" i="5"/>
  <c r="CB1362" i="5"/>
  <c r="CA1362" i="5"/>
  <c r="BY1362" i="5"/>
  <c r="BX1362" i="5"/>
  <c r="BV1362" i="5"/>
  <c r="BU1362" i="5"/>
  <c r="BS1362" i="5"/>
  <c r="BR1362" i="5"/>
  <c r="BP1362" i="5"/>
  <c r="BO1362" i="5"/>
  <c r="BM1362" i="5"/>
  <c r="BL1362" i="5"/>
  <c r="BJ1362" i="5"/>
  <c r="BI1362" i="5"/>
  <c r="BG1362" i="5"/>
  <c r="BF1362" i="5"/>
  <c r="BD1362" i="5"/>
  <c r="BC1362" i="5"/>
  <c r="BA1362" i="5"/>
  <c r="AZ1362" i="5"/>
  <c r="AX1362" i="5"/>
  <c r="AW1362" i="5"/>
  <c r="AU1362" i="5"/>
  <c r="AT1362" i="5"/>
  <c r="AR1362" i="5"/>
  <c r="AQ1362" i="5"/>
  <c r="AO1362" i="5"/>
  <c r="AN1362" i="5"/>
  <c r="AL1362" i="5"/>
  <c r="AK1362" i="5"/>
  <c r="AI1362" i="5"/>
  <c r="AH1362" i="5"/>
  <c r="AF1362" i="5"/>
  <c r="AE1362" i="5"/>
  <c r="AC1362" i="5"/>
  <c r="AB1362" i="5"/>
  <c r="Z1362" i="5"/>
  <c r="Y1362" i="5"/>
  <c r="W1362" i="5"/>
  <c r="V1362" i="5"/>
  <c r="T1362" i="5"/>
  <c r="S1362" i="5"/>
  <c r="CK1359" i="5"/>
  <c r="CJ1359" i="5"/>
  <c r="CH1359" i="5"/>
  <c r="CG1359" i="5"/>
  <c r="CE1359" i="5"/>
  <c r="CD1359" i="5"/>
  <c r="CB1359" i="5"/>
  <c r="CA1359" i="5"/>
  <c r="BY1359" i="5"/>
  <c r="BX1359" i="5"/>
  <c r="BV1359" i="5"/>
  <c r="BU1359" i="5"/>
  <c r="BS1359" i="5"/>
  <c r="BR1359" i="5"/>
  <c r="BP1359" i="5"/>
  <c r="BO1359" i="5"/>
  <c r="BM1359" i="5"/>
  <c r="BL1359" i="5"/>
  <c r="BJ1359" i="5"/>
  <c r="BI1359" i="5"/>
  <c r="BG1359" i="5"/>
  <c r="BF1359" i="5"/>
  <c r="BD1359" i="5"/>
  <c r="BC1359" i="5"/>
  <c r="BA1359" i="5"/>
  <c r="AZ1359" i="5"/>
  <c r="AX1359" i="5"/>
  <c r="AW1359" i="5"/>
  <c r="AU1359" i="5"/>
  <c r="AT1359" i="5"/>
  <c r="AR1359" i="5"/>
  <c r="AQ1359" i="5"/>
  <c r="AO1359" i="5"/>
  <c r="AN1359" i="5"/>
  <c r="AL1359" i="5"/>
  <c r="AK1359" i="5"/>
  <c r="AI1359" i="5"/>
  <c r="AH1359" i="5"/>
  <c r="AF1359" i="5"/>
  <c r="AE1359" i="5"/>
  <c r="AC1359" i="5"/>
  <c r="AB1359" i="5"/>
  <c r="Z1359" i="5"/>
  <c r="Y1359" i="5"/>
  <c r="W1359" i="5"/>
  <c r="V1359" i="5"/>
  <c r="T1359" i="5"/>
  <c r="S1359" i="5"/>
  <c r="CK1302" i="5"/>
  <c r="CJ1302" i="5"/>
  <c r="CH1302" i="5"/>
  <c r="CG1302" i="5"/>
  <c r="CE1302" i="5"/>
  <c r="CD1302" i="5"/>
  <c r="CB1302" i="5"/>
  <c r="CA1302" i="5"/>
  <c r="BY1302" i="5"/>
  <c r="BX1302" i="5"/>
  <c r="BV1302" i="5"/>
  <c r="BU1302" i="5"/>
  <c r="BS1302" i="5"/>
  <c r="BR1302" i="5"/>
  <c r="BP1302" i="5"/>
  <c r="BO1302" i="5"/>
  <c r="BM1302" i="5"/>
  <c r="BL1302" i="5"/>
  <c r="BJ1302" i="5"/>
  <c r="BI1302" i="5"/>
  <c r="BG1302" i="5"/>
  <c r="BF1302" i="5"/>
  <c r="BD1302" i="5"/>
  <c r="BC1302" i="5"/>
  <c r="BA1302" i="5"/>
  <c r="AZ1302" i="5"/>
  <c r="AX1302" i="5"/>
  <c r="AW1302" i="5"/>
  <c r="AU1302" i="5"/>
  <c r="AT1302" i="5"/>
  <c r="AR1302" i="5"/>
  <c r="AQ1302" i="5"/>
  <c r="AO1302" i="5"/>
  <c r="AN1302" i="5"/>
  <c r="AL1302" i="5"/>
  <c r="AK1302" i="5"/>
  <c r="AI1302" i="5"/>
  <c r="AH1302" i="5"/>
  <c r="AF1302" i="5"/>
  <c r="AE1302" i="5"/>
  <c r="AC1302" i="5"/>
  <c r="AB1302" i="5"/>
  <c r="Z1302" i="5"/>
  <c r="Y1302" i="5"/>
  <c r="W1302" i="5"/>
  <c r="V1302" i="5"/>
  <c r="T1302" i="5"/>
  <c r="S1302" i="5"/>
  <c r="K880" i="5" l="1"/>
  <c r="K864" i="5" l="1"/>
  <c r="K890" i="5" l="1"/>
  <c r="CK744" i="5"/>
  <c r="CK732" i="5" s="1"/>
  <c r="CJ744" i="5"/>
  <c r="CJ732" i="5" s="1"/>
  <c r="CH744" i="5"/>
  <c r="CH732" i="5" s="1"/>
  <c r="CG744" i="5"/>
  <c r="CE744" i="5"/>
  <c r="CE732" i="5" s="1"/>
  <c r="CD744" i="5"/>
  <c r="CD732" i="5" s="1"/>
  <c r="CK743" i="5"/>
  <c r="CK731" i="5" s="1"/>
  <c r="CJ743" i="5"/>
  <c r="CH743" i="5"/>
  <c r="CG743" i="5"/>
  <c r="CG731" i="5" s="1"/>
  <c r="CE743" i="5"/>
  <c r="CE742" i="5" s="1"/>
  <c r="CD743" i="5"/>
  <c r="CB744" i="5"/>
  <c r="CB732" i="5" s="1"/>
  <c r="CA744" i="5"/>
  <c r="CA732" i="5" s="1"/>
  <c r="BY744" i="5"/>
  <c r="BY732" i="5" s="1"/>
  <c r="BX744" i="5"/>
  <c r="BX732" i="5" s="1"/>
  <c r="BV744" i="5"/>
  <c r="BV732" i="5" s="1"/>
  <c r="BU744" i="5"/>
  <c r="BU732" i="5" s="1"/>
  <c r="CB743" i="5"/>
  <c r="CB742" i="5" s="1"/>
  <c r="CA743" i="5"/>
  <c r="BY743" i="5"/>
  <c r="BY731" i="5" s="1"/>
  <c r="BX743" i="5"/>
  <c r="BX731" i="5" s="1"/>
  <c r="BV743" i="5"/>
  <c r="BV742" i="5" s="1"/>
  <c r="BU743" i="5"/>
  <c r="BS744" i="5"/>
  <c r="BS732" i="5" s="1"/>
  <c r="BR744" i="5"/>
  <c r="BR732" i="5" s="1"/>
  <c r="BP744" i="5"/>
  <c r="BP742" i="5" s="1"/>
  <c r="BO744" i="5"/>
  <c r="BM744" i="5"/>
  <c r="BM732" i="5" s="1"/>
  <c r="BL744" i="5"/>
  <c r="BL732" i="5" s="1"/>
  <c r="BS743" i="5"/>
  <c r="BS742" i="5" s="1"/>
  <c r="BR743" i="5"/>
  <c r="BP743" i="5"/>
  <c r="BP731" i="5" s="1"/>
  <c r="BO743" i="5"/>
  <c r="BO731" i="5" s="1"/>
  <c r="BM743" i="5"/>
  <c r="BM742" i="5" s="1"/>
  <c r="BL743" i="5"/>
  <c r="BJ744" i="5"/>
  <c r="BJ732" i="5" s="1"/>
  <c r="BI744" i="5"/>
  <c r="BI732" i="5" s="1"/>
  <c r="BG744" i="5"/>
  <c r="BG732" i="5" s="1"/>
  <c r="BF744" i="5"/>
  <c r="BF732" i="5" s="1"/>
  <c r="BD744" i="5"/>
  <c r="BD732" i="5" s="1"/>
  <c r="BC744" i="5"/>
  <c r="BC732" i="5" s="1"/>
  <c r="BJ743" i="5"/>
  <c r="BJ742" i="5" s="1"/>
  <c r="BI743" i="5"/>
  <c r="BG743" i="5"/>
  <c r="BG731" i="5" s="1"/>
  <c r="BF743" i="5"/>
  <c r="BF731" i="5" s="1"/>
  <c r="BD743" i="5"/>
  <c r="BD742" i="5" s="1"/>
  <c r="BC743" i="5"/>
  <c r="BC742" i="5" s="1"/>
  <c r="BA744" i="5"/>
  <c r="BA732" i="5" s="1"/>
  <c r="AZ744" i="5"/>
  <c r="AZ732" i="5" s="1"/>
  <c r="AX744" i="5"/>
  <c r="AX742" i="5" s="1"/>
  <c r="AW744" i="5"/>
  <c r="AU744" i="5"/>
  <c r="AU732" i="5" s="1"/>
  <c r="AT744" i="5"/>
  <c r="AT732" i="5" s="1"/>
  <c r="BA743" i="5"/>
  <c r="BA731" i="5" s="1"/>
  <c r="AZ743" i="5"/>
  <c r="AZ731" i="5" s="1"/>
  <c r="AX743" i="5"/>
  <c r="AX731" i="5" s="1"/>
  <c r="AW743" i="5"/>
  <c r="AW731" i="5" s="1"/>
  <c r="AU743" i="5"/>
  <c r="AU731" i="5" s="1"/>
  <c r="AT743" i="5"/>
  <c r="AT731" i="5" s="1"/>
  <c r="AR744" i="5"/>
  <c r="AR732" i="5" s="1"/>
  <c r="AQ744" i="5"/>
  <c r="AQ732" i="5" s="1"/>
  <c r="AO744" i="5"/>
  <c r="AO742" i="5" s="1"/>
  <c r="AN744" i="5"/>
  <c r="AN732" i="5" s="1"/>
  <c r="AL744" i="5"/>
  <c r="AL732" i="5" s="1"/>
  <c r="AK744" i="5"/>
  <c r="AK732" i="5" s="1"/>
  <c r="AR743" i="5"/>
  <c r="AR731" i="5" s="1"/>
  <c r="AQ743" i="5"/>
  <c r="AQ731" i="5" s="1"/>
  <c r="AO743" i="5"/>
  <c r="AO731" i="5" s="1"/>
  <c r="AN743" i="5"/>
  <c r="AN731" i="5" s="1"/>
  <c r="AL743" i="5"/>
  <c r="AL731" i="5" s="1"/>
  <c r="AK743" i="5"/>
  <c r="AI744" i="5"/>
  <c r="AI732" i="5" s="1"/>
  <c r="AH744" i="5"/>
  <c r="AH732" i="5" s="1"/>
  <c r="AF744" i="5"/>
  <c r="AF732" i="5" s="1"/>
  <c r="AE744" i="5"/>
  <c r="AC744" i="5"/>
  <c r="AC732" i="5" s="1"/>
  <c r="AB744" i="5"/>
  <c r="AB732" i="5" s="1"/>
  <c r="AI743" i="5"/>
  <c r="AI742" i="5" s="1"/>
  <c r="AH743" i="5"/>
  <c r="AF743" i="5"/>
  <c r="AF731" i="5" s="1"/>
  <c r="AE743" i="5"/>
  <c r="AE731" i="5" s="1"/>
  <c r="AC743" i="5"/>
  <c r="AC742" i="5" s="1"/>
  <c r="AB743" i="5"/>
  <c r="Z744" i="5"/>
  <c r="Z732" i="5" s="1"/>
  <c r="Y744" i="5"/>
  <c r="Y732" i="5" s="1"/>
  <c r="Z743" i="5"/>
  <c r="Z742" i="5" s="1"/>
  <c r="Y743" i="5"/>
  <c r="W744" i="5"/>
  <c r="V744" i="5"/>
  <c r="V732" i="5" s="1"/>
  <c r="W743" i="5"/>
  <c r="W731" i="5" s="1"/>
  <c r="V743" i="5"/>
  <c r="V731" i="5" s="1"/>
  <c r="T744" i="5"/>
  <c r="T732" i="5" s="1"/>
  <c r="S744" i="5"/>
  <c r="S732" i="5" s="1"/>
  <c r="T743" i="5"/>
  <c r="T742" i="5" s="1"/>
  <c r="S743" i="5"/>
  <c r="R741" i="5"/>
  <c r="Q741" i="5"/>
  <c r="R740" i="5"/>
  <c r="Q740" i="5"/>
  <c r="CK739" i="5"/>
  <c r="CJ739" i="5"/>
  <c r="CH739" i="5"/>
  <c r="CG739" i="5"/>
  <c r="CE739" i="5"/>
  <c r="CD739" i="5"/>
  <c r="BX742" i="5"/>
  <c r="CB739" i="5"/>
  <c r="CA739" i="5"/>
  <c r="BY739" i="5"/>
  <c r="BX739" i="5"/>
  <c r="BV739" i="5"/>
  <c r="BU739" i="5"/>
  <c r="BS739" i="5"/>
  <c r="BR739" i="5"/>
  <c r="BP739" i="5"/>
  <c r="BO739" i="5"/>
  <c r="BM739" i="5"/>
  <c r="BL739" i="5"/>
  <c r="BJ739" i="5"/>
  <c r="BI739" i="5"/>
  <c r="BG739" i="5"/>
  <c r="BF739" i="5"/>
  <c r="BD739" i="5"/>
  <c r="BC739" i="5"/>
  <c r="BA739" i="5"/>
  <c r="AZ739" i="5"/>
  <c r="AX739" i="5"/>
  <c r="AW739" i="5"/>
  <c r="AU739" i="5"/>
  <c r="AT739" i="5"/>
  <c r="AN742" i="5"/>
  <c r="AR739" i="5"/>
  <c r="AQ739" i="5"/>
  <c r="AO739" i="5"/>
  <c r="AN739" i="5"/>
  <c r="AL739" i="5"/>
  <c r="AK739" i="5"/>
  <c r="AF742" i="5"/>
  <c r="AI739" i="5"/>
  <c r="AH739" i="5"/>
  <c r="AF739" i="5"/>
  <c r="AE739" i="5"/>
  <c r="AC739" i="5"/>
  <c r="AB739" i="5"/>
  <c r="V742" i="5"/>
  <c r="Z739" i="5"/>
  <c r="Y739" i="5"/>
  <c r="W739" i="5"/>
  <c r="V739" i="5"/>
  <c r="T739" i="5"/>
  <c r="S739" i="5"/>
  <c r="L742" i="5"/>
  <c r="K742" i="5"/>
  <c r="L739" i="5"/>
  <c r="K739" i="5"/>
  <c r="BG742" i="5" l="1"/>
  <c r="CK742" i="5"/>
  <c r="AL742" i="5"/>
  <c r="BY742" i="5"/>
  <c r="Q739" i="5"/>
  <c r="S742" i="5"/>
  <c r="Y742" i="5"/>
  <c r="AB742" i="5"/>
  <c r="AH742" i="5"/>
  <c r="Q744" i="5"/>
  <c r="Q732" i="5" s="1"/>
  <c r="AK742" i="5"/>
  <c r="AW742" i="5"/>
  <c r="BI742" i="5"/>
  <c r="BR742" i="5"/>
  <c r="BO742" i="5"/>
  <c r="BU742" i="5"/>
  <c r="CA742" i="5"/>
  <c r="CD742" i="5"/>
  <c r="CJ742" i="5"/>
  <c r="CG742" i="5"/>
  <c r="Q743" i="5"/>
  <c r="Q742" i="5" s="1"/>
  <c r="S731" i="5"/>
  <c r="AQ742" i="5"/>
  <c r="AT742" i="5"/>
  <c r="AB731" i="5"/>
  <c r="AE732" i="5"/>
  <c r="AW732" i="5"/>
  <c r="BI731" i="5"/>
  <c r="BL731" i="5"/>
  <c r="BO732" i="5"/>
  <c r="CA731" i="5"/>
  <c r="CD731" i="5"/>
  <c r="CG732" i="5"/>
  <c r="AR742" i="5"/>
  <c r="AU742" i="5"/>
  <c r="W742" i="5"/>
  <c r="CH742" i="5"/>
  <c r="AC731" i="5"/>
  <c r="AX732" i="5"/>
  <c r="BJ731" i="5"/>
  <c r="BM731" i="5"/>
  <c r="BP732" i="5"/>
  <c r="CB731" i="5"/>
  <c r="CE731" i="5"/>
  <c r="W732" i="5"/>
  <c r="Y731" i="5"/>
  <c r="CH731" i="5"/>
  <c r="AZ742" i="5"/>
  <c r="BF742" i="5"/>
  <c r="T731" i="5"/>
  <c r="Z731" i="5"/>
  <c r="AH731" i="5"/>
  <c r="AK731" i="5"/>
  <c r="BC731" i="5"/>
  <c r="BR731" i="5"/>
  <c r="BU731" i="5"/>
  <c r="CJ731" i="5"/>
  <c r="AE742" i="5"/>
  <c r="BA742" i="5"/>
  <c r="AI731" i="5"/>
  <c r="AO732" i="5"/>
  <c r="BD731" i="5"/>
  <c r="BS731" i="5"/>
  <c r="BV731" i="5"/>
  <c r="R739" i="5"/>
  <c r="BL742" i="5"/>
  <c r="R744" i="5"/>
  <c r="R732" i="5" s="1"/>
  <c r="R743" i="5"/>
  <c r="K732" i="5"/>
  <c r="K731" i="5"/>
  <c r="Q731" i="5" l="1"/>
  <c r="R742" i="5"/>
  <c r="R731" i="5"/>
  <c r="L732" i="5"/>
  <c r="L731" i="5"/>
  <c r="AL229" i="5" l="1"/>
  <c r="AL228" i="5"/>
  <c r="BV229" i="5"/>
  <c r="BV228" i="5"/>
  <c r="BP229" i="5"/>
  <c r="BP228" i="5"/>
  <c r="AR233" i="5"/>
  <c r="T229" i="5"/>
  <c r="T228" i="5"/>
  <c r="W233" i="5"/>
  <c r="W232" i="5"/>
  <c r="AX228" i="5"/>
  <c r="AX229" i="5"/>
  <c r="BD229" i="5"/>
  <c r="BD228" i="5"/>
  <c r="AO233" i="5"/>
  <c r="AO232" i="5"/>
  <c r="AO229" i="5"/>
  <c r="AO228" i="5"/>
  <c r="AU229" i="5"/>
  <c r="AU228" i="5"/>
  <c r="BG229" i="5"/>
  <c r="BG228" i="5"/>
  <c r="BJ229" i="5"/>
  <c r="BJ228" i="5"/>
  <c r="AF233" i="5"/>
  <c r="AF229" i="5"/>
  <c r="AF228" i="5"/>
  <c r="CB228" i="5"/>
  <c r="L429" i="5" l="1"/>
  <c r="L432" i="5"/>
  <c r="K865" i="5" l="1"/>
  <c r="CK1628" i="5"/>
  <c r="CJ1628" i="5"/>
  <c r="CH1628" i="5"/>
  <c r="CG1628" i="5"/>
  <c r="CE1628" i="5"/>
  <c r="CD1628" i="5"/>
  <c r="CB1628" i="5"/>
  <c r="CA1628" i="5"/>
  <c r="BY1628" i="5"/>
  <c r="BX1628" i="5"/>
  <c r="BV1628" i="5"/>
  <c r="BU1628" i="5"/>
  <c r="BS1628" i="5"/>
  <c r="BR1628" i="5"/>
  <c r="BP1628" i="5"/>
  <c r="BO1628" i="5"/>
  <c r="BM1628" i="5"/>
  <c r="BL1628" i="5"/>
  <c r="BJ1628" i="5"/>
  <c r="BI1628" i="5"/>
  <c r="BG1628" i="5"/>
  <c r="BF1628" i="5"/>
  <c r="BD1628" i="5"/>
  <c r="BC1628" i="5"/>
  <c r="BA1628" i="5"/>
  <c r="AZ1628" i="5"/>
  <c r="AX1628" i="5"/>
  <c r="AW1628" i="5"/>
  <c r="AU1628" i="5"/>
  <c r="AT1628" i="5"/>
  <c r="AR1628" i="5"/>
  <c r="AQ1628" i="5"/>
  <c r="AO1628" i="5"/>
  <c r="AN1628" i="5"/>
  <c r="AL1628" i="5"/>
  <c r="AK1628" i="5"/>
  <c r="AI1628" i="5"/>
  <c r="AH1628" i="5"/>
  <c r="AF1628" i="5"/>
  <c r="AE1628" i="5"/>
  <c r="AC1628" i="5"/>
  <c r="AB1628" i="5"/>
  <c r="Z1628" i="5"/>
  <c r="Y1628" i="5"/>
  <c r="W1628" i="5"/>
  <c r="V1628" i="5"/>
  <c r="T1628" i="5"/>
  <c r="S1628" i="5"/>
  <c r="CK1657" i="5"/>
  <c r="CJ1657" i="5"/>
  <c r="CH1657" i="5"/>
  <c r="CG1657" i="5"/>
  <c r="CE1657" i="5"/>
  <c r="CD1657" i="5"/>
  <c r="CB1657" i="5"/>
  <c r="CA1657" i="5"/>
  <c r="BY1657" i="5"/>
  <c r="BX1657" i="5"/>
  <c r="BV1657" i="5"/>
  <c r="BU1657" i="5"/>
  <c r="BS1657" i="5"/>
  <c r="BR1657" i="5"/>
  <c r="BP1657" i="5"/>
  <c r="BO1657" i="5"/>
  <c r="BM1657" i="5"/>
  <c r="BL1657" i="5"/>
  <c r="BJ1657" i="5"/>
  <c r="BI1657" i="5"/>
  <c r="BG1657" i="5"/>
  <c r="BF1657" i="5"/>
  <c r="BD1657" i="5"/>
  <c r="BC1657" i="5"/>
  <c r="BA1657" i="5"/>
  <c r="AZ1657" i="5"/>
  <c r="AX1657" i="5"/>
  <c r="AW1657" i="5"/>
  <c r="AU1657" i="5"/>
  <c r="AT1657" i="5"/>
  <c r="AR1657" i="5"/>
  <c r="AQ1657" i="5"/>
  <c r="AO1657" i="5"/>
  <c r="AN1657" i="5"/>
  <c r="AL1657" i="5"/>
  <c r="AK1657" i="5"/>
  <c r="AI1657" i="5"/>
  <c r="AH1657" i="5"/>
  <c r="AF1657" i="5"/>
  <c r="AE1657" i="5"/>
  <c r="AC1657" i="5"/>
  <c r="AB1657" i="5"/>
  <c r="Z1657" i="5"/>
  <c r="Y1657" i="5"/>
  <c r="W1657" i="5"/>
  <c r="V1657" i="5"/>
  <c r="T1657" i="5"/>
  <c r="S1657" i="5"/>
  <c r="CK1512" i="5" l="1"/>
  <c r="CJ1512" i="5"/>
  <c r="CH1512" i="5"/>
  <c r="CG1512" i="5"/>
  <c r="CE1512" i="5"/>
  <c r="CD1512" i="5"/>
  <c r="CB1512" i="5"/>
  <c r="CA1512" i="5"/>
  <c r="BY1512" i="5"/>
  <c r="BX1512" i="5"/>
  <c r="BV1512" i="5"/>
  <c r="BU1512" i="5"/>
  <c r="BS1512" i="5"/>
  <c r="BR1512" i="5"/>
  <c r="BP1512" i="5"/>
  <c r="BO1512" i="5"/>
  <c r="BM1512" i="5"/>
  <c r="BL1512" i="5"/>
  <c r="BJ1512" i="5"/>
  <c r="BI1512" i="5"/>
  <c r="BG1512" i="5"/>
  <c r="BF1512" i="5"/>
  <c r="BD1512" i="5"/>
  <c r="BC1512" i="5"/>
  <c r="BA1512" i="5"/>
  <c r="AZ1512" i="5"/>
  <c r="AX1512" i="5"/>
  <c r="AW1512" i="5"/>
  <c r="AU1512" i="5"/>
  <c r="AT1512" i="5"/>
  <c r="AR1512" i="5"/>
  <c r="AQ1512" i="5"/>
  <c r="AO1512" i="5"/>
  <c r="AN1512" i="5"/>
  <c r="AL1512" i="5"/>
  <c r="AK1512" i="5"/>
  <c r="AI1512" i="5"/>
  <c r="AH1512" i="5"/>
  <c r="AF1512" i="5"/>
  <c r="AE1512" i="5"/>
  <c r="AC1512" i="5"/>
  <c r="AB1512" i="5"/>
  <c r="Z1512" i="5"/>
  <c r="Y1512" i="5"/>
  <c r="W1512" i="5"/>
  <c r="V1512" i="5"/>
  <c r="T1512" i="5"/>
  <c r="S1512" i="5"/>
  <c r="CK1528" i="5"/>
  <c r="CK1527" i="5"/>
  <c r="CH1528" i="5"/>
  <c r="CH1527" i="5"/>
  <c r="CE1528" i="5"/>
  <c r="CE1527" i="5"/>
  <c r="CB1528" i="5"/>
  <c r="CB1527" i="5"/>
  <c r="BY1528" i="5"/>
  <c r="BY1527" i="5"/>
  <c r="BV1528" i="5"/>
  <c r="BV1527" i="5"/>
  <c r="BS1528" i="5"/>
  <c r="BS1527" i="5"/>
  <c r="BP1528" i="5"/>
  <c r="BP1527" i="5"/>
  <c r="BM1528" i="5"/>
  <c r="BM1527" i="5"/>
  <c r="BJ1528" i="5"/>
  <c r="BJ1527" i="5"/>
  <c r="BG1528" i="5"/>
  <c r="BG1527" i="5"/>
  <c r="BD1528" i="5"/>
  <c r="BD1527" i="5"/>
  <c r="BA1528" i="5"/>
  <c r="BA1527" i="5"/>
  <c r="AX1528" i="5"/>
  <c r="AX1527" i="5"/>
  <c r="AU1528" i="5"/>
  <c r="AU1527" i="5"/>
  <c r="AR1528" i="5"/>
  <c r="AR1527" i="5"/>
  <c r="AO1528" i="5"/>
  <c r="AO1527" i="5"/>
  <c r="AL1528" i="5"/>
  <c r="AL1527" i="5"/>
  <c r="AI1528" i="5"/>
  <c r="AI1527" i="5"/>
  <c r="AF1528" i="5"/>
  <c r="AF1527" i="5"/>
  <c r="AC1528" i="5"/>
  <c r="AC1527" i="5"/>
  <c r="Z1528" i="5"/>
  <c r="Z1527" i="5"/>
  <c r="W1528" i="5"/>
  <c r="W1527" i="5"/>
  <c r="T1528" i="5"/>
  <c r="T1527" i="5"/>
  <c r="R1077" i="5" l="1"/>
  <c r="Q1077" i="5"/>
  <c r="CJ903" i="5"/>
  <c r="CG903" i="5"/>
  <c r="CD903" i="5"/>
  <c r="CA903" i="5"/>
  <c r="BX903" i="5"/>
  <c r="BU903" i="5"/>
  <c r="BR903" i="5"/>
  <c r="BO903" i="5"/>
  <c r="BL903" i="5"/>
  <c r="BI903" i="5"/>
  <c r="BF903" i="5"/>
  <c r="BC903" i="5"/>
  <c r="AW903" i="5"/>
  <c r="AT903" i="5"/>
  <c r="AQ903" i="5"/>
  <c r="AN903" i="5"/>
  <c r="AK903" i="5"/>
  <c r="AH903" i="5"/>
  <c r="AE903" i="5"/>
  <c r="AB903" i="5"/>
  <c r="Y903" i="5"/>
  <c r="V903" i="5"/>
  <c r="S903" i="5"/>
  <c r="CK709" i="5" l="1"/>
  <c r="CJ709" i="5"/>
  <c r="CH709" i="5"/>
  <c r="CG709" i="5"/>
  <c r="CE709" i="5"/>
  <c r="CD709" i="5"/>
  <c r="CB709" i="5"/>
  <c r="CA709" i="5"/>
  <c r="BY709" i="5"/>
  <c r="BX709" i="5"/>
  <c r="BV709" i="5"/>
  <c r="BU709" i="5"/>
  <c r="BS709" i="5"/>
  <c r="BR709" i="5"/>
  <c r="BP709" i="5"/>
  <c r="BO709" i="5"/>
  <c r="BM709" i="5"/>
  <c r="BL709" i="5"/>
  <c r="BJ709" i="5"/>
  <c r="BI709" i="5"/>
  <c r="BG709" i="5"/>
  <c r="BF709" i="5"/>
  <c r="BD709" i="5"/>
  <c r="BC709" i="5"/>
  <c r="BA709" i="5"/>
  <c r="AZ709" i="5"/>
  <c r="AX709" i="5"/>
  <c r="AW709" i="5"/>
  <c r="AU709" i="5"/>
  <c r="AT709" i="5"/>
  <c r="AR709" i="5"/>
  <c r="AQ709" i="5"/>
  <c r="AO709" i="5"/>
  <c r="AN709" i="5"/>
  <c r="AL709" i="5"/>
  <c r="AK709" i="5"/>
  <c r="AI709" i="5"/>
  <c r="AH709" i="5"/>
  <c r="AF709" i="5"/>
  <c r="AE709" i="5"/>
  <c r="AC709" i="5"/>
  <c r="AB709" i="5"/>
  <c r="Z709" i="5"/>
  <c r="Y709" i="5"/>
  <c r="W709" i="5"/>
  <c r="V709" i="5"/>
  <c r="T709" i="5"/>
  <c r="S709" i="5"/>
  <c r="CK720" i="5"/>
  <c r="CJ720" i="5"/>
  <c r="CH720" i="5"/>
  <c r="CG720" i="5"/>
  <c r="CE720" i="5"/>
  <c r="CD720" i="5"/>
  <c r="CB720" i="5"/>
  <c r="CA720" i="5"/>
  <c r="BY720" i="5"/>
  <c r="BX720" i="5"/>
  <c r="BV720" i="5"/>
  <c r="BU720" i="5"/>
  <c r="BS720" i="5"/>
  <c r="BR720" i="5"/>
  <c r="BP720" i="5"/>
  <c r="BO720" i="5"/>
  <c r="BM720" i="5"/>
  <c r="BL720" i="5"/>
  <c r="BJ720" i="5"/>
  <c r="BI720" i="5"/>
  <c r="BG720" i="5"/>
  <c r="BF720" i="5"/>
  <c r="BD720" i="5"/>
  <c r="BC720" i="5"/>
  <c r="BA720" i="5"/>
  <c r="AZ720" i="5"/>
  <c r="AX720" i="5"/>
  <c r="AW720" i="5"/>
  <c r="AU720" i="5"/>
  <c r="AT720" i="5"/>
  <c r="AR720" i="5"/>
  <c r="AQ720" i="5"/>
  <c r="AO720" i="5"/>
  <c r="AN720" i="5"/>
  <c r="AL720" i="5"/>
  <c r="AK720" i="5"/>
  <c r="AI720" i="5"/>
  <c r="AH720" i="5"/>
  <c r="AF720" i="5"/>
  <c r="AE720" i="5"/>
  <c r="AC720" i="5"/>
  <c r="AB720" i="5"/>
  <c r="Z720" i="5"/>
  <c r="Y720" i="5"/>
  <c r="W720" i="5"/>
  <c r="V720" i="5"/>
  <c r="T720" i="5"/>
  <c r="S720" i="5"/>
  <c r="R653" i="5"/>
  <c r="BD317" i="5" l="1"/>
  <c r="BV227" i="5" l="1"/>
  <c r="CH228" i="5"/>
  <c r="CH229" i="5"/>
  <c r="CH230" i="5"/>
  <c r="CJ238" i="5"/>
  <c r="CJ237" i="5"/>
  <c r="CK238" i="5"/>
  <c r="CK237" i="5"/>
  <c r="CH238" i="5"/>
  <c r="CH237" i="5"/>
  <c r="CH234" i="5" l="1"/>
  <c r="CH233" i="5"/>
  <c r="AQ232" i="5" l="1"/>
  <c r="AE233" i="5"/>
  <c r="Q243" i="5"/>
  <c r="CK242" i="5"/>
  <c r="CK241" i="5"/>
  <c r="CH242" i="5"/>
  <c r="CH241" i="5"/>
  <c r="CE242" i="5"/>
  <c r="CE241" i="5"/>
  <c r="CB242" i="5"/>
  <c r="CB241" i="5"/>
  <c r="BY242" i="5"/>
  <c r="BY241" i="5"/>
  <c r="BV242" i="5"/>
  <c r="BV241" i="5"/>
  <c r="BS242" i="5"/>
  <c r="BS241" i="5"/>
  <c r="BP242" i="5"/>
  <c r="BP241" i="5"/>
  <c r="BM242" i="5"/>
  <c r="BM241" i="5"/>
  <c r="BJ242" i="5"/>
  <c r="BJ241" i="5"/>
  <c r="BG242" i="5"/>
  <c r="BG241" i="5"/>
  <c r="BD242" i="5"/>
  <c r="BD241" i="5"/>
  <c r="BA242" i="5"/>
  <c r="BA241" i="5"/>
  <c r="AX242" i="5"/>
  <c r="AX241" i="5"/>
  <c r="AU242" i="5"/>
  <c r="AU241" i="5"/>
  <c r="AR242" i="5"/>
  <c r="AR241" i="5"/>
  <c r="AO242" i="5"/>
  <c r="AO241" i="5"/>
  <c r="AL242" i="5"/>
  <c r="AL241" i="5"/>
  <c r="AI242" i="5"/>
  <c r="AI241" i="5"/>
  <c r="AF242" i="5"/>
  <c r="AF241" i="5"/>
  <c r="AC242" i="5"/>
  <c r="AC241" i="5"/>
  <c r="Z242" i="5"/>
  <c r="Z241" i="5"/>
  <c r="W242" i="5"/>
  <c r="W241" i="5"/>
  <c r="T242" i="5"/>
  <c r="T241" i="5"/>
  <c r="BJ68" i="5" l="1"/>
  <c r="CH68" i="5"/>
  <c r="AF68" i="5" l="1"/>
  <c r="AL69" i="5"/>
  <c r="AI69" i="5"/>
  <c r="AL68" i="5"/>
  <c r="AI68" i="5"/>
  <c r="T68" i="5"/>
  <c r="W68" i="5"/>
  <c r="BG68" i="5"/>
  <c r="CA1527" i="5" l="1"/>
  <c r="CA1528" i="5"/>
  <c r="AQ1527" i="5"/>
  <c r="AQ1528" i="5"/>
  <c r="AB1527" i="5"/>
  <c r="AB1528" i="5"/>
  <c r="CJ1528" i="5"/>
  <c r="CG1528" i="5"/>
  <c r="CD1528" i="5"/>
  <c r="BX1528" i="5"/>
  <c r="BU1528" i="5"/>
  <c r="BR1528" i="5"/>
  <c r="BO1528" i="5"/>
  <c r="BL1528" i="5"/>
  <c r="BI1528" i="5"/>
  <c r="BF1528" i="5"/>
  <c r="BC1528" i="5"/>
  <c r="AZ1528" i="5"/>
  <c r="AW1528" i="5"/>
  <c r="AT1528" i="5"/>
  <c r="AN1528" i="5"/>
  <c r="AK1528" i="5"/>
  <c r="AH1528" i="5"/>
  <c r="AE1528" i="5"/>
  <c r="Y1528" i="5"/>
  <c r="V1528" i="5"/>
  <c r="S1528" i="5"/>
  <c r="CJ1527" i="5"/>
  <c r="CG1527" i="5"/>
  <c r="CD1527" i="5"/>
  <c r="BX1527" i="5"/>
  <c r="BU1527" i="5"/>
  <c r="BR1527" i="5"/>
  <c r="BO1527" i="5"/>
  <c r="BL1527" i="5"/>
  <c r="BI1527" i="5"/>
  <c r="BF1527" i="5"/>
  <c r="BC1527" i="5"/>
  <c r="AZ1527" i="5"/>
  <c r="AW1527" i="5"/>
  <c r="AT1527" i="5"/>
  <c r="AN1527" i="5"/>
  <c r="AK1527" i="5"/>
  <c r="AH1527" i="5"/>
  <c r="AE1527" i="5"/>
  <c r="Y1527" i="5"/>
  <c r="V1527" i="5"/>
  <c r="S1527" i="5"/>
  <c r="T1395" i="5" l="1"/>
  <c r="W1395" i="5"/>
  <c r="Z1395" i="5"/>
  <c r="AC1395" i="5"/>
  <c r="AF1395" i="5"/>
  <c r="AI1395" i="5"/>
  <c r="AL1395" i="5"/>
  <c r="AO1395" i="5"/>
  <c r="AR1395" i="5"/>
  <c r="AU1395" i="5"/>
  <c r="AX1395" i="5"/>
  <c r="BA1395" i="5"/>
  <c r="BD1395" i="5"/>
  <c r="BG1395" i="5"/>
  <c r="BJ1395" i="5"/>
  <c r="BM1395" i="5"/>
  <c r="BP1395" i="5"/>
  <c r="BS1395" i="5"/>
  <c r="BV1395" i="5"/>
  <c r="BY1395" i="5"/>
  <c r="CB1395" i="5"/>
  <c r="CE1395" i="5"/>
  <c r="CH1395" i="5"/>
  <c r="T1396" i="5"/>
  <c r="W1396" i="5"/>
  <c r="Z1396" i="5"/>
  <c r="AC1396" i="5"/>
  <c r="AF1396" i="5"/>
  <c r="AI1396" i="5"/>
  <c r="AL1396" i="5"/>
  <c r="AO1396" i="5"/>
  <c r="AR1396" i="5"/>
  <c r="AU1396" i="5"/>
  <c r="AX1396" i="5"/>
  <c r="BA1396" i="5"/>
  <c r="BD1396" i="5"/>
  <c r="BG1396" i="5"/>
  <c r="BJ1396" i="5"/>
  <c r="BM1396" i="5"/>
  <c r="BP1396" i="5"/>
  <c r="BS1396" i="5"/>
  <c r="BV1396" i="5"/>
  <c r="BY1396" i="5"/>
  <c r="CB1396" i="5"/>
  <c r="CE1396" i="5"/>
  <c r="CH1396" i="5"/>
  <c r="T1398" i="5"/>
  <c r="W1398" i="5"/>
  <c r="Z1398" i="5"/>
  <c r="AC1398" i="5"/>
  <c r="AF1398" i="5"/>
  <c r="AI1398" i="5"/>
  <c r="AL1398" i="5"/>
  <c r="AO1398" i="5"/>
  <c r="AR1398" i="5"/>
  <c r="AU1398" i="5"/>
  <c r="AX1398" i="5"/>
  <c r="BA1398" i="5"/>
  <c r="BD1398" i="5"/>
  <c r="BG1398" i="5"/>
  <c r="BJ1398" i="5"/>
  <c r="BM1398" i="5"/>
  <c r="BP1398" i="5"/>
  <c r="BS1398" i="5"/>
  <c r="BV1398" i="5"/>
  <c r="BY1398" i="5"/>
  <c r="CB1398" i="5"/>
  <c r="CE1398" i="5"/>
  <c r="CH1398" i="5"/>
  <c r="T1399" i="5"/>
  <c r="W1399" i="5"/>
  <c r="Z1399" i="5"/>
  <c r="AC1399" i="5"/>
  <c r="AF1399" i="5"/>
  <c r="AI1399" i="5"/>
  <c r="AL1399" i="5"/>
  <c r="AO1399" i="5"/>
  <c r="AR1399" i="5"/>
  <c r="AU1399" i="5"/>
  <c r="AX1399" i="5"/>
  <c r="BA1399" i="5"/>
  <c r="BD1399" i="5"/>
  <c r="BG1399" i="5"/>
  <c r="BJ1399" i="5"/>
  <c r="BM1399" i="5"/>
  <c r="BP1399" i="5"/>
  <c r="BS1399" i="5"/>
  <c r="BV1399" i="5"/>
  <c r="BY1399" i="5"/>
  <c r="CB1399" i="5"/>
  <c r="CE1399" i="5"/>
  <c r="CH1399" i="5"/>
  <c r="T1401" i="5"/>
  <c r="W1401" i="5"/>
  <c r="Z1401" i="5"/>
  <c r="AC1401" i="5"/>
  <c r="AF1401" i="5"/>
  <c r="AI1401" i="5"/>
  <c r="AL1401" i="5"/>
  <c r="AO1401" i="5"/>
  <c r="AR1401" i="5"/>
  <c r="AU1401" i="5"/>
  <c r="AX1401" i="5"/>
  <c r="BA1401" i="5"/>
  <c r="BD1401" i="5"/>
  <c r="BG1401" i="5"/>
  <c r="BJ1401" i="5"/>
  <c r="BM1401" i="5"/>
  <c r="BP1401" i="5"/>
  <c r="BS1401" i="5"/>
  <c r="BV1401" i="5"/>
  <c r="BY1401" i="5"/>
  <c r="CB1401" i="5"/>
  <c r="CE1401" i="5"/>
  <c r="CH1401" i="5"/>
  <c r="T1402" i="5"/>
  <c r="W1402" i="5"/>
  <c r="Z1402" i="5"/>
  <c r="AC1402" i="5"/>
  <c r="AF1402" i="5"/>
  <c r="AI1402" i="5"/>
  <c r="AL1402" i="5"/>
  <c r="AO1402" i="5"/>
  <c r="AR1402" i="5"/>
  <c r="AU1402" i="5"/>
  <c r="AX1402" i="5"/>
  <c r="BA1402" i="5"/>
  <c r="BD1402" i="5"/>
  <c r="BG1402" i="5"/>
  <c r="BJ1402" i="5"/>
  <c r="BM1402" i="5"/>
  <c r="BP1402" i="5"/>
  <c r="BS1402" i="5"/>
  <c r="BV1402" i="5"/>
  <c r="BY1402" i="5"/>
  <c r="CB1402" i="5"/>
  <c r="CE1402" i="5"/>
  <c r="CH1402" i="5"/>
  <c r="CK1395" i="5"/>
  <c r="CK1396" i="5"/>
  <c r="CK1398" i="5"/>
  <c r="CK1399" i="5"/>
  <c r="CK1401" i="5"/>
  <c r="CK1402" i="5"/>
  <c r="CK1330" i="5" l="1"/>
  <c r="CJ1330" i="5"/>
  <c r="CH1330" i="5"/>
  <c r="CG1330" i="5"/>
  <c r="CE1330" i="5"/>
  <c r="CD1330" i="5"/>
  <c r="CB1330" i="5"/>
  <c r="CA1330" i="5"/>
  <c r="BY1330" i="5"/>
  <c r="BX1330" i="5"/>
  <c r="BV1330" i="5"/>
  <c r="BU1330" i="5"/>
  <c r="BS1330" i="5"/>
  <c r="BR1330" i="5"/>
  <c r="BP1330" i="5"/>
  <c r="BO1330" i="5"/>
  <c r="BM1330" i="5"/>
  <c r="BL1330" i="5"/>
  <c r="BJ1330" i="5"/>
  <c r="BI1330" i="5"/>
  <c r="BG1330" i="5"/>
  <c r="BF1330" i="5"/>
  <c r="BD1330" i="5"/>
  <c r="BC1330" i="5"/>
  <c r="BA1330" i="5"/>
  <c r="AZ1330" i="5"/>
  <c r="AX1330" i="5"/>
  <c r="AW1330" i="5"/>
  <c r="AU1330" i="5"/>
  <c r="AT1330" i="5"/>
  <c r="AR1330" i="5"/>
  <c r="AQ1330" i="5"/>
  <c r="AO1330" i="5"/>
  <c r="AN1330" i="5"/>
  <c r="AL1330" i="5"/>
  <c r="AK1330" i="5"/>
  <c r="AI1330" i="5"/>
  <c r="AH1330" i="5"/>
  <c r="AF1330" i="5"/>
  <c r="AE1330" i="5"/>
  <c r="AC1330" i="5"/>
  <c r="AB1330" i="5"/>
  <c r="Z1330" i="5"/>
  <c r="Y1330" i="5"/>
  <c r="W1330" i="5"/>
  <c r="V1330" i="5"/>
  <c r="T1330" i="5"/>
  <c r="S1330" i="5"/>
  <c r="S1177" i="5" l="1"/>
  <c r="K814" i="5" l="1"/>
  <c r="K813" i="5"/>
  <c r="L814" i="5"/>
  <c r="L813" i="5"/>
  <c r="L500" i="5" l="1"/>
  <c r="K489" i="5"/>
  <c r="CK334" i="5" l="1"/>
  <c r="CJ334" i="5"/>
  <c r="CH334" i="5"/>
  <c r="CG334" i="5"/>
  <c r="CE334" i="5"/>
  <c r="CD334" i="5"/>
  <c r="CK333" i="5"/>
  <c r="CJ333" i="5"/>
  <c r="CH333" i="5"/>
  <c r="CG333" i="5"/>
  <c r="CE333" i="5"/>
  <c r="CD333" i="5"/>
  <c r="CK332" i="5"/>
  <c r="CJ332" i="5"/>
  <c r="CH332" i="5"/>
  <c r="CG332" i="5"/>
  <c r="CE332" i="5"/>
  <c r="CD332" i="5"/>
  <c r="CJ331" i="5"/>
  <c r="CJ330" i="5"/>
  <c r="CB334" i="5"/>
  <c r="CA334" i="5"/>
  <c r="BY334" i="5"/>
  <c r="BX334" i="5"/>
  <c r="BV334" i="5"/>
  <c r="BU334" i="5"/>
  <c r="CB333" i="5"/>
  <c r="CA333" i="5"/>
  <c r="BY333" i="5"/>
  <c r="BX333" i="5"/>
  <c r="BV333" i="5"/>
  <c r="BU333" i="5"/>
  <c r="CB332" i="5"/>
  <c r="CA332" i="5"/>
  <c r="BY332" i="5"/>
  <c r="BX332" i="5"/>
  <c r="BV332" i="5"/>
  <c r="BU332" i="5"/>
  <c r="BS334" i="5"/>
  <c r="BR334" i="5"/>
  <c r="BP334" i="5"/>
  <c r="BO334" i="5"/>
  <c r="BM334" i="5"/>
  <c r="BL334" i="5"/>
  <c r="BS333" i="5"/>
  <c r="BR333" i="5"/>
  <c r="BP333" i="5"/>
  <c r="BO333" i="5"/>
  <c r="BM333" i="5"/>
  <c r="BL333" i="5"/>
  <c r="BS332" i="5"/>
  <c r="BR332" i="5"/>
  <c r="BP332" i="5"/>
  <c r="BO332" i="5"/>
  <c r="BM332" i="5"/>
  <c r="BL332" i="5"/>
  <c r="BJ334" i="5"/>
  <c r="BI334" i="5"/>
  <c r="BG334" i="5"/>
  <c r="BF334" i="5"/>
  <c r="BD334" i="5"/>
  <c r="BC334" i="5"/>
  <c r="BJ333" i="5"/>
  <c r="BI333" i="5"/>
  <c r="BG333" i="5"/>
  <c r="BF333" i="5"/>
  <c r="BD333" i="5"/>
  <c r="BC333" i="5"/>
  <c r="BJ332" i="5"/>
  <c r="BI332" i="5"/>
  <c r="BG332" i="5"/>
  <c r="BF332" i="5"/>
  <c r="BD332" i="5"/>
  <c r="BC332" i="5"/>
  <c r="BA334" i="5"/>
  <c r="AZ334" i="5"/>
  <c r="AX334" i="5"/>
  <c r="AW334" i="5"/>
  <c r="AU334" i="5"/>
  <c r="AT334" i="5"/>
  <c r="BA333" i="5"/>
  <c r="AZ333" i="5"/>
  <c r="AX333" i="5"/>
  <c r="AW333" i="5"/>
  <c r="AU333" i="5"/>
  <c r="AT333" i="5"/>
  <c r="BA332" i="5"/>
  <c r="AZ332" i="5"/>
  <c r="AX332" i="5"/>
  <c r="AW332" i="5"/>
  <c r="AU332" i="5"/>
  <c r="AT332" i="5"/>
  <c r="AR334" i="5"/>
  <c r="AQ334" i="5"/>
  <c r="AO334" i="5"/>
  <c r="AN334" i="5"/>
  <c r="AL334" i="5"/>
  <c r="AK334" i="5"/>
  <c r="AR333" i="5"/>
  <c r="AQ333" i="5"/>
  <c r="AO333" i="5"/>
  <c r="AN333" i="5"/>
  <c r="AL333" i="5"/>
  <c r="AK333" i="5"/>
  <c r="AR332" i="5"/>
  <c r="AQ332" i="5"/>
  <c r="AO332" i="5"/>
  <c r="AN332" i="5"/>
  <c r="AL332" i="5"/>
  <c r="AK332" i="5"/>
  <c r="AI334" i="5"/>
  <c r="AH334" i="5"/>
  <c r="AF334" i="5"/>
  <c r="AE334" i="5"/>
  <c r="AC334" i="5"/>
  <c r="AB334" i="5"/>
  <c r="AI333" i="5"/>
  <c r="AH333" i="5"/>
  <c r="AF333" i="5"/>
  <c r="AE333" i="5"/>
  <c r="AC333" i="5"/>
  <c r="AB333" i="5"/>
  <c r="AI332" i="5"/>
  <c r="AH332" i="5"/>
  <c r="AF332" i="5"/>
  <c r="AE332" i="5"/>
  <c r="AC332" i="5"/>
  <c r="AB332" i="5"/>
  <c r="Z334" i="5"/>
  <c r="Y334" i="5"/>
  <c r="Z333" i="5"/>
  <c r="Y333" i="5"/>
  <c r="Z332" i="5"/>
  <c r="Y332" i="5"/>
  <c r="W334" i="5"/>
  <c r="V334" i="5"/>
  <c r="W333" i="5"/>
  <c r="V333" i="5"/>
  <c r="W332" i="5"/>
  <c r="V332" i="5"/>
  <c r="T334" i="5"/>
  <c r="S334" i="5"/>
  <c r="T333" i="5"/>
  <c r="S333" i="5"/>
  <c r="T332" i="5"/>
  <c r="S332" i="5"/>
  <c r="CK340" i="5"/>
  <c r="CJ340" i="5"/>
  <c r="CH340" i="5"/>
  <c r="CG340" i="5"/>
  <c r="CE340" i="5"/>
  <c r="CD340" i="5"/>
  <c r="CK339" i="5"/>
  <c r="CJ339" i="5"/>
  <c r="CH339" i="5"/>
  <c r="CG339" i="5"/>
  <c r="CE339" i="5"/>
  <c r="CD339" i="5"/>
  <c r="CK338" i="5"/>
  <c r="CJ338" i="5"/>
  <c r="CH338" i="5"/>
  <c r="CG338" i="5"/>
  <c r="CE338" i="5"/>
  <c r="CD338" i="5"/>
  <c r="CH337" i="5"/>
  <c r="CE337" i="5"/>
  <c r="CH336" i="5"/>
  <c r="CE336" i="5"/>
  <c r="CB340" i="5"/>
  <c r="CA340" i="5"/>
  <c r="BY340" i="5"/>
  <c r="BX340" i="5"/>
  <c r="BV340" i="5"/>
  <c r="BU340" i="5"/>
  <c r="CB339" i="5"/>
  <c r="CA339" i="5"/>
  <c r="BY339" i="5"/>
  <c r="BX339" i="5"/>
  <c r="BV339" i="5"/>
  <c r="BU339" i="5"/>
  <c r="CB338" i="5"/>
  <c r="CA338" i="5"/>
  <c r="BY338" i="5"/>
  <c r="BX338" i="5"/>
  <c r="BV338" i="5"/>
  <c r="BU338" i="5"/>
  <c r="CB337" i="5"/>
  <c r="BY337" i="5"/>
  <c r="BV337" i="5"/>
  <c r="CB336" i="5"/>
  <c r="BY336" i="5"/>
  <c r="BV336" i="5"/>
  <c r="BS340" i="5"/>
  <c r="BR340" i="5"/>
  <c r="BP340" i="5"/>
  <c r="BO340" i="5"/>
  <c r="BM340" i="5"/>
  <c r="BL340" i="5"/>
  <c r="BS339" i="5"/>
  <c r="BR339" i="5"/>
  <c r="BP339" i="5"/>
  <c r="BO339" i="5"/>
  <c r="BM339" i="5"/>
  <c r="BL339" i="5"/>
  <c r="BS338" i="5"/>
  <c r="BR338" i="5"/>
  <c r="BP338" i="5"/>
  <c r="BO338" i="5"/>
  <c r="BM338" i="5"/>
  <c r="BL338" i="5"/>
  <c r="BS337" i="5"/>
  <c r="BP337" i="5"/>
  <c r="BM337" i="5"/>
  <c r="BS336" i="5"/>
  <c r="BP336" i="5"/>
  <c r="BM336" i="5"/>
  <c r="BJ340" i="5"/>
  <c r="BI340" i="5"/>
  <c r="BG340" i="5"/>
  <c r="BF340" i="5"/>
  <c r="BD340" i="5"/>
  <c r="BC340" i="5"/>
  <c r="BJ339" i="5"/>
  <c r="BI339" i="5"/>
  <c r="BG339" i="5"/>
  <c r="BF339" i="5"/>
  <c r="BD339" i="5"/>
  <c r="BC339" i="5"/>
  <c r="BJ338" i="5"/>
  <c r="BI338" i="5"/>
  <c r="BG338" i="5"/>
  <c r="BF338" i="5"/>
  <c r="BD338" i="5"/>
  <c r="BC338" i="5"/>
  <c r="BJ337" i="5"/>
  <c r="BG337" i="5"/>
  <c r="BD337" i="5"/>
  <c r="BJ336" i="5"/>
  <c r="BG336" i="5"/>
  <c r="BD336" i="5"/>
  <c r="BA340" i="5"/>
  <c r="AZ340" i="5"/>
  <c r="AX340" i="5"/>
  <c r="AW340" i="5"/>
  <c r="AU340" i="5"/>
  <c r="AT340" i="5"/>
  <c r="BA339" i="5"/>
  <c r="AZ339" i="5"/>
  <c r="AX339" i="5"/>
  <c r="AW339" i="5"/>
  <c r="AU339" i="5"/>
  <c r="AT339" i="5"/>
  <c r="BA338" i="5"/>
  <c r="AZ338" i="5"/>
  <c r="AX338" i="5"/>
  <c r="AW338" i="5"/>
  <c r="AU338" i="5"/>
  <c r="AT338" i="5"/>
  <c r="BA337" i="5"/>
  <c r="AX337" i="5"/>
  <c r="AU337" i="5"/>
  <c r="BA336" i="5"/>
  <c r="AX336" i="5"/>
  <c r="AU336" i="5"/>
  <c r="AR340" i="5"/>
  <c r="AQ340" i="5"/>
  <c r="AO340" i="5"/>
  <c r="AN340" i="5"/>
  <c r="AL340" i="5"/>
  <c r="AK340" i="5"/>
  <c r="AR339" i="5"/>
  <c r="AQ339" i="5"/>
  <c r="AO339" i="5"/>
  <c r="AN339" i="5"/>
  <c r="AL339" i="5"/>
  <c r="AK339" i="5"/>
  <c r="AR338" i="5"/>
  <c r="AQ338" i="5"/>
  <c r="AO338" i="5"/>
  <c r="AN338" i="5"/>
  <c r="AL338" i="5"/>
  <c r="AK338" i="5"/>
  <c r="AR337" i="5"/>
  <c r="AO337" i="5"/>
  <c r="AL337" i="5"/>
  <c r="AR336" i="5"/>
  <c r="AO336" i="5"/>
  <c r="AL336" i="5"/>
  <c r="AI340" i="5"/>
  <c r="AH340" i="5"/>
  <c r="AF340" i="5"/>
  <c r="AE340" i="5"/>
  <c r="AC340" i="5"/>
  <c r="AB340" i="5"/>
  <c r="AI339" i="5"/>
  <c r="AH339" i="5"/>
  <c r="AF339" i="5"/>
  <c r="AE339" i="5"/>
  <c r="AC339" i="5"/>
  <c r="AB339" i="5"/>
  <c r="AI338" i="5"/>
  <c r="AH338" i="5"/>
  <c r="AF338" i="5"/>
  <c r="AE338" i="5"/>
  <c r="AC338" i="5"/>
  <c r="AB338" i="5"/>
  <c r="AI337" i="5"/>
  <c r="AF337" i="5"/>
  <c r="AC337" i="5"/>
  <c r="AI336" i="5"/>
  <c r="AF336" i="5"/>
  <c r="AC336" i="5"/>
  <c r="Z340" i="5"/>
  <c r="Y340" i="5"/>
  <c r="Z339" i="5"/>
  <c r="Y339" i="5"/>
  <c r="Z338" i="5"/>
  <c r="Y338" i="5"/>
  <c r="Z337" i="5"/>
  <c r="Z336" i="5"/>
  <c r="W340" i="5"/>
  <c r="V340" i="5"/>
  <c r="W339" i="5"/>
  <c r="V339" i="5"/>
  <c r="W338" i="5"/>
  <c r="V338" i="5"/>
  <c r="W337" i="5"/>
  <c r="W336" i="5"/>
  <c r="T340" i="5"/>
  <c r="S340" i="5"/>
  <c r="T339" i="5"/>
  <c r="S339" i="5"/>
  <c r="T338" i="5"/>
  <c r="S338" i="5"/>
  <c r="T337" i="5"/>
  <c r="T336" i="5"/>
  <c r="L340" i="5"/>
  <c r="L339" i="5"/>
  <c r="L338" i="5"/>
  <c r="K340" i="5"/>
  <c r="K339" i="5"/>
  <c r="K338" i="5"/>
  <c r="L334" i="5"/>
  <c r="L333" i="5"/>
  <c r="L332" i="5"/>
  <c r="K334" i="5"/>
  <c r="K333" i="5"/>
  <c r="K332" i="5"/>
  <c r="CJ242" i="5" l="1"/>
  <c r="CJ337" i="5" s="1"/>
  <c r="CG242" i="5"/>
  <c r="CG337" i="5" s="1"/>
  <c r="CD242" i="5"/>
  <c r="CD337" i="5" s="1"/>
  <c r="CA242" i="5"/>
  <c r="CA337" i="5" s="1"/>
  <c r="BX242" i="5"/>
  <c r="BX337" i="5" s="1"/>
  <c r="BU242" i="5"/>
  <c r="BU337" i="5" s="1"/>
  <c r="BR242" i="5"/>
  <c r="BR337" i="5" s="1"/>
  <c r="BO242" i="5"/>
  <c r="BO337" i="5" s="1"/>
  <c r="BL242" i="5"/>
  <c r="BL337" i="5" s="1"/>
  <c r="BI242" i="5"/>
  <c r="BI337" i="5" s="1"/>
  <c r="BF242" i="5"/>
  <c r="BF337" i="5" s="1"/>
  <c r="BC242" i="5"/>
  <c r="BC337" i="5" s="1"/>
  <c r="AZ242" i="5"/>
  <c r="AZ337" i="5" s="1"/>
  <c r="AW242" i="5"/>
  <c r="AW337" i="5" s="1"/>
  <c r="AT242" i="5"/>
  <c r="AT337" i="5" s="1"/>
  <c r="AQ242" i="5"/>
  <c r="AQ337" i="5" s="1"/>
  <c r="AN242" i="5"/>
  <c r="AN337" i="5" s="1"/>
  <c r="AK242" i="5"/>
  <c r="AK337" i="5" s="1"/>
  <c r="AH242" i="5"/>
  <c r="AH337" i="5" s="1"/>
  <c r="AE242" i="5"/>
  <c r="AE337" i="5" s="1"/>
  <c r="AB242" i="5"/>
  <c r="AB337" i="5" s="1"/>
  <c r="Y242" i="5"/>
  <c r="Y337" i="5" s="1"/>
  <c r="V242" i="5"/>
  <c r="V337" i="5" s="1"/>
  <c r="S242" i="5"/>
  <c r="S337" i="5" s="1"/>
  <c r="CJ241" i="5"/>
  <c r="CJ336" i="5" s="1"/>
  <c r="CG241" i="5"/>
  <c r="CG336" i="5" s="1"/>
  <c r="CD241" i="5"/>
  <c r="CD336" i="5" s="1"/>
  <c r="CA241" i="5"/>
  <c r="CA336" i="5" s="1"/>
  <c r="BX241" i="5"/>
  <c r="BX336" i="5" s="1"/>
  <c r="BU241" i="5"/>
  <c r="BU336" i="5" s="1"/>
  <c r="BR241" i="5"/>
  <c r="BR336" i="5" s="1"/>
  <c r="BO241" i="5"/>
  <c r="BO336" i="5" s="1"/>
  <c r="BL241" i="5"/>
  <c r="BL336" i="5" s="1"/>
  <c r="BI241" i="5"/>
  <c r="BI336" i="5" s="1"/>
  <c r="BF241" i="5"/>
  <c r="BF336" i="5" s="1"/>
  <c r="BC241" i="5"/>
  <c r="BC336" i="5" s="1"/>
  <c r="AZ241" i="5"/>
  <c r="AZ336" i="5" s="1"/>
  <c r="AW241" i="5"/>
  <c r="AW336" i="5" s="1"/>
  <c r="AT241" i="5"/>
  <c r="AT336" i="5" s="1"/>
  <c r="AQ241" i="5"/>
  <c r="AQ336" i="5" s="1"/>
  <c r="AN241" i="5"/>
  <c r="AN336" i="5" s="1"/>
  <c r="AK241" i="5"/>
  <c r="AK336" i="5" s="1"/>
  <c r="AH241" i="5"/>
  <c r="AH336" i="5" s="1"/>
  <c r="AE241" i="5"/>
  <c r="AE336" i="5" s="1"/>
  <c r="AB241" i="5"/>
  <c r="AB336" i="5" s="1"/>
  <c r="Y241" i="5"/>
  <c r="Y336" i="5" s="1"/>
  <c r="V241" i="5"/>
  <c r="V336" i="5" s="1"/>
  <c r="S241" i="5"/>
  <c r="S336" i="5" s="1"/>
  <c r="CG234" i="5"/>
  <c r="CG233" i="5"/>
  <c r="AN233" i="5"/>
  <c r="V233" i="5"/>
  <c r="AN232" i="5"/>
  <c r="V232" i="5"/>
  <c r="R68" i="5" l="1"/>
  <c r="L174" i="7" l="1"/>
  <c r="L171" i="7"/>
  <c r="L157" i="7"/>
  <c r="K161" i="7" l="1"/>
  <c r="L161" i="7"/>
  <c r="L155" i="7" s="1"/>
  <c r="K178" i="7"/>
  <c r="L178" i="7"/>
  <c r="L169" i="7" s="1"/>
  <c r="L44" i="3"/>
  <c r="L43" i="3"/>
  <c r="L145" i="7"/>
  <c r="L142" i="7"/>
  <c r="L136" i="7"/>
  <c r="L135" i="7"/>
  <c r="L127" i="7"/>
  <c r="L123" i="7"/>
  <c r="L120" i="7"/>
  <c r="L112" i="7"/>
  <c r="L111" i="7"/>
  <c r="L110" i="7"/>
  <c r="L98" i="7"/>
  <c r="L97" i="7"/>
  <c r="L96" i="7"/>
  <c r="L95" i="7"/>
  <c r="L89" i="7"/>
  <c r="L88" i="7"/>
  <c r="L84" i="7"/>
  <c r="L79" i="7"/>
  <c r="L78" i="7"/>
  <c r="L70" i="7"/>
  <c r="L69" i="7"/>
  <c r="L68" i="7"/>
  <c r="L64" i="7"/>
  <c r="L61" i="7"/>
  <c r="L59" i="7"/>
  <c r="L58" i="7"/>
  <c r="L53" i="7"/>
  <c r="L50" i="7"/>
  <c r="L49" i="7"/>
  <c r="L48" i="7"/>
  <c r="L42" i="7"/>
  <c r="L34" i="7"/>
  <c r="L33" i="7" s="1"/>
  <c r="L13" i="7"/>
  <c r="L10" i="7"/>
  <c r="L298" i="3"/>
  <c r="L295" i="3"/>
  <c r="K295" i="3"/>
  <c r="L260" i="3"/>
  <c r="L259" i="3"/>
  <c r="J253" i="3"/>
  <c r="K267" i="3"/>
  <c r="K253" i="3" s="1"/>
  <c r="L267" i="3"/>
  <c r="L253" i="3" s="1"/>
  <c r="L157" i="3"/>
  <c r="L155" i="3"/>
  <c r="L151" i="3"/>
  <c r="L150" i="3"/>
  <c r="L148" i="3"/>
  <c r="K155" i="3"/>
  <c r="K154" i="3"/>
  <c r="K151" i="3"/>
  <c r="K150" i="3"/>
  <c r="K148" i="3"/>
  <c r="K147" i="3"/>
  <c r="L138" i="3"/>
  <c r="L142" i="3"/>
  <c r="K142" i="3"/>
  <c r="L129" i="3"/>
  <c r="L123" i="3"/>
  <c r="L141" i="3" s="1"/>
  <c r="L120" i="3"/>
  <c r="L117" i="3"/>
  <c r="L133" i="3"/>
  <c r="K133" i="3"/>
  <c r="L73" i="3"/>
  <c r="L60" i="3"/>
  <c r="L76" i="3"/>
  <c r="L106" i="3" s="1"/>
  <c r="L70" i="3"/>
  <c r="L100" i="3" s="1"/>
  <c r="L107" i="3"/>
  <c r="L104" i="3"/>
  <c r="L103" i="3"/>
  <c r="L101" i="3"/>
  <c r="K107" i="3"/>
  <c r="K104" i="3"/>
  <c r="K101" i="3"/>
  <c r="I46" i="3"/>
  <c r="J47" i="3"/>
  <c r="L47" i="3"/>
  <c r="K47" i="3"/>
  <c r="L15" i="3"/>
  <c r="L13" i="3" s="1"/>
  <c r="K15" i="3"/>
  <c r="K13" i="3" s="1"/>
  <c r="L11" i="3"/>
  <c r="L34" i="3"/>
  <c r="L154" i="3" s="1"/>
  <c r="L28" i="3"/>
  <c r="L147" i="3" s="1"/>
  <c r="L254" i="3" l="1"/>
  <c r="L255" i="3"/>
  <c r="K37" i="3"/>
  <c r="K46" i="3" s="1"/>
  <c r="P22" i="3"/>
  <c r="S19" i="3"/>
  <c r="L37" i="3"/>
  <c r="K177" i="7"/>
  <c r="L327" i="3"/>
  <c r="L132" i="3"/>
  <c r="L166" i="7"/>
  <c r="Y253" i="3"/>
  <c r="Y255" i="3"/>
  <c r="Y254" i="3"/>
  <c r="S254" i="3"/>
  <c r="S255" i="3"/>
  <c r="N255" i="3"/>
  <c r="P255" i="3"/>
  <c r="V255" i="3"/>
  <c r="S253" i="3"/>
  <c r="N253" i="3"/>
  <c r="P254" i="3"/>
  <c r="V254" i="3"/>
  <c r="V253" i="3"/>
  <c r="P253" i="3"/>
  <c r="N254" i="3"/>
  <c r="K261" i="3"/>
  <c r="K254" i="3"/>
  <c r="L325" i="3"/>
  <c r="Z253" i="3"/>
  <c r="Z255" i="3"/>
  <c r="Z254" i="3"/>
  <c r="T254" i="3"/>
  <c r="Q255" i="3"/>
  <c r="W255" i="3"/>
  <c r="T253" i="3"/>
  <c r="Q254" i="3"/>
  <c r="O253" i="3"/>
  <c r="O254" i="3"/>
  <c r="W254" i="3"/>
  <c r="Q253" i="3"/>
  <c r="O255" i="3"/>
  <c r="W253" i="3"/>
  <c r="T255" i="3"/>
  <c r="K255" i="3"/>
  <c r="K160" i="7"/>
  <c r="L57" i="7"/>
  <c r="L47" i="7"/>
  <c r="K26" i="3"/>
  <c r="K25" i="3"/>
  <c r="K23" i="3"/>
  <c r="K22" i="3"/>
  <c r="K20" i="3"/>
  <c r="K19" i="3"/>
  <c r="J26" i="3"/>
  <c r="L415" i="3"/>
  <c r="L414" i="3"/>
  <c r="L412" i="3"/>
  <c r="L411" i="3"/>
  <c r="L392" i="3"/>
  <c r="L396" i="3"/>
  <c r="L395" i="3"/>
  <c r="L393" i="3"/>
  <c r="L373" i="3"/>
  <c r="L376" i="3"/>
  <c r="L377" i="3"/>
  <c r="L374" i="3"/>
  <c r="L367" i="3"/>
  <c r="L364" i="3"/>
  <c r="L354" i="3"/>
  <c r="L345" i="3"/>
  <c r="L344" i="3"/>
  <c r="L335" i="3"/>
  <c r="L334" i="3"/>
  <c r="L306" i="3"/>
  <c r="L300" i="3"/>
  <c r="L293" i="3"/>
  <c r="L292" i="3"/>
  <c r="L277" i="3"/>
  <c r="L276" i="3"/>
  <c r="L270" i="3"/>
  <c r="L269" i="3"/>
  <c r="L231" i="3"/>
  <c r="L232" i="3"/>
  <c r="L229" i="3"/>
  <c r="L228" i="3"/>
  <c r="L214" i="3"/>
  <c r="L215" i="3"/>
  <c r="L206" i="3"/>
  <c r="L205" i="3"/>
  <c r="L190" i="3"/>
  <c r="L194" i="3"/>
  <c r="L193" i="3"/>
  <c r="L191" i="3"/>
  <c r="L181" i="3"/>
  <c r="L171" i="3"/>
  <c r="L172" i="3"/>
  <c r="L166" i="3"/>
  <c r="L163" i="3"/>
  <c r="L144" i="3"/>
  <c r="L145" i="3"/>
  <c r="L136" i="3"/>
  <c r="L135" i="3"/>
  <c r="L127" i="3"/>
  <c r="L126" i="3"/>
  <c r="L114" i="3"/>
  <c r="L115" i="3"/>
  <c r="L112" i="3"/>
  <c r="L111" i="3"/>
  <c r="L88" i="3"/>
  <c r="L87" i="3"/>
  <c r="L85" i="3"/>
  <c r="L84" i="3"/>
  <c r="L82" i="3"/>
  <c r="L81" i="3"/>
  <c r="L51" i="3"/>
  <c r="L58" i="3"/>
  <c r="L57" i="3"/>
  <c r="L55" i="3"/>
  <c r="L54" i="3"/>
  <c r="L52" i="3"/>
  <c r="L41" i="3"/>
  <c r="L10" i="3"/>
  <c r="N25" i="3" l="1"/>
  <c r="S25" i="3"/>
  <c r="V22" i="3"/>
  <c r="P19" i="3"/>
  <c r="N22" i="3"/>
  <c r="V19" i="3"/>
  <c r="Y19" i="3"/>
  <c r="P25" i="3"/>
  <c r="Y22" i="3"/>
  <c r="N19" i="3"/>
  <c r="V25" i="3"/>
  <c r="S22" i="3"/>
  <c r="Y25" i="3"/>
  <c r="Y251" i="3"/>
  <c r="Y249" i="3"/>
  <c r="Y250" i="3"/>
  <c r="S249" i="3"/>
  <c r="P251" i="3"/>
  <c r="N249" i="3"/>
  <c r="V251" i="3"/>
  <c r="N250" i="3"/>
  <c r="P250" i="3"/>
  <c r="V250" i="3"/>
  <c r="P249" i="3"/>
  <c r="V249" i="3"/>
  <c r="S250" i="3"/>
  <c r="N251" i="3"/>
  <c r="S251" i="3"/>
  <c r="K250" i="3"/>
  <c r="K249" i="3"/>
  <c r="Z25" i="3"/>
  <c r="Z19" i="3"/>
  <c r="Z22" i="3"/>
  <c r="O22" i="3"/>
  <c r="Q19" i="3"/>
  <c r="T22" i="3"/>
  <c r="Q25" i="3"/>
  <c r="O19" i="3"/>
  <c r="W25" i="3"/>
  <c r="W22" i="3"/>
  <c r="T25" i="3"/>
  <c r="T19" i="3"/>
  <c r="Q22" i="3"/>
  <c r="O25" i="3"/>
  <c r="W19" i="3"/>
  <c r="L22" i="3"/>
  <c r="L160" i="7"/>
  <c r="L154" i="7" s="1"/>
  <c r="L261" i="3"/>
  <c r="L46" i="3"/>
  <c r="L40" i="3" s="1"/>
  <c r="L177" i="7"/>
  <c r="L25" i="3"/>
  <c r="L19" i="3"/>
  <c r="L324" i="3"/>
  <c r="L323" i="3"/>
  <c r="L321" i="3" s="1"/>
  <c r="L320" i="3" s="1"/>
  <c r="L168" i="7" l="1"/>
  <c r="L165" i="7"/>
  <c r="Z251" i="3"/>
  <c r="Z250" i="3"/>
  <c r="Z249" i="3"/>
  <c r="O249" i="3"/>
  <c r="W251" i="3"/>
  <c r="Q250" i="3"/>
  <c r="W250" i="3"/>
  <c r="Q249" i="3"/>
  <c r="W249" i="3"/>
  <c r="T251" i="3"/>
  <c r="T249" i="3"/>
  <c r="T250" i="3"/>
  <c r="Q251" i="3"/>
  <c r="O250" i="3"/>
  <c r="O251" i="3"/>
  <c r="L249" i="3"/>
  <c r="L250" i="3"/>
  <c r="L251" i="3"/>
  <c r="L1409" i="5"/>
  <c r="L1384" i="5"/>
  <c r="L1177" i="5"/>
  <c r="L1148" i="5" s="1"/>
  <c r="L903" i="5"/>
  <c r="L872" i="5"/>
  <c r="L640" i="5"/>
  <c r="L639" i="5"/>
  <c r="L445" i="5"/>
  <c r="L444" i="5"/>
  <c r="L442" i="5"/>
  <c r="L441" i="5"/>
  <c r="L439" i="5"/>
  <c r="L438" i="5"/>
  <c r="L436" i="5"/>
  <c r="L435" i="5"/>
  <c r="L431" i="5"/>
  <c r="L428" i="5"/>
  <c r="L426" i="5"/>
  <c r="L425" i="5"/>
  <c r="L423" i="5"/>
  <c r="L422" i="5"/>
  <c r="L55" i="5"/>
  <c r="L1660" i="5"/>
  <c r="L1657" i="5"/>
  <c r="L1655" i="5"/>
  <c r="L1654" i="5"/>
  <c r="L1653" i="5"/>
  <c r="L1652" i="5"/>
  <c r="L1631" i="5"/>
  <c r="L1628" i="5"/>
  <c r="L1626" i="5"/>
  <c r="L1625" i="5"/>
  <c r="L1624" i="5"/>
  <c r="L1623" i="5"/>
  <c r="L1613" i="5"/>
  <c r="L1610" i="5"/>
  <c r="L1607" i="5"/>
  <c r="L1606" i="5"/>
  <c r="L1605" i="5"/>
  <c r="L1602" i="5"/>
  <c r="L1599" i="5"/>
  <c r="L1597" i="5"/>
  <c r="L1593" i="5" s="1"/>
  <c r="L1596" i="5"/>
  <c r="L1595" i="5"/>
  <c r="L1594" i="5"/>
  <c r="L1584" i="5"/>
  <c r="L1581" i="5"/>
  <c r="L1579" i="5"/>
  <c r="L1578" i="5"/>
  <c r="L1577" i="5"/>
  <c r="L1576" i="5"/>
  <c r="L1573" i="5"/>
  <c r="L1570" i="5"/>
  <c r="L1568" i="5"/>
  <c r="L1567" i="5"/>
  <c r="L1566" i="5"/>
  <c r="L1565" i="5"/>
  <c r="L1555" i="5"/>
  <c r="L1552" i="5"/>
  <c r="L1550" i="5"/>
  <c r="L1549" i="5"/>
  <c r="L1548" i="5"/>
  <c r="L1547" i="5"/>
  <c r="L1544" i="5"/>
  <c r="L1541" i="5"/>
  <c r="L1539" i="5"/>
  <c r="L1538" i="5"/>
  <c r="L1537" i="5"/>
  <c r="L1536" i="5"/>
  <c r="L1528" i="5"/>
  <c r="L1644" i="5" s="1"/>
  <c r="L1527" i="5"/>
  <c r="L1643" i="5" s="1"/>
  <c r="L1515" i="5"/>
  <c r="L1512" i="5"/>
  <c r="L1510" i="5"/>
  <c r="L1509" i="5"/>
  <c r="L1508" i="5"/>
  <c r="L1507" i="5"/>
  <c r="L1486" i="5"/>
  <c r="L1483" i="5"/>
  <c r="L1481" i="5"/>
  <c r="L1480" i="5"/>
  <c r="L1479" i="5"/>
  <c r="L1478" i="5"/>
  <c r="L1475" i="5"/>
  <c r="L1472" i="5"/>
  <c r="L1470" i="5"/>
  <c r="L1469" i="5"/>
  <c r="L1468" i="5"/>
  <c r="L1467" i="5"/>
  <c r="L1456" i="5"/>
  <c r="L1455" i="5" s="1"/>
  <c r="L1450" i="5"/>
  <c r="L1445" i="5"/>
  <c r="L1415" i="5"/>
  <c r="L1406" i="5" s="1"/>
  <c r="L1411" i="5"/>
  <c r="L1407" i="5"/>
  <c r="L1402" i="5"/>
  <c r="L1383" i="5"/>
  <c r="L1362" i="5"/>
  <c r="L1359" i="5"/>
  <c r="L1357" i="5"/>
  <c r="L1356" i="5"/>
  <c r="L1355" i="5"/>
  <c r="L1354" i="5"/>
  <c r="L1333" i="5"/>
  <c r="L1330" i="5"/>
  <c r="L1328" i="5"/>
  <c r="L1327" i="5"/>
  <c r="L1326" i="5"/>
  <c r="L1325" i="5"/>
  <c r="L1305" i="5"/>
  <c r="L1302" i="5"/>
  <c r="L1301" i="5"/>
  <c r="L1300" i="5"/>
  <c r="L1299" i="5"/>
  <c r="L1298" i="5"/>
  <c r="L1290" i="5"/>
  <c r="L1289" i="5"/>
  <c r="L1288" i="5"/>
  <c r="L1287" i="5"/>
  <c r="L1285" i="5"/>
  <c r="L1284" i="5"/>
  <c r="L1283" i="5"/>
  <c r="L1282" i="5"/>
  <c r="L1275" i="5"/>
  <c r="L1272" i="5"/>
  <c r="L1270" i="5"/>
  <c r="L1269" i="5"/>
  <c r="L1268" i="5"/>
  <c r="L1267" i="5"/>
  <c r="L1219" i="5"/>
  <c r="L1218" i="5"/>
  <c r="L1216" i="5"/>
  <c r="L1215" i="5"/>
  <c r="L1213" i="5"/>
  <c r="L1212" i="5"/>
  <c r="L1209" i="5"/>
  <c r="L1208" i="5"/>
  <c r="L1206" i="5"/>
  <c r="L1205" i="5"/>
  <c r="L1203" i="5"/>
  <c r="L1202" i="5"/>
  <c r="L1164" i="5"/>
  <c r="L1133" i="5" s="1"/>
  <c r="L1100" i="5"/>
  <c r="L1102" i="5"/>
  <c r="L1095" i="5" s="1"/>
  <c r="L1073" i="5"/>
  <c r="L1072" i="5"/>
  <c r="L1075" i="5"/>
  <c r="L1074" i="5"/>
  <c r="L1070" i="5"/>
  <c r="L1071" i="5"/>
  <c r="L1044" i="5"/>
  <c r="L1043" i="5"/>
  <c r="L1042" i="5"/>
  <c r="L1041" i="5"/>
  <c r="L1040" i="5"/>
  <c r="L1039" i="5"/>
  <c r="L1032" i="5"/>
  <c r="L1027" i="5"/>
  <c r="L1022" i="5"/>
  <c r="L1017" i="5"/>
  <c r="L1012" i="5"/>
  <c r="L990" i="5"/>
  <c r="L985" i="5"/>
  <c r="L976" i="5"/>
  <c r="L967" i="5"/>
  <c r="L961" i="5" s="1"/>
  <c r="L954" i="5"/>
  <c r="L951" i="5"/>
  <c r="L948" i="5"/>
  <c r="L945" i="5"/>
  <c r="L942" i="5"/>
  <c r="L939" i="5"/>
  <c r="L930" i="5"/>
  <c r="L927" i="5"/>
  <c r="L922" i="5"/>
  <c r="L917" i="5"/>
  <c r="L906" i="5"/>
  <c r="L900" i="5" s="1"/>
  <c r="L899" i="5"/>
  <c r="L891" i="5"/>
  <c r="L890" i="5"/>
  <c r="L880" i="5"/>
  <c r="L853" i="5"/>
  <c r="L848" i="5"/>
  <c r="L844" i="5"/>
  <c r="L841" i="5"/>
  <c r="L835" i="5"/>
  <c r="L830" i="5"/>
  <c r="L826" i="5"/>
  <c r="L823" i="5"/>
  <c r="L812" i="5"/>
  <c r="L809" i="5"/>
  <c r="L808" i="5"/>
  <c r="L807" i="5"/>
  <c r="L798" i="5"/>
  <c r="L800" i="5"/>
  <c r="L793" i="5"/>
  <c r="L790" i="5"/>
  <c r="L787" i="5"/>
  <c r="L785" i="5"/>
  <c r="L781" i="5"/>
  <c r="L778" i="5"/>
  <c r="L775" i="5"/>
  <c r="L773" i="5"/>
  <c r="L763" i="5"/>
  <c r="L1317" i="5" s="1"/>
  <c r="L1311" i="5" s="1"/>
  <c r="L762" i="5"/>
  <c r="L1316" i="5" s="1"/>
  <c r="L758" i="5"/>
  <c r="L754" i="5"/>
  <c r="L1314" i="5" s="1"/>
  <c r="L753" i="5"/>
  <c r="L1313" i="5" s="1"/>
  <c r="L749" i="5"/>
  <c r="L729" i="5"/>
  <c r="L733" i="5"/>
  <c r="L723" i="5"/>
  <c r="L720" i="5"/>
  <c r="L718" i="5"/>
  <c r="L717" i="5"/>
  <c r="L716" i="5"/>
  <c r="L715" i="5"/>
  <c r="L712" i="5"/>
  <c r="L709" i="5"/>
  <c r="L707" i="5"/>
  <c r="L706" i="5"/>
  <c r="L705" i="5"/>
  <c r="L704" i="5"/>
  <c r="L696" i="5"/>
  <c r="L1441" i="5" s="1"/>
  <c r="L695" i="5"/>
  <c r="L1440" i="5" s="1"/>
  <c r="L693" i="5"/>
  <c r="L1438" i="5" s="1"/>
  <c r="L692" i="5"/>
  <c r="L1437" i="5" s="1"/>
  <c r="L687" i="5"/>
  <c r="L1432" i="5" s="1"/>
  <c r="L686" i="5"/>
  <c r="L1431" i="5" s="1"/>
  <c r="L684" i="5"/>
  <c r="L1429" i="5" s="1"/>
  <c r="L683" i="5"/>
  <c r="L1428" i="5" s="1"/>
  <c r="L672" i="5"/>
  <c r="L671" i="5"/>
  <c r="L670" i="5"/>
  <c r="L669" i="5"/>
  <c r="L667" i="5"/>
  <c r="L666" i="5"/>
  <c r="L665" i="5"/>
  <c r="L655" i="5"/>
  <c r="L652" i="5"/>
  <c r="L651" i="5"/>
  <c r="L650" i="5"/>
  <c r="L649" i="5"/>
  <c r="L648" i="5"/>
  <c r="L645" i="5"/>
  <c r="L642" i="5"/>
  <c r="L641" i="5"/>
  <c r="L638" i="5"/>
  <c r="L618" i="5"/>
  <c r="L615" i="5"/>
  <c r="L614" i="5"/>
  <c r="L613" i="5"/>
  <c r="L612" i="5"/>
  <c r="L611" i="5"/>
  <c r="L604" i="5"/>
  <c r="L601" i="5"/>
  <c r="L600" i="5"/>
  <c r="L599" i="5"/>
  <c r="L598" i="5"/>
  <c r="L597" i="5"/>
  <c r="L594" i="5"/>
  <c r="L560" i="5" s="1"/>
  <c r="L590" i="5"/>
  <c r="L559" i="5"/>
  <c r="L584" i="5"/>
  <c r="L581" i="5"/>
  <c r="L580" i="5"/>
  <c r="L579" i="5"/>
  <c r="L574" i="5"/>
  <c r="L571" i="5"/>
  <c r="L549" i="5"/>
  <c r="L548" i="5"/>
  <c r="L543" i="5"/>
  <c r="L694" i="5" s="1"/>
  <c r="L1439" i="5" s="1"/>
  <c r="L540" i="5"/>
  <c r="L691" i="5" s="1"/>
  <c r="L1436" i="5" s="1"/>
  <c r="L539" i="5"/>
  <c r="L690" i="5" s="1"/>
  <c r="L1435" i="5" s="1"/>
  <c r="L534" i="5"/>
  <c r="L685" i="5" s="1"/>
  <c r="L1430" i="5" s="1"/>
  <c r="L531" i="5"/>
  <c r="L682" i="5" s="1"/>
  <c r="L1427" i="5" s="1"/>
  <c r="L530" i="5"/>
  <c r="L681" i="5" s="1"/>
  <c r="L1426" i="5" s="1"/>
  <c r="L517" i="5"/>
  <c r="L514" i="5"/>
  <c r="L507" i="5"/>
  <c r="L499" i="5" s="1"/>
  <c r="L494" i="5"/>
  <c r="L489" i="5"/>
  <c r="L487" i="5"/>
  <c r="L483" i="5" s="1"/>
  <c r="L486" i="5"/>
  <c r="L482" i="5" s="1"/>
  <c r="L485" i="5"/>
  <c r="L484" i="5"/>
  <c r="L416" i="5"/>
  <c r="L413" i="5"/>
  <c r="L412" i="5"/>
  <c r="L411" i="5"/>
  <c r="L407" i="5"/>
  <c r="L404" i="5"/>
  <c r="L403" i="5"/>
  <c r="L402" i="5"/>
  <c r="L389" i="5"/>
  <c r="L388" i="5"/>
  <c r="L381" i="5"/>
  <c r="L380" i="5"/>
  <c r="L374" i="5"/>
  <c r="L366" i="5"/>
  <c r="L365" i="5"/>
  <c r="L357" i="5"/>
  <c r="L358" i="5"/>
  <c r="L356" i="5"/>
  <c r="L355" i="5"/>
  <c r="L354" i="5"/>
  <c r="L352" i="5"/>
  <c r="L351" i="5"/>
  <c r="L350" i="5"/>
  <c r="L342" i="5"/>
  <c r="L341" i="5"/>
  <c r="L316" i="5"/>
  <c r="L310" i="5"/>
  <c r="L307" i="5"/>
  <c r="L306" i="5"/>
  <c r="L305" i="5"/>
  <c r="L302" i="5"/>
  <c r="L296" i="5" s="1"/>
  <c r="L301" i="5"/>
  <c r="L297" i="5"/>
  <c r="L286" i="5"/>
  <c r="L288" i="5"/>
  <c r="L278" i="5"/>
  <c r="L272" i="5"/>
  <c r="L261" i="5"/>
  <c r="L321" i="5" s="1"/>
  <c r="L315" i="5" s="1"/>
  <c r="L260" i="5"/>
  <c r="L259" i="5"/>
  <c r="L258" i="5"/>
  <c r="L252" i="5"/>
  <c r="L248" i="5"/>
  <c r="L242" i="5"/>
  <c r="L337" i="5" s="1"/>
  <c r="L538" i="5" s="1"/>
  <c r="L241" i="5"/>
  <c r="L238" i="5"/>
  <c r="L330" i="5"/>
  <c r="L227" i="5"/>
  <c r="L215" i="5"/>
  <c r="L203" i="5" s="1"/>
  <c r="L211" i="5"/>
  <c r="L207" i="5"/>
  <c r="L204" i="5"/>
  <c r="L197" i="5"/>
  <c r="L193" i="5"/>
  <c r="L189" i="5"/>
  <c r="L186" i="5"/>
  <c r="L185" i="5"/>
  <c r="L175" i="5"/>
  <c r="L172" i="5"/>
  <c r="L168" i="5"/>
  <c r="L165" i="5"/>
  <c r="L163" i="5"/>
  <c r="L162" i="5"/>
  <c r="L160" i="5"/>
  <c r="L159" i="5"/>
  <c r="L138" i="5"/>
  <c r="L137" i="5"/>
  <c r="L136" i="5"/>
  <c r="L134" i="5"/>
  <c r="L133" i="5"/>
  <c r="L132" i="5"/>
  <c r="L130" i="5"/>
  <c r="L129" i="5"/>
  <c r="L128" i="5"/>
  <c r="L95" i="5"/>
  <c r="L94" i="5"/>
  <c r="L93" i="5"/>
  <c r="L91" i="5"/>
  <c r="L90" i="5"/>
  <c r="L89" i="5"/>
  <c r="L87" i="5"/>
  <c r="L86" i="5"/>
  <c r="L85" i="5"/>
  <c r="L79" i="5"/>
  <c r="L76" i="5"/>
  <c r="L75" i="5"/>
  <c r="L74" i="5"/>
  <c r="L70" i="5"/>
  <c r="L67" i="5"/>
  <c r="L66" i="5"/>
  <c r="L65" i="5"/>
  <c r="L59" i="5"/>
  <c r="L50" i="5"/>
  <c r="L46" i="5"/>
  <c r="L38" i="5"/>
  <c r="L268" i="5" s="1"/>
  <c r="L34" i="5"/>
  <c r="L29" i="5"/>
  <c r="L25" i="5"/>
  <c r="L10" i="5"/>
  <c r="L960" i="5" l="1"/>
  <c r="L756" i="5"/>
  <c r="L24" i="5"/>
  <c r="L916" i="5"/>
  <c r="L1564" i="5"/>
  <c r="L300" i="5"/>
  <c r="L294" i="5" s="1"/>
  <c r="L304" i="5"/>
  <c r="L1465" i="5"/>
  <c r="L1462" i="5"/>
  <c r="L1560" i="5"/>
  <c r="L770" i="5"/>
  <c r="L965" i="5"/>
  <c r="L570" i="5"/>
  <c r="L863" i="5"/>
  <c r="L865" i="5"/>
  <c r="L864" i="5"/>
  <c r="L862" i="5"/>
  <c r="L563" i="5"/>
  <c r="L912" i="5"/>
  <c r="L1382" i="5"/>
  <c r="L410" i="5"/>
  <c r="L1098" i="5"/>
  <c r="L1562" i="5"/>
  <c r="L818" i="5"/>
  <c r="L821" i="5"/>
  <c r="L1380" i="5"/>
  <c r="L1534" i="5"/>
  <c r="L1591" i="5"/>
  <c r="L1589" i="5"/>
  <c r="L771" i="5"/>
  <c r="L820" i="5"/>
  <c r="L910" i="5"/>
  <c r="L914" i="5"/>
  <c r="L1262" i="5"/>
  <c r="L1535" i="5"/>
  <c r="L1592" i="5"/>
  <c r="L553" i="5"/>
  <c r="L567" i="5"/>
  <c r="L556" i="5"/>
  <c r="L768" i="5"/>
  <c r="L909" i="5"/>
  <c r="L1381" i="5"/>
  <c r="L1533" i="5"/>
  <c r="L1561" i="5"/>
  <c r="L537" i="5"/>
  <c r="L527" i="5" s="1"/>
  <c r="L524" i="5" s="1"/>
  <c r="L480" i="5" s="1"/>
  <c r="L336" i="5"/>
  <c r="L335" i="5" s="1"/>
  <c r="L327" i="5" s="1"/>
  <c r="L295" i="5"/>
  <c r="L816" i="5"/>
  <c r="L529" i="5"/>
  <c r="L680" i="5" s="1"/>
  <c r="L1425" i="5" s="1"/>
  <c r="L331" i="5"/>
  <c r="L329" i="5" s="1"/>
  <c r="L364" i="5"/>
  <c r="L569" i="5"/>
  <c r="L552" i="5"/>
  <c r="L702" i="5"/>
  <c r="L964" i="5"/>
  <c r="L1466" i="5"/>
  <c r="L1563" i="5"/>
  <c r="L1372" i="5"/>
  <c r="L1366" i="5" s="1"/>
  <c r="L1309" i="5"/>
  <c r="L1294" i="5" s="1"/>
  <c r="L689" i="5"/>
  <c r="L1434" i="5" s="1"/>
  <c r="L1097" i="5"/>
  <c r="L1637" i="5"/>
  <c r="L1673" i="5"/>
  <c r="L1520" i="5"/>
  <c r="L1505" i="5" s="1"/>
  <c r="L1672" i="5"/>
  <c r="L1665" i="5" s="1"/>
  <c r="L1650" i="5" s="1"/>
  <c r="L1636" i="5"/>
  <c r="L1621" i="5" s="1"/>
  <c r="L703" i="5"/>
  <c r="L757" i="5"/>
  <c r="L748" i="5"/>
  <c r="L736" i="5"/>
  <c r="L726" i="5" s="1"/>
  <c r="L1524" i="5"/>
  <c r="L1640" i="5" s="1"/>
  <c r="L1669" i="5" s="1"/>
  <c r="L1663" i="5" s="1"/>
  <c r="L547" i="5"/>
  <c r="L481" i="5"/>
  <c r="L401" i="5"/>
  <c r="L378" i="5"/>
  <c r="L291" i="5"/>
  <c r="L43" i="5"/>
  <c r="L349" i="5"/>
  <c r="L346" i="5" s="1"/>
  <c r="L22" i="5"/>
  <c r="L275" i="5"/>
  <c r="L266" i="5" s="1"/>
  <c r="L33" i="5"/>
  <c r="L1350" i="5"/>
  <c r="L1266" i="5"/>
  <c r="L1141" i="5"/>
  <c r="L1145" i="5"/>
  <c r="L1143" i="5"/>
  <c r="L1147" i="5"/>
  <c r="L1142" i="5"/>
  <c r="L1146" i="5"/>
  <c r="L1144" i="5"/>
  <c r="L1134" i="5"/>
  <c r="L1130" i="5"/>
  <c r="L1135" i="5"/>
  <c r="L1131" i="5"/>
  <c r="L1136" i="5"/>
  <c r="L1132" i="5"/>
  <c r="L1129" i="5"/>
  <c r="L1099" i="5"/>
  <c r="L1092" i="5"/>
  <c r="L1093" i="5"/>
  <c r="L1094" i="5"/>
  <c r="L869" i="5"/>
  <c r="L870" i="5"/>
  <c r="L867" i="5"/>
  <c r="L871" i="5"/>
  <c r="L868" i="5"/>
  <c r="L860" i="5"/>
  <c r="L861" i="5"/>
  <c r="L806" i="5"/>
  <c r="L1297" i="5"/>
  <c r="L1346" i="5"/>
  <c r="L1315" i="5"/>
  <c r="L1310" i="5"/>
  <c r="L1296" i="5" s="1"/>
  <c r="L1345" i="5"/>
  <c r="L1374" i="5" s="1"/>
  <c r="L701" i="5"/>
  <c r="L761" i="5"/>
  <c r="L755" i="5" s="1"/>
  <c r="L1341" i="5"/>
  <c r="L1308" i="5"/>
  <c r="L1293" i="5" s="1"/>
  <c r="L747" i="5"/>
  <c r="L752" i="5"/>
  <c r="L746" i="5" s="1"/>
  <c r="L558" i="5"/>
  <c r="L551" i="5"/>
  <c r="L566" i="5"/>
  <c r="L668" i="5"/>
  <c r="L661" i="5" s="1"/>
  <c r="L637" i="5" s="1"/>
  <c r="L1286" i="5"/>
  <c r="L1279" i="5" s="1"/>
  <c r="L1264" i="5" s="1"/>
  <c r="L1281" i="5"/>
  <c r="L1278" i="5" s="1"/>
  <c r="L1261" i="5" s="1"/>
  <c r="L1263" i="5"/>
  <c r="L379" i="5"/>
  <c r="L377" i="5"/>
  <c r="L363" i="5"/>
  <c r="L246" i="5"/>
  <c r="L161" i="5"/>
  <c r="L158" i="5"/>
  <c r="L240" i="5"/>
  <c r="L73" i="5"/>
  <c r="L64" i="5"/>
  <c r="L45" i="5"/>
  <c r="L210" i="5"/>
  <c r="L201" i="5" s="1"/>
  <c r="L202" i="5"/>
  <c r="L803" i="5"/>
  <c r="L797" i="5" s="1"/>
  <c r="L1525" i="5"/>
  <c r="L1590" i="5"/>
  <c r="L1588" i="5"/>
  <c r="L283" i="5"/>
  <c r="L271" i="5" s="1"/>
  <c r="L54" i="5"/>
  <c r="L287" i="5"/>
  <c r="L799" i="5"/>
  <c r="L1337" i="5"/>
  <c r="L1321" i="5" s="1"/>
  <c r="L1443" i="5"/>
  <c r="L1463" i="5"/>
  <c r="L1461" i="5"/>
  <c r="L23" i="5"/>
  <c r="L528" i="5"/>
  <c r="L525" i="5" s="1"/>
  <c r="L236" i="5"/>
  <c r="L224" i="5" s="1"/>
  <c r="L257" i="5"/>
  <c r="L244" i="5" s="1"/>
  <c r="L320" i="5"/>
  <c r="L285" i="5"/>
  <c r="L565" i="5"/>
  <c r="L699" i="5"/>
  <c r="L698" i="5"/>
  <c r="L767" i="5"/>
  <c r="L766" i="5"/>
  <c r="L819" i="5"/>
  <c r="L1464" i="5"/>
  <c r="L1521" i="5"/>
  <c r="L1526" i="5"/>
  <c r="L44" i="5"/>
  <c r="L231" i="5"/>
  <c r="L353" i="5"/>
  <c r="L347" i="5" s="1"/>
  <c r="L362" i="5"/>
  <c r="L562" i="5"/>
  <c r="L561" i="5"/>
  <c r="L568" i="5"/>
  <c r="L555" i="5"/>
  <c r="L554" i="5"/>
  <c r="L1404" i="5"/>
  <c r="L1531" i="5"/>
  <c r="L1530" i="5"/>
  <c r="L911" i="5"/>
  <c r="L915" i="5"/>
  <c r="L962" i="5"/>
  <c r="L966" i="5"/>
  <c r="L1458" i="5"/>
  <c r="L1457" i="5" s="1"/>
  <c r="L1444" i="5" s="1"/>
  <c r="L728" i="5"/>
  <c r="L769" i="5"/>
  <c r="L817" i="5"/>
  <c r="L908" i="5"/>
  <c r="L913" i="5"/>
  <c r="L963" i="5"/>
  <c r="L958" i="5"/>
  <c r="L1265" i="5"/>
  <c r="L1559" i="5"/>
  <c r="L192" i="5"/>
  <c r="L183" i="5" s="1"/>
  <c r="L184" i="5"/>
  <c r="L663" i="5"/>
  <c r="L660" i="5" s="1"/>
  <c r="L700" i="5"/>
  <c r="L959" i="5"/>
  <c r="L1312" i="5"/>
  <c r="L1379" i="5"/>
  <c r="L1532" i="5"/>
  <c r="L1338" i="5" l="1"/>
  <c r="L1518" i="5"/>
  <c r="L1502" i="5" s="1"/>
  <c r="L688" i="5"/>
  <c r="L328" i="5"/>
  <c r="L325" i="5" s="1"/>
  <c r="L326" i="5"/>
  <c r="L1344" i="5"/>
  <c r="L1292" i="5"/>
  <c r="L220" i="5"/>
  <c r="L221" i="5"/>
  <c r="L1523" i="5"/>
  <c r="L1641" i="5"/>
  <c r="L634" i="5"/>
  <c r="L632" i="5"/>
  <c r="L636" i="5"/>
  <c r="L633" i="5"/>
  <c r="L635" i="5"/>
  <c r="L267" i="5"/>
  <c r="L21" i="5"/>
  <c r="L1375" i="5"/>
  <c r="L1368" i="5" s="1"/>
  <c r="L1353" i="5" s="1"/>
  <c r="L1339" i="5"/>
  <c r="L1324" i="5" s="1"/>
  <c r="L1295" i="5"/>
  <c r="L1371" i="5"/>
  <c r="L1336" i="5"/>
  <c r="L348" i="5"/>
  <c r="L345" i="5" s="1"/>
  <c r="L1642" i="5"/>
  <c r="L1367" i="5"/>
  <c r="L679" i="5"/>
  <c r="L526" i="5"/>
  <c r="L523" i="5" s="1"/>
  <c r="L479" i="5" s="1"/>
  <c r="L522" i="5"/>
  <c r="L225" i="5"/>
  <c r="L222" i="5"/>
  <c r="L314" i="5"/>
  <c r="L319" i="5"/>
  <c r="L313" i="5" s="1"/>
  <c r="L1442" i="5"/>
  <c r="L1634" i="5"/>
  <c r="L223" i="5"/>
  <c r="L1519" i="5"/>
  <c r="L1433" i="5"/>
  <c r="L678" i="5"/>
  <c r="L675" i="5" s="1"/>
  <c r="L245" i="5"/>
  <c r="L1506" i="5"/>
  <c r="L1504" i="5"/>
  <c r="L1323" i="5"/>
  <c r="L282" i="5"/>
  <c r="L42" i="5"/>
  <c r="K298" i="3"/>
  <c r="K157" i="3"/>
  <c r="K144" i="3" s="1"/>
  <c r="K186" i="3"/>
  <c r="K180" i="3" s="1"/>
  <c r="J58" i="3"/>
  <c r="J55" i="3"/>
  <c r="J52" i="3"/>
  <c r="J66" i="3"/>
  <c r="J57" i="3" s="1"/>
  <c r="J63" i="3"/>
  <c r="J54" i="3" s="1"/>
  <c r="J60" i="3"/>
  <c r="J51" i="3" s="1"/>
  <c r="J88" i="3"/>
  <c r="J85" i="3"/>
  <c r="J82" i="3"/>
  <c r="J96" i="3"/>
  <c r="J87" i="3" s="1"/>
  <c r="J93" i="3"/>
  <c r="J84" i="3" s="1"/>
  <c r="J90" i="3"/>
  <c r="J81" i="3" s="1"/>
  <c r="J112" i="3"/>
  <c r="J115" i="3"/>
  <c r="J117" i="3"/>
  <c r="J123" i="3"/>
  <c r="J120" i="3"/>
  <c r="J127" i="3"/>
  <c r="J132" i="3"/>
  <c r="J126" i="3" s="1"/>
  <c r="J129" i="3"/>
  <c r="J136" i="3"/>
  <c r="J141" i="3"/>
  <c r="J138" i="3"/>
  <c r="J145" i="3"/>
  <c r="J157" i="3"/>
  <c r="J154" i="3"/>
  <c r="J147" i="3"/>
  <c r="J163" i="3"/>
  <c r="J166" i="3"/>
  <c r="J172" i="3"/>
  <c r="J177" i="3"/>
  <c r="J174" i="3"/>
  <c r="J181" i="3"/>
  <c r="J186" i="3"/>
  <c r="J183" i="3"/>
  <c r="J194" i="3"/>
  <c r="J191" i="3"/>
  <c r="J202" i="3"/>
  <c r="J223" i="3" s="1"/>
  <c r="J199" i="3"/>
  <c r="J193" i="3" s="1"/>
  <c r="J196" i="3"/>
  <c r="J190" i="3" s="1"/>
  <c r="J206" i="3"/>
  <c r="J205" i="3"/>
  <c r="J215" i="3"/>
  <c r="J217" i="3"/>
  <c r="J214" i="3" s="1"/>
  <c r="J216" i="3"/>
  <c r="J385" i="3" s="1"/>
  <c r="J232" i="3"/>
  <c r="J229" i="3"/>
  <c r="J245" i="3"/>
  <c r="J242" i="3"/>
  <c r="J238" i="3"/>
  <c r="J235" i="3"/>
  <c r="J255" i="3"/>
  <c r="J254" i="3"/>
  <c r="J261" i="3"/>
  <c r="J250" i="3" s="1"/>
  <c r="J260" i="3"/>
  <c r="J251" i="3" s="1"/>
  <c r="J258" i="3"/>
  <c r="J249" i="3" s="1"/>
  <c r="J298" i="3"/>
  <c r="J295" i="3"/>
  <c r="J292" i="3" s="1"/>
  <c r="J293" i="3"/>
  <c r="J300" i="3"/>
  <c r="J306" i="3"/>
  <c r="J309" i="3"/>
  <c r="J307" i="3"/>
  <c r="J305" i="3" s="1"/>
  <c r="J328" i="3"/>
  <c r="J313" i="3" s="1"/>
  <c r="J322" i="3"/>
  <c r="J321" i="3"/>
  <c r="J317" i="3"/>
  <c r="J315" i="3"/>
  <c r="J335" i="3"/>
  <c r="J334" i="3"/>
  <c r="J345" i="3"/>
  <c r="J347" i="3"/>
  <c r="J356" i="3" s="1"/>
  <c r="J354" i="3"/>
  <c r="J362" i="3"/>
  <c r="J359" i="3"/>
  <c r="J367" i="3"/>
  <c r="J364" i="3"/>
  <c r="J377" i="3"/>
  <c r="J374" i="3"/>
  <c r="J388" i="3"/>
  <c r="J382" i="3"/>
  <c r="J379" i="3"/>
  <c r="J373" i="3" s="1"/>
  <c r="J396" i="3"/>
  <c r="J393" i="3"/>
  <c r="J398" i="3"/>
  <c r="J415" i="3"/>
  <c r="J412" i="3"/>
  <c r="J135" i="3" l="1"/>
  <c r="J376" i="3"/>
  <c r="J114" i="3"/>
  <c r="J171" i="3"/>
  <c r="J228" i="3"/>
  <c r="J353" i="3"/>
  <c r="J231" i="3"/>
  <c r="J180" i="3"/>
  <c r="J144" i="3"/>
  <c r="J111" i="3"/>
  <c r="J420" i="3"/>
  <c r="J411" i="3" s="1"/>
  <c r="J401" i="3"/>
  <c r="J392" i="3" s="1"/>
  <c r="J407" i="3"/>
  <c r="J395" i="3" s="1"/>
  <c r="J426" i="3"/>
  <c r="J414" i="3" s="1"/>
  <c r="J312" i="3"/>
  <c r="J350" i="3"/>
  <c r="J344" i="3" s="1"/>
  <c r="J320" i="3"/>
  <c r="L1373" i="5"/>
  <c r="L1670" i="5"/>
  <c r="L1664" i="5" s="1"/>
  <c r="L1648" i="5" s="1"/>
  <c r="L1635" i="5"/>
  <c r="L1619" i="5" s="1"/>
  <c r="L478" i="5"/>
  <c r="L1322" i="5"/>
  <c r="L1320" i="5"/>
  <c r="L1319" i="5"/>
  <c r="L1370" i="5"/>
  <c r="L1365" i="5"/>
  <c r="L630" i="5"/>
  <c r="L626" i="5"/>
  <c r="L1352" i="5"/>
  <c r="L1351" i="5"/>
  <c r="L1622" i="5"/>
  <c r="L1620" i="5"/>
  <c r="L1503" i="5"/>
  <c r="L1501" i="5"/>
  <c r="L1639" i="5"/>
  <c r="L281" i="5"/>
  <c r="L269" i="5" s="1"/>
  <c r="L270" i="5"/>
  <c r="L1423" i="5"/>
  <c r="L1420" i="5" s="1"/>
  <c r="L1618" i="5"/>
  <c r="L677" i="5"/>
  <c r="L674" i="5" s="1"/>
  <c r="L676" i="5"/>
  <c r="L673" i="5" s="1"/>
  <c r="L1424" i="5"/>
  <c r="L1666" i="5"/>
  <c r="L1671" i="5"/>
  <c r="J288" i="3"/>
  <c r="J285" i="3"/>
  <c r="J283" i="3"/>
  <c r="J43" i="3"/>
  <c r="J40" i="3" s="1"/>
  <c r="J41" i="3"/>
  <c r="J37" i="3"/>
  <c r="J46" i="3" s="1"/>
  <c r="J34" i="3"/>
  <c r="J25" i="3" s="1"/>
  <c r="J28" i="3"/>
  <c r="J19" i="3" s="1"/>
  <c r="J23" i="3"/>
  <c r="J22" i="3"/>
  <c r="J20" i="3"/>
  <c r="J11" i="3"/>
  <c r="J10" i="3" s="1"/>
  <c r="J282" i="3" l="1"/>
  <c r="L1349" i="5"/>
  <c r="L1348" i="5"/>
  <c r="L1668" i="5"/>
  <c r="L1617" i="5"/>
  <c r="L624" i="5"/>
  <c r="L628" i="5"/>
  <c r="L629" i="5"/>
  <c r="L625" i="5"/>
  <c r="L1421" i="5"/>
  <c r="L1418" i="5" s="1"/>
  <c r="L1405" i="5" s="1"/>
  <c r="L1422" i="5"/>
  <c r="L1419" i="5" s="1"/>
  <c r="L1651" i="5"/>
  <c r="L1649" i="5"/>
  <c r="L1647" i="5"/>
  <c r="L1646" i="5"/>
  <c r="K415" i="3"/>
  <c r="K412" i="3"/>
  <c r="K398" i="3"/>
  <c r="K396" i="3"/>
  <c r="K393" i="3"/>
  <c r="K388" i="3"/>
  <c r="K382" i="3"/>
  <c r="K376" i="3" s="1"/>
  <c r="K379" i="3"/>
  <c r="K377" i="3"/>
  <c r="K374" i="3"/>
  <c r="K367" i="3"/>
  <c r="K364" i="3"/>
  <c r="K362" i="3"/>
  <c r="K359" i="3"/>
  <c r="K354" i="3"/>
  <c r="K347" i="3"/>
  <c r="K356" i="3" s="1"/>
  <c r="K353" i="3" s="1"/>
  <c r="K345" i="3"/>
  <c r="K335" i="3"/>
  <c r="K334" i="3"/>
  <c r="K309" i="3"/>
  <c r="K305" i="3" s="1"/>
  <c r="K307" i="3"/>
  <c r="K315" i="3" s="1"/>
  <c r="K306" i="3"/>
  <c r="K300" i="3"/>
  <c r="K292" i="3"/>
  <c r="K293" i="3"/>
  <c r="K277" i="3"/>
  <c r="K276" i="3"/>
  <c r="K270" i="3"/>
  <c r="K269" i="3"/>
  <c r="K260" i="3"/>
  <c r="K251" i="3" s="1"/>
  <c r="K245" i="3"/>
  <c r="K242" i="3"/>
  <c r="K238" i="3"/>
  <c r="K235" i="3"/>
  <c r="K232" i="3"/>
  <c r="K217" i="3"/>
  <c r="K216" i="3"/>
  <c r="K215" i="3"/>
  <c r="K206" i="3"/>
  <c r="K205" i="3"/>
  <c r="K202" i="3"/>
  <c r="K223" i="3" s="1"/>
  <c r="K322" i="3" s="1"/>
  <c r="K199" i="3"/>
  <c r="K196" i="3"/>
  <c r="K190" i="3" s="1"/>
  <c r="K194" i="3"/>
  <c r="K191" i="3"/>
  <c r="K181" i="3"/>
  <c r="K177" i="3"/>
  <c r="K174" i="3"/>
  <c r="K172" i="3"/>
  <c r="K166" i="3"/>
  <c r="K163" i="3"/>
  <c r="K145" i="3"/>
  <c r="K138" i="3"/>
  <c r="K136" i="3"/>
  <c r="K129" i="3"/>
  <c r="K127" i="3"/>
  <c r="K123" i="3"/>
  <c r="K120" i="3"/>
  <c r="K114" i="3" s="1"/>
  <c r="K117" i="3"/>
  <c r="K115" i="3"/>
  <c r="K112" i="3"/>
  <c r="K88" i="3"/>
  <c r="K85" i="3"/>
  <c r="K82" i="3"/>
  <c r="K76" i="3"/>
  <c r="K73" i="3"/>
  <c r="K103" i="3" s="1"/>
  <c r="K84" i="3" s="1"/>
  <c r="K70" i="3"/>
  <c r="K100" i="3" s="1"/>
  <c r="K81" i="3" s="1"/>
  <c r="K58" i="3"/>
  <c r="K55" i="3"/>
  <c r="K54" i="3"/>
  <c r="K52" i="3"/>
  <c r="K43" i="3"/>
  <c r="K40" i="3" s="1"/>
  <c r="K41" i="3"/>
  <c r="K10" i="3"/>
  <c r="K10" i="7"/>
  <c r="K88" i="7"/>
  <c r="K157" i="7"/>
  <c r="K171" i="7"/>
  <c r="K168" i="7"/>
  <c r="K155" i="7"/>
  <c r="J155" i="7"/>
  <c r="I155" i="7"/>
  <c r="J160" i="7"/>
  <c r="I160" i="7"/>
  <c r="I154" i="7" s="1"/>
  <c r="J157" i="7"/>
  <c r="I157" i="7"/>
  <c r="J177" i="7"/>
  <c r="J168" i="7" s="1"/>
  <c r="I177" i="7"/>
  <c r="I168" i="7" s="1"/>
  <c r="K169" i="7"/>
  <c r="J169" i="7"/>
  <c r="I169" i="7"/>
  <c r="K166" i="7"/>
  <c r="J166" i="7"/>
  <c r="I166" i="7"/>
  <c r="I82" i="3"/>
  <c r="I85" i="3"/>
  <c r="I96" i="3"/>
  <c r="H96" i="3"/>
  <c r="I93" i="3"/>
  <c r="I84" i="3" s="1"/>
  <c r="H93" i="3"/>
  <c r="H91" i="3"/>
  <c r="I90" i="3"/>
  <c r="H90" i="3"/>
  <c r="K312" i="3" l="1"/>
  <c r="K228" i="3"/>
  <c r="K51" i="3"/>
  <c r="K231" i="3"/>
  <c r="K214" i="3"/>
  <c r="K385" i="3"/>
  <c r="K111" i="3"/>
  <c r="K132" i="3"/>
  <c r="K126" i="3" s="1"/>
  <c r="K141" i="3"/>
  <c r="K135" i="3" s="1"/>
  <c r="K193" i="3"/>
  <c r="K407" i="3"/>
  <c r="K395" i="3" s="1"/>
  <c r="K426" i="3"/>
  <c r="K414" i="3" s="1"/>
  <c r="K321" i="3"/>
  <c r="K320" i="3"/>
  <c r="K106" i="3"/>
  <c r="K87" i="3" s="1"/>
  <c r="K57" i="3"/>
  <c r="K171" i="3"/>
  <c r="K344" i="3"/>
  <c r="J154" i="7"/>
  <c r="K154" i="7"/>
  <c r="I165" i="7"/>
  <c r="J165" i="7"/>
  <c r="K165" i="7"/>
  <c r="K89" i="7"/>
  <c r="J88" i="7"/>
  <c r="J89" i="7"/>
  <c r="I88" i="7"/>
  <c r="I89" i="7"/>
  <c r="K70" i="7"/>
  <c r="K69" i="7"/>
  <c r="K68" i="7"/>
  <c r="K59" i="7"/>
  <c r="K58" i="7"/>
  <c r="K64" i="7"/>
  <c r="K61" i="7"/>
  <c r="K49" i="7"/>
  <c r="K48" i="7"/>
  <c r="K53" i="7"/>
  <c r="K50" i="7"/>
  <c r="K23" i="7"/>
  <c r="K21" i="7"/>
  <c r="K20" i="7"/>
  <c r="K19" i="7"/>
  <c r="K18" i="7"/>
  <c r="K30" i="7"/>
  <c r="K22" i="7" s="1"/>
  <c r="K25" i="7"/>
  <c r="K17" i="7" s="1"/>
  <c r="K420" i="3" l="1"/>
  <c r="K411" i="3" s="1"/>
  <c r="K401" i="3"/>
  <c r="K392" i="3" s="1"/>
  <c r="K373" i="3"/>
  <c r="K47" i="7"/>
  <c r="K57" i="7"/>
  <c r="I1373" i="5" l="1"/>
  <c r="K1275" i="5"/>
  <c r="J1275" i="5"/>
  <c r="I1275" i="5"/>
  <c r="H1275" i="5"/>
  <c r="K1272" i="5"/>
  <c r="J1272" i="5"/>
  <c r="I1272" i="5"/>
  <c r="H1272" i="5"/>
  <c r="J1268" i="5"/>
  <c r="J1267" i="5"/>
  <c r="J657" i="2" l="1"/>
  <c r="K636" i="2"/>
  <c r="I607" i="2"/>
  <c r="I606" i="2"/>
  <c r="I605" i="2"/>
  <c r="J607" i="2"/>
  <c r="J606" i="2"/>
  <c r="J605" i="2"/>
  <c r="K607" i="2"/>
  <c r="K606" i="2"/>
  <c r="K605" i="2"/>
  <c r="K576" i="2"/>
  <c r="K575" i="2"/>
  <c r="K577" i="2"/>
  <c r="K628" i="2" l="1"/>
  <c r="K622" i="2"/>
  <c r="K156" i="2"/>
  <c r="K93" i="2"/>
  <c r="K84" i="2"/>
  <c r="K10" i="2"/>
  <c r="J16" i="2"/>
  <c r="H10" i="2"/>
  <c r="I11" i="2"/>
  <c r="I10" i="2" s="1"/>
  <c r="J11" i="2"/>
  <c r="J10" i="2" s="1"/>
  <c r="K149" i="2" l="1"/>
  <c r="K583" i="2"/>
  <c r="K571" i="2" s="1"/>
  <c r="K148" i="2"/>
  <c r="K567" i="2" l="1"/>
  <c r="K568" i="2"/>
  <c r="K569" i="2"/>
  <c r="K573" i="2"/>
  <c r="K572" i="2"/>
  <c r="K733" i="5"/>
  <c r="K597" i="5" l="1"/>
  <c r="J737" i="5" l="1"/>
  <c r="J738" i="5"/>
  <c r="CK733" i="5"/>
  <c r="CJ733" i="5"/>
  <c r="CH733" i="5"/>
  <c r="CG733" i="5"/>
  <c r="CE733" i="5"/>
  <c r="CD733" i="5"/>
  <c r="CB733" i="5"/>
  <c r="CA733" i="5"/>
  <c r="BY733" i="5"/>
  <c r="BX733" i="5"/>
  <c r="BV733" i="5"/>
  <c r="BU733" i="5"/>
  <c r="BS733" i="5"/>
  <c r="BR733" i="5"/>
  <c r="BP733" i="5"/>
  <c r="BO733" i="5"/>
  <c r="BM733" i="5"/>
  <c r="BL733" i="5"/>
  <c r="BJ733" i="5"/>
  <c r="BI733" i="5"/>
  <c r="BG733" i="5"/>
  <c r="BF733" i="5"/>
  <c r="BD733" i="5"/>
  <c r="BC733" i="5"/>
  <c r="BA733" i="5"/>
  <c r="AZ733" i="5"/>
  <c r="AX733" i="5"/>
  <c r="AW733" i="5"/>
  <c r="AU733" i="5"/>
  <c r="AT733" i="5"/>
  <c r="AR733" i="5"/>
  <c r="AQ733" i="5"/>
  <c r="AO733" i="5"/>
  <c r="AN733" i="5"/>
  <c r="AL733" i="5"/>
  <c r="AK733" i="5"/>
  <c r="AI733" i="5"/>
  <c r="AH733" i="5"/>
  <c r="AF733" i="5"/>
  <c r="AE733" i="5"/>
  <c r="AC733" i="5"/>
  <c r="AB733" i="5"/>
  <c r="Z733" i="5"/>
  <c r="Y733" i="5"/>
  <c r="W733" i="5"/>
  <c r="V733" i="5"/>
  <c r="T733" i="5"/>
  <c r="S733" i="5"/>
  <c r="J733" i="5"/>
  <c r="K738" i="5"/>
  <c r="K729" i="5" s="1"/>
  <c r="K737" i="5"/>
  <c r="K728" i="5" s="1"/>
  <c r="CK738" i="5"/>
  <c r="CK729" i="5" s="1"/>
  <c r="CJ738" i="5"/>
  <c r="CJ729" i="5" s="1"/>
  <c r="CH738" i="5"/>
  <c r="CH729" i="5" s="1"/>
  <c r="CG738" i="5"/>
  <c r="CG729" i="5" s="1"/>
  <c r="CE738" i="5"/>
  <c r="CE729" i="5" s="1"/>
  <c r="CD738" i="5"/>
  <c r="CD729" i="5" s="1"/>
  <c r="CK737" i="5"/>
  <c r="CK728" i="5" s="1"/>
  <c r="CJ737" i="5"/>
  <c r="CJ728" i="5" s="1"/>
  <c r="CH737" i="5"/>
  <c r="CH728" i="5" s="1"/>
  <c r="CG737" i="5"/>
  <c r="CG728" i="5" s="1"/>
  <c r="CE737" i="5"/>
  <c r="CD737" i="5"/>
  <c r="CD728" i="5" s="1"/>
  <c r="CB738" i="5"/>
  <c r="CB729" i="5" s="1"/>
  <c r="CA738" i="5"/>
  <c r="CA729" i="5" s="1"/>
  <c r="BY738" i="5"/>
  <c r="BY729" i="5" s="1"/>
  <c r="BX738" i="5"/>
  <c r="BX729" i="5" s="1"/>
  <c r="BV738" i="5"/>
  <c r="BV729" i="5" s="1"/>
  <c r="BU738" i="5"/>
  <c r="BU729" i="5" s="1"/>
  <c r="CB737" i="5"/>
  <c r="CA737" i="5"/>
  <c r="BY737" i="5"/>
  <c r="BY728" i="5" s="1"/>
  <c r="BX737" i="5"/>
  <c r="BX728" i="5" s="1"/>
  <c r="BV737" i="5"/>
  <c r="BV736" i="5" s="1"/>
  <c r="BU737" i="5"/>
  <c r="BS738" i="5"/>
  <c r="BS729" i="5" s="1"/>
  <c r="BR738" i="5"/>
  <c r="BR729" i="5" s="1"/>
  <c r="BP738" i="5"/>
  <c r="BP729" i="5" s="1"/>
  <c r="BO738" i="5"/>
  <c r="BO729" i="5" s="1"/>
  <c r="BM738" i="5"/>
  <c r="BM729" i="5" s="1"/>
  <c r="BL738" i="5"/>
  <c r="BL729" i="5" s="1"/>
  <c r="BS737" i="5"/>
  <c r="BS728" i="5" s="1"/>
  <c r="BR737" i="5"/>
  <c r="BR728" i="5" s="1"/>
  <c r="BP737" i="5"/>
  <c r="BO737" i="5"/>
  <c r="BO728" i="5" s="1"/>
  <c r="BM737" i="5"/>
  <c r="BM728" i="5" s="1"/>
  <c r="BL737" i="5"/>
  <c r="BL728" i="5" s="1"/>
  <c r="BJ738" i="5"/>
  <c r="BJ729" i="5" s="1"/>
  <c r="BI738" i="5"/>
  <c r="BI729" i="5" s="1"/>
  <c r="BG738" i="5"/>
  <c r="BG729" i="5" s="1"/>
  <c r="BF738" i="5"/>
  <c r="BF729" i="5" s="1"/>
  <c r="BD738" i="5"/>
  <c r="BD729" i="5" s="1"/>
  <c r="BC738" i="5"/>
  <c r="BC729" i="5" s="1"/>
  <c r="BJ737" i="5"/>
  <c r="BJ728" i="5" s="1"/>
  <c r="BI737" i="5"/>
  <c r="BI728" i="5" s="1"/>
  <c r="BG737" i="5"/>
  <c r="BF737" i="5"/>
  <c r="BF728" i="5" s="1"/>
  <c r="BD737" i="5"/>
  <c r="BD728" i="5" s="1"/>
  <c r="BC737" i="5"/>
  <c r="BC728" i="5" s="1"/>
  <c r="BA738" i="5"/>
  <c r="BA729" i="5" s="1"/>
  <c r="AZ738" i="5"/>
  <c r="AZ729" i="5" s="1"/>
  <c r="AX738" i="5"/>
  <c r="AX729" i="5" s="1"/>
  <c r="AW738" i="5"/>
  <c r="AW729" i="5" s="1"/>
  <c r="AU738" i="5"/>
  <c r="AU729" i="5" s="1"/>
  <c r="AT738" i="5"/>
  <c r="AT729" i="5" s="1"/>
  <c r="BA737" i="5"/>
  <c r="BA728" i="5" s="1"/>
  <c r="AZ737" i="5"/>
  <c r="AZ728" i="5" s="1"/>
  <c r="AX737" i="5"/>
  <c r="AW737" i="5"/>
  <c r="AU737" i="5"/>
  <c r="AU728" i="5" s="1"/>
  <c r="AT737" i="5"/>
  <c r="AT728" i="5" s="1"/>
  <c r="AR738" i="5"/>
  <c r="AR729" i="5" s="1"/>
  <c r="AQ738" i="5"/>
  <c r="AQ729" i="5" s="1"/>
  <c r="AO738" i="5"/>
  <c r="AO729" i="5" s="1"/>
  <c r="AN738" i="5"/>
  <c r="AN729" i="5" s="1"/>
  <c r="AL738" i="5"/>
  <c r="AL729" i="5" s="1"/>
  <c r="AK738" i="5"/>
  <c r="AK729" i="5" s="1"/>
  <c r="AR737" i="5"/>
  <c r="AQ737" i="5"/>
  <c r="AQ728" i="5" s="1"/>
  <c r="AO737" i="5"/>
  <c r="AO728" i="5" s="1"/>
  <c r="AN737" i="5"/>
  <c r="AL737" i="5"/>
  <c r="AK737" i="5"/>
  <c r="AK728" i="5" s="1"/>
  <c r="AI738" i="5"/>
  <c r="AI729" i="5" s="1"/>
  <c r="AH738" i="5"/>
  <c r="AH729" i="5" s="1"/>
  <c r="AF738" i="5"/>
  <c r="AF729" i="5" s="1"/>
  <c r="AE738" i="5"/>
  <c r="AE729" i="5" s="1"/>
  <c r="AC738" i="5"/>
  <c r="AC729" i="5" s="1"/>
  <c r="AB738" i="5"/>
  <c r="AB729" i="5" s="1"/>
  <c r="AI737" i="5"/>
  <c r="AI736" i="5" s="1"/>
  <c r="AH737" i="5"/>
  <c r="AH728" i="5" s="1"/>
  <c r="AF737" i="5"/>
  <c r="AF728" i="5" s="1"/>
  <c r="AE737" i="5"/>
  <c r="AE728" i="5" s="1"/>
  <c r="AC737" i="5"/>
  <c r="AC728" i="5" s="1"/>
  <c r="AB737" i="5"/>
  <c r="AB728" i="5" s="1"/>
  <c r="Z738" i="5"/>
  <c r="Z729" i="5" s="1"/>
  <c r="Y738" i="5"/>
  <c r="Y729" i="5" s="1"/>
  <c r="Z737" i="5"/>
  <c r="Y737" i="5"/>
  <c r="Y728" i="5" s="1"/>
  <c r="W738" i="5"/>
  <c r="W729" i="5" s="1"/>
  <c r="V738" i="5"/>
  <c r="V729" i="5" s="1"/>
  <c r="W737" i="5"/>
  <c r="W728" i="5" s="1"/>
  <c r="V737" i="5"/>
  <c r="V728" i="5" s="1"/>
  <c r="T738" i="5"/>
  <c r="T729" i="5" s="1"/>
  <c r="T737" i="5"/>
  <c r="S738" i="5"/>
  <c r="S729" i="5" s="1"/>
  <c r="S737" i="5"/>
  <c r="R735" i="5"/>
  <c r="Q735" i="5"/>
  <c r="R734" i="5"/>
  <c r="Q734" i="5"/>
  <c r="Q725" i="5"/>
  <c r="CK736" i="5" l="1"/>
  <c r="AI728" i="5"/>
  <c r="BP736" i="5"/>
  <c r="BP726" i="5" s="1"/>
  <c r="S736" i="5"/>
  <c r="BU736" i="5"/>
  <c r="BU726" i="5" s="1"/>
  <c r="CA736" i="5"/>
  <c r="J736" i="5"/>
  <c r="K736" i="5"/>
  <c r="K726" i="5" s="1"/>
  <c r="AL736" i="5"/>
  <c r="CE736" i="5"/>
  <c r="CE726" i="5" s="1"/>
  <c r="BY736" i="5"/>
  <c r="BY726" i="5" s="1"/>
  <c r="AR736" i="5"/>
  <c r="AR726" i="5" s="1"/>
  <c r="BA736" i="5"/>
  <c r="BA726" i="5" s="1"/>
  <c r="AX736" i="5"/>
  <c r="AC736" i="5"/>
  <c r="AC726" i="5" s="1"/>
  <c r="BG736" i="5"/>
  <c r="BG726" i="5" s="1"/>
  <c r="BG728" i="5"/>
  <c r="T736" i="5"/>
  <c r="T726" i="5" s="1"/>
  <c r="AN736" i="5"/>
  <c r="AN726" i="5" s="1"/>
  <c r="AW736" i="5"/>
  <c r="AW726" i="5" s="1"/>
  <c r="AO736" i="5"/>
  <c r="BM736" i="5"/>
  <c r="BM726" i="5" s="1"/>
  <c r="AN728" i="5"/>
  <c r="W736" i="5"/>
  <c r="W726" i="5" s="1"/>
  <c r="AU736" i="5"/>
  <c r="AU726" i="5" s="1"/>
  <c r="BS736" i="5"/>
  <c r="BS726" i="5" s="1"/>
  <c r="AI726" i="5"/>
  <c r="CE728" i="5"/>
  <c r="CB736" i="5"/>
  <c r="CB726" i="5" s="1"/>
  <c r="AW728" i="5"/>
  <c r="S726" i="5"/>
  <c r="CA726" i="5"/>
  <c r="CA728" i="5"/>
  <c r="V736" i="5"/>
  <c r="V726" i="5" s="1"/>
  <c r="AB736" i="5"/>
  <c r="AB726" i="5" s="1"/>
  <c r="AH736" i="5"/>
  <c r="AH726" i="5" s="1"/>
  <c r="AT736" i="5"/>
  <c r="AT726" i="5" s="1"/>
  <c r="AZ736" i="5"/>
  <c r="AZ726" i="5" s="1"/>
  <c r="BF736" i="5"/>
  <c r="BF726" i="5" s="1"/>
  <c r="BL736" i="5"/>
  <c r="BL726" i="5" s="1"/>
  <c r="BR736" i="5"/>
  <c r="BR726" i="5" s="1"/>
  <c r="BX736" i="5"/>
  <c r="BX726" i="5" s="1"/>
  <c r="CD736" i="5"/>
  <c r="CD726" i="5" s="1"/>
  <c r="CJ736" i="5"/>
  <c r="CJ726" i="5" s="1"/>
  <c r="Q733" i="5"/>
  <c r="AO726" i="5"/>
  <c r="CK726" i="5"/>
  <c r="AL728" i="5"/>
  <c r="AR728" i="5"/>
  <c r="BP728" i="5"/>
  <c r="S728" i="5"/>
  <c r="BU728" i="5"/>
  <c r="R737" i="5"/>
  <c r="R738" i="5"/>
  <c r="R729" i="5" s="1"/>
  <c r="Y736" i="5"/>
  <c r="Y726" i="5" s="1"/>
  <c r="AE736" i="5"/>
  <c r="AE726" i="5" s="1"/>
  <c r="AK736" i="5"/>
  <c r="AK726" i="5" s="1"/>
  <c r="AQ736" i="5"/>
  <c r="AQ726" i="5" s="1"/>
  <c r="BC736" i="5"/>
  <c r="BC726" i="5" s="1"/>
  <c r="BI736" i="5"/>
  <c r="BI726" i="5" s="1"/>
  <c r="BO736" i="5"/>
  <c r="BO726" i="5" s="1"/>
  <c r="CG736" i="5"/>
  <c r="CG726" i="5" s="1"/>
  <c r="AL726" i="5"/>
  <c r="AX726" i="5"/>
  <c r="BV726" i="5"/>
  <c r="T728" i="5"/>
  <c r="Z728" i="5"/>
  <c r="AX728" i="5"/>
  <c r="BV728" i="5"/>
  <c r="CB728" i="5"/>
  <c r="Z736" i="5"/>
  <c r="Z726" i="5" s="1"/>
  <c r="AF736" i="5"/>
  <c r="AF726" i="5" s="1"/>
  <c r="BD736" i="5"/>
  <c r="BD726" i="5" s="1"/>
  <c r="BJ736" i="5"/>
  <c r="BJ726" i="5" s="1"/>
  <c r="CH736" i="5"/>
  <c r="CH726" i="5" s="1"/>
  <c r="R733" i="5"/>
  <c r="Q737" i="5"/>
  <c r="Q728" i="5" s="1"/>
  <c r="Q738" i="5"/>
  <c r="Q729" i="5" s="1"/>
  <c r="R736" i="5" l="1"/>
  <c r="R726" i="5" s="1"/>
  <c r="R728" i="5"/>
  <c r="Q736" i="5"/>
  <c r="Q726" i="5" s="1"/>
  <c r="K442" i="5" l="1"/>
  <c r="K441" i="5"/>
  <c r="J1102" i="5" l="1"/>
  <c r="J1093" i="5" l="1"/>
  <c r="J1092" i="5"/>
  <c r="J1094" i="5"/>
  <c r="CK1411" i="5" l="1"/>
  <c r="CJ1411" i="5"/>
  <c r="CH1411" i="5"/>
  <c r="CG1411" i="5"/>
  <c r="CE1411" i="5"/>
  <c r="CD1411" i="5"/>
  <c r="CB1411" i="5"/>
  <c r="CA1411" i="5"/>
  <c r="BY1411" i="5"/>
  <c r="BX1411" i="5"/>
  <c r="BV1411" i="5"/>
  <c r="BU1411" i="5"/>
  <c r="BS1411" i="5"/>
  <c r="BR1411" i="5"/>
  <c r="BP1411" i="5"/>
  <c r="BO1411" i="5"/>
  <c r="BM1411" i="5"/>
  <c r="BL1411" i="5"/>
  <c r="BJ1411" i="5"/>
  <c r="BI1411" i="5"/>
  <c r="BG1411" i="5"/>
  <c r="BF1411" i="5"/>
  <c r="BD1411" i="5"/>
  <c r="BC1411" i="5"/>
  <c r="BA1411" i="5"/>
  <c r="AZ1411" i="5"/>
  <c r="AX1411" i="5"/>
  <c r="AW1411" i="5"/>
  <c r="AU1411" i="5"/>
  <c r="AT1411" i="5"/>
  <c r="AR1411" i="5"/>
  <c r="AQ1411" i="5"/>
  <c r="AO1411" i="5"/>
  <c r="AN1411" i="5"/>
  <c r="AL1411" i="5"/>
  <c r="AK1411" i="5"/>
  <c r="AI1411" i="5"/>
  <c r="AH1411" i="5"/>
  <c r="AF1411" i="5"/>
  <c r="AE1411" i="5"/>
  <c r="AC1411" i="5"/>
  <c r="AB1411" i="5"/>
  <c r="Z1411" i="5"/>
  <c r="Y1411" i="5"/>
  <c r="W1411" i="5"/>
  <c r="V1411" i="5"/>
  <c r="T1411" i="5"/>
  <c r="S1411" i="5"/>
  <c r="K1411" i="5"/>
  <c r="J1411" i="5"/>
  <c r="R338" i="5" l="1"/>
  <c r="Q338" i="5"/>
  <c r="Q337" i="5"/>
  <c r="Q336" i="5"/>
  <c r="R332" i="5"/>
  <c r="Q332" i="5"/>
  <c r="CK316" i="5" l="1"/>
  <c r="CJ316" i="5"/>
  <c r="CH316" i="5"/>
  <c r="CG316" i="5"/>
  <c r="CE316" i="5"/>
  <c r="CD316" i="5"/>
  <c r="CB316" i="5"/>
  <c r="CA316" i="5"/>
  <c r="BY316" i="5"/>
  <c r="BX316" i="5"/>
  <c r="BV316" i="5"/>
  <c r="BU316" i="5"/>
  <c r="BS316" i="5"/>
  <c r="BR316" i="5"/>
  <c r="BP316" i="5"/>
  <c r="BO316" i="5"/>
  <c r="BM316" i="5"/>
  <c r="BL316" i="5"/>
  <c r="BJ316" i="5"/>
  <c r="BI316" i="5"/>
  <c r="BG316" i="5"/>
  <c r="BF316" i="5"/>
  <c r="BD316" i="5"/>
  <c r="BC316" i="5"/>
  <c r="BA316" i="5"/>
  <c r="AZ316" i="5"/>
  <c r="AX316" i="5"/>
  <c r="AW316" i="5"/>
  <c r="AU316" i="5"/>
  <c r="AT316" i="5"/>
  <c r="AR316" i="5"/>
  <c r="AQ316" i="5"/>
  <c r="AO316" i="5"/>
  <c r="AN316" i="5"/>
  <c r="AL316" i="5"/>
  <c r="AK316" i="5"/>
  <c r="AI316" i="5"/>
  <c r="AH316" i="5"/>
  <c r="AF316" i="5"/>
  <c r="AE316" i="5"/>
  <c r="AC316" i="5"/>
  <c r="AB316" i="5"/>
  <c r="Z316" i="5"/>
  <c r="Y316" i="5"/>
  <c r="W316" i="5"/>
  <c r="V316" i="5"/>
  <c r="T316" i="5"/>
  <c r="S316" i="5"/>
  <c r="K316" i="5"/>
  <c r="J316" i="5"/>
  <c r="I316" i="5"/>
  <c r="J310" i="5" l="1"/>
  <c r="J307" i="5"/>
  <c r="CK307" i="5" l="1"/>
  <c r="CJ307" i="5"/>
  <c r="CH307" i="5"/>
  <c r="CG307" i="5"/>
  <c r="CE307" i="5"/>
  <c r="CD307" i="5"/>
  <c r="CB307" i="5"/>
  <c r="CA307" i="5"/>
  <c r="BY307" i="5"/>
  <c r="BX307" i="5"/>
  <c r="BV307" i="5"/>
  <c r="BU307" i="5"/>
  <c r="BS307" i="5"/>
  <c r="BR307" i="5"/>
  <c r="BP307" i="5"/>
  <c r="BO307" i="5"/>
  <c r="BM307" i="5"/>
  <c r="BL307" i="5"/>
  <c r="BJ307" i="5"/>
  <c r="BI307" i="5"/>
  <c r="BG307" i="5"/>
  <c r="BF307" i="5"/>
  <c r="BD307" i="5"/>
  <c r="BC307" i="5"/>
  <c r="BA307" i="5"/>
  <c r="AZ307" i="5"/>
  <c r="AX307" i="5"/>
  <c r="AW307" i="5"/>
  <c r="AU307" i="5"/>
  <c r="AT307" i="5"/>
  <c r="AR307" i="5"/>
  <c r="AQ307" i="5"/>
  <c r="AO307" i="5"/>
  <c r="AN307" i="5"/>
  <c r="AL307" i="5"/>
  <c r="AK307" i="5"/>
  <c r="AI307" i="5"/>
  <c r="AH307" i="5"/>
  <c r="AF307" i="5"/>
  <c r="AE307" i="5"/>
  <c r="AC307" i="5"/>
  <c r="AB307" i="5"/>
  <c r="Z307" i="5"/>
  <c r="Y307" i="5"/>
  <c r="W307" i="5"/>
  <c r="V307" i="5"/>
  <c r="T307" i="5"/>
  <c r="S307" i="5"/>
  <c r="J306" i="5"/>
  <c r="J305" i="5"/>
  <c r="K307" i="5"/>
  <c r="I307" i="5"/>
  <c r="H8" i="11" l="1"/>
  <c r="G8" i="11"/>
  <c r="K654" i="2" l="1"/>
  <c r="K653" i="2"/>
  <c r="K652" i="2"/>
  <c r="K651" i="2"/>
  <c r="K650" i="2"/>
  <c r="K649" i="2"/>
  <c r="K648" i="2"/>
  <c r="K647" i="2"/>
  <c r="K646" i="2"/>
  <c r="K629" i="2"/>
  <c r="K626" i="2"/>
  <c r="K623" i="2"/>
  <c r="K603" i="2"/>
  <c r="K601" i="2"/>
  <c r="K534" i="2"/>
  <c r="K533" i="2"/>
  <c r="K531" i="2"/>
  <c r="K530" i="2"/>
  <c r="K492" i="2"/>
  <c r="K491" i="2"/>
  <c r="K461" i="2"/>
  <c r="K460" i="2"/>
  <c r="K419" i="2"/>
  <c r="K418" i="2"/>
  <c r="K415" i="2"/>
  <c r="K406" i="2"/>
  <c r="K405" i="2"/>
  <c r="K397" i="2"/>
  <c r="K396" i="2"/>
  <c r="K388" i="2"/>
  <c r="K377" i="2"/>
  <c r="K376" i="2"/>
  <c r="K368" i="2"/>
  <c r="K367" i="2"/>
  <c r="K265" i="2"/>
  <c r="K264" i="2"/>
  <c r="K262" i="2"/>
  <c r="K192" i="2"/>
  <c r="K191" i="2"/>
  <c r="K188" i="2"/>
  <c r="K187" i="2"/>
  <c r="K185" i="2"/>
  <c r="K184" i="2"/>
  <c r="K182" i="2"/>
  <c r="K181" i="2"/>
  <c r="K159" i="2"/>
  <c r="K158" i="2"/>
  <c r="K155" i="2"/>
  <c r="K153" i="2"/>
  <c r="K152" i="2"/>
  <c r="K137" i="2"/>
  <c r="K136" i="2"/>
  <c r="K134" i="2"/>
  <c r="K133" i="2"/>
  <c r="K131" i="2"/>
  <c r="K130" i="2"/>
  <c r="K115" i="2"/>
  <c r="K114" i="2"/>
  <c r="K111" i="2"/>
  <c r="K109" i="2"/>
  <c r="K108" i="2"/>
  <c r="K90" i="2"/>
  <c r="K89" i="2"/>
  <c r="K81" i="2"/>
  <c r="K80" i="2"/>
  <c r="K63" i="2"/>
  <c r="K62" i="2"/>
  <c r="K46" i="2"/>
  <c r="K45" i="2"/>
  <c r="K20" i="2"/>
  <c r="K15" i="2"/>
  <c r="K903" i="2"/>
  <c r="K902" i="2"/>
  <c r="K894" i="2"/>
  <c r="K893" i="2"/>
  <c r="K877" i="2"/>
  <c r="K876" i="2"/>
  <c r="K874" i="2"/>
  <c r="K873" i="2"/>
  <c r="K856" i="2"/>
  <c r="K855" i="2"/>
  <c r="K853" i="2"/>
  <c r="K852" i="2"/>
  <c r="K831" i="2"/>
  <c r="K830" i="2"/>
  <c r="K828" i="2"/>
  <c r="K827" i="2"/>
  <c r="K821" i="2"/>
  <c r="K814" i="2"/>
  <c r="K804" i="2"/>
  <c r="K803" i="2"/>
  <c r="K786" i="2"/>
  <c r="K785" i="2"/>
  <c r="K767" i="2"/>
  <c r="K766" i="2"/>
  <c r="K742" i="2"/>
  <c r="K741" i="2"/>
  <c r="K731" i="2"/>
  <c r="K730" i="2"/>
  <c r="K722" i="2"/>
  <c r="K721" i="2"/>
  <c r="K716" i="2"/>
  <c r="K713" i="2"/>
  <c r="K680" i="2"/>
  <c r="K677" i="2"/>
  <c r="K673" i="2"/>
  <c r="K670" i="2"/>
  <c r="K363" i="2"/>
  <c r="K360" i="2"/>
  <c r="K291" i="2"/>
  <c r="K290" i="2"/>
  <c r="K288" i="2"/>
  <c r="K287" i="2"/>
  <c r="K278" i="2"/>
  <c r="K277" i="2"/>
  <c r="K246" i="2"/>
  <c r="K245" i="2"/>
  <c r="K243" i="2"/>
  <c r="K242" i="2"/>
  <c r="K231" i="2"/>
  <c r="K230" i="2"/>
  <c r="K198" i="2"/>
  <c r="K197" i="2"/>
  <c r="K195" i="2"/>
  <c r="K194" i="2"/>
  <c r="K171" i="2"/>
  <c r="K168" i="2"/>
  <c r="K164" i="2"/>
  <c r="K161" i="2"/>
  <c r="K105" i="2"/>
  <c r="K104" i="2"/>
  <c r="K94" i="2"/>
  <c r="K91" i="2"/>
  <c r="K85" i="2"/>
  <c r="K82" i="2"/>
  <c r="K251" i="9"/>
  <c r="K247" i="9"/>
  <c r="K240" i="9"/>
  <c r="K224" i="9"/>
  <c r="K191" i="9"/>
  <c r="K190" i="9"/>
  <c r="K189" i="9"/>
  <c r="K188" i="9"/>
  <c r="K187" i="9"/>
  <c r="K186" i="9"/>
  <c r="K184" i="9"/>
  <c r="K183" i="9"/>
  <c r="K182" i="9"/>
  <c r="K181" i="9"/>
  <c r="K180" i="9"/>
  <c r="K179" i="9"/>
  <c r="K161" i="9"/>
  <c r="K160" i="9"/>
  <c r="K159" i="9"/>
  <c r="K158" i="9"/>
  <c r="K157" i="9"/>
  <c r="K156" i="9"/>
  <c r="K141" i="9"/>
  <c r="K140" i="9"/>
  <c r="K139" i="9"/>
  <c r="K138" i="9"/>
  <c r="K137" i="9"/>
  <c r="K109" i="9"/>
  <c r="K108" i="9"/>
  <c r="K107" i="9"/>
  <c r="K106" i="9"/>
  <c r="K105" i="9"/>
  <c r="K99" i="9"/>
  <c r="K97" i="9"/>
  <c r="K88" i="9" s="1"/>
  <c r="K89" i="9"/>
  <c r="K86" i="9"/>
  <c r="K85" i="9"/>
  <c r="K73" i="9"/>
  <c r="K72" i="9"/>
  <c r="K70" i="9"/>
  <c r="K58" i="9"/>
  <c r="K57" i="9"/>
  <c r="K41" i="9"/>
  <c r="K40" i="9"/>
  <c r="K38" i="9"/>
  <c r="K37" i="9"/>
  <c r="K26" i="9"/>
  <c r="K25" i="9"/>
  <c r="K24" i="9"/>
  <c r="K145" i="7"/>
  <c r="K142" i="7"/>
  <c r="K136" i="7"/>
  <c r="K135" i="7"/>
  <c r="K127" i="7"/>
  <c r="K123" i="7"/>
  <c r="K120" i="7"/>
  <c r="K112" i="7"/>
  <c r="K111" i="7"/>
  <c r="K110" i="7"/>
  <c r="K98" i="7"/>
  <c r="K97" i="7"/>
  <c r="K96" i="7"/>
  <c r="K95" i="7"/>
  <c r="K84" i="7"/>
  <c r="K79" i="7"/>
  <c r="K78" i="7"/>
  <c r="K42" i="7"/>
  <c r="K34" i="7"/>
  <c r="K33" i="7" s="1"/>
  <c r="K13" i="7"/>
  <c r="K207" i="8"/>
  <c r="K204" i="8"/>
  <c r="K198" i="8"/>
  <c r="K197" i="8"/>
  <c r="K196" i="8"/>
  <c r="K181" i="8"/>
  <c r="K173" i="8"/>
  <c r="K165" i="8" s="1"/>
  <c r="K171" i="8"/>
  <c r="K170" i="8"/>
  <c r="K169" i="8"/>
  <c r="K168" i="8"/>
  <c r="K167" i="8"/>
  <c r="K166" i="8"/>
  <c r="K160" i="8"/>
  <c r="K152" i="8"/>
  <c r="K119" i="8"/>
  <c r="K118" i="8"/>
  <c r="K114" i="8"/>
  <c r="K89" i="8"/>
  <c r="K34" i="8"/>
  <c r="K203" i="8" l="1"/>
  <c r="K97" i="2"/>
  <c r="J880" i="5" l="1"/>
  <c r="J863" i="5" l="1"/>
  <c r="J865" i="5"/>
  <c r="J864" i="5"/>
  <c r="J861" i="5"/>
  <c r="J860" i="5"/>
  <c r="CK805" i="5"/>
  <c r="CJ805" i="5"/>
  <c r="CH805" i="5"/>
  <c r="CG805" i="5"/>
  <c r="CE805" i="5"/>
  <c r="CD805" i="5"/>
  <c r="CK804" i="5"/>
  <c r="CJ804" i="5"/>
  <c r="CH804" i="5"/>
  <c r="CG804" i="5"/>
  <c r="CE804" i="5"/>
  <c r="CD804" i="5"/>
  <c r="CB805" i="5"/>
  <c r="CA805" i="5"/>
  <c r="BY805" i="5"/>
  <c r="BX805" i="5"/>
  <c r="BV805" i="5"/>
  <c r="BU805" i="5"/>
  <c r="CB804" i="5"/>
  <c r="CB1524" i="5" s="1"/>
  <c r="CA804" i="5"/>
  <c r="BY804" i="5"/>
  <c r="BX804" i="5"/>
  <c r="BV804" i="5"/>
  <c r="BU804" i="5"/>
  <c r="BS805" i="5"/>
  <c r="BR805" i="5"/>
  <c r="BP805" i="5"/>
  <c r="BO805" i="5"/>
  <c r="BM805" i="5"/>
  <c r="BL805" i="5"/>
  <c r="BS804" i="5"/>
  <c r="BR804" i="5"/>
  <c r="BP804" i="5"/>
  <c r="BO804" i="5"/>
  <c r="BM804" i="5"/>
  <c r="BL804" i="5"/>
  <c r="BJ805" i="5"/>
  <c r="BI805" i="5"/>
  <c r="BG805" i="5"/>
  <c r="BF805" i="5"/>
  <c r="BD805" i="5"/>
  <c r="BC805" i="5"/>
  <c r="BJ804" i="5"/>
  <c r="BI804" i="5"/>
  <c r="BG804" i="5"/>
  <c r="BF804" i="5"/>
  <c r="BD804" i="5"/>
  <c r="BC804" i="5"/>
  <c r="BA805" i="5"/>
  <c r="AZ805" i="5"/>
  <c r="AX805" i="5"/>
  <c r="AW805" i="5"/>
  <c r="AU805" i="5"/>
  <c r="AT805" i="5"/>
  <c r="BA804" i="5"/>
  <c r="AZ804" i="5"/>
  <c r="AX804" i="5"/>
  <c r="AW804" i="5"/>
  <c r="AU804" i="5"/>
  <c r="AT804" i="5"/>
  <c r="AR805" i="5"/>
  <c r="AQ805" i="5"/>
  <c r="AO805" i="5"/>
  <c r="AN805" i="5"/>
  <c r="AL805" i="5"/>
  <c r="AK805" i="5"/>
  <c r="AR804" i="5"/>
  <c r="AQ804" i="5"/>
  <c r="AO804" i="5"/>
  <c r="AN804" i="5"/>
  <c r="AL804" i="5"/>
  <c r="AK804" i="5"/>
  <c r="AI805" i="5"/>
  <c r="AH805" i="5"/>
  <c r="AF805" i="5"/>
  <c r="AE805" i="5"/>
  <c r="AC805" i="5"/>
  <c r="AB805" i="5"/>
  <c r="AI804" i="5"/>
  <c r="AH804" i="5"/>
  <c r="AH1524" i="5" s="1"/>
  <c r="AF804" i="5"/>
  <c r="AE804" i="5"/>
  <c r="AC804" i="5"/>
  <c r="AB804" i="5"/>
  <c r="Z805" i="5"/>
  <c r="Y805" i="5"/>
  <c r="Z804" i="5"/>
  <c r="Y804" i="5"/>
  <c r="W805" i="5"/>
  <c r="V805" i="5"/>
  <c r="W804" i="5"/>
  <c r="V804" i="5"/>
  <c r="T805" i="5"/>
  <c r="S805" i="5"/>
  <c r="T804" i="5"/>
  <c r="S804" i="5"/>
  <c r="J549" i="5"/>
  <c r="J548" i="5"/>
  <c r="K805" i="5"/>
  <c r="K1525" i="5" s="1"/>
  <c r="K1641" i="5" s="1"/>
  <c r="K1670" i="5" s="1"/>
  <c r="K804" i="5"/>
  <c r="K1524" i="5" s="1"/>
  <c r="K1640" i="5" s="1"/>
  <c r="K1669" i="5" s="1"/>
  <c r="J805" i="5"/>
  <c r="J1525" i="5" s="1"/>
  <c r="J1641" i="5" s="1"/>
  <c r="J1670" i="5" s="1"/>
  <c r="J804" i="5"/>
  <c r="J1524" i="5" s="1"/>
  <c r="J1640" i="5" s="1"/>
  <c r="J1669" i="5" s="1"/>
  <c r="CB1640" i="5"/>
  <c r="AH1640" i="5"/>
  <c r="CK1644" i="5"/>
  <c r="CK1673" i="5" s="1"/>
  <c r="CJ1644" i="5"/>
  <c r="CJ1673" i="5" s="1"/>
  <c r="CH1644" i="5"/>
  <c r="CH1673" i="5" s="1"/>
  <c r="CG1644" i="5"/>
  <c r="CG1673" i="5" s="1"/>
  <c r="CE1644" i="5"/>
  <c r="CE1673" i="5" s="1"/>
  <c r="CD1644" i="5"/>
  <c r="CD1673" i="5" s="1"/>
  <c r="CK1643" i="5"/>
  <c r="CK1672" i="5" s="1"/>
  <c r="CJ1643" i="5"/>
  <c r="CJ1672" i="5" s="1"/>
  <c r="CH1643" i="5"/>
  <c r="CH1672" i="5" s="1"/>
  <c r="CG1643" i="5"/>
  <c r="CG1672" i="5" s="1"/>
  <c r="CE1643" i="5"/>
  <c r="CE1672" i="5" s="1"/>
  <c r="CD1643" i="5"/>
  <c r="CD1672" i="5" s="1"/>
  <c r="CB1644" i="5"/>
  <c r="CB1673" i="5" s="1"/>
  <c r="CA1644" i="5"/>
  <c r="CA1673" i="5" s="1"/>
  <c r="BY1644" i="5"/>
  <c r="BY1673" i="5" s="1"/>
  <c r="BX1644" i="5"/>
  <c r="BX1673" i="5" s="1"/>
  <c r="BV1644" i="5"/>
  <c r="BV1673" i="5" s="1"/>
  <c r="BU1644" i="5"/>
  <c r="BU1673" i="5" s="1"/>
  <c r="CB1643" i="5"/>
  <c r="CB1672" i="5" s="1"/>
  <c r="CA1643" i="5"/>
  <c r="CA1672" i="5" s="1"/>
  <c r="BY1643" i="5"/>
  <c r="BY1672" i="5" s="1"/>
  <c r="BX1643" i="5"/>
  <c r="BX1672" i="5" s="1"/>
  <c r="BV1643" i="5"/>
  <c r="BV1672" i="5" s="1"/>
  <c r="BU1643" i="5"/>
  <c r="BU1672" i="5" s="1"/>
  <c r="BS1644" i="5"/>
  <c r="BS1673" i="5" s="1"/>
  <c r="BR1644" i="5"/>
  <c r="BR1673" i="5" s="1"/>
  <c r="BP1644" i="5"/>
  <c r="BP1673" i="5" s="1"/>
  <c r="BO1644" i="5"/>
  <c r="BO1673" i="5" s="1"/>
  <c r="BM1644" i="5"/>
  <c r="BM1673" i="5" s="1"/>
  <c r="BL1644" i="5"/>
  <c r="BL1673" i="5" s="1"/>
  <c r="BS1643" i="5"/>
  <c r="BS1672" i="5" s="1"/>
  <c r="BR1643" i="5"/>
  <c r="BR1672" i="5" s="1"/>
  <c r="BP1643" i="5"/>
  <c r="BP1672" i="5" s="1"/>
  <c r="BO1643" i="5"/>
  <c r="BO1672" i="5" s="1"/>
  <c r="BM1643" i="5"/>
  <c r="BM1672" i="5" s="1"/>
  <c r="BL1643" i="5"/>
  <c r="BL1672" i="5" s="1"/>
  <c r="BJ1644" i="5"/>
  <c r="BJ1673" i="5" s="1"/>
  <c r="BI1644" i="5"/>
  <c r="BI1673" i="5" s="1"/>
  <c r="BG1644" i="5"/>
  <c r="BG1673" i="5" s="1"/>
  <c r="BF1644" i="5"/>
  <c r="BF1673" i="5" s="1"/>
  <c r="BD1644" i="5"/>
  <c r="BD1673" i="5" s="1"/>
  <c r="BC1644" i="5"/>
  <c r="BC1673" i="5" s="1"/>
  <c r="BJ1643" i="5"/>
  <c r="BJ1672" i="5" s="1"/>
  <c r="BI1643" i="5"/>
  <c r="BI1672" i="5" s="1"/>
  <c r="BG1643" i="5"/>
  <c r="BG1672" i="5" s="1"/>
  <c r="BF1643" i="5"/>
  <c r="BF1672" i="5" s="1"/>
  <c r="BD1643" i="5"/>
  <c r="BD1672" i="5" s="1"/>
  <c r="BC1643" i="5"/>
  <c r="BC1672" i="5" s="1"/>
  <c r="BA1644" i="5"/>
  <c r="BA1673" i="5" s="1"/>
  <c r="AZ1644" i="5"/>
  <c r="AZ1673" i="5" s="1"/>
  <c r="AX1644" i="5"/>
  <c r="AX1673" i="5" s="1"/>
  <c r="AW1644" i="5"/>
  <c r="AW1673" i="5" s="1"/>
  <c r="AU1644" i="5"/>
  <c r="AU1673" i="5" s="1"/>
  <c r="AT1644" i="5"/>
  <c r="AT1673" i="5" s="1"/>
  <c r="BA1643" i="5"/>
  <c r="BA1672" i="5" s="1"/>
  <c r="AZ1643" i="5"/>
  <c r="AZ1672" i="5" s="1"/>
  <c r="AX1643" i="5"/>
  <c r="AX1672" i="5" s="1"/>
  <c r="AW1643" i="5"/>
  <c r="AW1672" i="5" s="1"/>
  <c r="AU1643" i="5"/>
  <c r="AU1672" i="5" s="1"/>
  <c r="AT1643" i="5"/>
  <c r="AT1672" i="5" s="1"/>
  <c r="AR1644" i="5"/>
  <c r="AR1673" i="5" s="1"/>
  <c r="AQ1644" i="5"/>
  <c r="AQ1673" i="5" s="1"/>
  <c r="AO1644" i="5"/>
  <c r="AO1673" i="5" s="1"/>
  <c r="AN1644" i="5"/>
  <c r="AN1673" i="5" s="1"/>
  <c r="AL1644" i="5"/>
  <c r="AL1673" i="5" s="1"/>
  <c r="AK1644" i="5"/>
  <c r="AK1673" i="5" s="1"/>
  <c r="AR1643" i="5"/>
  <c r="AR1672" i="5" s="1"/>
  <c r="AQ1643" i="5"/>
  <c r="AQ1672" i="5" s="1"/>
  <c r="AO1643" i="5"/>
  <c r="AO1672" i="5" s="1"/>
  <c r="AN1643" i="5"/>
  <c r="AN1672" i="5" s="1"/>
  <c r="AL1643" i="5"/>
  <c r="AL1672" i="5" s="1"/>
  <c r="AK1643" i="5"/>
  <c r="AK1672" i="5" s="1"/>
  <c r="AI1644" i="5"/>
  <c r="AI1673" i="5" s="1"/>
  <c r="AH1644" i="5"/>
  <c r="AH1673" i="5" s="1"/>
  <c r="AF1644" i="5"/>
  <c r="AE1644" i="5"/>
  <c r="AE1673" i="5" s="1"/>
  <c r="AC1644" i="5"/>
  <c r="AC1673" i="5" s="1"/>
  <c r="AB1644" i="5"/>
  <c r="AB1673" i="5" s="1"/>
  <c r="AI1643" i="5"/>
  <c r="AI1672" i="5" s="1"/>
  <c r="AH1643" i="5"/>
  <c r="AH1672" i="5" s="1"/>
  <c r="AF1643" i="5"/>
  <c r="AF1672" i="5" s="1"/>
  <c r="AE1643" i="5"/>
  <c r="AE1672" i="5" s="1"/>
  <c r="AC1643" i="5"/>
  <c r="AC1672" i="5" s="1"/>
  <c r="AB1643" i="5"/>
  <c r="AB1672" i="5" s="1"/>
  <c r="Y1644" i="5"/>
  <c r="Y1673" i="5" s="1"/>
  <c r="Y1643" i="5"/>
  <c r="Y1672" i="5" s="1"/>
  <c r="Z1644" i="5"/>
  <c r="Z1673" i="5" s="1"/>
  <c r="Z1643" i="5"/>
  <c r="W1644" i="5"/>
  <c r="W1673" i="5" s="1"/>
  <c r="V1644" i="5"/>
  <c r="V1673" i="5" s="1"/>
  <c r="W1643" i="5"/>
  <c r="W1672" i="5" s="1"/>
  <c r="V1643" i="5"/>
  <c r="V1672" i="5" s="1"/>
  <c r="T1644" i="5"/>
  <c r="T1673" i="5" s="1"/>
  <c r="S1644" i="5"/>
  <c r="S1673" i="5" s="1"/>
  <c r="T1643" i="5"/>
  <c r="T1672" i="5" s="1"/>
  <c r="S1643" i="5"/>
  <c r="K1528" i="5"/>
  <c r="K1644" i="5" s="1"/>
  <c r="K1673" i="5" s="1"/>
  <c r="K1527" i="5"/>
  <c r="K1643" i="5" s="1"/>
  <c r="K1672" i="5" s="1"/>
  <c r="J1528" i="5"/>
  <c r="J1644" i="5" s="1"/>
  <c r="J1673" i="5" s="1"/>
  <c r="J1527" i="5"/>
  <c r="J1643" i="5" s="1"/>
  <c r="J1672" i="5" s="1"/>
  <c r="K1445" i="5"/>
  <c r="CK1456" i="5"/>
  <c r="CJ1456" i="5"/>
  <c r="CH1456" i="5"/>
  <c r="CG1456" i="5"/>
  <c r="CE1456" i="5"/>
  <c r="CD1456" i="5"/>
  <c r="CB1456" i="5"/>
  <c r="CA1456" i="5"/>
  <c r="BY1456" i="5"/>
  <c r="BX1456" i="5"/>
  <c r="BV1456" i="5"/>
  <c r="BU1456" i="5"/>
  <c r="BS1456" i="5"/>
  <c r="BR1456" i="5"/>
  <c r="BP1456" i="5"/>
  <c r="BO1456" i="5"/>
  <c r="BM1456" i="5"/>
  <c r="BL1456" i="5"/>
  <c r="BJ1456" i="5"/>
  <c r="BI1456" i="5"/>
  <c r="BG1456" i="5"/>
  <c r="BF1456" i="5"/>
  <c r="BD1456" i="5"/>
  <c r="BC1456" i="5"/>
  <c r="BA1456" i="5"/>
  <c r="AZ1456" i="5"/>
  <c r="AX1456" i="5"/>
  <c r="AW1456" i="5"/>
  <c r="AU1456" i="5"/>
  <c r="AT1456" i="5"/>
  <c r="AR1456" i="5"/>
  <c r="AQ1456" i="5"/>
  <c r="AO1456" i="5"/>
  <c r="AN1456" i="5"/>
  <c r="AL1456" i="5"/>
  <c r="AK1456" i="5"/>
  <c r="AI1456" i="5"/>
  <c r="AH1456" i="5"/>
  <c r="AF1456" i="5"/>
  <c r="AE1456" i="5"/>
  <c r="AC1456" i="5"/>
  <c r="AB1456" i="5"/>
  <c r="Z1456" i="5"/>
  <c r="Y1456" i="5"/>
  <c r="W1456" i="5"/>
  <c r="V1456" i="5"/>
  <c r="T1456" i="5"/>
  <c r="S1456" i="5"/>
  <c r="K1456" i="5"/>
  <c r="J1456" i="5"/>
  <c r="W1525" i="5" l="1"/>
  <c r="W1641" i="5" s="1"/>
  <c r="W1670" i="5" s="1"/>
  <c r="AF1524" i="5"/>
  <c r="AC1525" i="5"/>
  <c r="AC1641" i="5" s="1"/>
  <c r="AC1670" i="5" s="1"/>
  <c r="AL1525" i="5"/>
  <c r="AL1641" i="5" s="1"/>
  <c r="AL1670" i="5" s="1"/>
  <c r="AX1524" i="5"/>
  <c r="AU1525" i="5"/>
  <c r="AU1641" i="5" s="1"/>
  <c r="AU1670" i="5" s="1"/>
  <c r="BG1524" i="5"/>
  <c r="BP1524" i="5"/>
  <c r="BS1525" i="5"/>
  <c r="BS1641" i="5" s="1"/>
  <c r="BS1670" i="5" s="1"/>
  <c r="BY1524" i="5"/>
  <c r="CB1525" i="5"/>
  <c r="CB1641" i="5" s="1"/>
  <c r="CH1524" i="5"/>
  <c r="CH1640" i="5" s="1"/>
  <c r="CE1525" i="5"/>
  <c r="CE1641" i="5" s="1"/>
  <c r="CE1670" i="5" s="1"/>
  <c r="AH1669" i="5"/>
  <c r="T1525" i="5"/>
  <c r="T1641" i="5" s="1"/>
  <c r="T1670" i="5" s="1"/>
  <c r="Z1525" i="5"/>
  <c r="Z1641" i="5" s="1"/>
  <c r="Z1670" i="5" s="1"/>
  <c r="AI1525" i="5"/>
  <c r="AI1641" i="5" s="1"/>
  <c r="AI1670" i="5" s="1"/>
  <c r="AO1524" i="5"/>
  <c r="AO1640" i="5" s="1"/>
  <c r="AR1525" i="5"/>
  <c r="AR1641" i="5" s="1"/>
  <c r="AR1670" i="5" s="1"/>
  <c r="BA1525" i="5"/>
  <c r="BA1641" i="5" s="1"/>
  <c r="BA1670" i="5" s="1"/>
  <c r="BD1525" i="5"/>
  <c r="BD1641" i="5" s="1"/>
  <c r="BD1670" i="5" s="1"/>
  <c r="BJ1525" i="5"/>
  <c r="BJ1641" i="5" s="1"/>
  <c r="BJ1670" i="5" s="1"/>
  <c r="BM1525" i="5"/>
  <c r="BM1641" i="5" s="1"/>
  <c r="BM1670" i="5" s="1"/>
  <c r="BV1525" i="5"/>
  <c r="BV1641" i="5" s="1"/>
  <c r="BV1670" i="5" s="1"/>
  <c r="CK1525" i="5"/>
  <c r="CK1641" i="5" s="1"/>
  <c r="CK1670" i="5" s="1"/>
  <c r="CB1669" i="5"/>
  <c r="T1524" i="5"/>
  <c r="W1524" i="5"/>
  <c r="Z1524" i="5"/>
  <c r="Z1523" i="5" s="1"/>
  <c r="AC1524" i="5"/>
  <c r="AI1524" i="5"/>
  <c r="AF1525" i="5"/>
  <c r="AF1641" i="5" s="1"/>
  <c r="AF1670" i="5" s="1"/>
  <c r="AL1524" i="5"/>
  <c r="AR1524" i="5"/>
  <c r="AR1640" i="5" s="1"/>
  <c r="AO1525" i="5"/>
  <c r="AO1641" i="5" s="1"/>
  <c r="AO1670" i="5" s="1"/>
  <c r="AU1524" i="5"/>
  <c r="AU1640" i="5" s="1"/>
  <c r="BA1524" i="5"/>
  <c r="BA1523" i="5" s="1"/>
  <c r="AX1525" i="5"/>
  <c r="AX1641" i="5" s="1"/>
  <c r="AX1670" i="5" s="1"/>
  <c r="BD1524" i="5"/>
  <c r="BD1523" i="5" s="1"/>
  <c r="BJ1524" i="5"/>
  <c r="BJ1640" i="5" s="1"/>
  <c r="BG1525" i="5"/>
  <c r="BG1641" i="5" s="1"/>
  <c r="BG1670" i="5" s="1"/>
  <c r="BM1524" i="5"/>
  <c r="BM1640" i="5" s="1"/>
  <c r="BS1524" i="5"/>
  <c r="BS1523" i="5" s="1"/>
  <c r="BP1525" i="5"/>
  <c r="BP1641" i="5" s="1"/>
  <c r="BP1670" i="5" s="1"/>
  <c r="BV1524" i="5"/>
  <c r="BY1525" i="5"/>
  <c r="BY1641" i="5" s="1"/>
  <c r="BY1670" i="5" s="1"/>
  <c r="CE1524" i="5"/>
  <c r="CK1524" i="5"/>
  <c r="CK1640" i="5" s="1"/>
  <c r="CH1525" i="5"/>
  <c r="CH1641" i="5" s="1"/>
  <c r="CH1670" i="5" s="1"/>
  <c r="Y1525" i="5"/>
  <c r="Y1641" i="5" s="1"/>
  <c r="Y1670" i="5" s="1"/>
  <c r="AE1524" i="5"/>
  <c r="AH1525" i="5"/>
  <c r="AH1641" i="5" s="1"/>
  <c r="AH1670" i="5" s="1"/>
  <c r="AQ1525" i="5"/>
  <c r="AQ1641" i="5" s="1"/>
  <c r="AQ1670" i="5" s="1"/>
  <c r="AT1525" i="5"/>
  <c r="AT1641" i="5" s="1"/>
  <c r="AT1670" i="5" s="1"/>
  <c r="BF1524" i="5"/>
  <c r="BI1525" i="5"/>
  <c r="BI1641" i="5" s="1"/>
  <c r="BI1670" i="5" s="1"/>
  <c r="BL1525" i="5"/>
  <c r="BL1641" i="5" s="1"/>
  <c r="BL1670" i="5" s="1"/>
  <c r="BX1524" i="5"/>
  <c r="CA1525" i="5"/>
  <c r="CA1641" i="5" s="1"/>
  <c r="CA1670" i="5" s="1"/>
  <c r="CG1524" i="5"/>
  <c r="CG1640" i="5" s="1"/>
  <c r="CD1525" i="5"/>
  <c r="CD1641" i="5" s="1"/>
  <c r="CD1670" i="5" s="1"/>
  <c r="S1524" i="5"/>
  <c r="S1640" i="5" s="1"/>
  <c r="V1524" i="5"/>
  <c r="Y1524" i="5"/>
  <c r="AB1524" i="5"/>
  <c r="AE1525" i="5"/>
  <c r="AE1641" i="5" s="1"/>
  <c r="AE1670" i="5" s="1"/>
  <c r="AK1524" i="5"/>
  <c r="AQ1524" i="5"/>
  <c r="AQ1640" i="5" s="1"/>
  <c r="AN1525" i="5"/>
  <c r="AN1641" i="5" s="1"/>
  <c r="AN1670" i="5" s="1"/>
  <c r="AT1524" i="5"/>
  <c r="AT1523" i="5" s="1"/>
  <c r="AZ1524" i="5"/>
  <c r="AW1525" i="5"/>
  <c r="AW1641" i="5" s="1"/>
  <c r="AW1670" i="5" s="1"/>
  <c r="BC1524" i="5"/>
  <c r="BI1524" i="5"/>
  <c r="BF1525" i="5"/>
  <c r="BF1641" i="5" s="1"/>
  <c r="BF1670" i="5" s="1"/>
  <c r="BL1524" i="5"/>
  <c r="BL1640" i="5" s="1"/>
  <c r="BR1524" i="5"/>
  <c r="BO1525" i="5"/>
  <c r="BO1641" i="5" s="1"/>
  <c r="BO1670" i="5" s="1"/>
  <c r="BU1524" i="5"/>
  <c r="CA1524" i="5"/>
  <c r="BX1525" i="5"/>
  <c r="BX1641" i="5" s="1"/>
  <c r="BX1670" i="5" s="1"/>
  <c r="CD1524" i="5"/>
  <c r="CJ1524" i="5"/>
  <c r="CG1641" i="5"/>
  <c r="CG1670" i="5" s="1"/>
  <c r="CG1525" i="5"/>
  <c r="S1525" i="5"/>
  <c r="S1641" i="5" s="1"/>
  <c r="S1670" i="5" s="1"/>
  <c r="V1525" i="5"/>
  <c r="V1641" i="5" s="1"/>
  <c r="V1670" i="5" s="1"/>
  <c r="AB1525" i="5"/>
  <c r="AB1641" i="5" s="1"/>
  <c r="AB1670" i="5" s="1"/>
  <c r="AN1524" i="5"/>
  <c r="AN1523" i="5" s="1"/>
  <c r="AK1525" i="5"/>
  <c r="AK1641" i="5" s="1"/>
  <c r="AK1670" i="5" s="1"/>
  <c r="AW1524" i="5"/>
  <c r="AW1640" i="5" s="1"/>
  <c r="AZ1525" i="5"/>
  <c r="AZ1641" i="5" s="1"/>
  <c r="AZ1670" i="5" s="1"/>
  <c r="BC1525" i="5"/>
  <c r="BC1641" i="5" s="1"/>
  <c r="BC1670" i="5" s="1"/>
  <c r="BO1524" i="5"/>
  <c r="BR1525" i="5"/>
  <c r="BR1641" i="5" s="1"/>
  <c r="BR1670" i="5" s="1"/>
  <c r="BU1525" i="5"/>
  <c r="BU1641" i="5" s="1"/>
  <c r="BU1670" i="5" s="1"/>
  <c r="CJ1525" i="5"/>
  <c r="CJ1641" i="5" s="1"/>
  <c r="CJ1670" i="5" s="1"/>
  <c r="R1644" i="5"/>
  <c r="AF1673" i="5"/>
  <c r="R1643" i="5"/>
  <c r="Z1672" i="5"/>
  <c r="Q1643" i="5"/>
  <c r="S1672" i="5"/>
  <c r="Q1644" i="5"/>
  <c r="BV1523" i="5" l="1"/>
  <c r="AI1523" i="5"/>
  <c r="BP1523" i="5"/>
  <c r="AH1639" i="5"/>
  <c r="BX1523" i="5"/>
  <c r="CA1523" i="5"/>
  <c r="W1523" i="5"/>
  <c r="Y1523" i="5"/>
  <c r="CE1523" i="5"/>
  <c r="CD1523" i="5"/>
  <c r="AC1523" i="5"/>
  <c r="W1640" i="5"/>
  <c r="W1669" i="5" s="1"/>
  <c r="W1668" i="5" s="1"/>
  <c r="BY1523" i="5"/>
  <c r="AF1523" i="5"/>
  <c r="AT1640" i="5"/>
  <c r="AT1669" i="5" s="1"/>
  <c r="AT1668" i="5" s="1"/>
  <c r="CB1523" i="5"/>
  <c r="BJ1523" i="5"/>
  <c r="AC1640" i="5"/>
  <c r="T1523" i="5"/>
  <c r="AW1669" i="5"/>
  <c r="AW1668" i="5" s="1"/>
  <c r="AW1639" i="5"/>
  <c r="CH1669" i="5"/>
  <c r="CH1668" i="5" s="1"/>
  <c r="CH1639" i="5"/>
  <c r="CB1670" i="5"/>
  <c r="CB1668" i="5" s="1"/>
  <c r="CB1639" i="5"/>
  <c r="AK1640" i="5"/>
  <c r="AK1523" i="5"/>
  <c r="BJ1669" i="5"/>
  <c r="BJ1668" i="5" s="1"/>
  <c r="BJ1639" i="5"/>
  <c r="AU1669" i="5"/>
  <c r="AU1668" i="5" s="1"/>
  <c r="AU1639" i="5"/>
  <c r="AR1669" i="5"/>
  <c r="AR1668" i="5" s="1"/>
  <c r="AR1639" i="5"/>
  <c r="AO1669" i="5"/>
  <c r="AO1668" i="5" s="1"/>
  <c r="AO1639" i="5"/>
  <c r="BO1640" i="5"/>
  <c r="BO1523" i="5"/>
  <c r="BI1523" i="5"/>
  <c r="CE1640" i="5"/>
  <c r="AL1523" i="5"/>
  <c r="AH1668" i="5"/>
  <c r="BY1640" i="5"/>
  <c r="BP1640" i="5"/>
  <c r="AF1640" i="5"/>
  <c r="CD1640" i="5"/>
  <c r="BU1640" i="5"/>
  <c r="BU1523" i="5"/>
  <c r="BL1523" i="5"/>
  <c r="BI1640" i="5"/>
  <c r="AZ1640" i="5"/>
  <c r="AZ1523" i="5"/>
  <c r="AQ1523" i="5"/>
  <c r="V1640" i="5"/>
  <c r="V1523" i="5"/>
  <c r="CG1523" i="5"/>
  <c r="BX1640" i="5"/>
  <c r="BF1640" i="5"/>
  <c r="BF1523" i="5"/>
  <c r="AE1640" i="5"/>
  <c r="AE1523" i="5"/>
  <c r="CK1523" i="5"/>
  <c r="BV1640" i="5"/>
  <c r="BS1640" i="5"/>
  <c r="BD1640" i="5"/>
  <c r="BA1640" i="5"/>
  <c r="AL1640" i="5"/>
  <c r="AI1640" i="5"/>
  <c r="Z1640" i="5"/>
  <c r="T1640" i="5"/>
  <c r="BG1523" i="5"/>
  <c r="AX1523" i="5"/>
  <c r="CJ1640" i="5"/>
  <c r="CJ1523" i="5"/>
  <c r="S1669" i="5"/>
  <c r="S1668" i="5" s="1"/>
  <c r="S1639" i="5"/>
  <c r="BM1669" i="5"/>
  <c r="BM1668" i="5" s="1"/>
  <c r="BM1639" i="5"/>
  <c r="AC1669" i="5"/>
  <c r="AC1668" i="5" s="1"/>
  <c r="AC1639" i="5"/>
  <c r="W1639" i="5"/>
  <c r="CH1523" i="5"/>
  <c r="AW1523" i="5"/>
  <c r="AN1640" i="5"/>
  <c r="CA1640" i="5"/>
  <c r="BR1640" i="5"/>
  <c r="BR1523" i="5"/>
  <c r="Y1640" i="5"/>
  <c r="BL1669" i="5"/>
  <c r="BL1668" i="5" s="1"/>
  <c r="BL1639" i="5"/>
  <c r="BC1640" i="5"/>
  <c r="BC1523" i="5"/>
  <c r="AQ1669" i="5"/>
  <c r="AQ1668" i="5" s="1"/>
  <c r="AQ1639" i="5"/>
  <c r="AB1640" i="5"/>
  <c r="AB1523" i="5"/>
  <c r="S1523" i="5"/>
  <c r="CG1669" i="5"/>
  <c r="CG1668" i="5" s="1"/>
  <c r="CG1639" i="5"/>
  <c r="CK1669" i="5"/>
  <c r="CK1668" i="5" s="1"/>
  <c r="CK1639" i="5"/>
  <c r="BM1523" i="5"/>
  <c r="AU1523" i="5"/>
  <c r="AR1523" i="5"/>
  <c r="AO1523" i="5"/>
  <c r="AH1523" i="5"/>
  <c r="BG1640" i="5"/>
  <c r="AX1640" i="5"/>
  <c r="CK1290" i="5"/>
  <c r="CJ1290" i="5"/>
  <c r="CH1290" i="5"/>
  <c r="CG1290" i="5"/>
  <c r="CE1290" i="5"/>
  <c r="CD1290" i="5"/>
  <c r="CK1289" i="5"/>
  <c r="CJ1289" i="5"/>
  <c r="CH1289" i="5"/>
  <c r="CG1289" i="5"/>
  <c r="CE1289" i="5"/>
  <c r="CD1289" i="5"/>
  <c r="CK1288" i="5"/>
  <c r="CJ1288" i="5"/>
  <c r="CH1288" i="5"/>
  <c r="CG1288" i="5"/>
  <c r="CE1288" i="5"/>
  <c r="CD1288" i="5"/>
  <c r="CK1287" i="5"/>
  <c r="CJ1287" i="5"/>
  <c r="CH1287" i="5"/>
  <c r="CG1287" i="5"/>
  <c r="CE1287" i="5"/>
  <c r="CD1287" i="5"/>
  <c r="CB1290" i="5"/>
  <c r="CA1290" i="5"/>
  <c r="BY1290" i="5"/>
  <c r="BX1290" i="5"/>
  <c r="BV1290" i="5"/>
  <c r="BU1290" i="5"/>
  <c r="CB1289" i="5"/>
  <c r="CA1289" i="5"/>
  <c r="BY1289" i="5"/>
  <c r="BX1289" i="5"/>
  <c r="BV1289" i="5"/>
  <c r="BU1289" i="5"/>
  <c r="CB1288" i="5"/>
  <c r="CA1288" i="5"/>
  <c r="BY1288" i="5"/>
  <c r="BX1288" i="5"/>
  <c r="BV1288" i="5"/>
  <c r="BU1288" i="5"/>
  <c r="CB1287" i="5"/>
  <c r="CA1287" i="5"/>
  <c r="BY1287" i="5"/>
  <c r="BX1287" i="5"/>
  <c r="BV1287" i="5"/>
  <c r="BU1287" i="5"/>
  <c r="BS1290" i="5"/>
  <c r="BR1290" i="5"/>
  <c r="BP1290" i="5"/>
  <c r="BO1290" i="5"/>
  <c r="BM1290" i="5"/>
  <c r="BL1290" i="5"/>
  <c r="BS1289" i="5"/>
  <c r="BR1289" i="5"/>
  <c r="BP1289" i="5"/>
  <c r="BO1289" i="5"/>
  <c r="BM1289" i="5"/>
  <c r="BL1289" i="5"/>
  <c r="BS1288" i="5"/>
  <c r="BR1288" i="5"/>
  <c r="BP1288" i="5"/>
  <c r="BO1288" i="5"/>
  <c r="BM1288" i="5"/>
  <c r="BL1288" i="5"/>
  <c r="BS1287" i="5"/>
  <c r="BR1287" i="5"/>
  <c r="BP1287" i="5"/>
  <c r="BO1287" i="5"/>
  <c r="BM1287" i="5"/>
  <c r="BL1287" i="5"/>
  <c r="BJ1290" i="5"/>
  <c r="BI1290" i="5"/>
  <c r="BG1290" i="5"/>
  <c r="BF1290" i="5"/>
  <c r="BD1290" i="5"/>
  <c r="BC1290" i="5"/>
  <c r="BJ1289" i="5"/>
  <c r="BI1289" i="5"/>
  <c r="BG1289" i="5"/>
  <c r="BF1289" i="5"/>
  <c r="BD1289" i="5"/>
  <c r="BC1289" i="5"/>
  <c r="BJ1288" i="5"/>
  <c r="BI1288" i="5"/>
  <c r="BG1288" i="5"/>
  <c r="BF1288" i="5"/>
  <c r="BD1288" i="5"/>
  <c r="BC1288" i="5"/>
  <c r="BJ1287" i="5"/>
  <c r="BI1287" i="5"/>
  <c r="BG1287" i="5"/>
  <c r="BF1287" i="5"/>
  <c r="BD1287" i="5"/>
  <c r="BC1287" i="5"/>
  <c r="BA1290" i="5"/>
  <c r="AZ1290" i="5"/>
  <c r="AX1290" i="5"/>
  <c r="AW1290" i="5"/>
  <c r="AU1290" i="5"/>
  <c r="AT1290" i="5"/>
  <c r="BA1289" i="5"/>
  <c r="AZ1289" i="5"/>
  <c r="AX1289" i="5"/>
  <c r="AW1289" i="5"/>
  <c r="AU1289" i="5"/>
  <c r="AT1289" i="5"/>
  <c r="BA1288" i="5"/>
  <c r="AZ1288" i="5"/>
  <c r="AX1288" i="5"/>
  <c r="AW1288" i="5"/>
  <c r="AU1288" i="5"/>
  <c r="AT1288" i="5"/>
  <c r="BA1287" i="5"/>
  <c r="AZ1287" i="5"/>
  <c r="AX1287" i="5"/>
  <c r="AW1287" i="5"/>
  <c r="AU1287" i="5"/>
  <c r="AT1287" i="5"/>
  <c r="AR1290" i="5"/>
  <c r="AQ1290" i="5"/>
  <c r="AO1290" i="5"/>
  <c r="AN1290" i="5"/>
  <c r="AL1290" i="5"/>
  <c r="AK1290" i="5"/>
  <c r="AR1289" i="5"/>
  <c r="AQ1289" i="5"/>
  <c r="AO1289" i="5"/>
  <c r="AN1289" i="5"/>
  <c r="AL1289" i="5"/>
  <c r="AK1289" i="5"/>
  <c r="AR1288" i="5"/>
  <c r="AQ1288" i="5"/>
  <c r="AO1288" i="5"/>
  <c r="AN1288" i="5"/>
  <c r="AL1288" i="5"/>
  <c r="AK1288" i="5"/>
  <c r="AR1287" i="5"/>
  <c r="AQ1287" i="5"/>
  <c r="AO1287" i="5"/>
  <c r="AN1287" i="5"/>
  <c r="AL1287" i="5"/>
  <c r="AK1287" i="5"/>
  <c r="AI1290" i="5"/>
  <c r="AH1290" i="5"/>
  <c r="AF1290" i="5"/>
  <c r="AE1290" i="5"/>
  <c r="AC1290" i="5"/>
  <c r="AB1290" i="5"/>
  <c r="AI1289" i="5"/>
  <c r="AH1289" i="5"/>
  <c r="AF1289" i="5"/>
  <c r="AE1289" i="5"/>
  <c r="AC1289" i="5"/>
  <c r="AB1289" i="5"/>
  <c r="AI1288" i="5"/>
  <c r="AH1288" i="5"/>
  <c r="AF1288" i="5"/>
  <c r="AE1288" i="5"/>
  <c r="AC1288" i="5"/>
  <c r="AB1288" i="5"/>
  <c r="AI1287" i="5"/>
  <c r="AH1287" i="5"/>
  <c r="AF1287" i="5"/>
  <c r="AE1287" i="5"/>
  <c r="AC1287" i="5"/>
  <c r="AB1287" i="5"/>
  <c r="Z1290" i="5"/>
  <c r="Y1290" i="5"/>
  <c r="Z1289" i="5"/>
  <c r="Y1289" i="5"/>
  <c r="Z1288" i="5"/>
  <c r="Y1288" i="5"/>
  <c r="Z1287" i="5"/>
  <c r="Y1287" i="5"/>
  <c r="W1290" i="5"/>
  <c r="V1290" i="5"/>
  <c r="W1289" i="5"/>
  <c r="V1289" i="5"/>
  <c r="W1288" i="5"/>
  <c r="V1288" i="5"/>
  <c r="W1287" i="5"/>
  <c r="V1287" i="5"/>
  <c r="T1290" i="5"/>
  <c r="S1290" i="5"/>
  <c r="T1289" i="5"/>
  <c r="S1289" i="5"/>
  <c r="T1288" i="5"/>
  <c r="S1288" i="5"/>
  <c r="T1287" i="5"/>
  <c r="S1287" i="5"/>
  <c r="CK1285" i="5"/>
  <c r="CJ1285" i="5"/>
  <c r="CH1285" i="5"/>
  <c r="CG1285" i="5"/>
  <c r="CE1285" i="5"/>
  <c r="CD1285" i="5"/>
  <c r="CK1284" i="5"/>
  <c r="CJ1284" i="5"/>
  <c r="CH1284" i="5"/>
  <c r="CG1284" i="5"/>
  <c r="CE1284" i="5"/>
  <c r="CD1284" i="5"/>
  <c r="CK1283" i="5"/>
  <c r="CJ1283" i="5"/>
  <c r="CH1283" i="5"/>
  <c r="CG1283" i="5"/>
  <c r="CE1283" i="5"/>
  <c r="CD1283" i="5"/>
  <c r="CK1282" i="5"/>
  <c r="CJ1282" i="5"/>
  <c r="CH1282" i="5"/>
  <c r="CG1282" i="5"/>
  <c r="CE1282" i="5"/>
  <c r="CD1282" i="5"/>
  <c r="CB1285" i="5"/>
  <c r="CA1285" i="5"/>
  <c r="BY1285" i="5"/>
  <c r="BX1285" i="5"/>
  <c r="BV1285" i="5"/>
  <c r="BU1285" i="5"/>
  <c r="CB1284" i="5"/>
  <c r="CA1284" i="5"/>
  <c r="BY1284" i="5"/>
  <c r="BX1284" i="5"/>
  <c r="BV1284" i="5"/>
  <c r="BU1284" i="5"/>
  <c r="CB1283" i="5"/>
  <c r="CA1283" i="5"/>
  <c r="BY1283" i="5"/>
  <c r="BX1283" i="5"/>
  <c r="BV1283" i="5"/>
  <c r="BU1283" i="5"/>
  <c r="CB1282" i="5"/>
  <c r="CA1282" i="5"/>
  <c r="BY1282" i="5"/>
  <c r="BX1282" i="5"/>
  <c r="BV1282" i="5"/>
  <c r="BU1282" i="5"/>
  <c r="BS1285" i="5"/>
  <c r="BR1285" i="5"/>
  <c r="BP1285" i="5"/>
  <c r="BO1285" i="5"/>
  <c r="BM1285" i="5"/>
  <c r="BL1285" i="5"/>
  <c r="BS1284" i="5"/>
  <c r="BR1284" i="5"/>
  <c r="BP1284" i="5"/>
  <c r="BO1284" i="5"/>
  <c r="BM1284" i="5"/>
  <c r="BL1284" i="5"/>
  <c r="BS1283" i="5"/>
  <c r="BR1283" i="5"/>
  <c r="BP1283" i="5"/>
  <c r="BO1283" i="5"/>
  <c r="BM1283" i="5"/>
  <c r="BL1283" i="5"/>
  <c r="BS1282" i="5"/>
  <c r="BR1282" i="5"/>
  <c r="BP1282" i="5"/>
  <c r="BO1282" i="5"/>
  <c r="BM1282" i="5"/>
  <c r="BL1282" i="5"/>
  <c r="BJ1285" i="5"/>
  <c r="BI1285" i="5"/>
  <c r="BG1285" i="5"/>
  <c r="BF1285" i="5"/>
  <c r="BD1285" i="5"/>
  <c r="BC1285" i="5"/>
  <c r="BJ1284" i="5"/>
  <c r="BI1284" i="5"/>
  <c r="BG1284" i="5"/>
  <c r="BF1284" i="5"/>
  <c r="BD1284" i="5"/>
  <c r="BC1284" i="5"/>
  <c r="BJ1283" i="5"/>
  <c r="BI1283" i="5"/>
  <c r="BG1283" i="5"/>
  <c r="BF1283" i="5"/>
  <c r="BD1283" i="5"/>
  <c r="BC1283" i="5"/>
  <c r="BJ1282" i="5"/>
  <c r="BI1282" i="5"/>
  <c r="BG1282" i="5"/>
  <c r="BF1282" i="5"/>
  <c r="BD1282" i="5"/>
  <c r="BC1282" i="5"/>
  <c r="BA1285" i="5"/>
  <c r="AZ1285" i="5"/>
  <c r="AX1285" i="5"/>
  <c r="AW1285" i="5"/>
  <c r="AU1285" i="5"/>
  <c r="AT1285" i="5"/>
  <c r="BA1284" i="5"/>
  <c r="AZ1284" i="5"/>
  <c r="AX1284" i="5"/>
  <c r="AW1284" i="5"/>
  <c r="AU1284" i="5"/>
  <c r="AT1284" i="5"/>
  <c r="BA1283" i="5"/>
  <c r="AZ1283" i="5"/>
  <c r="AX1283" i="5"/>
  <c r="AW1283" i="5"/>
  <c r="AU1283" i="5"/>
  <c r="AT1283" i="5"/>
  <c r="BA1282" i="5"/>
  <c r="AZ1282" i="5"/>
  <c r="AX1282" i="5"/>
  <c r="AW1282" i="5"/>
  <c r="AU1282" i="5"/>
  <c r="AT1282" i="5"/>
  <c r="AR1285" i="5"/>
  <c r="AQ1285" i="5"/>
  <c r="AO1285" i="5"/>
  <c r="AN1285" i="5"/>
  <c r="AL1285" i="5"/>
  <c r="AK1285" i="5"/>
  <c r="AR1284" i="5"/>
  <c r="AQ1284" i="5"/>
  <c r="AO1284" i="5"/>
  <c r="AN1284" i="5"/>
  <c r="AL1284" i="5"/>
  <c r="AK1284" i="5"/>
  <c r="AR1283" i="5"/>
  <c r="AQ1283" i="5"/>
  <c r="AO1283" i="5"/>
  <c r="AN1283" i="5"/>
  <c r="AL1283" i="5"/>
  <c r="AK1283" i="5"/>
  <c r="AR1282" i="5"/>
  <c r="AQ1282" i="5"/>
  <c r="AO1282" i="5"/>
  <c r="AN1282" i="5"/>
  <c r="AL1282" i="5"/>
  <c r="AK1282" i="5"/>
  <c r="AI1285" i="5"/>
  <c r="AH1285" i="5"/>
  <c r="AF1285" i="5"/>
  <c r="AE1285" i="5"/>
  <c r="AC1285" i="5"/>
  <c r="AB1285" i="5"/>
  <c r="AI1284" i="5"/>
  <c r="AH1284" i="5"/>
  <c r="AF1284" i="5"/>
  <c r="AE1284" i="5"/>
  <c r="AC1284" i="5"/>
  <c r="AB1284" i="5"/>
  <c r="AI1283" i="5"/>
  <c r="AH1283" i="5"/>
  <c r="AF1283" i="5"/>
  <c r="AE1283" i="5"/>
  <c r="AC1283" i="5"/>
  <c r="AB1283" i="5"/>
  <c r="AI1282" i="5"/>
  <c r="AH1282" i="5"/>
  <c r="AF1282" i="5"/>
  <c r="AE1282" i="5"/>
  <c r="AC1282" i="5"/>
  <c r="AB1282" i="5"/>
  <c r="Z1285" i="5"/>
  <c r="Y1285" i="5"/>
  <c r="Z1284" i="5"/>
  <c r="Y1284" i="5"/>
  <c r="Z1283" i="5"/>
  <c r="Y1283" i="5"/>
  <c r="Z1282" i="5"/>
  <c r="Y1282" i="5"/>
  <c r="W1285" i="5"/>
  <c r="V1285" i="5"/>
  <c r="W1284" i="5"/>
  <c r="V1284" i="5"/>
  <c r="W1283" i="5"/>
  <c r="V1283" i="5"/>
  <c r="W1282" i="5"/>
  <c r="V1282" i="5"/>
  <c r="T1285" i="5"/>
  <c r="S1285" i="5"/>
  <c r="T1284" i="5"/>
  <c r="S1284" i="5"/>
  <c r="T1283" i="5"/>
  <c r="S1283" i="5"/>
  <c r="T1282" i="5"/>
  <c r="S1282" i="5"/>
  <c r="K1290" i="5"/>
  <c r="K1289" i="5"/>
  <c r="K1288" i="5"/>
  <c r="K1287" i="5"/>
  <c r="J1290" i="5"/>
  <c r="J1289" i="5"/>
  <c r="J1288" i="5"/>
  <c r="J1287" i="5"/>
  <c r="K1285" i="5"/>
  <c r="K1284" i="5"/>
  <c r="J1285" i="5"/>
  <c r="J1284" i="5"/>
  <c r="K1283" i="5"/>
  <c r="K1282" i="5"/>
  <c r="J1283" i="5"/>
  <c r="J1282" i="5"/>
  <c r="AT1639" i="5" l="1"/>
  <c r="AX1669" i="5"/>
  <c r="AX1668" i="5" s="1"/>
  <c r="AX1639" i="5"/>
  <c r="Y1669" i="5"/>
  <c r="Y1668" i="5" s="1"/>
  <c r="Y1639" i="5"/>
  <c r="Z1669" i="5"/>
  <c r="Z1668" i="5" s="1"/>
  <c r="Z1639" i="5"/>
  <c r="BO1669" i="5"/>
  <c r="BO1668" i="5" s="1"/>
  <c r="BO1639" i="5"/>
  <c r="BG1669" i="5"/>
  <c r="BG1668" i="5" s="1"/>
  <c r="BG1639" i="5"/>
  <c r="AB1669" i="5"/>
  <c r="AB1668" i="5" s="1"/>
  <c r="AB1639" i="5"/>
  <c r="BS1669" i="5"/>
  <c r="BS1668" i="5" s="1"/>
  <c r="BS1639" i="5"/>
  <c r="CE1669" i="5"/>
  <c r="CE1668" i="5" s="1"/>
  <c r="CE1639" i="5"/>
  <c r="BR1669" i="5"/>
  <c r="BR1668" i="5" s="1"/>
  <c r="BR1639" i="5"/>
  <c r="AL1669" i="5"/>
  <c r="AL1668" i="5" s="1"/>
  <c r="AL1639" i="5"/>
  <c r="BV1669" i="5"/>
  <c r="BV1668" i="5" s="1"/>
  <c r="BV1639" i="5"/>
  <c r="AZ1669" i="5"/>
  <c r="AZ1668" i="5" s="1"/>
  <c r="AZ1639" i="5"/>
  <c r="BU1669" i="5"/>
  <c r="BU1668" i="5" s="1"/>
  <c r="BU1639" i="5"/>
  <c r="BY1669" i="5"/>
  <c r="BY1668" i="5" s="1"/>
  <c r="BY1639" i="5"/>
  <c r="AN1669" i="5"/>
  <c r="AN1668" i="5" s="1"/>
  <c r="AN1639" i="5"/>
  <c r="CJ1669" i="5"/>
  <c r="CJ1668" i="5" s="1"/>
  <c r="CJ1639" i="5"/>
  <c r="BD1669" i="5"/>
  <c r="BD1668" i="5" s="1"/>
  <c r="BD1639" i="5"/>
  <c r="BX1669" i="5"/>
  <c r="BX1668" i="5" s="1"/>
  <c r="BX1639" i="5"/>
  <c r="AF1669" i="5"/>
  <c r="AF1668" i="5" s="1"/>
  <c r="AF1639" i="5"/>
  <c r="BC1669" i="5"/>
  <c r="BC1668" i="5" s="1"/>
  <c r="BC1639" i="5"/>
  <c r="AI1669" i="5"/>
  <c r="AI1668" i="5" s="1"/>
  <c r="AI1639" i="5"/>
  <c r="AE1669" i="5"/>
  <c r="AE1668" i="5" s="1"/>
  <c r="AE1639" i="5"/>
  <c r="BP1669" i="5"/>
  <c r="BP1668" i="5" s="1"/>
  <c r="BP1639" i="5"/>
  <c r="CA1669" i="5"/>
  <c r="CA1668" i="5" s="1"/>
  <c r="CA1639" i="5"/>
  <c r="T1669" i="5"/>
  <c r="T1668" i="5" s="1"/>
  <c r="T1639" i="5"/>
  <c r="BA1669" i="5"/>
  <c r="BA1668" i="5" s="1"/>
  <c r="BA1639" i="5"/>
  <c r="BF1669" i="5"/>
  <c r="BF1668" i="5" s="1"/>
  <c r="BF1639" i="5"/>
  <c r="V1669" i="5"/>
  <c r="V1668" i="5" s="1"/>
  <c r="V1639" i="5"/>
  <c r="BI1669" i="5"/>
  <c r="BI1668" i="5" s="1"/>
  <c r="BI1639" i="5"/>
  <c r="CD1669" i="5"/>
  <c r="CD1668" i="5" s="1"/>
  <c r="CD1639" i="5"/>
  <c r="AK1669" i="5"/>
  <c r="AK1668" i="5" s="1"/>
  <c r="AK1639" i="5"/>
  <c r="CK763" i="5"/>
  <c r="CK1317" i="5" s="1"/>
  <c r="CK1346" i="5" s="1"/>
  <c r="CK1375" i="5" s="1"/>
  <c r="CJ763" i="5"/>
  <c r="CJ1317" i="5" s="1"/>
  <c r="CJ1346" i="5" s="1"/>
  <c r="CJ1375" i="5" s="1"/>
  <c r="CH763" i="5"/>
  <c r="CH1317" i="5" s="1"/>
  <c r="CH1346" i="5" s="1"/>
  <c r="CH1375" i="5" s="1"/>
  <c r="CG763" i="5"/>
  <c r="CG1317" i="5" s="1"/>
  <c r="CG1346" i="5" s="1"/>
  <c r="CG1375" i="5" s="1"/>
  <c r="CE763" i="5"/>
  <c r="CE1317" i="5" s="1"/>
  <c r="CE1346" i="5" s="1"/>
  <c r="CE1375" i="5" s="1"/>
  <c r="CD763" i="5"/>
  <c r="CD1317" i="5" s="1"/>
  <c r="CD1346" i="5" s="1"/>
  <c r="CD1375" i="5" s="1"/>
  <c r="CK762" i="5"/>
  <c r="CK1316" i="5" s="1"/>
  <c r="CJ762" i="5"/>
  <c r="CJ1316" i="5" s="1"/>
  <c r="CH762" i="5"/>
  <c r="CH1316" i="5" s="1"/>
  <c r="CG762" i="5"/>
  <c r="CG1316" i="5" s="1"/>
  <c r="CE762" i="5"/>
  <c r="CE1316" i="5" s="1"/>
  <c r="CD762" i="5"/>
  <c r="CD1316" i="5" s="1"/>
  <c r="CB763" i="5"/>
  <c r="CB1317" i="5" s="1"/>
  <c r="CB1346" i="5" s="1"/>
  <c r="CB1375" i="5" s="1"/>
  <c r="CA763" i="5"/>
  <c r="CA1317" i="5" s="1"/>
  <c r="CA1346" i="5" s="1"/>
  <c r="CA1375" i="5" s="1"/>
  <c r="BY763" i="5"/>
  <c r="BY1317" i="5" s="1"/>
  <c r="BY1346" i="5" s="1"/>
  <c r="BY1375" i="5" s="1"/>
  <c r="BX763" i="5"/>
  <c r="BX1317" i="5" s="1"/>
  <c r="BX1346" i="5" s="1"/>
  <c r="BX1375" i="5" s="1"/>
  <c r="BV763" i="5"/>
  <c r="BV1317" i="5" s="1"/>
  <c r="BV1346" i="5" s="1"/>
  <c r="BV1375" i="5" s="1"/>
  <c r="BU763" i="5"/>
  <c r="BU1317" i="5" s="1"/>
  <c r="BU1346" i="5" s="1"/>
  <c r="BU1375" i="5" s="1"/>
  <c r="CB762" i="5"/>
  <c r="CB1316" i="5" s="1"/>
  <c r="CA762" i="5"/>
  <c r="CA1316" i="5" s="1"/>
  <c r="BY762" i="5"/>
  <c r="BY1316" i="5" s="1"/>
  <c r="BX762" i="5"/>
  <c r="BX1316" i="5" s="1"/>
  <c r="BV762" i="5"/>
  <c r="BV1316" i="5" s="1"/>
  <c r="BU762" i="5"/>
  <c r="BU1316" i="5" s="1"/>
  <c r="BS763" i="5"/>
  <c r="BS1317" i="5" s="1"/>
  <c r="BS1346" i="5" s="1"/>
  <c r="BS1375" i="5" s="1"/>
  <c r="BR763" i="5"/>
  <c r="BR1317" i="5" s="1"/>
  <c r="BR1346" i="5" s="1"/>
  <c r="BR1375" i="5" s="1"/>
  <c r="BP763" i="5"/>
  <c r="BP1317" i="5" s="1"/>
  <c r="BP1346" i="5" s="1"/>
  <c r="BP1375" i="5" s="1"/>
  <c r="BO763" i="5"/>
  <c r="BO1317" i="5" s="1"/>
  <c r="BO1346" i="5" s="1"/>
  <c r="BO1375" i="5" s="1"/>
  <c r="BM763" i="5"/>
  <c r="BM1317" i="5" s="1"/>
  <c r="BM1346" i="5" s="1"/>
  <c r="BM1375" i="5" s="1"/>
  <c r="BL763" i="5"/>
  <c r="BL1317" i="5" s="1"/>
  <c r="BL1346" i="5" s="1"/>
  <c r="BL1375" i="5" s="1"/>
  <c r="BS762" i="5"/>
  <c r="BS1316" i="5" s="1"/>
  <c r="BR762" i="5"/>
  <c r="BR1316" i="5" s="1"/>
  <c r="BP762" i="5"/>
  <c r="BP1316" i="5" s="1"/>
  <c r="BO762" i="5"/>
  <c r="BO1316" i="5" s="1"/>
  <c r="BM762" i="5"/>
  <c r="BM1316" i="5" s="1"/>
  <c r="BL762" i="5"/>
  <c r="BL1316" i="5" s="1"/>
  <c r="BJ763" i="5"/>
  <c r="BJ1317" i="5" s="1"/>
  <c r="BJ1346" i="5" s="1"/>
  <c r="BJ1375" i="5" s="1"/>
  <c r="BI763" i="5"/>
  <c r="BI1317" i="5" s="1"/>
  <c r="BI1346" i="5" s="1"/>
  <c r="BI1375" i="5" s="1"/>
  <c r="BG763" i="5"/>
  <c r="BG1317" i="5" s="1"/>
  <c r="BG1346" i="5" s="1"/>
  <c r="BG1375" i="5" s="1"/>
  <c r="BF763" i="5"/>
  <c r="BF1317" i="5" s="1"/>
  <c r="BF1346" i="5" s="1"/>
  <c r="BF1375" i="5" s="1"/>
  <c r="BD763" i="5"/>
  <c r="BD1317" i="5" s="1"/>
  <c r="BD1346" i="5" s="1"/>
  <c r="BD1375" i="5" s="1"/>
  <c r="BC763" i="5"/>
  <c r="BC1317" i="5" s="1"/>
  <c r="BC1346" i="5" s="1"/>
  <c r="BC1375" i="5" s="1"/>
  <c r="BJ762" i="5"/>
  <c r="BJ1316" i="5" s="1"/>
  <c r="BI762" i="5"/>
  <c r="BI1316" i="5" s="1"/>
  <c r="BG762" i="5"/>
  <c r="BG1316" i="5" s="1"/>
  <c r="BF762" i="5"/>
  <c r="BF1316" i="5" s="1"/>
  <c r="BD762" i="5"/>
  <c r="BD1316" i="5" s="1"/>
  <c r="BC762" i="5"/>
  <c r="BC1316" i="5" s="1"/>
  <c r="BA763" i="5"/>
  <c r="BA1317" i="5" s="1"/>
  <c r="BA1346" i="5" s="1"/>
  <c r="BA1375" i="5" s="1"/>
  <c r="AZ763" i="5"/>
  <c r="AZ1317" i="5" s="1"/>
  <c r="AZ1346" i="5" s="1"/>
  <c r="AZ1375" i="5" s="1"/>
  <c r="AX763" i="5"/>
  <c r="AX1317" i="5" s="1"/>
  <c r="AX1346" i="5" s="1"/>
  <c r="AX1375" i="5" s="1"/>
  <c r="AW763" i="5"/>
  <c r="AW1317" i="5" s="1"/>
  <c r="AW1346" i="5" s="1"/>
  <c r="AW1375" i="5" s="1"/>
  <c r="AU763" i="5"/>
  <c r="AU1317" i="5" s="1"/>
  <c r="AU1346" i="5" s="1"/>
  <c r="AU1375" i="5" s="1"/>
  <c r="AT763" i="5"/>
  <c r="AT1317" i="5" s="1"/>
  <c r="AT1346" i="5" s="1"/>
  <c r="AT1375" i="5" s="1"/>
  <c r="BA762" i="5"/>
  <c r="BA1316" i="5" s="1"/>
  <c r="AZ762" i="5"/>
  <c r="AZ1316" i="5" s="1"/>
  <c r="AX762" i="5"/>
  <c r="AX1316" i="5" s="1"/>
  <c r="AW762" i="5"/>
  <c r="AW1316" i="5" s="1"/>
  <c r="AU762" i="5"/>
  <c r="AU1316" i="5" s="1"/>
  <c r="AT762" i="5"/>
  <c r="AT1316" i="5" s="1"/>
  <c r="AR763" i="5"/>
  <c r="AR1317" i="5" s="1"/>
  <c r="AR1346" i="5" s="1"/>
  <c r="AR1375" i="5" s="1"/>
  <c r="AQ763" i="5"/>
  <c r="AQ1317" i="5" s="1"/>
  <c r="AQ1346" i="5" s="1"/>
  <c r="AQ1375" i="5" s="1"/>
  <c r="AO763" i="5"/>
  <c r="AO1317" i="5" s="1"/>
  <c r="AO1346" i="5" s="1"/>
  <c r="AO1375" i="5" s="1"/>
  <c r="AN763" i="5"/>
  <c r="AN1317" i="5" s="1"/>
  <c r="AN1346" i="5" s="1"/>
  <c r="AN1375" i="5" s="1"/>
  <c r="AL763" i="5"/>
  <c r="AL1317" i="5" s="1"/>
  <c r="AL1346" i="5" s="1"/>
  <c r="AL1375" i="5" s="1"/>
  <c r="AK763" i="5"/>
  <c r="AK1317" i="5" s="1"/>
  <c r="AK1346" i="5" s="1"/>
  <c r="AK1375" i="5" s="1"/>
  <c r="AR762" i="5"/>
  <c r="AR1316" i="5" s="1"/>
  <c r="AQ762" i="5"/>
  <c r="AQ1316" i="5" s="1"/>
  <c r="AO762" i="5"/>
  <c r="AO1316" i="5" s="1"/>
  <c r="AN762" i="5"/>
  <c r="AN1316" i="5" s="1"/>
  <c r="AL762" i="5"/>
  <c r="AL1316" i="5" s="1"/>
  <c r="AK762" i="5"/>
  <c r="AK1316" i="5" s="1"/>
  <c r="AI763" i="5"/>
  <c r="AI1317" i="5" s="1"/>
  <c r="AI1346" i="5" s="1"/>
  <c r="AI1375" i="5" s="1"/>
  <c r="AH763" i="5"/>
  <c r="AH1317" i="5" s="1"/>
  <c r="AH1346" i="5" s="1"/>
  <c r="AH1375" i="5" s="1"/>
  <c r="AF763" i="5"/>
  <c r="AF1317" i="5" s="1"/>
  <c r="AF1346" i="5" s="1"/>
  <c r="AF1375" i="5" s="1"/>
  <c r="AE763" i="5"/>
  <c r="AE1317" i="5" s="1"/>
  <c r="AE1346" i="5" s="1"/>
  <c r="AE1375" i="5" s="1"/>
  <c r="AC763" i="5"/>
  <c r="AC1317" i="5" s="1"/>
  <c r="AC1346" i="5" s="1"/>
  <c r="AC1375" i="5" s="1"/>
  <c r="AB763" i="5"/>
  <c r="AB1317" i="5" s="1"/>
  <c r="AB1346" i="5" s="1"/>
  <c r="AB1375" i="5" s="1"/>
  <c r="AI762" i="5"/>
  <c r="AI1316" i="5" s="1"/>
  <c r="AH762" i="5"/>
  <c r="AH1316" i="5" s="1"/>
  <c r="AF762" i="5"/>
  <c r="AF1316" i="5" s="1"/>
  <c r="AE762" i="5"/>
  <c r="AE1316" i="5" s="1"/>
  <c r="AC762" i="5"/>
  <c r="AC1316" i="5" s="1"/>
  <c r="AB762" i="5"/>
  <c r="AB1316" i="5" s="1"/>
  <c r="Z763" i="5"/>
  <c r="Z1317" i="5" s="1"/>
  <c r="Z1346" i="5" s="1"/>
  <c r="Z1375" i="5" s="1"/>
  <c r="Y763" i="5"/>
  <c r="Y1317" i="5" s="1"/>
  <c r="Y1346" i="5" s="1"/>
  <c r="Y1375" i="5" s="1"/>
  <c r="Z762" i="5"/>
  <c r="Z1316" i="5" s="1"/>
  <c r="Y762" i="5"/>
  <c r="Y1316" i="5" s="1"/>
  <c r="W763" i="5"/>
  <c r="W1317" i="5" s="1"/>
  <c r="W1346" i="5" s="1"/>
  <c r="W1375" i="5" s="1"/>
  <c r="V763" i="5"/>
  <c r="V1317" i="5" s="1"/>
  <c r="V1346" i="5" s="1"/>
  <c r="V1375" i="5" s="1"/>
  <c r="W762" i="5"/>
  <c r="W1316" i="5" s="1"/>
  <c r="V762" i="5"/>
  <c r="V1316" i="5" s="1"/>
  <c r="T763" i="5"/>
  <c r="T1317" i="5" s="1"/>
  <c r="T1346" i="5" s="1"/>
  <c r="T1375" i="5" s="1"/>
  <c r="S763" i="5"/>
  <c r="S1317" i="5" s="1"/>
  <c r="S1346" i="5" s="1"/>
  <c r="S1375" i="5" s="1"/>
  <c r="T762" i="5"/>
  <c r="T1316" i="5" s="1"/>
  <c r="S762" i="5"/>
  <c r="S1316" i="5" s="1"/>
  <c r="K763" i="5"/>
  <c r="K1317" i="5" s="1"/>
  <c r="K1346" i="5" s="1"/>
  <c r="K1375" i="5" s="1"/>
  <c r="K762" i="5"/>
  <c r="K1316" i="5" s="1"/>
  <c r="K1345" i="5" s="1"/>
  <c r="K1374" i="5" s="1"/>
  <c r="J763" i="5"/>
  <c r="J1317" i="5" s="1"/>
  <c r="J1346" i="5" s="1"/>
  <c r="J1375" i="5" s="1"/>
  <c r="J762" i="5"/>
  <c r="J1316" i="5" s="1"/>
  <c r="J1345" i="5" s="1"/>
  <c r="J1374" i="5" s="1"/>
  <c r="CK754" i="5"/>
  <c r="CK1314" i="5" s="1"/>
  <c r="CK1343" i="5" s="1"/>
  <c r="CK1372" i="5" s="1"/>
  <c r="CJ754" i="5"/>
  <c r="CJ1314" i="5" s="1"/>
  <c r="CJ1343" i="5" s="1"/>
  <c r="CJ1372" i="5" s="1"/>
  <c r="CH754" i="5"/>
  <c r="CH1314" i="5" s="1"/>
  <c r="CH1343" i="5" s="1"/>
  <c r="CH1372" i="5" s="1"/>
  <c r="CG754" i="5"/>
  <c r="CG1314" i="5" s="1"/>
  <c r="CG1343" i="5" s="1"/>
  <c r="CG1372" i="5" s="1"/>
  <c r="CE754" i="5"/>
  <c r="CE1314" i="5" s="1"/>
  <c r="CE1343" i="5" s="1"/>
  <c r="CE1372" i="5" s="1"/>
  <c r="CD754" i="5"/>
  <c r="CD1314" i="5" s="1"/>
  <c r="CD1343" i="5" s="1"/>
  <c r="CD1372" i="5" s="1"/>
  <c r="CK753" i="5"/>
  <c r="CK1313" i="5" s="1"/>
  <c r="CJ753" i="5"/>
  <c r="CJ1313" i="5" s="1"/>
  <c r="CH753" i="5"/>
  <c r="CH1313" i="5" s="1"/>
  <c r="CG753" i="5"/>
  <c r="CG1313" i="5" s="1"/>
  <c r="CE753" i="5"/>
  <c r="CE1313" i="5" s="1"/>
  <c r="CD753" i="5"/>
  <c r="CD1313" i="5" s="1"/>
  <c r="CB754" i="5"/>
  <c r="CB1314" i="5" s="1"/>
  <c r="CB1343" i="5" s="1"/>
  <c r="CB1372" i="5" s="1"/>
  <c r="CA754" i="5"/>
  <c r="CA1314" i="5" s="1"/>
  <c r="CA1343" i="5" s="1"/>
  <c r="CA1372" i="5" s="1"/>
  <c r="BY754" i="5"/>
  <c r="BY1314" i="5" s="1"/>
  <c r="BY1343" i="5" s="1"/>
  <c r="BY1372" i="5" s="1"/>
  <c r="BX754" i="5"/>
  <c r="BX1314" i="5" s="1"/>
  <c r="BX1343" i="5" s="1"/>
  <c r="BX1372" i="5" s="1"/>
  <c r="BV754" i="5"/>
  <c r="BV1314" i="5" s="1"/>
  <c r="BV1343" i="5" s="1"/>
  <c r="BV1372" i="5" s="1"/>
  <c r="BU754" i="5"/>
  <c r="BU1314" i="5" s="1"/>
  <c r="BU1343" i="5" s="1"/>
  <c r="BU1372" i="5" s="1"/>
  <c r="CB753" i="5"/>
  <c r="CB1313" i="5" s="1"/>
  <c r="CA753" i="5"/>
  <c r="CA1313" i="5" s="1"/>
  <c r="BY753" i="5"/>
  <c r="BY1313" i="5" s="1"/>
  <c r="BX753" i="5"/>
  <c r="BX1313" i="5" s="1"/>
  <c r="BV753" i="5"/>
  <c r="BV1313" i="5" s="1"/>
  <c r="BU753" i="5"/>
  <c r="BU1313" i="5" s="1"/>
  <c r="BS754" i="5"/>
  <c r="BS1314" i="5" s="1"/>
  <c r="BS1343" i="5" s="1"/>
  <c r="BS1372" i="5" s="1"/>
  <c r="BR754" i="5"/>
  <c r="BR1314" i="5" s="1"/>
  <c r="BR1343" i="5" s="1"/>
  <c r="BR1372" i="5" s="1"/>
  <c r="BP754" i="5"/>
  <c r="BP1314" i="5" s="1"/>
  <c r="BP1343" i="5" s="1"/>
  <c r="BP1372" i="5" s="1"/>
  <c r="BO754" i="5"/>
  <c r="BO1314" i="5" s="1"/>
  <c r="BO1343" i="5" s="1"/>
  <c r="BO1372" i="5" s="1"/>
  <c r="BM754" i="5"/>
  <c r="BM1314" i="5" s="1"/>
  <c r="BM1343" i="5" s="1"/>
  <c r="BM1372" i="5" s="1"/>
  <c r="BL754" i="5"/>
  <c r="BL1314" i="5" s="1"/>
  <c r="BL1343" i="5" s="1"/>
  <c r="BL1372" i="5" s="1"/>
  <c r="BS753" i="5"/>
  <c r="BS1313" i="5" s="1"/>
  <c r="BR753" i="5"/>
  <c r="BR1313" i="5" s="1"/>
  <c r="BP753" i="5"/>
  <c r="BP1313" i="5" s="1"/>
  <c r="BO753" i="5"/>
  <c r="BO1313" i="5" s="1"/>
  <c r="BM753" i="5"/>
  <c r="BM1313" i="5" s="1"/>
  <c r="BL753" i="5"/>
  <c r="BL1313" i="5" s="1"/>
  <c r="BJ754" i="5"/>
  <c r="BJ1314" i="5" s="1"/>
  <c r="BJ1343" i="5" s="1"/>
  <c r="BI754" i="5"/>
  <c r="BI1314" i="5" s="1"/>
  <c r="BI1343" i="5" s="1"/>
  <c r="BI1372" i="5" s="1"/>
  <c r="BG754" i="5"/>
  <c r="BG1314" i="5" s="1"/>
  <c r="BG1343" i="5" s="1"/>
  <c r="BG1372" i="5" s="1"/>
  <c r="BF754" i="5"/>
  <c r="BF1314" i="5" s="1"/>
  <c r="BF1343" i="5" s="1"/>
  <c r="BF1372" i="5" s="1"/>
  <c r="BD754" i="5"/>
  <c r="BD1314" i="5" s="1"/>
  <c r="BD1343" i="5" s="1"/>
  <c r="BD1372" i="5" s="1"/>
  <c r="BC754" i="5"/>
  <c r="BC1314" i="5" s="1"/>
  <c r="BC1343" i="5" s="1"/>
  <c r="BC1372" i="5" s="1"/>
  <c r="BJ753" i="5"/>
  <c r="BJ1313" i="5" s="1"/>
  <c r="BI753" i="5"/>
  <c r="BI1313" i="5" s="1"/>
  <c r="BG753" i="5"/>
  <c r="BG1313" i="5" s="1"/>
  <c r="BF753" i="5"/>
  <c r="BF1313" i="5" s="1"/>
  <c r="BD753" i="5"/>
  <c r="BD1313" i="5" s="1"/>
  <c r="BC753" i="5"/>
  <c r="BC1313" i="5" s="1"/>
  <c r="BA754" i="5"/>
  <c r="BA1314" i="5" s="1"/>
  <c r="BA1343" i="5" s="1"/>
  <c r="BA1372" i="5" s="1"/>
  <c r="AZ754" i="5"/>
  <c r="AZ1314" i="5" s="1"/>
  <c r="AZ1343" i="5" s="1"/>
  <c r="AZ1372" i="5" s="1"/>
  <c r="AX754" i="5"/>
  <c r="AX1314" i="5" s="1"/>
  <c r="AX1343" i="5" s="1"/>
  <c r="AX1372" i="5" s="1"/>
  <c r="AW754" i="5"/>
  <c r="AW1314" i="5" s="1"/>
  <c r="AW1343" i="5" s="1"/>
  <c r="AW1372" i="5" s="1"/>
  <c r="AU754" i="5"/>
  <c r="AU1314" i="5" s="1"/>
  <c r="AU1343" i="5" s="1"/>
  <c r="AU1372" i="5" s="1"/>
  <c r="AT754" i="5"/>
  <c r="AT1314" i="5" s="1"/>
  <c r="AT1343" i="5" s="1"/>
  <c r="AT1372" i="5" s="1"/>
  <c r="BA753" i="5"/>
  <c r="BA1313" i="5" s="1"/>
  <c r="AZ753" i="5"/>
  <c r="AZ1313" i="5" s="1"/>
  <c r="AX753" i="5"/>
  <c r="AX1313" i="5" s="1"/>
  <c r="AW753" i="5"/>
  <c r="AW1313" i="5" s="1"/>
  <c r="AU753" i="5"/>
  <c r="AU1313" i="5" s="1"/>
  <c r="AT753" i="5"/>
  <c r="AT1313" i="5" s="1"/>
  <c r="AR754" i="5"/>
  <c r="AR1314" i="5" s="1"/>
  <c r="AR1343" i="5" s="1"/>
  <c r="AQ754" i="5"/>
  <c r="AQ1314" i="5" s="1"/>
  <c r="AQ1343" i="5" s="1"/>
  <c r="AQ1372" i="5" s="1"/>
  <c r="AO754" i="5"/>
  <c r="AO1314" i="5" s="1"/>
  <c r="AO1343" i="5" s="1"/>
  <c r="AO1372" i="5" s="1"/>
  <c r="AN754" i="5"/>
  <c r="AL754" i="5"/>
  <c r="AL1314" i="5" s="1"/>
  <c r="AL1343" i="5" s="1"/>
  <c r="AL1372" i="5" s="1"/>
  <c r="AK754" i="5"/>
  <c r="AK1314" i="5" s="1"/>
  <c r="AK1343" i="5" s="1"/>
  <c r="AK1372" i="5" s="1"/>
  <c r="AR753" i="5"/>
  <c r="AR1313" i="5" s="1"/>
  <c r="AQ753" i="5"/>
  <c r="AQ1313" i="5" s="1"/>
  <c r="AO753" i="5"/>
  <c r="AO1313" i="5" s="1"/>
  <c r="AN753" i="5"/>
  <c r="AN1313" i="5" s="1"/>
  <c r="AL753" i="5"/>
  <c r="AL1313" i="5" s="1"/>
  <c r="AK753" i="5"/>
  <c r="AK1313" i="5" s="1"/>
  <c r="AI754" i="5"/>
  <c r="AI1314" i="5" s="1"/>
  <c r="AI1343" i="5" s="1"/>
  <c r="AI1372" i="5" s="1"/>
  <c r="AH754" i="5"/>
  <c r="AH1314" i="5" s="1"/>
  <c r="AH1343" i="5" s="1"/>
  <c r="AH1372" i="5" s="1"/>
  <c r="AF754" i="5"/>
  <c r="AF1314" i="5" s="1"/>
  <c r="AF1343" i="5" s="1"/>
  <c r="AF1372" i="5" s="1"/>
  <c r="AE754" i="5"/>
  <c r="AE1314" i="5" s="1"/>
  <c r="AE1343" i="5" s="1"/>
  <c r="AE1372" i="5" s="1"/>
  <c r="AC754" i="5"/>
  <c r="AC1314" i="5" s="1"/>
  <c r="AC1343" i="5" s="1"/>
  <c r="AC1372" i="5" s="1"/>
  <c r="AB754" i="5"/>
  <c r="AB1314" i="5" s="1"/>
  <c r="AB1343" i="5" s="1"/>
  <c r="AB1372" i="5" s="1"/>
  <c r="AI753" i="5"/>
  <c r="AI1313" i="5" s="1"/>
  <c r="AH753" i="5"/>
  <c r="AH1313" i="5" s="1"/>
  <c r="AF753" i="5"/>
  <c r="AF1313" i="5" s="1"/>
  <c r="AE753" i="5"/>
  <c r="AE1313" i="5" s="1"/>
  <c r="AC753" i="5"/>
  <c r="AC1313" i="5" s="1"/>
  <c r="AB753" i="5"/>
  <c r="AB1313" i="5" s="1"/>
  <c r="Z754" i="5"/>
  <c r="Z1314" i="5" s="1"/>
  <c r="Z1343" i="5" s="1"/>
  <c r="Z1372" i="5" s="1"/>
  <c r="Y754" i="5"/>
  <c r="Y1314" i="5" s="1"/>
  <c r="Y1343" i="5" s="1"/>
  <c r="Y1372" i="5" s="1"/>
  <c r="Z753" i="5"/>
  <c r="Z1313" i="5" s="1"/>
  <c r="Y753" i="5"/>
  <c r="Y1313" i="5" s="1"/>
  <c r="W754" i="5"/>
  <c r="W1314" i="5" s="1"/>
  <c r="W1343" i="5" s="1"/>
  <c r="W1372" i="5" s="1"/>
  <c r="V754" i="5"/>
  <c r="W753" i="5"/>
  <c r="W1313" i="5" s="1"/>
  <c r="V753" i="5"/>
  <c r="V1313" i="5" s="1"/>
  <c r="T754" i="5"/>
  <c r="T1314" i="5" s="1"/>
  <c r="T1343" i="5" s="1"/>
  <c r="T1372" i="5" s="1"/>
  <c r="S754" i="5"/>
  <c r="S1314" i="5" s="1"/>
  <c r="S1343" i="5" s="1"/>
  <c r="S1372" i="5" s="1"/>
  <c r="T753" i="5"/>
  <c r="T1313" i="5" s="1"/>
  <c r="S753" i="5"/>
  <c r="S1313" i="5" s="1"/>
  <c r="K754" i="5"/>
  <c r="K753" i="5"/>
  <c r="K1313" i="5" s="1"/>
  <c r="J754" i="5"/>
  <c r="J1314" i="5" s="1"/>
  <c r="J753" i="5"/>
  <c r="J1313" i="5" s="1"/>
  <c r="J1342" i="5" s="1"/>
  <c r="J1371" i="5" s="1"/>
  <c r="CK672" i="5"/>
  <c r="CJ672" i="5"/>
  <c r="CH672" i="5"/>
  <c r="CG672" i="5"/>
  <c r="CE672" i="5"/>
  <c r="CD672" i="5"/>
  <c r="CK671" i="5"/>
  <c r="CJ671" i="5"/>
  <c r="CH671" i="5"/>
  <c r="CG671" i="5"/>
  <c r="CE671" i="5"/>
  <c r="CD671" i="5"/>
  <c r="CK670" i="5"/>
  <c r="CJ670" i="5"/>
  <c r="CH670" i="5"/>
  <c r="CG670" i="5"/>
  <c r="CE670" i="5"/>
  <c r="CD670" i="5"/>
  <c r="CK669" i="5"/>
  <c r="CJ669" i="5"/>
  <c r="CH669" i="5"/>
  <c r="CG669" i="5"/>
  <c r="CE669" i="5"/>
  <c r="CD669" i="5"/>
  <c r="CB672" i="5"/>
  <c r="CA672" i="5"/>
  <c r="BY672" i="5"/>
  <c r="BX672" i="5"/>
  <c r="BV672" i="5"/>
  <c r="BU672" i="5"/>
  <c r="CB671" i="5"/>
  <c r="CA671" i="5"/>
  <c r="BY671" i="5"/>
  <c r="BX671" i="5"/>
  <c r="BV671" i="5"/>
  <c r="BU671" i="5"/>
  <c r="CB670" i="5"/>
  <c r="CA670" i="5"/>
  <c r="BY670" i="5"/>
  <c r="BX670" i="5"/>
  <c r="BV670" i="5"/>
  <c r="BU670" i="5"/>
  <c r="CB669" i="5"/>
  <c r="CA669" i="5"/>
  <c r="BY669" i="5"/>
  <c r="BX669" i="5"/>
  <c r="BV669" i="5"/>
  <c r="BU669" i="5"/>
  <c r="BS672" i="5"/>
  <c r="BR672" i="5"/>
  <c r="BP672" i="5"/>
  <c r="BO672" i="5"/>
  <c r="BM672" i="5"/>
  <c r="BL672" i="5"/>
  <c r="BS671" i="5"/>
  <c r="BR671" i="5"/>
  <c r="BP671" i="5"/>
  <c r="BO671" i="5"/>
  <c r="BM671" i="5"/>
  <c r="BL671" i="5"/>
  <c r="BS670" i="5"/>
  <c r="BR670" i="5"/>
  <c r="BP670" i="5"/>
  <c r="BO670" i="5"/>
  <c r="BM670" i="5"/>
  <c r="BL670" i="5"/>
  <c r="BS669" i="5"/>
  <c r="BR669" i="5"/>
  <c r="BP669" i="5"/>
  <c r="BO669" i="5"/>
  <c r="BM669" i="5"/>
  <c r="BL669" i="5"/>
  <c r="BJ672" i="5"/>
  <c r="BI672" i="5"/>
  <c r="BG672" i="5"/>
  <c r="BF672" i="5"/>
  <c r="BD672" i="5"/>
  <c r="BC672" i="5"/>
  <c r="BJ671" i="5"/>
  <c r="BI671" i="5"/>
  <c r="BG671" i="5"/>
  <c r="BF671" i="5"/>
  <c r="BD671" i="5"/>
  <c r="BC671" i="5"/>
  <c r="BJ670" i="5"/>
  <c r="BI670" i="5"/>
  <c r="BG670" i="5"/>
  <c r="BF670" i="5"/>
  <c r="BD670" i="5"/>
  <c r="BC670" i="5"/>
  <c r="BJ669" i="5"/>
  <c r="BI669" i="5"/>
  <c r="BG669" i="5"/>
  <c r="BF669" i="5"/>
  <c r="BD669" i="5"/>
  <c r="BC669" i="5"/>
  <c r="BA672" i="5"/>
  <c r="AZ672" i="5"/>
  <c r="AX672" i="5"/>
  <c r="AW672" i="5"/>
  <c r="AU672" i="5"/>
  <c r="AT672" i="5"/>
  <c r="BA671" i="5"/>
  <c r="AZ671" i="5"/>
  <c r="AX671" i="5"/>
  <c r="AW671" i="5"/>
  <c r="AU671" i="5"/>
  <c r="AT671" i="5"/>
  <c r="BA670" i="5"/>
  <c r="AZ670" i="5"/>
  <c r="AX670" i="5"/>
  <c r="AW670" i="5"/>
  <c r="AU670" i="5"/>
  <c r="AT670" i="5"/>
  <c r="BA669" i="5"/>
  <c r="AZ669" i="5"/>
  <c r="AX669" i="5"/>
  <c r="AW669" i="5"/>
  <c r="AU669" i="5"/>
  <c r="AT669" i="5"/>
  <c r="AR672" i="5"/>
  <c r="AQ672" i="5"/>
  <c r="AO672" i="5"/>
  <c r="AN672" i="5"/>
  <c r="AL672" i="5"/>
  <c r="AK672" i="5"/>
  <c r="AR671" i="5"/>
  <c r="AQ671" i="5"/>
  <c r="AO671" i="5"/>
  <c r="AN671" i="5"/>
  <c r="AL671" i="5"/>
  <c r="AK671" i="5"/>
  <c r="AR670" i="5"/>
  <c r="AQ670" i="5"/>
  <c r="AO670" i="5"/>
  <c r="AN670" i="5"/>
  <c r="AL670" i="5"/>
  <c r="AK670" i="5"/>
  <c r="AR669" i="5"/>
  <c r="AQ669" i="5"/>
  <c r="AO669" i="5"/>
  <c r="AN669" i="5"/>
  <c r="AL669" i="5"/>
  <c r="AK669" i="5"/>
  <c r="AI672" i="5"/>
  <c r="AH672" i="5"/>
  <c r="AF672" i="5"/>
  <c r="AE672" i="5"/>
  <c r="AC672" i="5"/>
  <c r="AB672" i="5"/>
  <c r="AI671" i="5"/>
  <c r="AH671" i="5"/>
  <c r="AF671" i="5"/>
  <c r="AE671" i="5"/>
  <c r="AC671" i="5"/>
  <c r="AB671" i="5"/>
  <c r="AI670" i="5"/>
  <c r="AH670" i="5"/>
  <c r="AF670" i="5"/>
  <c r="AE670" i="5"/>
  <c r="AC670" i="5"/>
  <c r="AB670" i="5"/>
  <c r="AI669" i="5"/>
  <c r="AH669" i="5"/>
  <c r="AF669" i="5"/>
  <c r="AE669" i="5"/>
  <c r="AC669" i="5"/>
  <c r="AB669" i="5"/>
  <c r="Z672" i="5"/>
  <c r="Y672" i="5"/>
  <c r="Z671" i="5"/>
  <c r="Y671" i="5"/>
  <c r="Z670" i="5"/>
  <c r="Y670" i="5"/>
  <c r="Z669" i="5"/>
  <c r="Y669" i="5"/>
  <c r="W672" i="5"/>
  <c r="V672" i="5"/>
  <c r="W671" i="5"/>
  <c r="V671" i="5"/>
  <c r="W670" i="5"/>
  <c r="V670" i="5"/>
  <c r="W669" i="5"/>
  <c r="V669" i="5"/>
  <c r="T672" i="5"/>
  <c r="S672" i="5"/>
  <c r="T671" i="5"/>
  <c r="S671" i="5"/>
  <c r="T670" i="5"/>
  <c r="S670" i="5"/>
  <c r="T669" i="5"/>
  <c r="S669" i="5"/>
  <c r="K672" i="5"/>
  <c r="K671" i="5"/>
  <c r="K670" i="5"/>
  <c r="K669" i="5"/>
  <c r="J672" i="5"/>
  <c r="J671" i="5"/>
  <c r="J670" i="5"/>
  <c r="J669" i="5"/>
  <c r="CK667" i="5"/>
  <c r="CJ667" i="5"/>
  <c r="CH667" i="5"/>
  <c r="CG667" i="5"/>
  <c r="CE667" i="5"/>
  <c r="CD667" i="5"/>
  <c r="CK666" i="5"/>
  <c r="CJ666" i="5"/>
  <c r="CH666" i="5"/>
  <c r="CG666" i="5"/>
  <c r="CE666" i="5"/>
  <c r="CD666" i="5"/>
  <c r="CK665" i="5"/>
  <c r="CJ665" i="5"/>
  <c r="CH665" i="5"/>
  <c r="CG665" i="5"/>
  <c r="CE665" i="5"/>
  <c r="CD665" i="5"/>
  <c r="CK664" i="5"/>
  <c r="CJ664" i="5"/>
  <c r="CH664" i="5"/>
  <c r="CG664" i="5"/>
  <c r="CE664" i="5"/>
  <c r="CD664" i="5"/>
  <c r="CB667" i="5"/>
  <c r="CA667" i="5"/>
  <c r="BY667" i="5"/>
  <c r="BX667" i="5"/>
  <c r="BV667" i="5"/>
  <c r="BU667" i="5"/>
  <c r="CB666" i="5"/>
  <c r="CA666" i="5"/>
  <c r="BY666" i="5"/>
  <c r="BX666" i="5"/>
  <c r="BV666" i="5"/>
  <c r="BU666" i="5"/>
  <c r="CB665" i="5"/>
  <c r="CA665" i="5"/>
  <c r="BY665" i="5"/>
  <c r="BX665" i="5"/>
  <c r="BV665" i="5"/>
  <c r="BU665" i="5"/>
  <c r="CB664" i="5"/>
  <c r="CA664" i="5"/>
  <c r="BY664" i="5"/>
  <c r="BX664" i="5"/>
  <c r="BV664" i="5"/>
  <c r="BU664" i="5"/>
  <c r="BS667" i="5"/>
  <c r="BR667" i="5"/>
  <c r="BP667" i="5"/>
  <c r="BO667" i="5"/>
  <c r="BM667" i="5"/>
  <c r="BL667" i="5"/>
  <c r="BS666" i="5"/>
  <c r="BR666" i="5"/>
  <c r="BP666" i="5"/>
  <c r="BO666" i="5"/>
  <c r="BM666" i="5"/>
  <c r="BL666" i="5"/>
  <c r="BS665" i="5"/>
  <c r="BR665" i="5"/>
  <c r="BP665" i="5"/>
  <c r="BO665" i="5"/>
  <c r="BM665" i="5"/>
  <c r="BL665" i="5"/>
  <c r="BS664" i="5"/>
  <c r="BR664" i="5"/>
  <c r="BP664" i="5"/>
  <c r="BO664" i="5"/>
  <c r="BM664" i="5"/>
  <c r="BL664" i="5"/>
  <c r="BJ667" i="5"/>
  <c r="BI667" i="5"/>
  <c r="BG667" i="5"/>
  <c r="BF667" i="5"/>
  <c r="BD667" i="5"/>
  <c r="BC667" i="5"/>
  <c r="BJ666" i="5"/>
  <c r="BI666" i="5"/>
  <c r="BG666" i="5"/>
  <c r="BF666" i="5"/>
  <c r="BD666" i="5"/>
  <c r="BC666" i="5"/>
  <c r="BJ665" i="5"/>
  <c r="BI665" i="5"/>
  <c r="BG665" i="5"/>
  <c r="BF665" i="5"/>
  <c r="BD665" i="5"/>
  <c r="BC665" i="5"/>
  <c r="BJ664" i="5"/>
  <c r="BI664" i="5"/>
  <c r="BG664" i="5"/>
  <c r="BF664" i="5"/>
  <c r="BD664" i="5"/>
  <c r="BC664" i="5"/>
  <c r="BA667" i="5"/>
  <c r="AZ667" i="5"/>
  <c r="AX667" i="5"/>
  <c r="AW667" i="5"/>
  <c r="AU667" i="5"/>
  <c r="AT667" i="5"/>
  <c r="BA666" i="5"/>
  <c r="AZ666" i="5"/>
  <c r="AX666" i="5"/>
  <c r="AW666" i="5"/>
  <c r="AU666" i="5"/>
  <c r="AT666" i="5"/>
  <c r="BA665" i="5"/>
  <c r="AZ665" i="5"/>
  <c r="AX665" i="5"/>
  <c r="AW665" i="5"/>
  <c r="AU665" i="5"/>
  <c r="AT665" i="5"/>
  <c r="BA664" i="5"/>
  <c r="AZ664" i="5"/>
  <c r="AX664" i="5"/>
  <c r="AW664" i="5"/>
  <c r="AU664" i="5"/>
  <c r="AT664" i="5"/>
  <c r="AR667" i="5"/>
  <c r="AQ667" i="5"/>
  <c r="AO667" i="5"/>
  <c r="AN667" i="5"/>
  <c r="AL667" i="5"/>
  <c r="AK667" i="5"/>
  <c r="AR666" i="5"/>
  <c r="AQ666" i="5"/>
  <c r="AO666" i="5"/>
  <c r="AN666" i="5"/>
  <c r="AL666" i="5"/>
  <c r="AK666" i="5"/>
  <c r="AR665" i="5"/>
  <c r="AQ665" i="5"/>
  <c r="AO665" i="5"/>
  <c r="AN665" i="5"/>
  <c r="AL665" i="5"/>
  <c r="AK665" i="5"/>
  <c r="AR664" i="5"/>
  <c r="AQ664" i="5"/>
  <c r="AO664" i="5"/>
  <c r="AN664" i="5"/>
  <c r="AL664" i="5"/>
  <c r="AK664" i="5"/>
  <c r="AI667" i="5"/>
  <c r="AH667" i="5"/>
  <c r="AF667" i="5"/>
  <c r="AE667" i="5"/>
  <c r="AC667" i="5"/>
  <c r="AB667" i="5"/>
  <c r="AI666" i="5"/>
  <c r="AH666" i="5"/>
  <c r="AF666" i="5"/>
  <c r="AE666" i="5"/>
  <c r="AC666" i="5"/>
  <c r="AB666" i="5"/>
  <c r="AI665" i="5"/>
  <c r="AH665" i="5"/>
  <c r="AF665" i="5"/>
  <c r="AE665" i="5"/>
  <c r="AC665" i="5"/>
  <c r="AB665" i="5"/>
  <c r="AI664" i="5"/>
  <c r="AH664" i="5"/>
  <c r="AF664" i="5"/>
  <c r="AE664" i="5"/>
  <c r="AC664" i="5"/>
  <c r="AB664" i="5"/>
  <c r="Z667" i="5"/>
  <c r="Y667" i="5"/>
  <c r="Z666" i="5"/>
  <c r="Y666" i="5"/>
  <c r="Z665" i="5"/>
  <c r="Y665" i="5"/>
  <c r="Z664" i="5"/>
  <c r="Y664" i="5"/>
  <c r="W667" i="5"/>
  <c r="V667" i="5"/>
  <c r="W666" i="5"/>
  <c r="V666" i="5"/>
  <c r="W665" i="5"/>
  <c r="V665" i="5"/>
  <c r="W664" i="5"/>
  <c r="V664" i="5"/>
  <c r="T667" i="5"/>
  <c r="S667" i="5"/>
  <c r="T666" i="5"/>
  <c r="S666" i="5"/>
  <c r="T665" i="5"/>
  <c r="S665" i="5"/>
  <c r="T664" i="5"/>
  <c r="S664" i="5"/>
  <c r="K667" i="5"/>
  <c r="K666" i="5"/>
  <c r="J667" i="5"/>
  <c r="J666" i="5"/>
  <c r="K665" i="5"/>
  <c r="K664" i="5"/>
  <c r="J665" i="5"/>
  <c r="J664" i="5"/>
  <c r="K651" i="5"/>
  <c r="J651" i="5"/>
  <c r="K650" i="5"/>
  <c r="J650" i="5"/>
  <c r="J649" i="5"/>
  <c r="J648" i="5"/>
  <c r="CK604" i="5"/>
  <c r="CJ604" i="5"/>
  <c r="CH604" i="5"/>
  <c r="CG604" i="5"/>
  <c r="CE604" i="5"/>
  <c r="CD604" i="5"/>
  <c r="CB604" i="5"/>
  <c r="CA604" i="5"/>
  <c r="BY604" i="5"/>
  <c r="BX604" i="5"/>
  <c r="BV604" i="5"/>
  <c r="BU604" i="5"/>
  <c r="BS604" i="5"/>
  <c r="BR604" i="5"/>
  <c r="BP604" i="5"/>
  <c r="BO604" i="5"/>
  <c r="BM604" i="5"/>
  <c r="BL604" i="5"/>
  <c r="BJ604" i="5"/>
  <c r="BI604" i="5"/>
  <c r="BG604" i="5"/>
  <c r="BF604" i="5"/>
  <c r="BD604" i="5"/>
  <c r="BC604" i="5"/>
  <c r="BA604" i="5"/>
  <c r="AZ604" i="5"/>
  <c r="AX604" i="5"/>
  <c r="AW604" i="5"/>
  <c r="AU604" i="5"/>
  <c r="AT604" i="5"/>
  <c r="AR604" i="5"/>
  <c r="AQ604" i="5"/>
  <c r="AO604" i="5"/>
  <c r="AN604" i="5"/>
  <c r="AL604" i="5"/>
  <c r="AK604" i="5"/>
  <c r="AI604" i="5"/>
  <c r="AH604" i="5"/>
  <c r="AF604" i="5"/>
  <c r="AE604" i="5"/>
  <c r="AC604" i="5"/>
  <c r="AB604" i="5"/>
  <c r="Z604" i="5"/>
  <c r="Y604" i="5"/>
  <c r="W604" i="5"/>
  <c r="V604" i="5"/>
  <c r="T604" i="5"/>
  <c r="S604" i="5"/>
  <c r="J489" i="5"/>
  <c r="BP1345" i="5" l="1"/>
  <c r="BP1374" i="5" s="1"/>
  <c r="BP1373" i="5" s="1"/>
  <c r="BP1315" i="5"/>
  <c r="V1342" i="5"/>
  <c r="AB1342" i="5"/>
  <c r="AB1312" i="5"/>
  <c r="AQ1342" i="5"/>
  <c r="AQ1312" i="5"/>
  <c r="AT1342" i="5"/>
  <c r="AT1312" i="5"/>
  <c r="BI1342" i="5"/>
  <c r="BI1312" i="5"/>
  <c r="BL1342" i="5"/>
  <c r="BL1312" i="5"/>
  <c r="CA1342" i="5"/>
  <c r="CA1312" i="5"/>
  <c r="CD1342" i="5"/>
  <c r="CD1312" i="5"/>
  <c r="S1345" i="5"/>
  <c r="S1374" i="5" s="1"/>
  <c r="S1373" i="5" s="1"/>
  <c r="S1315" i="5"/>
  <c r="Y1345" i="5"/>
  <c r="Y1374" i="5" s="1"/>
  <c r="Y1373" i="5" s="1"/>
  <c r="Y1315" i="5"/>
  <c r="AH1345" i="5"/>
  <c r="AH1374" i="5" s="1"/>
  <c r="AH1373" i="5" s="1"/>
  <c r="AH1315" i="5"/>
  <c r="AK1345" i="5"/>
  <c r="AK1374" i="5" s="1"/>
  <c r="AK1373" i="5" s="1"/>
  <c r="AK1315" i="5"/>
  <c r="AZ1345" i="5"/>
  <c r="AZ1374" i="5" s="1"/>
  <c r="AZ1373" i="5" s="1"/>
  <c r="AZ1315" i="5"/>
  <c r="BC1345" i="5"/>
  <c r="BC1374" i="5" s="1"/>
  <c r="BC1373" i="5" s="1"/>
  <c r="BC1315" i="5"/>
  <c r="BR1345" i="5"/>
  <c r="BR1374" i="5" s="1"/>
  <c r="BR1373" i="5" s="1"/>
  <c r="BR1315" i="5"/>
  <c r="BU1345" i="5"/>
  <c r="BU1374" i="5" s="1"/>
  <c r="BU1373" i="5" s="1"/>
  <c r="BU1315" i="5"/>
  <c r="CJ1345" i="5"/>
  <c r="CJ1374" i="5" s="1"/>
  <c r="CJ1373" i="5" s="1"/>
  <c r="CJ1315" i="5"/>
  <c r="CH1345" i="5"/>
  <c r="CH1374" i="5" s="1"/>
  <c r="CH1373" i="5" s="1"/>
  <c r="CH1315" i="5"/>
  <c r="W1342" i="5"/>
  <c r="W1312" i="5"/>
  <c r="AC1342" i="5"/>
  <c r="AC1312" i="5"/>
  <c r="AR1342" i="5"/>
  <c r="AR1371" i="5" s="1"/>
  <c r="AR1312" i="5"/>
  <c r="AU1342" i="5"/>
  <c r="AU1312" i="5"/>
  <c r="BJ1342" i="5"/>
  <c r="BJ1371" i="5" s="1"/>
  <c r="BJ1312" i="5"/>
  <c r="BM1342" i="5"/>
  <c r="BM1312" i="5"/>
  <c r="CB1342" i="5"/>
  <c r="CB1312" i="5"/>
  <c r="CE1342" i="5"/>
  <c r="CE1312" i="5"/>
  <c r="T1345" i="5"/>
  <c r="T1374" i="5" s="1"/>
  <c r="T1373" i="5" s="1"/>
  <c r="T1315" i="5"/>
  <c r="Z1345" i="5"/>
  <c r="Z1374" i="5" s="1"/>
  <c r="Z1373" i="5" s="1"/>
  <c r="Z1315" i="5"/>
  <c r="AI1345" i="5"/>
  <c r="AI1374" i="5" s="1"/>
  <c r="AI1373" i="5" s="1"/>
  <c r="AI1315" i="5"/>
  <c r="AL1345" i="5"/>
  <c r="AL1374" i="5" s="1"/>
  <c r="AL1373" i="5" s="1"/>
  <c r="AL1315" i="5"/>
  <c r="BA1345" i="5"/>
  <c r="BA1374" i="5" s="1"/>
  <c r="BA1373" i="5" s="1"/>
  <c r="BA1315" i="5"/>
  <c r="BD1345" i="5"/>
  <c r="BD1374" i="5" s="1"/>
  <c r="BD1373" i="5" s="1"/>
  <c r="BD1315" i="5"/>
  <c r="BS1345" i="5"/>
  <c r="BS1374" i="5" s="1"/>
  <c r="BS1373" i="5" s="1"/>
  <c r="BS1315" i="5"/>
  <c r="BV1345" i="5"/>
  <c r="BV1374" i="5" s="1"/>
  <c r="BV1373" i="5" s="1"/>
  <c r="BV1315" i="5"/>
  <c r="CK1345" i="5"/>
  <c r="CK1374" i="5" s="1"/>
  <c r="CK1373" i="5" s="1"/>
  <c r="CK1315" i="5"/>
  <c r="AO1342" i="5"/>
  <c r="AO1312" i="5"/>
  <c r="AX1345" i="5"/>
  <c r="AX1374" i="5" s="1"/>
  <c r="AX1373" i="5" s="1"/>
  <c r="AX1315" i="5"/>
  <c r="K1308" i="5"/>
  <c r="K1342" i="5"/>
  <c r="AE1342" i="5"/>
  <c r="AE1371" i="5" s="1"/>
  <c r="AE1370" i="5" s="1"/>
  <c r="AE1312" i="5"/>
  <c r="AW1342" i="5"/>
  <c r="AW1312" i="5"/>
  <c r="BO1342" i="5"/>
  <c r="BO1312" i="5"/>
  <c r="CG1342" i="5"/>
  <c r="CG1312" i="5"/>
  <c r="AN1345" i="5"/>
  <c r="AN1374" i="5" s="1"/>
  <c r="AN1373" i="5" s="1"/>
  <c r="AN1315" i="5"/>
  <c r="BF1345" i="5"/>
  <c r="BF1374" i="5" s="1"/>
  <c r="BF1373" i="5" s="1"/>
  <c r="BF1315" i="5"/>
  <c r="BX1345" i="5"/>
  <c r="BX1374" i="5" s="1"/>
  <c r="BX1373" i="5" s="1"/>
  <c r="BX1315" i="5"/>
  <c r="BY1342" i="5"/>
  <c r="BY1312" i="5"/>
  <c r="K1314" i="5"/>
  <c r="K1309" i="5" s="1"/>
  <c r="AF1342" i="5"/>
  <c r="AF1312" i="5"/>
  <c r="AX1342" i="5"/>
  <c r="AX1312" i="5"/>
  <c r="BP1342" i="5"/>
  <c r="BP1312" i="5"/>
  <c r="CH1342" i="5"/>
  <c r="CH1312" i="5"/>
  <c r="AO1345" i="5"/>
  <c r="AO1374" i="5" s="1"/>
  <c r="AO1373" i="5" s="1"/>
  <c r="AO1315" i="5"/>
  <c r="BG1345" i="5"/>
  <c r="BG1374" i="5" s="1"/>
  <c r="BG1373" i="5" s="1"/>
  <c r="BG1315" i="5"/>
  <c r="BY1345" i="5"/>
  <c r="BY1374" i="5" s="1"/>
  <c r="BY1373" i="5" s="1"/>
  <c r="BY1315" i="5"/>
  <c r="S1342" i="5"/>
  <c r="S1312" i="5"/>
  <c r="Y1342" i="5"/>
  <c r="Y1312" i="5"/>
  <c r="AH1342" i="5"/>
  <c r="AH1312" i="5"/>
  <c r="AK1342" i="5"/>
  <c r="AK1312" i="5"/>
  <c r="AN1314" i="5"/>
  <c r="AN1312" i="5" s="1"/>
  <c r="AZ1342" i="5"/>
  <c r="AZ1312" i="5"/>
  <c r="BC1342" i="5"/>
  <c r="BC1312" i="5"/>
  <c r="BR1342" i="5"/>
  <c r="BR1312" i="5"/>
  <c r="BU1342" i="5"/>
  <c r="BU1312" i="5"/>
  <c r="CJ1342" i="5"/>
  <c r="CJ1312" i="5"/>
  <c r="J1373" i="5"/>
  <c r="V1345" i="5"/>
  <c r="V1374" i="5" s="1"/>
  <c r="V1373" i="5" s="1"/>
  <c r="V1315" i="5"/>
  <c r="AB1345" i="5"/>
  <c r="AB1374" i="5" s="1"/>
  <c r="AB1373" i="5" s="1"/>
  <c r="AB1315" i="5"/>
  <c r="AQ1345" i="5"/>
  <c r="AQ1374" i="5" s="1"/>
  <c r="AQ1373" i="5" s="1"/>
  <c r="AQ1315" i="5"/>
  <c r="AT1345" i="5"/>
  <c r="AT1374" i="5" s="1"/>
  <c r="AT1373" i="5" s="1"/>
  <c r="AT1315" i="5"/>
  <c r="BI1345" i="5"/>
  <c r="BI1374" i="5" s="1"/>
  <c r="BI1373" i="5" s="1"/>
  <c r="BI1315" i="5"/>
  <c r="BL1345" i="5"/>
  <c r="BL1374" i="5" s="1"/>
  <c r="BL1373" i="5" s="1"/>
  <c r="BL1315" i="5"/>
  <c r="CA1345" i="5"/>
  <c r="CA1374" i="5" s="1"/>
  <c r="CA1373" i="5" s="1"/>
  <c r="CA1315" i="5"/>
  <c r="CD1345" i="5"/>
  <c r="CD1374" i="5" s="1"/>
  <c r="CD1373" i="5" s="1"/>
  <c r="CD1315" i="5"/>
  <c r="AF1345" i="5"/>
  <c r="AF1374" i="5" s="1"/>
  <c r="AF1373" i="5" s="1"/>
  <c r="AF1315" i="5"/>
  <c r="T1342" i="5"/>
  <c r="T1312" i="5"/>
  <c r="Z1342" i="5"/>
  <c r="Z1371" i="5" s="1"/>
  <c r="Z1370" i="5" s="1"/>
  <c r="Z1312" i="5"/>
  <c r="AI1342" i="5"/>
  <c r="AI1312" i="5"/>
  <c r="AL1342" i="5"/>
  <c r="AL1312" i="5"/>
  <c r="BA1342" i="5"/>
  <c r="BA1312" i="5"/>
  <c r="BD1342" i="5"/>
  <c r="BD1371" i="5" s="1"/>
  <c r="BD1370" i="5" s="1"/>
  <c r="BD1312" i="5"/>
  <c r="BS1342" i="5"/>
  <c r="BS1312" i="5"/>
  <c r="BV1342" i="5"/>
  <c r="BV1312" i="5"/>
  <c r="CK1342" i="5"/>
  <c r="CK1312" i="5"/>
  <c r="W1345" i="5"/>
  <c r="W1374" i="5" s="1"/>
  <c r="W1373" i="5" s="1"/>
  <c r="W1315" i="5"/>
  <c r="AC1345" i="5"/>
  <c r="AC1374" i="5" s="1"/>
  <c r="AC1373" i="5" s="1"/>
  <c r="AC1315" i="5"/>
  <c r="AR1345" i="5"/>
  <c r="AR1374" i="5" s="1"/>
  <c r="AR1373" i="5" s="1"/>
  <c r="AR1315" i="5"/>
  <c r="AU1345" i="5"/>
  <c r="AU1374" i="5" s="1"/>
  <c r="AU1373" i="5" s="1"/>
  <c r="AU1315" i="5"/>
  <c r="BJ1345" i="5"/>
  <c r="BJ1374" i="5" s="1"/>
  <c r="BJ1373" i="5" s="1"/>
  <c r="BJ1315" i="5"/>
  <c r="BM1345" i="5"/>
  <c r="BM1374" i="5" s="1"/>
  <c r="BM1373" i="5" s="1"/>
  <c r="BM1315" i="5"/>
  <c r="CB1345" i="5"/>
  <c r="CB1374" i="5" s="1"/>
  <c r="CB1373" i="5" s="1"/>
  <c r="CB1315" i="5"/>
  <c r="CE1345" i="5"/>
  <c r="CE1374" i="5" s="1"/>
  <c r="CE1373" i="5" s="1"/>
  <c r="CE1315" i="5"/>
  <c r="BG1342" i="5"/>
  <c r="BG1371" i="5" s="1"/>
  <c r="BG1370" i="5" s="1"/>
  <c r="BG1312" i="5"/>
  <c r="AN1342" i="5"/>
  <c r="AN1371" i="5" s="1"/>
  <c r="BF1342" i="5"/>
  <c r="BF1341" i="5" s="1"/>
  <c r="BF1312" i="5"/>
  <c r="BX1342" i="5"/>
  <c r="BX1341" i="5" s="1"/>
  <c r="BX1312" i="5"/>
  <c r="AE1345" i="5"/>
  <c r="AE1374" i="5" s="1"/>
  <c r="AE1373" i="5" s="1"/>
  <c r="AE1315" i="5"/>
  <c r="AW1345" i="5"/>
  <c r="AW1374" i="5" s="1"/>
  <c r="AW1373" i="5" s="1"/>
  <c r="AW1315" i="5"/>
  <c r="BO1345" i="5"/>
  <c r="BO1374" i="5" s="1"/>
  <c r="BO1373" i="5" s="1"/>
  <c r="BO1315" i="5"/>
  <c r="CG1345" i="5"/>
  <c r="CG1374" i="5" s="1"/>
  <c r="CG1373" i="5" s="1"/>
  <c r="CG1315" i="5"/>
  <c r="V1314" i="5"/>
  <c r="V1343" i="5" s="1"/>
  <c r="AW1371" i="5"/>
  <c r="AW1370" i="5" s="1"/>
  <c r="AW1341" i="5"/>
  <c r="BF1371" i="5"/>
  <c r="BF1370" i="5" s="1"/>
  <c r="BO1371" i="5"/>
  <c r="BO1370" i="5" s="1"/>
  <c r="BO1341" i="5"/>
  <c r="BX1371" i="5"/>
  <c r="BX1370" i="5" s="1"/>
  <c r="S1371" i="5"/>
  <c r="S1370" i="5" s="1"/>
  <c r="S1341" i="5"/>
  <c r="V1371" i="5"/>
  <c r="Y1371" i="5"/>
  <c r="Y1370" i="5" s="1"/>
  <c r="Y1341" i="5"/>
  <c r="AB1371" i="5"/>
  <c r="AB1370" i="5" s="1"/>
  <c r="AB1341" i="5"/>
  <c r="AH1371" i="5"/>
  <c r="AH1370" i="5" s="1"/>
  <c r="AH1341" i="5"/>
  <c r="AK1371" i="5"/>
  <c r="AK1370" i="5" s="1"/>
  <c r="AK1341" i="5"/>
  <c r="AQ1371" i="5"/>
  <c r="AQ1370" i="5" s="1"/>
  <c r="AQ1341" i="5"/>
  <c r="AT1371" i="5"/>
  <c r="AT1370" i="5" s="1"/>
  <c r="AT1341" i="5"/>
  <c r="AZ1371" i="5"/>
  <c r="AZ1370" i="5" s="1"/>
  <c r="AZ1341" i="5"/>
  <c r="BC1371" i="5"/>
  <c r="BC1370" i="5" s="1"/>
  <c r="BC1341" i="5"/>
  <c r="BI1371" i="5"/>
  <c r="BI1370" i="5" s="1"/>
  <c r="BI1341" i="5"/>
  <c r="BL1371" i="5"/>
  <c r="BL1370" i="5" s="1"/>
  <c r="BL1341" i="5"/>
  <c r="BR1371" i="5"/>
  <c r="BR1370" i="5" s="1"/>
  <c r="BR1341" i="5"/>
  <c r="BU1371" i="5"/>
  <c r="BU1370" i="5" s="1"/>
  <c r="BU1341" i="5"/>
  <c r="CA1371" i="5"/>
  <c r="CA1370" i="5" s="1"/>
  <c r="CA1341" i="5"/>
  <c r="CD1371" i="5"/>
  <c r="CD1370" i="5" s="1"/>
  <c r="CD1341" i="5"/>
  <c r="CJ1371" i="5"/>
  <c r="CJ1370" i="5" s="1"/>
  <c r="CJ1341" i="5"/>
  <c r="CG1371" i="5"/>
  <c r="CG1370" i="5" s="1"/>
  <c r="CG1341" i="5"/>
  <c r="CK1371" i="5"/>
  <c r="CK1370" i="5" s="1"/>
  <c r="CK1341" i="5"/>
  <c r="J1343" i="5"/>
  <c r="J1372" i="5" s="1"/>
  <c r="J1309" i="5"/>
  <c r="K1373" i="5"/>
  <c r="CH1371" i="5"/>
  <c r="CH1370" i="5" s="1"/>
  <c r="CH1341" i="5"/>
  <c r="AL1371" i="5"/>
  <c r="AL1370" i="5" s="1"/>
  <c r="AL1341" i="5"/>
  <c r="AI1371" i="5"/>
  <c r="AI1370" i="5" s="1"/>
  <c r="AI1341" i="5"/>
  <c r="CE1371" i="5"/>
  <c r="CE1370" i="5" s="1"/>
  <c r="CE1341" i="5"/>
  <c r="BM1371" i="5"/>
  <c r="BM1370" i="5" s="1"/>
  <c r="BM1341" i="5"/>
  <c r="BY1371" i="5"/>
  <c r="BY1370" i="5" s="1"/>
  <c r="BY1341" i="5"/>
  <c r="BV1371" i="5"/>
  <c r="BV1370" i="5" s="1"/>
  <c r="BV1341" i="5"/>
  <c r="BP1371" i="5"/>
  <c r="BP1370" i="5" s="1"/>
  <c r="BP1341" i="5"/>
  <c r="AR1372" i="5"/>
  <c r="AR1341" i="5"/>
  <c r="T1371" i="5"/>
  <c r="T1370" i="5" s="1"/>
  <c r="T1341" i="5"/>
  <c r="BS1371" i="5"/>
  <c r="BS1370" i="5" s="1"/>
  <c r="BS1341" i="5"/>
  <c r="W1371" i="5"/>
  <c r="W1370" i="5" s="1"/>
  <c r="W1341" i="5"/>
  <c r="BA1371" i="5"/>
  <c r="BA1370" i="5" s="1"/>
  <c r="BA1341" i="5"/>
  <c r="AX1371" i="5"/>
  <c r="AX1370" i="5" s="1"/>
  <c r="AX1341" i="5"/>
  <c r="AO1371" i="5"/>
  <c r="AO1370" i="5" s="1"/>
  <c r="AO1341" i="5"/>
  <c r="AC1371" i="5"/>
  <c r="AC1370" i="5" s="1"/>
  <c r="AC1341" i="5"/>
  <c r="AU1371" i="5"/>
  <c r="AU1370" i="5" s="1"/>
  <c r="AU1341" i="5"/>
  <c r="BJ1372" i="5"/>
  <c r="BJ1341" i="5"/>
  <c r="AF1371" i="5"/>
  <c r="AF1370" i="5" s="1"/>
  <c r="AF1341" i="5"/>
  <c r="CB1371" i="5"/>
  <c r="CB1370" i="5" s="1"/>
  <c r="CB1341" i="5"/>
  <c r="S668" i="5"/>
  <c r="T668" i="5"/>
  <c r="K1371" i="5"/>
  <c r="AN1343" i="5" l="1"/>
  <c r="K1343" i="5"/>
  <c r="K1372" i="5" s="1"/>
  <c r="BJ1370" i="5"/>
  <c r="BG1341" i="5"/>
  <c r="BD1341" i="5"/>
  <c r="V1312" i="5"/>
  <c r="AR1370" i="5"/>
  <c r="Z1341" i="5"/>
  <c r="AE1341" i="5"/>
  <c r="K1312" i="5"/>
  <c r="V1372" i="5"/>
  <c r="V1370" i="5" s="1"/>
  <c r="V1341" i="5"/>
  <c r="R1121" i="5"/>
  <c r="Q1121" i="5"/>
  <c r="R1116" i="5"/>
  <c r="R1115" i="5" s="1"/>
  <c r="Q1116" i="5"/>
  <c r="Q1115" i="5" s="1"/>
  <c r="CK1115" i="5"/>
  <c r="CJ1115" i="5"/>
  <c r="CH1115" i="5"/>
  <c r="CG1115" i="5"/>
  <c r="CE1115" i="5"/>
  <c r="CD1115" i="5"/>
  <c r="CB1115" i="5"/>
  <c r="CA1115" i="5"/>
  <c r="BY1115" i="5"/>
  <c r="BX1115" i="5"/>
  <c r="BV1115" i="5"/>
  <c r="BU1115" i="5"/>
  <c r="BS1115" i="5"/>
  <c r="BR1115" i="5"/>
  <c r="BP1115" i="5"/>
  <c r="BO1115" i="5"/>
  <c r="BM1115" i="5"/>
  <c r="BL1115" i="5"/>
  <c r="BJ1115" i="5"/>
  <c r="BI1115" i="5"/>
  <c r="BG1115" i="5"/>
  <c r="BF1115" i="5"/>
  <c r="BD1115" i="5"/>
  <c r="BC1115" i="5"/>
  <c r="BA1115" i="5"/>
  <c r="AZ1115" i="5"/>
  <c r="AX1115" i="5"/>
  <c r="AW1115" i="5"/>
  <c r="AU1115" i="5"/>
  <c r="AT1115" i="5"/>
  <c r="AR1115" i="5"/>
  <c r="AQ1115" i="5"/>
  <c r="AO1115" i="5"/>
  <c r="AN1115" i="5"/>
  <c r="AL1115" i="5"/>
  <c r="AK1115" i="5"/>
  <c r="AI1115" i="5"/>
  <c r="AH1115" i="5"/>
  <c r="AF1115" i="5"/>
  <c r="AE1115" i="5"/>
  <c r="AC1115" i="5"/>
  <c r="AB1115" i="5"/>
  <c r="Z1115" i="5"/>
  <c r="Y1115" i="5"/>
  <c r="W1115" i="5"/>
  <c r="V1115" i="5"/>
  <c r="T1115" i="5"/>
  <c r="S1115" i="5"/>
  <c r="J1115" i="5"/>
  <c r="I1115" i="5"/>
  <c r="K1115" i="5"/>
  <c r="K1099" i="5" s="1"/>
  <c r="AN1372" i="5" l="1"/>
  <c r="AN1370" i="5" s="1"/>
  <c r="AN1341" i="5"/>
  <c r="AB1098" i="5"/>
  <c r="AB1100" i="5"/>
  <c r="AB1099" i="5"/>
  <c r="AB1097" i="5"/>
  <c r="AT1098" i="5"/>
  <c r="AT1100" i="5"/>
  <c r="AT1099" i="5"/>
  <c r="AT1097" i="5"/>
  <c r="BR1099" i="5"/>
  <c r="BR1097" i="5"/>
  <c r="BR1100" i="5"/>
  <c r="BR1098" i="5"/>
  <c r="S1098" i="5"/>
  <c r="S1100" i="5"/>
  <c r="S1099" i="5"/>
  <c r="S1097" i="5"/>
  <c r="Y1098" i="5"/>
  <c r="Y1100" i="5"/>
  <c r="Y1099" i="5"/>
  <c r="Y1097" i="5"/>
  <c r="AE1099" i="5"/>
  <c r="AE1097" i="5"/>
  <c r="AE1100" i="5"/>
  <c r="AE1098" i="5"/>
  <c r="AK1098" i="5"/>
  <c r="AK1100" i="5"/>
  <c r="AK1099" i="5"/>
  <c r="AK1097" i="5"/>
  <c r="AQ1100" i="5"/>
  <c r="AQ1099" i="5"/>
  <c r="AQ1097" i="5"/>
  <c r="AQ1098" i="5"/>
  <c r="AW1099" i="5"/>
  <c r="AW1097" i="5"/>
  <c r="AW1100" i="5"/>
  <c r="AW1098" i="5"/>
  <c r="BO1100" i="5"/>
  <c r="BO1098" i="5"/>
  <c r="BO1099" i="5"/>
  <c r="BO1097" i="5"/>
  <c r="BU1099" i="5"/>
  <c r="BU1097" i="5"/>
  <c r="BU1100" i="5"/>
  <c r="BU1098" i="5"/>
  <c r="CA1099" i="5"/>
  <c r="CA1097" i="5"/>
  <c r="CA1100" i="5"/>
  <c r="CA1098" i="5"/>
  <c r="CG1100" i="5"/>
  <c r="CG1099" i="5"/>
  <c r="CG1098" i="5"/>
  <c r="CG1097" i="5"/>
  <c r="AN1099" i="5"/>
  <c r="AN1097" i="5"/>
  <c r="AN1100" i="5"/>
  <c r="AN1098" i="5"/>
  <c r="T1100" i="5"/>
  <c r="T1098" i="5"/>
  <c r="T1099" i="5"/>
  <c r="T1097" i="5"/>
  <c r="Z1100" i="5"/>
  <c r="Z1098" i="5"/>
  <c r="Z1099" i="5"/>
  <c r="Z1097" i="5"/>
  <c r="AF1099" i="5"/>
  <c r="AF1097" i="5"/>
  <c r="AF1100" i="5"/>
  <c r="AF1098" i="5"/>
  <c r="AL1100" i="5"/>
  <c r="AL1098" i="5"/>
  <c r="AL1099" i="5"/>
  <c r="AL1097" i="5"/>
  <c r="AR1100" i="5"/>
  <c r="AR1098" i="5"/>
  <c r="AR1099" i="5"/>
  <c r="AR1097" i="5"/>
  <c r="AX1099" i="5"/>
  <c r="AX1097" i="5"/>
  <c r="AX1100" i="5"/>
  <c r="AX1098" i="5"/>
  <c r="BD1098" i="5"/>
  <c r="BD1099" i="5"/>
  <c r="BD1100" i="5"/>
  <c r="BD1097" i="5"/>
  <c r="BJ1099" i="5"/>
  <c r="BJ1098" i="5"/>
  <c r="BJ1097" i="5"/>
  <c r="BJ1100" i="5"/>
  <c r="BP1099" i="5"/>
  <c r="BP1097" i="5"/>
  <c r="BP1100" i="5"/>
  <c r="BP1098" i="5"/>
  <c r="BV1100" i="5"/>
  <c r="BV1098" i="5"/>
  <c r="BV1099" i="5"/>
  <c r="BV1097" i="5"/>
  <c r="CB1099" i="5"/>
  <c r="CB1097" i="5"/>
  <c r="CB1100" i="5"/>
  <c r="CB1098" i="5"/>
  <c r="CH1099" i="5"/>
  <c r="CH1097" i="5"/>
  <c r="CH1098" i="5"/>
  <c r="CH1100" i="5"/>
  <c r="V1098" i="5"/>
  <c r="V1099" i="5"/>
  <c r="V1097" i="5"/>
  <c r="V1100" i="5"/>
  <c r="AH1100" i="5"/>
  <c r="AH1099" i="5"/>
  <c r="AH1097" i="5"/>
  <c r="AH1098" i="5"/>
  <c r="AZ1100" i="5"/>
  <c r="AZ1099" i="5"/>
  <c r="AZ1097" i="5"/>
  <c r="AZ1098" i="5"/>
  <c r="BL1099" i="5"/>
  <c r="BL1097" i="5"/>
  <c r="BL1100" i="5"/>
  <c r="BL1098" i="5"/>
  <c r="BX1100" i="5"/>
  <c r="BX1098" i="5"/>
  <c r="BX1099" i="5"/>
  <c r="BX1097" i="5"/>
  <c r="CJ1098" i="5"/>
  <c r="CJ1097" i="5"/>
  <c r="CJ1100" i="5"/>
  <c r="CJ1099" i="5"/>
  <c r="W1100" i="5"/>
  <c r="W1098" i="5"/>
  <c r="W1099" i="5"/>
  <c r="W1097" i="5"/>
  <c r="AC1100" i="5"/>
  <c r="AC1098" i="5"/>
  <c r="AC1099" i="5"/>
  <c r="AC1097" i="5"/>
  <c r="AI1100" i="5"/>
  <c r="AI1098" i="5"/>
  <c r="AI1099" i="5"/>
  <c r="AI1097" i="5"/>
  <c r="AO1099" i="5"/>
  <c r="AO1097" i="5"/>
  <c r="AO1100" i="5"/>
  <c r="AO1098" i="5"/>
  <c r="AU1100" i="5"/>
  <c r="AU1098" i="5"/>
  <c r="AU1099" i="5"/>
  <c r="AU1097" i="5"/>
  <c r="BA1100" i="5"/>
  <c r="BA1098" i="5"/>
  <c r="BA1099" i="5"/>
  <c r="BA1097" i="5"/>
  <c r="BG1099" i="5"/>
  <c r="BG1100" i="5"/>
  <c r="BG1097" i="5"/>
  <c r="BG1098" i="5"/>
  <c r="BM1098" i="5"/>
  <c r="BM1099" i="5"/>
  <c r="BM1097" i="5"/>
  <c r="BM1100" i="5"/>
  <c r="BS1100" i="5"/>
  <c r="BS1098" i="5"/>
  <c r="BS1099" i="5"/>
  <c r="BS1097" i="5"/>
  <c r="BY1099" i="5"/>
  <c r="BY1097" i="5"/>
  <c r="BY1100" i="5"/>
  <c r="BY1098" i="5"/>
  <c r="CE1097" i="5"/>
  <c r="CE1099" i="5"/>
  <c r="CE1100" i="5"/>
  <c r="CE1098" i="5"/>
  <c r="CK1097" i="5"/>
  <c r="CK1099" i="5"/>
  <c r="CK1098" i="5"/>
  <c r="CK1100" i="5"/>
  <c r="CD1099" i="5"/>
  <c r="CD1097" i="5"/>
  <c r="CD1100" i="5"/>
  <c r="CD1098" i="5"/>
  <c r="BI1098" i="5"/>
  <c r="BI1097" i="5"/>
  <c r="BI1100" i="5"/>
  <c r="BI1099" i="5"/>
  <c r="BF1100" i="5"/>
  <c r="BF1099" i="5"/>
  <c r="BF1098" i="5"/>
  <c r="BF1097" i="5"/>
  <c r="BC1099" i="5"/>
  <c r="BC1097" i="5"/>
  <c r="BC1098" i="5"/>
  <c r="BC1100" i="5"/>
  <c r="CK1102" i="5" l="1"/>
  <c r="CJ1102" i="5"/>
  <c r="CH1102" i="5"/>
  <c r="CG1102" i="5"/>
  <c r="CE1102" i="5"/>
  <c r="CD1102" i="5"/>
  <c r="CB1102" i="5"/>
  <c r="CA1102" i="5"/>
  <c r="BY1102" i="5"/>
  <c r="BX1102" i="5"/>
  <c r="BV1102" i="5"/>
  <c r="BU1102" i="5"/>
  <c r="BS1102" i="5"/>
  <c r="BR1102" i="5"/>
  <c r="BP1102" i="5"/>
  <c r="BO1102" i="5"/>
  <c r="BM1102" i="5"/>
  <c r="BL1102" i="5"/>
  <c r="BJ1102" i="5"/>
  <c r="BI1102" i="5"/>
  <c r="BG1102" i="5"/>
  <c r="BF1102" i="5"/>
  <c r="BD1102" i="5"/>
  <c r="BC1102" i="5"/>
  <c r="BA1102" i="5"/>
  <c r="AZ1102" i="5"/>
  <c r="AX1102" i="5"/>
  <c r="AW1102" i="5"/>
  <c r="AU1102" i="5"/>
  <c r="AT1102" i="5"/>
  <c r="AR1102" i="5"/>
  <c r="AQ1102" i="5"/>
  <c r="AO1102" i="5"/>
  <c r="AN1102" i="5"/>
  <c r="AL1102" i="5"/>
  <c r="AK1102" i="5"/>
  <c r="AI1102" i="5"/>
  <c r="AH1102" i="5"/>
  <c r="AF1102" i="5"/>
  <c r="AE1102" i="5"/>
  <c r="AC1102" i="5"/>
  <c r="AB1102" i="5"/>
  <c r="Z1102" i="5"/>
  <c r="Y1102" i="5"/>
  <c r="W1102" i="5"/>
  <c r="V1102" i="5"/>
  <c r="T1102" i="5"/>
  <c r="S1102" i="5"/>
  <c r="R1103" i="5"/>
  <c r="Q1103" i="5"/>
  <c r="Q1102" i="5" s="1"/>
  <c r="I1102" i="5"/>
  <c r="K1102" i="5"/>
  <c r="K1092" i="5" s="1"/>
  <c r="R1102" i="5" l="1"/>
  <c r="AN1094" i="5"/>
  <c r="AN1092" i="5"/>
  <c r="AN1095" i="5"/>
  <c r="AN1093" i="5"/>
  <c r="BF1094" i="5"/>
  <c r="BF1092" i="5"/>
  <c r="BF1095" i="5"/>
  <c r="BF1093" i="5"/>
  <c r="BR1095" i="5"/>
  <c r="BR1093" i="5"/>
  <c r="BR1094" i="5"/>
  <c r="BR1092" i="5"/>
  <c r="BX1092" i="5"/>
  <c r="BX1094" i="5"/>
  <c r="BX1095" i="5"/>
  <c r="BX1093" i="5"/>
  <c r="CJ1095" i="5"/>
  <c r="CJ1093" i="5"/>
  <c r="CJ1094" i="5"/>
  <c r="CJ1092" i="5"/>
  <c r="K1094" i="5"/>
  <c r="K1093" i="5"/>
  <c r="Y1093" i="5"/>
  <c r="Y1095" i="5"/>
  <c r="Y1094" i="5"/>
  <c r="Y1092" i="5"/>
  <c r="AK1095" i="5"/>
  <c r="AK1094" i="5"/>
  <c r="AK1092" i="5"/>
  <c r="AK1093" i="5"/>
  <c r="AW1092" i="5"/>
  <c r="AW1095" i="5"/>
  <c r="AW1093" i="5"/>
  <c r="AW1094" i="5"/>
  <c r="BC1095" i="5"/>
  <c r="BC1093" i="5"/>
  <c r="BC1094" i="5"/>
  <c r="BC1092" i="5"/>
  <c r="BI1094" i="5"/>
  <c r="BI1092" i="5"/>
  <c r="BI1095" i="5"/>
  <c r="BI1093" i="5"/>
  <c r="BO1094" i="5"/>
  <c r="BO1092" i="5"/>
  <c r="BO1095" i="5"/>
  <c r="BO1093" i="5"/>
  <c r="BU1095" i="5"/>
  <c r="BU1094" i="5"/>
  <c r="BU1092" i="5"/>
  <c r="BU1093" i="5"/>
  <c r="CA1093" i="5"/>
  <c r="CA1095" i="5"/>
  <c r="CA1094" i="5"/>
  <c r="CA1092" i="5"/>
  <c r="CG1095" i="5"/>
  <c r="CG1093" i="5"/>
  <c r="CG1094" i="5"/>
  <c r="CG1092" i="5"/>
  <c r="V1093" i="5"/>
  <c r="V1094" i="5"/>
  <c r="V1092" i="5"/>
  <c r="V1095" i="5"/>
  <c r="AB1095" i="5"/>
  <c r="AB1093" i="5"/>
  <c r="AB1094" i="5"/>
  <c r="AB1092" i="5"/>
  <c r="AT1095" i="5"/>
  <c r="AT1093" i="5"/>
  <c r="AT1094" i="5"/>
  <c r="AT1092" i="5"/>
  <c r="AZ1095" i="5"/>
  <c r="AZ1093" i="5"/>
  <c r="AZ1094" i="5"/>
  <c r="AZ1092" i="5"/>
  <c r="BL1093" i="5"/>
  <c r="BL1094" i="5"/>
  <c r="BL1092" i="5"/>
  <c r="BL1095" i="5"/>
  <c r="CD1095" i="5"/>
  <c r="CD1093" i="5"/>
  <c r="CD1094" i="5"/>
  <c r="CD1092" i="5"/>
  <c r="S1095" i="5"/>
  <c r="S1093" i="5"/>
  <c r="S1094" i="5"/>
  <c r="S1092" i="5"/>
  <c r="AE1092" i="5"/>
  <c r="AE1094" i="5"/>
  <c r="AE1095" i="5"/>
  <c r="AE1093" i="5"/>
  <c r="AQ1093" i="5"/>
  <c r="AQ1094" i="5"/>
  <c r="AQ1092" i="5"/>
  <c r="AQ1095" i="5"/>
  <c r="T1095" i="5"/>
  <c r="T1093" i="5"/>
  <c r="T1094" i="5"/>
  <c r="T1092" i="5"/>
  <c r="Z1095" i="5"/>
  <c r="Z1093" i="5"/>
  <c r="Z1094" i="5"/>
  <c r="Z1092" i="5"/>
  <c r="AF1094" i="5"/>
  <c r="AF1092" i="5"/>
  <c r="AF1095" i="5"/>
  <c r="AF1093" i="5"/>
  <c r="AL1095" i="5"/>
  <c r="AL1093" i="5"/>
  <c r="AL1094" i="5"/>
  <c r="AL1092" i="5"/>
  <c r="AR1095" i="5"/>
  <c r="AR1093" i="5"/>
  <c r="AR1094" i="5"/>
  <c r="AR1092" i="5"/>
  <c r="AX1094" i="5"/>
  <c r="AX1092" i="5"/>
  <c r="AX1095" i="5"/>
  <c r="AX1093" i="5"/>
  <c r="BD1095" i="5"/>
  <c r="BD1093" i="5"/>
  <c r="BD1094" i="5"/>
  <c r="BD1092" i="5"/>
  <c r="BJ1095" i="5"/>
  <c r="BJ1093" i="5"/>
  <c r="BJ1094" i="5"/>
  <c r="BJ1092" i="5"/>
  <c r="BP1094" i="5"/>
  <c r="BP1092" i="5"/>
  <c r="BP1095" i="5"/>
  <c r="BP1093" i="5"/>
  <c r="BV1095" i="5"/>
  <c r="BV1093" i="5"/>
  <c r="BV1094" i="5"/>
  <c r="BV1092" i="5"/>
  <c r="CB1095" i="5"/>
  <c r="CB1093" i="5"/>
  <c r="CB1094" i="5"/>
  <c r="CB1092" i="5"/>
  <c r="CH1094" i="5"/>
  <c r="CH1092" i="5"/>
  <c r="CH1095" i="5"/>
  <c r="CH1093" i="5"/>
  <c r="AH1095" i="5"/>
  <c r="AH1094" i="5"/>
  <c r="AH1092" i="5"/>
  <c r="AH1093" i="5"/>
  <c r="W1095" i="5"/>
  <c r="W1093" i="5"/>
  <c r="W1094" i="5"/>
  <c r="W1092" i="5"/>
  <c r="AC1095" i="5"/>
  <c r="AC1093" i="5"/>
  <c r="AC1094" i="5"/>
  <c r="AC1092" i="5"/>
  <c r="AI1095" i="5"/>
  <c r="AI1093" i="5"/>
  <c r="AI1094" i="5"/>
  <c r="AI1092" i="5"/>
  <c r="AO1094" i="5"/>
  <c r="AO1092" i="5"/>
  <c r="AO1095" i="5"/>
  <c r="AO1093" i="5"/>
  <c r="AU1095" i="5"/>
  <c r="AU1093" i="5"/>
  <c r="AU1094" i="5"/>
  <c r="AU1092" i="5"/>
  <c r="BA1095" i="5"/>
  <c r="BA1093" i="5"/>
  <c r="BA1094" i="5"/>
  <c r="BA1092" i="5"/>
  <c r="BG1094" i="5"/>
  <c r="BG1092" i="5"/>
  <c r="BG1095" i="5"/>
  <c r="BG1093" i="5"/>
  <c r="BM1095" i="5"/>
  <c r="BM1093" i="5"/>
  <c r="BM1094" i="5"/>
  <c r="BM1092" i="5"/>
  <c r="BS1095" i="5"/>
  <c r="BS1093" i="5"/>
  <c r="BS1094" i="5"/>
  <c r="BS1092" i="5"/>
  <c r="BY1094" i="5"/>
  <c r="BY1092" i="5"/>
  <c r="BY1095" i="5"/>
  <c r="BY1093" i="5"/>
  <c r="CE1095" i="5"/>
  <c r="CE1093" i="5"/>
  <c r="CE1094" i="5"/>
  <c r="CE1092" i="5"/>
  <c r="CK1095" i="5"/>
  <c r="CK1093" i="5"/>
  <c r="CK1094" i="5"/>
  <c r="CK1092" i="5"/>
  <c r="R1126" i="5"/>
  <c r="R1100" i="5" s="1"/>
  <c r="Q1126" i="5"/>
  <c r="Q1100" i="5" s="1"/>
  <c r="R1125" i="5"/>
  <c r="Q1125" i="5"/>
  <c r="R1124" i="5"/>
  <c r="Q1124" i="5"/>
  <c r="R1123" i="5"/>
  <c r="Q1123" i="5"/>
  <c r="R1120" i="5"/>
  <c r="Q1120" i="5"/>
  <c r="R1119" i="5"/>
  <c r="Q1119" i="5"/>
  <c r="R1118" i="5"/>
  <c r="Q1118" i="5"/>
  <c r="R1113" i="5"/>
  <c r="Q1113" i="5"/>
  <c r="R1112" i="5"/>
  <c r="Q1112" i="5"/>
  <c r="R1111" i="5"/>
  <c r="Q1111" i="5"/>
  <c r="R1110" i="5"/>
  <c r="Q1110" i="5"/>
  <c r="R1108" i="5"/>
  <c r="Q1108" i="5"/>
  <c r="Q1095" i="5" s="1"/>
  <c r="R1107" i="5"/>
  <c r="Q1107" i="5"/>
  <c r="R1106" i="5"/>
  <c r="Q1106" i="5"/>
  <c r="Q1105" i="5"/>
  <c r="R1105" i="5"/>
  <c r="Q1094" i="5" l="1"/>
  <c r="R1092" i="5"/>
  <c r="R1098" i="5"/>
  <c r="Q1092" i="5"/>
  <c r="Q1098" i="5"/>
  <c r="Q1099" i="5"/>
  <c r="Q1097" i="5"/>
  <c r="Q1093" i="5"/>
  <c r="R1094" i="5"/>
  <c r="R1097" i="5"/>
  <c r="R1099" i="5"/>
  <c r="R1093" i="5"/>
  <c r="R1095" i="5"/>
  <c r="K1108" i="5"/>
  <c r="K1095" i="5" s="1"/>
  <c r="J1108" i="5" l="1"/>
  <c r="J1095" i="5" l="1"/>
  <c r="CK888" i="5"/>
  <c r="CK871" i="5" s="1"/>
  <c r="CJ888" i="5"/>
  <c r="CJ870" i="5" s="1"/>
  <c r="CH888" i="5"/>
  <c r="CH872" i="5" s="1"/>
  <c r="CG888" i="5"/>
  <c r="CG872" i="5" s="1"/>
  <c r="CE888" i="5"/>
  <c r="CE872" i="5" s="1"/>
  <c r="CD888" i="5"/>
  <c r="CD870" i="5" s="1"/>
  <c r="CB888" i="5"/>
  <c r="CB872" i="5" s="1"/>
  <c r="CA888" i="5"/>
  <c r="CA871" i="5" s="1"/>
  <c r="BY888" i="5"/>
  <c r="BY872" i="5" s="1"/>
  <c r="BX888" i="5"/>
  <c r="BX872" i="5" s="1"/>
  <c r="BV888" i="5"/>
  <c r="BV872" i="5" s="1"/>
  <c r="BU888" i="5"/>
  <c r="BU868" i="5" s="1"/>
  <c r="BS888" i="5"/>
  <c r="BS870" i="5" s="1"/>
  <c r="BR888" i="5"/>
  <c r="BR872" i="5" s="1"/>
  <c r="BP888" i="5"/>
  <c r="BP872" i="5" s="1"/>
  <c r="BO888" i="5"/>
  <c r="BO872" i="5" s="1"/>
  <c r="BM888" i="5"/>
  <c r="BM872" i="5" s="1"/>
  <c r="BL888" i="5"/>
  <c r="BL872" i="5" s="1"/>
  <c r="BJ888" i="5"/>
  <c r="BJ871" i="5" s="1"/>
  <c r="BI888" i="5"/>
  <c r="BI871" i="5" s="1"/>
  <c r="BG888" i="5"/>
  <c r="BG872" i="5" s="1"/>
  <c r="BF888" i="5"/>
  <c r="BF872" i="5" s="1"/>
  <c r="BD888" i="5"/>
  <c r="BD872" i="5" s="1"/>
  <c r="BC888" i="5"/>
  <c r="BC872" i="5" s="1"/>
  <c r="BA888" i="5"/>
  <c r="BA867" i="5" s="1"/>
  <c r="AZ888" i="5"/>
  <c r="AZ871" i="5" s="1"/>
  <c r="AX888" i="5"/>
  <c r="AX872" i="5" s="1"/>
  <c r="AW888" i="5"/>
  <c r="AW872" i="5" s="1"/>
  <c r="AU888" i="5"/>
  <c r="AU872" i="5" s="1"/>
  <c r="AT888" i="5"/>
  <c r="AT871" i="5" s="1"/>
  <c r="AR888" i="5"/>
  <c r="AR870" i="5" s="1"/>
  <c r="AQ888" i="5"/>
  <c r="AQ872" i="5" s="1"/>
  <c r="AO888" i="5"/>
  <c r="AO872" i="5" s="1"/>
  <c r="AN888" i="5"/>
  <c r="AN870" i="5" s="1"/>
  <c r="AL888" i="5"/>
  <c r="AL868" i="5" s="1"/>
  <c r="AK888" i="5"/>
  <c r="AK872" i="5" s="1"/>
  <c r="AI888" i="5"/>
  <c r="AI872" i="5" s="1"/>
  <c r="AH888" i="5"/>
  <c r="AH871" i="5" s="1"/>
  <c r="AF888" i="5"/>
  <c r="AF872" i="5" s="1"/>
  <c r="AE888" i="5"/>
  <c r="AE872" i="5" s="1"/>
  <c r="AC888" i="5"/>
  <c r="AC871" i="5" s="1"/>
  <c r="AB888" i="5"/>
  <c r="AB869" i="5" s="1"/>
  <c r="Z888" i="5"/>
  <c r="Z872" i="5" s="1"/>
  <c r="Y888" i="5"/>
  <c r="Y872" i="5" s="1"/>
  <c r="W888" i="5"/>
  <c r="W872" i="5" s="1"/>
  <c r="V888" i="5"/>
  <c r="V870" i="5" s="1"/>
  <c r="T888" i="5"/>
  <c r="T869" i="5" s="1"/>
  <c r="S888" i="5"/>
  <c r="S869" i="5" s="1"/>
  <c r="CK880" i="5"/>
  <c r="CK863" i="5" s="1"/>
  <c r="CJ880" i="5"/>
  <c r="CJ864" i="5" s="1"/>
  <c r="CH880" i="5"/>
  <c r="CH865" i="5" s="1"/>
  <c r="CG880" i="5"/>
  <c r="CG865" i="5" s="1"/>
  <c r="CE880" i="5"/>
  <c r="CE864" i="5" s="1"/>
  <c r="CD880" i="5"/>
  <c r="CD863" i="5" s="1"/>
  <c r="CB880" i="5"/>
  <c r="CB865" i="5" s="1"/>
  <c r="CA880" i="5"/>
  <c r="CA864" i="5" s="1"/>
  <c r="BY880" i="5"/>
  <c r="BY864" i="5" s="1"/>
  <c r="BX880" i="5"/>
  <c r="BX863" i="5" s="1"/>
  <c r="BV880" i="5"/>
  <c r="BV863" i="5" s="1"/>
  <c r="BU880" i="5"/>
  <c r="BU863" i="5" s="1"/>
  <c r="BS880" i="5"/>
  <c r="BS865" i="5" s="1"/>
  <c r="BR880" i="5"/>
  <c r="BR865" i="5" s="1"/>
  <c r="BP880" i="5"/>
  <c r="BP862" i="5" s="1"/>
  <c r="BO880" i="5"/>
  <c r="BO864" i="5" s="1"/>
  <c r="BM880" i="5"/>
  <c r="BM860" i="5" s="1"/>
  <c r="BL880" i="5"/>
  <c r="BL860" i="5" s="1"/>
  <c r="BJ880" i="5"/>
  <c r="BJ865" i="5" s="1"/>
  <c r="BI880" i="5"/>
  <c r="BI865" i="5" s="1"/>
  <c r="BG880" i="5"/>
  <c r="BG865" i="5" s="1"/>
  <c r="BF880" i="5"/>
  <c r="BF860" i="5" s="1"/>
  <c r="BD880" i="5"/>
  <c r="BD864" i="5" s="1"/>
  <c r="BC880" i="5"/>
  <c r="BC864" i="5" s="1"/>
  <c r="BA880" i="5"/>
  <c r="BA861" i="5" s="1"/>
  <c r="AZ880" i="5"/>
  <c r="AZ862" i="5" s="1"/>
  <c r="AX880" i="5"/>
  <c r="AX864" i="5" s="1"/>
  <c r="AW880" i="5"/>
  <c r="AW863" i="5" s="1"/>
  <c r="AU880" i="5"/>
  <c r="AU865" i="5" s="1"/>
  <c r="AT880" i="5"/>
  <c r="AT865" i="5" s="1"/>
  <c r="AR880" i="5"/>
  <c r="AR864" i="5" s="1"/>
  <c r="AQ880" i="5"/>
  <c r="AQ864" i="5" s="1"/>
  <c r="AO880" i="5"/>
  <c r="AO865" i="5" s="1"/>
  <c r="AN880" i="5"/>
  <c r="AN865" i="5" s="1"/>
  <c r="AL880" i="5"/>
  <c r="AL861" i="5" s="1"/>
  <c r="AK880" i="5"/>
  <c r="AK864" i="5" s="1"/>
  <c r="AI880" i="5"/>
  <c r="AI865" i="5" s="1"/>
  <c r="AH880" i="5"/>
  <c r="AH865" i="5" s="1"/>
  <c r="AF880" i="5"/>
  <c r="AF864" i="5" s="1"/>
  <c r="AE880" i="5"/>
  <c r="AE864" i="5" s="1"/>
  <c r="AC880" i="5"/>
  <c r="AC864" i="5" s="1"/>
  <c r="AB880" i="5"/>
  <c r="AB865" i="5" s="1"/>
  <c r="Z880" i="5"/>
  <c r="Z864" i="5" s="1"/>
  <c r="Y880" i="5"/>
  <c r="Y864" i="5" s="1"/>
  <c r="W880" i="5"/>
  <c r="W864" i="5" s="1"/>
  <c r="V880" i="5"/>
  <c r="V865" i="5" s="1"/>
  <c r="T880" i="5"/>
  <c r="T864" i="5" s="1"/>
  <c r="S880" i="5"/>
  <c r="S865" i="5" s="1"/>
  <c r="R887" i="5"/>
  <c r="Q887" i="5"/>
  <c r="R886" i="5"/>
  <c r="Q886" i="5"/>
  <c r="R885" i="5"/>
  <c r="Q885" i="5"/>
  <c r="R884" i="5"/>
  <c r="Q884" i="5"/>
  <c r="R883" i="5"/>
  <c r="Q883" i="5"/>
  <c r="R882" i="5"/>
  <c r="Q882" i="5"/>
  <c r="Q888" i="5" s="1"/>
  <c r="R879" i="5"/>
  <c r="Q879" i="5"/>
  <c r="R878" i="5"/>
  <c r="Q878" i="5"/>
  <c r="R877" i="5"/>
  <c r="Q877" i="5"/>
  <c r="R876" i="5"/>
  <c r="Q876" i="5"/>
  <c r="R875" i="5"/>
  <c r="Q875" i="5"/>
  <c r="R874" i="5"/>
  <c r="Q874" i="5"/>
  <c r="CK872" i="5"/>
  <c r="CJ872" i="5"/>
  <c r="BA870" i="5"/>
  <c r="Q880" i="5" l="1"/>
  <c r="AU864" i="5"/>
  <c r="BY862" i="5"/>
  <c r="AC862" i="5"/>
  <c r="CE865" i="5"/>
  <c r="AI862" i="5"/>
  <c r="BG867" i="5"/>
  <c r="CK861" i="5"/>
  <c r="AI864" i="5"/>
  <c r="BM870" i="5"/>
  <c r="CK865" i="5"/>
  <c r="Y869" i="5"/>
  <c r="BU870" i="5"/>
  <c r="AC865" i="5"/>
  <c r="AU860" i="5"/>
  <c r="BA871" i="5"/>
  <c r="CE868" i="5"/>
  <c r="CK868" i="5"/>
  <c r="W863" i="5"/>
  <c r="AI860" i="5"/>
  <c r="AU862" i="5"/>
  <c r="BM864" i="5"/>
  <c r="BS872" i="5"/>
  <c r="CE870" i="5"/>
  <c r="CK870" i="5"/>
  <c r="BI868" i="5"/>
  <c r="BU867" i="5"/>
  <c r="V872" i="5"/>
  <c r="AB870" i="5"/>
  <c r="AE867" i="5"/>
  <c r="AT869" i="5"/>
  <c r="BR868" i="5"/>
  <c r="AH864" i="5"/>
  <c r="CB869" i="5"/>
  <c r="V861" i="5"/>
  <c r="AH861" i="5"/>
  <c r="AZ865" i="5"/>
  <c r="V867" i="5"/>
  <c r="AH868" i="5"/>
  <c r="AN867" i="5"/>
  <c r="BF867" i="5"/>
  <c r="AT872" i="5"/>
  <c r="BL863" i="5"/>
  <c r="V869" i="5"/>
  <c r="AB860" i="5"/>
  <c r="AB867" i="5"/>
  <c r="AB872" i="5"/>
  <c r="AH870" i="5"/>
  <c r="AN868" i="5"/>
  <c r="AN871" i="5"/>
  <c r="AZ861" i="5"/>
  <c r="AZ869" i="5"/>
  <c r="BL862" i="5"/>
  <c r="BL871" i="5"/>
  <c r="CD861" i="5"/>
  <c r="CD864" i="5"/>
  <c r="CD871" i="5"/>
  <c r="V860" i="5"/>
  <c r="V864" i="5"/>
  <c r="V871" i="5"/>
  <c r="AB862" i="5"/>
  <c r="AB868" i="5"/>
  <c r="AH863" i="5"/>
  <c r="AH867" i="5"/>
  <c r="AH872" i="5"/>
  <c r="AN869" i="5"/>
  <c r="AN872" i="5"/>
  <c r="AZ863" i="5"/>
  <c r="BF863" i="5"/>
  <c r="BF865" i="5"/>
  <c r="BF869" i="5"/>
  <c r="BR871" i="5"/>
  <c r="BX862" i="5"/>
  <c r="CD865" i="5"/>
  <c r="CD872" i="5"/>
  <c r="CJ868" i="5"/>
  <c r="CJ871" i="5"/>
  <c r="V863" i="5"/>
  <c r="V868" i="5"/>
  <c r="AB871" i="5"/>
  <c r="AH862" i="5"/>
  <c r="AH869" i="5"/>
  <c r="AN862" i="5"/>
  <c r="AT867" i="5"/>
  <c r="AZ860" i="5"/>
  <c r="AZ868" i="5"/>
  <c r="AZ872" i="5"/>
  <c r="BL864" i="5"/>
  <c r="BF871" i="5"/>
  <c r="BR869" i="5"/>
  <c r="CD860" i="5"/>
  <c r="BX864" i="5"/>
  <c r="BX867" i="5"/>
  <c r="BX871" i="5"/>
  <c r="CJ865" i="5"/>
  <c r="CJ869" i="5"/>
  <c r="T872" i="5"/>
  <c r="Z869" i="5"/>
  <c r="AF868" i="5"/>
  <c r="AL871" i="5"/>
  <c r="T867" i="5"/>
  <c r="AF867" i="5"/>
  <c r="AR872" i="5"/>
  <c r="BV862" i="5"/>
  <c r="T868" i="5"/>
  <c r="BV870" i="5"/>
  <c r="CB867" i="5"/>
  <c r="AK869" i="5"/>
  <c r="AK870" i="5"/>
  <c r="AQ871" i="5"/>
  <c r="AW867" i="5"/>
  <c r="AW871" i="5"/>
  <c r="BO867" i="5"/>
  <c r="BU869" i="5"/>
  <c r="BU872" i="5"/>
  <c r="CA872" i="5"/>
  <c r="S867" i="5"/>
  <c r="T870" i="5"/>
  <c r="Y867" i="5"/>
  <c r="Y871" i="5"/>
  <c r="AE869" i="5"/>
  <c r="AL869" i="5"/>
  <c r="AL870" i="5"/>
  <c r="AL872" i="5"/>
  <c r="AQ867" i="5"/>
  <c r="AR868" i="5"/>
  <c r="AR871" i="5"/>
  <c r="AX867" i="5"/>
  <c r="BD869" i="5"/>
  <c r="AX871" i="5"/>
  <c r="BI860" i="5"/>
  <c r="BI867" i="5"/>
  <c r="BI869" i="5"/>
  <c r="BP867" i="5"/>
  <c r="BO869" i="5"/>
  <c r="BV869" i="5"/>
  <c r="S872" i="5"/>
  <c r="T871" i="5"/>
  <c r="V862" i="5"/>
  <c r="Z867" i="5"/>
  <c r="Z871" i="5"/>
  <c r="AB864" i="5"/>
  <c r="AH860" i="5"/>
  <c r="AL867" i="5"/>
  <c r="AF869" i="5"/>
  <c r="AF870" i="5"/>
  <c r="AN860" i="5"/>
  <c r="AN864" i="5"/>
  <c r="AR867" i="5"/>
  <c r="AT868" i="5"/>
  <c r="AT870" i="5"/>
  <c r="AW860" i="5"/>
  <c r="AZ864" i="5"/>
  <c r="AZ867" i="5"/>
  <c r="AZ870" i="5"/>
  <c r="BL861" i="5"/>
  <c r="BF864" i="5"/>
  <c r="BL865" i="5"/>
  <c r="BL867" i="5"/>
  <c r="BL869" i="5"/>
  <c r="BR860" i="5"/>
  <c r="BR867" i="5"/>
  <c r="BP869" i="5"/>
  <c r="BR870" i="5"/>
  <c r="BX861" i="5"/>
  <c r="CD862" i="5"/>
  <c r="BX869" i="5"/>
  <c r="CB871" i="5"/>
  <c r="CJ861" i="5"/>
  <c r="CJ867" i="5"/>
  <c r="W861" i="5"/>
  <c r="W867" i="5"/>
  <c r="W869" i="5"/>
  <c r="W871" i="5"/>
  <c r="AC860" i="5"/>
  <c r="AC863" i="5"/>
  <c r="AI871" i="5"/>
  <c r="AU861" i="5"/>
  <c r="AU863" i="5"/>
  <c r="AO869" i="5"/>
  <c r="AU869" i="5"/>
  <c r="AU870" i="5"/>
  <c r="BA862" i="5"/>
  <c r="BA864" i="5"/>
  <c r="BA868" i="5"/>
  <c r="BA869" i="5"/>
  <c r="BG864" i="5"/>
  <c r="BM868" i="5"/>
  <c r="BM871" i="5"/>
  <c r="BS860" i="5"/>
  <c r="BS863" i="5"/>
  <c r="BS871" i="5"/>
  <c r="BY861" i="5"/>
  <c r="CE867" i="5"/>
  <c r="CE869" i="5"/>
  <c r="CK862" i="5"/>
  <c r="S868" i="5"/>
  <c r="Y868" i="5"/>
  <c r="Y870" i="5"/>
  <c r="AC861" i="5"/>
  <c r="AI861" i="5"/>
  <c r="AI863" i="5"/>
  <c r="AE871" i="5"/>
  <c r="AQ869" i="5"/>
  <c r="BA860" i="5"/>
  <c r="AW869" i="5"/>
  <c r="BA872" i="5"/>
  <c r="BM861" i="5"/>
  <c r="BG863" i="5"/>
  <c r="BI864" i="5"/>
  <c r="BM869" i="5"/>
  <c r="BG871" i="5"/>
  <c r="BI872" i="5"/>
  <c r="BS861" i="5"/>
  <c r="BS864" i="5"/>
  <c r="BS868" i="5"/>
  <c r="BO871" i="5"/>
  <c r="BU871" i="5"/>
  <c r="BY860" i="5"/>
  <c r="BY863" i="5"/>
  <c r="BY865" i="5"/>
  <c r="BY867" i="5"/>
  <c r="BY868" i="5"/>
  <c r="BY869" i="5"/>
  <c r="BY870" i="5"/>
  <c r="BY871" i="5"/>
  <c r="CE871" i="5"/>
  <c r="CK864" i="5"/>
  <c r="CK867" i="5"/>
  <c r="CK869" i="5"/>
  <c r="S871" i="5"/>
  <c r="W865" i="5"/>
  <c r="W868" i="5"/>
  <c r="W870" i="5"/>
  <c r="Z868" i="5"/>
  <c r="Z870" i="5"/>
  <c r="AL865" i="5"/>
  <c r="AI867" i="5"/>
  <c r="AI869" i="5"/>
  <c r="AF871" i="5"/>
  <c r="AO860" i="5"/>
  <c r="AO862" i="5"/>
  <c r="AO864" i="5"/>
  <c r="AO867" i="5"/>
  <c r="AU867" i="5"/>
  <c r="AU868" i="5"/>
  <c r="AR869" i="5"/>
  <c r="AO871" i="5"/>
  <c r="AU871" i="5"/>
  <c r="AW861" i="5"/>
  <c r="BA863" i="5"/>
  <c r="BA865" i="5"/>
  <c r="AX869" i="5"/>
  <c r="BG860" i="5"/>
  <c r="BG862" i="5"/>
  <c r="BM867" i="5"/>
  <c r="BG869" i="5"/>
  <c r="BI870" i="5"/>
  <c r="BS862" i="5"/>
  <c r="BS867" i="5"/>
  <c r="BS869" i="5"/>
  <c r="BP871" i="5"/>
  <c r="CE863" i="5"/>
  <c r="CA867" i="5"/>
  <c r="CA868" i="5"/>
  <c r="CA869" i="5"/>
  <c r="CA870" i="5"/>
  <c r="BD870" i="5"/>
  <c r="R888" i="5"/>
  <c r="R869" i="5" s="1"/>
  <c r="CE860" i="5"/>
  <c r="CE861" i="5"/>
  <c r="CE862" i="5"/>
  <c r="BM862" i="5"/>
  <c r="BM863" i="5"/>
  <c r="BM865" i="5"/>
  <c r="AR865" i="5"/>
  <c r="W860" i="5"/>
  <c r="W862" i="5"/>
  <c r="CB860" i="5"/>
  <c r="AL864" i="5"/>
  <c r="AL863" i="5"/>
  <c r="Z865" i="5"/>
  <c r="AF865" i="5"/>
  <c r="BP861" i="5"/>
  <c r="BP864" i="5"/>
  <c r="AR861" i="5"/>
  <c r="AR862" i="5"/>
  <c r="T865" i="5"/>
  <c r="BD861" i="5"/>
  <c r="BD863" i="5"/>
  <c r="AX860" i="5"/>
  <c r="AX861" i="5"/>
  <c r="AX862" i="5"/>
  <c r="CK860" i="5"/>
  <c r="AL862" i="5"/>
  <c r="Z861" i="5"/>
  <c r="Z863" i="5"/>
  <c r="AF863" i="5"/>
  <c r="AF861" i="5"/>
  <c r="BP860" i="5"/>
  <c r="BP863" i="5"/>
  <c r="BP865" i="5"/>
  <c r="BV865" i="5"/>
  <c r="BV860" i="5"/>
  <c r="BV864" i="5"/>
  <c r="BV861" i="5"/>
  <c r="AR860" i="5"/>
  <c r="AR863" i="5"/>
  <c r="T861" i="5"/>
  <c r="BD865" i="5"/>
  <c r="BG861" i="5"/>
  <c r="R880" i="5"/>
  <c r="R861" i="5" s="1"/>
  <c r="BJ862" i="5"/>
  <c r="BJ860" i="5"/>
  <c r="BJ864" i="5"/>
  <c r="AX865" i="5"/>
  <c r="AX863" i="5"/>
  <c r="CB861" i="5"/>
  <c r="CB862" i="5"/>
  <c r="CB863" i="5"/>
  <c r="CB864" i="5"/>
  <c r="CD867" i="5"/>
  <c r="CD868" i="5"/>
  <c r="CD869" i="5"/>
  <c r="BC871" i="5"/>
  <c r="BC868" i="5"/>
  <c r="BC867" i="5"/>
  <c r="BC869" i="5"/>
  <c r="BC870" i="5"/>
  <c r="CG867" i="5"/>
  <c r="CG868" i="5"/>
  <c r="CG869" i="5"/>
  <c r="CG870" i="5"/>
  <c r="CG871" i="5"/>
  <c r="CH867" i="5"/>
  <c r="CH868" i="5"/>
  <c r="CH869" i="5"/>
  <c r="CH870" i="5"/>
  <c r="CH871" i="5"/>
  <c r="BV867" i="5"/>
  <c r="BV868" i="5"/>
  <c r="BV871" i="5"/>
  <c r="CB868" i="5"/>
  <c r="CB870" i="5"/>
  <c r="BX868" i="5"/>
  <c r="BX870" i="5"/>
  <c r="BO868" i="5"/>
  <c r="BO870" i="5"/>
  <c r="BL868" i="5"/>
  <c r="BL870" i="5"/>
  <c r="BP868" i="5"/>
  <c r="BP870" i="5"/>
  <c r="BJ868" i="5"/>
  <c r="BJ870" i="5"/>
  <c r="BJ872" i="5"/>
  <c r="BD867" i="5"/>
  <c r="BD868" i="5"/>
  <c r="BD871" i="5"/>
  <c r="BF868" i="5"/>
  <c r="BF870" i="5"/>
  <c r="BJ867" i="5"/>
  <c r="BG868" i="5"/>
  <c r="BJ869" i="5"/>
  <c r="BG870" i="5"/>
  <c r="AW868" i="5"/>
  <c r="AW870" i="5"/>
  <c r="AX868" i="5"/>
  <c r="AX870" i="5"/>
  <c r="AK867" i="5"/>
  <c r="AK868" i="5"/>
  <c r="AK871" i="5"/>
  <c r="AQ868" i="5"/>
  <c r="AQ870" i="5"/>
  <c r="AO868" i="5"/>
  <c r="AO870" i="5"/>
  <c r="AC868" i="5"/>
  <c r="AC870" i="5"/>
  <c r="AC872" i="5"/>
  <c r="AI868" i="5"/>
  <c r="AI870" i="5"/>
  <c r="AC867" i="5"/>
  <c r="AC869" i="5"/>
  <c r="AE868" i="5"/>
  <c r="AE870" i="5"/>
  <c r="S870" i="5"/>
  <c r="Q869" i="5"/>
  <c r="Q871" i="5"/>
  <c r="Q868" i="5"/>
  <c r="Q870" i="5"/>
  <c r="Q872" i="5"/>
  <c r="Q867" i="5"/>
  <c r="BX865" i="5"/>
  <c r="BR862" i="5"/>
  <c r="BR863" i="5"/>
  <c r="BR864" i="5"/>
  <c r="CA865" i="5"/>
  <c r="AL860" i="5"/>
  <c r="Y865" i="5"/>
  <c r="Y861" i="5"/>
  <c r="BU864" i="5"/>
  <c r="S862" i="5"/>
  <c r="BC863" i="5"/>
  <c r="BC861" i="5"/>
  <c r="BC865" i="5"/>
  <c r="AW864" i="5"/>
  <c r="AW865" i="5"/>
  <c r="CA863" i="5"/>
  <c r="CA861" i="5"/>
  <c r="CJ863" i="5"/>
  <c r="Q861" i="5"/>
  <c r="CJ860" i="5"/>
  <c r="CJ862" i="5"/>
  <c r="Y863" i="5"/>
  <c r="AE861" i="5"/>
  <c r="AE863" i="5"/>
  <c r="AE865" i="5"/>
  <c r="BO865" i="5"/>
  <c r="BO861" i="5"/>
  <c r="BO863" i="5"/>
  <c r="BX860" i="5"/>
  <c r="BU860" i="5"/>
  <c r="BU865" i="5"/>
  <c r="BU861" i="5"/>
  <c r="AQ861" i="5"/>
  <c r="AQ863" i="5"/>
  <c r="AQ865" i="5"/>
  <c r="AQ860" i="5"/>
  <c r="AQ862" i="5"/>
  <c r="S863" i="5"/>
  <c r="S860" i="5"/>
  <c r="S864" i="5"/>
  <c r="S861" i="5"/>
  <c r="BR861" i="5"/>
  <c r="BF861" i="5"/>
  <c r="BF862" i="5"/>
  <c r="AK861" i="5"/>
  <c r="AK862" i="5"/>
  <c r="AK865" i="5"/>
  <c r="AK860" i="5"/>
  <c r="AK863" i="5"/>
  <c r="AB861" i="5"/>
  <c r="AB863" i="5"/>
  <c r="AT862" i="5"/>
  <c r="AT863" i="5"/>
  <c r="AT860" i="5"/>
  <c r="AT861" i="5"/>
  <c r="AT864" i="5"/>
  <c r="BI862" i="5"/>
  <c r="AW862" i="5"/>
  <c r="CA860" i="5"/>
  <c r="CA862" i="5"/>
  <c r="CG860" i="5"/>
  <c r="CG861" i="5"/>
  <c r="CG862" i="5"/>
  <c r="CG863" i="5"/>
  <c r="CG864" i="5"/>
  <c r="CH860" i="5"/>
  <c r="CH861" i="5"/>
  <c r="CH862" i="5"/>
  <c r="CH863" i="5"/>
  <c r="CH864" i="5"/>
  <c r="BU862" i="5"/>
  <c r="BO860" i="5"/>
  <c r="BO862" i="5"/>
  <c r="BC860" i="5"/>
  <c r="BC862" i="5"/>
  <c r="BI861" i="5"/>
  <c r="BI863" i="5"/>
  <c r="BD860" i="5"/>
  <c r="BD862" i="5"/>
  <c r="BJ861" i="5"/>
  <c r="BJ863" i="5"/>
  <c r="AN861" i="5"/>
  <c r="AN863" i="5"/>
  <c r="AO861" i="5"/>
  <c r="AO863" i="5"/>
  <c r="AE860" i="5"/>
  <c r="AE862" i="5"/>
  <c r="AF860" i="5"/>
  <c r="AF862" i="5"/>
  <c r="Y860" i="5"/>
  <c r="Y862" i="5"/>
  <c r="Z860" i="5"/>
  <c r="Z862" i="5"/>
  <c r="T862" i="5"/>
  <c r="T863" i="5"/>
  <c r="T860" i="5"/>
  <c r="R872" i="5" l="1"/>
  <c r="R871" i="5"/>
  <c r="R870" i="5"/>
  <c r="R867" i="5"/>
  <c r="R868" i="5"/>
  <c r="R860" i="5"/>
  <c r="R862" i="5"/>
  <c r="R864" i="5"/>
  <c r="R863" i="5"/>
  <c r="R865" i="5"/>
  <c r="Q860" i="5"/>
  <c r="Q864" i="5"/>
  <c r="Q865" i="5"/>
  <c r="Q863" i="5"/>
  <c r="Q862" i="5"/>
  <c r="J862" i="5"/>
  <c r="J890" i="5" l="1"/>
  <c r="R897" i="5" l="1"/>
  <c r="Q897" i="5"/>
  <c r="R896" i="5"/>
  <c r="Q896" i="5"/>
  <c r="R894" i="5"/>
  <c r="Q894" i="5"/>
  <c r="R893" i="5"/>
  <c r="Q893" i="5"/>
  <c r="CK906" i="5" l="1"/>
  <c r="CJ906" i="5"/>
  <c r="CH906" i="5"/>
  <c r="CG906" i="5"/>
  <c r="CE906" i="5"/>
  <c r="CD906" i="5"/>
  <c r="CB906" i="5"/>
  <c r="CA906" i="5"/>
  <c r="BY906" i="5"/>
  <c r="BX906" i="5"/>
  <c r="BV906" i="5"/>
  <c r="BU906" i="5"/>
  <c r="BS906" i="5"/>
  <c r="BR906" i="5"/>
  <c r="BP906" i="5"/>
  <c r="BO906" i="5"/>
  <c r="BM906" i="5"/>
  <c r="BL906" i="5"/>
  <c r="BJ906" i="5"/>
  <c r="BI906" i="5"/>
  <c r="BG906" i="5"/>
  <c r="BF906" i="5"/>
  <c r="BD906" i="5"/>
  <c r="BC906" i="5"/>
  <c r="BA906" i="5"/>
  <c r="AZ906" i="5"/>
  <c r="AX906" i="5"/>
  <c r="AW906" i="5"/>
  <c r="AU906" i="5"/>
  <c r="AT906" i="5"/>
  <c r="AR906" i="5"/>
  <c r="AQ906" i="5"/>
  <c r="AO906" i="5"/>
  <c r="AN906" i="5"/>
  <c r="AL906" i="5"/>
  <c r="AK906" i="5"/>
  <c r="AI906" i="5"/>
  <c r="AH906" i="5"/>
  <c r="AF906" i="5"/>
  <c r="AE906" i="5"/>
  <c r="AC906" i="5"/>
  <c r="AB906" i="5"/>
  <c r="Z906" i="5"/>
  <c r="Y906" i="5"/>
  <c r="W906" i="5"/>
  <c r="V906" i="5"/>
  <c r="T906" i="5"/>
  <c r="S906" i="5"/>
  <c r="K906" i="5"/>
  <c r="J906" i="5"/>
  <c r="K903" i="5"/>
  <c r="K899" i="5" s="1"/>
  <c r="J903" i="5"/>
  <c r="R1089" i="5"/>
  <c r="Q1089" i="5"/>
  <c r="R1088" i="5"/>
  <c r="Q1088" i="5"/>
  <c r="R1087" i="5"/>
  <c r="Q1087" i="5"/>
  <c r="R1086" i="5"/>
  <c r="Q1086" i="5"/>
  <c r="R1085" i="5"/>
  <c r="Q1085" i="5"/>
  <c r="R1084" i="5"/>
  <c r="Q1084" i="5"/>
  <c r="R1082" i="5"/>
  <c r="Q1082" i="5"/>
  <c r="R1081" i="5"/>
  <c r="Q1081" i="5"/>
  <c r="R1080" i="5"/>
  <c r="Q1080" i="5"/>
  <c r="R1079" i="5"/>
  <c r="Q1079" i="5"/>
  <c r="R1078" i="5"/>
  <c r="Q1078" i="5"/>
  <c r="CH1070" i="5"/>
  <c r="CK1075" i="5"/>
  <c r="CJ1075" i="5"/>
  <c r="CH1075" i="5"/>
  <c r="CG1075" i="5"/>
  <c r="CE1075" i="5"/>
  <c r="CD1075" i="5"/>
  <c r="CK1074" i="5"/>
  <c r="CJ1074" i="5"/>
  <c r="CH1074" i="5"/>
  <c r="CG1074" i="5"/>
  <c r="CE1074" i="5"/>
  <c r="CD1074" i="5"/>
  <c r="CK1073" i="5"/>
  <c r="CJ1073" i="5"/>
  <c r="CH1073" i="5"/>
  <c r="CG1073" i="5"/>
  <c r="CE1073" i="5"/>
  <c r="CD1073" i="5"/>
  <c r="CK1072" i="5"/>
  <c r="CJ1072" i="5"/>
  <c r="CH1072" i="5"/>
  <c r="CG1072" i="5"/>
  <c r="CE1072" i="5"/>
  <c r="CD1072" i="5"/>
  <c r="CK1071" i="5"/>
  <c r="CJ1071" i="5"/>
  <c r="CH1071" i="5"/>
  <c r="CG1071" i="5"/>
  <c r="CE1071" i="5"/>
  <c r="CD1071" i="5"/>
  <c r="CK1070" i="5"/>
  <c r="CJ1070" i="5"/>
  <c r="CG1070" i="5"/>
  <c r="CE1070" i="5"/>
  <c r="CD1070" i="5"/>
  <c r="CB1075" i="5"/>
  <c r="CA1075" i="5"/>
  <c r="BY1075" i="5"/>
  <c r="BX1075" i="5"/>
  <c r="BV1075" i="5"/>
  <c r="BU1075" i="5"/>
  <c r="CB1074" i="5"/>
  <c r="CA1074" i="5"/>
  <c r="BY1074" i="5"/>
  <c r="BX1074" i="5"/>
  <c r="BV1074" i="5"/>
  <c r="BU1074" i="5"/>
  <c r="CB1073" i="5"/>
  <c r="CA1073" i="5"/>
  <c r="BY1073" i="5"/>
  <c r="BX1073" i="5"/>
  <c r="BV1073" i="5"/>
  <c r="BU1073" i="5"/>
  <c r="CB1072" i="5"/>
  <c r="CA1072" i="5"/>
  <c r="BY1072" i="5"/>
  <c r="BX1072" i="5"/>
  <c r="BV1072" i="5"/>
  <c r="BU1072" i="5"/>
  <c r="CB1071" i="5"/>
  <c r="CA1071" i="5"/>
  <c r="BY1071" i="5"/>
  <c r="BX1071" i="5"/>
  <c r="BV1071" i="5"/>
  <c r="BU1071" i="5"/>
  <c r="CB1070" i="5"/>
  <c r="CA1070" i="5"/>
  <c r="BY1070" i="5"/>
  <c r="BX1070" i="5"/>
  <c r="BV1070" i="5"/>
  <c r="BU1070" i="5"/>
  <c r="BS1075" i="5"/>
  <c r="BR1075" i="5"/>
  <c r="BP1075" i="5"/>
  <c r="BO1075" i="5"/>
  <c r="BM1075" i="5"/>
  <c r="BL1075" i="5"/>
  <c r="BS1074" i="5"/>
  <c r="BR1074" i="5"/>
  <c r="BP1074" i="5"/>
  <c r="BO1074" i="5"/>
  <c r="BM1074" i="5"/>
  <c r="BL1074" i="5"/>
  <c r="BS1073" i="5"/>
  <c r="BR1073" i="5"/>
  <c r="BP1073" i="5"/>
  <c r="BO1073" i="5"/>
  <c r="BM1073" i="5"/>
  <c r="BL1073" i="5"/>
  <c r="BS1072" i="5"/>
  <c r="BR1072" i="5"/>
  <c r="BP1072" i="5"/>
  <c r="BO1072" i="5"/>
  <c r="BM1072" i="5"/>
  <c r="BL1072" i="5"/>
  <c r="BS1071" i="5"/>
  <c r="BR1071" i="5"/>
  <c r="BP1071" i="5"/>
  <c r="BO1071" i="5"/>
  <c r="BM1071" i="5"/>
  <c r="BL1071" i="5"/>
  <c r="BS1070" i="5"/>
  <c r="BR1070" i="5"/>
  <c r="BP1070" i="5"/>
  <c r="BO1070" i="5"/>
  <c r="BM1070" i="5"/>
  <c r="BL1070" i="5"/>
  <c r="BJ1075" i="5"/>
  <c r="BI1075" i="5"/>
  <c r="BG1075" i="5"/>
  <c r="BF1075" i="5"/>
  <c r="BD1075" i="5"/>
  <c r="BC1075" i="5"/>
  <c r="BJ1074" i="5"/>
  <c r="BI1074" i="5"/>
  <c r="BG1074" i="5"/>
  <c r="BF1074" i="5"/>
  <c r="BD1074" i="5"/>
  <c r="BC1074" i="5"/>
  <c r="BJ1073" i="5"/>
  <c r="BI1073" i="5"/>
  <c r="BG1073" i="5"/>
  <c r="BF1073" i="5"/>
  <c r="BD1073" i="5"/>
  <c r="BC1073" i="5"/>
  <c r="BJ1072" i="5"/>
  <c r="BI1072" i="5"/>
  <c r="BG1072" i="5"/>
  <c r="BF1072" i="5"/>
  <c r="BD1072" i="5"/>
  <c r="BC1072" i="5"/>
  <c r="BJ1071" i="5"/>
  <c r="BI1071" i="5"/>
  <c r="BG1071" i="5"/>
  <c r="BF1071" i="5"/>
  <c r="BD1071" i="5"/>
  <c r="BC1071" i="5"/>
  <c r="BJ1070" i="5"/>
  <c r="BI1070" i="5"/>
  <c r="BG1070" i="5"/>
  <c r="BF1070" i="5"/>
  <c r="BD1070" i="5"/>
  <c r="BC1070" i="5"/>
  <c r="BA1075" i="5"/>
  <c r="AZ1075" i="5"/>
  <c r="AX1075" i="5"/>
  <c r="AW1075" i="5"/>
  <c r="AU1075" i="5"/>
  <c r="AT1075" i="5"/>
  <c r="BA1074" i="5"/>
  <c r="AZ1074" i="5"/>
  <c r="AX1074" i="5"/>
  <c r="AW1074" i="5"/>
  <c r="AU1074" i="5"/>
  <c r="AT1074" i="5"/>
  <c r="BA1073" i="5"/>
  <c r="AZ1073" i="5"/>
  <c r="AX1073" i="5"/>
  <c r="AW1073" i="5"/>
  <c r="AU1073" i="5"/>
  <c r="AT1073" i="5"/>
  <c r="BA1072" i="5"/>
  <c r="AZ1072" i="5"/>
  <c r="AX1072" i="5"/>
  <c r="AW1072" i="5"/>
  <c r="AU1072" i="5"/>
  <c r="AT1072" i="5"/>
  <c r="BA1071" i="5"/>
  <c r="AZ1071" i="5"/>
  <c r="AX1071" i="5"/>
  <c r="AW1071" i="5"/>
  <c r="AU1071" i="5"/>
  <c r="AT1071" i="5"/>
  <c r="BA1070" i="5"/>
  <c r="AZ1070" i="5"/>
  <c r="AX1070" i="5"/>
  <c r="AW1070" i="5"/>
  <c r="AU1070" i="5"/>
  <c r="AT1070" i="5"/>
  <c r="AR1075" i="5"/>
  <c r="AQ1075" i="5"/>
  <c r="AO1075" i="5"/>
  <c r="AN1075" i="5"/>
  <c r="AL1075" i="5"/>
  <c r="AK1075" i="5"/>
  <c r="AR1074" i="5"/>
  <c r="AQ1074" i="5"/>
  <c r="AO1074" i="5"/>
  <c r="AN1074" i="5"/>
  <c r="AL1074" i="5"/>
  <c r="AK1074" i="5"/>
  <c r="AR1073" i="5"/>
  <c r="AQ1073" i="5"/>
  <c r="AO1073" i="5"/>
  <c r="AN1073" i="5"/>
  <c r="AL1073" i="5"/>
  <c r="AK1073" i="5"/>
  <c r="AR1072" i="5"/>
  <c r="AQ1072" i="5"/>
  <c r="AO1072" i="5"/>
  <c r="AN1072" i="5"/>
  <c r="AL1072" i="5"/>
  <c r="AK1072" i="5"/>
  <c r="AR1071" i="5"/>
  <c r="AQ1071" i="5"/>
  <c r="AO1071" i="5"/>
  <c r="AN1071" i="5"/>
  <c r="AL1071" i="5"/>
  <c r="AK1071" i="5"/>
  <c r="AR1070" i="5"/>
  <c r="AQ1070" i="5"/>
  <c r="AO1070" i="5"/>
  <c r="AN1070" i="5"/>
  <c r="AL1070" i="5"/>
  <c r="AK1070" i="5"/>
  <c r="AI1075" i="5"/>
  <c r="AH1075" i="5"/>
  <c r="AF1075" i="5"/>
  <c r="AE1075" i="5"/>
  <c r="AC1075" i="5"/>
  <c r="AB1075" i="5"/>
  <c r="AI1074" i="5"/>
  <c r="AH1074" i="5"/>
  <c r="AF1074" i="5"/>
  <c r="AE1074" i="5"/>
  <c r="AC1074" i="5"/>
  <c r="AB1074" i="5"/>
  <c r="AI1073" i="5"/>
  <c r="AH1073" i="5"/>
  <c r="AF1073" i="5"/>
  <c r="AE1073" i="5"/>
  <c r="AC1073" i="5"/>
  <c r="AB1073" i="5"/>
  <c r="AI1072" i="5"/>
  <c r="AH1072" i="5"/>
  <c r="AF1072" i="5"/>
  <c r="AE1072" i="5"/>
  <c r="AC1072" i="5"/>
  <c r="AB1072" i="5"/>
  <c r="AI1071" i="5"/>
  <c r="AH1071" i="5"/>
  <c r="AF1071" i="5"/>
  <c r="AE1071" i="5"/>
  <c r="AC1071" i="5"/>
  <c r="AB1071" i="5"/>
  <c r="AI1070" i="5"/>
  <c r="AH1070" i="5"/>
  <c r="AF1070" i="5"/>
  <c r="AE1070" i="5"/>
  <c r="AC1070" i="5"/>
  <c r="AB1070" i="5"/>
  <c r="Z1075" i="5"/>
  <c r="Y1075" i="5"/>
  <c r="Z1074" i="5"/>
  <c r="Y1074" i="5"/>
  <c r="Z1073" i="5"/>
  <c r="Y1073" i="5"/>
  <c r="Z1072" i="5"/>
  <c r="Y1072" i="5"/>
  <c r="Z1071" i="5"/>
  <c r="Y1071" i="5"/>
  <c r="Z1070" i="5"/>
  <c r="Y1070" i="5"/>
  <c r="W1075" i="5"/>
  <c r="V1075" i="5"/>
  <c r="W1074" i="5"/>
  <c r="V1074" i="5"/>
  <c r="W1073" i="5"/>
  <c r="V1073" i="5"/>
  <c r="W1072" i="5"/>
  <c r="V1072" i="5"/>
  <c r="W1071" i="5"/>
  <c r="V1071" i="5"/>
  <c r="W1070" i="5"/>
  <c r="V1070" i="5"/>
  <c r="T1075" i="5"/>
  <c r="S1075" i="5"/>
  <c r="T1074" i="5"/>
  <c r="S1074" i="5"/>
  <c r="T1073" i="5"/>
  <c r="S1073" i="5"/>
  <c r="T1072" i="5"/>
  <c r="S1072" i="5"/>
  <c r="T1071" i="5"/>
  <c r="S1071" i="5"/>
  <c r="T1070" i="5"/>
  <c r="S1070" i="5"/>
  <c r="Q1075" i="5" l="1"/>
  <c r="R1074" i="5"/>
  <c r="Q1074" i="5"/>
  <c r="Q1073" i="5"/>
  <c r="Q1071" i="5"/>
  <c r="R1075" i="5"/>
  <c r="R1073" i="5"/>
  <c r="R1072" i="5"/>
  <c r="R1071" i="5"/>
  <c r="Q1072" i="5"/>
  <c r="Q1070" i="5"/>
  <c r="R1070" i="5"/>
  <c r="J1402" i="5"/>
  <c r="J1401" i="5"/>
  <c r="K1402" i="5"/>
  <c r="K1401" i="5"/>
  <c r="J1399" i="5"/>
  <c r="J1398" i="5"/>
  <c r="K1399" i="5"/>
  <c r="K1398" i="5"/>
  <c r="J1396" i="5"/>
  <c r="J1395" i="5"/>
  <c r="K1396" i="5"/>
  <c r="K1395" i="5"/>
  <c r="CK696" i="5" l="1"/>
  <c r="CK1441" i="5" s="1"/>
  <c r="CJ696" i="5"/>
  <c r="CJ1441" i="5" s="1"/>
  <c r="CH696" i="5"/>
  <c r="CH1441" i="5" s="1"/>
  <c r="CG696" i="5"/>
  <c r="CG1441" i="5" s="1"/>
  <c r="CE696" i="5"/>
  <c r="CE1441" i="5" s="1"/>
  <c r="CD696" i="5"/>
  <c r="CD1441" i="5" s="1"/>
  <c r="CK695" i="5"/>
  <c r="CK1440" i="5" s="1"/>
  <c r="CJ695" i="5"/>
  <c r="CJ1440" i="5" s="1"/>
  <c r="CH695" i="5"/>
  <c r="CH1440" i="5" s="1"/>
  <c r="CG695" i="5"/>
  <c r="CG1440" i="5" s="1"/>
  <c r="CE695" i="5"/>
  <c r="CE1440" i="5" s="1"/>
  <c r="CD695" i="5"/>
  <c r="CD1440" i="5" s="1"/>
  <c r="CK693" i="5"/>
  <c r="CK1438" i="5" s="1"/>
  <c r="CJ693" i="5"/>
  <c r="CJ1438" i="5" s="1"/>
  <c r="CH693" i="5"/>
  <c r="CH1438" i="5" s="1"/>
  <c r="CG693" i="5"/>
  <c r="CG1438" i="5" s="1"/>
  <c r="CE693" i="5"/>
  <c r="CE1438" i="5" s="1"/>
  <c r="CD693" i="5"/>
  <c r="CD1438" i="5" s="1"/>
  <c r="CK692" i="5"/>
  <c r="CK1437" i="5" s="1"/>
  <c r="CJ692" i="5"/>
  <c r="CJ1437" i="5" s="1"/>
  <c r="CH692" i="5"/>
  <c r="CH1437" i="5" s="1"/>
  <c r="CG692" i="5"/>
  <c r="CG1437" i="5" s="1"/>
  <c r="CE692" i="5"/>
  <c r="CE1437" i="5" s="1"/>
  <c r="CD692" i="5"/>
  <c r="CD1437" i="5" s="1"/>
  <c r="CK687" i="5"/>
  <c r="CK1432" i="5" s="1"/>
  <c r="CJ687" i="5"/>
  <c r="CJ1432" i="5" s="1"/>
  <c r="CH687" i="5"/>
  <c r="CH1432" i="5" s="1"/>
  <c r="CG687" i="5"/>
  <c r="CG1432" i="5" s="1"/>
  <c r="CE687" i="5"/>
  <c r="CE1432" i="5" s="1"/>
  <c r="CD687" i="5"/>
  <c r="CD1432" i="5" s="1"/>
  <c r="CK686" i="5"/>
  <c r="CK1431" i="5" s="1"/>
  <c r="CJ686" i="5"/>
  <c r="CJ1431" i="5" s="1"/>
  <c r="CH686" i="5"/>
  <c r="CH1431" i="5" s="1"/>
  <c r="CG686" i="5"/>
  <c r="CG1431" i="5" s="1"/>
  <c r="CE686" i="5"/>
  <c r="CE1431" i="5" s="1"/>
  <c r="CD686" i="5"/>
  <c r="CD1431" i="5" s="1"/>
  <c r="CK684" i="5"/>
  <c r="CK1429" i="5" s="1"/>
  <c r="CJ684" i="5"/>
  <c r="CJ1429" i="5" s="1"/>
  <c r="CH684" i="5"/>
  <c r="CH1429" i="5" s="1"/>
  <c r="CG684" i="5"/>
  <c r="CG1429" i="5" s="1"/>
  <c r="CE684" i="5"/>
  <c r="CE1429" i="5" s="1"/>
  <c r="CD684" i="5"/>
  <c r="CD1429" i="5" s="1"/>
  <c r="CK683" i="5"/>
  <c r="CK1428" i="5" s="1"/>
  <c r="CJ683" i="5"/>
  <c r="CJ1428" i="5" s="1"/>
  <c r="CH683" i="5"/>
  <c r="CH1428" i="5" s="1"/>
  <c r="CG683" i="5"/>
  <c r="CG1428" i="5" s="1"/>
  <c r="CE683" i="5"/>
  <c r="CE1428" i="5" s="1"/>
  <c r="CD683" i="5"/>
  <c r="CD1428" i="5" s="1"/>
  <c r="CB696" i="5"/>
  <c r="CB1441" i="5" s="1"/>
  <c r="CA696" i="5"/>
  <c r="CA1441" i="5" s="1"/>
  <c r="BY696" i="5"/>
  <c r="BY1441" i="5" s="1"/>
  <c r="BX696" i="5"/>
  <c r="BX1441" i="5" s="1"/>
  <c r="BV696" i="5"/>
  <c r="BV1441" i="5" s="1"/>
  <c r="BU696" i="5"/>
  <c r="BU1441" i="5" s="1"/>
  <c r="CB695" i="5"/>
  <c r="CB1440" i="5" s="1"/>
  <c r="CA695" i="5"/>
  <c r="CA1440" i="5" s="1"/>
  <c r="BY695" i="5"/>
  <c r="BY1440" i="5" s="1"/>
  <c r="BX695" i="5"/>
  <c r="BX1440" i="5" s="1"/>
  <c r="BV695" i="5"/>
  <c r="BV1440" i="5" s="1"/>
  <c r="BU695" i="5"/>
  <c r="BU1440" i="5" s="1"/>
  <c r="CB693" i="5"/>
  <c r="CB1438" i="5" s="1"/>
  <c r="CA693" i="5"/>
  <c r="CA1438" i="5" s="1"/>
  <c r="BY693" i="5"/>
  <c r="BY1438" i="5" s="1"/>
  <c r="BX693" i="5"/>
  <c r="BX1438" i="5" s="1"/>
  <c r="BV693" i="5"/>
  <c r="BV1438" i="5" s="1"/>
  <c r="BU693" i="5"/>
  <c r="BU1438" i="5" s="1"/>
  <c r="CB692" i="5"/>
  <c r="CB1437" i="5" s="1"/>
  <c r="CA692" i="5"/>
  <c r="CA1437" i="5" s="1"/>
  <c r="BY692" i="5"/>
  <c r="BY1437" i="5" s="1"/>
  <c r="BX692" i="5"/>
  <c r="BX1437" i="5" s="1"/>
  <c r="BV692" i="5"/>
  <c r="BV1437" i="5" s="1"/>
  <c r="BU692" i="5"/>
  <c r="BU1437" i="5" s="1"/>
  <c r="CB687" i="5"/>
  <c r="CB1432" i="5" s="1"/>
  <c r="CA687" i="5"/>
  <c r="CA1432" i="5" s="1"/>
  <c r="BY687" i="5"/>
  <c r="BY1432" i="5" s="1"/>
  <c r="BX687" i="5"/>
  <c r="BX1432" i="5" s="1"/>
  <c r="BV687" i="5"/>
  <c r="BV1432" i="5" s="1"/>
  <c r="BU687" i="5"/>
  <c r="BU1432" i="5" s="1"/>
  <c r="CB686" i="5"/>
  <c r="CB1431" i="5" s="1"/>
  <c r="CA686" i="5"/>
  <c r="CA1431" i="5" s="1"/>
  <c r="BY686" i="5"/>
  <c r="BY1431" i="5" s="1"/>
  <c r="BX686" i="5"/>
  <c r="BX1431" i="5" s="1"/>
  <c r="BV686" i="5"/>
  <c r="BV1431" i="5" s="1"/>
  <c r="BU686" i="5"/>
  <c r="BU1431" i="5" s="1"/>
  <c r="CB684" i="5"/>
  <c r="CB1429" i="5" s="1"/>
  <c r="CA684" i="5"/>
  <c r="CA1429" i="5" s="1"/>
  <c r="BY684" i="5"/>
  <c r="BY1429" i="5" s="1"/>
  <c r="BX684" i="5"/>
  <c r="BX1429" i="5" s="1"/>
  <c r="BV684" i="5"/>
  <c r="BV1429" i="5" s="1"/>
  <c r="BU684" i="5"/>
  <c r="BU1429" i="5" s="1"/>
  <c r="CB683" i="5"/>
  <c r="CB1428" i="5" s="1"/>
  <c r="CA683" i="5"/>
  <c r="CA1428" i="5" s="1"/>
  <c r="BY683" i="5"/>
  <c r="BY1428" i="5" s="1"/>
  <c r="BX683" i="5"/>
  <c r="BX1428" i="5" s="1"/>
  <c r="BV683" i="5"/>
  <c r="BV1428" i="5" s="1"/>
  <c r="BU683" i="5"/>
  <c r="BU1428" i="5" s="1"/>
  <c r="BS696" i="5"/>
  <c r="BS1441" i="5" s="1"/>
  <c r="BR696" i="5"/>
  <c r="BR1441" i="5" s="1"/>
  <c r="BP696" i="5"/>
  <c r="BP1441" i="5" s="1"/>
  <c r="BO696" i="5"/>
  <c r="BO1441" i="5" s="1"/>
  <c r="BM696" i="5"/>
  <c r="BM1441" i="5" s="1"/>
  <c r="BL696" i="5"/>
  <c r="BL1441" i="5" s="1"/>
  <c r="BS695" i="5"/>
  <c r="BS1440" i="5" s="1"/>
  <c r="BR695" i="5"/>
  <c r="BR1440" i="5" s="1"/>
  <c r="BP695" i="5"/>
  <c r="BP1440" i="5" s="1"/>
  <c r="BO695" i="5"/>
  <c r="BO1440" i="5" s="1"/>
  <c r="BM695" i="5"/>
  <c r="BM1440" i="5" s="1"/>
  <c r="BL695" i="5"/>
  <c r="BL1440" i="5" s="1"/>
  <c r="BS693" i="5"/>
  <c r="BS1438" i="5" s="1"/>
  <c r="BR693" i="5"/>
  <c r="BR1438" i="5" s="1"/>
  <c r="BP693" i="5"/>
  <c r="BP1438" i="5" s="1"/>
  <c r="BO693" i="5"/>
  <c r="BO1438" i="5" s="1"/>
  <c r="BM693" i="5"/>
  <c r="BM1438" i="5" s="1"/>
  <c r="BL693" i="5"/>
  <c r="BL1438" i="5" s="1"/>
  <c r="BS692" i="5"/>
  <c r="BS1437" i="5" s="1"/>
  <c r="BR692" i="5"/>
  <c r="BR1437" i="5" s="1"/>
  <c r="BP692" i="5"/>
  <c r="BP1437" i="5" s="1"/>
  <c r="BO692" i="5"/>
  <c r="BO1437" i="5" s="1"/>
  <c r="BM692" i="5"/>
  <c r="BM1437" i="5" s="1"/>
  <c r="BL692" i="5"/>
  <c r="BL1437" i="5" s="1"/>
  <c r="BS687" i="5"/>
  <c r="BS1432" i="5" s="1"/>
  <c r="BR687" i="5"/>
  <c r="BR1432" i="5" s="1"/>
  <c r="BP687" i="5"/>
  <c r="BP1432" i="5" s="1"/>
  <c r="BO687" i="5"/>
  <c r="BO1432" i="5" s="1"/>
  <c r="BM687" i="5"/>
  <c r="BM1432" i="5" s="1"/>
  <c r="BL687" i="5"/>
  <c r="BL1432" i="5" s="1"/>
  <c r="BS686" i="5"/>
  <c r="BS1431" i="5" s="1"/>
  <c r="BR686" i="5"/>
  <c r="BR1431" i="5" s="1"/>
  <c r="BP686" i="5"/>
  <c r="BP1431" i="5" s="1"/>
  <c r="BO686" i="5"/>
  <c r="BO1431" i="5" s="1"/>
  <c r="BM686" i="5"/>
  <c r="BM1431" i="5" s="1"/>
  <c r="BL686" i="5"/>
  <c r="BL1431" i="5" s="1"/>
  <c r="BS684" i="5"/>
  <c r="BS1429" i="5" s="1"/>
  <c r="BR684" i="5"/>
  <c r="BR1429" i="5" s="1"/>
  <c r="BP684" i="5"/>
  <c r="BP1429" i="5" s="1"/>
  <c r="BO684" i="5"/>
  <c r="BO1429" i="5" s="1"/>
  <c r="BM684" i="5"/>
  <c r="BM1429" i="5" s="1"/>
  <c r="BL684" i="5"/>
  <c r="BL1429" i="5" s="1"/>
  <c r="BS683" i="5"/>
  <c r="BS1428" i="5" s="1"/>
  <c r="BR683" i="5"/>
  <c r="BR1428" i="5" s="1"/>
  <c r="BP683" i="5"/>
  <c r="BP1428" i="5" s="1"/>
  <c r="BO683" i="5"/>
  <c r="BO1428" i="5" s="1"/>
  <c r="BM683" i="5"/>
  <c r="BM1428" i="5" s="1"/>
  <c r="BL683" i="5"/>
  <c r="BL1428" i="5" s="1"/>
  <c r="BJ696" i="5"/>
  <c r="BJ1441" i="5" s="1"/>
  <c r="BI696" i="5"/>
  <c r="BI1441" i="5" s="1"/>
  <c r="BG696" i="5"/>
  <c r="BG1441" i="5" s="1"/>
  <c r="BF696" i="5"/>
  <c r="BF1441" i="5" s="1"/>
  <c r="BD696" i="5"/>
  <c r="BD1441" i="5" s="1"/>
  <c r="BC696" i="5"/>
  <c r="BC1441" i="5" s="1"/>
  <c r="BJ695" i="5"/>
  <c r="BJ1440" i="5" s="1"/>
  <c r="BI695" i="5"/>
  <c r="BI1440" i="5" s="1"/>
  <c r="BG695" i="5"/>
  <c r="BG1440" i="5" s="1"/>
  <c r="BF695" i="5"/>
  <c r="BF1440" i="5" s="1"/>
  <c r="BD695" i="5"/>
  <c r="BD1440" i="5" s="1"/>
  <c r="BC695" i="5"/>
  <c r="BC1440" i="5" s="1"/>
  <c r="BJ693" i="5"/>
  <c r="BJ1438" i="5" s="1"/>
  <c r="BI693" i="5"/>
  <c r="BI1438" i="5" s="1"/>
  <c r="BG693" i="5"/>
  <c r="BG1438" i="5" s="1"/>
  <c r="BF693" i="5"/>
  <c r="BF1438" i="5" s="1"/>
  <c r="BD693" i="5"/>
  <c r="BD1438" i="5" s="1"/>
  <c r="BC693" i="5"/>
  <c r="BC1438" i="5" s="1"/>
  <c r="BJ692" i="5"/>
  <c r="BJ1437" i="5" s="1"/>
  <c r="BI692" i="5"/>
  <c r="BI1437" i="5" s="1"/>
  <c r="BG692" i="5"/>
  <c r="BG1437" i="5" s="1"/>
  <c r="BF692" i="5"/>
  <c r="BF1437" i="5" s="1"/>
  <c r="BD692" i="5"/>
  <c r="BD1437" i="5" s="1"/>
  <c r="BC692" i="5"/>
  <c r="BC1437" i="5" s="1"/>
  <c r="BJ687" i="5"/>
  <c r="BJ1432" i="5" s="1"/>
  <c r="BI687" i="5"/>
  <c r="BI1432" i="5" s="1"/>
  <c r="BG687" i="5"/>
  <c r="BG1432" i="5" s="1"/>
  <c r="BF687" i="5"/>
  <c r="BF1432" i="5" s="1"/>
  <c r="BD687" i="5"/>
  <c r="BD1432" i="5" s="1"/>
  <c r="BC687" i="5"/>
  <c r="BC1432" i="5" s="1"/>
  <c r="BJ686" i="5"/>
  <c r="BJ1431" i="5" s="1"/>
  <c r="BI686" i="5"/>
  <c r="BI1431" i="5" s="1"/>
  <c r="BG686" i="5"/>
  <c r="BG1431" i="5" s="1"/>
  <c r="BF686" i="5"/>
  <c r="BF1431" i="5" s="1"/>
  <c r="BD686" i="5"/>
  <c r="BD1431" i="5" s="1"/>
  <c r="BC686" i="5"/>
  <c r="BC1431" i="5" s="1"/>
  <c r="BJ684" i="5"/>
  <c r="BJ1429" i="5" s="1"/>
  <c r="BI684" i="5"/>
  <c r="BI1429" i="5" s="1"/>
  <c r="BG684" i="5"/>
  <c r="BG1429" i="5" s="1"/>
  <c r="BF684" i="5"/>
  <c r="BF1429" i="5" s="1"/>
  <c r="BD684" i="5"/>
  <c r="BD1429" i="5" s="1"/>
  <c r="BC684" i="5"/>
  <c r="BC1429" i="5" s="1"/>
  <c r="BJ683" i="5"/>
  <c r="BJ1428" i="5" s="1"/>
  <c r="BI683" i="5"/>
  <c r="BI1428" i="5" s="1"/>
  <c r="BG683" i="5"/>
  <c r="BG1428" i="5" s="1"/>
  <c r="BF683" i="5"/>
  <c r="BF1428" i="5" s="1"/>
  <c r="BD683" i="5"/>
  <c r="BD1428" i="5" s="1"/>
  <c r="BC683" i="5"/>
  <c r="BC1428" i="5" s="1"/>
  <c r="BA696" i="5"/>
  <c r="BA1441" i="5" s="1"/>
  <c r="AZ696" i="5"/>
  <c r="AZ1441" i="5" s="1"/>
  <c r="AX696" i="5"/>
  <c r="AX1441" i="5" s="1"/>
  <c r="AW696" i="5"/>
  <c r="AW1441" i="5" s="1"/>
  <c r="AU696" i="5"/>
  <c r="AU1441" i="5" s="1"/>
  <c r="AT696" i="5"/>
  <c r="AT1441" i="5" s="1"/>
  <c r="BA695" i="5"/>
  <c r="BA1440" i="5" s="1"/>
  <c r="AZ695" i="5"/>
  <c r="AZ1440" i="5" s="1"/>
  <c r="AX695" i="5"/>
  <c r="AX1440" i="5" s="1"/>
  <c r="AW695" i="5"/>
  <c r="AW1440" i="5" s="1"/>
  <c r="AU695" i="5"/>
  <c r="AU1440" i="5" s="1"/>
  <c r="AT695" i="5"/>
  <c r="AT1440" i="5" s="1"/>
  <c r="BA693" i="5"/>
  <c r="BA1438" i="5" s="1"/>
  <c r="AZ693" i="5"/>
  <c r="AZ1438" i="5" s="1"/>
  <c r="AX693" i="5"/>
  <c r="AX1438" i="5" s="1"/>
  <c r="AW693" i="5"/>
  <c r="AW1438" i="5" s="1"/>
  <c r="AU693" i="5"/>
  <c r="AU1438" i="5" s="1"/>
  <c r="AT693" i="5"/>
  <c r="AT1438" i="5" s="1"/>
  <c r="BA692" i="5"/>
  <c r="BA1437" i="5" s="1"/>
  <c r="AZ692" i="5"/>
  <c r="AZ1437" i="5" s="1"/>
  <c r="AX692" i="5"/>
  <c r="AX1437" i="5" s="1"/>
  <c r="AW692" i="5"/>
  <c r="AW1437" i="5" s="1"/>
  <c r="AU692" i="5"/>
  <c r="AU1437" i="5" s="1"/>
  <c r="AT692" i="5"/>
  <c r="AT1437" i="5" s="1"/>
  <c r="BA687" i="5"/>
  <c r="BA1432" i="5" s="1"/>
  <c r="AZ687" i="5"/>
  <c r="AZ1432" i="5" s="1"/>
  <c r="AX687" i="5"/>
  <c r="AX1432" i="5" s="1"/>
  <c r="AW687" i="5"/>
  <c r="AW1432" i="5" s="1"/>
  <c r="AU687" i="5"/>
  <c r="AU1432" i="5" s="1"/>
  <c r="AT687" i="5"/>
  <c r="AT1432" i="5" s="1"/>
  <c r="BA686" i="5"/>
  <c r="BA1431" i="5" s="1"/>
  <c r="AZ686" i="5"/>
  <c r="AZ1431" i="5" s="1"/>
  <c r="AX686" i="5"/>
  <c r="AX1431" i="5" s="1"/>
  <c r="AW686" i="5"/>
  <c r="AW1431" i="5" s="1"/>
  <c r="AU686" i="5"/>
  <c r="AU1431" i="5" s="1"/>
  <c r="AT686" i="5"/>
  <c r="AT1431" i="5" s="1"/>
  <c r="BA684" i="5"/>
  <c r="BA1429" i="5" s="1"/>
  <c r="AZ684" i="5"/>
  <c r="AZ1429" i="5" s="1"/>
  <c r="AX684" i="5"/>
  <c r="AX1429" i="5" s="1"/>
  <c r="AW684" i="5"/>
  <c r="AW1429" i="5" s="1"/>
  <c r="AU684" i="5"/>
  <c r="AU1429" i="5" s="1"/>
  <c r="AT684" i="5"/>
  <c r="AT1429" i="5" s="1"/>
  <c r="BA683" i="5"/>
  <c r="BA1428" i="5" s="1"/>
  <c r="AZ683" i="5"/>
  <c r="AZ1428" i="5" s="1"/>
  <c r="AX683" i="5"/>
  <c r="AX1428" i="5" s="1"/>
  <c r="AW683" i="5"/>
  <c r="AW1428" i="5" s="1"/>
  <c r="AU683" i="5"/>
  <c r="AU1428" i="5" s="1"/>
  <c r="AT683" i="5"/>
  <c r="AT1428" i="5" s="1"/>
  <c r="AR696" i="5"/>
  <c r="AR1441" i="5" s="1"/>
  <c r="AQ696" i="5"/>
  <c r="AQ1441" i="5" s="1"/>
  <c r="AO696" i="5"/>
  <c r="AO1441" i="5" s="1"/>
  <c r="AN696" i="5"/>
  <c r="AN1441" i="5" s="1"/>
  <c r="AL696" i="5"/>
  <c r="AL1441" i="5" s="1"/>
  <c r="AK696" i="5"/>
  <c r="AK1441" i="5" s="1"/>
  <c r="AR695" i="5"/>
  <c r="AR1440" i="5" s="1"/>
  <c r="AQ695" i="5"/>
  <c r="AQ1440" i="5" s="1"/>
  <c r="AO695" i="5"/>
  <c r="AO1440" i="5" s="1"/>
  <c r="AN695" i="5"/>
  <c r="AN1440" i="5" s="1"/>
  <c r="AL695" i="5"/>
  <c r="AL1440" i="5" s="1"/>
  <c r="AK695" i="5"/>
  <c r="AK1440" i="5" s="1"/>
  <c r="AR693" i="5"/>
  <c r="AR1438" i="5" s="1"/>
  <c r="AQ693" i="5"/>
  <c r="AQ1438" i="5" s="1"/>
  <c r="AO693" i="5"/>
  <c r="AO1438" i="5" s="1"/>
  <c r="AN693" i="5"/>
  <c r="AN1438" i="5" s="1"/>
  <c r="AL693" i="5"/>
  <c r="AL1438" i="5" s="1"/>
  <c r="AK693" i="5"/>
  <c r="AK1438" i="5" s="1"/>
  <c r="AR692" i="5"/>
  <c r="AR1437" i="5" s="1"/>
  <c r="AQ692" i="5"/>
  <c r="AQ1437" i="5" s="1"/>
  <c r="AO692" i="5"/>
  <c r="AO1437" i="5" s="1"/>
  <c r="AN692" i="5"/>
  <c r="AN1437" i="5" s="1"/>
  <c r="AL692" i="5"/>
  <c r="AL1437" i="5" s="1"/>
  <c r="AK692" i="5"/>
  <c r="AK1437" i="5" s="1"/>
  <c r="AR687" i="5"/>
  <c r="AR1432" i="5" s="1"/>
  <c r="AQ687" i="5"/>
  <c r="AQ1432" i="5" s="1"/>
  <c r="AO687" i="5"/>
  <c r="AO1432" i="5" s="1"/>
  <c r="AN687" i="5"/>
  <c r="AN1432" i="5" s="1"/>
  <c r="AL687" i="5"/>
  <c r="AL1432" i="5" s="1"/>
  <c r="AK687" i="5"/>
  <c r="AK1432" i="5" s="1"/>
  <c r="AR686" i="5"/>
  <c r="AR1431" i="5" s="1"/>
  <c r="AQ686" i="5"/>
  <c r="AQ1431" i="5" s="1"/>
  <c r="AO686" i="5"/>
  <c r="AO1431" i="5" s="1"/>
  <c r="AN686" i="5"/>
  <c r="AN1431" i="5" s="1"/>
  <c r="AL686" i="5"/>
  <c r="AL1431" i="5" s="1"/>
  <c r="AK686" i="5"/>
  <c r="AK1431" i="5" s="1"/>
  <c r="AR684" i="5"/>
  <c r="AR1429" i="5" s="1"/>
  <c r="AQ684" i="5"/>
  <c r="AQ1429" i="5" s="1"/>
  <c r="AO684" i="5"/>
  <c r="AO1429" i="5" s="1"/>
  <c r="AN684" i="5"/>
  <c r="AN1429" i="5" s="1"/>
  <c r="AL684" i="5"/>
  <c r="AL1429" i="5" s="1"/>
  <c r="AK684" i="5"/>
  <c r="AK1429" i="5" s="1"/>
  <c r="AR683" i="5"/>
  <c r="AR1428" i="5" s="1"/>
  <c r="AQ683" i="5"/>
  <c r="AQ1428" i="5" s="1"/>
  <c r="AO683" i="5"/>
  <c r="AO1428" i="5" s="1"/>
  <c r="AN683" i="5"/>
  <c r="AN1428" i="5" s="1"/>
  <c r="AL683" i="5"/>
  <c r="AL1428" i="5" s="1"/>
  <c r="AK683" i="5"/>
  <c r="AK1428" i="5" s="1"/>
  <c r="AI696" i="5"/>
  <c r="AI1441" i="5" s="1"/>
  <c r="AH696" i="5"/>
  <c r="AH1441" i="5" s="1"/>
  <c r="AF696" i="5"/>
  <c r="AF1441" i="5" s="1"/>
  <c r="AE696" i="5"/>
  <c r="AE1441" i="5" s="1"/>
  <c r="AC696" i="5"/>
  <c r="AC1441" i="5" s="1"/>
  <c r="AB696" i="5"/>
  <c r="AB1441" i="5" s="1"/>
  <c r="AI695" i="5"/>
  <c r="AI1440" i="5" s="1"/>
  <c r="AH695" i="5"/>
  <c r="AH1440" i="5" s="1"/>
  <c r="AF695" i="5"/>
  <c r="AF1440" i="5" s="1"/>
  <c r="AE695" i="5"/>
  <c r="AE1440" i="5" s="1"/>
  <c r="AC695" i="5"/>
  <c r="AC1440" i="5" s="1"/>
  <c r="AB695" i="5"/>
  <c r="AB1440" i="5" s="1"/>
  <c r="AI693" i="5"/>
  <c r="AI1438" i="5" s="1"/>
  <c r="AH693" i="5"/>
  <c r="AH1438" i="5" s="1"/>
  <c r="AF693" i="5"/>
  <c r="AF1438" i="5" s="1"/>
  <c r="AE693" i="5"/>
  <c r="AE1438" i="5" s="1"/>
  <c r="AC693" i="5"/>
  <c r="AC1438" i="5" s="1"/>
  <c r="AB693" i="5"/>
  <c r="AB1438" i="5" s="1"/>
  <c r="AI692" i="5"/>
  <c r="AI1437" i="5" s="1"/>
  <c r="AH692" i="5"/>
  <c r="AH1437" i="5" s="1"/>
  <c r="AF692" i="5"/>
  <c r="AF1437" i="5" s="1"/>
  <c r="AE692" i="5"/>
  <c r="AE1437" i="5" s="1"/>
  <c r="AC692" i="5"/>
  <c r="AC1437" i="5" s="1"/>
  <c r="AB692" i="5"/>
  <c r="AB1437" i="5" s="1"/>
  <c r="AI687" i="5"/>
  <c r="AI1432" i="5" s="1"/>
  <c r="AH687" i="5"/>
  <c r="AH1432" i="5" s="1"/>
  <c r="AF687" i="5"/>
  <c r="AF1432" i="5" s="1"/>
  <c r="AE687" i="5"/>
  <c r="AE1432" i="5" s="1"/>
  <c r="AC687" i="5"/>
  <c r="AC1432" i="5" s="1"/>
  <c r="AB687" i="5"/>
  <c r="AB1432" i="5" s="1"/>
  <c r="AI686" i="5"/>
  <c r="AI1431" i="5" s="1"/>
  <c r="AH686" i="5"/>
  <c r="AH1431" i="5" s="1"/>
  <c r="AF686" i="5"/>
  <c r="AF1431" i="5" s="1"/>
  <c r="AE686" i="5"/>
  <c r="AE1431" i="5" s="1"/>
  <c r="AC686" i="5"/>
  <c r="AC1431" i="5" s="1"/>
  <c r="AB686" i="5"/>
  <c r="AB1431" i="5" s="1"/>
  <c r="AI684" i="5"/>
  <c r="AI1429" i="5" s="1"/>
  <c r="AH684" i="5"/>
  <c r="AH1429" i="5" s="1"/>
  <c r="AF684" i="5"/>
  <c r="AF1429" i="5" s="1"/>
  <c r="AE684" i="5"/>
  <c r="AE1429" i="5" s="1"/>
  <c r="AC684" i="5"/>
  <c r="AC1429" i="5" s="1"/>
  <c r="AB684" i="5"/>
  <c r="AB1429" i="5" s="1"/>
  <c r="AI683" i="5"/>
  <c r="AI1428" i="5" s="1"/>
  <c r="AH683" i="5"/>
  <c r="AH1428" i="5" s="1"/>
  <c r="AF683" i="5"/>
  <c r="AF1428" i="5" s="1"/>
  <c r="AE683" i="5"/>
  <c r="AE1428" i="5" s="1"/>
  <c r="AC683" i="5"/>
  <c r="AC1428" i="5" s="1"/>
  <c r="AB683" i="5"/>
  <c r="AB1428" i="5" s="1"/>
  <c r="Z696" i="5"/>
  <c r="Z1441" i="5" s="1"/>
  <c r="Y696" i="5"/>
  <c r="Y1441" i="5" s="1"/>
  <c r="Z695" i="5"/>
  <c r="Z1440" i="5" s="1"/>
  <c r="Y695" i="5"/>
  <c r="Y1440" i="5" s="1"/>
  <c r="Z693" i="5"/>
  <c r="Z1438" i="5" s="1"/>
  <c r="Y693" i="5"/>
  <c r="Y1438" i="5" s="1"/>
  <c r="Z692" i="5"/>
  <c r="Z1437" i="5" s="1"/>
  <c r="Y692" i="5"/>
  <c r="Y1437" i="5" s="1"/>
  <c r="Z687" i="5"/>
  <c r="Z1432" i="5" s="1"/>
  <c r="Y687" i="5"/>
  <c r="Y1432" i="5" s="1"/>
  <c r="Z686" i="5"/>
  <c r="Z1431" i="5" s="1"/>
  <c r="Y686" i="5"/>
  <c r="Y1431" i="5" s="1"/>
  <c r="Z684" i="5"/>
  <c r="Z1429" i="5" s="1"/>
  <c r="Y684" i="5"/>
  <c r="Y1429" i="5" s="1"/>
  <c r="Z683" i="5"/>
  <c r="Z1428" i="5" s="1"/>
  <c r="Y683" i="5"/>
  <c r="Y1428" i="5" s="1"/>
  <c r="W696" i="5"/>
  <c r="W1441" i="5" s="1"/>
  <c r="V696" i="5"/>
  <c r="V1441" i="5" s="1"/>
  <c r="W695" i="5"/>
  <c r="W1440" i="5" s="1"/>
  <c r="V695" i="5"/>
  <c r="V1440" i="5" s="1"/>
  <c r="W693" i="5"/>
  <c r="W1438" i="5" s="1"/>
  <c r="V693" i="5"/>
  <c r="V1438" i="5" s="1"/>
  <c r="W692" i="5"/>
  <c r="W1437" i="5" s="1"/>
  <c r="V692" i="5"/>
  <c r="V1437" i="5" s="1"/>
  <c r="W687" i="5"/>
  <c r="W1432" i="5" s="1"/>
  <c r="V687" i="5"/>
  <c r="V1432" i="5" s="1"/>
  <c r="W686" i="5"/>
  <c r="W1431" i="5" s="1"/>
  <c r="V686" i="5"/>
  <c r="V1431" i="5" s="1"/>
  <c r="W684" i="5"/>
  <c r="W1429" i="5" s="1"/>
  <c r="V684" i="5"/>
  <c r="V1429" i="5" s="1"/>
  <c r="W683" i="5"/>
  <c r="W1428" i="5" s="1"/>
  <c r="V683" i="5"/>
  <c r="V1428" i="5" s="1"/>
  <c r="T696" i="5"/>
  <c r="T1441" i="5" s="1"/>
  <c r="S696" i="5"/>
  <c r="S1441" i="5" s="1"/>
  <c r="T695" i="5"/>
  <c r="T1440" i="5" s="1"/>
  <c r="S695" i="5"/>
  <c r="S1440" i="5" s="1"/>
  <c r="T693" i="5"/>
  <c r="T1438" i="5" s="1"/>
  <c r="S693" i="5"/>
  <c r="S1438" i="5" s="1"/>
  <c r="T692" i="5"/>
  <c r="T1437" i="5" s="1"/>
  <c r="S692" i="5"/>
  <c r="S1437" i="5" s="1"/>
  <c r="T687" i="5"/>
  <c r="T1432" i="5" s="1"/>
  <c r="S687" i="5"/>
  <c r="S1432" i="5" s="1"/>
  <c r="T686" i="5"/>
  <c r="T1431" i="5" s="1"/>
  <c r="S686" i="5"/>
  <c r="S1431" i="5" s="1"/>
  <c r="T684" i="5"/>
  <c r="T1429" i="5" s="1"/>
  <c r="S684" i="5"/>
  <c r="S1429" i="5" s="1"/>
  <c r="T683" i="5"/>
  <c r="T1428" i="5" s="1"/>
  <c r="S683" i="5"/>
  <c r="S1428" i="5" s="1"/>
  <c r="K696" i="5"/>
  <c r="K1441" i="5" s="1"/>
  <c r="K695" i="5"/>
  <c r="K1440" i="5" s="1"/>
  <c r="K693" i="5"/>
  <c r="K1438" i="5" s="1"/>
  <c r="K692" i="5"/>
  <c r="K1437" i="5" s="1"/>
  <c r="K687" i="5"/>
  <c r="K1432" i="5" s="1"/>
  <c r="K686" i="5"/>
  <c r="K1431" i="5" s="1"/>
  <c r="K684" i="5"/>
  <c r="K1429" i="5" s="1"/>
  <c r="K683" i="5"/>
  <c r="K1428" i="5" s="1"/>
  <c r="J696" i="5"/>
  <c r="J1441" i="5" s="1"/>
  <c r="J695" i="5"/>
  <c r="J1440" i="5" s="1"/>
  <c r="J693" i="5"/>
  <c r="J1438" i="5" s="1"/>
  <c r="J692" i="5"/>
  <c r="J1437" i="5" s="1"/>
  <c r="J687" i="5"/>
  <c r="J1432" i="5" s="1"/>
  <c r="J686" i="5"/>
  <c r="J1431" i="5" s="1"/>
  <c r="J684" i="5"/>
  <c r="J1429" i="5" s="1"/>
  <c r="J683" i="5"/>
  <c r="J1428" i="5" s="1"/>
  <c r="CK543" i="5"/>
  <c r="CK694" i="5" s="1"/>
  <c r="CK1439" i="5" s="1"/>
  <c r="CJ543" i="5"/>
  <c r="CJ694" i="5" s="1"/>
  <c r="CJ1439" i="5" s="1"/>
  <c r="CH543" i="5"/>
  <c r="CH694" i="5" s="1"/>
  <c r="CH1439" i="5" s="1"/>
  <c r="CG543" i="5"/>
  <c r="CG694" i="5" s="1"/>
  <c r="CG1439" i="5" s="1"/>
  <c r="CE543" i="5"/>
  <c r="CE694" i="5" s="1"/>
  <c r="CE1439" i="5" s="1"/>
  <c r="CD543" i="5"/>
  <c r="CD694" i="5" s="1"/>
  <c r="CD1439" i="5" s="1"/>
  <c r="CK540" i="5"/>
  <c r="CK691" i="5" s="1"/>
  <c r="CK1436" i="5" s="1"/>
  <c r="CJ540" i="5"/>
  <c r="CJ691" i="5" s="1"/>
  <c r="CJ1436" i="5" s="1"/>
  <c r="CH540" i="5"/>
  <c r="CH691" i="5" s="1"/>
  <c r="CH1436" i="5" s="1"/>
  <c r="CG540" i="5"/>
  <c r="CG691" i="5" s="1"/>
  <c r="CG1436" i="5" s="1"/>
  <c r="CE540" i="5"/>
  <c r="CE691" i="5" s="1"/>
  <c r="CE1436" i="5" s="1"/>
  <c r="CD540" i="5"/>
  <c r="CD691" i="5" s="1"/>
  <c r="CD1436" i="5" s="1"/>
  <c r="CB543" i="5"/>
  <c r="CB694" i="5" s="1"/>
  <c r="CB1439" i="5" s="1"/>
  <c r="CA543" i="5"/>
  <c r="CA694" i="5" s="1"/>
  <c r="CA1439" i="5" s="1"/>
  <c r="BY543" i="5"/>
  <c r="BY694" i="5" s="1"/>
  <c r="BY1439" i="5" s="1"/>
  <c r="BX543" i="5"/>
  <c r="BX694" i="5" s="1"/>
  <c r="BX1439" i="5" s="1"/>
  <c r="BV543" i="5"/>
  <c r="BV694" i="5" s="1"/>
  <c r="BV1439" i="5" s="1"/>
  <c r="BU543" i="5"/>
  <c r="BU694" i="5" s="1"/>
  <c r="BU1439" i="5" s="1"/>
  <c r="CB540" i="5"/>
  <c r="CB691" i="5" s="1"/>
  <c r="CB1436" i="5" s="1"/>
  <c r="CA540" i="5"/>
  <c r="CA691" i="5" s="1"/>
  <c r="CA1436" i="5" s="1"/>
  <c r="BY540" i="5"/>
  <c r="BY691" i="5" s="1"/>
  <c r="BY1436" i="5" s="1"/>
  <c r="BX540" i="5"/>
  <c r="BX691" i="5" s="1"/>
  <c r="BX1436" i="5" s="1"/>
  <c r="BV540" i="5"/>
  <c r="BV691" i="5" s="1"/>
  <c r="BV1436" i="5" s="1"/>
  <c r="BU540" i="5"/>
  <c r="BU691" i="5" s="1"/>
  <c r="BU1436" i="5" s="1"/>
  <c r="BS543" i="5"/>
  <c r="BS694" i="5" s="1"/>
  <c r="BS1439" i="5" s="1"/>
  <c r="BR543" i="5"/>
  <c r="BR694" i="5" s="1"/>
  <c r="BR1439" i="5" s="1"/>
  <c r="BP543" i="5"/>
  <c r="BP694" i="5" s="1"/>
  <c r="BP1439" i="5" s="1"/>
  <c r="BO543" i="5"/>
  <c r="BO694" i="5" s="1"/>
  <c r="BO1439" i="5" s="1"/>
  <c r="BM543" i="5"/>
  <c r="BM694" i="5" s="1"/>
  <c r="BM1439" i="5" s="1"/>
  <c r="BL543" i="5"/>
  <c r="BL694" i="5" s="1"/>
  <c r="BL1439" i="5" s="1"/>
  <c r="BS540" i="5"/>
  <c r="BS691" i="5" s="1"/>
  <c r="BS1436" i="5" s="1"/>
  <c r="BR540" i="5"/>
  <c r="BR691" i="5" s="1"/>
  <c r="BR1436" i="5" s="1"/>
  <c r="BP540" i="5"/>
  <c r="BP691" i="5" s="1"/>
  <c r="BP1436" i="5" s="1"/>
  <c r="BO540" i="5"/>
  <c r="BO691" i="5" s="1"/>
  <c r="BO1436" i="5" s="1"/>
  <c r="BM540" i="5"/>
  <c r="BM691" i="5" s="1"/>
  <c r="BM1436" i="5" s="1"/>
  <c r="BL540" i="5"/>
  <c r="BL691" i="5" s="1"/>
  <c r="BL1436" i="5" s="1"/>
  <c r="BJ543" i="5"/>
  <c r="BJ694" i="5" s="1"/>
  <c r="BJ1439" i="5" s="1"/>
  <c r="BI543" i="5"/>
  <c r="BI694" i="5" s="1"/>
  <c r="BI1439" i="5" s="1"/>
  <c r="BG543" i="5"/>
  <c r="BG694" i="5" s="1"/>
  <c r="BG1439" i="5" s="1"/>
  <c r="BF543" i="5"/>
  <c r="BF694" i="5" s="1"/>
  <c r="BF1439" i="5" s="1"/>
  <c r="BD543" i="5"/>
  <c r="BD694" i="5" s="1"/>
  <c r="BD1439" i="5" s="1"/>
  <c r="BC543" i="5"/>
  <c r="BC694" i="5" s="1"/>
  <c r="BC1439" i="5" s="1"/>
  <c r="BJ540" i="5"/>
  <c r="BJ691" i="5" s="1"/>
  <c r="BJ1436" i="5" s="1"/>
  <c r="BI540" i="5"/>
  <c r="BI691" i="5" s="1"/>
  <c r="BI1436" i="5" s="1"/>
  <c r="BG540" i="5"/>
  <c r="BG691" i="5" s="1"/>
  <c r="BG1436" i="5" s="1"/>
  <c r="BF540" i="5"/>
  <c r="BF691" i="5" s="1"/>
  <c r="BF1436" i="5" s="1"/>
  <c r="BD540" i="5"/>
  <c r="BD691" i="5" s="1"/>
  <c r="BD1436" i="5" s="1"/>
  <c r="BC540" i="5"/>
  <c r="BC691" i="5" s="1"/>
  <c r="BC1436" i="5" s="1"/>
  <c r="BA543" i="5"/>
  <c r="BA694" i="5" s="1"/>
  <c r="BA1439" i="5" s="1"/>
  <c r="AZ543" i="5"/>
  <c r="AZ694" i="5" s="1"/>
  <c r="AZ1439" i="5" s="1"/>
  <c r="AX543" i="5"/>
  <c r="AX694" i="5" s="1"/>
  <c r="AX1439" i="5" s="1"/>
  <c r="AW543" i="5"/>
  <c r="AW694" i="5" s="1"/>
  <c r="AW1439" i="5" s="1"/>
  <c r="AU543" i="5"/>
  <c r="AU694" i="5" s="1"/>
  <c r="AU1439" i="5" s="1"/>
  <c r="AT543" i="5"/>
  <c r="AT694" i="5" s="1"/>
  <c r="AT1439" i="5" s="1"/>
  <c r="BA540" i="5"/>
  <c r="BA691" i="5" s="1"/>
  <c r="BA1436" i="5" s="1"/>
  <c r="AZ540" i="5"/>
  <c r="AZ691" i="5" s="1"/>
  <c r="AZ1436" i="5" s="1"/>
  <c r="AX540" i="5"/>
  <c r="AX691" i="5" s="1"/>
  <c r="AX1436" i="5" s="1"/>
  <c r="AW540" i="5"/>
  <c r="AW691" i="5" s="1"/>
  <c r="AW1436" i="5" s="1"/>
  <c r="AU540" i="5"/>
  <c r="AU691" i="5" s="1"/>
  <c r="AU1436" i="5" s="1"/>
  <c r="AT540" i="5"/>
  <c r="AT691" i="5" s="1"/>
  <c r="AT1436" i="5" s="1"/>
  <c r="AR543" i="5"/>
  <c r="AR694" i="5" s="1"/>
  <c r="AR1439" i="5" s="1"/>
  <c r="AQ543" i="5"/>
  <c r="AQ694" i="5" s="1"/>
  <c r="AQ1439" i="5" s="1"/>
  <c r="AO543" i="5"/>
  <c r="AO694" i="5" s="1"/>
  <c r="AO1439" i="5" s="1"/>
  <c r="AN543" i="5"/>
  <c r="AN694" i="5" s="1"/>
  <c r="AN1439" i="5" s="1"/>
  <c r="AL543" i="5"/>
  <c r="AL694" i="5" s="1"/>
  <c r="AL1439" i="5" s="1"/>
  <c r="AK543" i="5"/>
  <c r="AK694" i="5" s="1"/>
  <c r="AK1439" i="5" s="1"/>
  <c r="AR540" i="5"/>
  <c r="AR691" i="5" s="1"/>
  <c r="AR1436" i="5" s="1"/>
  <c r="AQ540" i="5"/>
  <c r="AQ691" i="5" s="1"/>
  <c r="AQ1436" i="5" s="1"/>
  <c r="AO540" i="5"/>
  <c r="AO691" i="5" s="1"/>
  <c r="AO1436" i="5" s="1"/>
  <c r="AN540" i="5"/>
  <c r="AN691" i="5" s="1"/>
  <c r="AN1436" i="5" s="1"/>
  <c r="AL540" i="5"/>
  <c r="AL691" i="5" s="1"/>
  <c r="AL1436" i="5" s="1"/>
  <c r="AK540" i="5"/>
  <c r="AK691" i="5" s="1"/>
  <c r="AK1436" i="5" s="1"/>
  <c r="AI543" i="5"/>
  <c r="AI694" i="5" s="1"/>
  <c r="AI1439" i="5" s="1"/>
  <c r="AH543" i="5"/>
  <c r="AH694" i="5" s="1"/>
  <c r="AH1439" i="5" s="1"/>
  <c r="AF543" i="5"/>
  <c r="AF694" i="5" s="1"/>
  <c r="AF1439" i="5" s="1"/>
  <c r="AE543" i="5"/>
  <c r="AE694" i="5" s="1"/>
  <c r="AE1439" i="5" s="1"/>
  <c r="AC543" i="5"/>
  <c r="AC694" i="5" s="1"/>
  <c r="AC1439" i="5" s="1"/>
  <c r="AB543" i="5"/>
  <c r="AB694" i="5" s="1"/>
  <c r="AB1439" i="5" s="1"/>
  <c r="AI540" i="5"/>
  <c r="AI691" i="5" s="1"/>
  <c r="AI1436" i="5" s="1"/>
  <c r="AH540" i="5"/>
  <c r="AH691" i="5" s="1"/>
  <c r="AH1436" i="5" s="1"/>
  <c r="AF540" i="5"/>
  <c r="AF691" i="5" s="1"/>
  <c r="AF1436" i="5" s="1"/>
  <c r="AE540" i="5"/>
  <c r="AE691" i="5" s="1"/>
  <c r="AE1436" i="5" s="1"/>
  <c r="AC540" i="5"/>
  <c r="AC691" i="5" s="1"/>
  <c r="AC1436" i="5" s="1"/>
  <c r="AB540" i="5"/>
  <c r="AB691" i="5" s="1"/>
  <c r="AB1436" i="5" s="1"/>
  <c r="Z543" i="5"/>
  <c r="Z694" i="5" s="1"/>
  <c r="Z1439" i="5" s="1"/>
  <c r="Y543" i="5"/>
  <c r="Y694" i="5" s="1"/>
  <c r="Y1439" i="5" s="1"/>
  <c r="Z540" i="5"/>
  <c r="Z691" i="5" s="1"/>
  <c r="Z1436" i="5" s="1"/>
  <c r="Y540" i="5"/>
  <c r="Y691" i="5" s="1"/>
  <c r="Y1436" i="5" s="1"/>
  <c r="W543" i="5"/>
  <c r="W694" i="5" s="1"/>
  <c r="W1439" i="5" s="1"/>
  <c r="V543" i="5"/>
  <c r="V694" i="5" s="1"/>
  <c r="V1439" i="5" s="1"/>
  <c r="W540" i="5"/>
  <c r="W691" i="5" s="1"/>
  <c r="W1436" i="5" s="1"/>
  <c r="V540" i="5"/>
  <c r="V691" i="5" s="1"/>
  <c r="V1436" i="5" s="1"/>
  <c r="T543" i="5"/>
  <c r="T694" i="5" s="1"/>
  <c r="T1439" i="5" s="1"/>
  <c r="S543" i="5"/>
  <c r="S694" i="5" s="1"/>
  <c r="S1439" i="5" s="1"/>
  <c r="T540" i="5"/>
  <c r="T691" i="5" s="1"/>
  <c r="T1436" i="5" s="1"/>
  <c r="S540" i="5"/>
  <c r="S691" i="5" s="1"/>
  <c r="S1436" i="5" s="1"/>
  <c r="K543" i="5"/>
  <c r="K694" i="5" s="1"/>
  <c r="K1439" i="5" s="1"/>
  <c r="J543" i="5"/>
  <c r="J694" i="5" s="1"/>
  <c r="J1439" i="5" s="1"/>
  <c r="K540" i="5"/>
  <c r="K691" i="5" s="1"/>
  <c r="K1436" i="5" s="1"/>
  <c r="J540" i="5"/>
  <c r="J691" i="5" s="1"/>
  <c r="J1436" i="5" s="1"/>
  <c r="CK534" i="5"/>
  <c r="CK685" i="5" s="1"/>
  <c r="CK1430" i="5" s="1"/>
  <c r="CJ534" i="5"/>
  <c r="CJ685" i="5" s="1"/>
  <c r="CJ1430" i="5" s="1"/>
  <c r="CH534" i="5"/>
  <c r="CH685" i="5" s="1"/>
  <c r="CH1430" i="5" s="1"/>
  <c r="CG534" i="5"/>
  <c r="CG685" i="5" s="1"/>
  <c r="CG1430" i="5" s="1"/>
  <c r="CE534" i="5"/>
  <c r="CE685" i="5" s="1"/>
  <c r="CE1430" i="5" s="1"/>
  <c r="CD534" i="5"/>
  <c r="CD685" i="5" s="1"/>
  <c r="CD1430" i="5" s="1"/>
  <c r="CB534" i="5"/>
  <c r="CB685" i="5" s="1"/>
  <c r="CB1430" i="5" s="1"/>
  <c r="CA534" i="5"/>
  <c r="CA685" i="5" s="1"/>
  <c r="CA1430" i="5" s="1"/>
  <c r="BY534" i="5"/>
  <c r="BY685" i="5" s="1"/>
  <c r="BY1430" i="5" s="1"/>
  <c r="BX534" i="5"/>
  <c r="BX685" i="5" s="1"/>
  <c r="BX1430" i="5" s="1"/>
  <c r="BV534" i="5"/>
  <c r="BV685" i="5" s="1"/>
  <c r="BV1430" i="5" s="1"/>
  <c r="BU534" i="5"/>
  <c r="BU685" i="5" s="1"/>
  <c r="BU1430" i="5" s="1"/>
  <c r="BS534" i="5"/>
  <c r="BS685" i="5" s="1"/>
  <c r="BS1430" i="5" s="1"/>
  <c r="BR534" i="5"/>
  <c r="BR685" i="5" s="1"/>
  <c r="BR1430" i="5" s="1"/>
  <c r="BP534" i="5"/>
  <c r="BP685" i="5" s="1"/>
  <c r="BP1430" i="5" s="1"/>
  <c r="BO534" i="5"/>
  <c r="BO685" i="5" s="1"/>
  <c r="BO1430" i="5" s="1"/>
  <c r="BM534" i="5"/>
  <c r="BM685" i="5" s="1"/>
  <c r="BM1430" i="5" s="1"/>
  <c r="BL534" i="5"/>
  <c r="BL685" i="5" s="1"/>
  <c r="BL1430" i="5" s="1"/>
  <c r="BJ534" i="5"/>
  <c r="BJ685" i="5" s="1"/>
  <c r="BJ1430" i="5" s="1"/>
  <c r="BI534" i="5"/>
  <c r="BI685" i="5" s="1"/>
  <c r="BI1430" i="5" s="1"/>
  <c r="BG534" i="5"/>
  <c r="BG685" i="5" s="1"/>
  <c r="BG1430" i="5" s="1"/>
  <c r="BF534" i="5"/>
  <c r="BF685" i="5" s="1"/>
  <c r="BF1430" i="5" s="1"/>
  <c r="BD534" i="5"/>
  <c r="BD685" i="5" s="1"/>
  <c r="BD1430" i="5" s="1"/>
  <c r="BC534" i="5"/>
  <c r="BC685" i="5" s="1"/>
  <c r="BC1430" i="5" s="1"/>
  <c r="BA534" i="5"/>
  <c r="BA685" i="5" s="1"/>
  <c r="BA1430" i="5" s="1"/>
  <c r="AZ534" i="5"/>
  <c r="AZ685" i="5" s="1"/>
  <c r="AZ1430" i="5" s="1"/>
  <c r="AX534" i="5"/>
  <c r="AX685" i="5" s="1"/>
  <c r="AX1430" i="5" s="1"/>
  <c r="AW534" i="5"/>
  <c r="AW685" i="5" s="1"/>
  <c r="AW1430" i="5" s="1"/>
  <c r="AU534" i="5"/>
  <c r="AU685" i="5" s="1"/>
  <c r="AU1430" i="5" s="1"/>
  <c r="AT534" i="5"/>
  <c r="AT685" i="5" s="1"/>
  <c r="AT1430" i="5" s="1"/>
  <c r="AR534" i="5"/>
  <c r="AR685" i="5" s="1"/>
  <c r="AR1430" i="5" s="1"/>
  <c r="AQ534" i="5"/>
  <c r="AQ685" i="5" s="1"/>
  <c r="AQ1430" i="5" s="1"/>
  <c r="AO534" i="5"/>
  <c r="AO685" i="5" s="1"/>
  <c r="AO1430" i="5" s="1"/>
  <c r="AN534" i="5"/>
  <c r="AN685" i="5" s="1"/>
  <c r="AN1430" i="5" s="1"/>
  <c r="AL534" i="5"/>
  <c r="AL685" i="5" s="1"/>
  <c r="AL1430" i="5" s="1"/>
  <c r="AK534" i="5"/>
  <c r="AK685" i="5" s="1"/>
  <c r="AK1430" i="5" s="1"/>
  <c r="AI534" i="5"/>
  <c r="AI685" i="5" s="1"/>
  <c r="AI1430" i="5" s="1"/>
  <c r="AH534" i="5"/>
  <c r="AH685" i="5" s="1"/>
  <c r="AH1430" i="5" s="1"/>
  <c r="AF534" i="5"/>
  <c r="AF685" i="5" s="1"/>
  <c r="AF1430" i="5" s="1"/>
  <c r="AE534" i="5"/>
  <c r="AE685" i="5" s="1"/>
  <c r="AE1430" i="5" s="1"/>
  <c r="AC534" i="5"/>
  <c r="AC685" i="5" s="1"/>
  <c r="AC1430" i="5" s="1"/>
  <c r="AB534" i="5"/>
  <c r="AB685" i="5" s="1"/>
  <c r="AB1430" i="5" s="1"/>
  <c r="Z534" i="5"/>
  <c r="Z685" i="5" s="1"/>
  <c r="Z1430" i="5" s="1"/>
  <c r="Y534" i="5"/>
  <c r="Y685" i="5" s="1"/>
  <c r="Y1430" i="5" s="1"/>
  <c r="W534" i="5"/>
  <c r="W685" i="5" s="1"/>
  <c r="W1430" i="5" s="1"/>
  <c r="V534" i="5"/>
  <c r="V685" i="5" s="1"/>
  <c r="V1430" i="5" s="1"/>
  <c r="T534" i="5"/>
  <c r="T685" i="5" s="1"/>
  <c r="T1430" i="5" s="1"/>
  <c r="S534" i="5"/>
  <c r="S685" i="5" s="1"/>
  <c r="S1430" i="5" s="1"/>
  <c r="K534" i="5"/>
  <c r="K685" i="5" s="1"/>
  <c r="K1430" i="5" s="1"/>
  <c r="J534" i="5"/>
  <c r="J685" i="5" s="1"/>
  <c r="J1430" i="5" s="1"/>
  <c r="CK531" i="5"/>
  <c r="CK682" i="5" s="1"/>
  <c r="CK1427" i="5" s="1"/>
  <c r="CJ531" i="5"/>
  <c r="CJ682" i="5" s="1"/>
  <c r="CJ1427" i="5" s="1"/>
  <c r="CH531" i="5"/>
  <c r="CH682" i="5" s="1"/>
  <c r="CH1427" i="5" s="1"/>
  <c r="CG531" i="5"/>
  <c r="CG682" i="5" s="1"/>
  <c r="CG1427" i="5" s="1"/>
  <c r="CE531" i="5"/>
  <c r="CE682" i="5" s="1"/>
  <c r="CE1427" i="5" s="1"/>
  <c r="CD531" i="5"/>
  <c r="CD682" i="5" s="1"/>
  <c r="CD1427" i="5" s="1"/>
  <c r="CB531" i="5"/>
  <c r="CB682" i="5" s="1"/>
  <c r="CB1427" i="5" s="1"/>
  <c r="CA531" i="5"/>
  <c r="CA682" i="5" s="1"/>
  <c r="CA1427" i="5" s="1"/>
  <c r="BY531" i="5"/>
  <c r="BY682" i="5" s="1"/>
  <c r="BY1427" i="5" s="1"/>
  <c r="BX531" i="5"/>
  <c r="BX682" i="5" s="1"/>
  <c r="BX1427" i="5" s="1"/>
  <c r="BV531" i="5"/>
  <c r="BV682" i="5" s="1"/>
  <c r="BV1427" i="5" s="1"/>
  <c r="BU531" i="5"/>
  <c r="BU682" i="5" s="1"/>
  <c r="BU1427" i="5" s="1"/>
  <c r="BS531" i="5"/>
  <c r="BS682" i="5" s="1"/>
  <c r="BS1427" i="5" s="1"/>
  <c r="BR531" i="5"/>
  <c r="BR682" i="5" s="1"/>
  <c r="BR1427" i="5" s="1"/>
  <c r="BP531" i="5"/>
  <c r="BP682" i="5" s="1"/>
  <c r="BP1427" i="5" s="1"/>
  <c r="BO531" i="5"/>
  <c r="BO682" i="5" s="1"/>
  <c r="BO1427" i="5" s="1"/>
  <c r="BM531" i="5"/>
  <c r="BM682" i="5" s="1"/>
  <c r="BM1427" i="5" s="1"/>
  <c r="BL531" i="5"/>
  <c r="BL682" i="5" s="1"/>
  <c r="BL1427" i="5" s="1"/>
  <c r="BJ531" i="5"/>
  <c r="BJ682" i="5" s="1"/>
  <c r="BJ1427" i="5" s="1"/>
  <c r="BI531" i="5"/>
  <c r="BI682" i="5" s="1"/>
  <c r="BI1427" i="5" s="1"/>
  <c r="BG531" i="5"/>
  <c r="BG682" i="5" s="1"/>
  <c r="BG1427" i="5" s="1"/>
  <c r="BF531" i="5"/>
  <c r="BF682" i="5" s="1"/>
  <c r="BF1427" i="5" s="1"/>
  <c r="BD531" i="5"/>
  <c r="BD682" i="5" s="1"/>
  <c r="BD1427" i="5" s="1"/>
  <c r="BC531" i="5"/>
  <c r="BC682" i="5" s="1"/>
  <c r="BC1427" i="5" s="1"/>
  <c r="BA531" i="5"/>
  <c r="BA682" i="5" s="1"/>
  <c r="BA1427" i="5" s="1"/>
  <c r="AZ531" i="5"/>
  <c r="AZ682" i="5" s="1"/>
  <c r="AZ1427" i="5" s="1"/>
  <c r="AX531" i="5"/>
  <c r="AX682" i="5" s="1"/>
  <c r="AX1427" i="5" s="1"/>
  <c r="AW531" i="5"/>
  <c r="AW682" i="5" s="1"/>
  <c r="AW1427" i="5" s="1"/>
  <c r="AU531" i="5"/>
  <c r="AU682" i="5" s="1"/>
  <c r="AU1427" i="5" s="1"/>
  <c r="AT531" i="5"/>
  <c r="AT682" i="5" s="1"/>
  <c r="AT1427" i="5" s="1"/>
  <c r="AR531" i="5"/>
  <c r="AR682" i="5" s="1"/>
  <c r="AR1427" i="5" s="1"/>
  <c r="AQ531" i="5"/>
  <c r="AQ682" i="5" s="1"/>
  <c r="AQ1427" i="5" s="1"/>
  <c r="AO531" i="5"/>
  <c r="AO682" i="5" s="1"/>
  <c r="AO1427" i="5" s="1"/>
  <c r="AN531" i="5"/>
  <c r="AN682" i="5" s="1"/>
  <c r="AN1427" i="5" s="1"/>
  <c r="AL531" i="5"/>
  <c r="AL682" i="5" s="1"/>
  <c r="AL1427" i="5" s="1"/>
  <c r="AK531" i="5"/>
  <c r="AK682" i="5" s="1"/>
  <c r="AK1427" i="5" s="1"/>
  <c r="AI531" i="5"/>
  <c r="AI682" i="5" s="1"/>
  <c r="AI1427" i="5" s="1"/>
  <c r="AH531" i="5"/>
  <c r="AH682" i="5" s="1"/>
  <c r="AH1427" i="5" s="1"/>
  <c r="AF531" i="5"/>
  <c r="AF682" i="5" s="1"/>
  <c r="AF1427" i="5" s="1"/>
  <c r="AE531" i="5"/>
  <c r="AE682" i="5" s="1"/>
  <c r="AE1427" i="5" s="1"/>
  <c r="AC531" i="5"/>
  <c r="AC682" i="5" s="1"/>
  <c r="AC1427" i="5" s="1"/>
  <c r="AB531" i="5"/>
  <c r="AB682" i="5" s="1"/>
  <c r="AB1427" i="5" s="1"/>
  <c r="Z531" i="5"/>
  <c r="Z682" i="5" s="1"/>
  <c r="Z1427" i="5" s="1"/>
  <c r="Y531" i="5"/>
  <c r="Y682" i="5" s="1"/>
  <c r="Y1427" i="5" s="1"/>
  <c r="W531" i="5"/>
  <c r="W682" i="5" s="1"/>
  <c r="W1427" i="5" s="1"/>
  <c r="V531" i="5"/>
  <c r="V682" i="5" s="1"/>
  <c r="V1427" i="5" s="1"/>
  <c r="T531" i="5"/>
  <c r="T682" i="5" s="1"/>
  <c r="T1427" i="5" s="1"/>
  <c r="S531" i="5"/>
  <c r="S682" i="5" s="1"/>
  <c r="S1427" i="5" s="1"/>
  <c r="K531" i="5"/>
  <c r="J531" i="5"/>
  <c r="J682" i="5" s="1"/>
  <c r="J1427" i="5" s="1"/>
  <c r="CK539" i="5"/>
  <c r="CK690" i="5" s="1"/>
  <c r="CK1435" i="5" s="1"/>
  <c r="CJ539" i="5"/>
  <c r="CJ690" i="5" s="1"/>
  <c r="CJ1435" i="5" s="1"/>
  <c r="CH539" i="5"/>
  <c r="CH690" i="5" s="1"/>
  <c r="CH1435" i="5" s="1"/>
  <c r="CG539" i="5"/>
  <c r="CG690" i="5" s="1"/>
  <c r="CG1435" i="5" s="1"/>
  <c r="CE539" i="5"/>
  <c r="CE690" i="5" s="1"/>
  <c r="CE1435" i="5" s="1"/>
  <c r="CD539" i="5"/>
  <c r="CD690" i="5" s="1"/>
  <c r="CD1435" i="5" s="1"/>
  <c r="CB539" i="5"/>
  <c r="CB690" i="5" s="1"/>
  <c r="CB1435" i="5" s="1"/>
  <c r="CA539" i="5"/>
  <c r="CA690" i="5" s="1"/>
  <c r="CA1435" i="5" s="1"/>
  <c r="BY539" i="5"/>
  <c r="BY690" i="5" s="1"/>
  <c r="BY1435" i="5" s="1"/>
  <c r="BX539" i="5"/>
  <c r="BX690" i="5" s="1"/>
  <c r="BX1435" i="5" s="1"/>
  <c r="BV539" i="5"/>
  <c r="BV690" i="5" s="1"/>
  <c r="BV1435" i="5" s="1"/>
  <c r="BU539" i="5"/>
  <c r="BU690" i="5" s="1"/>
  <c r="BU1435" i="5" s="1"/>
  <c r="BS539" i="5"/>
  <c r="BS690" i="5" s="1"/>
  <c r="BS1435" i="5" s="1"/>
  <c r="BR539" i="5"/>
  <c r="BR690" i="5" s="1"/>
  <c r="BR1435" i="5" s="1"/>
  <c r="BP539" i="5"/>
  <c r="BP690" i="5" s="1"/>
  <c r="BP1435" i="5" s="1"/>
  <c r="BO539" i="5"/>
  <c r="BO690" i="5" s="1"/>
  <c r="BO1435" i="5" s="1"/>
  <c r="BM539" i="5"/>
  <c r="BM690" i="5" s="1"/>
  <c r="BM1435" i="5" s="1"/>
  <c r="BL539" i="5"/>
  <c r="BL690" i="5" s="1"/>
  <c r="BL1435" i="5" s="1"/>
  <c r="BJ539" i="5"/>
  <c r="BJ690" i="5" s="1"/>
  <c r="BJ1435" i="5" s="1"/>
  <c r="BI539" i="5"/>
  <c r="BI690" i="5" s="1"/>
  <c r="BI1435" i="5" s="1"/>
  <c r="BG539" i="5"/>
  <c r="BG690" i="5" s="1"/>
  <c r="BG1435" i="5" s="1"/>
  <c r="BF539" i="5"/>
  <c r="BF690" i="5" s="1"/>
  <c r="BF1435" i="5" s="1"/>
  <c r="BD539" i="5"/>
  <c r="BD690" i="5" s="1"/>
  <c r="BD1435" i="5" s="1"/>
  <c r="BC539" i="5"/>
  <c r="BC690" i="5" s="1"/>
  <c r="BC1435" i="5" s="1"/>
  <c r="BA539" i="5"/>
  <c r="BA690" i="5" s="1"/>
  <c r="BA1435" i="5" s="1"/>
  <c r="AZ539" i="5"/>
  <c r="AZ690" i="5" s="1"/>
  <c r="AZ1435" i="5" s="1"/>
  <c r="AX539" i="5"/>
  <c r="AX690" i="5" s="1"/>
  <c r="AX1435" i="5" s="1"/>
  <c r="AW539" i="5"/>
  <c r="AW690" i="5" s="1"/>
  <c r="AW1435" i="5" s="1"/>
  <c r="AU539" i="5"/>
  <c r="AU690" i="5" s="1"/>
  <c r="AU1435" i="5" s="1"/>
  <c r="AT539" i="5"/>
  <c r="AT690" i="5" s="1"/>
  <c r="AT1435" i="5" s="1"/>
  <c r="AR539" i="5"/>
  <c r="AR690" i="5" s="1"/>
  <c r="AR1435" i="5" s="1"/>
  <c r="AQ539" i="5"/>
  <c r="AQ690" i="5" s="1"/>
  <c r="AQ1435" i="5" s="1"/>
  <c r="AO539" i="5"/>
  <c r="AO690" i="5" s="1"/>
  <c r="AO1435" i="5" s="1"/>
  <c r="AN539" i="5"/>
  <c r="AN690" i="5" s="1"/>
  <c r="AN1435" i="5" s="1"/>
  <c r="AL539" i="5"/>
  <c r="AL690" i="5" s="1"/>
  <c r="AL1435" i="5" s="1"/>
  <c r="AK539" i="5"/>
  <c r="AK690" i="5" s="1"/>
  <c r="AK1435" i="5" s="1"/>
  <c r="AI539" i="5"/>
  <c r="AI690" i="5" s="1"/>
  <c r="AI1435" i="5" s="1"/>
  <c r="AH539" i="5"/>
  <c r="AH690" i="5" s="1"/>
  <c r="AH1435" i="5" s="1"/>
  <c r="AF539" i="5"/>
  <c r="AF690" i="5" s="1"/>
  <c r="AF1435" i="5" s="1"/>
  <c r="AE539" i="5"/>
  <c r="AE690" i="5" s="1"/>
  <c r="AE1435" i="5" s="1"/>
  <c r="AC539" i="5"/>
  <c r="AC690" i="5" s="1"/>
  <c r="AC1435" i="5" s="1"/>
  <c r="AB539" i="5"/>
  <c r="AB690" i="5" s="1"/>
  <c r="AB1435" i="5" s="1"/>
  <c r="CK530" i="5"/>
  <c r="CK681" i="5" s="1"/>
  <c r="CK1426" i="5" s="1"/>
  <c r="CJ530" i="5"/>
  <c r="CJ681" i="5" s="1"/>
  <c r="CJ1426" i="5" s="1"/>
  <c r="CH530" i="5"/>
  <c r="CH681" i="5" s="1"/>
  <c r="CH1426" i="5" s="1"/>
  <c r="CG530" i="5"/>
  <c r="CG681" i="5" s="1"/>
  <c r="CG1426" i="5" s="1"/>
  <c r="CE530" i="5"/>
  <c r="CE681" i="5" s="1"/>
  <c r="CE1426" i="5" s="1"/>
  <c r="CD530" i="5"/>
  <c r="CD681" i="5" s="1"/>
  <c r="CD1426" i="5" s="1"/>
  <c r="CB530" i="5"/>
  <c r="CB681" i="5" s="1"/>
  <c r="CB1426" i="5" s="1"/>
  <c r="CA530" i="5"/>
  <c r="CA681" i="5" s="1"/>
  <c r="CA1426" i="5" s="1"/>
  <c r="BY530" i="5"/>
  <c r="BY681" i="5" s="1"/>
  <c r="BY1426" i="5" s="1"/>
  <c r="BX530" i="5"/>
  <c r="BX681" i="5" s="1"/>
  <c r="BX1426" i="5" s="1"/>
  <c r="BV530" i="5"/>
  <c r="BV681" i="5" s="1"/>
  <c r="BV1426" i="5" s="1"/>
  <c r="BU530" i="5"/>
  <c r="BU681" i="5" s="1"/>
  <c r="BU1426" i="5" s="1"/>
  <c r="BS530" i="5"/>
  <c r="BS681" i="5" s="1"/>
  <c r="BS1426" i="5" s="1"/>
  <c r="BR530" i="5"/>
  <c r="BR681" i="5" s="1"/>
  <c r="BR1426" i="5" s="1"/>
  <c r="BP530" i="5"/>
  <c r="BP681" i="5" s="1"/>
  <c r="BP1426" i="5" s="1"/>
  <c r="BO530" i="5"/>
  <c r="BO681" i="5" s="1"/>
  <c r="BO1426" i="5" s="1"/>
  <c r="BM530" i="5"/>
  <c r="BM681" i="5" s="1"/>
  <c r="BM1426" i="5" s="1"/>
  <c r="BL530" i="5"/>
  <c r="BL681" i="5" s="1"/>
  <c r="BL1426" i="5" s="1"/>
  <c r="BJ530" i="5"/>
  <c r="BJ681" i="5" s="1"/>
  <c r="BJ1426" i="5" s="1"/>
  <c r="BI530" i="5"/>
  <c r="BI681" i="5" s="1"/>
  <c r="BI1426" i="5" s="1"/>
  <c r="BG530" i="5"/>
  <c r="BG681" i="5" s="1"/>
  <c r="BG1426" i="5" s="1"/>
  <c r="BF530" i="5"/>
  <c r="BF681" i="5" s="1"/>
  <c r="BF1426" i="5" s="1"/>
  <c r="BD530" i="5"/>
  <c r="BD681" i="5" s="1"/>
  <c r="BD1426" i="5" s="1"/>
  <c r="BC530" i="5"/>
  <c r="BC681" i="5" s="1"/>
  <c r="BC1426" i="5" s="1"/>
  <c r="BA530" i="5"/>
  <c r="BA681" i="5" s="1"/>
  <c r="BA1426" i="5" s="1"/>
  <c r="AZ530" i="5"/>
  <c r="AZ681" i="5" s="1"/>
  <c r="AZ1426" i="5" s="1"/>
  <c r="AX530" i="5"/>
  <c r="AX681" i="5" s="1"/>
  <c r="AX1426" i="5" s="1"/>
  <c r="AW530" i="5"/>
  <c r="AW681" i="5" s="1"/>
  <c r="AW1426" i="5" s="1"/>
  <c r="AU530" i="5"/>
  <c r="AU681" i="5" s="1"/>
  <c r="AU1426" i="5" s="1"/>
  <c r="AT530" i="5"/>
  <c r="AT681" i="5" s="1"/>
  <c r="AT1426" i="5" s="1"/>
  <c r="AR530" i="5"/>
  <c r="AR681" i="5" s="1"/>
  <c r="AR1426" i="5" s="1"/>
  <c r="AQ530" i="5"/>
  <c r="AQ681" i="5" s="1"/>
  <c r="AQ1426" i="5" s="1"/>
  <c r="AO530" i="5"/>
  <c r="AO681" i="5" s="1"/>
  <c r="AO1426" i="5" s="1"/>
  <c r="AN530" i="5"/>
  <c r="AN681" i="5" s="1"/>
  <c r="AN1426" i="5" s="1"/>
  <c r="AL530" i="5"/>
  <c r="AL681" i="5" s="1"/>
  <c r="AL1426" i="5" s="1"/>
  <c r="AK530" i="5"/>
  <c r="AK681" i="5" s="1"/>
  <c r="AK1426" i="5" s="1"/>
  <c r="AI530" i="5"/>
  <c r="AI681" i="5" s="1"/>
  <c r="AI1426" i="5" s="1"/>
  <c r="AH530" i="5"/>
  <c r="AH681" i="5" s="1"/>
  <c r="AH1426" i="5" s="1"/>
  <c r="AF530" i="5"/>
  <c r="AF681" i="5" s="1"/>
  <c r="AF1426" i="5" s="1"/>
  <c r="AE530" i="5"/>
  <c r="AE681" i="5" s="1"/>
  <c r="AE1426" i="5" s="1"/>
  <c r="AC530" i="5"/>
  <c r="AC681" i="5" s="1"/>
  <c r="AC1426" i="5" s="1"/>
  <c r="AB530" i="5"/>
  <c r="AB681" i="5" s="1"/>
  <c r="AB1426" i="5" s="1"/>
  <c r="Z530" i="5"/>
  <c r="Z681" i="5" s="1"/>
  <c r="Z1426" i="5" s="1"/>
  <c r="Y530" i="5"/>
  <c r="Y681" i="5" s="1"/>
  <c r="Y1426" i="5" s="1"/>
  <c r="W530" i="5"/>
  <c r="W681" i="5" s="1"/>
  <c r="W1426" i="5" s="1"/>
  <c r="V530" i="5"/>
  <c r="V681" i="5" s="1"/>
  <c r="V1426" i="5" s="1"/>
  <c r="T530" i="5"/>
  <c r="T681" i="5" s="1"/>
  <c r="T1426" i="5" s="1"/>
  <c r="S530" i="5"/>
  <c r="S681" i="5" s="1"/>
  <c r="S1426" i="5" s="1"/>
  <c r="K530" i="5"/>
  <c r="K681" i="5" s="1"/>
  <c r="K1426" i="5" s="1"/>
  <c r="J530" i="5"/>
  <c r="J681" i="5" s="1"/>
  <c r="J1426" i="5" s="1"/>
  <c r="J431" i="5"/>
  <c r="J422" i="5"/>
  <c r="CK445" i="5"/>
  <c r="CJ445" i="5"/>
  <c r="CH445" i="5"/>
  <c r="CG445" i="5"/>
  <c r="CE445" i="5"/>
  <c r="CD445" i="5"/>
  <c r="CK444" i="5"/>
  <c r="CJ444" i="5"/>
  <c r="CH444" i="5"/>
  <c r="CG444" i="5"/>
  <c r="CE444" i="5"/>
  <c r="CD444" i="5"/>
  <c r="CK442" i="5"/>
  <c r="CJ442" i="5"/>
  <c r="CH442" i="5"/>
  <c r="CG442" i="5"/>
  <c r="CE442" i="5"/>
  <c r="CD442" i="5"/>
  <c r="CK441" i="5"/>
  <c r="CJ441" i="5"/>
  <c r="CH441" i="5"/>
  <c r="CG441" i="5"/>
  <c r="CE441" i="5"/>
  <c r="CD441" i="5"/>
  <c r="CK439" i="5"/>
  <c r="CJ439" i="5"/>
  <c r="CH439" i="5"/>
  <c r="CG439" i="5"/>
  <c r="CE439" i="5"/>
  <c r="CD439" i="5"/>
  <c r="CK438" i="5"/>
  <c r="CJ438" i="5"/>
  <c r="CH438" i="5"/>
  <c r="CG438" i="5"/>
  <c r="CE438" i="5"/>
  <c r="CD438" i="5"/>
  <c r="CK436" i="5"/>
  <c r="CJ436" i="5"/>
  <c r="CH436" i="5"/>
  <c r="CG436" i="5"/>
  <c r="CE436" i="5"/>
  <c r="CD436" i="5"/>
  <c r="CK435" i="5"/>
  <c r="CJ435" i="5"/>
  <c r="CH435" i="5"/>
  <c r="CG435" i="5"/>
  <c r="CE435" i="5"/>
  <c r="CD435" i="5"/>
  <c r="CB445" i="5"/>
  <c r="CA445" i="5"/>
  <c r="BY445" i="5"/>
  <c r="BX445" i="5"/>
  <c r="BV445" i="5"/>
  <c r="BU445" i="5"/>
  <c r="CB444" i="5"/>
  <c r="CA444" i="5"/>
  <c r="BY444" i="5"/>
  <c r="BX444" i="5"/>
  <c r="BV444" i="5"/>
  <c r="BU444" i="5"/>
  <c r="CB442" i="5"/>
  <c r="CA442" i="5"/>
  <c r="BY442" i="5"/>
  <c r="BX442" i="5"/>
  <c r="BV442" i="5"/>
  <c r="BU442" i="5"/>
  <c r="CB441" i="5"/>
  <c r="CA441" i="5"/>
  <c r="BY441" i="5"/>
  <c r="BX441" i="5"/>
  <c r="BV441" i="5"/>
  <c r="BU441" i="5"/>
  <c r="CB439" i="5"/>
  <c r="CA439" i="5"/>
  <c r="BY439" i="5"/>
  <c r="BX439" i="5"/>
  <c r="BV439" i="5"/>
  <c r="BU439" i="5"/>
  <c r="CB438" i="5"/>
  <c r="CA438" i="5"/>
  <c r="BY438" i="5"/>
  <c r="BX438" i="5"/>
  <c r="BV438" i="5"/>
  <c r="BU438" i="5"/>
  <c r="CB436" i="5"/>
  <c r="CA436" i="5"/>
  <c r="BY436" i="5"/>
  <c r="BX436" i="5"/>
  <c r="BV436" i="5"/>
  <c r="BU436" i="5"/>
  <c r="CB435" i="5"/>
  <c r="CA435" i="5"/>
  <c r="BY435" i="5"/>
  <c r="BX435" i="5"/>
  <c r="BV435" i="5"/>
  <c r="BU435" i="5"/>
  <c r="BS445" i="5"/>
  <c r="BR445" i="5"/>
  <c r="BP445" i="5"/>
  <c r="BO445" i="5"/>
  <c r="BM445" i="5"/>
  <c r="BL445" i="5"/>
  <c r="BS444" i="5"/>
  <c r="BR444" i="5"/>
  <c r="BP444" i="5"/>
  <c r="BO444" i="5"/>
  <c r="BM444" i="5"/>
  <c r="BL444" i="5"/>
  <c r="BS442" i="5"/>
  <c r="BR442" i="5"/>
  <c r="BP442" i="5"/>
  <c r="BO442" i="5"/>
  <c r="BM442" i="5"/>
  <c r="BL442" i="5"/>
  <c r="BS441" i="5"/>
  <c r="BR441" i="5"/>
  <c r="BP441" i="5"/>
  <c r="BO441" i="5"/>
  <c r="BM441" i="5"/>
  <c r="BL441" i="5"/>
  <c r="BS439" i="5"/>
  <c r="BR439" i="5"/>
  <c r="BP439" i="5"/>
  <c r="BO439" i="5"/>
  <c r="BM439" i="5"/>
  <c r="BL439" i="5"/>
  <c r="BS438" i="5"/>
  <c r="BR438" i="5"/>
  <c r="BP438" i="5"/>
  <c r="BO438" i="5"/>
  <c r="BM438" i="5"/>
  <c r="BL438" i="5"/>
  <c r="BS436" i="5"/>
  <c r="BR436" i="5"/>
  <c r="BP436" i="5"/>
  <c r="BO436" i="5"/>
  <c r="BM436" i="5"/>
  <c r="BL436" i="5"/>
  <c r="BS435" i="5"/>
  <c r="BR435" i="5"/>
  <c r="BP435" i="5"/>
  <c r="BO435" i="5"/>
  <c r="BM435" i="5"/>
  <c r="BL435" i="5"/>
  <c r="BJ445" i="5"/>
  <c r="BI445" i="5"/>
  <c r="BG445" i="5"/>
  <c r="BF445" i="5"/>
  <c r="BD445" i="5"/>
  <c r="BC445" i="5"/>
  <c r="BJ444" i="5"/>
  <c r="BI444" i="5"/>
  <c r="BG444" i="5"/>
  <c r="BF444" i="5"/>
  <c r="BD444" i="5"/>
  <c r="BC444" i="5"/>
  <c r="BJ442" i="5"/>
  <c r="BI442" i="5"/>
  <c r="BG442" i="5"/>
  <c r="BF442" i="5"/>
  <c r="BD442" i="5"/>
  <c r="BC442" i="5"/>
  <c r="BJ441" i="5"/>
  <c r="BI441" i="5"/>
  <c r="BG441" i="5"/>
  <c r="BF441" i="5"/>
  <c r="BD441" i="5"/>
  <c r="BC441" i="5"/>
  <c r="BJ439" i="5"/>
  <c r="BI439" i="5"/>
  <c r="BG439" i="5"/>
  <c r="BF439" i="5"/>
  <c r="BD439" i="5"/>
  <c r="BC439" i="5"/>
  <c r="BJ438" i="5"/>
  <c r="BI438" i="5"/>
  <c r="BG438" i="5"/>
  <c r="BF438" i="5"/>
  <c r="BD438" i="5"/>
  <c r="BC438" i="5"/>
  <c r="BJ436" i="5"/>
  <c r="BI436" i="5"/>
  <c r="BG436" i="5"/>
  <c r="BF436" i="5"/>
  <c r="BD436" i="5"/>
  <c r="BC436" i="5"/>
  <c r="BJ435" i="5"/>
  <c r="BI435" i="5"/>
  <c r="BG435" i="5"/>
  <c r="BF435" i="5"/>
  <c r="BD435" i="5"/>
  <c r="BC435" i="5"/>
  <c r="BA445" i="5"/>
  <c r="AZ445" i="5"/>
  <c r="AX445" i="5"/>
  <c r="AW445" i="5"/>
  <c r="AU445" i="5"/>
  <c r="AT445" i="5"/>
  <c r="BA444" i="5"/>
  <c r="AZ444" i="5"/>
  <c r="AX444" i="5"/>
  <c r="AW444" i="5"/>
  <c r="AU444" i="5"/>
  <c r="AT444" i="5"/>
  <c r="BA442" i="5"/>
  <c r="AZ442" i="5"/>
  <c r="AX442" i="5"/>
  <c r="AW442" i="5"/>
  <c r="AU442" i="5"/>
  <c r="AT442" i="5"/>
  <c r="BA441" i="5"/>
  <c r="AZ441" i="5"/>
  <c r="AX441" i="5"/>
  <c r="AW441" i="5"/>
  <c r="AU441" i="5"/>
  <c r="AT441" i="5"/>
  <c r="BA439" i="5"/>
  <c r="AZ439" i="5"/>
  <c r="AX439" i="5"/>
  <c r="AW439" i="5"/>
  <c r="AU439" i="5"/>
  <c r="AT439" i="5"/>
  <c r="BA438" i="5"/>
  <c r="AZ438" i="5"/>
  <c r="AX438" i="5"/>
  <c r="AW438" i="5"/>
  <c r="AU438" i="5"/>
  <c r="AT438" i="5"/>
  <c r="BA436" i="5"/>
  <c r="AZ436" i="5"/>
  <c r="AX436" i="5"/>
  <c r="AW436" i="5"/>
  <c r="AU436" i="5"/>
  <c r="AT436" i="5"/>
  <c r="BA435" i="5"/>
  <c r="AZ435" i="5"/>
  <c r="AX435" i="5"/>
  <c r="AW435" i="5"/>
  <c r="AU435" i="5"/>
  <c r="AT435" i="5"/>
  <c r="AR445" i="5"/>
  <c r="AQ445" i="5"/>
  <c r="AO445" i="5"/>
  <c r="AN445" i="5"/>
  <c r="AL445" i="5"/>
  <c r="AK445" i="5"/>
  <c r="AR444" i="5"/>
  <c r="AQ444" i="5"/>
  <c r="AO444" i="5"/>
  <c r="AN444" i="5"/>
  <c r="AL444" i="5"/>
  <c r="AK444" i="5"/>
  <c r="AR442" i="5"/>
  <c r="AQ442" i="5"/>
  <c r="AO442" i="5"/>
  <c r="AN442" i="5"/>
  <c r="AL442" i="5"/>
  <c r="AK442" i="5"/>
  <c r="AR441" i="5"/>
  <c r="AQ441" i="5"/>
  <c r="AO441" i="5"/>
  <c r="AN441" i="5"/>
  <c r="AL441" i="5"/>
  <c r="AK441" i="5"/>
  <c r="AR439" i="5"/>
  <c r="AQ439" i="5"/>
  <c r="AO439" i="5"/>
  <c r="AN439" i="5"/>
  <c r="AL439" i="5"/>
  <c r="AK439" i="5"/>
  <c r="AR438" i="5"/>
  <c r="AQ438" i="5"/>
  <c r="AO438" i="5"/>
  <c r="AN438" i="5"/>
  <c r="AL438" i="5"/>
  <c r="AK438" i="5"/>
  <c r="AR436" i="5"/>
  <c r="AQ436" i="5"/>
  <c r="AO436" i="5"/>
  <c r="AN436" i="5"/>
  <c r="AL436" i="5"/>
  <c r="AK436" i="5"/>
  <c r="AR435" i="5"/>
  <c r="AQ435" i="5"/>
  <c r="AO435" i="5"/>
  <c r="AN435" i="5"/>
  <c r="AL435" i="5"/>
  <c r="AK435" i="5"/>
  <c r="AI445" i="5"/>
  <c r="AH445" i="5"/>
  <c r="AF445" i="5"/>
  <c r="AE445" i="5"/>
  <c r="AC445" i="5"/>
  <c r="AB445" i="5"/>
  <c r="AI444" i="5"/>
  <c r="AH444" i="5"/>
  <c r="AF444" i="5"/>
  <c r="AE444" i="5"/>
  <c r="AC444" i="5"/>
  <c r="AB444" i="5"/>
  <c r="AI442" i="5"/>
  <c r="AH442" i="5"/>
  <c r="AF442" i="5"/>
  <c r="AE442" i="5"/>
  <c r="AC442" i="5"/>
  <c r="AB442" i="5"/>
  <c r="AI441" i="5"/>
  <c r="AH441" i="5"/>
  <c r="AF441" i="5"/>
  <c r="AE441" i="5"/>
  <c r="AC441" i="5"/>
  <c r="AB441" i="5"/>
  <c r="AI439" i="5"/>
  <c r="AH439" i="5"/>
  <c r="AF439" i="5"/>
  <c r="AE439" i="5"/>
  <c r="AC439" i="5"/>
  <c r="AB439" i="5"/>
  <c r="AI438" i="5"/>
  <c r="AH438" i="5"/>
  <c r="AF438" i="5"/>
  <c r="AE438" i="5"/>
  <c r="AC438" i="5"/>
  <c r="AB438" i="5"/>
  <c r="AI436" i="5"/>
  <c r="AH436" i="5"/>
  <c r="AF436" i="5"/>
  <c r="AE436" i="5"/>
  <c r="AC436" i="5"/>
  <c r="AB436" i="5"/>
  <c r="AI435" i="5"/>
  <c r="AH435" i="5"/>
  <c r="AF435" i="5"/>
  <c r="AE435" i="5"/>
  <c r="AC435" i="5"/>
  <c r="AB435" i="5"/>
  <c r="Z445" i="5"/>
  <c r="Y445" i="5"/>
  <c r="Z444" i="5"/>
  <c r="Y444" i="5"/>
  <c r="Z442" i="5"/>
  <c r="Y442" i="5"/>
  <c r="Z441" i="5"/>
  <c r="Y441" i="5"/>
  <c r="Z439" i="5"/>
  <c r="Y439" i="5"/>
  <c r="Z438" i="5"/>
  <c r="Y438" i="5"/>
  <c r="Z436" i="5"/>
  <c r="Y436" i="5"/>
  <c r="Z435" i="5"/>
  <c r="Y435" i="5"/>
  <c r="W445" i="5"/>
  <c r="V445" i="5"/>
  <c r="W444" i="5"/>
  <c r="V444" i="5"/>
  <c r="W442" i="5"/>
  <c r="V442" i="5"/>
  <c r="W441" i="5"/>
  <c r="V441" i="5"/>
  <c r="W439" i="5"/>
  <c r="V439" i="5"/>
  <c r="W438" i="5"/>
  <c r="V438" i="5"/>
  <c r="W436" i="5"/>
  <c r="V436" i="5"/>
  <c r="W435" i="5"/>
  <c r="V435" i="5"/>
  <c r="T445" i="5"/>
  <c r="S445" i="5"/>
  <c r="T444" i="5"/>
  <c r="S444" i="5"/>
  <c r="T442" i="5"/>
  <c r="S442" i="5"/>
  <c r="T441" i="5"/>
  <c r="S441" i="5"/>
  <c r="T439" i="5"/>
  <c r="S439" i="5"/>
  <c r="T438" i="5"/>
  <c r="S438" i="5"/>
  <c r="T436" i="5"/>
  <c r="S436" i="5"/>
  <c r="T435" i="5"/>
  <c r="S435" i="5"/>
  <c r="R460" i="5"/>
  <c r="K682" i="5" l="1"/>
  <c r="K1427" i="5" s="1"/>
  <c r="R452" i="5"/>
  <c r="CK432" i="5"/>
  <c r="CJ432" i="5"/>
  <c r="CK431" i="5"/>
  <c r="CJ431" i="5"/>
  <c r="CK429" i="5"/>
  <c r="CJ429" i="5"/>
  <c r="CK428" i="5"/>
  <c r="CJ428" i="5"/>
  <c r="CK426" i="5"/>
  <c r="CJ426" i="5"/>
  <c r="CK425" i="5"/>
  <c r="CJ425" i="5"/>
  <c r="CK423" i="5"/>
  <c r="CJ423" i="5"/>
  <c r="CK422" i="5"/>
  <c r="CJ422" i="5"/>
  <c r="CH432" i="5"/>
  <c r="CG432" i="5"/>
  <c r="CE432" i="5"/>
  <c r="CD432" i="5"/>
  <c r="CB432" i="5"/>
  <c r="CA432" i="5"/>
  <c r="CH431" i="5"/>
  <c r="CG431" i="5"/>
  <c r="CE431" i="5"/>
  <c r="CD431" i="5"/>
  <c r="CB431" i="5"/>
  <c r="CA431" i="5"/>
  <c r="CH429" i="5"/>
  <c r="CG429" i="5"/>
  <c r="CE429" i="5"/>
  <c r="CD429" i="5"/>
  <c r="CB429" i="5"/>
  <c r="CA429" i="5"/>
  <c r="CH428" i="5"/>
  <c r="CG428" i="5"/>
  <c r="CE428" i="5"/>
  <c r="CD428" i="5"/>
  <c r="CB428" i="5"/>
  <c r="CA428" i="5"/>
  <c r="CH426" i="5"/>
  <c r="CG426" i="5"/>
  <c r="CE426" i="5"/>
  <c r="CD426" i="5"/>
  <c r="CB426" i="5"/>
  <c r="CA426" i="5"/>
  <c r="CH425" i="5"/>
  <c r="CG425" i="5"/>
  <c r="CE425" i="5"/>
  <c r="CD425" i="5"/>
  <c r="CB425" i="5"/>
  <c r="CA425" i="5"/>
  <c r="CH423" i="5"/>
  <c r="CG423" i="5"/>
  <c r="CE423" i="5"/>
  <c r="CD423" i="5"/>
  <c r="CB423" i="5"/>
  <c r="CA423" i="5"/>
  <c r="CH422" i="5"/>
  <c r="CG422" i="5"/>
  <c r="CE422" i="5"/>
  <c r="CD422" i="5"/>
  <c r="CB422" i="5"/>
  <c r="CA422" i="5"/>
  <c r="BY432" i="5"/>
  <c r="BX432" i="5"/>
  <c r="BV432" i="5"/>
  <c r="BU432" i="5"/>
  <c r="BS432" i="5"/>
  <c r="BR432" i="5"/>
  <c r="BY431" i="5"/>
  <c r="BX431" i="5"/>
  <c r="BV431" i="5"/>
  <c r="BU431" i="5"/>
  <c r="BS431" i="5"/>
  <c r="BR431" i="5"/>
  <c r="BY429" i="5"/>
  <c r="BX429" i="5"/>
  <c r="BV429" i="5"/>
  <c r="BU429" i="5"/>
  <c r="BS429" i="5"/>
  <c r="BR429" i="5"/>
  <c r="BY428" i="5"/>
  <c r="BX428" i="5"/>
  <c r="BV428" i="5"/>
  <c r="BU428" i="5"/>
  <c r="BS428" i="5"/>
  <c r="BR428" i="5"/>
  <c r="BY426" i="5"/>
  <c r="BX426" i="5"/>
  <c r="BV426" i="5"/>
  <c r="BU426" i="5"/>
  <c r="BS426" i="5"/>
  <c r="BR426" i="5"/>
  <c r="BY425" i="5"/>
  <c r="BX425" i="5"/>
  <c r="BV425" i="5"/>
  <c r="BU425" i="5"/>
  <c r="BS425" i="5"/>
  <c r="BR425" i="5"/>
  <c r="BY423" i="5"/>
  <c r="BX423" i="5"/>
  <c r="BV423" i="5"/>
  <c r="BU423" i="5"/>
  <c r="BS423" i="5"/>
  <c r="BR423" i="5"/>
  <c r="BY422" i="5"/>
  <c r="BX422" i="5"/>
  <c r="BV422" i="5"/>
  <c r="BU422" i="5"/>
  <c r="BS422" i="5"/>
  <c r="BR422" i="5"/>
  <c r="BP432" i="5"/>
  <c r="BO432" i="5"/>
  <c r="BM432" i="5"/>
  <c r="BL432" i="5"/>
  <c r="BJ432" i="5"/>
  <c r="BI432" i="5"/>
  <c r="BP431" i="5"/>
  <c r="BO431" i="5"/>
  <c r="BM431" i="5"/>
  <c r="BL431" i="5"/>
  <c r="BJ431" i="5"/>
  <c r="BI431" i="5"/>
  <c r="BP429" i="5"/>
  <c r="BO429" i="5"/>
  <c r="BM429" i="5"/>
  <c r="BL429" i="5"/>
  <c r="BJ429" i="5"/>
  <c r="BI429" i="5"/>
  <c r="BP428" i="5"/>
  <c r="BO428" i="5"/>
  <c r="BM428" i="5"/>
  <c r="BL428" i="5"/>
  <c r="BJ428" i="5"/>
  <c r="BI428" i="5"/>
  <c r="BP426" i="5"/>
  <c r="BO426" i="5"/>
  <c r="BM426" i="5"/>
  <c r="BL426" i="5"/>
  <c r="BJ426" i="5"/>
  <c r="BI426" i="5"/>
  <c r="BP425" i="5"/>
  <c r="BO425" i="5"/>
  <c r="BM425" i="5"/>
  <c r="BL425" i="5"/>
  <c r="BJ425" i="5"/>
  <c r="BI425" i="5"/>
  <c r="BP423" i="5"/>
  <c r="BO423" i="5"/>
  <c r="BM423" i="5"/>
  <c r="BL423" i="5"/>
  <c r="BJ423" i="5"/>
  <c r="BI423" i="5"/>
  <c r="BP422" i="5"/>
  <c r="BO422" i="5"/>
  <c r="BM422" i="5"/>
  <c r="BL422" i="5"/>
  <c r="BJ422" i="5"/>
  <c r="BI422" i="5"/>
  <c r="BG432" i="5"/>
  <c r="BF432" i="5"/>
  <c r="BD432" i="5"/>
  <c r="BC432" i="5"/>
  <c r="BA432" i="5"/>
  <c r="AZ432" i="5"/>
  <c r="BG431" i="5"/>
  <c r="BF431" i="5"/>
  <c r="BD431" i="5"/>
  <c r="BC431" i="5"/>
  <c r="BA431" i="5"/>
  <c r="AZ431" i="5"/>
  <c r="BG429" i="5"/>
  <c r="BF429" i="5"/>
  <c r="BD429" i="5"/>
  <c r="BC429" i="5"/>
  <c r="BA429" i="5"/>
  <c r="AZ429" i="5"/>
  <c r="BG428" i="5"/>
  <c r="BF428" i="5"/>
  <c r="BD428" i="5"/>
  <c r="BC428" i="5"/>
  <c r="BA428" i="5"/>
  <c r="AZ428" i="5"/>
  <c r="BG426" i="5"/>
  <c r="BF426" i="5"/>
  <c r="BD426" i="5"/>
  <c r="BC426" i="5"/>
  <c r="BA426" i="5"/>
  <c r="AZ426" i="5"/>
  <c r="BG425" i="5"/>
  <c r="BF425" i="5"/>
  <c r="BD425" i="5"/>
  <c r="BC425" i="5"/>
  <c r="BA425" i="5"/>
  <c r="AZ425" i="5"/>
  <c r="BG423" i="5"/>
  <c r="BF423" i="5"/>
  <c r="BD423" i="5"/>
  <c r="BC423" i="5"/>
  <c r="BA423" i="5"/>
  <c r="AZ423" i="5"/>
  <c r="BG422" i="5"/>
  <c r="BF422" i="5"/>
  <c r="BD422" i="5"/>
  <c r="BC422" i="5"/>
  <c r="BA422" i="5"/>
  <c r="AZ422" i="5"/>
  <c r="AX432" i="5"/>
  <c r="AW432" i="5"/>
  <c r="AU432" i="5"/>
  <c r="AT432" i="5"/>
  <c r="AR432" i="5"/>
  <c r="AQ432" i="5"/>
  <c r="AX431" i="5"/>
  <c r="AW431" i="5"/>
  <c r="AU431" i="5"/>
  <c r="AT431" i="5"/>
  <c r="AR431" i="5"/>
  <c r="AQ431" i="5"/>
  <c r="AX429" i="5"/>
  <c r="AW429" i="5"/>
  <c r="AU429" i="5"/>
  <c r="AT429" i="5"/>
  <c r="AR429" i="5"/>
  <c r="AQ429" i="5"/>
  <c r="AX428" i="5"/>
  <c r="AW428" i="5"/>
  <c r="AU428" i="5"/>
  <c r="AT428" i="5"/>
  <c r="AR428" i="5"/>
  <c r="AQ428" i="5"/>
  <c r="AX426" i="5"/>
  <c r="AW426" i="5"/>
  <c r="AU426" i="5"/>
  <c r="AT426" i="5"/>
  <c r="AR426" i="5"/>
  <c r="AQ426" i="5"/>
  <c r="AX425" i="5"/>
  <c r="AW425" i="5"/>
  <c r="AU425" i="5"/>
  <c r="AT425" i="5"/>
  <c r="AR425" i="5"/>
  <c r="AQ425" i="5"/>
  <c r="AX423" i="5"/>
  <c r="AW423" i="5"/>
  <c r="AU423" i="5"/>
  <c r="AT423" i="5"/>
  <c r="AR423" i="5"/>
  <c r="AQ423" i="5"/>
  <c r="AX422" i="5"/>
  <c r="AW422" i="5"/>
  <c r="AU422" i="5"/>
  <c r="AT422" i="5"/>
  <c r="AR422" i="5"/>
  <c r="AQ422" i="5"/>
  <c r="AO432" i="5"/>
  <c r="AN432" i="5"/>
  <c r="AO431" i="5"/>
  <c r="AN431" i="5"/>
  <c r="AO429" i="5"/>
  <c r="AN429" i="5"/>
  <c r="AO428" i="5"/>
  <c r="AN428" i="5"/>
  <c r="AO426" i="5"/>
  <c r="AN426" i="5"/>
  <c r="AO425" i="5"/>
  <c r="AN425" i="5"/>
  <c r="AO423" i="5"/>
  <c r="AN423" i="5"/>
  <c r="AO422" i="5"/>
  <c r="AN422" i="5"/>
  <c r="AH422" i="5"/>
  <c r="AI422" i="5"/>
  <c r="AK422" i="5"/>
  <c r="AL422" i="5"/>
  <c r="AH423" i="5"/>
  <c r="AI423" i="5"/>
  <c r="AK423" i="5"/>
  <c r="AL423" i="5"/>
  <c r="AH425" i="5"/>
  <c r="AI425" i="5"/>
  <c r="AK425" i="5"/>
  <c r="AL425" i="5"/>
  <c r="AH426" i="5"/>
  <c r="AI426" i="5"/>
  <c r="AK426" i="5"/>
  <c r="AL426" i="5"/>
  <c r="AH428" i="5"/>
  <c r="AI428" i="5"/>
  <c r="AK428" i="5"/>
  <c r="AL428" i="5"/>
  <c r="AH429" i="5"/>
  <c r="AI429" i="5"/>
  <c r="AK429" i="5"/>
  <c r="AL429" i="5"/>
  <c r="AH431" i="5"/>
  <c r="AI431" i="5"/>
  <c r="AK431" i="5"/>
  <c r="AL431" i="5"/>
  <c r="AH432" i="5"/>
  <c r="AI432" i="5"/>
  <c r="AK432" i="5"/>
  <c r="AL432" i="5"/>
  <c r="AF432" i="5"/>
  <c r="AE432" i="5"/>
  <c r="AC432" i="5"/>
  <c r="AB432" i="5"/>
  <c r="AF431" i="5"/>
  <c r="AE431" i="5"/>
  <c r="AC431" i="5"/>
  <c r="AB431" i="5"/>
  <c r="AF429" i="5"/>
  <c r="AE429" i="5"/>
  <c r="AC429" i="5"/>
  <c r="AB429" i="5"/>
  <c r="AF428" i="5"/>
  <c r="AE428" i="5"/>
  <c r="AC428" i="5"/>
  <c r="AB428" i="5"/>
  <c r="AF426" i="5"/>
  <c r="AE426" i="5"/>
  <c r="AC426" i="5"/>
  <c r="AB426" i="5"/>
  <c r="AF425" i="5"/>
  <c r="AE425" i="5"/>
  <c r="AC425" i="5"/>
  <c r="AB425" i="5"/>
  <c r="AF423" i="5"/>
  <c r="AE423" i="5"/>
  <c r="AC423" i="5"/>
  <c r="AB423" i="5"/>
  <c r="AF422" i="5"/>
  <c r="AE422" i="5"/>
  <c r="AC422" i="5"/>
  <c r="AB422" i="5"/>
  <c r="Z432" i="5"/>
  <c r="Y432" i="5"/>
  <c r="Z431" i="5"/>
  <c r="Y431" i="5"/>
  <c r="Z429" i="5"/>
  <c r="Y429" i="5"/>
  <c r="Z428" i="5"/>
  <c r="Y428" i="5"/>
  <c r="Z426" i="5"/>
  <c r="Y426" i="5"/>
  <c r="Z425" i="5"/>
  <c r="Y425" i="5"/>
  <c r="Z423" i="5"/>
  <c r="Y423" i="5"/>
  <c r="Z422" i="5"/>
  <c r="Y422" i="5"/>
  <c r="W432" i="5"/>
  <c r="V432" i="5"/>
  <c r="W431" i="5"/>
  <c r="V431" i="5"/>
  <c r="W429" i="5"/>
  <c r="V429" i="5"/>
  <c r="W428" i="5"/>
  <c r="V428" i="5"/>
  <c r="W426" i="5"/>
  <c r="V426" i="5"/>
  <c r="W425" i="5"/>
  <c r="V425" i="5"/>
  <c r="W423" i="5"/>
  <c r="V423" i="5"/>
  <c r="W422" i="5"/>
  <c r="V422" i="5"/>
  <c r="T432" i="5"/>
  <c r="S432" i="5"/>
  <c r="T431" i="5"/>
  <c r="S431" i="5"/>
  <c r="T429" i="5"/>
  <c r="S429" i="5"/>
  <c r="T428" i="5"/>
  <c r="S428" i="5"/>
  <c r="T426" i="5"/>
  <c r="S426" i="5"/>
  <c r="T425" i="5"/>
  <c r="S425" i="5"/>
  <c r="T423" i="5"/>
  <c r="S423" i="5"/>
  <c r="T422" i="5"/>
  <c r="S422" i="5"/>
  <c r="J432" i="5"/>
  <c r="J426" i="5"/>
  <c r="J425" i="5"/>
  <c r="K445" i="5"/>
  <c r="K444" i="5"/>
  <c r="K439" i="5"/>
  <c r="K438" i="5"/>
  <c r="K436" i="5"/>
  <c r="K435" i="5"/>
  <c r="K432" i="5"/>
  <c r="K431" i="5"/>
  <c r="K429" i="5"/>
  <c r="K428" i="5"/>
  <c r="K426" i="5"/>
  <c r="K425" i="5"/>
  <c r="K423" i="5"/>
  <c r="K422" i="5"/>
  <c r="R459" i="5"/>
  <c r="Q459" i="5"/>
  <c r="R458" i="5"/>
  <c r="Q458" i="5"/>
  <c r="R474" i="5"/>
  <c r="Q474" i="5"/>
  <c r="R473" i="5"/>
  <c r="Q473" i="5"/>
  <c r="K359" i="5" l="1"/>
  <c r="CK356" i="5" l="1"/>
  <c r="CJ356" i="5"/>
  <c r="CH356" i="5"/>
  <c r="CG356" i="5"/>
  <c r="CE356" i="5"/>
  <c r="CD356" i="5"/>
  <c r="CK355" i="5"/>
  <c r="CJ355" i="5"/>
  <c r="CH355" i="5"/>
  <c r="CG355" i="5"/>
  <c r="CE355" i="5"/>
  <c r="CD355" i="5"/>
  <c r="CK354" i="5"/>
  <c r="CJ354" i="5"/>
  <c r="CH354" i="5"/>
  <c r="CG354" i="5"/>
  <c r="CE354" i="5"/>
  <c r="CD354" i="5"/>
  <c r="CB356" i="5"/>
  <c r="CA356" i="5"/>
  <c r="BY356" i="5"/>
  <c r="BX356" i="5"/>
  <c r="BV356" i="5"/>
  <c r="BU356" i="5"/>
  <c r="CB355" i="5"/>
  <c r="CA355" i="5"/>
  <c r="BY355" i="5"/>
  <c r="BX355" i="5"/>
  <c r="BV355" i="5"/>
  <c r="BU355" i="5"/>
  <c r="CB354" i="5"/>
  <c r="CA354" i="5"/>
  <c r="BY354" i="5"/>
  <c r="BX354" i="5"/>
  <c r="BV354" i="5"/>
  <c r="BU354" i="5"/>
  <c r="BS356" i="5"/>
  <c r="BR356" i="5"/>
  <c r="BP356" i="5"/>
  <c r="BO356" i="5"/>
  <c r="BM356" i="5"/>
  <c r="BL356" i="5"/>
  <c r="BS355" i="5"/>
  <c r="BR355" i="5"/>
  <c r="BP355" i="5"/>
  <c r="BO355" i="5"/>
  <c r="BM355" i="5"/>
  <c r="BL355" i="5"/>
  <c r="BS354" i="5"/>
  <c r="BR354" i="5"/>
  <c r="BP354" i="5"/>
  <c r="BO354" i="5"/>
  <c r="BM354" i="5"/>
  <c r="BL354" i="5"/>
  <c r="BJ356" i="5"/>
  <c r="BI356" i="5"/>
  <c r="BG356" i="5"/>
  <c r="BF356" i="5"/>
  <c r="BD356" i="5"/>
  <c r="BC356" i="5"/>
  <c r="BJ355" i="5"/>
  <c r="BI355" i="5"/>
  <c r="BG355" i="5"/>
  <c r="BF355" i="5"/>
  <c r="BD355" i="5"/>
  <c r="BC355" i="5"/>
  <c r="BJ354" i="5"/>
  <c r="BI354" i="5"/>
  <c r="BG354" i="5"/>
  <c r="BF354" i="5"/>
  <c r="BD354" i="5"/>
  <c r="BC354" i="5"/>
  <c r="BA356" i="5"/>
  <c r="AZ356" i="5"/>
  <c r="AX356" i="5"/>
  <c r="AW356" i="5"/>
  <c r="AU356" i="5"/>
  <c r="AT356" i="5"/>
  <c r="BA355" i="5"/>
  <c r="AZ355" i="5"/>
  <c r="AX355" i="5"/>
  <c r="AW355" i="5"/>
  <c r="AU355" i="5"/>
  <c r="AT355" i="5"/>
  <c r="BA354" i="5"/>
  <c r="AZ354" i="5"/>
  <c r="AX354" i="5"/>
  <c r="AW354" i="5"/>
  <c r="AU354" i="5"/>
  <c r="AT354" i="5"/>
  <c r="AR356" i="5"/>
  <c r="AQ356" i="5"/>
  <c r="AO356" i="5"/>
  <c r="AN356" i="5"/>
  <c r="AL356" i="5"/>
  <c r="AK356" i="5"/>
  <c r="AR355" i="5"/>
  <c r="AQ355" i="5"/>
  <c r="AO355" i="5"/>
  <c r="AN355" i="5"/>
  <c r="AL355" i="5"/>
  <c r="AK355" i="5"/>
  <c r="AR354" i="5"/>
  <c r="AQ354" i="5"/>
  <c r="AO354" i="5"/>
  <c r="AN354" i="5"/>
  <c r="AL354" i="5"/>
  <c r="AK354" i="5"/>
  <c r="AI356" i="5"/>
  <c r="AH356" i="5"/>
  <c r="AF356" i="5"/>
  <c r="AE356" i="5"/>
  <c r="AC356" i="5"/>
  <c r="AB356" i="5"/>
  <c r="AI355" i="5"/>
  <c r="AH355" i="5"/>
  <c r="AF355" i="5"/>
  <c r="AE355" i="5"/>
  <c r="AC355" i="5"/>
  <c r="AB355" i="5"/>
  <c r="AI354" i="5"/>
  <c r="AH354" i="5"/>
  <c r="AF354" i="5"/>
  <c r="AE354" i="5"/>
  <c r="AC354" i="5"/>
  <c r="AB354" i="5"/>
  <c r="Z356" i="5"/>
  <c r="Y356" i="5"/>
  <c r="Z355" i="5"/>
  <c r="Y355" i="5"/>
  <c r="Z354" i="5"/>
  <c r="Y354" i="5"/>
  <c r="W356" i="5"/>
  <c r="V356" i="5"/>
  <c r="W355" i="5"/>
  <c r="V355" i="5"/>
  <c r="W354" i="5"/>
  <c r="V354" i="5"/>
  <c r="T356" i="5"/>
  <c r="S356" i="5"/>
  <c r="T355" i="5"/>
  <c r="S355" i="5"/>
  <c r="T354" i="5"/>
  <c r="S354" i="5"/>
  <c r="CK352" i="5"/>
  <c r="CJ352" i="5"/>
  <c r="CH352" i="5"/>
  <c r="CG352" i="5"/>
  <c r="CE352" i="5"/>
  <c r="CD352" i="5"/>
  <c r="CK351" i="5"/>
  <c r="CJ351" i="5"/>
  <c r="CH351" i="5"/>
  <c r="CG351" i="5"/>
  <c r="CE351" i="5"/>
  <c r="CD351" i="5"/>
  <c r="CK350" i="5"/>
  <c r="CJ350" i="5"/>
  <c r="CH350" i="5"/>
  <c r="CG350" i="5"/>
  <c r="CE350" i="5"/>
  <c r="CD350" i="5"/>
  <c r="CB352" i="5"/>
  <c r="CA352" i="5"/>
  <c r="BY352" i="5"/>
  <c r="BX352" i="5"/>
  <c r="BV352" i="5"/>
  <c r="BU352" i="5"/>
  <c r="CB351" i="5"/>
  <c r="CA351" i="5"/>
  <c r="BY351" i="5"/>
  <c r="BX351" i="5"/>
  <c r="BV351" i="5"/>
  <c r="BU351" i="5"/>
  <c r="CB350" i="5"/>
  <c r="CA350" i="5"/>
  <c r="BY350" i="5"/>
  <c r="BX350" i="5"/>
  <c r="BV350" i="5"/>
  <c r="BU350" i="5"/>
  <c r="BS352" i="5"/>
  <c r="BR352" i="5"/>
  <c r="BP352" i="5"/>
  <c r="BO352" i="5"/>
  <c r="BM352" i="5"/>
  <c r="BL352" i="5"/>
  <c r="BS351" i="5"/>
  <c r="BR351" i="5"/>
  <c r="BP351" i="5"/>
  <c r="BO351" i="5"/>
  <c r="BM351" i="5"/>
  <c r="BL351" i="5"/>
  <c r="BS350" i="5"/>
  <c r="BR350" i="5"/>
  <c r="BP350" i="5"/>
  <c r="BO350" i="5"/>
  <c r="BM350" i="5"/>
  <c r="BL350" i="5"/>
  <c r="BJ352" i="5"/>
  <c r="BI352" i="5"/>
  <c r="BG352" i="5"/>
  <c r="BF352" i="5"/>
  <c r="BD352" i="5"/>
  <c r="BC352" i="5"/>
  <c r="BJ351" i="5"/>
  <c r="BI351" i="5"/>
  <c r="BG351" i="5"/>
  <c r="BF351" i="5"/>
  <c r="BD351" i="5"/>
  <c r="BC351" i="5"/>
  <c r="BJ350" i="5"/>
  <c r="BI350" i="5"/>
  <c r="BG350" i="5"/>
  <c r="BF350" i="5"/>
  <c r="BD350" i="5"/>
  <c r="BC350" i="5"/>
  <c r="BA352" i="5"/>
  <c r="AZ352" i="5"/>
  <c r="AX352" i="5"/>
  <c r="AW352" i="5"/>
  <c r="AU352" i="5"/>
  <c r="AT352" i="5"/>
  <c r="BA351" i="5"/>
  <c r="AZ351" i="5"/>
  <c r="AX351" i="5"/>
  <c r="AW351" i="5"/>
  <c r="AU351" i="5"/>
  <c r="AT351" i="5"/>
  <c r="BA350" i="5"/>
  <c r="AZ350" i="5"/>
  <c r="AX350" i="5"/>
  <c r="AW350" i="5"/>
  <c r="AU350" i="5"/>
  <c r="AT350" i="5"/>
  <c r="AR352" i="5"/>
  <c r="AQ352" i="5"/>
  <c r="AO352" i="5"/>
  <c r="AN352" i="5"/>
  <c r="AL352" i="5"/>
  <c r="AK352" i="5"/>
  <c r="AR351" i="5"/>
  <c r="AQ351" i="5"/>
  <c r="AO351" i="5"/>
  <c r="AN351" i="5"/>
  <c r="AL351" i="5"/>
  <c r="AK351" i="5"/>
  <c r="AR350" i="5"/>
  <c r="AQ350" i="5"/>
  <c r="AO350" i="5"/>
  <c r="AN350" i="5"/>
  <c r="AL350" i="5"/>
  <c r="AK350" i="5"/>
  <c r="AI352" i="5"/>
  <c r="AH352" i="5"/>
  <c r="AF352" i="5"/>
  <c r="AE352" i="5"/>
  <c r="AC352" i="5"/>
  <c r="AB352" i="5"/>
  <c r="AI351" i="5"/>
  <c r="AH351" i="5"/>
  <c r="AF351" i="5"/>
  <c r="AE351" i="5"/>
  <c r="AC351" i="5"/>
  <c r="AB351" i="5"/>
  <c r="AI350" i="5"/>
  <c r="AH350" i="5"/>
  <c r="AF350" i="5"/>
  <c r="AE350" i="5"/>
  <c r="AC350" i="5"/>
  <c r="AB350" i="5"/>
  <c r="Z352" i="5"/>
  <c r="Y352" i="5"/>
  <c r="Z351" i="5"/>
  <c r="Y351" i="5"/>
  <c r="Z350" i="5"/>
  <c r="Y350" i="5"/>
  <c r="W352" i="5"/>
  <c r="V352" i="5"/>
  <c r="W351" i="5"/>
  <c r="V351" i="5"/>
  <c r="W350" i="5"/>
  <c r="V350" i="5"/>
  <c r="T352" i="5"/>
  <c r="S352" i="5"/>
  <c r="T351" i="5"/>
  <c r="S351" i="5"/>
  <c r="T350" i="5"/>
  <c r="S350" i="5"/>
  <c r="K356" i="5"/>
  <c r="K355" i="5"/>
  <c r="K354" i="5"/>
  <c r="J356" i="5"/>
  <c r="J355" i="5"/>
  <c r="J354" i="5"/>
  <c r="K352" i="5"/>
  <c r="K351" i="5"/>
  <c r="K350" i="5"/>
  <c r="J352" i="5"/>
  <c r="J351" i="5"/>
  <c r="J350" i="5"/>
  <c r="CK260" i="5" l="1"/>
  <c r="CJ260" i="5"/>
  <c r="CH260" i="5"/>
  <c r="CG260" i="5"/>
  <c r="CE260" i="5"/>
  <c r="CD260" i="5"/>
  <c r="CK259" i="5"/>
  <c r="CJ259" i="5"/>
  <c r="CH259" i="5"/>
  <c r="CG259" i="5"/>
  <c r="CE259" i="5"/>
  <c r="CD259" i="5"/>
  <c r="CK258" i="5"/>
  <c r="CK320" i="5" s="1"/>
  <c r="CJ258" i="5"/>
  <c r="CJ320" i="5" s="1"/>
  <c r="CH258" i="5"/>
  <c r="CH320" i="5" s="1"/>
  <c r="CG258" i="5"/>
  <c r="CG320" i="5" s="1"/>
  <c r="CE258" i="5"/>
  <c r="CE320" i="5" s="1"/>
  <c r="CD258" i="5"/>
  <c r="CD320" i="5" s="1"/>
  <c r="CB260" i="5"/>
  <c r="CA260" i="5"/>
  <c r="BY260" i="5"/>
  <c r="BX260" i="5"/>
  <c r="BV260" i="5"/>
  <c r="BU260" i="5"/>
  <c r="CB259" i="5"/>
  <c r="CA259" i="5"/>
  <c r="BY259" i="5"/>
  <c r="BX259" i="5"/>
  <c r="BV259" i="5"/>
  <c r="BU259" i="5"/>
  <c r="CB258" i="5"/>
  <c r="CB320" i="5" s="1"/>
  <c r="CA258" i="5"/>
  <c r="CA320" i="5" s="1"/>
  <c r="BY258" i="5"/>
  <c r="BY320" i="5" s="1"/>
  <c r="BX258" i="5"/>
  <c r="BX320" i="5" s="1"/>
  <c r="BV258" i="5"/>
  <c r="BV320" i="5" s="1"/>
  <c r="BU258" i="5"/>
  <c r="BU320" i="5" s="1"/>
  <c r="BS260" i="5"/>
  <c r="BR260" i="5"/>
  <c r="BP260" i="5"/>
  <c r="BO260" i="5"/>
  <c r="BM260" i="5"/>
  <c r="BL260" i="5"/>
  <c r="BS259" i="5"/>
  <c r="BR259" i="5"/>
  <c r="BP259" i="5"/>
  <c r="BO259" i="5"/>
  <c r="BM259" i="5"/>
  <c r="BL259" i="5"/>
  <c r="BS258" i="5"/>
  <c r="BS320" i="5" s="1"/>
  <c r="BR258" i="5"/>
  <c r="BR320" i="5" s="1"/>
  <c r="BP258" i="5"/>
  <c r="BP320" i="5" s="1"/>
  <c r="BO258" i="5"/>
  <c r="BO320" i="5" s="1"/>
  <c r="BM258" i="5"/>
  <c r="BM320" i="5" s="1"/>
  <c r="BL258" i="5"/>
  <c r="BL320" i="5" s="1"/>
  <c r="BJ260" i="5"/>
  <c r="BI260" i="5"/>
  <c r="BG260" i="5"/>
  <c r="BF260" i="5"/>
  <c r="BD260" i="5"/>
  <c r="BC260" i="5"/>
  <c r="BJ259" i="5"/>
  <c r="BI259" i="5"/>
  <c r="BG259" i="5"/>
  <c r="BF259" i="5"/>
  <c r="BD259" i="5"/>
  <c r="BC259" i="5"/>
  <c r="BJ258" i="5"/>
  <c r="BJ320" i="5" s="1"/>
  <c r="BI258" i="5"/>
  <c r="BI320" i="5" s="1"/>
  <c r="BG258" i="5"/>
  <c r="BG320" i="5" s="1"/>
  <c r="BF258" i="5"/>
  <c r="BF320" i="5" s="1"/>
  <c r="BD258" i="5"/>
  <c r="BD320" i="5" s="1"/>
  <c r="BC258" i="5"/>
  <c r="BC320" i="5" s="1"/>
  <c r="BA260" i="5"/>
  <c r="AZ260" i="5"/>
  <c r="AX260" i="5"/>
  <c r="AW260" i="5"/>
  <c r="AU260" i="5"/>
  <c r="AT260" i="5"/>
  <c r="BA259" i="5"/>
  <c r="AZ259" i="5"/>
  <c r="AX259" i="5"/>
  <c r="AW259" i="5"/>
  <c r="AU259" i="5"/>
  <c r="AT259" i="5"/>
  <c r="BA258" i="5"/>
  <c r="BA320" i="5" s="1"/>
  <c r="AZ258" i="5"/>
  <c r="AZ320" i="5" s="1"/>
  <c r="AX258" i="5"/>
  <c r="AX320" i="5" s="1"/>
  <c r="AW258" i="5"/>
  <c r="AW320" i="5" s="1"/>
  <c r="AU258" i="5"/>
  <c r="AU320" i="5" s="1"/>
  <c r="AT258" i="5"/>
  <c r="AT320" i="5" s="1"/>
  <c r="AR260" i="5"/>
  <c r="AQ260" i="5"/>
  <c r="AO260" i="5"/>
  <c r="AN260" i="5"/>
  <c r="AL260" i="5"/>
  <c r="AK260" i="5"/>
  <c r="AR259" i="5"/>
  <c r="AQ259" i="5"/>
  <c r="AO259" i="5"/>
  <c r="AN259" i="5"/>
  <c r="AL259" i="5"/>
  <c r="AK259" i="5"/>
  <c r="AR258" i="5"/>
  <c r="AR320" i="5" s="1"/>
  <c r="AQ258" i="5"/>
  <c r="AQ320" i="5" s="1"/>
  <c r="AO258" i="5"/>
  <c r="AO320" i="5" s="1"/>
  <c r="AN258" i="5"/>
  <c r="AN320" i="5" s="1"/>
  <c r="AL258" i="5"/>
  <c r="AL320" i="5" s="1"/>
  <c r="AK258" i="5"/>
  <c r="AK320" i="5" s="1"/>
  <c r="AI260" i="5"/>
  <c r="AH260" i="5"/>
  <c r="AF260" i="5"/>
  <c r="AE260" i="5"/>
  <c r="AC260" i="5"/>
  <c r="AB260" i="5"/>
  <c r="AI259" i="5"/>
  <c r="AH259" i="5"/>
  <c r="AF259" i="5"/>
  <c r="AE259" i="5"/>
  <c r="AC259" i="5"/>
  <c r="AB259" i="5"/>
  <c r="AI258" i="5"/>
  <c r="AI320" i="5" s="1"/>
  <c r="AH258" i="5"/>
  <c r="AH320" i="5" s="1"/>
  <c r="AF258" i="5"/>
  <c r="AF320" i="5" s="1"/>
  <c r="AE258" i="5"/>
  <c r="AE320" i="5" s="1"/>
  <c r="AC258" i="5"/>
  <c r="AC320" i="5" s="1"/>
  <c r="AB258" i="5"/>
  <c r="AB320" i="5" s="1"/>
  <c r="Z260" i="5"/>
  <c r="Y260" i="5"/>
  <c r="Z259" i="5"/>
  <c r="Y259" i="5"/>
  <c r="Z258" i="5"/>
  <c r="Z320" i="5" s="1"/>
  <c r="Y258" i="5"/>
  <c r="Y320" i="5" s="1"/>
  <c r="W260" i="5"/>
  <c r="V260" i="5"/>
  <c r="W259" i="5"/>
  <c r="V259" i="5"/>
  <c r="W258" i="5"/>
  <c r="W320" i="5" s="1"/>
  <c r="V258" i="5"/>
  <c r="V320" i="5" s="1"/>
  <c r="T260" i="5"/>
  <c r="S260" i="5"/>
  <c r="T259" i="5"/>
  <c r="S259" i="5"/>
  <c r="T258" i="5"/>
  <c r="T320" i="5" s="1"/>
  <c r="S258" i="5"/>
  <c r="S320" i="5" s="1"/>
  <c r="K260" i="5"/>
  <c r="K259" i="5"/>
  <c r="K258" i="5"/>
  <c r="K320" i="5" s="1"/>
  <c r="I260" i="5"/>
  <c r="I259" i="5"/>
  <c r="I258" i="5"/>
  <c r="J260" i="5"/>
  <c r="J259" i="5"/>
  <c r="J258" i="5"/>
  <c r="J320" i="5" s="1"/>
  <c r="CK302" i="5"/>
  <c r="CJ302" i="5"/>
  <c r="CH302" i="5"/>
  <c r="CG302" i="5"/>
  <c r="CE302" i="5"/>
  <c r="CD302" i="5"/>
  <c r="CK301" i="5"/>
  <c r="CJ301" i="5"/>
  <c r="CH301" i="5"/>
  <c r="CG301" i="5"/>
  <c r="CE301" i="5"/>
  <c r="CD301" i="5"/>
  <c r="CB302" i="5"/>
  <c r="CA302" i="5"/>
  <c r="BY302" i="5"/>
  <c r="BX302" i="5"/>
  <c r="BV302" i="5"/>
  <c r="BU302" i="5"/>
  <c r="CB301" i="5"/>
  <c r="CA301" i="5"/>
  <c r="BY301" i="5"/>
  <c r="BX301" i="5"/>
  <c r="BV301" i="5"/>
  <c r="BU301" i="5"/>
  <c r="BS302" i="5"/>
  <c r="BR302" i="5"/>
  <c r="BP302" i="5"/>
  <c r="BO302" i="5"/>
  <c r="BM302" i="5"/>
  <c r="BL302" i="5"/>
  <c r="BS301" i="5"/>
  <c r="BR301" i="5"/>
  <c r="BP301" i="5"/>
  <c r="BO301" i="5"/>
  <c r="BM301" i="5"/>
  <c r="BL301" i="5"/>
  <c r="BJ302" i="5"/>
  <c r="BI302" i="5"/>
  <c r="BG302" i="5"/>
  <c r="BF302" i="5"/>
  <c r="BD302" i="5"/>
  <c r="BC302" i="5"/>
  <c r="BJ301" i="5"/>
  <c r="BI301" i="5"/>
  <c r="BG301" i="5"/>
  <c r="BF301" i="5"/>
  <c r="BD301" i="5"/>
  <c r="BC301" i="5"/>
  <c r="BA302" i="5"/>
  <c r="AZ302" i="5"/>
  <c r="AX302" i="5"/>
  <c r="AW302" i="5"/>
  <c r="AU302" i="5"/>
  <c r="AT302" i="5"/>
  <c r="BA301" i="5"/>
  <c r="AZ301" i="5"/>
  <c r="AX301" i="5"/>
  <c r="AW301" i="5"/>
  <c r="AU301" i="5"/>
  <c r="AT301" i="5"/>
  <c r="AR302" i="5"/>
  <c r="AQ302" i="5"/>
  <c r="AO302" i="5"/>
  <c r="AN302" i="5"/>
  <c r="AL302" i="5"/>
  <c r="AK302" i="5"/>
  <c r="AR301" i="5"/>
  <c r="AQ301" i="5"/>
  <c r="AO301" i="5"/>
  <c r="AN301" i="5"/>
  <c r="AL301" i="5"/>
  <c r="AK301" i="5"/>
  <c r="AI302" i="5"/>
  <c r="AH302" i="5"/>
  <c r="AF302" i="5"/>
  <c r="AE302" i="5"/>
  <c r="AC302" i="5"/>
  <c r="AB302" i="5"/>
  <c r="AI301" i="5"/>
  <c r="AH301" i="5"/>
  <c r="AF301" i="5"/>
  <c r="AE301" i="5"/>
  <c r="AC301" i="5"/>
  <c r="AB301" i="5"/>
  <c r="Z302" i="5"/>
  <c r="Y302" i="5"/>
  <c r="Z301" i="5"/>
  <c r="Y301" i="5"/>
  <c r="W302" i="5"/>
  <c r="V302" i="5"/>
  <c r="W301" i="5"/>
  <c r="V301" i="5"/>
  <c r="T302" i="5"/>
  <c r="S302" i="5"/>
  <c r="T301" i="5"/>
  <c r="S301" i="5"/>
  <c r="K302" i="5"/>
  <c r="K301" i="5"/>
  <c r="J302" i="5"/>
  <c r="J301" i="5"/>
  <c r="R302" i="5" l="1"/>
  <c r="R301" i="5"/>
  <c r="CK293" i="5"/>
  <c r="CJ293" i="5"/>
  <c r="CH293" i="5"/>
  <c r="CG293" i="5"/>
  <c r="CE293" i="5"/>
  <c r="CD293" i="5"/>
  <c r="CK292" i="5"/>
  <c r="CJ292" i="5"/>
  <c r="CH292" i="5"/>
  <c r="CG292" i="5"/>
  <c r="CE292" i="5"/>
  <c r="CD292" i="5"/>
  <c r="CB293" i="5"/>
  <c r="CA293" i="5"/>
  <c r="BY293" i="5"/>
  <c r="BX293" i="5"/>
  <c r="BV293" i="5"/>
  <c r="BU293" i="5"/>
  <c r="CB292" i="5"/>
  <c r="CA292" i="5"/>
  <c r="BY292" i="5"/>
  <c r="BX292" i="5"/>
  <c r="BV292" i="5"/>
  <c r="BU292" i="5"/>
  <c r="BS293" i="5"/>
  <c r="BR293" i="5"/>
  <c r="BP293" i="5"/>
  <c r="BO293" i="5"/>
  <c r="BM293" i="5"/>
  <c r="BL293" i="5"/>
  <c r="BS292" i="5"/>
  <c r="BR292" i="5"/>
  <c r="BP292" i="5"/>
  <c r="BO292" i="5"/>
  <c r="BM292" i="5"/>
  <c r="BL292" i="5"/>
  <c r="BJ293" i="5"/>
  <c r="BI293" i="5"/>
  <c r="BG293" i="5"/>
  <c r="BF293" i="5"/>
  <c r="BD293" i="5"/>
  <c r="BC293" i="5"/>
  <c r="BJ292" i="5"/>
  <c r="BI292" i="5"/>
  <c r="BG292" i="5"/>
  <c r="BF292" i="5"/>
  <c r="BD292" i="5"/>
  <c r="BC292" i="5"/>
  <c r="BA293" i="5"/>
  <c r="AZ293" i="5"/>
  <c r="AX293" i="5"/>
  <c r="AW293" i="5"/>
  <c r="AU293" i="5"/>
  <c r="AT293" i="5"/>
  <c r="BA292" i="5"/>
  <c r="AZ292" i="5"/>
  <c r="AX292" i="5"/>
  <c r="AW292" i="5"/>
  <c r="AU292" i="5"/>
  <c r="AT292" i="5"/>
  <c r="AR293" i="5"/>
  <c r="AQ293" i="5"/>
  <c r="AO293" i="5"/>
  <c r="AN293" i="5"/>
  <c r="AL293" i="5"/>
  <c r="AK293" i="5"/>
  <c r="AR292" i="5"/>
  <c r="AQ292" i="5"/>
  <c r="AO292" i="5"/>
  <c r="AN292" i="5"/>
  <c r="AL292" i="5"/>
  <c r="AK292" i="5"/>
  <c r="AI293" i="5"/>
  <c r="AH293" i="5"/>
  <c r="AF293" i="5"/>
  <c r="AE293" i="5"/>
  <c r="AC293" i="5"/>
  <c r="AB293" i="5"/>
  <c r="AI292" i="5"/>
  <c r="AH292" i="5"/>
  <c r="AF292" i="5"/>
  <c r="AE292" i="5"/>
  <c r="AC292" i="5"/>
  <c r="AB292" i="5"/>
  <c r="Z293" i="5"/>
  <c r="Y293" i="5"/>
  <c r="Z292" i="5"/>
  <c r="Y292" i="5"/>
  <c r="W293" i="5"/>
  <c r="V293" i="5"/>
  <c r="W292" i="5"/>
  <c r="V292" i="5"/>
  <c r="T293" i="5"/>
  <c r="S293" i="5"/>
  <c r="T292" i="5"/>
  <c r="S292" i="5"/>
  <c r="K293" i="5"/>
  <c r="J293" i="5"/>
  <c r="K292" i="5"/>
  <c r="J292" i="5"/>
  <c r="CK337" i="5" l="1"/>
  <c r="R337" i="5" s="1"/>
  <c r="CK331" i="5"/>
  <c r="CH331" i="5"/>
  <c r="CG238" i="5"/>
  <c r="CG331" i="5" s="1"/>
  <c r="CE238" i="5"/>
  <c r="CE331" i="5" s="1"/>
  <c r="CD238" i="5"/>
  <c r="CD331" i="5" s="1"/>
  <c r="CB238" i="5"/>
  <c r="CB331" i="5" s="1"/>
  <c r="CA238" i="5"/>
  <c r="CA331" i="5" s="1"/>
  <c r="BY238" i="5"/>
  <c r="BY331" i="5" s="1"/>
  <c r="BX238" i="5"/>
  <c r="BX331" i="5" s="1"/>
  <c r="BV238" i="5"/>
  <c r="BV331" i="5" s="1"/>
  <c r="BU238" i="5"/>
  <c r="BU331" i="5" s="1"/>
  <c r="BS238" i="5"/>
  <c r="BS331" i="5" s="1"/>
  <c r="BR238" i="5"/>
  <c r="BR331" i="5" s="1"/>
  <c r="BP238" i="5"/>
  <c r="BP331" i="5" s="1"/>
  <c r="BO238" i="5"/>
  <c r="BO331" i="5" s="1"/>
  <c r="BM238" i="5"/>
  <c r="BM331" i="5" s="1"/>
  <c r="BL238" i="5"/>
  <c r="BL331" i="5" s="1"/>
  <c r="BJ238" i="5"/>
  <c r="BJ331" i="5" s="1"/>
  <c r="BI238" i="5"/>
  <c r="BI331" i="5" s="1"/>
  <c r="BG238" i="5"/>
  <c r="BG331" i="5" s="1"/>
  <c r="BF238" i="5"/>
  <c r="BF331" i="5" s="1"/>
  <c r="BD238" i="5"/>
  <c r="BD331" i="5" s="1"/>
  <c r="BC238" i="5"/>
  <c r="BC331" i="5" s="1"/>
  <c r="BA238" i="5"/>
  <c r="BA331" i="5" s="1"/>
  <c r="AZ238" i="5"/>
  <c r="AZ331" i="5" s="1"/>
  <c r="AX238" i="5"/>
  <c r="AX331" i="5" s="1"/>
  <c r="AW238" i="5"/>
  <c r="AW331" i="5" s="1"/>
  <c r="AU238" i="5"/>
  <c r="AU331" i="5" s="1"/>
  <c r="AT238" i="5"/>
  <c r="AT331" i="5" s="1"/>
  <c r="AR238" i="5"/>
  <c r="AR331" i="5" s="1"/>
  <c r="AQ238" i="5"/>
  <c r="AQ331" i="5" s="1"/>
  <c r="AO238" i="5"/>
  <c r="AO331" i="5" s="1"/>
  <c r="AN238" i="5"/>
  <c r="AN331" i="5" s="1"/>
  <c r="AL238" i="5"/>
  <c r="AL331" i="5" s="1"/>
  <c r="AK238" i="5"/>
  <c r="AK331" i="5" s="1"/>
  <c r="AI238" i="5"/>
  <c r="AI331" i="5" s="1"/>
  <c r="AH238" i="5"/>
  <c r="AH331" i="5" s="1"/>
  <c r="AF238" i="5"/>
  <c r="AF331" i="5" s="1"/>
  <c r="AE238" i="5"/>
  <c r="AE331" i="5" s="1"/>
  <c r="AC238" i="5"/>
  <c r="AC331" i="5" s="1"/>
  <c r="AB238" i="5"/>
  <c r="AB331" i="5" s="1"/>
  <c r="Z238" i="5"/>
  <c r="Z331" i="5" s="1"/>
  <c r="Y238" i="5"/>
  <c r="Y331" i="5" s="1"/>
  <c r="W238" i="5"/>
  <c r="W331" i="5" s="1"/>
  <c r="V238" i="5"/>
  <c r="V331" i="5" s="1"/>
  <c r="T238" i="5"/>
  <c r="T331" i="5" s="1"/>
  <c r="S238" i="5"/>
  <c r="S331" i="5" s="1"/>
  <c r="Q331" i="5" s="1"/>
  <c r="K242" i="5"/>
  <c r="K337" i="5" s="1"/>
  <c r="J242" i="5"/>
  <c r="K238" i="5"/>
  <c r="J238" i="5"/>
  <c r="J529" i="5" s="1"/>
  <c r="J680" i="5" s="1"/>
  <c r="J1425" i="5" s="1"/>
  <c r="CK336" i="5"/>
  <c r="R336" i="5" s="1"/>
  <c r="K241" i="5"/>
  <c r="J241" i="5"/>
  <c r="J537" i="5" s="1"/>
  <c r="J688" i="5" s="1"/>
  <c r="J1433" i="5" s="1"/>
  <c r="CK330" i="5"/>
  <c r="CH330" i="5"/>
  <c r="CG237" i="5"/>
  <c r="CG330" i="5" s="1"/>
  <c r="CE237" i="5"/>
  <c r="CE330" i="5" s="1"/>
  <c r="CD237" i="5"/>
  <c r="CD330" i="5" s="1"/>
  <c r="CB237" i="5"/>
  <c r="CB330" i="5" s="1"/>
  <c r="CA237" i="5"/>
  <c r="CA330" i="5" s="1"/>
  <c r="BY237" i="5"/>
  <c r="BY330" i="5" s="1"/>
  <c r="BX237" i="5"/>
  <c r="BX330" i="5" s="1"/>
  <c r="BV237" i="5"/>
  <c r="BV330" i="5" s="1"/>
  <c r="BU237" i="5"/>
  <c r="BU330" i="5" s="1"/>
  <c r="BS237" i="5"/>
  <c r="BS330" i="5" s="1"/>
  <c r="BR237" i="5"/>
  <c r="BR330" i="5" s="1"/>
  <c r="BP237" i="5"/>
  <c r="BP330" i="5" s="1"/>
  <c r="BO237" i="5"/>
  <c r="BO330" i="5" s="1"/>
  <c r="BM237" i="5"/>
  <c r="BM330" i="5" s="1"/>
  <c r="BL237" i="5"/>
  <c r="BL330" i="5" s="1"/>
  <c r="BJ237" i="5"/>
  <c r="BJ330" i="5" s="1"/>
  <c r="BI237" i="5"/>
  <c r="BI330" i="5" s="1"/>
  <c r="BG237" i="5"/>
  <c r="BG330" i="5" s="1"/>
  <c r="BF237" i="5"/>
  <c r="BF330" i="5" s="1"/>
  <c r="BD237" i="5"/>
  <c r="BD330" i="5" s="1"/>
  <c r="BC237" i="5"/>
  <c r="BC330" i="5" s="1"/>
  <c r="BA237" i="5"/>
  <c r="BA330" i="5" s="1"/>
  <c r="AZ237" i="5"/>
  <c r="AZ330" i="5" s="1"/>
  <c r="AX237" i="5"/>
  <c r="AX330" i="5" s="1"/>
  <c r="AW237" i="5"/>
  <c r="AW330" i="5" s="1"/>
  <c r="AU237" i="5"/>
  <c r="AU330" i="5" s="1"/>
  <c r="AT237" i="5"/>
  <c r="AT330" i="5" s="1"/>
  <c r="AR237" i="5"/>
  <c r="AR330" i="5" s="1"/>
  <c r="AQ237" i="5"/>
  <c r="AQ330" i="5" s="1"/>
  <c r="AO237" i="5"/>
  <c r="AO330" i="5" s="1"/>
  <c r="AN237" i="5"/>
  <c r="AN330" i="5" s="1"/>
  <c r="AL237" i="5"/>
  <c r="AL330" i="5" s="1"/>
  <c r="AK237" i="5"/>
  <c r="AK330" i="5" s="1"/>
  <c r="AI237" i="5"/>
  <c r="AI330" i="5" s="1"/>
  <c r="AH237" i="5"/>
  <c r="AH330" i="5" s="1"/>
  <c r="AF237" i="5"/>
  <c r="AF330" i="5" s="1"/>
  <c r="AE237" i="5"/>
  <c r="AE330" i="5" s="1"/>
  <c r="AC237" i="5"/>
  <c r="AC330" i="5" s="1"/>
  <c r="AB237" i="5"/>
  <c r="AB330" i="5" s="1"/>
  <c r="Z237" i="5"/>
  <c r="Z330" i="5" s="1"/>
  <c r="Y237" i="5"/>
  <c r="Y330" i="5" s="1"/>
  <c r="W237" i="5"/>
  <c r="W330" i="5" s="1"/>
  <c r="V237" i="5"/>
  <c r="V330" i="5" s="1"/>
  <c r="T237" i="5"/>
  <c r="T330" i="5" s="1"/>
  <c r="S237" i="5"/>
  <c r="S330" i="5" s="1"/>
  <c r="K237" i="5"/>
  <c r="J237" i="5"/>
  <c r="J128" i="5"/>
  <c r="K128" i="5"/>
  <c r="J129" i="5"/>
  <c r="K129" i="5"/>
  <c r="J130" i="5"/>
  <c r="K130" i="5"/>
  <c r="J132" i="5"/>
  <c r="K132" i="5"/>
  <c r="J133" i="5"/>
  <c r="K133" i="5"/>
  <c r="J134" i="5"/>
  <c r="K134" i="5"/>
  <c r="J136" i="5"/>
  <c r="K136" i="5"/>
  <c r="J137" i="5"/>
  <c r="K137" i="5"/>
  <c r="J138" i="5"/>
  <c r="K138" i="5"/>
  <c r="CK95" i="5"/>
  <c r="CJ95" i="5"/>
  <c r="CH95" i="5"/>
  <c r="CG95" i="5"/>
  <c r="CE95" i="5"/>
  <c r="CD95" i="5"/>
  <c r="CK94" i="5"/>
  <c r="CJ94" i="5"/>
  <c r="CH94" i="5"/>
  <c r="CG94" i="5"/>
  <c r="CE94" i="5"/>
  <c r="CD94" i="5"/>
  <c r="CK93" i="5"/>
  <c r="CJ93" i="5"/>
  <c r="CH93" i="5"/>
  <c r="CG93" i="5"/>
  <c r="CE93" i="5"/>
  <c r="CD93" i="5"/>
  <c r="CK91" i="5"/>
  <c r="CJ91" i="5"/>
  <c r="CH91" i="5"/>
  <c r="CG91" i="5"/>
  <c r="CE91" i="5"/>
  <c r="CD91" i="5"/>
  <c r="CK90" i="5"/>
  <c r="CJ90" i="5"/>
  <c r="CH90" i="5"/>
  <c r="CG90" i="5"/>
  <c r="CE90" i="5"/>
  <c r="CD90" i="5"/>
  <c r="CK89" i="5"/>
  <c r="CJ89" i="5"/>
  <c r="CH89" i="5"/>
  <c r="CG89" i="5"/>
  <c r="CE89" i="5"/>
  <c r="CD89" i="5"/>
  <c r="CK87" i="5"/>
  <c r="CJ87" i="5"/>
  <c r="CH87" i="5"/>
  <c r="CG87" i="5"/>
  <c r="CE87" i="5"/>
  <c r="CD87" i="5"/>
  <c r="CK86" i="5"/>
  <c r="CJ86" i="5"/>
  <c r="CH86" i="5"/>
  <c r="CG86" i="5"/>
  <c r="CE86" i="5"/>
  <c r="CD86" i="5"/>
  <c r="CK85" i="5"/>
  <c r="CJ85" i="5"/>
  <c r="CH85" i="5"/>
  <c r="CG85" i="5"/>
  <c r="CE85" i="5"/>
  <c r="CD85" i="5"/>
  <c r="CB95" i="5"/>
  <c r="CA95" i="5"/>
  <c r="BY95" i="5"/>
  <c r="BX95" i="5"/>
  <c r="BV95" i="5"/>
  <c r="BU95" i="5"/>
  <c r="CB94" i="5"/>
  <c r="CA94" i="5"/>
  <c r="BY94" i="5"/>
  <c r="BX94" i="5"/>
  <c r="BV94" i="5"/>
  <c r="BU94" i="5"/>
  <c r="CB93" i="5"/>
  <c r="CA93" i="5"/>
  <c r="BY93" i="5"/>
  <c r="BX93" i="5"/>
  <c r="BV93" i="5"/>
  <c r="BU93" i="5"/>
  <c r="CB91" i="5"/>
  <c r="CA91" i="5"/>
  <c r="BY91" i="5"/>
  <c r="BX91" i="5"/>
  <c r="BV91" i="5"/>
  <c r="BU91" i="5"/>
  <c r="CB90" i="5"/>
  <c r="CA90" i="5"/>
  <c r="BY90" i="5"/>
  <c r="BX90" i="5"/>
  <c r="BV90" i="5"/>
  <c r="BU90" i="5"/>
  <c r="CB89" i="5"/>
  <c r="CA89" i="5"/>
  <c r="BY89" i="5"/>
  <c r="BX89" i="5"/>
  <c r="BV89" i="5"/>
  <c r="BU89" i="5"/>
  <c r="CB87" i="5"/>
  <c r="CA87" i="5"/>
  <c r="BY87" i="5"/>
  <c r="BX87" i="5"/>
  <c r="BV87" i="5"/>
  <c r="BU87" i="5"/>
  <c r="CB86" i="5"/>
  <c r="CA86" i="5"/>
  <c r="BY86" i="5"/>
  <c r="BX86" i="5"/>
  <c r="BV86" i="5"/>
  <c r="BU86" i="5"/>
  <c r="CB85" i="5"/>
  <c r="CA85" i="5"/>
  <c r="BY85" i="5"/>
  <c r="BX85" i="5"/>
  <c r="BV85" i="5"/>
  <c r="BU85" i="5"/>
  <c r="BS95" i="5"/>
  <c r="BR95" i="5"/>
  <c r="BP95" i="5"/>
  <c r="BO95" i="5"/>
  <c r="BM95" i="5"/>
  <c r="BL95" i="5"/>
  <c r="BS94" i="5"/>
  <c r="BR94" i="5"/>
  <c r="BP94" i="5"/>
  <c r="BO94" i="5"/>
  <c r="BM94" i="5"/>
  <c r="BL94" i="5"/>
  <c r="BS93" i="5"/>
  <c r="BR93" i="5"/>
  <c r="BP93" i="5"/>
  <c r="BO93" i="5"/>
  <c r="BM93" i="5"/>
  <c r="BL93" i="5"/>
  <c r="BS91" i="5"/>
  <c r="BR91" i="5"/>
  <c r="BP91" i="5"/>
  <c r="BO91" i="5"/>
  <c r="BM91" i="5"/>
  <c r="BL91" i="5"/>
  <c r="BS90" i="5"/>
  <c r="BR90" i="5"/>
  <c r="BP90" i="5"/>
  <c r="BO90" i="5"/>
  <c r="BM90" i="5"/>
  <c r="BL90" i="5"/>
  <c r="BS89" i="5"/>
  <c r="BR89" i="5"/>
  <c r="BP89" i="5"/>
  <c r="BO89" i="5"/>
  <c r="BM89" i="5"/>
  <c r="BL89" i="5"/>
  <c r="BS87" i="5"/>
  <c r="BR87" i="5"/>
  <c r="BP87" i="5"/>
  <c r="BO87" i="5"/>
  <c r="BM87" i="5"/>
  <c r="BL87" i="5"/>
  <c r="BS86" i="5"/>
  <c r="BR86" i="5"/>
  <c r="BP86" i="5"/>
  <c r="BO86" i="5"/>
  <c r="BM86" i="5"/>
  <c r="BL86" i="5"/>
  <c r="BS85" i="5"/>
  <c r="BR85" i="5"/>
  <c r="BP85" i="5"/>
  <c r="BO85" i="5"/>
  <c r="BM85" i="5"/>
  <c r="BL85" i="5"/>
  <c r="BJ95" i="5"/>
  <c r="BI95" i="5"/>
  <c r="BG95" i="5"/>
  <c r="BF95" i="5"/>
  <c r="BD95" i="5"/>
  <c r="BC95" i="5"/>
  <c r="BJ94" i="5"/>
  <c r="BI94" i="5"/>
  <c r="BG94" i="5"/>
  <c r="BF94" i="5"/>
  <c r="BD94" i="5"/>
  <c r="BC94" i="5"/>
  <c r="BJ93" i="5"/>
  <c r="BI93" i="5"/>
  <c r="BG93" i="5"/>
  <c r="BF93" i="5"/>
  <c r="BD93" i="5"/>
  <c r="BC93" i="5"/>
  <c r="BJ91" i="5"/>
  <c r="BI91" i="5"/>
  <c r="BG91" i="5"/>
  <c r="BF91" i="5"/>
  <c r="BD91" i="5"/>
  <c r="BC91" i="5"/>
  <c r="BJ90" i="5"/>
  <c r="BI90" i="5"/>
  <c r="BG90" i="5"/>
  <c r="BF90" i="5"/>
  <c r="BD90" i="5"/>
  <c r="BC90" i="5"/>
  <c r="BJ89" i="5"/>
  <c r="BI89" i="5"/>
  <c r="BG89" i="5"/>
  <c r="BF89" i="5"/>
  <c r="BD89" i="5"/>
  <c r="BC89" i="5"/>
  <c r="BJ87" i="5"/>
  <c r="BI87" i="5"/>
  <c r="BG87" i="5"/>
  <c r="BF87" i="5"/>
  <c r="BD87" i="5"/>
  <c r="BC87" i="5"/>
  <c r="BJ86" i="5"/>
  <c r="BI86" i="5"/>
  <c r="BG86" i="5"/>
  <c r="BF86" i="5"/>
  <c r="BD86" i="5"/>
  <c r="BC86" i="5"/>
  <c r="BJ85" i="5"/>
  <c r="BI85" i="5"/>
  <c r="BG85" i="5"/>
  <c r="BF85" i="5"/>
  <c r="BD85" i="5"/>
  <c r="BC85" i="5"/>
  <c r="BA95" i="5"/>
  <c r="AZ95" i="5"/>
  <c r="AX95" i="5"/>
  <c r="AW95" i="5"/>
  <c r="AU95" i="5"/>
  <c r="AT95" i="5"/>
  <c r="BA94" i="5"/>
  <c r="AZ94" i="5"/>
  <c r="AX94" i="5"/>
  <c r="AW94" i="5"/>
  <c r="AU94" i="5"/>
  <c r="AT94" i="5"/>
  <c r="BA93" i="5"/>
  <c r="AZ93" i="5"/>
  <c r="AX93" i="5"/>
  <c r="AW93" i="5"/>
  <c r="AU93" i="5"/>
  <c r="AT93" i="5"/>
  <c r="BA91" i="5"/>
  <c r="AZ91" i="5"/>
  <c r="AX91" i="5"/>
  <c r="AW91" i="5"/>
  <c r="AU91" i="5"/>
  <c r="AT91" i="5"/>
  <c r="BA90" i="5"/>
  <c r="AZ90" i="5"/>
  <c r="AX90" i="5"/>
  <c r="AW90" i="5"/>
  <c r="AU90" i="5"/>
  <c r="AT90" i="5"/>
  <c r="BA89" i="5"/>
  <c r="AZ89" i="5"/>
  <c r="AX89" i="5"/>
  <c r="AW89" i="5"/>
  <c r="AU89" i="5"/>
  <c r="AT89" i="5"/>
  <c r="BA87" i="5"/>
  <c r="AZ87" i="5"/>
  <c r="AX87" i="5"/>
  <c r="AW87" i="5"/>
  <c r="AU87" i="5"/>
  <c r="AT87" i="5"/>
  <c r="BA86" i="5"/>
  <c r="AZ86" i="5"/>
  <c r="AX86" i="5"/>
  <c r="AW86" i="5"/>
  <c r="AU86" i="5"/>
  <c r="AT86" i="5"/>
  <c r="BA85" i="5"/>
  <c r="AZ85" i="5"/>
  <c r="AX85" i="5"/>
  <c r="AW85" i="5"/>
  <c r="AU85" i="5"/>
  <c r="AT85" i="5"/>
  <c r="AR95" i="5"/>
  <c r="AQ95" i="5"/>
  <c r="AO95" i="5"/>
  <c r="AN95" i="5"/>
  <c r="AL95" i="5"/>
  <c r="AK95" i="5"/>
  <c r="AR94" i="5"/>
  <c r="AQ94" i="5"/>
  <c r="AO94" i="5"/>
  <c r="AN94" i="5"/>
  <c r="AL94" i="5"/>
  <c r="AK94" i="5"/>
  <c r="AR93" i="5"/>
  <c r="AQ93" i="5"/>
  <c r="AO93" i="5"/>
  <c r="AN93" i="5"/>
  <c r="AL93" i="5"/>
  <c r="AK93" i="5"/>
  <c r="AR91" i="5"/>
  <c r="AQ91" i="5"/>
  <c r="AO91" i="5"/>
  <c r="AN91" i="5"/>
  <c r="AL91" i="5"/>
  <c r="AK91" i="5"/>
  <c r="AR90" i="5"/>
  <c r="AQ90" i="5"/>
  <c r="AO90" i="5"/>
  <c r="AN90" i="5"/>
  <c r="AL90" i="5"/>
  <c r="AK90" i="5"/>
  <c r="AR89" i="5"/>
  <c r="AQ89" i="5"/>
  <c r="AO89" i="5"/>
  <c r="AN89" i="5"/>
  <c r="AL89" i="5"/>
  <c r="AK89" i="5"/>
  <c r="AR87" i="5"/>
  <c r="AQ87" i="5"/>
  <c r="AO87" i="5"/>
  <c r="AN87" i="5"/>
  <c r="AL87" i="5"/>
  <c r="AK87" i="5"/>
  <c r="AR86" i="5"/>
  <c r="AQ86" i="5"/>
  <c r="AO86" i="5"/>
  <c r="AN86" i="5"/>
  <c r="AL86" i="5"/>
  <c r="AK86" i="5"/>
  <c r="AR85" i="5"/>
  <c r="AQ85" i="5"/>
  <c r="AO85" i="5"/>
  <c r="AN85" i="5"/>
  <c r="AL85" i="5"/>
  <c r="AK85" i="5"/>
  <c r="AI95" i="5"/>
  <c r="AH95" i="5"/>
  <c r="AF95" i="5"/>
  <c r="AE95" i="5"/>
  <c r="AC95" i="5"/>
  <c r="AB95" i="5"/>
  <c r="AI94" i="5"/>
  <c r="AH94" i="5"/>
  <c r="AF94" i="5"/>
  <c r="AE94" i="5"/>
  <c r="AC94" i="5"/>
  <c r="AB94" i="5"/>
  <c r="AI93" i="5"/>
  <c r="AH93" i="5"/>
  <c r="AF93" i="5"/>
  <c r="AE93" i="5"/>
  <c r="AC93" i="5"/>
  <c r="AB93" i="5"/>
  <c r="AI91" i="5"/>
  <c r="AH91" i="5"/>
  <c r="AF91" i="5"/>
  <c r="AE91" i="5"/>
  <c r="AC91" i="5"/>
  <c r="AB91" i="5"/>
  <c r="AI90" i="5"/>
  <c r="AH90" i="5"/>
  <c r="AF90" i="5"/>
  <c r="AE90" i="5"/>
  <c r="AC90" i="5"/>
  <c r="AB90" i="5"/>
  <c r="AI89" i="5"/>
  <c r="AH89" i="5"/>
  <c r="AF89" i="5"/>
  <c r="AE89" i="5"/>
  <c r="AC89" i="5"/>
  <c r="AB89" i="5"/>
  <c r="AI87" i="5"/>
  <c r="AH87" i="5"/>
  <c r="AF87" i="5"/>
  <c r="AE87" i="5"/>
  <c r="AC87" i="5"/>
  <c r="AB87" i="5"/>
  <c r="AI86" i="5"/>
  <c r="AH86" i="5"/>
  <c r="AF86" i="5"/>
  <c r="AE86" i="5"/>
  <c r="AC86" i="5"/>
  <c r="AB86" i="5"/>
  <c r="AI85" i="5"/>
  <c r="AH85" i="5"/>
  <c r="AF85" i="5"/>
  <c r="AE85" i="5"/>
  <c r="AC85" i="5"/>
  <c r="AB85" i="5"/>
  <c r="Z95" i="5"/>
  <c r="Y95" i="5"/>
  <c r="Z94" i="5"/>
  <c r="Y94" i="5"/>
  <c r="Z93" i="5"/>
  <c r="Y93" i="5"/>
  <c r="Z91" i="5"/>
  <c r="Y91" i="5"/>
  <c r="Z90" i="5"/>
  <c r="Y90" i="5"/>
  <c r="Z89" i="5"/>
  <c r="Y89" i="5"/>
  <c r="Z87" i="5"/>
  <c r="Y87" i="5"/>
  <c r="Z86" i="5"/>
  <c r="Y86" i="5"/>
  <c r="Z85" i="5"/>
  <c r="Y85" i="5"/>
  <c r="W95" i="5"/>
  <c r="V95" i="5"/>
  <c r="W94" i="5"/>
  <c r="V94" i="5"/>
  <c r="W93" i="5"/>
  <c r="V93" i="5"/>
  <c r="W91" i="5"/>
  <c r="V91" i="5"/>
  <c r="W90" i="5"/>
  <c r="V90" i="5"/>
  <c r="W89" i="5"/>
  <c r="V89" i="5"/>
  <c r="W87" i="5"/>
  <c r="V87" i="5"/>
  <c r="W86" i="5"/>
  <c r="V86" i="5"/>
  <c r="W85" i="5"/>
  <c r="V85" i="5"/>
  <c r="T95" i="5"/>
  <c r="S95" i="5"/>
  <c r="T94" i="5"/>
  <c r="S94" i="5"/>
  <c r="T93" i="5"/>
  <c r="S93" i="5"/>
  <c r="T91" i="5"/>
  <c r="S91" i="5"/>
  <c r="T90" i="5"/>
  <c r="S90" i="5"/>
  <c r="T89" i="5"/>
  <c r="S89" i="5"/>
  <c r="T87" i="5"/>
  <c r="S87" i="5"/>
  <c r="T86" i="5"/>
  <c r="S86" i="5"/>
  <c r="T85" i="5"/>
  <c r="S85" i="5"/>
  <c r="K85" i="5"/>
  <c r="K528" i="5" l="1"/>
  <c r="K330" i="5"/>
  <c r="Q330" i="5"/>
  <c r="K537" i="5"/>
  <c r="K688" i="5" s="1"/>
  <c r="K1433" i="5" s="1"/>
  <c r="K336" i="5"/>
  <c r="K529" i="5"/>
  <c r="K680" i="5" s="1"/>
  <c r="K1425" i="5" s="1"/>
  <c r="K331" i="5"/>
  <c r="K679" i="5"/>
  <c r="K1424" i="5" s="1"/>
  <c r="R331" i="5"/>
  <c r="R330" i="5"/>
  <c r="T528" i="5"/>
  <c r="T679" i="5" s="1"/>
  <c r="T1424" i="5" s="1"/>
  <c r="T305" i="5"/>
  <c r="Z528" i="5"/>
  <c r="Z679" i="5" s="1"/>
  <c r="Z1424" i="5" s="1"/>
  <c r="Z305" i="5"/>
  <c r="AF528" i="5"/>
  <c r="AF679" i="5" s="1"/>
  <c r="AF1424" i="5" s="1"/>
  <c r="AF305" i="5"/>
  <c r="AL528" i="5"/>
  <c r="AL679" i="5" s="1"/>
  <c r="AL1424" i="5" s="1"/>
  <c r="AL305" i="5"/>
  <c r="AR528" i="5"/>
  <c r="AR679" i="5" s="1"/>
  <c r="AR1424" i="5" s="1"/>
  <c r="AR305" i="5"/>
  <c r="AX528" i="5"/>
  <c r="AX679" i="5" s="1"/>
  <c r="AX1424" i="5" s="1"/>
  <c r="AX305" i="5"/>
  <c r="BD528" i="5"/>
  <c r="BD679" i="5" s="1"/>
  <c r="BD1424" i="5" s="1"/>
  <c r="BD305" i="5"/>
  <c r="BJ528" i="5"/>
  <c r="BJ679" i="5" s="1"/>
  <c r="BJ1424" i="5" s="1"/>
  <c r="BJ305" i="5"/>
  <c r="BP528" i="5"/>
  <c r="BP679" i="5" s="1"/>
  <c r="BP1424" i="5" s="1"/>
  <c r="BP305" i="5"/>
  <c r="BV528" i="5"/>
  <c r="BV679" i="5" s="1"/>
  <c r="BV1424" i="5" s="1"/>
  <c r="BV305" i="5"/>
  <c r="CB528" i="5"/>
  <c r="CB679" i="5" s="1"/>
  <c r="CB1424" i="5" s="1"/>
  <c r="CB305" i="5"/>
  <c r="CH528" i="5"/>
  <c r="CH679" i="5" s="1"/>
  <c r="CH1424" i="5" s="1"/>
  <c r="CH305" i="5"/>
  <c r="W537" i="5"/>
  <c r="W688" i="5" s="1"/>
  <c r="W1433" i="5" s="1"/>
  <c r="W306" i="5"/>
  <c r="AC537" i="5"/>
  <c r="AC688" i="5" s="1"/>
  <c r="AC1433" i="5" s="1"/>
  <c r="AC306" i="5"/>
  <c r="AI537" i="5"/>
  <c r="AI688" i="5" s="1"/>
  <c r="AI1433" i="5" s="1"/>
  <c r="AI306" i="5"/>
  <c r="AO537" i="5"/>
  <c r="AO688" i="5" s="1"/>
  <c r="AO1433" i="5" s="1"/>
  <c r="AO306" i="5"/>
  <c r="AU537" i="5"/>
  <c r="AU688" i="5" s="1"/>
  <c r="AU1433" i="5" s="1"/>
  <c r="AU306" i="5"/>
  <c r="BA537" i="5"/>
  <c r="BA688" i="5" s="1"/>
  <c r="BA1433" i="5" s="1"/>
  <c r="BA306" i="5"/>
  <c r="BG537" i="5"/>
  <c r="BG688" i="5" s="1"/>
  <c r="BG1433" i="5" s="1"/>
  <c r="BG306" i="5"/>
  <c r="BM537" i="5"/>
  <c r="BM688" i="5" s="1"/>
  <c r="BM1433" i="5" s="1"/>
  <c r="BM306" i="5"/>
  <c r="BS537" i="5"/>
  <c r="BS688" i="5" s="1"/>
  <c r="BS1433" i="5" s="1"/>
  <c r="BS306" i="5"/>
  <c r="BY537" i="5"/>
  <c r="BY688" i="5" s="1"/>
  <c r="BY1433" i="5" s="1"/>
  <c r="BY306" i="5"/>
  <c r="CE537" i="5"/>
  <c r="CE688" i="5" s="1"/>
  <c r="CE1433" i="5" s="1"/>
  <c r="CE306" i="5"/>
  <c r="CK537" i="5"/>
  <c r="CK688" i="5" s="1"/>
  <c r="CK1433" i="5" s="1"/>
  <c r="CK306" i="5"/>
  <c r="W529" i="5"/>
  <c r="W680" i="5" s="1"/>
  <c r="W1425" i="5" s="1"/>
  <c r="AC529" i="5"/>
  <c r="AC680" i="5" s="1"/>
  <c r="AC1425" i="5" s="1"/>
  <c r="AI529" i="5"/>
  <c r="AI680" i="5" s="1"/>
  <c r="AI1425" i="5" s="1"/>
  <c r="AO529" i="5"/>
  <c r="AO680" i="5" s="1"/>
  <c r="AO1425" i="5" s="1"/>
  <c r="AU529" i="5"/>
  <c r="AU680" i="5" s="1"/>
  <c r="AU1425" i="5" s="1"/>
  <c r="BA529" i="5"/>
  <c r="BA680" i="5" s="1"/>
  <c r="BA1425" i="5" s="1"/>
  <c r="BG529" i="5"/>
  <c r="BG680" i="5" s="1"/>
  <c r="BG1425" i="5" s="1"/>
  <c r="BM529" i="5"/>
  <c r="BM680" i="5" s="1"/>
  <c r="BM1425" i="5" s="1"/>
  <c r="BS529" i="5"/>
  <c r="BS680" i="5" s="1"/>
  <c r="BS1425" i="5" s="1"/>
  <c r="BY529" i="5"/>
  <c r="BY680" i="5" s="1"/>
  <c r="BY1425" i="5" s="1"/>
  <c r="CE529" i="5"/>
  <c r="CE680" i="5" s="1"/>
  <c r="CE1425" i="5" s="1"/>
  <c r="CK529" i="5"/>
  <c r="CK680" i="5" s="1"/>
  <c r="CK1425" i="5" s="1"/>
  <c r="AC538" i="5"/>
  <c r="AC689" i="5" s="1"/>
  <c r="AC1434" i="5" s="1"/>
  <c r="AI538" i="5"/>
  <c r="AI689" i="5" s="1"/>
  <c r="AI1434" i="5" s="1"/>
  <c r="AO538" i="5"/>
  <c r="AO689" i="5" s="1"/>
  <c r="AO1434" i="5" s="1"/>
  <c r="AU538" i="5"/>
  <c r="AU689" i="5" s="1"/>
  <c r="AU1434" i="5" s="1"/>
  <c r="BA538" i="5"/>
  <c r="BA689" i="5" s="1"/>
  <c r="BA1434" i="5" s="1"/>
  <c r="BG538" i="5"/>
  <c r="BG689" i="5" s="1"/>
  <c r="BG1434" i="5" s="1"/>
  <c r="BM538" i="5"/>
  <c r="BM689" i="5" s="1"/>
  <c r="BM1434" i="5" s="1"/>
  <c r="BS538" i="5"/>
  <c r="BS689" i="5" s="1"/>
  <c r="BS1434" i="5" s="1"/>
  <c r="BY538" i="5"/>
  <c r="BY689" i="5" s="1"/>
  <c r="BY1434" i="5" s="1"/>
  <c r="CE538" i="5"/>
  <c r="CE689" i="5" s="1"/>
  <c r="CE1434" i="5" s="1"/>
  <c r="J528" i="5"/>
  <c r="J679" i="5" s="1"/>
  <c r="J1424" i="5" s="1"/>
  <c r="V528" i="5"/>
  <c r="V679" i="5" s="1"/>
  <c r="V1424" i="5" s="1"/>
  <c r="V305" i="5"/>
  <c r="AB528" i="5"/>
  <c r="AB679" i="5" s="1"/>
  <c r="AB1424" i="5" s="1"/>
  <c r="AB305" i="5"/>
  <c r="AH528" i="5"/>
  <c r="AH679" i="5" s="1"/>
  <c r="AH1424" i="5" s="1"/>
  <c r="AH305" i="5"/>
  <c r="AN528" i="5"/>
  <c r="AN679" i="5" s="1"/>
  <c r="AN1424" i="5" s="1"/>
  <c r="AN305" i="5"/>
  <c r="AT528" i="5"/>
  <c r="AT679" i="5" s="1"/>
  <c r="AT1424" i="5" s="1"/>
  <c r="AT305" i="5"/>
  <c r="AZ528" i="5"/>
  <c r="AZ679" i="5" s="1"/>
  <c r="AZ1424" i="5" s="1"/>
  <c r="AZ305" i="5"/>
  <c r="BF528" i="5"/>
  <c r="BF679" i="5" s="1"/>
  <c r="BF1424" i="5" s="1"/>
  <c r="BF305" i="5"/>
  <c r="BL528" i="5"/>
  <c r="BL679" i="5" s="1"/>
  <c r="BL1424" i="5" s="1"/>
  <c r="BL305" i="5"/>
  <c r="BR528" i="5"/>
  <c r="BR679" i="5" s="1"/>
  <c r="BR1424" i="5" s="1"/>
  <c r="BR305" i="5"/>
  <c r="BX528" i="5"/>
  <c r="BX679" i="5" s="1"/>
  <c r="BX1424" i="5" s="1"/>
  <c r="BX305" i="5"/>
  <c r="CD528" i="5"/>
  <c r="CD679" i="5" s="1"/>
  <c r="CD1424" i="5" s="1"/>
  <c r="CD305" i="5"/>
  <c r="CK528" i="5"/>
  <c r="CK679" i="5" s="1"/>
  <c r="CK1424" i="5" s="1"/>
  <c r="CK305" i="5"/>
  <c r="S537" i="5"/>
  <c r="S688" i="5" s="1"/>
  <c r="S1433" i="5" s="1"/>
  <c r="S306" i="5"/>
  <c r="Y537" i="5"/>
  <c r="Y688" i="5" s="1"/>
  <c r="Y1433" i="5" s="1"/>
  <c r="Y306" i="5"/>
  <c r="AE537" i="5"/>
  <c r="AE688" i="5" s="1"/>
  <c r="AE1433" i="5" s="1"/>
  <c r="AE306" i="5"/>
  <c r="AK537" i="5"/>
  <c r="AK688" i="5" s="1"/>
  <c r="AK1433" i="5" s="1"/>
  <c r="AK306" i="5"/>
  <c r="AQ537" i="5"/>
  <c r="AQ688" i="5" s="1"/>
  <c r="AQ1433" i="5" s="1"/>
  <c r="AQ306" i="5"/>
  <c r="AW537" i="5"/>
  <c r="AW688" i="5" s="1"/>
  <c r="AW1433" i="5" s="1"/>
  <c r="AW306" i="5"/>
  <c r="BC537" i="5"/>
  <c r="BC688" i="5" s="1"/>
  <c r="BC1433" i="5" s="1"/>
  <c r="BC306" i="5"/>
  <c r="BI537" i="5"/>
  <c r="BI688" i="5" s="1"/>
  <c r="BI1433" i="5" s="1"/>
  <c r="BI306" i="5"/>
  <c r="BO537" i="5"/>
  <c r="BO688" i="5" s="1"/>
  <c r="BO1433" i="5" s="1"/>
  <c r="BO306" i="5"/>
  <c r="BU537" i="5"/>
  <c r="BU688" i="5" s="1"/>
  <c r="BU1433" i="5" s="1"/>
  <c r="BU306" i="5"/>
  <c r="CA537" i="5"/>
  <c r="CA688" i="5" s="1"/>
  <c r="CA1433" i="5" s="1"/>
  <c r="CA306" i="5"/>
  <c r="CG537" i="5"/>
  <c r="CG688" i="5" s="1"/>
  <c r="CG1433" i="5" s="1"/>
  <c r="CG306" i="5"/>
  <c r="S529" i="5"/>
  <c r="S680" i="5" s="1"/>
  <c r="S1425" i="5" s="1"/>
  <c r="Y529" i="5"/>
  <c r="Y680" i="5" s="1"/>
  <c r="Y1425" i="5" s="1"/>
  <c r="AE529" i="5"/>
  <c r="AE680" i="5" s="1"/>
  <c r="AE1425" i="5" s="1"/>
  <c r="AK529" i="5"/>
  <c r="AK680" i="5" s="1"/>
  <c r="AK1425" i="5" s="1"/>
  <c r="AQ529" i="5"/>
  <c r="AQ680" i="5" s="1"/>
  <c r="AQ1425" i="5" s="1"/>
  <c r="AW529" i="5"/>
  <c r="AW680" i="5" s="1"/>
  <c r="AW1425" i="5" s="1"/>
  <c r="BC529" i="5"/>
  <c r="BC680" i="5" s="1"/>
  <c r="BC1425" i="5" s="1"/>
  <c r="BI529" i="5"/>
  <c r="BI680" i="5" s="1"/>
  <c r="BI1425" i="5" s="1"/>
  <c r="BO529" i="5"/>
  <c r="BO680" i="5" s="1"/>
  <c r="BO1425" i="5" s="1"/>
  <c r="BU529" i="5"/>
  <c r="BU680" i="5" s="1"/>
  <c r="BU1425" i="5" s="1"/>
  <c r="CA529" i="5"/>
  <c r="CA680" i="5" s="1"/>
  <c r="CA1425" i="5" s="1"/>
  <c r="CG529" i="5"/>
  <c r="CG680" i="5" s="1"/>
  <c r="CG1425" i="5" s="1"/>
  <c r="AE538" i="5"/>
  <c r="AE689" i="5" s="1"/>
  <c r="AE1434" i="5" s="1"/>
  <c r="AK538" i="5"/>
  <c r="AK689" i="5" s="1"/>
  <c r="AK1434" i="5" s="1"/>
  <c r="AQ538" i="5"/>
  <c r="AQ689" i="5" s="1"/>
  <c r="AQ1434" i="5" s="1"/>
  <c r="AW538" i="5"/>
  <c r="AW689" i="5" s="1"/>
  <c r="AW1434" i="5" s="1"/>
  <c r="BC538" i="5"/>
  <c r="BC689" i="5" s="1"/>
  <c r="BC1434" i="5" s="1"/>
  <c r="BI538" i="5"/>
  <c r="BI689" i="5" s="1"/>
  <c r="BI1434" i="5" s="1"/>
  <c r="BO538" i="5"/>
  <c r="BO689" i="5" s="1"/>
  <c r="BO1434" i="5" s="1"/>
  <c r="BU538" i="5"/>
  <c r="BU689" i="5" s="1"/>
  <c r="BU1434" i="5" s="1"/>
  <c r="CA538" i="5"/>
  <c r="CA689" i="5" s="1"/>
  <c r="CA1434" i="5" s="1"/>
  <c r="CG538" i="5"/>
  <c r="CG689" i="5" s="1"/>
  <c r="CG1434" i="5" s="1"/>
  <c r="W528" i="5"/>
  <c r="W679" i="5" s="1"/>
  <c r="W1424" i="5" s="1"/>
  <c r="W305" i="5"/>
  <c r="AC528" i="5"/>
  <c r="AC679" i="5" s="1"/>
  <c r="AC1424" i="5" s="1"/>
  <c r="AC305" i="5"/>
  <c r="AI528" i="5"/>
  <c r="AI679" i="5" s="1"/>
  <c r="AI1424" i="5" s="1"/>
  <c r="AI305" i="5"/>
  <c r="AO528" i="5"/>
  <c r="AO679" i="5" s="1"/>
  <c r="AO1424" i="5" s="1"/>
  <c r="AO305" i="5"/>
  <c r="AU528" i="5"/>
  <c r="AU679" i="5" s="1"/>
  <c r="AU1424" i="5" s="1"/>
  <c r="AU305" i="5"/>
  <c r="BA528" i="5"/>
  <c r="BA679" i="5" s="1"/>
  <c r="BA1424" i="5" s="1"/>
  <c r="BA305" i="5"/>
  <c r="BG528" i="5"/>
  <c r="BG679" i="5" s="1"/>
  <c r="BG1424" i="5" s="1"/>
  <c r="BG305" i="5"/>
  <c r="BM528" i="5"/>
  <c r="BM679" i="5" s="1"/>
  <c r="BM1424" i="5" s="1"/>
  <c r="BM305" i="5"/>
  <c r="BS528" i="5"/>
  <c r="BS679" i="5" s="1"/>
  <c r="BS1424" i="5" s="1"/>
  <c r="BS305" i="5"/>
  <c r="BY528" i="5"/>
  <c r="BY679" i="5" s="1"/>
  <c r="BY1424" i="5" s="1"/>
  <c r="BY305" i="5"/>
  <c r="CE528" i="5"/>
  <c r="CE679" i="5" s="1"/>
  <c r="CE1424" i="5" s="1"/>
  <c r="CE305" i="5"/>
  <c r="CJ528" i="5"/>
  <c r="CJ679" i="5" s="1"/>
  <c r="CJ1424" i="5" s="1"/>
  <c r="CJ305" i="5"/>
  <c r="T537" i="5"/>
  <c r="T688" i="5" s="1"/>
  <c r="T1433" i="5" s="1"/>
  <c r="T306" i="5"/>
  <c r="Z537" i="5"/>
  <c r="Z688" i="5" s="1"/>
  <c r="Z1433" i="5" s="1"/>
  <c r="Z306" i="5"/>
  <c r="AF537" i="5"/>
  <c r="AF688" i="5" s="1"/>
  <c r="AF1433" i="5" s="1"/>
  <c r="AF306" i="5"/>
  <c r="AL537" i="5"/>
  <c r="AL688" i="5" s="1"/>
  <c r="AL1433" i="5" s="1"/>
  <c r="AL306" i="5"/>
  <c r="AR537" i="5"/>
  <c r="AR688" i="5" s="1"/>
  <c r="AR1433" i="5" s="1"/>
  <c r="AR306" i="5"/>
  <c r="AX537" i="5"/>
  <c r="AX688" i="5" s="1"/>
  <c r="AX1433" i="5" s="1"/>
  <c r="AX306" i="5"/>
  <c r="BD537" i="5"/>
  <c r="BD688" i="5" s="1"/>
  <c r="BD1433" i="5" s="1"/>
  <c r="BD306" i="5"/>
  <c r="BJ537" i="5"/>
  <c r="BJ688" i="5" s="1"/>
  <c r="BJ1433" i="5" s="1"/>
  <c r="BJ306" i="5"/>
  <c r="BP537" i="5"/>
  <c r="BP688" i="5" s="1"/>
  <c r="BP1433" i="5" s="1"/>
  <c r="BP306" i="5"/>
  <c r="BV537" i="5"/>
  <c r="BV688" i="5" s="1"/>
  <c r="BV1433" i="5" s="1"/>
  <c r="BV306" i="5"/>
  <c r="CB537" i="5"/>
  <c r="CB688" i="5" s="1"/>
  <c r="CB1433" i="5" s="1"/>
  <c r="CB306" i="5"/>
  <c r="CH537" i="5"/>
  <c r="CH688" i="5" s="1"/>
  <c r="CH1433" i="5" s="1"/>
  <c r="CH306" i="5"/>
  <c r="T529" i="5"/>
  <c r="T680" i="5" s="1"/>
  <c r="T1425" i="5" s="1"/>
  <c r="Z529" i="5"/>
  <c r="Z680" i="5" s="1"/>
  <c r="Z1425" i="5" s="1"/>
  <c r="AF529" i="5"/>
  <c r="AF680" i="5" s="1"/>
  <c r="AF1425" i="5" s="1"/>
  <c r="AL529" i="5"/>
  <c r="AL680" i="5" s="1"/>
  <c r="AL1425" i="5" s="1"/>
  <c r="AR529" i="5"/>
  <c r="AR680" i="5" s="1"/>
  <c r="AR1425" i="5" s="1"/>
  <c r="AX529" i="5"/>
  <c r="AX680" i="5" s="1"/>
  <c r="AX1425" i="5" s="1"/>
  <c r="BD529" i="5"/>
  <c r="BD680" i="5" s="1"/>
  <c r="BD1425" i="5" s="1"/>
  <c r="BJ529" i="5"/>
  <c r="BJ680" i="5" s="1"/>
  <c r="BJ1425" i="5" s="1"/>
  <c r="BP529" i="5"/>
  <c r="BP680" i="5" s="1"/>
  <c r="BP1425" i="5" s="1"/>
  <c r="BV529" i="5"/>
  <c r="BV680" i="5" s="1"/>
  <c r="BV1425" i="5" s="1"/>
  <c r="CB529" i="5"/>
  <c r="CB680" i="5" s="1"/>
  <c r="CB1425" i="5" s="1"/>
  <c r="CH529" i="5"/>
  <c r="CH680" i="5" s="1"/>
  <c r="CH1425" i="5" s="1"/>
  <c r="AF538" i="5"/>
  <c r="AF689" i="5" s="1"/>
  <c r="AF1434" i="5" s="1"/>
  <c r="AL538" i="5"/>
  <c r="AL689" i="5" s="1"/>
  <c r="AL1434" i="5" s="1"/>
  <c r="AR538" i="5"/>
  <c r="AR689" i="5" s="1"/>
  <c r="AR1434" i="5" s="1"/>
  <c r="AX538" i="5"/>
  <c r="AX689" i="5" s="1"/>
  <c r="AX1434" i="5" s="1"/>
  <c r="BD538" i="5"/>
  <c r="BD689" i="5" s="1"/>
  <c r="BD1434" i="5" s="1"/>
  <c r="BJ538" i="5"/>
  <c r="BJ689" i="5" s="1"/>
  <c r="BJ1434" i="5" s="1"/>
  <c r="BP538" i="5"/>
  <c r="BP689" i="5" s="1"/>
  <c r="BP1434" i="5" s="1"/>
  <c r="BV538" i="5"/>
  <c r="BV689" i="5" s="1"/>
  <c r="BV1434" i="5" s="1"/>
  <c r="CB538" i="5"/>
  <c r="CB689" i="5" s="1"/>
  <c r="CB1434" i="5" s="1"/>
  <c r="CH538" i="5"/>
  <c r="CH689" i="5" s="1"/>
  <c r="CH1434" i="5" s="1"/>
  <c r="S528" i="5"/>
  <c r="S679" i="5" s="1"/>
  <c r="S1424" i="5" s="1"/>
  <c r="S305" i="5"/>
  <c r="Y528" i="5"/>
  <c r="Y679" i="5" s="1"/>
  <c r="Y1424" i="5" s="1"/>
  <c r="Y305" i="5"/>
  <c r="AE528" i="5"/>
  <c r="AE679" i="5" s="1"/>
  <c r="AE1424" i="5" s="1"/>
  <c r="AE305" i="5"/>
  <c r="AK528" i="5"/>
  <c r="AK679" i="5" s="1"/>
  <c r="AK1424" i="5" s="1"/>
  <c r="AK305" i="5"/>
  <c r="AQ528" i="5"/>
  <c r="AQ679" i="5" s="1"/>
  <c r="AQ1424" i="5" s="1"/>
  <c r="AQ305" i="5"/>
  <c r="AW528" i="5"/>
  <c r="AW679" i="5" s="1"/>
  <c r="AW1424" i="5" s="1"/>
  <c r="AW305" i="5"/>
  <c r="BC528" i="5"/>
  <c r="BC679" i="5" s="1"/>
  <c r="BC1424" i="5" s="1"/>
  <c r="BC305" i="5"/>
  <c r="BI528" i="5"/>
  <c r="BI679" i="5" s="1"/>
  <c r="BI1424" i="5" s="1"/>
  <c r="BI305" i="5"/>
  <c r="BO528" i="5"/>
  <c r="BO679" i="5" s="1"/>
  <c r="BO1424" i="5" s="1"/>
  <c r="BO305" i="5"/>
  <c r="BU528" i="5"/>
  <c r="BU679" i="5" s="1"/>
  <c r="BU1424" i="5" s="1"/>
  <c r="BU305" i="5"/>
  <c r="CA528" i="5"/>
  <c r="CA679" i="5" s="1"/>
  <c r="CA1424" i="5" s="1"/>
  <c r="CA305" i="5"/>
  <c r="CG528" i="5"/>
  <c r="CG679" i="5" s="1"/>
  <c r="CG1424" i="5" s="1"/>
  <c r="CG305" i="5"/>
  <c r="V537" i="5"/>
  <c r="V688" i="5" s="1"/>
  <c r="V1433" i="5" s="1"/>
  <c r="V306" i="5"/>
  <c r="AB537" i="5"/>
  <c r="AB688" i="5" s="1"/>
  <c r="AB1433" i="5" s="1"/>
  <c r="AB306" i="5"/>
  <c r="AH537" i="5"/>
  <c r="AH688" i="5" s="1"/>
  <c r="AH1433" i="5" s="1"/>
  <c r="AH306" i="5"/>
  <c r="AN537" i="5"/>
  <c r="AN688" i="5" s="1"/>
  <c r="AN1433" i="5" s="1"/>
  <c r="AN306" i="5"/>
  <c r="AT537" i="5"/>
  <c r="AT688" i="5" s="1"/>
  <c r="AT1433" i="5" s="1"/>
  <c r="AT306" i="5"/>
  <c r="AZ537" i="5"/>
  <c r="AZ688" i="5" s="1"/>
  <c r="AZ1433" i="5" s="1"/>
  <c r="AZ306" i="5"/>
  <c r="BF537" i="5"/>
  <c r="BF688" i="5" s="1"/>
  <c r="BF1433" i="5" s="1"/>
  <c r="BF306" i="5"/>
  <c r="BL537" i="5"/>
  <c r="BL688" i="5" s="1"/>
  <c r="BL1433" i="5" s="1"/>
  <c r="BL306" i="5"/>
  <c r="BR537" i="5"/>
  <c r="BR688" i="5" s="1"/>
  <c r="BR1433" i="5" s="1"/>
  <c r="BR306" i="5"/>
  <c r="BX537" i="5"/>
  <c r="BX688" i="5" s="1"/>
  <c r="BX1433" i="5" s="1"/>
  <c r="BX306" i="5"/>
  <c r="CD537" i="5"/>
  <c r="CD688" i="5" s="1"/>
  <c r="CD1433" i="5" s="1"/>
  <c r="CD306" i="5"/>
  <c r="CJ537" i="5"/>
  <c r="CJ688" i="5" s="1"/>
  <c r="CJ1433" i="5" s="1"/>
  <c r="CJ306" i="5"/>
  <c r="V529" i="5"/>
  <c r="V680" i="5" s="1"/>
  <c r="V1425" i="5" s="1"/>
  <c r="AB529" i="5"/>
  <c r="AB680" i="5" s="1"/>
  <c r="AB1425" i="5" s="1"/>
  <c r="AH529" i="5"/>
  <c r="AH680" i="5" s="1"/>
  <c r="AH1425" i="5" s="1"/>
  <c r="AN529" i="5"/>
  <c r="AN680" i="5" s="1"/>
  <c r="AN1425" i="5" s="1"/>
  <c r="AT529" i="5"/>
  <c r="AT680" i="5" s="1"/>
  <c r="AT1425" i="5" s="1"/>
  <c r="AZ529" i="5"/>
  <c r="AZ680" i="5" s="1"/>
  <c r="AZ1425" i="5" s="1"/>
  <c r="BF529" i="5"/>
  <c r="BF680" i="5" s="1"/>
  <c r="BF1425" i="5" s="1"/>
  <c r="BL529" i="5"/>
  <c r="BL680" i="5" s="1"/>
  <c r="BL1425" i="5" s="1"/>
  <c r="BR529" i="5"/>
  <c r="BR680" i="5" s="1"/>
  <c r="BR1425" i="5" s="1"/>
  <c r="BX529" i="5"/>
  <c r="BX680" i="5" s="1"/>
  <c r="BX1425" i="5" s="1"/>
  <c r="CD529" i="5"/>
  <c r="CD680" i="5" s="1"/>
  <c r="CD1425" i="5" s="1"/>
  <c r="CJ529" i="5"/>
  <c r="CJ680" i="5" s="1"/>
  <c r="CJ1425" i="5" s="1"/>
  <c r="AB538" i="5"/>
  <c r="AB689" i="5" s="1"/>
  <c r="AB1434" i="5" s="1"/>
  <c r="AH538" i="5"/>
  <c r="AH689" i="5" s="1"/>
  <c r="AH1434" i="5" s="1"/>
  <c r="AN538" i="5"/>
  <c r="AN689" i="5" s="1"/>
  <c r="AN1434" i="5" s="1"/>
  <c r="AT538" i="5"/>
  <c r="AT689" i="5" s="1"/>
  <c r="AT1434" i="5" s="1"/>
  <c r="AZ538" i="5"/>
  <c r="AZ689" i="5" s="1"/>
  <c r="AZ1434" i="5" s="1"/>
  <c r="BF538" i="5"/>
  <c r="BF689" i="5" s="1"/>
  <c r="BF1434" i="5" s="1"/>
  <c r="BL538" i="5"/>
  <c r="BL689" i="5" s="1"/>
  <c r="BL1434" i="5" s="1"/>
  <c r="BR538" i="5"/>
  <c r="BR689" i="5" s="1"/>
  <c r="BR1434" i="5" s="1"/>
  <c r="BX538" i="5"/>
  <c r="BX689" i="5" s="1"/>
  <c r="BX1434" i="5" s="1"/>
  <c r="CD538" i="5"/>
  <c r="CD689" i="5" s="1"/>
  <c r="CD1434" i="5" s="1"/>
  <c r="CJ538" i="5"/>
  <c r="CJ689" i="5" s="1"/>
  <c r="CJ1434" i="5" s="1"/>
  <c r="CK538" i="5"/>
  <c r="CK689" i="5" s="1"/>
  <c r="CK1434" i="5" s="1"/>
  <c r="K526" i="5" l="1"/>
  <c r="BJ46" i="5"/>
  <c r="R37" i="5" l="1"/>
  <c r="R36" i="5"/>
  <c r="R35" i="5"/>
  <c r="R41" i="5"/>
  <c r="R40" i="5"/>
  <c r="R39" i="5"/>
  <c r="CH38" i="5" l="1"/>
  <c r="CH277" i="5" s="1"/>
  <c r="CH34" i="5"/>
  <c r="CH276" i="5" s="1"/>
  <c r="CH29" i="5"/>
  <c r="CH25" i="5"/>
  <c r="CE38" i="5"/>
  <c r="CE277" i="5" s="1"/>
  <c r="CE34" i="5"/>
  <c r="CE276" i="5" s="1"/>
  <c r="CE29" i="5"/>
  <c r="CE25" i="5"/>
  <c r="CB38" i="5"/>
  <c r="CB277" i="5" s="1"/>
  <c r="CB34" i="5"/>
  <c r="CB29" i="5"/>
  <c r="CB25" i="5"/>
  <c r="BY38" i="5"/>
  <c r="BY277" i="5" s="1"/>
  <c r="BY34" i="5"/>
  <c r="BY276" i="5" s="1"/>
  <c r="BY29" i="5"/>
  <c r="BY25" i="5"/>
  <c r="BV38" i="5"/>
  <c r="BV277" i="5" s="1"/>
  <c r="BV34" i="5"/>
  <c r="BV276" i="5" s="1"/>
  <c r="BV29" i="5"/>
  <c r="BV25" i="5"/>
  <c r="BS38" i="5"/>
  <c r="BS34" i="5"/>
  <c r="BS276" i="5" s="1"/>
  <c r="BS29" i="5"/>
  <c r="BS25" i="5"/>
  <c r="BP38" i="5"/>
  <c r="BP277" i="5" s="1"/>
  <c r="BP34" i="5"/>
  <c r="BP276" i="5" s="1"/>
  <c r="BP29" i="5"/>
  <c r="BP25" i="5"/>
  <c r="BM38" i="5"/>
  <c r="BM34" i="5"/>
  <c r="BM276" i="5" s="1"/>
  <c r="BM29" i="5"/>
  <c r="BM25" i="5"/>
  <c r="BJ38" i="5"/>
  <c r="BJ277" i="5" s="1"/>
  <c r="BJ34" i="5"/>
  <c r="BJ276" i="5" s="1"/>
  <c r="BJ29" i="5"/>
  <c r="BJ25" i="5"/>
  <c r="BG38" i="5"/>
  <c r="BG277" i="5" s="1"/>
  <c r="BG34" i="5"/>
  <c r="BG29" i="5"/>
  <c r="BG25" i="5"/>
  <c r="BD38" i="5"/>
  <c r="BD277" i="5" s="1"/>
  <c r="BD34" i="5"/>
  <c r="BD276" i="5" s="1"/>
  <c r="BD29" i="5"/>
  <c r="BD25" i="5"/>
  <c r="BA38" i="5"/>
  <c r="BA277" i="5" s="1"/>
  <c r="BA34" i="5"/>
  <c r="BA276" i="5" s="1"/>
  <c r="BA29" i="5"/>
  <c r="BA25" i="5"/>
  <c r="AX38" i="5"/>
  <c r="AX277" i="5" s="1"/>
  <c r="AX34" i="5"/>
  <c r="AX276" i="5" s="1"/>
  <c r="AX29" i="5"/>
  <c r="AX25" i="5"/>
  <c r="AU38" i="5"/>
  <c r="AU277" i="5" s="1"/>
  <c r="AU34" i="5"/>
  <c r="AU276" i="5" s="1"/>
  <c r="AU29" i="5"/>
  <c r="AU25" i="5"/>
  <c r="AR38" i="5"/>
  <c r="AR277" i="5" s="1"/>
  <c r="AR34" i="5"/>
  <c r="AR29" i="5"/>
  <c r="AR25" i="5"/>
  <c r="AO38" i="5"/>
  <c r="AO277" i="5" s="1"/>
  <c r="AO34" i="5"/>
  <c r="AO276" i="5" s="1"/>
  <c r="AO29" i="5"/>
  <c r="AO25" i="5"/>
  <c r="AL38" i="5"/>
  <c r="AL277" i="5" s="1"/>
  <c r="AL34" i="5"/>
  <c r="AL276" i="5" s="1"/>
  <c r="AL29" i="5"/>
  <c r="AL25" i="5"/>
  <c r="AI38" i="5"/>
  <c r="AI277" i="5" s="1"/>
  <c r="AI34" i="5"/>
  <c r="AI276" i="5" s="1"/>
  <c r="AI29" i="5"/>
  <c r="AI25" i="5"/>
  <c r="AF38" i="5"/>
  <c r="AF277" i="5" s="1"/>
  <c r="AF34" i="5"/>
  <c r="AF276" i="5" s="1"/>
  <c r="AF29" i="5"/>
  <c r="AF25" i="5"/>
  <c r="AC38" i="5"/>
  <c r="AC277" i="5" s="1"/>
  <c r="AC34" i="5"/>
  <c r="AC276" i="5" s="1"/>
  <c r="AC29" i="5"/>
  <c r="Z38" i="5"/>
  <c r="Z277" i="5" s="1"/>
  <c r="Z34" i="5"/>
  <c r="Z276" i="5" s="1"/>
  <c r="Z29" i="5"/>
  <c r="W38" i="5"/>
  <c r="W277" i="5" s="1"/>
  <c r="W34" i="5"/>
  <c r="W276" i="5" s="1"/>
  <c r="W29" i="5"/>
  <c r="T38" i="5"/>
  <c r="T277" i="5" s="1"/>
  <c r="T34" i="5"/>
  <c r="T29" i="5"/>
  <c r="AC25" i="5"/>
  <c r="Z25" i="5"/>
  <c r="W25" i="5"/>
  <c r="T25" i="5"/>
  <c r="R32" i="5"/>
  <c r="R31" i="5"/>
  <c r="R30" i="5"/>
  <c r="R28" i="5"/>
  <c r="R27" i="5"/>
  <c r="R26" i="5"/>
  <c r="BM33" i="5" l="1"/>
  <c r="BM277" i="5"/>
  <c r="BS33" i="5"/>
  <c r="BS277" i="5"/>
  <c r="T33" i="5"/>
  <c r="T276" i="5"/>
  <c r="AR33" i="5"/>
  <c r="AR276" i="5"/>
  <c r="BG33" i="5"/>
  <c r="BG276" i="5"/>
  <c r="CB33" i="5"/>
  <c r="CB276" i="5"/>
  <c r="AX33" i="5"/>
  <c r="BP33" i="5"/>
  <c r="AU33" i="5"/>
  <c r="AL33" i="5"/>
  <c r="Z33" i="5"/>
  <c r="AF33" i="5"/>
  <c r="W33" i="5"/>
  <c r="AO33" i="5"/>
  <c r="AC33" i="5"/>
  <c r="BA33" i="5"/>
  <c r="BD33" i="5"/>
  <c r="BJ33" i="5"/>
  <c r="BV33" i="5"/>
  <c r="BY33" i="5"/>
  <c r="CH33" i="5"/>
  <c r="CE33" i="5"/>
  <c r="AI33" i="5"/>
  <c r="R16" i="5" l="1"/>
  <c r="K1089" i="5" l="1"/>
  <c r="K1082" i="5"/>
  <c r="K1088" i="5"/>
  <c r="K1081" i="5"/>
  <c r="K1087" i="5"/>
  <c r="K1080" i="5"/>
  <c r="K1086" i="5"/>
  <c r="K1079" i="5"/>
  <c r="K1085" i="5"/>
  <c r="K1078" i="5"/>
  <c r="K1084" i="5"/>
  <c r="K1077" i="5"/>
  <c r="J1077" i="5" l="1"/>
  <c r="K344" i="5" l="1"/>
  <c r="K343" i="5"/>
  <c r="K234" i="5" l="1"/>
  <c r="K233" i="5"/>
  <c r="K232" i="5"/>
  <c r="K230" i="5"/>
  <c r="K229" i="5"/>
  <c r="K228" i="5"/>
  <c r="J29" i="5" l="1"/>
  <c r="Q41" i="5" l="1"/>
  <c r="Q40" i="5"/>
  <c r="Q39" i="5"/>
  <c r="CJ38" i="5"/>
  <c r="CJ277" i="5" s="1"/>
  <c r="CG38" i="5"/>
  <c r="CG277" i="5" s="1"/>
  <c r="CD38" i="5"/>
  <c r="CD277" i="5" s="1"/>
  <c r="CA38" i="5"/>
  <c r="CA277" i="5" s="1"/>
  <c r="BX38" i="5"/>
  <c r="BX277" i="5" s="1"/>
  <c r="BU38" i="5"/>
  <c r="BU277" i="5" s="1"/>
  <c r="BR38" i="5"/>
  <c r="BR277" i="5" s="1"/>
  <c r="BO38" i="5"/>
  <c r="BO277" i="5" s="1"/>
  <c r="BL38" i="5"/>
  <c r="BL277" i="5" s="1"/>
  <c r="BI38" i="5"/>
  <c r="BI277" i="5" s="1"/>
  <c r="BF38" i="5"/>
  <c r="BF277" i="5" s="1"/>
  <c r="BC38" i="5"/>
  <c r="BC277" i="5" s="1"/>
  <c r="AZ38" i="5"/>
  <c r="AZ277" i="5" s="1"/>
  <c r="AW38" i="5"/>
  <c r="AW277" i="5" s="1"/>
  <c r="AT38" i="5"/>
  <c r="AT277" i="5" s="1"/>
  <c r="AQ38" i="5"/>
  <c r="AQ277" i="5" s="1"/>
  <c r="AN38" i="5"/>
  <c r="AN277" i="5" s="1"/>
  <c r="AK38" i="5"/>
  <c r="AK277" i="5" s="1"/>
  <c r="AH38" i="5"/>
  <c r="AH277" i="5" s="1"/>
  <c r="AE38" i="5"/>
  <c r="AE277" i="5" s="1"/>
  <c r="AB38" i="5"/>
  <c r="AB277" i="5" s="1"/>
  <c r="Y38" i="5"/>
  <c r="Y277" i="5" s="1"/>
  <c r="V38" i="5"/>
  <c r="V277" i="5" s="1"/>
  <c r="S38" i="5"/>
  <c r="S277" i="5" s="1"/>
  <c r="R38" i="5"/>
  <c r="Q37" i="5"/>
  <c r="Q36" i="5"/>
  <c r="Q35" i="5"/>
  <c r="CJ34" i="5"/>
  <c r="CG34" i="5"/>
  <c r="CD34" i="5"/>
  <c r="CA34" i="5"/>
  <c r="CA276" i="5" s="1"/>
  <c r="BX34" i="5"/>
  <c r="BU34" i="5"/>
  <c r="BU276" i="5" s="1"/>
  <c r="BR34" i="5"/>
  <c r="BO34" i="5"/>
  <c r="BO276" i="5" s="1"/>
  <c r="BL34" i="5"/>
  <c r="BI34" i="5"/>
  <c r="BI276" i="5" s="1"/>
  <c r="BF34" i="5"/>
  <c r="BC34" i="5"/>
  <c r="BC276" i="5" s="1"/>
  <c r="AZ34" i="5"/>
  <c r="AW34" i="5"/>
  <c r="AW276" i="5" s="1"/>
  <c r="AT34" i="5"/>
  <c r="AQ34" i="5"/>
  <c r="AQ276" i="5" s="1"/>
  <c r="AN34" i="5"/>
  <c r="AK34" i="5"/>
  <c r="AK276" i="5" s="1"/>
  <c r="AH34" i="5"/>
  <c r="AE34" i="5"/>
  <c r="AE276" i="5" s="1"/>
  <c r="AB34" i="5"/>
  <c r="Y34" i="5"/>
  <c r="Y276" i="5" s="1"/>
  <c r="V34" i="5"/>
  <c r="S34" i="5"/>
  <c r="S276" i="5" s="1"/>
  <c r="R34" i="5"/>
  <c r="Q32" i="5"/>
  <c r="Q31" i="5"/>
  <c r="Q30" i="5"/>
  <c r="CJ29" i="5"/>
  <c r="CG29" i="5"/>
  <c r="CD29" i="5"/>
  <c r="CA29" i="5"/>
  <c r="BX29" i="5"/>
  <c r="BU29" i="5"/>
  <c r="BR29" i="5"/>
  <c r="BO29" i="5"/>
  <c r="BL29" i="5"/>
  <c r="BI29" i="5"/>
  <c r="BF29" i="5"/>
  <c r="BC29" i="5"/>
  <c r="AZ29" i="5"/>
  <c r="AW29" i="5"/>
  <c r="AT29" i="5"/>
  <c r="AQ29" i="5"/>
  <c r="AN29" i="5"/>
  <c r="AK29" i="5"/>
  <c r="AH29" i="5"/>
  <c r="AE29" i="5"/>
  <c r="AB29" i="5"/>
  <c r="Y29" i="5"/>
  <c r="V29" i="5"/>
  <c r="S29" i="5"/>
  <c r="R29" i="5"/>
  <c r="Q28" i="5"/>
  <c r="Q27" i="5"/>
  <c r="Q26" i="5"/>
  <c r="CJ25" i="5"/>
  <c r="CG25" i="5"/>
  <c r="CD25" i="5"/>
  <c r="CA25" i="5"/>
  <c r="BX25" i="5"/>
  <c r="BU25" i="5"/>
  <c r="BR25" i="5"/>
  <c r="BO25" i="5"/>
  <c r="BL25" i="5"/>
  <c r="BI25" i="5"/>
  <c r="BF25" i="5"/>
  <c r="BC25" i="5"/>
  <c r="AZ25" i="5"/>
  <c r="AW25" i="5"/>
  <c r="AT25" i="5"/>
  <c r="AQ25" i="5"/>
  <c r="AN25" i="5"/>
  <c r="AK25" i="5"/>
  <c r="AH25" i="5"/>
  <c r="AE25" i="5"/>
  <c r="AB25" i="5"/>
  <c r="Y25" i="5"/>
  <c r="V25" i="5"/>
  <c r="S25" i="5"/>
  <c r="R25" i="5"/>
  <c r="K1512" i="5"/>
  <c r="K1341" i="5"/>
  <c r="K888" i="5"/>
  <c r="K618" i="5"/>
  <c r="K579" i="5"/>
  <c r="K578" i="5"/>
  <c r="K517" i="5"/>
  <c r="K373" i="5"/>
  <c r="K305" i="5"/>
  <c r="K175" i="5"/>
  <c r="K1671" i="5"/>
  <c r="K1668" i="5"/>
  <c r="K1666" i="5"/>
  <c r="K1665" i="5"/>
  <c r="K1664" i="5"/>
  <c r="K1663" i="5"/>
  <c r="K1660" i="5"/>
  <c r="K1657" i="5"/>
  <c r="K1655" i="5"/>
  <c r="K1654" i="5"/>
  <c r="K1653" i="5"/>
  <c r="K1652" i="5"/>
  <c r="K1642" i="5"/>
  <c r="K1639" i="5"/>
  <c r="K1637" i="5"/>
  <c r="K1636" i="5"/>
  <c r="K1635" i="5"/>
  <c r="K1634" i="5"/>
  <c r="K1631" i="5"/>
  <c r="K1628" i="5"/>
  <c r="K1626" i="5"/>
  <c r="K1625" i="5"/>
  <c r="K1624" i="5"/>
  <c r="K1623" i="5"/>
  <c r="K1613" i="5"/>
  <c r="K1610" i="5"/>
  <c r="K1607" i="5"/>
  <c r="K1606" i="5"/>
  <c r="K1605" i="5"/>
  <c r="K1602" i="5"/>
  <c r="K1599" i="5"/>
  <c r="K1597" i="5"/>
  <c r="K1596" i="5"/>
  <c r="K1595" i="5"/>
  <c r="K1594" i="5"/>
  <c r="K1593" i="5"/>
  <c r="K1584" i="5"/>
  <c r="K1581" i="5"/>
  <c r="K1579" i="5"/>
  <c r="K1578" i="5"/>
  <c r="K1577" i="5"/>
  <c r="K1576" i="5"/>
  <c r="K1573" i="5"/>
  <c r="K1570" i="5"/>
  <c r="K1568" i="5"/>
  <c r="K1567" i="5"/>
  <c r="K1566" i="5"/>
  <c r="K1565" i="5"/>
  <c r="K1555" i="5"/>
  <c r="K1552" i="5"/>
  <c r="K1550" i="5"/>
  <c r="K1549" i="5"/>
  <c r="K1548" i="5"/>
  <c r="K1547" i="5"/>
  <c r="K1544" i="5"/>
  <c r="K1541" i="5"/>
  <c r="K1539" i="5"/>
  <c r="K1538" i="5"/>
  <c r="K1537" i="5"/>
  <c r="K1536" i="5"/>
  <c r="K1526" i="5"/>
  <c r="K1523" i="5"/>
  <c r="K1521" i="5"/>
  <c r="K1520" i="5"/>
  <c r="K1519" i="5"/>
  <c r="K1518" i="5"/>
  <c r="K1515" i="5"/>
  <c r="K1510" i="5"/>
  <c r="K1509" i="5"/>
  <c r="K1508" i="5"/>
  <c r="K1507" i="5"/>
  <c r="K1486" i="5"/>
  <c r="K1483" i="5"/>
  <c r="K1481" i="5"/>
  <c r="K1480" i="5"/>
  <c r="K1479" i="5"/>
  <c r="K1478" i="5"/>
  <c r="K1475" i="5"/>
  <c r="K1472" i="5"/>
  <c r="K1470" i="5"/>
  <c r="K1469" i="5"/>
  <c r="K1468" i="5"/>
  <c r="K1467" i="5"/>
  <c r="K1455" i="5"/>
  <c r="K1450" i="5"/>
  <c r="K1422" i="5"/>
  <c r="K1419" i="5" s="1"/>
  <c r="K1415" i="5"/>
  <c r="K1409" i="5"/>
  <c r="K1458" i="5" s="1"/>
  <c r="K1457" i="5" s="1"/>
  <c r="K1407" i="5"/>
  <c r="K1384" i="5"/>
  <c r="K1383" i="5"/>
  <c r="K1382" i="5"/>
  <c r="K1381" i="5"/>
  <c r="K1380" i="5"/>
  <c r="K1379" i="5"/>
  <c r="K1370" i="5"/>
  <c r="K1368" i="5"/>
  <c r="K1367" i="5"/>
  <c r="K1366" i="5"/>
  <c r="K1365" i="5"/>
  <c r="K1362" i="5"/>
  <c r="K1359" i="5"/>
  <c r="K1357" i="5"/>
  <c r="K1356" i="5"/>
  <c r="K1355" i="5"/>
  <c r="K1354" i="5"/>
  <c r="K1344" i="5"/>
  <c r="K1339" i="5"/>
  <c r="K1338" i="5"/>
  <c r="K1337" i="5"/>
  <c r="K1336" i="5"/>
  <c r="K1333" i="5"/>
  <c r="K1330" i="5"/>
  <c r="K1328" i="5"/>
  <c r="K1327" i="5"/>
  <c r="K1326" i="5"/>
  <c r="K1325" i="5"/>
  <c r="K1315" i="5"/>
  <c r="K1311" i="5"/>
  <c r="K1310" i="5"/>
  <c r="K1305" i="5"/>
  <c r="K1302" i="5"/>
  <c r="K1301" i="5"/>
  <c r="K1300" i="5"/>
  <c r="K1299" i="5"/>
  <c r="K1298" i="5"/>
  <c r="K1286" i="5"/>
  <c r="K1279" i="5" s="1"/>
  <c r="K1281" i="5"/>
  <c r="K1278" i="5" s="1"/>
  <c r="K1270" i="5"/>
  <c r="K1266" i="5" s="1"/>
  <c r="K1269" i="5"/>
  <c r="K1265" i="5" s="1"/>
  <c r="K1268" i="5"/>
  <c r="K1263" i="5" s="1"/>
  <c r="K1267" i="5"/>
  <c r="K1262" i="5" s="1"/>
  <c r="K1219" i="5"/>
  <c r="K1218" i="5"/>
  <c r="K1216" i="5"/>
  <c r="K1215" i="5"/>
  <c r="K1213" i="5"/>
  <c r="K1212" i="5"/>
  <c r="K1209" i="5"/>
  <c r="K1208" i="5"/>
  <c r="K1206" i="5"/>
  <c r="K1205" i="5"/>
  <c r="K1203" i="5"/>
  <c r="K1202" i="5"/>
  <c r="K1177" i="5"/>
  <c r="K1164" i="5"/>
  <c r="K1074" i="5"/>
  <c r="K1073" i="5"/>
  <c r="K1075" i="5"/>
  <c r="K1072" i="5"/>
  <c r="K1071" i="5"/>
  <c r="K1070" i="5"/>
  <c r="K1044" i="5"/>
  <c r="K1043" i="5"/>
  <c r="K1042" i="5"/>
  <c r="K1041" i="5"/>
  <c r="K1040" i="5"/>
  <c r="K1039" i="5"/>
  <c r="K1032" i="5"/>
  <c r="K1027" i="5"/>
  <c r="K1022" i="5"/>
  <c r="K1017" i="5"/>
  <c r="K1012" i="5"/>
  <c r="K990" i="5"/>
  <c r="K985" i="5"/>
  <c r="K976" i="5"/>
  <c r="K967" i="5"/>
  <c r="K961" i="5" s="1"/>
  <c r="K954" i="5"/>
  <c r="K951" i="5"/>
  <c r="K948" i="5"/>
  <c r="K945" i="5"/>
  <c r="K942" i="5"/>
  <c r="K939" i="5"/>
  <c r="K930" i="5"/>
  <c r="K927" i="5"/>
  <c r="K922" i="5"/>
  <c r="K917" i="5"/>
  <c r="K900" i="5"/>
  <c r="K891" i="5"/>
  <c r="K853" i="5"/>
  <c r="K848" i="5"/>
  <c r="K844" i="5"/>
  <c r="K841" i="5"/>
  <c r="K835" i="5"/>
  <c r="K830" i="5"/>
  <c r="K826" i="5"/>
  <c r="K823" i="5"/>
  <c r="K812" i="5"/>
  <c r="K809" i="5"/>
  <c r="K808" i="5"/>
  <c r="K807" i="5"/>
  <c r="K803" i="5"/>
  <c r="K800" i="5"/>
  <c r="K799" i="5"/>
  <c r="K798" i="5"/>
  <c r="K793" i="5"/>
  <c r="K790" i="5"/>
  <c r="K787" i="5"/>
  <c r="K785" i="5"/>
  <c r="K781" i="5"/>
  <c r="K778" i="5"/>
  <c r="K775" i="5"/>
  <c r="K773" i="5"/>
  <c r="K761" i="5"/>
  <c r="K758" i="5"/>
  <c r="K757" i="5"/>
  <c r="K756" i="5"/>
  <c r="K752" i="5"/>
  <c r="K749" i="5"/>
  <c r="K748" i="5"/>
  <c r="K747" i="5"/>
  <c r="K723" i="5"/>
  <c r="K720" i="5"/>
  <c r="K718" i="5"/>
  <c r="K717" i="5"/>
  <c r="K716" i="5"/>
  <c r="K715" i="5"/>
  <c r="K712" i="5"/>
  <c r="K709" i="5"/>
  <c r="K707" i="5"/>
  <c r="K706" i="5"/>
  <c r="K705" i="5"/>
  <c r="K704" i="5"/>
  <c r="K677" i="5"/>
  <c r="K674" i="5" s="1"/>
  <c r="K668" i="5"/>
  <c r="K661" i="5" s="1"/>
  <c r="K636" i="5" s="1"/>
  <c r="K663" i="5"/>
  <c r="K660" i="5" s="1"/>
  <c r="K655" i="5"/>
  <c r="K652" i="5"/>
  <c r="K649" i="5"/>
  <c r="K648" i="5"/>
  <c r="K645" i="5"/>
  <c r="K642" i="5"/>
  <c r="K641" i="5"/>
  <c r="K640" i="5"/>
  <c r="K639" i="5"/>
  <c r="K638" i="5"/>
  <c r="K615" i="5"/>
  <c r="K614" i="5"/>
  <c r="K613" i="5"/>
  <c r="K612" i="5"/>
  <c r="K611" i="5"/>
  <c r="K604" i="5"/>
  <c r="K601" i="5"/>
  <c r="K600" i="5"/>
  <c r="K599" i="5"/>
  <c r="K598" i="5"/>
  <c r="K594" i="5"/>
  <c r="K588" i="5" s="1"/>
  <c r="K591" i="5"/>
  <c r="K590" i="5"/>
  <c r="K589" i="5"/>
  <c r="K587" i="5"/>
  <c r="K584" i="5"/>
  <c r="K581" i="5"/>
  <c r="K580" i="5"/>
  <c r="K577" i="5"/>
  <c r="K574" i="5"/>
  <c r="K571" i="5"/>
  <c r="K549" i="5"/>
  <c r="K548" i="5"/>
  <c r="K523" i="5"/>
  <c r="K514" i="5"/>
  <c r="K507" i="5"/>
  <c r="K500" i="5"/>
  <c r="K494" i="5"/>
  <c r="K487" i="5"/>
  <c r="K483" i="5" s="1"/>
  <c r="K486" i="5"/>
  <c r="K485" i="5"/>
  <c r="K484" i="5"/>
  <c r="K416" i="5"/>
  <c r="K413" i="5"/>
  <c r="K412" i="5"/>
  <c r="K411" i="5"/>
  <c r="K407" i="5"/>
  <c r="K404" i="5"/>
  <c r="K403" i="5"/>
  <c r="K402" i="5"/>
  <c r="K389" i="5"/>
  <c r="K388" i="5"/>
  <c r="K381" i="5"/>
  <c r="K380" i="5"/>
  <c r="K374" i="5"/>
  <c r="K366" i="5"/>
  <c r="K365" i="5"/>
  <c r="K358" i="5"/>
  <c r="K357" i="5"/>
  <c r="K353" i="5"/>
  <c r="K349" i="5"/>
  <c r="K341" i="5"/>
  <c r="K342" i="5"/>
  <c r="K314" i="5"/>
  <c r="K539" i="5"/>
  <c r="K690" i="5" s="1"/>
  <c r="K1435" i="5" s="1"/>
  <c r="K538" i="5"/>
  <c r="K689" i="5" s="1"/>
  <c r="K1434" i="5" s="1"/>
  <c r="K300" i="5"/>
  <c r="K297" i="5"/>
  <c r="K296" i="5"/>
  <c r="K295" i="5"/>
  <c r="K291" i="5"/>
  <c r="K288" i="5"/>
  <c r="K287" i="5"/>
  <c r="K286" i="5"/>
  <c r="K278" i="5"/>
  <c r="K272" i="5"/>
  <c r="K261" i="5"/>
  <c r="K321" i="5" s="1"/>
  <c r="K315" i="5" s="1"/>
  <c r="K257" i="5"/>
  <c r="K252" i="5"/>
  <c r="K248" i="5"/>
  <c r="K240" i="5"/>
  <c r="K236" i="5"/>
  <c r="K231" i="5"/>
  <c r="K227" i="5"/>
  <c r="K215" i="5"/>
  <c r="K203" i="5" s="1"/>
  <c r="K211" i="5"/>
  <c r="K202" i="5" s="1"/>
  <c r="K207" i="5"/>
  <c r="K204" i="5"/>
  <c r="K197" i="5"/>
  <c r="K185" i="5" s="1"/>
  <c r="K193" i="5"/>
  <c r="K184" i="5" s="1"/>
  <c r="K189" i="5"/>
  <c r="K186" i="5"/>
  <c r="K172" i="5"/>
  <c r="K168" i="5"/>
  <c r="K165" i="5"/>
  <c r="K163" i="5"/>
  <c r="K162" i="5"/>
  <c r="K160" i="5"/>
  <c r="K159" i="5"/>
  <c r="K95" i="5"/>
  <c r="K94" i="5"/>
  <c r="K93" i="5"/>
  <c r="K91" i="5"/>
  <c r="K90" i="5"/>
  <c r="K89" i="5"/>
  <c r="K87" i="5"/>
  <c r="K86" i="5"/>
  <c r="K79" i="5"/>
  <c r="K76" i="5"/>
  <c r="K75" i="5"/>
  <c r="K74" i="5"/>
  <c r="K70" i="5"/>
  <c r="K67" i="5"/>
  <c r="K66" i="5"/>
  <c r="K65" i="5"/>
  <c r="K59" i="5"/>
  <c r="K283" i="5" s="1"/>
  <c r="K271" i="5" s="1"/>
  <c r="K55" i="5"/>
  <c r="K50" i="5"/>
  <c r="K46" i="5"/>
  <c r="K38" i="5"/>
  <c r="K277" i="5" s="1"/>
  <c r="K268" i="5" s="1"/>
  <c r="K34" i="5"/>
  <c r="K29" i="5"/>
  <c r="K25" i="5"/>
  <c r="K10" i="5"/>
  <c r="K401" i="5" l="1"/>
  <c r="BU33" i="5"/>
  <c r="K220" i="5"/>
  <c r="K1465" i="5"/>
  <c r="K276" i="5"/>
  <c r="K275" i="5" s="1"/>
  <c r="K266" i="5" s="1"/>
  <c r="K33" i="5"/>
  <c r="K1650" i="5"/>
  <c r="K363" i="5"/>
  <c r="K861" i="5"/>
  <c r="K860" i="5"/>
  <c r="K563" i="5"/>
  <c r="K306" i="5"/>
  <c r="K1423" i="5"/>
  <c r="K1420" i="5" s="1"/>
  <c r="K1462" i="5"/>
  <c r="K768" i="5"/>
  <c r="K771" i="5"/>
  <c r="AW33" i="5"/>
  <c r="K481" i="5"/>
  <c r="K482" i="5"/>
  <c r="K560" i="5"/>
  <c r="BI33" i="5"/>
  <c r="K1444" i="5"/>
  <c r="K479" i="5"/>
  <c r="K161" i="5"/>
  <c r="Q34" i="5"/>
  <c r="Q38" i="5"/>
  <c r="K915" i="5"/>
  <c r="K746" i="5"/>
  <c r="K1564" i="5"/>
  <c r="K1620" i="5"/>
  <c r="K818" i="5"/>
  <c r="K821" i="5"/>
  <c r="K910" i="5"/>
  <c r="K914" i="5"/>
  <c r="K552" i="5"/>
  <c r="K559" i="5"/>
  <c r="K797" i="5"/>
  <c r="K806" i="5"/>
  <c r="K553" i="5"/>
  <c r="K558" i="5"/>
  <c r="K1561" i="5"/>
  <c r="Y33" i="5"/>
  <c r="K958" i="5"/>
  <c r="K1562" i="5"/>
  <c r="K567" i="5"/>
  <c r="K633" i="5"/>
  <c r="K1324" i="5"/>
  <c r="K1506" i="5"/>
  <c r="K1532" i="5"/>
  <c r="K1535" i="5"/>
  <c r="K1563" i="5"/>
  <c r="K1591" i="5"/>
  <c r="K1588" i="5"/>
  <c r="K962" i="5"/>
  <c r="K966" i="5"/>
  <c r="K911" i="5"/>
  <c r="K963" i="5"/>
  <c r="K555" i="5"/>
  <c r="K569" i="5"/>
  <c r="K820" i="5"/>
  <c r="K1294" i="5"/>
  <c r="K1463" i="5"/>
  <c r="K1466" i="5"/>
  <c r="K1503" i="5"/>
  <c r="K1592" i="5"/>
  <c r="K1621" i="5"/>
  <c r="Q25" i="5"/>
  <c r="AK33" i="5"/>
  <c r="K676" i="5"/>
  <c r="K673" i="5" s="1"/>
  <c r="K628" i="5" s="1"/>
  <c r="K1421" i="5"/>
  <c r="K1418" i="5" s="1"/>
  <c r="K319" i="5"/>
  <c r="K313" i="5" s="1"/>
  <c r="K525" i="5"/>
  <c r="K522" i="5" s="1"/>
  <c r="K1133" i="5"/>
  <c r="K1129" i="5"/>
  <c r="K1136" i="5"/>
  <c r="K1132" i="5"/>
  <c r="K1135" i="5"/>
  <c r="K1134" i="5"/>
  <c r="K1131" i="5"/>
  <c r="K1130" i="5"/>
  <c r="K1502" i="5"/>
  <c r="AE33" i="5"/>
  <c r="BC33" i="5"/>
  <c r="CA33" i="5"/>
  <c r="V33" i="5"/>
  <c r="V276" i="5"/>
  <c r="AH33" i="5"/>
  <c r="AH276" i="5"/>
  <c r="AT33" i="5"/>
  <c r="AT276" i="5"/>
  <c r="BF33" i="5"/>
  <c r="BF276" i="5"/>
  <c r="BR33" i="5"/>
  <c r="BR276" i="5"/>
  <c r="CD33" i="5"/>
  <c r="CD276" i="5"/>
  <c r="K192" i="5"/>
  <c r="K183" i="5" s="1"/>
  <c r="K210" i="5"/>
  <c r="K201" i="5" s="1"/>
  <c r="K554" i="5"/>
  <c r="K568" i="5"/>
  <c r="K678" i="5"/>
  <c r="K675" i="5" s="1"/>
  <c r="K630" i="5" s="1"/>
  <c r="K908" i="5"/>
  <c r="K912" i="5"/>
  <c r="K916" i="5"/>
  <c r="K959" i="5"/>
  <c r="K964" i="5"/>
  <c r="K1098" i="5"/>
  <c r="K1100" i="5"/>
  <c r="K1097" i="5"/>
  <c r="K1148" i="5"/>
  <c r="K1144" i="5"/>
  <c r="K1147" i="5"/>
  <c r="K1142" i="5"/>
  <c r="K1146" i="5"/>
  <c r="K1141" i="5"/>
  <c r="K1145" i="5"/>
  <c r="K1143" i="5"/>
  <c r="K1296" i="5"/>
  <c r="K1293" i="5"/>
  <c r="K1348" i="5"/>
  <c r="K1461" i="5"/>
  <c r="K1534" i="5"/>
  <c r="K1531" i="5"/>
  <c r="K1590" i="5"/>
  <c r="CG33" i="5"/>
  <c r="CG276" i="5"/>
  <c r="K245" i="5"/>
  <c r="K379" i="5"/>
  <c r="K499" i="5"/>
  <c r="K527" i="5"/>
  <c r="K524" i="5" s="1"/>
  <c r="K480" i="5" s="1"/>
  <c r="K547" i="5"/>
  <c r="K566" i="5"/>
  <c r="K562" i="5"/>
  <c r="K702" i="5"/>
  <c r="K770" i="5"/>
  <c r="K909" i="5"/>
  <c r="K913" i="5"/>
  <c r="K960" i="5"/>
  <c r="K965" i="5"/>
  <c r="K1264" i="5"/>
  <c r="K1323" i="5"/>
  <c r="K1350" i="5"/>
  <c r="K1353" i="5"/>
  <c r="K1533" i="5"/>
  <c r="K1589" i="5"/>
  <c r="K1651" i="5"/>
  <c r="S33" i="5"/>
  <c r="AQ33" i="5"/>
  <c r="BO33" i="5"/>
  <c r="AB33" i="5"/>
  <c r="AB276" i="5"/>
  <c r="AN33" i="5"/>
  <c r="AN276" i="5"/>
  <c r="AZ33" i="5"/>
  <c r="AZ276" i="5"/>
  <c r="BL33" i="5"/>
  <c r="BL276" i="5"/>
  <c r="BX33" i="5"/>
  <c r="BX276" i="5"/>
  <c r="CJ33" i="5"/>
  <c r="CJ276" i="5"/>
  <c r="K871" i="5"/>
  <c r="K867" i="5"/>
  <c r="K869" i="5"/>
  <c r="K872" i="5"/>
  <c r="K870" i="5"/>
  <c r="K868" i="5"/>
  <c r="K863" i="5"/>
  <c r="K862" i="5"/>
  <c r="K346" i="5"/>
  <c r="K54" i="5"/>
  <c r="K282" i="5" s="1"/>
  <c r="K45" i="5"/>
  <c r="R33" i="5"/>
  <c r="Q29" i="5"/>
  <c r="K364" i="5"/>
  <c r="K285" i="5"/>
  <c r="K64" i="5"/>
  <c r="K24" i="5"/>
  <c r="K1649" i="5"/>
  <c r="K1648" i="5"/>
  <c r="K1647" i="5"/>
  <c r="K1619" i="5"/>
  <c r="K1622" i="5"/>
  <c r="K1504" i="5"/>
  <c r="K1505" i="5"/>
  <c r="K1406" i="5"/>
  <c r="K1352" i="5"/>
  <c r="K1349" i="5"/>
  <c r="K1322" i="5"/>
  <c r="K1321" i="5"/>
  <c r="K1297" i="5"/>
  <c r="K1295" i="5"/>
  <c r="K1261" i="5"/>
  <c r="K755" i="5"/>
  <c r="K700" i="5"/>
  <c r="K703" i="5"/>
  <c r="K637" i="5"/>
  <c r="K629" i="5"/>
  <c r="K625" i="5"/>
  <c r="K410" i="5"/>
  <c r="K362" i="5"/>
  <c r="K348" i="5"/>
  <c r="K345" i="5" s="1"/>
  <c r="K294" i="5"/>
  <c r="K246" i="5"/>
  <c r="K244" i="5"/>
  <c r="K310" i="5"/>
  <c r="K158" i="5"/>
  <c r="K73" i="5"/>
  <c r="K44" i="5"/>
  <c r="K23" i="5"/>
  <c r="K222" i="5"/>
  <c r="K225" i="5"/>
  <c r="K223" i="5"/>
  <c r="K221" i="5"/>
  <c r="K224" i="5"/>
  <c r="K347" i="5"/>
  <c r="K377" i="5"/>
  <c r="K551" i="5"/>
  <c r="K634" i="5"/>
  <c r="K1319" i="5"/>
  <c r="K1443" i="5"/>
  <c r="K1442" i="5"/>
  <c r="K1559" i="5"/>
  <c r="K22" i="5"/>
  <c r="K43" i="5"/>
  <c r="K335" i="5"/>
  <c r="K327" i="5" s="1"/>
  <c r="K565" i="5"/>
  <c r="K570" i="5"/>
  <c r="K635" i="5"/>
  <c r="K701" i="5"/>
  <c r="K769" i="5"/>
  <c r="K819" i="5"/>
  <c r="K1320" i="5"/>
  <c r="K1351" i="5"/>
  <c r="K1404" i="5"/>
  <c r="K1464" i="5"/>
  <c r="K1560" i="5"/>
  <c r="K1618" i="5"/>
  <c r="K1617" i="5"/>
  <c r="K1646" i="5"/>
  <c r="K329" i="5"/>
  <c r="K378" i="5"/>
  <c r="K556" i="5"/>
  <c r="K561" i="5"/>
  <c r="K632" i="5"/>
  <c r="K699" i="5"/>
  <c r="K698" i="5"/>
  <c r="K767" i="5"/>
  <c r="K766" i="5"/>
  <c r="K817" i="5"/>
  <c r="K816" i="5"/>
  <c r="K1292" i="5"/>
  <c r="K1501" i="5"/>
  <c r="K1530" i="5"/>
  <c r="Z1407" i="5"/>
  <c r="Y1407" i="5"/>
  <c r="W1407" i="5"/>
  <c r="V1407" i="5"/>
  <c r="T1407" i="5"/>
  <c r="S1407" i="5"/>
  <c r="R1413" i="5"/>
  <c r="Q1413" i="5"/>
  <c r="R1525" i="5"/>
  <c r="Q1525" i="5"/>
  <c r="R1524" i="5"/>
  <c r="Q1524" i="5"/>
  <c r="R1641" i="5"/>
  <c r="Q1641" i="5"/>
  <c r="R1640" i="5"/>
  <c r="Q1640" i="5"/>
  <c r="R1670" i="5"/>
  <c r="Q1670" i="5"/>
  <c r="R1669" i="5"/>
  <c r="Q1669" i="5"/>
  <c r="R805" i="5"/>
  <c r="Q805" i="5"/>
  <c r="R804" i="5"/>
  <c r="Q804" i="5"/>
  <c r="CK668" i="5"/>
  <c r="CJ668" i="5"/>
  <c r="CH668" i="5"/>
  <c r="CG668" i="5"/>
  <c r="CE668" i="5"/>
  <c r="CD668" i="5"/>
  <c r="CB668" i="5"/>
  <c r="CA668" i="5"/>
  <c r="BY668" i="5"/>
  <c r="BX668" i="5"/>
  <c r="BV668" i="5"/>
  <c r="BU668" i="5"/>
  <c r="BS668" i="5"/>
  <c r="BR668" i="5"/>
  <c r="BP668" i="5"/>
  <c r="BO668" i="5"/>
  <c r="BM668" i="5"/>
  <c r="BL668" i="5"/>
  <c r="BJ668" i="5"/>
  <c r="BI668" i="5"/>
  <c r="BG668" i="5"/>
  <c r="BF668" i="5"/>
  <c r="BD668" i="5"/>
  <c r="BC668" i="5"/>
  <c r="BA668" i="5"/>
  <c r="AZ668" i="5"/>
  <c r="AX668" i="5"/>
  <c r="AW668" i="5"/>
  <c r="AU668" i="5"/>
  <c r="AT668" i="5"/>
  <c r="AR668" i="5"/>
  <c r="AQ668" i="5"/>
  <c r="AO668" i="5"/>
  <c r="AN668" i="5"/>
  <c r="AL668" i="5"/>
  <c r="AK668" i="5"/>
  <c r="AI668" i="5"/>
  <c r="AH668" i="5"/>
  <c r="AF668" i="5"/>
  <c r="AE668" i="5"/>
  <c r="AC668" i="5"/>
  <c r="AB668" i="5"/>
  <c r="Z668" i="5"/>
  <c r="Y668" i="5"/>
  <c r="W668" i="5"/>
  <c r="V668" i="5"/>
  <c r="Q669" i="5"/>
  <c r="R669" i="5"/>
  <c r="Q1668" i="5" l="1"/>
  <c r="Q1639" i="5"/>
  <c r="Q1523" i="5"/>
  <c r="K267" i="5"/>
  <c r="R1668" i="5"/>
  <c r="R1639" i="5"/>
  <c r="R1523" i="5"/>
  <c r="K1405" i="5"/>
  <c r="K304" i="5"/>
  <c r="K21" i="5"/>
  <c r="K478" i="5"/>
  <c r="Q33" i="5"/>
  <c r="K626" i="5"/>
  <c r="K624" i="5"/>
  <c r="K270" i="5"/>
  <c r="K281" i="5"/>
  <c r="K269" i="5" s="1"/>
  <c r="K328" i="5"/>
  <c r="K325" i="5" s="1"/>
  <c r="K326" i="5"/>
  <c r="J335" i="2"/>
  <c r="J340" i="2"/>
  <c r="J325" i="2"/>
  <c r="J310" i="2"/>
  <c r="J271" i="2"/>
  <c r="J264" i="2" s="1"/>
  <c r="J261" i="2"/>
  <c r="J262" i="2"/>
  <c r="J265" i="2"/>
  <c r="J530" i="2"/>
  <c r="J533" i="2"/>
  <c r="I533" i="2"/>
  <c r="I622" i="2"/>
  <c r="I625" i="2"/>
  <c r="J649" i="2"/>
  <c r="J664" i="2"/>
  <c r="J833" i="2"/>
  <c r="J827" i="2" s="1"/>
  <c r="J859" i="2"/>
  <c r="J852" i="2" s="1"/>
  <c r="J880" i="2"/>
  <c r="J873" i="2" s="1"/>
  <c r="I628" i="2" l="1"/>
  <c r="J181" i="2"/>
  <c r="J191" i="2"/>
  <c r="J169" i="2"/>
  <c r="J155" i="2"/>
  <c r="J145" i="2"/>
  <c r="J339" i="2" s="1"/>
  <c r="J139" i="2"/>
  <c r="J142" i="2"/>
  <c r="J338" i="2" s="1"/>
  <c r="J92" i="2"/>
  <c r="J83" i="2"/>
  <c r="J87" i="2"/>
  <c r="J42" i="2"/>
  <c r="I28" i="2"/>
  <c r="J28" i="2"/>
  <c r="J21" i="2"/>
  <c r="J22" i="2"/>
  <c r="J82" i="9"/>
  <c r="J69" i="9"/>
  <c r="I86" i="2"/>
  <c r="I70" i="9"/>
  <c r="I69" i="9"/>
  <c r="I172" i="2" l="1"/>
  <c r="I148" i="2"/>
  <c r="I95" i="2"/>
  <c r="J96" i="2"/>
  <c r="J173" i="2"/>
  <c r="J149" i="2"/>
  <c r="J583" i="2"/>
  <c r="J667" i="2"/>
  <c r="J337" i="2"/>
  <c r="J334" i="2" s="1"/>
  <c r="J32" i="2"/>
  <c r="J20" i="2"/>
  <c r="J1520" i="5"/>
  <c r="J1519" i="5"/>
  <c r="J1518" i="5"/>
  <c r="J1664" i="5"/>
  <c r="J1663" i="5"/>
  <c r="J571" i="2" l="1"/>
  <c r="J573" i="2"/>
  <c r="J572" i="2"/>
  <c r="R1441" i="5"/>
  <c r="Q1441" i="5"/>
  <c r="R1440" i="5"/>
  <c r="Q1440" i="5"/>
  <c r="R1439" i="5"/>
  <c r="Q1439" i="5"/>
  <c r="R1438" i="5"/>
  <c r="Q1438" i="5"/>
  <c r="R1437" i="5"/>
  <c r="Q1437" i="5"/>
  <c r="R1436" i="5"/>
  <c r="Q1436" i="5"/>
  <c r="R1433" i="5"/>
  <c r="Q1433" i="5"/>
  <c r="R1432" i="5"/>
  <c r="Q1432" i="5"/>
  <c r="R1431" i="5"/>
  <c r="Q1431" i="5"/>
  <c r="R1430" i="5"/>
  <c r="Q1430" i="5"/>
  <c r="R1429" i="5"/>
  <c r="Q1429" i="5"/>
  <c r="R1428" i="5"/>
  <c r="Q1428" i="5"/>
  <c r="R1427" i="5"/>
  <c r="Q1427" i="5"/>
  <c r="R1426" i="5"/>
  <c r="Q1426" i="5"/>
  <c r="R1425" i="5"/>
  <c r="Q1425" i="5"/>
  <c r="R1424" i="5"/>
  <c r="Q1424" i="5"/>
  <c r="CK1423" i="5"/>
  <c r="CK1420" i="5" s="1"/>
  <c r="CJ1423" i="5"/>
  <c r="CJ1420" i="5" s="1"/>
  <c r="CH1423" i="5"/>
  <c r="CH1420" i="5" s="1"/>
  <c r="CG1423" i="5"/>
  <c r="CG1420" i="5" s="1"/>
  <c r="CE1423" i="5"/>
  <c r="CE1420" i="5" s="1"/>
  <c r="CD1423" i="5"/>
  <c r="CD1420" i="5" s="1"/>
  <c r="CB1423" i="5"/>
  <c r="CB1420" i="5" s="1"/>
  <c r="CA1423" i="5"/>
  <c r="CA1420" i="5" s="1"/>
  <c r="BY1423" i="5"/>
  <c r="BY1420" i="5" s="1"/>
  <c r="BX1423" i="5"/>
  <c r="BX1420" i="5" s="1"/>
  <c r="BV1423" i="5"/>
  <c r="BV1420" i="5" s="1"/>
  <c r="BU1423" i="5"/>
  <c r="BU1420" i="5" s="1"/>
  <c r="BS1423" i="5"/>
  <c r="BS1420" i="5" s="1"/>
  <c r="BR1423" i="5"/>
  <c r="BR1420" i="5" s="1"/>
  <c r="BP1423" i="5"/>
  <c r="BP1420" i="5" s="1"/>
  <c r="BO1423" i="5"/>
  <c r="BO1420" i="5" s="1"/>
  <c r="BM1423" i="5"/>
  <c r="BM1420" i="5" s="1"/>
  <c r="BL1423" i="5"/>
  <c r="BL1420" i="5" s="1"/>
  <c r="BJ1423" i="5"/>
  <c r="BJ1420" i="5" s="1"/>
  <c r="BI1423" i="5"/>
  <c r="BI1420" i="5" s="1"/>
  <c r="BG1423" i="5"/>
  <c r="BG1420" i="5" s="1"/>
  <c r="BF1423" i="5"/>
  <c r="BF1420" i="5" s="1"/>
  <c r="BD1423" i="5"/>
  <c r="BD1420" i="5" s="1"/>
  <c r="BC1423" i="5"/>
  <c r="BC1420" i="5" s="1"/>
  <c r="BA1423" i="5"/>
  <c r="BA1420" i="5" s="1"/>
  <c r="AZ1423" i="5"/>
  <c r="AZ1420" i="5" s="1"/>
  <c r="AX1423" i="5"/>
  <c r="AX1420" i="5" s="1"/>
  <c r="AW1423" i="5"/>
  <c r="AW1420" i="5" s="1"/>
  <c r="AU1423" i="5"/>
  <c r="AU1420" i="5" s="1"/>
  <c r="AT1423" i="5"/>
  <c r="AT1420" i="5" s="1"/>
  <c r="AR1423" i="5"/>
  <c r="AR1420" i="5" s="1"/>
  <c r="AQ1423" i="5"/>
  <c r="AQ1420" i="5" s="1"/>
  <c r="AO1423" i="5"/>
  <c r="AO1420" i="5" s="1"/>
  <c r="AN1423" i="5"/>
  <c r="AN1420" i="5" s="1"/>
  <c r="AL1423" i="5"/>
  <c r="AL1420" i="5" s="1"/>
  <c r="AK1423" i="5"/>
  <c r="AK1420" i="5" s="1"/>
  <c r="AI1423" i="5"/>
  <c r="AI1420" i="5" s="1"/>
  <c r="AH1423" i="5"/>
  <c r="AH1420" i="5" s="1"/>
  <c r="AF1423" i="5"/>
  <c r="AF1420" i="5" s="1"/>
  <c r="AE1423" i="5"/>
  <c r="AE1420" i="5" s="1"/>
  <c r="AC1423" i="5"/>
  <c r="AC1420" i="5" s="1"/>
  <c r="AB1423" i="5"/>
  <c r="AB1420" i="5" s="1"/>
  <c r="I1423" i="5"/>
  <c r="I1420" i="5" s="1"/>
  <c r="H1423" i="5"/>
  <c r="H1420" i="5" s="1"/>
  <c r="CK1422" i="5"/>
  <c r="CK1419" i="5" s="1"/>
  <c r="CJ1422" i="5"/>
  <c r="CJ1419" i="5" s="1"/>
  <c r="CH1422" i="5"/>
  <c r="CH1419" i="5" s="1"/>
  <c r="CG1422" i="5"/>
  <c r="CG1419" i="5" s="1"/>
  <c r="CE1422" i="5"/>
  <c r="CE1419" i="5" s="1"/>
  <c r="CD1422" i="5"/>
  <c r="CD1419" i="5" s="1"/>
  <c r="CB1422" i="5"/>
  <c r="CB1419" i="5" s="1"/>
  <c r="CA1422" i="5"/>
  <c r="CA1419" i="5" s="1"/>
  <c r="BY1422" i="5"/>
  <c r="BY1419" i="5" s="1"/>
  <c r="BX1422" i="5"/>
  <c r="BX1419" i="5" s="1"/>
  <c r="BV1422" i="5"/>
  <c r="BV1419" i="5" s="1"/>
  <c r="BU1422" i="5"/>
  <c r="BU1419" i="5" s="1"/>
  <c r="BS1422" i="5"/>
  <c r="BS1419" i="5" s="1"/>
  <c r="BR1422" i="5"/>
  <c r="BR1419" i="5" s="1"/>
  <c r="BP1422" i="5"/>
  <c r="BP1419" i="5" s="1"/>
  <c r="BO1422" i="5"/>
  <c r="BO1419" i="5" s="1"/>
  <c r="BM1422" i="5"/>
  <c r="BM1419" i="5" s="1"/>
  <c r="BL1422" i="5"/>
  <c r="BL1419" i="5" s="1"/>
  <c r="BJ1422" i="5"/>
  <c r="BJ1419" i="5" s="1"/>
  <c r="BI1422" i="5"/>
  <c r="BI1419" i="5" s="1"/>
  <c r="BG1422" i="5"/>
  <c r="BG1419" i="5" s="1"/>
  <c r="BF1422" i="5"/>
  <c r="BF1419" i="5" s="1"/>
  <c r="BD1422" i="5"/>
  <c r="BD1419" i="5" s="1"/>
  <c r="BC1422" i="5"/>
  <c r="BC1419" i="5" s="1"/>
  <c r="BA1422" i="5"/>
  <c r="BA1419" i="5" s="1"/>
  <c r="AZ1422" i="5"/>
  <c r="AZ1419" i="5" s="1"/>
  <c r="AX1422" i="5"/>
  <c r="AX1419" i="5" s="1"/>
  <c r="AW1422" i="5"/>
  <c r="AW1419" i="5" s="1"/>
  <c r="AU1422" i="5"/>
  <c r="AU1419" i="5" s="1"/>
  <c r="AT1422" i="5"/>
  <c r="AT1419" i="5" s="1"/>
  <c r="AR1422" i="5"/>
  <c r="AR1419" i="5" s="1"/>
  <c r="AQ1422" i="5"/>
  <c r="AQ1419" i="5" s="1"/>
  <c r="AO1422" i="5"/>
  <c r="AO1419" i="5" s="1"/>
  <c r="AN1422" i="5"/>
  <c r="AN1419" i="5" s="1"/>
  <c r="AL1422" i="5"/>
  <c r="AL1419" i="5" s="1"/>
  <c r="AK1422" i="5"/>
  <c r="AK1419" i="5" s="1"/>
  <c r="AI1422" i="5"/>
  <c r="AI1419" i="5" s="1"/>
  <c r="AH1422" i="5"/>
  <c r="AH1419" i="5" s="1"/>
  <c r="AF1422" i="5"/>
  <c r="AF1419" i="5" s="1"/>
  <c r="AE1422" i="5"/>
  <c r="AE1419" i="5" s="1"/>
  <c r="AC1422" i="5"/>
  <c r="AC1419" i="5" s="1"/>
  <c r="AB1422" i="5"/>
  <c r="AB1419" i="5" s="1"/>
  <c r="Z1422" i="5"/>
  <c r="Z1419" i="5" s="1"/>
  <c r="Y1422" i="5"/>
  <c r="Y1419" i="5" s="1"/>
  <c r="W1422" i="5"/>
  <c r="W1419" i="5" s="1"/>
  <c r="V1422" i="5"/>
  <c r="V1419" i="5" s="1"/>
  <c r="T1422" i="5"/>
  <c r="T1419" i="5" s="1"/>
  <c r="S1422" i="5"/>
  <c r="S1419" i="5" s="1"/>
  <c r="J1422" i="5"/>
  <c r="J1419" i="5" s="1"/>
  <c r="I1422" i="5"/>
  <c r="I1419" i="5" s="1"/>
  <c r="H1422" i="5"/>
  <c r="H1419" i="5" s="1"/>
  <c r="CK1421" i="5"/>
  <c r="CK1418" i="5" s="1"/>
  <c r="CJ1421" i="5"/>
  <c r="CJ1418" i="5" s="1"/>
  <c r="CH1421" i="5"/>
  <c r="CH1418" i="5" s="1"/>
  <c r="CG1421" i="5"/>
  <c r="CG1418" i="5" s="1"/>
  <c r="CE1421" i="5"/>
  <c r="CE1418" i="5" s="1"/>
  <c r="CD1421" i="5"/>
  <c r="CD1418" i="5" s="1"/>
  <c r="CB1421" i="5"/>
  <c r="CB1418" i="5" s="1"/>
  <c r="CA1421" i="5"/>
  <c r="CA1418" i="5" s="1"/>
  <c r="BY1421" i="5"/>
  <c r="BY1418" i="5" s="1"/>
  <c r="BX1421" i="5"/>
  <c r="BX1418" i="5" s="1"/>
  <c r="BV1421" i="5"/>
  <c r="BV1418" i="5" s="1"/>
  <c r="BU1421" i="5"/>
  <c r="BU1418" i="5" s="1"/>
  <c r="BS1421" i="5"/>
  <c r="BS1418" i="5" s="1"/>
  <c r="BR1421" i="5"/>
  <c r="BR1418" i="5" s="1"/>
  <c r="BP1421" i="5"/>
  <c r="BP1418" i="5" s="1"/>
  <c r="BO1421" i="5"/>
  <c r="BO1418" i="5" s="1"/>
  <c r="BM1421" i="5"/>
  <c r="BM1418" i="5" s="1"/>
  <c r="BL1421" i="5"/>
  <c r="BL1418" i="5" s="1"/>
  <c r="BJ1421" i="5"/>
  <c r="BJ1418" i="5" s="1"/>
  <c r="BI1421" i="5"/>
  <c r="BI1418" i="5" s="1"/>
  <c r="BG1421" i="5"/>
  <c r="BF1421" i="5"/>
  <c r="BF1418" i="5" s="1"/>
  <c r="BD1421" i="5"/>
  <c r="BD1418" i="5" s="1"/>
  <c r="BC1421" i="5"/>
  <c r="BC1418" i="5" s="1"/>
  <c r="BA1421" i="5"/>
  <c r="BA1418" i="5" s="1"/>
  <c r="AZ1421" i="5"/>
  <c r="AZ1418" i="5" s="1"/>
  <c r="AX1421" i="5"/>
  <c r="AX1418" i="5" s="1"/>
  <c r="AW1421" i="5"/>
  <c r="AW1418" i="5" s="1"/>
  <c r="AU1421" i="5"/>
  <c r="AU1418" i="5" s="1"/>
  <c r="AT1421" i="5"/>
  <c r="AT1418" i="5" s="1"/>
  <c r="AR1421" i="5"/>
  <c r="AR1418" i="5" s="1"/>
  <c r="AQ1421" i="5"/>
  <c r="AQ1418" i="5" s="1"/>
  <c r="AO1421" i="5"/>
  <c r="AO1418" i="5" s="1"/>
  <c r="AN1421" i="5"/>
  <c r="AN1418" i="5" s="1"/>
  <c r="AL1421" i="5"/>
  <c r="AL1418" i="5" s="1"/>
  <c r="AK1421" i="5"/>
  <c r="AK1418" i="5" s="1"/>
  <c r="AI1421" i="5"/>
  <c r="AI1418" i="5" s="1"/>
  <c r="AH1421" i="5"/>
  <c r="AH1418" i="5" s="1"/>
  <c r="AF1421" i="5"/>
  <c r="AF1418" i="5" s="1"/>
  <c r="AE1421" i="5"/>
  <c r="AE1418" i="5" s="1"/>
  <c r="AC1421" i="5"/>
  <c r="AC1418" i="5" s="1"/>
  <c r="AB1421" i="5"/>
  <c r="AB1418" i="5" s="1"/>
  <c r="I1421" i="5"/>
  <c r="I1418" i="5" s="1"/>
  <c r="H1421" i="5"/>
  <c r="H1418" i="5" s="1"/>
  <c r="BG1418" i="5"/>
  <c r="R1422" i="5" l="1"/>
  <c r="R1419" i="5" s="1"/>
  <c r="Q1422" i="5"/>
  <c r="Q1419" i="5" s="1"/>
  <c r="J638" i="5" l="1"/>
  <c r="R696" i="5"/>
  <c r="Q696" i="5"/>
  <c r="R695" i="5"/>
  <c r="Q695" i="5"/>
  <c r="R694" i="5"/>
  <c r="Q694" i="5"/>
  <c r="R693" i="5"/>
  <c r="Q693" i="5"/>
  <c r="R692" i="5"/>
  <c r="Q692" i="5"/>
  <c r="R691" i="5"/>
  <c r="Q691" i="5"/>
  <c r="R688" i="5"/>
  <c r="Q688" i="5"/>
  <c r="R687" i="5"/>
  <c r="Q687" i="5"/>
  <c r="R686" i="5"/>
  <c r="Q686" i="5"/>
  <c r="R685" i="5"/>
  <c r="Q685" i="5"/>
  <c r="R684" i="5"/>
  <c r="Q684" i="5"/>
  <c r="R683" i="5"/>
  <c r="Q683" i="5"/>
  <c r="R682" i="5"/>
  <c r="Q682" i="5"/>
  <c r="R681" i="5"/>
  <c r="Q681" i="5"/>
  <c r="R680" i="5"/>
  <c r="Q680" i="5"/>
  <c r="R679" i="5"/>
  <c r="Q679" i="5"/>
  <c r="CK678" i="5"/>
  <c r="CK675" i="5" s="1"/>
  <c r="CJ678" i="5"/>
  <c r="CJ675" i="5" s="1"/>
  <c r="CH678" i="5"/>
  <c r="CH675" i="5" s="1"/>
  <c r="CG678" i="5"/>
  <c r="CG675" i="5" s="1"/>
  <c r="CE678" i="5"/>
  <c r="CE675" i="5" s="1"/>
  <c r="CD678" i="5"/>
  <c r="CD675" i="5" s="1"/>
  <c r="CB678" i="5"/>
  <c r="CB675" i="5" s="1"/>
  <c r="CA678" i="5"/>
  <c r="CA675" i="5" s="1"/>
  <c r="BY678" i="5"/>
  <c r="BY675" i="5" s="1"/>
  <c r="BX678" i="5"/>
  <c r="BX675" i="5" s="1"/>
  <c r="BV678" i="5"/>
  <c r="BV675" i="5" s="1"/>
  <c r="BU678" i="5"/>
  <c r="BU675" i="5" s="1"/>
  <c r="BS678" i="5"/>
  <c r="BS675" i="5" s="1"/>
  <c r="BR678" i="5"/>
  <c r="BR675" i="5" s="1"/>
  <c r="BP678" i="5"/>
  <c r="BP675" i="5" s="1"/>
  <c r="BO678" i="5"/>
  <c r="BO675" i="5" s="1"/>
  <c r="BM678" i="5"/>
  <c r="BM675" i="5" s="1"/>
  <c r="BL678" i="5"/>
  <c r="BL675" i="5" s="1"/>
  <c r="BJ678" i="5"/>
  <c r="BJ675" i="5" s="1"/>
  <c r="BI678" i="5"/>
  <c r="BI675" i="5" s="1"/>
  <c r="BG678" i="5"/>
  <c r="BG675" i="5" s="1"/>
  <c r="BF678" i="5"/>
  <c r="BF675" i="5" s="1"/>
  <c r="BD678" i="5"/>
  <c r="BD675" i="5" s="1"/>
  <c r="BC678" i="5"/>
  <c r="BC675" i="5" s="1"/>
  <c r="BA678" i="5"/>
  <c r="BA675" i="5" s="1"/>
  <c r="AZ678" i="5"/>
  <c r="AZ675" i="5" s="1"/>
  <c r="AX678" i="5"/>
  <c r="AX675" i="5" s="1"/>
  <c r="AW678" i="5"/>
  <c r="AW675" i="5" s="1"/>
  <c r="AU678" i="5"/>
  <c r="AU675" i="5" s="1"/>
  <c r="AT678" i="5"/>
  <c r="AT675" i="5" s="1"/>
  <c r="AR678" i="5"/>
  <c r="AR675" i="5" s="1"/>
  <c r="AQ678" i="5"/>
  <c r="AQ675" i="5" s="1"/>
  <c r="AO678" i="5"/>
  <c r="AO675" i="5" s="1"/>
  <c r="AN678" i="5"/>
  <c r="AN675" i="5" s="1"/>
  <c r="AL678" i="5"/>
  <c r="AL675" i="5" s="1"/>
  <c r="AK678" i="5"/>
  <c r="AK675" i="5" s="1"/>
  <c r="AI678" i="5"/>
  <c r="AI675" i="5" s="1"/>
  <c r="AH678" i="5"/>
  <c r="AH675" i="5" s="1"/>
  <c r="AF678" i="5"/>
  <c r="AF675" i="5" s="1"/>
  <c r="AE678" i="5"/>
  <c r="AE675" i="5" s="1"/>
  <c r="AC678" i="5"/>
  <c r="AC675" i="5" s="1"/>
  <c r="AB678" i="5"/>
  <c r="AB675" i="5" s="1"/>
  <c r="I678" i="5"/>
  <c r="I675" i="5" s="1"/>
  <c r="H678" i="5"/>
  <c r="H675" i="5" s="1"/>
  <c r="CK677" i="5"/>
  <c r="CK674" i="5" s="1"/>
  <c r="CJ677" i="5"/>
  <c r="CJ674" i="5" s="1"/>
  <c r="CH677" i="5"/>
  <c r="CH674" i="5" s="1"/>
  <c r="CG677" i="5"/>
  <c r="CG674" i="5" s="1"/>
  <c r="CE677" i="5"/>
  <c r="CE674" i="5" s="1"/>
  <c r="CD677" i="5"/>
  <c r="CD674" i="5" s="1"/>
  <c r="CB677" i="5"/>
  <c r="CB674" i="5" s="1"/>
  <c r="CA677" i="5"/>
  <c r="CA674" i="5" s="1"/>
  <c r="BY677" i="5"/>
  <c r="BY674" i="5" s="1"/>
  <c r="BX677" i="5"/>
  <c r="BX674" i="5" s="1"/>
  <c r="BV677" i="5"/>
  <c r="BV674" i="5" s="1"/>
  <c r="BU677" i="5"/>
  <c r="BU674" i="5" s="1"/>
  <c r="BS677" i="5"/>
  <c r="BS674" i="5" s="1"/>
  <c r="BR677" i="5"/>
  <c r="BR674" i="5" s="1"/>
  <c r="BP677" i="5"/>
  <c r="BP674" i="5" s="1"/>
  <c r="BO677" i="5"/>
  <c r="BO674" i="5" s="1"/>
  <c r="BM677" i="5"/>
  <c r="BM674" i="5" s="1"/>
  <c r="BL677" i="5"/>
  <c r="BL674" i="5" s="1"/>
  <c r="BJ677" i="5"/>
  <c r="BJ674" i="5" s="1"/>
  <c r="BI677" i="5"/>
  <c r="BI674" i="5" s="1"/>
  <c r="BG677" i="5"/>
  <c r="BG674" i="5" s="1"/>
  <c r="BF677" i="5"/>
  <c r="BF674" i="5" s="1"/>
  <c r="BD677" i="5"/>
  <c r="BD674" i="5" s="1"/>
  <c r="BC677" i="5"/>
  <c r="BC674" i="5" s="1"/>
  <c r="BA677" i="5"/>
  <c r="BA674" i="5" s="1"/>
  <c r="AZ677" i="5"/>
  <c r="AZ674" i="5" s="1"/>
  <c r="AX677" i="5"/>
  <c r="AX674" i="5" s="1"/>
  <c r="AW677" i="5"/>
  <c r="AW674" i="5" s="1"/>
  <c r="AU677" i="5"/>
  <c r="AU674" i="5" s="1"/>
  <c r="AT677" i="5"/>
  <c r="AT674" i="5" s="1"/>
  <c r="AR677" i="5"/>
  <c r="AR674" i="5" s="1"/>
  <c r="AQ677" i="5"/>
  <c r="AQ674" i="5" s="1"/>
  <c r="AO677" i="5"/>
  <c r="AO674" i="5" s="1"/>
  <c r="AN677" i="5"/>
  <c r="AN674" i="5" s="1"/>
  <c r="AL677" i="5"/>
  <c r="AL674" i="5" s="1"/>
  <c r="AK677" i="5"/>
  <c r="AK674" i="5" s="1"/>
  <c r="AI677" i="5"/>
  <c r="AI674" i="5" s="1"/>
  <c r="AH677" i="5"/>
  <c r="AH674" i="5" s="1"/>
  <c r="AF677" i="5"/>
  <c r="AF674" i="5" s="1"/>
  <c r="AE677" i="5"/>
  <c r="AE674" i="5" s="1"/>
  <c r="AC677" i="5"/>
  <c r="AC674" i="5" s="1"/>
  <c r="AB677" i="5"/>
  <c r="AB674" i="5" s="1"/>
  <c r="Z677" i="5"/>
  <c r="Z674" i="5" s="1"/>
  <c r="Y677" i="5"/>
  <c r="Y674" i="5" s="1"/>
  <c r="W677" i="5"/>
  <c r="W674" i="5" s="1"/>
  <c r="V677" i="5"/>
  <c r="V674" i="5" s="1"/>
  <c r="T677" i="5"/>
  <c r="T674" i="5" s="1"/>
  <c r="S677" i="5"/>
  <c r="S674" i="5" s="1"/>
  <c r="J677" i="5"/>
  <c r="J674" i="5" s="1"/>
  <c r="I677" i="5"/>
  <c r="I674" i="5" s="1"/>
  <c r="H677" i="5"/>
  <c r="H674" i="5" s="1"/>
  <c r="CK676" i="5"/>
  <c r="CK673" i="5" s="1"/>
  <c r="CJ676" i="5"/>
  <c r="CJ673" i="5" s="1"/>
  <c r="CH676" i="5"/>
  <c r="CH673" i="5" s="1"/>
  <c r="CG676" i="5"/>
  <c r="CG673" i="5" s="1"/>
  <c r="CE676" i="5"/>
  <c r="CE673" i="5" s="1"/>
  <c r="CD676" i="5"/>
  <c r="CD673" i="5" s="1"/>
  <c r="CB676" i="5"/>
  <c r="CB673" i="5" s="1"/>
  <c r="CA676" i="5"/>
  <c r="CA673" i="5" s="1"/>
  <c r="BY676" i="5"/>
  <c r="BY673" i="5" s="1"/>
  <c r="BX676" i="5"/>
  <c r="BX673" i="5" s="1"/>
  <c r="BV676" i="5"/>
  <c r="BV673" i="5" s="1"/>
  <c r="BU676" i="5"/>
  <c r="BU673" i="5" s="1"/>
  <c r="BS676" i="5"/>
  <c r="BS673" i="5" s="1"/>
  <c r="BR676" i="5"/>
  <c r="BR673" i="5" s="1"/>
  <c r="BP676" i="5"/>
  <c r="BP673" i="5" s="1"/>
  <c r="BO676" i="5"/>
  <c r="BO673" i="5" s="1"/>
  <c r="BM676" i="5"/>
  <c r="BM673" i="5" s="1"/>
  <c r="BL676" i="5"/>
  <c r="BL673" i="5" s="1"/>
  <c r="BJ676" i="5"/>
  <c r="BJ673" i="5" s="1"/>
  <c r="BI676" i="5"/>
  <c r="BI673" i="5" s="1"/>
  <c r="BG676" i="5"/>
  <c r="BG673" i="5" s="1"/>
  <c r="BF676" i="5"/>
  <c r="BF673" i="5" s="1"/>
  <c r="BD676" i="5"/>
  <c r="BD673" i="5" s="1"/>
  <c r="BC676" i="5"/>
  <c r="BC673" i="5" s="1"/>
  <c r="BA676" i="5"/>
  <c r="BA673" i="5" s="1"/>
  <c r="AZ676" i="5"/>
  <c r="AZ673" i="5" s="1"/>
  <c r="AX676" i="5"/>
  <c r="AX673" i="5" s="1"/>
  <c r="AW676" i="5"/>
  <c r="AW673" i="5" s="1"/>
  <c r="AU676" i="5"/>
  <c r="AU673" i="5" s="1"/>
  <c r="AT676" i="5"/>
  <c r="AT673" i="5" s="1"/>
  <c r="AR676" i="5"/>
  <c r="AR673" i="5" s="1"/>
  <c r="AQ676" i="5"/>
  <c r="AQ673" i="5" s="1"/>
  <c r="AO676" i="5"/>
  <c r="AO673" i="5" s="1"/>
  <c r="AN676" i="5"/>
  <c r="AN673" i="5" s="1"/>
  <c r="AL676" i="5"/>
  <c r="AL673" i="5" s="1"/>
  <c r="AK676" i="5"/>
  <c r="AK673" i="5" s="1"/>
  <c r="AI676" i="5"/>
  <c r="AI673" i="5" s="1"/>
  <c r="AH676" i="5"/>
  <c r="AH673" i="5" s="1"/>
  <c r="AF676" i="5"/>
  <c r="AF673" i="5" s="1"/>
  <c r="AE676" i="5"/>
  <c r="AE673" i="5" s="1"/>
  <c r="AC676" i="5"/>
  <c r="AC673" i="5" s="1"/>
  <c r="AB676" i="5"/>
  <c r="AB673" i="5" s="1"/>
  <c r="I676" i="5"/>
  <c r="I673" i="5" s="1"/>
  <c r="H676" i="5"/>
  <c r="H673" i="5" s="1"/>
  <c r="J625" i="5" l="1"/>
  <c r="R677" i="5"/>
  <c r="R674" i="5" s="1"/>
  <c r="Q677" i="5"/>
  <c r="Q674" i="5" s="1"/>
  <c r="J95" i="5" l="1"/>
  <c r="J94" i="5"/>
  <c r="J93" i="5"/>
  <c r="J87" i="5"/>
  <c r="J86" i="5"/>
  <c r="J85" i="5"/>
  <c r="J91" i="5"/>
  <c r="J90" i="5"/>
  <c r="J89" i="5"/>
  <c r="J1652" i="5" l="1"/>
  <c r="J1653" i="5"/>
  <c r="J1299" i="5"/>
  <c r="J99" i="9"/>
  <c r="I402" i="2" l="1"/>
  <c r="I397" i="2"/>
  <c r="I408" i="2" l="1"/>
  <c r="I425" i="2"/>
  <c r="I418" i="2" s="1"/>
  <c r="I422" i="2"/>
  <c r="I415" i="2" s="1"/>
  <c r="I419" i="2"/>
  <c r="I416" i="2"/>
  <c r="J415" i="2"/>
  <c r="J418" i="2"/>
  <c r="J419" i="2"/>
  <c r="I495" i="2" l="1"/>
  <c r="I491" i="2" s="1"/>
  <c r="I492" i="2"/>
  <c r="J531" i="2"/>
  <c r="I531" i="2"/>
  <c r="I530" i="2"/>
  <c r="J534" i="2"/>
  <c r="I534" i="2"/>
  <c r="I577" i="2"/>
  <c r="J576" i="2"/>
  <c r="J575" i="2"/>
  <c r="J603" i="2"/>
  <c r="J602" i="2"/>
  <c r="J601" i="2"/>
  <c r="I610" i="2"/>
  <c r="I613" i="2"/>
  <c r="J625" i="2"/>
  <c r="J654" i="2"/>
  <c r="J653" i="2"/>
  <c r="J652" i="2"/>
  <c r="J651" i="2"/>
  <c r="J650" i="2"/>
  <c r="J648" i="2"/>
  <c r="J647" i="2"/>
  <c r="J646" i="2"/>
  <c r="I657" i="2"/>
  <c r="I664" i="2"/>
  <c r="F813" i="2"/>
  <c r="G813" i="2"/>
  <c r="I842" i="2"/>
  <c r="I830" i="2" s="1"/>
  <c r="I836" i="2"/>
  <c r="I887" i="2"/>
  <c r="I866" i="2"/>
  <c r="I379" i="2"/>
  <c r="I340" i="2"/>
  <c r="I325" i="2"/>
  <c r="I271" i="2"/>
  <c r="I264" i="2" s="1"/>
  <c r="I268" i="2"/>
  <c r="I217" i="2"/>
  <c r="I214" i="2"/>
  <c r="I211" i="2"/>
  <c r="I201" i="2"/>
  <c r="I207" i="2"/>
  <c r="I182" i="2"/>
  <c r="J170" i="2"/>
  <c r="I156" i="2"/>
  <c r="I169" i="2"/>
  <c r="I170" i="2"/>
  <c r="J137" i="2"/>
  <c r="I145" i="2"/>
  <c r="I339" i="2" s="1"/>
  <c r="I142" i="2"/>
  <c r="I338" i="2" s="1"/>
  <c r="I139" i="2"/>
  <c r="J115" i="2"/>
  <c r="J114" i="2"/>
  <c r="J112" i="2"/>
  <c r="J111" i="2"/>
  <c r="I115" i="2"/>
  <c r="I112" i="2"/>
  <c r="J109" i="2"/>
  <c r="J108" i="2"/>
  <c r="I117" i="2"/>
  <c r="I109" i="2"/>
  <c r="J86" i="2"/>
  <c r="J93" i="2"/>
  <c r="J84" i="2"/>
  <c r="I92" i="2"/>
  <c r="I83" i="2"/>
  <c r="I73" i="2"/>
  <c r="I59" i="2"/>
  <c r="I42" i="2"/>
  <c r="I32" i="2" s="1"/>
  <c r="J39" i="2"/>
  <c r="J31" i="2" s="1"/>
  <c r="J38" i="2"/>
  <c r="J30" i="2" s="1"/>
  <c r="I660" i="2" l="1"/>
  <c r="I649" i="2" s="1"/>
  <c r="I322" i="2"/>
  <c r="I667" i="2"/>
  <c r="I337" i="2"/>
  <c r="J148" i="2"/>
  <c r="J130" i="2" s="1"/>
  <c r="J95" i="2"/>
  <c r="J89" i="2" s="1"/>
  <c r="J172" i="2"/>
  <c r="J158" i="2" s="1"/>
  <c r="J578" i="2"/>
  <c r="J569" i="2" s="1"/>
  <c r="I45" i="2"/>
  <c r="I165" i="2"/>
  <c r="I155" i="2" s="1"/>
  <c r="I76" i="2"/>
  <c r="I578" i="2" s="1"/>
  <c r="I569" i="2" s="1"/>
  <c r="I126" i="2"/>
  <c r="I114" i="2" s="1"/>
  <c r="I158" i="2"/>
  <c r="I602" i="2"/>
  <c r="I603" i="2"/>
  <c r="I601" i="2"/>
  <c r="I130" i="2"/>
  <c r="J134" i="2"/>
  <c r="J131" i="2"/>
  <c r="J628" i="2"/>
  <c r="I650" i="2" l="1"/>
  <c r="I646" i="2"/>
  <c r="J568" i="2"/>
  <c r="J133" i="2"/>
  <c r="J136" i="2"/>
  <c r="I111" i="2"/>
  <c r="I108" i="2"/>
  <c r="I653" i="2"/>
  <c r="I652" i="2"/>
  <c r="J152" i="2"/>
  <c r="J567" i="2"/>
  <c r="I647" i="2"/>
  <c r="I152" i="2"/>
  <c r="J132" i="8"/>
  <c r="J131" i="8"/>
  <c r="J130" i="8"/>
  <c r="J136" i="8"/>
  <c r="J135" i="8"/>
  <c r="J134" i="8"/>
  <c r="I880" i="5" l="1"/>
  <c r="I860" i="5" s="1"/>
  <c r="E1382" i="5" l="1"/>
  <c r="J10" i="5" l="1"/>
  <c r="I1177" i="5" l="1"/>
  <c r="M1149" i="5" s="1"/>
  <c r="J1177" i="5"/>
  <c r="K1149" i="5" l="1"/>
  <c r="L1149" i="5"/>
  <c r="J1148" i="5"/>
  <c r="J1144" i="5"/>
  <c r="J1145" i="5"/>
  <c r="J1143" i="5"/>
  <c r="J1142" i="5"/>
  <c r="J1147" i="5"/>
  <c r="J1141" i="5"/>
  <c r="J1146" i="5"/>
  <c r="R156" i="5"/>
  <c r="Q156" i="5"/>
  <c r="R155" i="5"/>
  <c r="Q155" i="5"/>
  <c r="R154" i="5"/>
  <c r="Q154" i="5"/>
  <c r="R152" i="5"/>
  <c r="Q152" i="5"/>
  <c r="R151" i="5"/>
  <c r="Q151" i="5"/>
  <c r="R150" i="5"/>
  <c r="Q150" i="5"/>
  <c r="R147" i="5"/>
  <c r="Q147" i="5"/>
  <c r="R146" i="5"/>
  <c r="Q146" i="5"/>
  <c r="R145" i="5"/>
  <c r="Q145" i="5"/>
  <c r="R143" i="5"/>
  <c r="Q143" i="5"/>
  <c r="R142" i="5"/>
  <c r="Q142" i="5"/>
  <c r="R141" i="5"/>
  <c r="Q141" i="5"/>
  <c r="CK138" i="5"/>
  <c r="CJ138" i="5"/>
  <c r="CH138" i="5"/>
  <c r="CG138" i="5"/>
  <c r="CE138" i="5"/>
  <c r="CD138" i="5"/>
  <c r="CK137" i="5"/>
  <c r="CJ137" i="5"/>
  <c r="CH137" i="5"/>
  <c r="CG137" i="5"/>
  <c r="CE137" i="5"/>
  <c r="CD137" i="5"/>
  <c r="CK136" i="5"/>
  <c r="CJ136" i="5"/>
  <c r="CH136" i="5"/>
  <c r="CG136" i="5"/>
  <c r="CE136" i="5"/>
  <c r="CD136" i="5"/>
  <c r="CK134" i="5"/>
  <c r="CJ134" i="5"/>
  <c r="CH134" i="5"/>
  <c r="CG134" i="5"/>
  <c r="CE134" i="5"/>
  <c r="CD134" i="5"/>
  <c r="CK133" i="5"/>
  <c r="CJ133" i="5"/>
  <c r="CH133" i="5"/>
  <c r="CG133" i="5"/>
  <c r="CE133" i="5"/>
  <c r="CD133" i="5"/>
  <c r="CK132" i="5"/>
  <c r="CJ132" i="5"/>
  <c r="CH132" i="5"/>
  <c r="CG132" i="5"/>
  <c r="CE132" i="5"/>
  <c r="CD132" i="5"/>
  <c r="CK130" i="5"/>
  <c r="CJ130" i="5"/>
  <c r="CH130" i="5"/>
  <c r="CG130" i="5"/>
  <c r="CE130" i="5"/>
  <c r="CD130" i="5"/>
  <c r="CK129" i="5"/>
  <c r="CJ129" i="5"/>
  <c r="CH129" i="5"/>
  <c r="CG129" i="5"/>
  <c r="CE129" i="5"/>
  <c r="CD129" i="5"/>
  <c r="CK128" i="5"/>
  <c r="CJ128" i="5"/>
  <c r="CH128" i="5"/>
  <c r="CG128" i="5"/>
  <c r="CE128" i="5"/>
  <c r="CD128" i="5"/>
  <c r="CB138" i="5"/>
  <c r="CA138" i="5"/>
  <c r="BY138" i="5"/>
  <c r="BX138" i="5"/>
  <c r="BV138" i="5"/>
  <c r="BU138" i="5"/>
  <c r="CB137" i="5"/>
  <c r="CA137" i="5"/>
  <c r="BY137" i="5"/>
  <c r="BX137" i="5"/>
  <c r="BV137" i="5"/>
  <c r="BU137" i="5"/>
  <c r="CB136" i="5"/>
  <c r="CA136" i="5"/>
  <c r="BY136" i="5"/>
  <c r="BX136" i="5"/>
  <c r="BV136" i="5"/>
  <c r="BU136" i="5"/>
  <c r="CB134" i="5"/>
  <c r="CA134" i="5"/>
  <c r="BY134" i="5"/>
  <c r="BX134" i="5"/>
  <c r="BV134" i="5"/>
  <c r="BU134" i="5"/>
  <c r="CB133" i="5"/>
  <c r="CA133" i="5"/>
  <c r="BY133" i="5"/>
  <c r="BX133" i="5"/>
  <c r="BV133" i="5"/>
  <c r="BU133" i="5"/>
  <c r="CB132" i="5"/>
  <c r="CA132" i="5"/>
  <c r="BY132" i="5"/>
  <c r="BX132" i="5"/>
  <c r="BV132" i="5"/>
  <c r="BU132" i="5"/>
  <c r="CB130" i="5"/>
  <c r="CA130" i="5"/>
  <c r="BY130" i="5"/>
  <c r="BX130" i="5"/>
  <c r="BV130" i="5"/>
  <c r="BU130" i="5"/>
  <c r="CB129" i="5"/>
  <c r="CA129" i="5"/>
  <c r="BY129" i="5"/>
  <c r="BX129" i="5"/>
  <c r="BV129" i="5"/>
  <c r="BU129" i="5"/>
  <c r="CB128" i="5"/>
  <c r="CA128" i="5"/>
  <c r="BY128" i="5"/>
  <c r="BX128" i="5"/>
  <c r="BV128" i="5"/>
  <c r="BU128" i="5"/>
  <c r="BS138" i="5"/>
  <c r="BR138" i="5"/>
  <c r="BP138" i="5"/>
  <c r="BO138" i="5"/>
  <c r="BM138" i="5"/>
  <c r="BL138" i="5"/>
  <c r="BS137" i="5"/>
  <c r="BR137" i="5"/>
  <c r="BP137" i="5"/>
  <c r="BO137" i="5"/>
  <c r="BM137" i="5"/>
  <c r="BL137" i="5"/>
  <c r="BS136" i="5"/>
  <c r="BR136" i="5"/>
  <c r="BP136" i="5"/>
  <c r="BO136" i="5"/>
  <c r="BM136" i="5"/>
  <c r="BL136" i="5"/>
  <c r="BS134" i="5"/>
  <c r="BR134" i="5"/>
  <c r="BP134" i="5"/>
  <c r="BO134" i="5"/>
  <c r="BM134" i="5"/>
  <c r="BL134" i="5"/>
  <c r="BS133" i="5"/>
  <c r="BR133" i="5"/>
  <c r="BP133" i="5"/>
  <c r="BO133" i="5"/>
  <c r="BM133" i="5"/>
  <c r="BL133" i="5"/>
  <c r="BS132" i="5"/>
  <c r="BR132" i="5"/>
  <c r="BP132" i="5"/>
  <c r="BO132" i="5"/>
  <c r="BM132" i="5"/>
  <c r="BL132" i="5"/>
  <c r="BS130" i="5"/>
  <c r="BR130" i="5"/>
  <c r="BP130" i="5"/>
  <c r="BO130" i="5"/>
  <c r="BM130" i="5"/>
  <c r="BL130" i="5"/>
  <c r="BS129" i="5"/>
  <c r="BR129" i="5"/>
  <c r="BP129" i="5"/>
  <c r="BO129" i="5"/>
  <c r="BM129" i="5"/>
  <c r="BL129" i="5"/>
  <c r="BS128" i="5"/>
  <c r="BR128" i="5"/>
  <c r="BP128" i="5"/>
  <c r="BO128" i="5"/>
  <c r="BM128" i="5"/>
  <c r="BL128" i="5"/>
  <c r="BJ138" i="5"/>
  <c r="BI138" i="5"/>
  <c r="BG138" i="5"/>
  <c r="BF138" i="5"/>
  <c r="BD138" i="5"/>
  <c r="BC138" i="5"/>
  <c r="BJ137" i="5"/>
  <c r="BI137" i="5"/>
  <c r="BG137" i="5"/>
  <c r="BF137" i="5"/>
  <c r="BD137" i="5"/>
  <c r="BC137" i="5"/>
  <c r="BJ136" i="5"/>
  <c r="BI136" i="5"/>
  <c r="BG136" i="5"/>
  <c r="BF136" i="5"/>
  <c r="BD136" i="5"/>
  <c r="BC136" i="5"/>
  <c r="BJ134" i="5"/>
  <c r="BI134" i="5"/>
  <c r="BG134" i="5"/>
  <c r="BF134" i="5"/>
  <c r="BD134" i="5"/>
  <c r="BC134" i="5"/>
  <c r="BJ133" i="5"/>
  <c r="BI133" i="5"/>
  <c r="BG133" i="5"/>
  <c r="BF133" i="5"/>
  <c r="BD133" i="5"/>
  <c r="BC133" i="5"/>
  <c r="BJ132" i="5"/>
  <c r="BI132" i="5"/>
  <c r="BG132" i="5"/>
  <c r="BF132" i="5"/>
  <c r="BD132" i="5"/>
  <c r="BC132" i="5"/>
  <c r="BJ130" i="5"/>
  <c r="BI130" i="5"/>
  <c r="BG130" i="5"/>
  <c r="BF130" i="5"/>
  <c r="BD130" i="5"/>
  <c r="BC130" i="5"/>
  <c r="BJ129" i="5"/>
  <c r="BI129" i="5"/>
  <c r="BG129" i="5"/>
  <c r="BF129" i="5"/>
  <c r="BD129" i="5"/>
  <c r="BC129" i="5"/>
  <c r="BJ128" i="5"/>
  <c r="BI128" i="5"/>
  <c r="BG128" i="5"/>
  <c r="BF128" i="5"/>
  <c r="BD128" i="5"/>
  <c r="BC128" i="5"/>
  <c r="BA138" i="5"/>
  <c r="AZ138" i="5"/>
  <c r="AX138" i="5"/>
  <c r="AW138" i="5"/>
  <c r="AU138" i="5"/>
  <c r="AT138" i="5"/>
  <c r="BA137" i="5"/>
  <c r="AZ137" i="5"/>
  <c r="AX137" i="5"/>
  <c r="AW137" i="5"/>
  <c r="AU137" i="5"/>
  <c r="AT137" i="5"/>
  <c r="BA136" i="5"/>
  <c r="AZ136" i="5"/>
  <c r="AX136" i="5"/>
  <c r="AW136" i="5"/>
  <c r="AU136" i="5"/>
  <c r="AT136" i="5"/>
  <c r="BA134" i="5"/>
  <c r="AZ134" i="5"/>
  <c r="AX134" i="5"/>
  <c r="AW134" i="5"/>
  <c r="AU134" i="5"/>
  <c r="AT134" i="5"/>
  <c r="BA133" i="5"/>
  <c r="AZ133" i="5"/>
  <c r="AX133" i="5"/>
  <c r="AW133" i="5"/>
  <c r="AU133" i="5"/>
  <c r="AT133" i="5"/>
  <c r="BA132" i="5"/>
  <c r="AZ132" i="5"/>
  <c r="AX132" i="5"/>
  <c r="AW132" i="5"/>
  <c r="AU132" i="5"/>
  <c r="AT132" i="5"/>
  <c r="BA130" i="5"/>
  <c r="AZ130" i="5"/>
  <c r="AX130" i="5"/>
  <c r="AW130" i="5"/>
  <c r="AU130" i="5"/>
  <c r="AT130" i="5"/>
  <c r="BA129" i="5"/>
  <c r="AZ129" i="5"/>
  <c r="AX129" i="5"/>
  <c r="AW129" i="5"/>
  <c r="AU129" i="5"/>
  <c r="AT129" i="5"/>
  <c r="BA128" i="5"/>
  <c r="AZ128" i="5"/>
  <c r="AX128" i="5"/>
  <c r="AW128" i="5"/>
  <c r="AU128" i="5"/>
  <c r="AT128" i="5"/>
  <c r="AR138" i="5"/>
  <c r="AQ138" i="5"/>
  <c r="AO138" i="5"/>
  <c r="AN138" i="5"/>
  <c r="AL138" i="5"/>
  <c r="AK138" i="5"/>
  <c r="AR137" i="5"/>
  <c r="AQ137" i="5"/>
  <c r="AO137" i="5"/>
  <c r="AN137" i="5"/>
  <c r="AL137" i="5"/>
  <c r="AK137" i="5"/>
  <c r="AR136" i="5"/>
  <c r="AQ136" i="5"/>
  <c r="AO136" i="5"/>
  <c r="AN136" i="5"/>
  <c r="AL136" i="5"/>
  <c r="AK136" i="5"/>
  <c r="AR134" i="5"/>
  <c r="AQ134" i="5"/>
  <c r="AO134" i="5"/>
  <c r="AN134" i="5"/>
  <c r="AL134" i="5"/>
  <c r="AK134" i="5"/>
  <c r="AR133" i="5"/>
  <c r="AQ133" i="5"/>
  <c r="AO133" i="5"/>
  <c r="AN133" i="5"/>
  <c r="AL133" i="5"/>
  <c r="AK133" i="5"/>
  <c r="AR132" i="5"/>
  <c r="AQ132" i="5"/>
  <c r="AO132" i="5"/>
  <c r="AN132" i="5"/>
  <c r="AL132" i="5"/>
  <c r="AK132" i="5"/>
  <c r="AR130" i="5"/>
  <c r="AQ130" i="5"/>
  <c r="AO130" i="5"/>
  <c r="AN130" i="5"/>
  <c r="AL130" i="5"/>
  <c r="AK130" i="5"/>
  <c r="AR129" i="5"/>
  <c r="AQ129" i="5"/>
  <c r="AO129" i="5"/>
  <c r="AN129" i="5"/>
  <c r="AL129" i="5"/>
  <c r="AK129" i="5"/>
  <c r="AR128" i="5"/>
  <c r="AQ128" i="5"/>
  <c r="AO128" i="5"/>
  <c r="AN128" i="5"/>
  <c r="AL128" i="5"/>
  <c r="AK128" i="5"/>
  <c r="AI138" i="5"/>
  <c r="AH138" i="5"/>
  <c r="AF138" i="5"/>
  <c r="AE138" i="5"/>
  <c r="AC138" i="5"/>
  <c r="AB138" i="5"/>
  <c r="AI137" i="5"/>
  <c r="AH137" i="5"/>
  <c r="AF137" i="5"/>
  <c r="AE137" i="5"/>
  <c r="AC137" i="5"/>
  <c r="AB137" i="5"/>
  <c r="AI136" i="5"/>
  <c r="AH136" i="5"/>
  <c r="AF136" i="5"/>
  <c r="AE136" i="5"/>
  <c r="AC136" i="5"/>
  <c r="AB136" i="5"/>
  <c r="AI134" i="5"/>
  <c r="AH134" i="5"/>
  <c r="AF134" i="5"/>
  <c r="AE134" i="5"/>
  <c r="AC134" i="5"/>
  <c r="AB134" i="5"/>
  <c r="AI133" i="5"/>
  <c r="AH133" i="5"/>
  <c r="AF133" i="5"/>
  <c r="AE133" i="5"/>
  <c r="AC133" i="5"/>
  <c r="AB133" i="5"/>
  <c r="AI132" i="5"/>
  <c r="AH132" i="5"/>
  <c r="AF132" i="5"/>
  <c r="AE132" i="5"/>
  <c r="AC132" i="5"/>
  <c r="AB132" i="5"/>
  <c r="AI130" i="5"/>
  <c r="AH130" i="5"/>
  <c r="AF130" i="5"/>
  <c r="AE130" i="5"/>
  <c r="AC130" i="5"/>
  <c r="AB130" i="5"/>
  <c r="AI129" i="5"/>
  <c r="AH129" i="5"/>
  <c r="AF129" i="5"/>
  <c r="AE129" i="5"/>
  <c r="AC129" i="5"/>
  <c r="AB129" i="5"/>
  <c r="AI128" i="5"/>
  <c r="AH128" i="5"/>
  <c r="AF128" i="5"/>
  <c r="AE128" i="5"/>
  <c r="AC128" i="5"/>
  <c r="AB128" i="5"/>
  <c r="Z138" i="5"/>
  <c r="Y138" i="5"/>
  <c r="Z137" i="5"/>
  <c r="Y137" i="5"/>
  <c r="Z136" i="5"/>
  <c r="Y136" i="5"/>
  <c r="Z134" i="5"/>
  <c r="Y134" i="5"/>
  <c r="Z133" i="5"/>
  <c r="Y133" i="5"/>
  <c r="Z132" i="5"/>
  <c r="Y132" i="5"/>
  <c r="Z130" i="5"/>
  <c r="Y130" i="5"/>
  <c r="Z129" i="5"/>
  <c r="Y129" i="5"/>
  <c r="Z128" i="5"/>
  <c r="Y128" i="5"/>
  <c r="W138" i="5"/>
  <c r="V138" i="5"/>
  <c r="W137" i="5"/>
  <c r="V137" i="5"/>
  <c r="W136" i="5"/>
  <c r="V136" i="5"/>
  <c r="W134" i="5"/>
  <c r="V134" i="5"/>
  <c r="W133" i="5"/>
  <c r="V133" i="5"/>
  <c r="W132" i="5"/>
  <c r="V132" i="5"/>
  <c r="W130" i="5"/>
  <c r="V130" i="5"/>
  <c r="W129" i="5"/>
  <c r="V129" i="5"/>
  <c r="W128" i="5"/>
  <c r="V128" i="5"/>
  <c r="T138" i="5"/>
  <c r="S138" i="5"/>
  <c r="T137" i="5"/>
  <c r="S137" i="5"/>
  <c r="T136" i="5"/>
  <c r="S136" i="5"/>
  <c r="T134" i="5"/>
  <c r="S134" i="5"/>
  <c r="T133" i="5"/>
  <c r="S133" i="5"/>
  <c r="T132" i="5"/>
  <c r="S132" i="5"/>
  <c r="T130" i="5"/>
  <c r="S130" i="5"/>
  <c r="T129" i="5"/>
  <c r="S129" i="5"/>
  <c r="T128" i="5"/>
  <c r="S128" i="5"/>
  <c r="R134" i="5" l="1"/>
  <c r="R132" i="5"/>
  <c r="Q132" i="5"/>
  <c r="Q134" i="5"/>
  <c r="Q136" i="5"/>
  <c r="Q138" i="5"/>
  <c r="Q133" i="5"/>
  <c r="R130" i="5"/>
  <c r="R136" i="5"/>
  <c r="R138" i="5"/>
  <c r="R137" i="5"/>
  <c r="R133" i="5"/>
  <c r="R128" i="5"/>
  <c r="R129" i="5"/>
  <c r="Q137" i="5"/>
  <c r="Q130" i="5"/>
  <c r="Q128" i="5"/>
  <c r="Q129" i="5"/>
  <c r="R98" i="5" l="1"/>
  <c r="R99" i="5"/>
  <c r="R100" i="5"/>
  <c r="R101" i="5"/>
  <c r="R102" i="5"/>
  <c r="R103" i="5"/>
  <c r="R125" i="5"/>
  <c r="Q125" i="5"/>
  <c r="R124" i="5"/>
  <c r="Q124" i="5"/>
  <c r="R123" i="5"/>
  <c r="Q123" i="5"/>
  <c r="R122" i="5"/>
  <c r="Q122" i="5"/>
  <c r="R121" i="5"/>
  <c r="Q121" i="5"/>
  <c r="R120" i="5"/>
  <c r="Q120" i="5"/>
  <c r="R118" i="5"/>
  <c r="Q118" i="5"/>
  <c r="R117" i="5"/>
  <c r="Q117" i="5"/>
  <c r="R116" i="5"/>
  <c r="Q116" i="5"/>
  <c r="R115" i="5"/>
  <c r="Q115" i="5"/>
  <c r="R114" i="5"/>
  <c r="Q114" i="5"/>
  <c r="R113" i="5"/>
  <c r="Q113" i="5"/>
  <c r="R110" i="5"/>
  <c r="Q110" i="5"/>
  <c r="R109" i="5"/>
  <c r="Q109" i="5"/>
  <c r="R108" i="5"/>
  <c r="Q108" i="5"/>
  <c r="R107" i="5"/>
  <c r="Q107" i="5"/>
  <c r="R106" i="5"/>
  <c r="Q106" i="5"/>
  <c r="R105" i="5"/>
  <c r="Q105" i="5"/>
  <c r="Q103" i="5"/>
  <c r="Q102" i="5"/>
  <c r="Q101" i="5"/>
  <c r="Q100" i="5"/>
  <c r="Q99" i="5"/>
  <c r="Q98" i="5"/>
  <c r="R93" i="5" l="1"/>
  <c r="R95" i="5"/>
  <c r="R85" i="5"/>
  <c r="R89" i="5"/>
  <c r="R94" i="5"/>
  <c r="R87" i="5"/>
  <c r="R91" i="5"/>
  <c r="R90" i="5"/>
  <c r="R86" i="5"/>
  <c r="Q95" i="5"/>
  <c r="Q94" i="5"/>
  <c r="Q93" i="5"/>
  <c r="Q89" i="5"/>
  <c r="Q91" i="5"/>
  <c r="Q86" i="5"/>
  <c r="Q87" i="5"/>
  <c r="Q85" i="5"/>
  <c r="Q90" i="5"/>
  <c r="I89" i="5" l="1"/>
  <c r="I1092" i="5" l="1"/>
  <c r="I1093" i="5" l="1"/>
  <c r="I1095" i="5"/>
  <c r="I1094" i="5"/>
  <c r="I90" i="5"/>
  <c r="I95" i="5"/>
  <c r="I94" i="5"/>
  <c r="I93" i="5"/>
  <c r="I91" i="5"/>
  <c r="I87" i="5"/>
  <c r="I86" i="5"/>
  <c r="I85" i="5"/>
  <c r="J1082" i="5" l="1"/>
  <c r="J1089" i="5"/>
  <c r="J1081" i="5"/>
  <c r="J1088" i="5"/>
  <c r="J1080" i="5"/>
  <c r="J1087" i="5"/>
  <c r="J1079" i="5"/>
  <c r="J1086" i="5"/>
  <c r="J1078" i="5"/>
  <c r="J1085" i="5"/>
  <c r="J1084" i="5"/>
  <c r="J1070" i="5" s="1"/>
  <c r="I1082" i="5" l="1"/>
  <c r="I1089" i="5"/>
  <c r="I1081" i="5"/>
  <c r="I1088" i="5"/>
  <c r="I1080" i="5"/>
  <c r="I1087" i="5"/>
  <c r="I1079" i="5"/>
  <c r="I1086" i="5"/>
  <c r="I1078" i="5"/>
  <c r="I1085" i="5"/>
  <c r="I1077" i="5"/>
  <c r="I1084" i="5"/>
  <c r="I1075" i="5" l="1"/>
  <c r="J1075" i="5"/>
  <c r="J1074" i="5"/>
  <c r="J1073" i="5"/>
  <c r="J1072" i="5"/>
  <c r="J1071" i="5"/>
  <c r="I1074" i="5"/>
  <c r="I1073" i="5"/>
  <c r="I1072" i="5"/>
  <c r="I1071" i="5"/>
  <c r="I1070" i="5"/>
  <c r="I899" i="5" l="1"/>
  <c r="J888" i="5" l="1"/>
  <c r="I888" i="5"/>
  <c r="J871" i="5" l="1"/>
  <c r="J867" i="5"/>
  <c r="J870" i="5"/>
  <c r="J869" i="5"/>
  <c r="J872" i="5"/>
  <c r="J868" i="5"/>
  <c r="I870" i="5"/>
  <c r="I872" i="5"/>
  <c r="I869" i="5" l="1"/>
  <c r="I868" i="5"/>
  <c r="I867" i="5"/>
  <c r="I871" i="5"/>
  <c r="J445" i="5" l="1"/>
  <c r="J444" i="5"/>
  <c r="J442" i="5"/>
  <c r="J441" i="5"/>
  <c r="J439" i="5"/>
  <c r="J438" i="5"/>
  <c r="J436" i="5"/>
  <c r="J435" i="5"/>
  <c r="J429" i="5"/>
  <c r="J428" i="5"/>
  <c r="J423" i="5"/>
  <c r="I445" i="5"/>
  <c r="I444" i="5"/>
  <c r="I432" i="5"/>
  <c r="I431" i="5"/>
  <c r="I41" i="8" l="1"/>
  <c r="I136" i="8" l="1"/>
  <c r="I135" i="8"/>
  <c r="I149" i="8"/>
  <c r="I128" i="8" s="1"/>
  <c r="I132" i="8"/>
  <c r="I131" i="8"/>
  <c r="I130" i="8"/>
  <c r="I73" i="9"/>
  <c r="I72" i="9"/>
  <c r="J229" i="9"/>
  <c r="I126" i="8" l="1"/>
  <c r="I127" i="8"/>
  <c r="I810" i="2"/>
  <c r="I804" i="2" s="1"/>
  <c r="J95" i="7" l="1"/>
  <c r="I95" i="7"/>
  <c r="J74" i="7"/>
  <c r="J70" i="7" s="1"/>
  <c r="J73" i="7"/>
  <c r="J69" i="7" s="1"/>
  <c r="J58" i="7"/>
  <c r="J72" i="7"/>
  <c r="J68" i="7" s="1"/>
  <c r="J23" i="7"/>
  <c r="J21" i="7"/>
  <c r="J20" i="7"/>
  <c r="J19" i="7"/>
  <c r="J18" i="7"/>
  <c r="J30" i="7"/>
  <c r="J22" i="7" s="1"/>
  <c r="J25" i="7"/>
  <c r="J17" i="7" s="1"/>
  <c r="I142" i="7"/>
  <c r="J97" i="9" l="1"/>
  <c r="I97" i="9"/>
  <c r="J18" i="9"/>
  <c r="I179" i="9"/>
  <c r="J21" i="9" l="1"/>
  <c r="I21" i="9"/>
  <c r="I55" i="9"/>
  <c r="I18" i="9"/>
  <c r="I323" i="3"/>
  <c r="I322" i="3"/>
  <c r="I317" i="3"/>
  <c r="I362" i="3"/>
  <c r="I359" i="3"/>
  <c r="I309" i="3"/>
  <c r="I321" i="3" l="1"/>
  <c r="I320" i="3" s="1"/>
  <c r="I324" i="3"/>
  <c r="I298" i="3"/>
  <c r="I203" i="3"/>
  <c r="I224" i="3" s="1"/>
  <c r="I215" i="3" s="1"/>
  <c r="I200" i="3"/>
  <c r="I197" i="3"/>
  <c r="I11" i="3"/>
  <c r="I157" i="3"/>
  <c r="I147" i="3"/>
  <c r="I154" i="3"/>
  <c r="I145" i="3"/>
  <c r="I138" i="3"/>
  <c r="I141" i="3"/>
  <c r="I132" i="3"/>
  <c r="I123" i="3"/>
  <c r="I120" i="3"/>
  <c r="I117" i="3"/>
  <c r="I144" i="3" l="1"/>
  <c r="I194" i="3"/>
  <c r="I191" i="3"/>
  <c r="I186" i="3"/>
  <c r="I199" i="3"/>
  <c r="I193" i="3" s="1"/>
  <c r="I216" i="3"/>
  <c r="I385" i="3" s="1"/>
  <c r="I420" i="3" l="1"/>
  <c r="I401" i="3"/>
  <c r="CK393" i="5" l="1"/>
  <c r="CJ393" i="5"/>
  <c r="CH393" i="5"/>
  <c r="CG393" i="5"/>
  <c r="CE393" i="5"/>
  <c r="CD393" i="5"/>
  <c r="CB393" i="5"/>
  <c r="CA393" i="5"/>
  <c r="BY393" i="5"/>
  <c r="BX393" i="5"/>
  <c r="BV393" i="5"/>
  <c r="BU393" i="5"/>
  <c r="BS393" i="5"/>
  <c r="BR393" i="5"/>
  <c r="BP393" i="5"/>
  <c r="BO393" i="5"/>
  <c r="BM393" i="5"/>
  <c r="BL393" i="5"/>
  <c r="BJ393" i="5"/>
  <c r="BI393" i="5"/>
  <c r="BG393" i="5"/>
  <c r="BF393" i="5"/>
  <c r="BD393" i="5"/>
  <c r="BC393" i="5"/>
  <c r="BA393" i="5"/>
  <c r="AZ393" i="5"/>
  <c r="AX393" i="5"/>
  <c r="AW393" i="5"/>
  <c r="AU393" i="5"/>
  <c r="AT393" i="5"/>
  <c r="AR393" i="5"/>
  <c r="AQ393" i="5"/>
  <c r="AO393" i="5"/>
  <c r="AN393" i="5"/>
  <c r="AL393" i="5"/>
  <c r="AK393" i="5"/>
  <c r="AI393" i="5"/>
  <c r="AH393" i="5"/>
  <c r="AF393" i="5"/>
  <c r="AE393" i="5"/>
  <c r="AC393" i="5"/>
  <c r="AB393" i="5"/>
  <c r="Z393" i="5"/>
  <c r="Y393" i="5"/>
  <c r="W393" i="5"/>
  <c r="V393" i="5"/>
  <c r="T393" i="5"/>
  <c r="S393" i="5"/>
  <c r="Q16" i="5"/>
  <c r="Q15" i="5"/>
  <c r="CB10" i="5"/>
  <c r="CH10" i="5"/>
  <c r="R19" i="5"/>
  <c r="Q19" i="5"/>
  <c r="Q18" i="5"/>
  <c r="R17" i="5"/>
  <c r="Q17" i="5"/>
  <c r="R15" i="5"/>
  <c r="CK10" i="5"/>
  <c r="CJ10" i="5"/>
  <c r="CE10" i="5"/>
  <c r="CD10" i="5"/>
  <c r="CA10" i="5"/>
  <c r="BY10" i="5"/>
  <c r="BX10" i="5"/>
  <c r="BV10" i="5"/>
  <c r="BU10" i="5"/>
  <c r="BS10" i="5"/>
  <c r="BR10" i="5"/>
  <c r="BP10" i="5"/>
  <c r="BO10" i="5"/>
  <c r="BM10" i="5"/>
  <c r="BL10" i="5"/>
  <c r="BJ10" i="5"/>
  <c r="BI10" i="5"/>
  <c r="BG10" i="5"/>
  <c r="BF10" i="5"/>
  <c r="BD10" i="5"/>
  <c r="BC10" i="5"/>
  <c r="BA10" i="5"/>
  <c r="AZ10" i="5"/>
  <c r="AX10" i="5"/>
  <c r="AW10" i="5"/>
  <c r="AU10" i="5"/>
  <c r="AT10" i="5"/>
  <c r="AR10" i="5"/>
  <c r="AQ10" i="5"/>
  <c r="AO10" i="5"/>
  <c r="AN10" i="5"/>
  <c r="AL10" i="5"/>
  <c r="AK10" i="5"/>
  <c r="AI10" i="5"/>
  <c r="AH10" i="5"/>
  <c r="AF10" i="5"/>
  <c r="AE10" i="5"/>
  <c r="AC10" i="5"/>
  <c r="AB10" i="5"/>
  <c r="Z10" i="5"/>
  <c r="Y10" i="5"/>
  <c r="W10" i="5"/>
  <c r="V10" i="5"/>
  <c r="T10" i="5"/>
  <c r="S10" i="5"/>
  <c r="CG10" i="5" l="1"/>
  <c r="R393" i="5"/>
  <c r="Q393" i="5"/>
  <c r="Q10" i="5"/>
  <c r="R18" i="5"/>
  <c r="R10" i="5" l="1"/>
  <c r="CK891" i="5"/>
  <c r="CJ891" i="5"/>
  <c r="CH891" i="5"/>
  <c r="CG891" i="5"/>
  <c r="CE891" i="5"/>
  <c r="CD891" i="5"/>
  <c r="CK890" i="5"/>
  <c r="CJ890" i="5"/>
  <c r="CH890" i="5"/>
  <c r="CG890" i="5"/>
  <c r="CE890" i="5"/>
  <c r="CD890" i="5"/>
  <c r="CB891" i="5"/>
  <c r="CA891" i="5"/>
  <c r="BY891" i="5"/>
  <c r="BX891" i="5"/>
  <c r="BV891" i="5"/>
  <c r="BU891" i="5"/>
  <c r="CB890" i="5"/>
  <c r="CA890" i="5"/>
  <c r="BY890" i="5"/>
  <c r="BX890" i="5"/>
  <c r="BV890" i="5"/>
  <c r="BU890" i="5"/>
  <c r="BS891" i="5"/>
  <c r="BR891" i="5"/>
  <c r="BP891" i="5"/>
  <c r="BO891" i="5"/>
  <c r="BM891" i="5"/>
  <c r="BL891" i="5"/>
  <c r="BS890" i="5"/>
  <c r="BR890" i="5"/>
  <c r="BP890" i="5"/>
  <c r="BO890" i="5"/>
  <c r="BM890" i="5"/>
  <c r="BL890" i="5"/>
  <c r="BJ891" i="5"/>
  <c r="BI891" i="5"/>
  <c r="BG891" i="5"/>
  <c r="BF891" i="5"/>
  <c r="BD891" i="5"/>
  <c r="BC891" i="5"/>
  <c r="BJ890" i="5"/>
  <c r="BI890" i="5"/>
  <c r="BG890" i="5"/>
  <c r="BF890" i="5"/>
  <c r="BD890" i="5"/>
  <c r="BC890" i="5"/>
  <c r="BA891" i="5"/>
  <c r="AZ891" i="5"/>
  <c r="AX891" i="5"/>
  <c r="AW891" i="5"/>
  <c r="AU891" i="5"/>
  <c r="AT891" i="5"/>
  <c r="BA890" i="5"/>
  <c r="AZ890" i="5"/>
  <c r="AX890" i="5"/>
  <c r="AW890" i="5"/>
  <c r="AU890" i="5"/>
  <c r="AT890" i="5"/>
  <c r="AR891" i="5"/>
  <c r="AQ891" i="5"/>
  <c r="AO891" i="5"/>
  <c r="AN891" i="5"/>
  <c r="AL891" i="5"/>
  <c r="AK891" i="5"/>
  <c r="AR890" i="5"/>
  <c r="AQ890" i="5"/>
  <c r="AO890" i="5"/>
  <c r="AN890" i="5"/>
  <c r="AL890" i="5"/>
  <c r="AK890" i="5"/>
  <c r="AI891" i="5"/>
  <c r="AH891" i="5"/>
  <c r="AF891" i="5"/>
  <c r="AE891" i="5"/>
  <c r="AC891" i="5"/>
  <c r="AB891" i="5"/>
  <c r="AI890" i="5"/>
  <c r="AH890" i="5"/>
  <c r="AF890" i="5"/>
  <c r="AE890" i="5"/>
  <c r="AC890" i="5"/>
  <c r="AB890" i="5"/>
  <c r="Z891" i="5"/>
  <c r="Y891" i="5"/>
  <c r="Z890" i="5"/>
  <c r="Y890" i="5"/>
  <c r="W891" i="5"/>
  <c r="V891" i="5"/>
  <c r="W890" i="5"/>
  <c r="V890" i="5"/>
  <c r="T891" i="5"/>
  <c r="S891" i="5"/>
  <c r="T890" i="5"/>
  <c r="S890" i="5"/>
  <c r="R891" i="5"/>
  <c r="Q891" i="5"/>
  <c r="R890" i="5"/>
  <c r="Q890" i="5"/>
  <c r="R906" i="5" l="1"/>
  <c r="Q906" i="5"/>
  <c r="R905" i="5"/>
  <c r="Q905" i="5"/>
  <c r="R903" i="5"/>
  <c r="Q903" i="5"/>
  <c r="R902" i="5"/>
  <c r="Q902" i="5"/>
  <c r="CK900" i="5"/>
  <c r="CJ900" i="5"/>
  <c r="CH900" i="5"/>
  <c r="CG900" i="5"/>
  <c r="CE900" i="5"/>
  <c r="CD900" i="5"/>
  <c r="CK899" i="5"/>
  <c r="CJ899" i="5"/>
  <c r="CH899" i="5"/>
  <c r="CG899" i="5"/>
  <c r="CE899" i="5"/>
  <c r="CD899" i="5"/>
  <c r="CB900" i="5"/>
  <c r="CA900" i="5"/>
  <c r="BY900" i="5"/>
  <c r="BX900" i="5"/>
  <c r="BV900" i="5"/>
  <c r="BU900" i="5"/>
  <c r="CB899" i="5"/>
  <c r="CA899" i="5"/>
  <c r="BY899" i="5"/>
  <c r="BX899" i="5"/>
  <c r="BV899" i="5"/>
  <c r="BU899" i="5"/>
  <c r="BS900" i="5"/>
  <c r="BR900" i="5"/>
  <c r="BP900" i="5"/>
  <c r="BO900" i="5"/>
  <c r="BM900" i="5"/>
  <c r="BL900" i="5"/>
  <c r="BS899" i="5"/>
  <c r="BR899" i="5"/>
  <c r="BP899" i="5"/>
  <c r="BO899" i="5"/>
  <c r="BM899" i="5"/>
  <c r="BL899" i="5"/>
  <c r="BJ900" i="5"/>
  <c r="BI900" i="5"/>
  <c r="BG900" i="5"/>
  <c r="BF900" i="5"/>
  <c r="BD900" i="5"/>
  <c r="BC900" i="5"/>
  <c r="BJ899" i="5"/>
  <c r="BI899" i="5"/>
  <c r="BG899" i="5"/>
  <c r="BF899" i="5"/>
  <c r="BD899" i="5"/>
  <c r="BC899" i="5"/>
  <c r="BA900" i="5"/>
  <c r="AZ900" i="5"/>
  <c r="AX900" i="5"/>
  <c r="AW900" i="5"/>
  <c r="AU900" i="5"/>
  <c r="AT900" i="5"/>
  <c r="BA899" i="5"/>
  <c r="AZ899" i="5"/>
  <c r="AX899" i="5"/>
  <c r="AW899" i="5"/>
  <c r="AU899" i="5"/>
  <c r="AT899" i="5"/>
  <c r="AR900" i="5"/>
  <c r="AQ900" i="5"/>
  <c r="AO900" i="5"/>
  <c r="AN900" i="5"/>
  <c r="AL900" i="5"/>
  <c r="AK900" i="5"/>
  <c r="AR899" i="5"/>
  <c r="AQ899" i="5"/>
  <c r="AO899" i="5"/>
  <c r="AN899" i="5"/>
  <c r="AL899" i="5"/>
  <c r="AK899" i="5"/>
  <c r="AI900" i="5"/>
  <c r="AH900" i="5"/>
  <c r="AF900" i="5"/>
  <c r="AE900" i="5"/>
  <c r="AC900" i="5"/>
  <c r="AB900" i="5"/>
  <c r="AI899" i="5"/>
  <c r="AH899" i="5"/>
  <c r="AF899" i="5"/>
  <c r="AE899" i="5"/>
  <c r="AC899" i="5"/>
  <c r="AB899" i="5"/>
  <c r="Z900" i="5"/>
  <c r="Y900" i="5"/>
  <c r="Z899" i="5"/>
  <c r="Y899" i="5"/>
  <c r="W900" i="5"/>
  <c r="V900" i="5"/>
  <c r="W899" i="5"/>
  <c r="V899" i="5"/>
  <c r="T900" i="5"/>
  <c r="S900" i="5"/>
  <c r="T899" i="5"/>
  <c r="S899" i="5"/>
  <c r="Q900" i="5" l="1"/>
  <c r="R899" i="5"/>
  <c r="Q899" i="5"/>
  <c r="R900" i="5"/>
  <c r="CK1177" i="5"/>
  <c r="CJ1177" i="5"/>
  <c r="CH1177" i="5"/>
  <c r="CG1177" i="5"/>
  <c r="CE1177" i="5"/>
  <c r="CD1177" i="5"/>
  <c r="CB1177" i="5"/>
  <c r="CA1177" i="5"/>
  <c r="BY1177" i="5"/>
  <c r="BX1177" i="5"/>
  <c r="BV1177" i="5"/>
  <c r="BU1177" i="5"/>
  <c r="BS1177" i="5"/>
  <c r="BR1177" i="5"/>
  <c r="BP1177" i="5"/>
  <c r="BO1177" i="5"/>
  <c r="BM1177" i="5"/>
  <c r="BL1177" i="5"/>
  <c r="BJ1177" i="5"/>
  <c r="BI1177" i="5"/>
  <c r="BG1177" i="5"/>
  <c r="BF1177" i="5"/>
  <c r="BD1177" i="5"/>
  <c r="BC1177" i="5"/>
  <c r="BA1177" i="5"/>
  <c r="AZ1177" i="5"/>
  <c r="AX1177" i="5"/>
  <c r="AW1177" i="5"/>
  <c r="AU1177" i="5"/>
  <c r="AT1177" i="5"/>
  <c r="AR1177" i="5"/>
  <c r="AQ1177" i="5"/>
  <c r="AO1177" i="5"/>
  <c r="AN1177" i="5"/>
  <c r="AL1177" i="5"/>
  <c r="AK1177" i="5"/>
  <c r="AI1177" i="5"/>
  <c r="AH1177" i="5"/>
  <c r="AF1177" i="5"/>
  <c r="AE1177" i="5"/>
  <c r="AC1177" i="5"/>
  <c r="AB1177" i="5"/>
  <c r="Z1177" i="5"/>
  <c r="Y1177" i="5"/>
  <c r="W1177" i="5"/>
  <c r="V1177" i="5"/>
  <c r="T1177" i="5"/>
  <c r="R1174" i="5"/>
  <c r="Q1174" i="5"/>
  <c r="R1173" i="5"/>
  <c r="Q1173" i="5"/>
  <c r="R1172" i="5"/>
  <c r="Q1172" i="5"/>
  <c r="R1171" i="5"/>
  <c r="Q1171" i="5"/>
  <c r="R1170" i="5"/>
  <c r="Q1170" i="5"/>
  <c r="R1169" i="5"/>
  <c r="Q1169" i="5"/>
  <c r="R1168" i="5"/>
  <c r="Q1168" i="5"/>
  <c r="R1167" i="5"/>
  <c r="Q1167" i="5"/>
  <c r="R1166" i="5"/>
  <c r="Q1166" i="5"/>
  <c r="R1161" i="5"/>
  <c r="Q1161" i="5"/>
  <c r="R1160" i="5"/>
  <c r="Q1160" i="5"/>
  <c r="R1159" i="5"/>
  <c r="Q1159" i="5"/>
  <c r="R1158" i="5"/>
  <c r="Q1158" i="5"/>
  <c r="R1157" i="5"/>
  <c r="Q1157" i="5"/>
  <c r="R1156" i="5"/>
  <c r="Q1156" i="5"/>
  <c r="R1155" i="5"/>
  <c r="Q1155" i="5"/>
  <c r="R1154" i="5"/>
  <c r="Q1154" i="5"/>
  <c r="R1153" i="5"/>
  <c r="Q1153" i="5"/>
  <c r="CK1164" i="5"/>
  <c r="CJ1164" i="5"/>
  <c r="CH1164" i="5"/>
  <c r="CG1164" i="5"/>
  <c r="CE1164" i="5"/>
  <c r="CD1164" i="5"/>
  <c r="CB1164" i="5"/>
  <c r="CA1164" i="5"/>
  <c r="BY1164" i="5"/>
  <c r="BX1164" i="5"/>
  <c r="BV1164" i="5"/>
  <c r="BU1164" i="5"/>
  <c r="BS1164" i="5"/>
  <c r="BR1164" i="5"/>
  <c r="BP1164" i="5"/>
  <c r="BO1164" i="5"/>
  <c r="BM1164" i="5"/>
  <c r="BL1164" i="5"/>
  <c r="BJ1164" i="5"/>
  <c r="BI1164" i="5"/>
  <c r="BG1164" i="5"/>
  <c r="BF1164" i="5"/>
  <c r="BD1164" i="5"/>
  <c r="BC1164" i="5"/>
  <c r="BA1164" i="5"/>
  <c r="AZ1164" i="5"/>
  <c r="AX1164" i="5"/>
  <c r="AW1164" i="5"/>
  <c r="AU1164" i="5"/>
  <c r="AT1164" i="5"/>
  <c r="AR1164" i="5"/>
  <c r="AQ1164" i="5"/>
  <c r="AO1164" i="5"/>
  <c r="AN1164" i="5"/>
  <c r="AL1164" i="5"/>
  <c r="AK1164" i="5"/>
  <c r="AI1164" i="5"/>
  <c r="AH1164" i="5"/>
  <c r="AF1164" i="5"/>
  <c r="AE1164" i="5"/>
  <c r="AC1164" i="5"/>
  <c r="AB1164" i="5"/>
  <c r="Z1164" i="5"/>
  <c r="Y1164" i="5"/>
  <c r="W1164" i="5"/>
  <c r="V1164" i="5"/>
  <c r="T1164" i="5"/>
  <c r="S1164" i="5"/>
  <c r="I1164" i="5"/>
  <c r="M1137" i="5" s="1"/>
  <c r="K1137" i="5" l="1"/>
  <c r="L1137" i="5"/>
  <c r="R1177" i="5"/>
  <c r="R1148" i="5" s="1"/>
  <c r="Q1177" i="5"/>
  <c r="Q1148" i="5" s="1"/>
  <c r="Y1135" i="5"/>
  <c r="Y1133" i="5"/>
  <c r="Y1131" i="5"/>
  <c r="Y1129" i="5"/>
  <c r="Y1136" i="5"/>
  <c r="Y1132" i="5"/>
  <c r="Y1134" i="5"/>
  <c r="Y1130" i="5"/>
  <c r="AK1135" i="5"/>
  <c r="AK1134" i="5"/>
  <c r="AK1133" i="5"/>
  <c r="AK1132" i="5"/>
  <c r="AK1131" i="5"/>
  <c r="AK1130" i="5"/>
  <c r="AK1129" i="5"/>
  <c r="AK1136" i="5"/>
  <c r="AW1132" i="5"/>
  <c r="AW1131" i="5"/>
  <c r="AW1130" i="5"/>
  <c r="AW1129" i="5"/>
  <c r="AW1135" i="5"/>
  <c r="AW1133" i="5"/>
  <c r="AW1136" i="5"/>
  <c r="AW1134" i="5"/>
  <c r="BI1136" i="5"/>
  <c r="BI1129" i="5"/>
  <c r="BI1135" i="5"/>
  <c r="BI1134" i="5"/>
  <c r="BI1132" i="5"/>
  <c r="BI1130" i="5"/>
  <c r="BI1133" i="5"/>
  <c r="BI1131" i="5"/>
  <c r="BU1135" i="5"/>
  <c r="BU1134" i="5"/>
  <c r="BU1133" i="5"/>
  <c r="BU1132" i="5"/>
  <c r="BU1131" i="5"/>
  <c r="BU1136" i="5"/>
  <c r="BU1129" i="5"/>
  <c r="BU1130" i="5"/>
  <c r="CG1132" i="5"/>
  <c r="CG1131" i="5"/>
  <c r="CG1130" i="5"/>
  <c r="CG1129" i="5"/>
  <c r="CG1135" i="5"/>
  <c r="CG1133" i="5"/>
  <c r="CG1136" i="5"/>
  <c r="CG1134" i="5"/>
  <c r="Y1148" i="5"/>
  <c r="Y1146" i="5"/>
  <c r="Y1144" i="5"/>
  <c r="Y1142" i="5"/>
  <c r="Y1145" i="5"/>
  <c r="Y1147" i="5"/>
  <c r="Y1141" i="5"/>
  <c r="Y1143" i="5"/>
  <c r="AE1147" i="5"/>
  <c r="AE1145" i="5"/>
  <c r="AE1143" i="5"/>
  <c r="AE1141" i="5"/>
  <c r="AE1142" i="5"/>
  <c r="AE1148" i="5"/>
  <c r="AE1146" i="5"/>
  <c r="AE1144" i="5"/>
  <c r="AK1148" i="5"/>
  <c r="AK1146" i="5"/>
  <c r="AK1144" i="5"/>
  <c r="AK1142" i="5"/>
  <c r="AK1145" i="5"/>
  <c r="AK1143" i="5"/>
  <c r="AK1141" i="5"/>
  <c r="AK1147" i="5"/>
  <c r="AQ1148" i="5"/>
  <c r="AQ1146" i="5"/>
  <c r="AQ1144" i="5"/>
  <c r="AQ1142" i="5"/>
  <c r="AQ1147" i="5"/>
  <c r="AQ1145" i="5"/>
  <c r="AQ1143" i="5"/>
  <c r="AQ1141" i="5"/>
  <c r="AW1147" i="5"/>
  <c r="AW1145" i="5"/>
  <c r="AW1143" i="5"/>
  <c r="AW1141" i="5"/>
  <c r="AW1142" i="5"/>
  <c r="AW1148" i="5"/>
  <c r="AW1146" i="5"/>
  <c r="AW1144" i="5"/>
  <c r="BC1148" i="5"/>
  <c r="BC1146" i="5"/>
  <c r="BC1144" i="5"/>
  <c r="BC1142" i="5"/>
  <c r="BC1145" i="5"/>
  <c r="BC1143" i="5"/>
  <c r="BC1141" i="5"/>
  <c r="BC1147" i="5"/>
  <c r="BI1148" i="5"/>
  <c r="BI1146" i="5"/>
  <c r="BI1144" i="5"/>
  <c r="BI1142" i="5"/>
  <c r="BI1147" i="5"/>
  <c r="BI1145" i="5"/>
  <c r="BI1143" i="5"/>
  <c r="BI1141" i="5"/>
  <c r="BO1147" i="5"/>
  <c r="BO1145" i="5"/>
  <c r="BO1143" i="5"/>
  <c r="BO1141" i="5"/>
  <c r="BO1142" i="5"/>
  <c r="BO1148" i="5"/>
  <c r="BO1146" i="5"/>
  <c r="BO1144" i="5"/>
  <c r="BU1148" i="5"/>
  <c r="BU1146" i="5"/>
  <c r="BU1144" i="5"/>
  <c r="BU1142" i="5"/>
  <c r="BU1145" i="5"/>
  <c r="BU1143" i="5"/>
  <c r="BU1141" i="5"/>
  <c r="BU1147" i="5"/>
  <c r="CA1148" i="5"/>
  <c r="CA1146" i="5"/>
  <c r="CA1144" i="5"/>
  <c r="CA1142" i="5"/>
  <c r="CA1147" i="5"/>
  <c r="CA1145" i="5"/>
  <c r="CA1143" i="5"/>
  <c r="CA1141" i="5"/>
  <c r="CG1147" i="5"/>
  <c r="CG1145" i="5"/>
  <c r="CG1143" i="5"/>
  <c r="CG1141" i="5"/>
  <c r="CG1142" i="5"/>
  <c r="CG1148" i="5"/>
  <c r="CG1146" i="5"/>
  <c r="CG1144" i="5"/>
  <c r="T1135" i="5"/>
  <c r="T1133" i="5"/>
  <c r="T1131" i="5"/>
  <c r="T1129" i="5"/>
  <c r="T1136" i="5"/>
  <c r="T1132" i="5"/>
  <c r="T1134" i="5"/>
  <c r="T1130" i="5"/>
  <c r="Z1135" i="5"/>
  <c r="Z1133" i="5"/>
  <c r="Z1131" i="5"/>
  <c r="Z1129" i="5"/>
  <c r="Z1136" i="5"/>
  <c r="Z1132" i="5"/>
  <c r="Z1134" i="5"/>
  <c r="Z1130" i="5"/>
  <c r="AF1136" i="5"/>
  <c r="AF1134" i="5"/>
  <c r="AF1132" i="5"/>
  <c r="AF1130" i="5"/>
  <c r="AF1135" i="5"/>
  <c r="AF1131" i="5"/>
  <c r="AF1133" i="5"/>
  <c r="AF1129" i="5"/>
  <c r="AL1135" i="5"/>
  <c r="AL1134" i="5"/>
  <c r="AL1133" i="5"/>
  <c r="AL1132" i="5"/>
  <c r="AL1131" i="5"/>
  <c r="AL1130" i="5"/>
  <c r="AL1129" i="5"/>
  <c r="AL1136" i="5"/>
  <c r="AR1136" i="5"/>
  <c r="AR1134" i="5"/>
  <c r="AR1132" i="5"/>
  <c r="AR1130" i="5"/>
  <c r="AR1133" i="5"/>
  <c r="AR1135" i="5"/>
  <c r="AR1129" i="5"/>
  <c r="AR1131" i="5"/>
  <c r="AX1135" i="5"/>
  <c r="AX1133" i="5"/>
  <c r="AX1131" i="5"/>
  <c r="AX1129" i="5"/>
  <c r="AX1130" i="5"/>
  <c r="AX1136" i="5"/>
  <c r="AX1134" i="5"/>
  <c r="AX1132" i="5"/>
  <c r="BD1136" i="5"/>
  <c r="BD1134" i="5"/>
  <c r="BD1132" i="5"/>
  <c r="BD1130" i="5"/>
  <c r="BD1133" i="5"/>
  <c r="BD1131" i="5"/>
  <c r="BD1129" i="5"/>
  <c r="BD1135" i="5"/>
  <c r="BJ1136" i="5"/>
  <c r="BJ1134" i="5"/>
  <c r="BJ1132" i="5"/>
  <c r="BJ1130" i="5"/>
  <c r="BJ1135" i="5"/>
  <c r="BJ1133" i="5"/>
  <c r="BJ1131" i="5"/>
  <c r="BJ1129" i="5"/>
  <c r="BP1135" i="5"/>
  <c r="BP1133" i="5"/>
  <c r="BP1131" i="5"/>
  <c r="BP1129" i="5"/>
  <c r="BP1130" i="5"/>
  <c r="BP1136" i="5"/>
  <c r="BP1134" i="5"/>
  <c r="BP1132" i="5"/>
  <c r="BV1136" i="5"/>
  <c r="BV1134" i="5"/>
  <c r="BV1132" i="5"/>
  <c r="BV1130" i="5"/>
  <c r="BV1133" i="5"/>
  <c r="BV1131" i="5"/>
  <c r="BV1129" i="5"/>
  <c r="BV1135" i="5"/>
  <c r="CB1136" i="5"/>
  <c r="CB1134" i="5"/>
  <c r="CB1132" i="5"/>
  <c r="CB1130" i="5"/>
  <c r="CB1135" i="5"/>
  <c r="CB1133" i="5"/>
  <c r="CB1131" i="5"/>
  <c r="CB1129" i="5"/>
  <c r="CH1135" i="5"/>
  <c r="CH1133" i="5"/>
  <c r="CH1131" i="5"/>
  <c r="CH1129" i="5"/>
  <c r="CH1130" i="5"/>
  <c r="CH1136" i="5"/>
  <c r="CH1134" i="5"/>
  <c r="CH1132" i="5"/>
  <c r="T1147" i="5"/>
  <c r="T1142" i="5"/>
  <c r="T1144" i="5"/>
  <c r="T1141" i="5"/>
  <c r="T1146" i="5"/>
  <c r="T1145" i="5"/>
  <c r="T1143" i="5"/>
  <c r="T1148" i="5"/>
  <c r="Z1147" i="5"/>
  <c r="Z1142" i="5"/>
  <c r="Z1144" i="5"/>
  <c r="Z1141" i="5"/>
  <c r="Z1146" i="5"/>
  <c r="Z1145" i="5"/>
  <c r="Z1143" i="5"/>
  <c r="Z1148" i="5"/>
  <c r="AF1148" i="5"/>
  <c r="AF1141" i="5"/>
  <c r="AF1147" i="5"/>
  <c r="AF1146" i="5"/>
  <c r="AF1145" i="5"/>
  <c r="AF1143" i="5"/>
  <c r="AF1144" i="5"/>
  <c r="AF1142" i="5"/>
  <c r="AL1144" i="5"/>
  <c r="AL1143" i="5"/>
  <c r="AL1142" i="5"/>
  <c r="AL1141" i="5"/>
  <c r="AL1148" i="5"/>
  <c r="AL1146" i="5"/>
  <c r="AL1147" i="5"/>
  <c r="AL1145" i="5"/>
  <c r="AR1146" i="5"/>
  <c r="AR1145" i="5"/>
  <c r="AR1144" i="5"/>
  <c r="AR1143" i="5"/>
  <c r="AR1142" i="5"/>
  <c r="AR1147" i="5"/>
  <c r="AR1141" i="5"/>
  <c r="AR1148" i="5"/>
  <c r="AX1148" i="5"/>
  <c r="AX1141" i="5"/>
  <c r="AX1147" i="5"/>
  <c r="AX1146" i="5"/>
  <c r="AX1145" i="5"/>
  <c r="AX1143" i="5"/>
  <c r="AX1144" i="5"/>
  <c r="AX1142" i="5"/>
  <c r="BD1144" i="5"/>
  <c r="BD1143" i="5"/>
  <c r="BD1142" i="5"/>
  <c r="BD1141" i="5"/>
  <c r="BD1148" i="5"/>
  <c r="BD1146" i="5"/>
  <c r="BD1147" i="5"/>
  <c r="BD1145" i="5"/>
  <c r="BJ1146" i="5"/>
  <c r="BJ1145" i="5"/>
  <c r="BJ1144" i="5"/>
  <c r="BJ1143" i="5"/>
  <c r="BJ1142" i="5"/>
  <c r="BJ1147" i="5"/>
  <c r="BJ1141" i="5"/>
  <c r="BJ1148" i="5"/>
  <c r="BP1148" i="5"/>
  <c r="BP1141" i="5"/>
  <c r="BP1147" i="5"/>
  <c r="BP1146" i="5"/>
  <c r="BP1145" i="5"/>
  <c r="BP1143" i="5"/>
  <c r="BP1144" i="5"/>
  <c r="BP1142" i="5"/>
  <c r="BV1144" i="5"/>
  <c r="BV1143" i="5"/>
  <c r="BV1142" i="5"/>
  <c r="BV1141" i="5"/>
  <c r="BV1148" i="5"/>
  <c r="BV1146" i="5"/>
  <c r="BV1147" i="5"/>
  <c r="BV1145" i="5"/>
  <c r="CB1146" i="5"/>
  <c r="CB1145" i="5"/>
  <c r="CB1144" i="5"/>
  <c r="CB1143" i="5"/>
  <c r="CB1148" i="5"/>
  <c r="CB1142" i="5"/>
  <c r="CB1147" i="5"/>
  <c r="CB1141" i="5"/>
  <c r="CH1148" i="5"/>
  <c r="CH1141" i="5"/>
  <c r="CH1147" i="5"/>
  <c r="CH1146" i="5"/>
  <c r="CH1145" i="5"/>
  <c r="CH1144" i="5"/>
  <c r="CH1143" i="5"/>
  <c r="CH1142" i="5"/>
  <c r="V1135" i="5"/>
  <c r="V1133" i="5"/>
  <c r="V1131" i="5"/>
  <c r="V1129" i="5"/>
  <c r="V1136" i="5"/>
  <c r="V1132" i="5"/>
  <c r="V1134" i="5"/>
  <c r="V1130" i="5"/>
  <c r="AB1135" i="5"/>
  <c r="AB1133" i="5"/>
  <c r="AB1131" i="5"/>
  <c r="AB1129" i="5"/>
  <c r="AB1134" i="5"/>
  <c r="AB1130" i="5"/>
  <c r="AB1136" i="5"/>
  <c r="AB1132" i="5"/>
  <c r="AH1135" i="5"/>
  <c r="AH1133" i="5"/>
  <c r="AH1131" i="5"/>
  <c r="AH1129" i="5"/>
  <c r="AH1136" i="5"/>
  <c r="AH1132" i="5"/>
  <c r="AH1134" i="5"/>
  <c r="AH1130" i="5"/>
  <c r="AN1136" i="5"/>
  <c r="AN1134" i="5"/>
  <c r="AN1132" i="5"/>
  <c r="AN1130" i="5"/>
  <c r="AN1135" i="5"/>
  <c r="AN1133" i="5"/>
  <c r="AN1131" i="5"/>
  <c r="AN1129" i="5"/>
  <c r="AT1135" i="5"/>
  <c r="AT1134" i="5"/>
  <c r="AT1133" i="5"/>
  <c r="AT1132" i="5"/>
  <c r="AT1130" i="5"/>
  <c r="AT1131" i="5"/>
  <c r="AT1136" i="5"/>
  <c r="AT1129" i="5"/>
  <c r="AZ1136" i="5"/>
  <c r="AZ1129" i="5"/>
  <c r="AZ1135" i="5"/>
  <c r="AZ1134" i="5"/>
  <c r="AZ1133" i="5"/>
  <c r="AZ1131" i="5"/>
  <c r="AZ1132" i="5"/>
  <c r="AZ1130" i="5"/>
  <c r="BF1132" i="5"/>
  <c r="BF1131" i="5"/>
  <c r="BF1130" i="5"/>
  <c r="BF1129" i="5"/>
  <c r="BF1136" i="5"/>
  <c r="BF1134" i="5"/>
  <c r="BF1135" i="5"/>
  <c r="BF1133" i="5"/>
  <c r="BL1135" i="5"/>
  <c r="BL1134" i="5"/>
  <c r="BL1133" i="5"/>
  <c r="BL1132" i="5"/>
  <c r="BL1130" i="5"/>
  <c r="BL1131" i="5"/>
  <c r="BL1136" i="5"/>
  <c r="BL1129" i="5"/>
  <c r="BR1136" i="5"/>
  <c r="BR1129" i="5"/>
  <c r="BR1135" i="5"/>
  <c r="BR1134" i="5"/>
  <c r="BR1133" i="5"/>
  <c r="BR1131" i="5"/>
  <c r="BR1132" i="5"/>
  <c r="BR1130" i="5"/>
  <c r="BX1132" i="5"/>
  <c r="BX1131" i="5"/>
  <c r="BX1130" i="5"/>
  <c r="BX1129" i="5"/>
  <c r="BX1136" i="5"/>
  <c r="BX1134" i="5"/>
  <c r="BX1135" i="5"/>
  <c r="BX1133" i="5"/>
  <c r="CD1135" i="5"/>
  <c r="CD1134" i="5"/>
  <c r="CD1133" i="5"/>
  <c r="CD1132" i="5"/>
  <c r="CD1130" i="5"/>
  <c r="CD1131" i="5"/>
  <c r="CD1136" i="5"/>
  <c r="CD1129" i="5"/>
  <c r="CJ1136" i="5"/>
  <c r="CJ1129" i="5"/>
  <c r="CJ1135" i="5"/>
  <c r="CJ1134" i="5"/>
  <c r="CJ1133" i="5"/>
  <c r="CJ1131" i="5"/>
  <c r="CJ1132" i="5"/>
  <c r="CJ1130" i="5"/>
  <c r="V1148" i="5"/>
  <c r="V1146" i="5"/>
  <c r="V1144" i="5"/>
  <c r="V1142" i="5"/>
  <c r="V1145" i="5"/>
  <c r="V1147" i="5"/>
  <c r="V1143" i="5"/>
  <c r="V1141" i="5"/>
  <c r="AB1148" i="5"/>
  <c r="AB1146" i="5"/>
  <c r="AB1144" i="5"/>
  <c r="AB1142" i="5"/>
  <c r="AB1145" i="5"/>
  <c r="AB1143" i="5"/>
  <c r="AB1147" i="5"/>
  <c r="AB1141" i="5"/>
  <c r="AH1148" i="5"/>
  <c r="AH1146" i="5"/>
  <c r="AH1144" i="5"/>
  <c r="AH1142" i="5"/>
  <c r="AH1147" i="5"/>
  <c r="AH1145" i="5"/>
  <c r="AH1143" i="5"/>
  <c r="AH1141" i="5"/>
  <c r="AN1147" i="5"/>
  <c r="AN1145" i="5"/>
  <c r="AN1143" i="5"/>
  <c r="AN1141" i="5"/>
  <c r="AN1142" i="5"/>
  <c r="AN1148" i="5"/>
  <c r="AN1146" i="5"/>
  <c r="AN1144" i="5"/>
  <c r="AT1148" i="5"/>
  <c r="AT1146" i="5"/>
  <c r="AT1144" i="5"/>
  <c r="AT1142" i="5"/>
  <c r="AT1145" i="5"/>
  <c r="AT1143" i="5"/>
  <c r="AT1147" i="5"/>
  <c r="AT1141" i="5"/>
  <c r="AZ1148" i="5"/>
  <c r="AZ1146" i="5"/>
  <c r="AZ1144" i="5"/>
  <c r="AZ1142" i="5"/>
  <c r="AZ1147" i="5"/>
  <c r="AZ1145" i="5"/>
  <c r="AZ1143" i="5"/>
  <c r="AZ1141" i="5"/>
  <c r="BF1147" i="5"/>
  <c r="BF1145" i="5"/>
  <c r="BF1143" i="5"/>
  <c r="BF1141" i="5"/>
  <c r="BF1142" i="5"/>
  <c r="BF1148" i="5"/>
  <c r="BF1146" i="5"/>
  <c r="BF1144" i="5"/>
  <c r="BL1148" i="5"/>
  <c r="BL1146" i="5"/>
  <c r="BL1144" i="5"/>
  <c r="BL1142" i="5"/>
  <c r="BL1145" i="5"/>
  <c r="BL1143" i="5"/>
  <c r="BL1147" i="5"/>
  <c r="BL1141" i="5"/>
  <c r="BR1148" i="5"/>
  <c r="BR1146" i="5"/>
  <c r="BR1144" i="5"/>
  <c r="BR1142" i="5"/>
  <c r="BR1147" i="5"/>
  <c r="BR1145" i="5"/>
  <c r="BR1143" i="5"/>
  <c r="BR1141" i="5"/>
  <c r="BX1147" i="5"/>
  <c r="BX1145" i="5"/>
  <c r="BX1143" i="5"/>
  <c r="BX1141" i="5"/>
  <c r="BX1142" i="5"/>
  <c r="BX1148" i="5"/>
  <c r="BX1146" i="5"/>
  <c r="BX1144" i="5"/>
  <c r="CD1148" i="5"/>
  <c r="CD1146" i="5"/>
  <c r="CD1144" i="5"/>
  <c r="CD1142" i="5"/>
  <c r="CD1145" i="5"/>
  <c r="CD1143" i="5"/>
  <c r="CD1141" i="5"/>
  <c r="CD1147" i="5"/>
  <c r="CJ1148" i="5"/>
  <c r="CJ1146" i="5"/>
  <c r="CJ1144" i="5"/>
  <c r="CJ1142" i="5"/>
  <c r="CJ1147" i="5"/>
  <c r="CJ1145" i="5"/>
  <c r="CJ1143" i="5"/>
  <c r="CJ1141" i="5"/>
  <c r="S1135" i="5"/>
  <c r="S1133" i="5"/>
  <c r="S1131" i="5"/>
  <c r="S1129" i="5"/>
  <c r="S1136" i="5"/>
  <c r="S1132" i="5"/>
  <c r="S1134" i="5"/>
  <c r="S1130" i="5"/>
  <c r="AE1136" i="5"/>
  <c r="AE1134" i="5"/>
  <c r="AE1132" i="5"/>
  <c r="AE1130" i="5"/>
  <c r="AE1135" i="5"/>
  <c r="AE1131" i="5"/>
  <c r="AE1133" i="5"/>
  <c r="AE1129" i="5"/>
  <c r="AQ1136" i="5"/>
  <c r="AQ1131" i="5"/>
  <c r="AQ1133" i="5"/>
  <c r="AQ1130" i="5"/>
  <c r="AQ1135" i="5"/>
  <c r="AQ1134" i="5"/>
  <c r="AQ1129" i="5"/>
  <c r="AQ1132" i="5"/>
  <c r="BC1135" i="5"/>
  <c r="BC1134" i="5"/>
  <c r="BC1133" i="5"/>
  <c r="BC1132" i="5"/>
  <c r="BC1131" i="5"/>
  <c r="BC1136" i="5"/>
  <c r="BC1129" i="5"/>
  <c r="BC1130" i="5"/>
  <c r="BO1132" i="5"/>
  <c r="BO1131" i="5"/>
  <c r="BO1130" i="5"/>
  <c r="BO1129" i="5"/>
  <c r="BO1135" i="5"/>
  <c r="BO1133" i="5"/>
  <c r="BO1136" i="5"/>
  <c r="BO1134" i="5"/>
  <c r="CA1136" i="5"/>
  <c r="CA1129" i="5"/>
  <c r="CA1135" i="5"/>
  <c r="CA1134" i="5"/>
  <c r="CA1132" i="5"/>
  <c r="CA1130" i="5"/>
  <c r="CA1133" i="5"/>
  <c r="CA1131" i="5"/>
  <c r="S1148" i="5"/>
  <c r="S1146" i="5"/>
  <c r="S1144" i="5"/>
  <c r="S1142" i="5"/>
  <c r="S1145" i="5"/>
  <c r="S1147" i="5"/>
  <c r="S1141" i="5"/>
  <c r="S1143" i="5"/>
  <c r="W1135" i="5"/>
  <c r="W1133" i="5"/>
  <c r="W1131" i="5"/>
  <c r="W1129" i="5"/>
  <c r="W1136" i="5"/>
  <c r="W1132" i="5"/>
  <c r="W1134" i="5"/>
  <c r="W1130" i="5"/>
  <c r="AC1135" i="5"/>
  <c r="AC1133" i="5"/>
  <c r="AC1131" i="5"/>
  <c r="AC1129" i="5"/>
  <c r="AC1134" i="5"/>
  <c r="AC1130" i="5"/>
  <c r="AC1136" i="5"/>
  <c r="AC1132" i="5"/>
  <c r="AI1135" i="5"/>
  <c r="AI1133" i="5"/>
  <c r="AI1131" i="5"/>
  <c r="AI1129" i="5"/>
  <c r="AI1136" i="5"/>
  <c r="AI1132" i="5"/>
  <c r="AI1134" i="5"/>
  <c r="AI1130" i="5"/>
  <c r="AO1136" i="5"/>
  <c r="AO1135" i="5"/>
  <c r="AO1134" i="5"/>
  <c r="AO1132" i="5"/>
  <c r="AO1130" i="5"/>
  <c r="AO1133" i="5"/>
  <c r="AO1131" i="5"/>
  <c r="AO1129" i="5"/>
  <c r="AU1136" i="5"/>
  <c r="AU1134" i="5"/>
  <c r="AU1132" i="5"/>
  <c r="AU1130" i="5"/>
  <c r="AU1133" i="5"/>
  <c r="AU1131" i="5"/>
  <c r="AU1135" i="5"/>
  <c r="AU1129" i="5"/>
  <c r="BA1136" i="5"/>
  <c r="BA1134" i="5"/>
  <c r="BA1132" i="5"/>
  <c r="BA1130" i="5"/>
  <c r="BA1135" i="5"/>
  <c r="BA1133" i="5"/>
  <c r="BA1131" i="5"/>
  <c r="BA1129" i="5"/>
  <c r="BG1135" i="5"/>
  <c r="BG1133" i="5"/>
  <c r="BG1131" i="5"/>
  <c r="BG1129" i="5"/>
  <c r="BG1130" i="5"/>
  <c r="BG1136" i="5"/>
  <c r="BG1134" i="5"/>
  <c r="BG1132" i="5"/>
  <c r="BM1136" i="5"/>
  <c r="BM1134" i="5"/>
  <c r="BM1132" i="5"/>
  <c r="BM1130" i="5"/>
  <c r="BM1133" i="5"/>
  <c r="BM1131" i="5"/>
  <c r="BM1135" i="5"/>
  <c r="BM1129" i="5"/>
  <c r="BS1136" i="5"/>
  <c r="BS1134" i="5"/>
  <c r="BS1132" i="5"/>
  <c r="BS1130" i="5"/>
  <c r="BS1135" i="5"/>
  <c r="BS1133" i="5"/>
  <c r="BS1131" i="5"/>
  <c r="BS1129" i="5"/>
  <c r="BY1135" i="5"/>
  <c r="BY1133" i="5"/>
  <c r="BY1131" i="5"/>
  <c r="BY1129" i="5"/>
  <c r="BY1130" i="5"/>
  <c r="BY1136" i="5"/>
  <c r="BY1134" i="5"/>
  <c r="BY1132" i="5"/>
  <c r="CE1136" i="5"/>
  <c r="CE1134" i="5"/>
  <c r="CE1132" i="5"/>
  <c r="CE1130" i="5"/>
  <c r="CE1133" i="5"/>
  <c r="CE1131" i="5"/>
  <c r="CE1135" i="5"/>
  <c r="CE1129" i="5"/>
  <c r="CK1136" i="5"/>
  <c r="CK1134" i="5"/>
  <c r="CK1132" i="5"/>
  <c r="CK1130" i="5"/>
  <c r="CK1135" i="5"/>
  <c r="CK1133" i="5"/>
  <c r="CK1131" i="5"/>
  <c r="CK1129" i="5"/>
  <c r="W1147" i="5"/>
  <c r="W1142" i="5"/>
  <c r="W1144" i="5"/>
  <c r="W1141" i="5"/>
  <c r="W1143" i="5"/>
  <c r="W1148" i="5"/>
  <c r="W1146" i="5"/>
  <c r="W1145" i="5"/>
  <c r="AC1144" i="5"/>
  <c r="AC1143" i="5"/>
  <c r="AC1142" i="5"/>
  <c r="AC1141" i="5"/>
  <c r="AC1147" i="5"/>
  <c r="AC1145" i="5"/>
  <c r="AC1148" i="5"/>
  <c r="AC1146" i="5"/>
  <c r="AI1146" i="5"/>
  <c r="AI1145" i="5"/>
  <c r="AI1144" i="5"/>
  <c r="AI1143" i="5"/>
  <c r="AI1141" i="5"/>
  <c r="AI1148" i="5"/>
  <c r="AI1142" i="5"/>
  <c r="AI1147" i="5"/>
  <c r="AO1148" i="5"/>
  <c r="AO1141" i="5"/>
  <c r="AO1147" i="5"/>
  <c r="AO1146" i="5"/>
  <c r="AO1144" i="5"/>
  <c r="AO1142" i="5"/>
  <c r="AO1145" i="5"/>
  <c r="AO1143" i="5"/>
  <c r="AU1144" i="5"/>
  <c r="AU1143" i="5"/>
  <c r="AU1142" i="5"/>
  <c r="AU1141" i="5"/>
  <c r="AU1147" i="5"/>
  <c r="AU1145" i="5"/>
  <c r="AU1148" i="5"/>
  <c r="AU1146" i="5"/>
  <c r="BA1146" i="5"/>
  <c r="BA1145" i="5"/>
  <c r="BA1144" i="5"/>
  <c r="BA1143" i="5"/>
  <c r="BA1141" i="5"/>
  <c r="BA1148" i="5"/>
  <c r="BA1142" i="5"/>
  <c r="BA1147" i="5"/>
  <c r="BG1148" i="5"/>
  <c r="BG1141" i="5"/>
  <c r="BG1147" i="5"/>
  <c r="BG1146" i="5"/>
  <c r="BG1144" i="5"/>
  <c r="BG1142" i="5"/>
  <c r="BG1145" i="5"/>
  <c r="BG1143" i="5"/>
  <c r="BM1144" i="5"/>
  <c r="BM1143" i="5"/>
  <c r="BM1142" i="5"/>
  <c r="BM1141" i="5"/>
  <c r="BM1147" i="5"/>
  <c r="BM1145" i="5"/>
  <c r="BM1148" i="5"/>
  <c r="BM1146" i="5"/>
  <c r="BS1146" i="5"/>
  <c r="BS1145" i="5"/>
  <c r="BS1144" i="5"/>
  <c r="BS1143" i="5"/>
  <c r="BS1141" i="5"/>
  <c r="BS1148" i="5"/>
  <c r="BS1142" i="5"/>
  <c r="BS1147" i="5"/>
  <c r="BY1148" i="5"/>
  <c r="BY1141" i="5"/>
  <c r="BY1147" i="5"/>
  <c r="BY1146" i="5"/>
  <c r="BY1144" i="5"/>
  <c r="BY1142" i="5"/>
  <c r="BY1145" i="5"/>
  <c r="BY1143" i="5"/>
  <c r="CE1144" i="5"/>
  <c r="CE1143" i="5"/>
  <c r="CE1142" i="5"/>
  <c r="CE1141" i="5"/>
  <c r="CE1148" i="5"/>
  <c r="CE1147" i="5"/>
  <c r="CE1146" i="5"/>
  <c r="CE1145" i="5"/>
  <c r="CK1146" i="5"/>
  <c r="CK1145" i="5"/>
  <c r="CK1144" i="5"/>
  <c r="CK1143" i="5"/>
  <c r="CK1142" i="5"/>
  <c r="CK1141" i="5"/>
  <c r="CK1147" i="5"/>
  <c r="CK1148" i="5"/>
  <c r="AC1137" i="5"/>
  <c r="Q1164" i="5"/>
  <c r="Q1131" i="5" s="1"/>
  <c r="AH1137" i="5"/>
  <c r="AO1137" i="5"/>
  <c r="BP1137" i="5"/>
  <c r="V1137" i="5"/>
  <c r="AI1137" i="5"/>
  <c r="AT1137" i="5"/>
  <c r="Q1137" i="5"/>
  <c r="W1137" i="5"/>
  <c r="BA1137" i="5"/>
  <c r="BU1137" i="5"/>
  <c r="AU1137" i="5"/>
  <c r="BI1137" i="5"/>
  <c r="CD1137" i="5"/>
  <c r="AB1137" i="5"/>
  <c r="AN1137" i="5"/>
  <c r="AZ1137" i="5"/>
  <c r="BG1137" i="5"/>
  <c r="BL1137" i="5"/>
  <c r="CJ1137" i="5"/>
  <c r="BF1137" i="5"/>
  <c r="AX1137" i="5"/>
  <c r="AR1137" i="5"/>
  <c r="AL1137" i="5"/>
  <c r="AF1137" i="5"/>
  <c r="Z1137" i="5"/>
  <c r="T1137" i="5"/>
  <c r="CH1137" i="5"/>
  <c r="CA1137" i="5"/>
  <c r="BR1137" i="5"/>
  <c r="BC1137" i="5"/>
  <c r="AW1137" i="5"/>
  <c r="AQ1137" i="5"/>
  <c r="AK1137" i="5"/>
  <c r="AE1137" i="5"/>
  <c r="Y1137" i="5"/>
  <c r="S1137" i="5"/>
  <c r="BD1137" i="5"/>
  <c r="BJ1137" i="5"/>
  <c r="BY1137" i="5"/>
  <c r="CK1137" i="5"/>
  <c r="CG1137" i="5"/>
  <c r="BX1137" i="5"/>
  <c r="BO1137" i="5"/>
  <c r="CE1137" i="5"/>
  <c r="CB1137" i="5"/>
  <c r="BV1137" i="5"/>
  <c r="BS1137" i="5"/>
  <c r="BM1137" i="5"/>
  <c r="R1137" i="5"/>
  <c r="R1164" i="5"/>
  <c r="R1135" i="5" s="1"/>
  <c r="R1136" i="5" l="1"/>
  <c r="R1134" i="5"/>
  <c r="Q1141" i="5"/>
  <c r="Q1142" i="5"/>
  <c r="R1147" i="5"/>
  <c r="R1144" i="5"/>
  <c r="R1145" i="5"/>
  <c r="Q1144" i="5"/>
  <c r="R1142" i="5"/>
  <c r="R1143" i="5"/>
  <c r="Q1143" i="5"/>
  <c r="R1131" i="5"/>
  <c r="Q1145" i="5"/>
  <c r="Q1134" i="5"/>
  <c r="R1146" i="5"/>
  <c r="R1133" i="5"/>
  <c r="Q1146" i="5"/>
  <c r="Q1135" i="5"/>
  <c r="Q1132" i="5"/>
  <c r="R1132" i="5"/>
  <c r="Q1129" i="5"/>
  <c r="Q1130" i="5"/>
  <c r="R1129" i="5"/>
  <c r="Q1133" i="5"/>
  <c r="R1141" i="5"/>
  <c r="R1130" i="5"/>
  <c r="Q1147" i="5"/>
  <c r="Q1136" i="5"/>
  <c r="R1249" i="5"/>
  <c r="Q1249" i="5"/>
  <c r="R1248" i="5"/>
  <c r="Q1248" i="5"/>
  <c r="R1246" i="5"/>
  <c r="Q1246" i="5"/>
  <c r="R1245" i="5"/>
  <c r="Q1245" i="5"/>
  <c r="R1242" i="5"/>
  <c r="Q1242" i="5"/>
  <c r="R1241" i="5"/>
  <c r="Q1241" i="5"/>
  <c r="R1239" i="5"/>
  <c r="R1216" i="5" s="1"/>
  <c r="Q1239" i="5"/>
  <c r="Q1216" i="5" s="1"/>
  <c r="R1238" i="5"/>
  <c r="R1215" i="5" s="1"/>
  <c r="Q1238" i="5"/>
  <c r="Q1215" i="5" s="1"/>
  <c r="R1234" i="5"/>
  <c r="Q1234" i="5"/>
  <c r="R1233" i="5"/>
  <c r="Q1233" i="5"/>
  <c r="R1231" i="5"/>
  <c r="Q1231" i="5"/>
  <c r="R1230" i="5"/>
  <c r="Q1230" i="5"/>
  <c r="R1227" i="5"/>
  <c r="R1209" i="5" s="1"/>
  <c r="Q1227" i="5"/>
  <c r="Q1209" i="5" s="1"/>
  <c r="R1226" i="5"/>
  <c r="R1208" i="5" s="1"/>
  <c r="Q1226" i="5"/>
  <c r="Q1208" i="5" s="1"/>
  <c r="R1224" i="5"/>
  <c r="Q1224" i="5"/>
  <c r="Q1206" i="5" s="1"/>
  <c r="R1223" i="5"/>
  <c r="R1205" i="5" s="1"/>
  <c r="Q1223" i="5"/>
  <c r="CK1219" i="5"/>
  <c r="CJ1219" i="5"/>
  <c r="CH1219" i="5"/>
  <c r="CG1219" i="5"/>
  <c r="CE1219" i="5"/>
  <c r="CD1219" i="5"/>
  <c r="CK1218" i="5"/>
  <c r="CJ1218" i="5"/>
  <c r="CH1218" i="5"/>
  <c r="CG1218" i="5"/>
  <c r="CE1218" i="5"/>
  <c r="CD1218" i="5"/>
  <c r="CK1216" i="5"/>
  <c r="CJ1216" i="5"/>
  <c r="CH1216" i="5"/>
  <c r="CG1216" i="5"/>
  <c r="CE1216" i="5"/>
  <c r="CD1216" i="5"/>
  <c r="CK1215" i="5"/>
  <c r="CJ1215" i="5"/>
  <c r="CH1215" i="5"/>
  <c r="CG1215" i="5"/>
  <c r="CE1215" i="5"/>
  <c r="CD1215" i="5"/>
  <c r="CK1213" i="5"/>
  <c r="CJ1213" i="5"/>
  <c r="CH1213" i="5"/>
  <c r="CG1213" i="5"/>
  <c r="CE1213" i="5"/>
  <c r="CD1213" i="5"/>
  <c r="CK1212" i="5"/>
  <c r="CJ1212" i="5"/>
  <c r="CH1212" i="5"/>
  <c r="CG1212" i="5"/>
  <c r="CE1212" i="5"/>
  <c r="CD1212" i="5"/>
  <c r="CK1209" i="5"/>
  <c r="CJ1209" i="5"/>
  <c r="CH1209" i="5"/>
  <c r="CG1209" i="5"/>
  <c r="CE1209" i="5"/>
  <c r="CD1209" i="5"/>
  <c r="CK1208" i="5"/>
  <c r="CJ1208" i="5"/>
  <c r="CH1208" i="5"/>
  <c r="CG1208" i="5"/>
  <c r="CE1208" i="5"/>
  <c r="CD1208" i="5"/>
  <c r="CK1206" i="5"/>
  <c r="CJ1206" i="5"/>
  <c r="CH1206" i="5"/>
  <c r="CG1206" i="5"/>
  <c r="CE1206" i="5"/>
  <c r="CD1206" i="5"/>
  <c r="CK1205" i="5"/>
  <c r="CJ1205" i="5"/>
  <c r="CH1205" i="5"/>
  <c r="CG1205" i="5"/>
  <c r="CE1205" i="5"/>
  <c r="CD1205" i="5"/>
  <c r="CK1203" i="5"/>
  <c r="CJ1203" i="5"/>
  <c r="CH1203" i="5"/>
  <c r="CG1203" i="5"/>
  <c r="CE1203" i="5"/>
  <c r="CD1203" i="5"/>
  <c r="CK1202" i="5"/>
  <c r="CJ1202" i="5"/>
  <c r="CH1202" i="5"/>
  <c r="CG1202" i="5"/>
  <c r="CE1202" i="5"/>
  <c r="CD1202" i="5"/>
  <c r="CB1219" i="5"/>
  <c r="CA1219" i="5"/>
  <c r="BY1219" i="5"/>
  <c r="BX1219" i="5"/>
  <c r="BV1219" i="5"/>
  <c r="BU1219" i="5"/>
  <c r="CB1218" i="5"/>
  <c r="CA1218" i="5"/>
  <c r="BY1218" i="5"/>
  <c r="BX1218" i="5"/>
  <c r="BV1218" i="5"/>
  <c r="BU1218" i="5"/>
  <c r="CB1216" i="5"/>
  <c r="CA1216" i="5"/>
  <c r="BY1216" i="5"/>
  <c r="BX1216" i="5"/>
  <c r="BV1216" i="5"/>
  <c r="BU1216" i="5"/>
  <c r="CB1215" i="5"/>
  <c r="CA1215" i="5"/>
  <c r="BY1215" i="5"/>
  <c r="BX1215" i="5"/>
  <c r="BV1215" i="5"/>
  <c r="BU1215" i="5"/>
  <c r="CB1213" i="5"/>
  <c r="CA1213" i="5"/>
  <c r="BY1213" i="5"/>
  <c r="BX1213" i="5"/>
  <c r="BV1213" i="5"/>
  <c r="BU1213" i="5"/>
  <c r="CB1212" i="5"/>
  <c r="CA1212" i="5"/>
  <c r="BY1212" i="5"/>
  <c r="BX1212" i="5"/>
  <c r="BV1212" i="5"/>
  <c r="BU1212" i="5"/>
  <c r="CB1209" i="5"/>
  <c r="CA1209" i="5"/>
  <c r="BY1209" i="5"/>
  <c r="BX1209" i="5"/>
  <c r="BV1209" i="5"/>
  <c r="BU1209" i="5"/>
  <c r="CB1208" i="5"/>
  <c r="CA1208" i="5"/>
  <c r="BY1208" i="5"/>
  <c r="BX1208" i="5"/>
  <c r="BV1208" i="5"/>
  <c r="BU1208" i="5"/>
  <c r="CB1206" i="5"/>
  <c r="CA1206" i="5"/>
  <c r="BY1206" i="5"/>
  <c r="BX1206" i="5"/>
  <c r="BV1206" i="5"/>
  <c r="BU1206" i="5"/>
  <c r="CB1205" i="5"/>
  <c r="CA1205" i="5"/>
  <c r="BY1205" i="5"/>
  <c r="BX1205" i="5"/>
  <c r="BV1205" i="5"/>
  <c r="BU1205" i="5"/>
  <c r="CB1203" i="5"/>
  <c r="CA1203" i="5"/>
  <c r="BY1203" i="5"/>
  <c r="BX1203" i="5"/>
  <c r="BV1203" i="5"/>
  <c r="BU1203" i="5"/>
  <c r="CB1202" i="5"/>
  <c r="CA1202" i="5"/>
  <c r="BY1202" i="5"/>
  <c r="BX1202" i="5"/>
  <c r="BV1202" i="5"/>
  <c r="BU1202" i="5"/>
  <c r="BS1219" i="5"/>
  <c r="BR1219" i="5"/>
  <c r="BP1219" i="5"/>
  <c r="BO1219" i="5"/>
  <c r="BM1219" i="5"/>
  <c r="BL1219" i="5"/>
  <c r="BS1218" i="5"/>
  <c r="BR1218" i="5"/>
  <c r="BP1218" i="5"/>
  <c r="BO1218" i="5"/>
  <c r="BM1218" i="5"/>
  <c r="BL1218" i="5"/>
  <c r="BS1216" i="5"/>
  <c r="BR1216" i="5"/>
  <c r="BP1216" i="5"/>
  <c r="BO1216" i="5"/>
  <c r="BM1216" i="5"/>
  <c r="BL1216" i="5"/>
  <c r="BS1215" i="5"/>
  <c r="BR1215" i="5"/>
  <c r="BP1215" i="5"/>
  <c r="BO1215" i="5"/>
  <c r="BM1215" i="5"/>
  <c r="BL1215" i="5"/>
  <c r="BS1213" i="5"/>
  <c r="BR1213" i="5"/>
  <c r="BP1213" i="5"/>
  <c r="BO1213" i="5"/>
  <c r="BM1213" i="5"/>
  <c r="BL1213" i="5"/>
  <c r="BS1212" i="5"/>
  <c r="BR1212" i="5"/>
  <c r="BP1212" i="5"/>
  <c r="BO1212" i="5"/>
  <c r="BM1212" i="5"/>
  <c r="BL1212" i="5"/>
  <c r="BS1209" i="5"/>
  <c r="BR1209" i="5"/>
  <c r="BP1209" i="5"/>
  <c r="BO1209" i="5"/>
  <c r="BM1209" i="5"/>
  <c r="BL1209" i="5"/>
  <c r="BS1208" i="5"/>
  <c r="BR1208" i="5"/>
  <c r="BP1208" i="5"/>
  <c r="BO1208" i="5"/>
  <c r="BM1208" i="5"/>
  <c r="BL1208" i="5"/>
  <c r="BS1206" i="5"/>
  <c r="BR1206" i="5"/>
  <c r="BP1206" i="5"/>
  <c r="BO1206" i="5"/>
  <c r="BM1206" i="5"/>
  <c r="BL1206" i="5"/>
  <c r="BS1205" i="5"/>
  <c r="BR1205" i="5"/>
  <c r="BP1205" i="5"/>
  <c r="BO1205" i="5"/>
  <c r="BM1205" i="5"/>
  <c r="BL1205" i="5"/>
  <c r="BS1203" i="5"/>
  <c r="BR1203" i="5"/>
  <c r="BP1203" i="5"/>
  <c r="BO1203" i="5"/>
  <c r="BM1203" i="5"/>
  <c r="BL1203" i="5"/>
  <c r="BS1202" i="5"/>
  <c r="BR1202" i="5"/>
  <c r="BP1202" i="5"/>
  <c r="BO1202" i="5"/>
  <c r="BM1202" i="5"/>
  <c r="BL1202" i="5"/>
  <c r="BJ1219" i="5"/>
  <c r="BI1219" i="5"/>
  <c r="BG1219" i="5"/>
  <c r="BF1219" i="5"/>
  <c r="BD1219" i="5"/>
  <c r="BC1219" i="5"/>
  <c r="BJ1218" i="5"/>
  <c r="BI1218" i="5"/>
  <c r="BG1218" i="5"/>
  <c r="BF1218" i="5"/>
  <c r="BD1218" i="5"/>
  <c r="BC1218" i="5"/>
  <c r="BJ1216" i="5"/>
  <c r="BI1216" i="5"/>
  <c r="BG1216" i="5"/>
  <c r="BF1216" i="5"/>
  <c r="BD1216" i="5"/>
  <c r="BC1216" i="5"/>
  <c r="BJ1215" i="5"/>
  <c r="BI1215" i="5"/>
  <c r="BG1215" i="5"/>
  <c r="BF1215" i="5"/>
  <c r="BD1215" i="5"/>
  <c r="BC1215" i="5"/>
  <c r="BJ1213" i="5"/>
  <c r="BI1213" i="5"/>
  <c r="BG1213" i="5"/>
  <c r="BF1213" i="5"/>
  <c r="BD1213" i="5"/>
  <c r="BC1213" i="5"/>
  <c r="BJ1212" i="5"/>
  <c r="BI1212" i="5"/>
  <c r="BG1212" i="5"/>
  <c r="BF1212" i="5"/>
  <c r="BD1212" i="5"/>
  <c r="BC1212" i="5"/>
  <c r="BJ1209" i="5"/>
  <c r="BI1209" i="5"/>
  <c r="BG1209" i="5"/>
  <c r="BF1209" i="5"/>
  <c r="BD1209" i="5"/>
  <c r="BC1209" i="5"/>
  <c r="BJ1208" i="5"/>
  <c r="BI1208" i="5"/>
  <c r="BG1208" i="5"/>
  <c r="BF1208" i="5"/>
  <c r="BD1208" i="5"/>
  <c r="BC1208" i="5"/>
  <c r="BJ1206" i="5"/>
  <c r="BI1206" i="5"/>
  <c r="BG1206" i="5"/>
  <c r="BF1206" i="5"/>
  <c r="BD1206" i="5"/>
  <c r="BC1206" i="5"/>
  <c r="BJ1205" i="5"/>
  <c r="BI1205" i="5"/>
  <c r="BG1205" i="5"/>
  <c r="BF1205" i="5"/>
  <c r="BD1205" i="5"/>
  <c r="BC1205" i="5"/>
  <c r="BJ1203" i="5"/>
  <c r="BI1203" i="5"/>
  <c r="BG1203" i="5"/>
  <c r="BF1203" i="5"/>
  <c r="BD1203" i="5"/>
  <c r="BC1203" i="5"/>
  <c r="BJ1202" i="5"/>
  <c r="BI1202" i="5"/>
  <c r="BG1202" i="5"/>
  <c r="BF1202" i="5"/>
  <c r="BD1202" i="5"/>
  <c r="BC1202" i="5"/>
  <c r="BA1219" i="5"/>
  <c r="AZ1219" i="5"/>
  <c r="AX1219" i="5"/>
  <c r="AW1219" i="5"/>
  <c r="AU1219" i="5"/>
  <c r="AT1219" i="5"/>
  <c r="BA1218" i="5"/>
  <c r="AZ1218" i="5"/>
  <c r="AX1218" i="5"/>
  <c r="AW1218" i="5"/>
  <c r="AU1218" i="5"/>
  <c r="AT1218" i="5"/>
  <c r="BA1216" i="5"/>
  <c r="AZ1216" i="5"/>
  <c r="AX1216" i="5"/>
  <c r="AW1216" i="5"/>
  <c r="AU1216" i="5"/>
  <c r="AT1216" i="5"/>
  <c r="BA1215" i="5"/>
  <c r="AZ1215" i="5"/>
  <c r="AX1215" i="5"/>
  <c r="AW1215" i="5"/>
  <c r="AU1215" i="5"/>
  <c r="AT1215" i="5"/>
  <c r="BA1213" i="5"/>
  <c r="AZ1213" i="5"/>
  <c r="AX1213" i="5"/>
  <c r="AW1213" i="5"/>
  <c r="AU1213" i="5"/>
  <c r="AT1213" i="5"/>
  <c r="BA1212" i="5"/>
  <c r="AZ1212" i="5"/>
  <c r="AX1212" i="5"/>
  <c r="AW1212" i="5"/>
  <c r="AU1212" i="5"/>
  <c r="AT1212" i="5"/>
  <c r="BA1209" i="5"/>
  <c r="AZ1209" i="5"/>
  <c r="AX1209" i="5"/>
  <c r="AW1209" i="5"/>
  <c r="AU1209" i="5"/>
  <c r="AT1209" i="5"/>
  <c r="BA1208" i="5"/>
  <c r="AZ1208" i="5"/>
  <c r="AX1208" i="5"/>
  <c r="AW1208" i="5"/>
  <c r="AU1208" i="5"/>
  <c r="AT1208" i="5"/>
  <c r="BA1206" i="5"/>
  <c r="AZ1206" i="5"/>
  <c r="AX1206" i="5"/>
  <c r="AW1206" i="5"/>
  <c r="AU1206" i="5"/>
  <c r="AT1206" i="5"/>
  <c r="BA1205" i="5"/>
  <c r="AZ1205" i="5"/>
  <c r="AX1205" i="5"/>
  <c r="AW1205" i="5"/>
  <c r="AU1205" i="5"/>
  <c r="AT1205" i="5"/>
  <c r="BA1203" i="5"/>
  <c r="AZ1203" i="5"/>
  <c r="AX1203" i="5"/>
  <c r="AW1203" i="5"/>
  <c r="AU1203" i="5"/>
  <c r="AT1203" i="5"/>
  <c r="BA1202" i="5"/>
  <c r="AZ1202" i="5"/>
  <c r="AX1202" i="5"/>
  <c r="AW1202" i="5"/>
  <c r="AU1202" i="5"/>
  <c r="AT1202" i="5"/>
  <c r="AR1219" i="5"/>
  <c r="AQ1219" i="5"/>
  <c r="AO1219" i="5"/>
  <c r="AN1219" i="5"/>
  <c r="AL1219" i="5"/>
  <c r="AK1219" i="5"/>
  <c r="AR1218" i="5"/>
  <c r="AQ1218" i="5"/>
  <c r="AO1218" i="5"/>
  <c r="AN1218" i="5"/>
  <c r="AL1218" i="5"/>
  <c r="AK1218" i="5"/>
  <c r="AR1216" i="5"/>
  <c r="AQ1216" i="5"/>
  <c r="AO1216" i="5"/>
  <c r="AN1216" i="5"/>
  <c r="AL1216" i="5"/>
  <c r="AK1216" i="5"/>
  <c r="AR1215" i="5"/>
  <c r="AQ1215" i="5"/>
  <c r="AO1215" i="5"/>
  <c r="AN1215" i="5"/>
  <c r="AL1215" i="5"/>
  <c r="AK1215" i="5"/>
  <c r="AR1213" i="5"/>
  <c r="AQ1213" i="5"/>
  <c r="AO1213" i="5"/>
  <c r="AN1213" i="5"/>
  <c r="AL1213" i="5"/>
  <c r="AK1213" i="5"/>
  <c r="AR1212" i="5"/>
  <c r="AQ1212" i="5"/>
  <c r="AO1212" i="5"/>
  <c r="AN1212" i="5"/>
  <c r="AL1212" i="5"/>
  <c r="AK1212" i="5"/>
  <c r="AR1209" i="5"/>
  <c r="AQ1209" i="5"/>
  <c r="AO1209" i="5"/>
  <c r="AN1209" i="5"/>
  <c r="AL1209" i="5"/>
  <c r="AK1209" i="5"/>
  <c r="AR1208" i="5"/>
  <c r="AQ1208" i="5"/>
  <c r="AO1208" i="5"/>
  <c r="AN1208" i="5"/>
  <c r="AL1208" i="5"/>
  <c r="AK1208" i="5"/>
  <c r="AR1206" i="5"/>
  <c r="AQ1206" i="5"/>
  <c r="AO1206" i="5"/>
  <c r="AN1206" i="5"/>
  <c r="AL1206" i="5"/>
  <c r="AK1206" i="5"/>
  <c r="AR1205" i="5"/>
  <c r="AQ1205" i="5"/>
  <c r="AO1205" i="5"/>
  <c r="AN1205" i="5"/>
  <c r="AL1205" i="5"/>
  <c r="AK1205" i="5"/>
  <c r="AR1203" i="5"/>
  <c r="AQ1203" i="5"/>
  <c r="AO1203" i="5"/>
  <c r="AN1203" i="5"/>
  <c r="AL1203" i="5"/>
  <c r="AK1203" i="5"/>
  <c r="AR1202" i="5"/>
  <c r="AQ1202" i="5"/>
  <c r="AO1202" i="5"/>
  <c r="AN1202" i="5"/>
  <c r="AL1202" i="5"/>
  <c r="AK1202" i="5"/>
  <c r="AI1219" i="5"/>
  <c r="AH1219" i="5"/>
  <c r="AF1219" i="5"/>
  <c r="AE1219" i="5"/>
  <c r="AC1219" i="5"/>
  <c r="AB1219" i="5"/>
  <c r="AI1218" i="5"/>
  <c r="AH1218" i="5"/>
  <c r="AF1218" i="5"/>
  <c r="AE1218" i="5"/>
  <c r="AC1218" i="5"/>
  <c r="AB1218" i="5"/>
  <c r="AI1216" i="5"/>
  <c r="AH1216" i="5"/>
  <c r="AF1216" i="5"/>
  <c r="AE1216" i="5"/>
  <c r="AC1216" i="5"/>
  <c r="AB1216" i="5"/>
  <c r="AI1215" i="5"/>
  <c r="AH1215" i="5"/>
  <c r="AF1215" i="5"/>
  <c r="AE1215" i="5"/>
  <c r="AC1215" i="5"/>
  <c r="AB1215" i="5"/>
  <c r="AI1213" i="5"/>
  <c r="AH1213" i="5"/>
  <c r="AF1213" i="5"/>
  <c r="AE1213" i="5"/>
  <c r="AC1213" i="5"/>
  <c r="AB1213" i="5"/>
  <c r="AI1212" i="5"/>
  <c r="AH1212" i="5"/>
  <c r="AF1212" i="5"/>
  <c r="AE1212" i="5"/>
  <c r="AC1212" i="5"/>
  <c r="AB1212" i="5"/>
  <c r="AI1209" i="5"/>
  <c r="AH1209" i="5"/>
  <c r="AF1209" i="5"/>
  <c r="AE1209" i="5"/>
  <c r="AC1209" i="5"/>
  <c r="AB1209" i="5"/>
  <c r="AI1208" i="5"/>
  <c r="AH1208" i="5"/>
  <c r="AF1208" i="5"/>
  <c r="AE1208" i="5"/>
  <c r="AC1208" i="5"/>
  <c r="AB1208" i="5"/>
  <c r="AI1206" i="5"/>
  <c r="AH1206" i="5"/>
  <c r="AF1206" i="5"/>
  <c r="AE1206" i="5"/>
  <c r="AC1206" i="5"/>
  <c r="AB1206" i="5"/>
  <c r="AI1205" i="5"/>
  <c r="AH1205" i="5"/>
  <c r="AF1205" i="5"/>
  <c r="AE1205" i="5"/>
  <c r="AC1205" i="5"/>
  <c r="AB1205" i="5"/>
  <c r="AI1203" i="5"/>
  <c r="AH1203" i="5"/>
  <c r="AF1203" i="5"/>
  <c r="AE1203" i="5"/>
  <c r="AC1203" i="5"/>
  <c r="AB1203" i="5"/>
  <c r="AI1202" i="5"/>
  <c r="AH1202" i="5"/>
  <c r="AF1202" i="5"/>
  <c r="AE1202" i="5"/>
  <c r="AC1202" i="5"/>
  <c r="AB1202" i="5"/>
  <c r="Z1219" i="5"/>
  <c r="Y1219" i="5"/>
  <c r="Z1218" i="5"/>
  <c r="Y1218" i="5"/>
  <c r="Z1216" i="5"/>
  <c r="Y1216" i="5"/>
  <c r="Z1215" i="5"/>
  <c r="Y1215" i="5"/>
  <c r="Z1213" i="5"/>
  <c r="Y1213" i="5"/>
  <c r="Z1212" i="5"/>
  <c r="Y1212" i="5"/>
  <c r="Z1209" i="5"/>
  <c r="Y1209" i="5"/>
  <c r="Z1208" i="5"/>
  <c r="Y1208" i="5"/>
  <c r="Z1206" i="5"/>
  <c r="Y1206" i="5"/>
  <c r="Z1205" i="5"/>
  <c r="Y1205" i="5"/>
  <c r="Z1203" i="5"/>
  <c r="Y1203" i="5"/>
  <c r="Z1202" i="5"/>
  <c r="Y1202" i="5"/>
  <c r="W1219" i="5"/>
  <c r="V1219" i="5"/>
  <c r="W1218" i="5"/>
  <c r="V1218" i="5"/>
  <c r="W1216" i="5"/>
  <c r="V1216" i="5"/>
  <c r="W1215" i="5"/>
  <c r="V1215" i="5"/>
  <c r="W1213" i="5"/>
  <c r="V1213" i="5"/>
  <c r="W1212" i="5"/>
  <c r="V1212" i="5"/>
  <c r="W1209" i="5"/>
  <c r="V1209" i="5"/>
  <c r="W1208" i="5"/>
  <c r="V1208" i="5"/>
  <c r="W1206" i="5"/>
  <c r="V1206" i="5"/>
  <c r="W1205" i="5"/>
  <c r="V1205" i="5"/>
  <c r="W1203" i="5"/>
  <c r="V1203" i="5"/>
  <c r="W1202" i="5"/>
  <c r="V1202" i="5"/>
  <c r="T1219" i="5"/>
  <c r="S1219" i="5"/>
  <c r="T1218" i="5"/>
  <c r="S1218" i="5"/>
  <c r="T1216" i="5"/>
  <c r="S1216" i="5"/>
  <c r="T1215" i="5"/>
  <c r="S1215" i="5"/>
  <c r="T1213" i="5"/>
  <c r="S1213" i="5"/>
  <c r="T1212" i="5"/>
  <c r="S1212" i="5"/>
  <c r="T1209" i="5"/>
  <c r="S1209" i="5"/>
  <c r="T1208" i="5"/>
  <c r="S1208" i="5"/>
  <c r="T1206" i="5"/>
  <c r="S1206" i="5"/>
  <c r="T1205" i="5"/>
  <c r="S1205" i="5"/>
  <c r="T1203" i="5"/>
  <c r="S1203" i="5"/>
  <c r="T1202" i="5"/>
  <c r="S1202" i="5"/>
  <c r="R1219" i="5"/>
  <c r="Q1219" i="5"/>
  <c r="R1218" i="5"/>
  <c r="R1213" i="5"/>
  <c r="R1206" i="5"/>
  <c r="R1203" i="5"/>
  <c r="J1381" i="5"/>
  <c r="Q1213" i="5" l="1"/>
  <c r="Q1205" i="5"/>
  <c r="Q1218" i="5"/>
  <c r="R1212" i="5"/>
  <c r="Q1212" i="5"/>
  <c r="R1202" i="5"/>
  <c r="Q1203" i="5"/>
  <c r="Q1202" i="5"/>
  <c r="H527" i="5"/>
  <c r="H526" i="5"/>
  <c r="CK527" i="5" l="1"/>
  <c r="CK524" i="5" s="1"/>
  <c r="CJ527" i="5"/>
  <c r="CJ524" i="5" s="1"/>
  <c r="CH527" i="5"/>
  <c r="CH524" i="5" s="1"/>
  <c r="CG527" i="5"/>
  <c r="CG524" i="5" s="1"/>
  <c r="CE527" i="5"/>
  <c r="CE524" i="5" s="1"/>
  <c r="CD527" i="5"/>
  <c r="CD524" i="5" s="1"/>
  <c r="CK526" i="5"/>
  <c r="CK523" i="5" s="1"/>
  <c r="CJ526" i="5"/>
  <c r="CJ523" i="5" s="1"/>
  <c r="CH526" i="5"/>
  <c r="CH523" i="5" s="1"/>
  <c r="CG526" i="5"/>
  <c r="CG523" i="5" s="1"/>
  <c r="CE526" i="5"/>
  <c r="CE523" i="5" s="1"/>
  <c r="CD526" i="5"/>
  <c r="CD523" i="5" s="1"/>
  <c r="CK525" i="5"/>
  <c r="CK522" i="5" s="1"/>
  <c r="CJ525" i="5"/>
  <c r="CJ522" i="5" s="1"/>
  <c r="CH525" i="5"/>
  <c r="CH522" i="5" s="1"/>
  <c r="CG525" i="5"/>
  <c r="CG522" i="5" s="1"/>
  <c r="CE525" i="5"/>
  <c r="CE522" i="5" s="1"/>
  <c r="CD525" i="5"/>
  <c r="CD522" i="5" s="1"/>
  <c r="CB527" i="5"/>
  <c r="CB524" i="5" s="1"/>
  <c r="CA527" i="5"/>
  <c r="CA524" i="5" s="1"/>
  <c r="BY527" i="5"/>
  <c r="BY524" i="5" s="1"/>
  <c r="BX527" i="5"/>
  <c r="BX524" i="5" s="1"/>
  <c r="BV527" i="5"/>
  <c r="BV524" i="5" s="1"/>
  <c r="BU527" i="5"/>
  <c r="BU524" i="5" s="1"/>
  <c r="CB526" i="5"/>
  <c r="CB523" i="5" s="1"/>
  <c r="CA526" i="5"/>
  <c r="CA523" i="5" s="1"/>
  <c r="BY526" i="5"/>
  <c r="BY523" i="5" s="1"/>
  <c r="BX526" i="5"/>
  <c r="BX523" i="5" s="1"/>
  <c r="BV526" i="5"/>
  <c r="BV523" i="5" s="1"/>
  <c r="BU526" i="5"/>
  <c r="BU523" i="5" s="1"/>
  <c r="CB525" i="5"/>
  <c r="CB522" i="5" s="1"/>
  <c r="CA525" i="5"/>
  <c r="CA522" i="5" s="1"/>
  <c r="BY525" i="5"/>
  <c r="BY522" i="5" s="1"/>
  <c r="BX525" i="5"/>
  <c r="BX522" i="5" s="1"/>
  <c r="BV525" i="5"/>
  <c r="BV522" i="5" s="1"/>
  <c r="BU525" i="5"/>
  <c r="BU522" i="5" s="1"/>
  <c r="BS527" i="5"/>
  <c r="BS524" i="5" s="1"/>
  <c r="BR527" i="5"/>
  <c r="BR524" i="5" s="1"/>
  <c r="BP527" i="5"/>
  <c r="BP524" i="5" s="1"/>
  <c r="BO527" i="5"/>
  <c r="BO524" i="5" s="1"/>
  <c r="BM527" i="5"/>
  <c r="BM524" i="5" s="1"/>
  <c r="BL527" i="5"/>
  <c r="BL524" i="5" s="1"/>
  <c r="BS526" i="5"/>
  <c r="BS523" i="5" s="1"/>
  <c r="BR526" i="5"/>
  <c r="BR523" i="5" s="1"/>
  <c r="BP526" i="5"/>
  <c r="BP523" i="5" s="1"/>
  <c r="BO526" i="5"/>
  <c r="BO523" i="5" s="1"/>
  <c r="BM526" i="5"/>
  <c r="BM523" i="5" s="1"/>
  <c r="BL526" i="5"/>
  <c r="BL523" i="5" s="1"/>
  <c r="BS525" i="5"/>
  <c r="BS522" i="5" s="1"/>
  <c r="BR525" i="5"/>
  <c r="BR522" i="5" s="1"/>
  <c r="BP525" i="5"/>
  <c r="BP522" i="5" s="1"/>
  <c r="BO525" i="5"/>
  <c r="BO522" i="5" s="1"/>
  <c r="BM525" i="5"/>
  <c r="BM522" i="5" s="1"/>
  <c r="BL525" i="5"/>
  <c r="BL522" i="5" s="1"/>
  <c r="BJ527" i="5"/>
  <c r="BJ524" i="5" s="1"/>
  <c r="BI527" i="5"/>
  <c r="BI524" i="5" s="1"/>
  <c r="BG527" i="5"/>
  <c r="BG524" i="5" s="1"/>
  <c r="BF527" i="5"/>
  <c r="BF524" i="5" s="1"/>
  <c r="BD527" i="5"/>
  <c r="BD524" i="5" s="1"/>
  <c r="BC527" i="5"/>
  <c r="BC524" i="5" s="1"/>
  <c r="BJ526" i="5"/>
  <c r="BJ523" i="5" s="1"/>
  <c r="BI526" i="5"/>
  <c r="BI523" i="5" s="1"/>
  <c r="BG526" i="5"/>
  <c r="BG523" i="5" s="1"/>
  <c r="BF526" i="5"/>
  <c r="BF523" i="5" s="1"/>
  <c r="BD526" i="5"/>
  <c r="BD523" i="5" s="1"/>
  <c r="BC526" i="5"/>
  <c r="BC523" i="5" s="1"/>
  <c r="BJ525" i="5"/>
  <c r="BJ522" i="5" s="1"/>
  <c r="BI525" i="5"/>
  <c r="BI522" i="5" s="1"/>
  <c r="BG525" i="5"/>
  <c r="BG522" i="5" s="1"/>
  <c r="BF525" i="5"/>
  <c r="BF522" i="5" s="1"/>
  <c r="BD525" i="5"/>
  <c r="BD522" i="5" s="1"/>
  <c r="BC525" i="5"/>
  <c r="BC522" i="5" s="1"/>
  <c r="BA527" i="5"/>
  <c r="BA524" i="5" s="1"/>
  <c r="AZ527" i="5"/>
  <c r="AZ524" i="5" s="1"/>
  <c r="AX527" i="5"/>
  <c r="AX524" i="5" s="1"/>
  <c r="AW527" i="5"/>
  <c r="AW524" i="5" s="1"/>
  <c r="AU527" i="5"/>
  <c r="AU524" i="5" s="1"/>
  <c r="AT527" i="5"/>
  <c r="AT524" i="5" s="1"/>
  <c r="BA526" i="5"/>
  <c r="AZ526" i="5"/>
  <c r="AZ523" i="5" s="1"/>
  <c r="AX526" i="5"/>
  <c r="AX523" i="5" s="1"/>
  <c r="AW526" i="5"/>
  <c r="AW523" i="5" s="1"/>
  <c r="AU526" i="5"/>
  <c r="AU523" i="5" s="1"/>
  <c r="AT526" i="5"/>
  <c r="AT523" i="5" s="1"/>
  <c r="BA525" i="5"/>
  <c r="BA522" i="5" s="1"/>
  <c r="AZ525" i="5"/>
  <c r="AZ522" i="5" s="1"/>
  <c r="AX525" i="5"/>
  <c r="AX522" i="5" s="1"/>
  <c r="AW525" i="5"/>
  <c r="AW522" i="5" s="1"/>
  <c r="AU525" i="5"/>
  <c r="AU522" i="5" s="1"/>
  <c r="AT525" i="5"/>
  <c r="AT522" i="5" s="1"/>
  <c r="BA523" i="5"/>
  <c r="AR527" i="5"/>
  <c r="AR524" i="5" s="1"/>
  <c r="AQ527" i="5"/>
  <c r="AQ524" i="5" s="1"/>
  <c r="AO527" i="5"/>
  <c r="AO524" i="5" s="1"/>
  <c r="AN527" i="5"/>
  <c r="AN524" i="5" s="1"/>
  <c r="AL527" i="5"/>
  <c r="AL524" i="5" s="1"/>
  <c r="AK527" i="5"/>
  <c r="AK524" i="5" s="1"/>
  <c r="AR526" i="5"/>
  <c r="AR523" i="5" s="1"/>
  <c r="AQ526" i="5"/>
  <c r="AQ523" i="5" s="1"/>
  <c r="AO526" i="5"/>
  <c r="AO523" i="5" s="1"/>
  <c r="AN526" i="5"/>
  <c r="AN523" i="5" s="1"/>
  <c r="AL526" i="5"/>
  <c r="AL523" i="5" s="1"/>
  <c r="AK526" i="5"/>
  <c r="AK523" i="5" s="1"/>
  <c r="AR525" i="5"/>
  <c r="AR522" i="5" s="1"/>
  <c r="AQ525" i="5"/>
  <c r="AQ522" i="5" s="1"/>
  <c r="AO525" i="5"/>
  <c r="AO522" i="5" s="1"/>
  <c r="AN525" i="5"/>
  <c r="AN522" i="5" s="1"/>
  <c r="AL525" i="5"/>
  <c r="AL522" i="5" s="1"/>
  <c r="AK525" i="5"/>
  <c r="AK522" i="5" s="1"/>
  <c r="AI527" i="5"/>
  <c r="AI524" i="5" s="1"/>
  <c r="AH527" i="5"/>
  <c r="AH524" i="5" s="1"/>
  <c r="AF527" i="5"/>
  <c r="AF524" i="5" s="1"/>
  <c r="AE527" i="5"/>
  <c r="AE524" i="5" s="1"/>
  <c r="AC527" i="5"/>
  <c r="AC524" i="5" s="1"/>
  <c r="AB527" i="5"/>
  <c r="AB524" i="5" s="1"/>
  <c r="AI526" i="5"/>
  <c r="AI523" i="5" s="1"/>
  <c r="AH526" i="5"/>
  <c r="AH523" i="5" s="1"/>
  <c r="AF526" i="5"/>
  <c r="AF523" i="5" s="1"/>
  <c r="AE526" i="5"/>
  <c r="AE523" i="5" s="1"/>
  <c r="AC526" i="5"/>
  <c r="AC523" i="5" s="1"/>
  <c r="AB526" i="5"/>
  <c r="AB523" i="5" s="1"/>
  <c r="AI525" i="5"/>
  <c r="AI522" i="5" s="1"/>
  <c r="AH525" i="5"/>
  <c r="AH522" i="5" s="1"/>
  <c r="AF525" i="5"/>
  <c r="AF522" i="5" s="1"/>
  <c r="AE525" i="5"/>
  <c r="AE522" i="5" s="1"/>
  <c r="AC525" i="5"/>
  <c r="AC522" i="5" s="1"/>
  <c r="AB525" i="5"/>
  <c r="AB522" i="5" s="1"/>
  <c r="R545" i="5"/>
  <c r="Q545" i="5"/>
  <c r="R544" i="5"/>
  <c r="Q544" i="5"/>
  <c r="R543" i="5"/>
  <c r="Q543" i="5"/>
  <c r="R542" i="5"/>
  <c r="Q542" i="5"/>
  <c r="R541" i="5"/>
  <c r="Q541" i="5"/>
  <c r="R540" i="5"/>
  <c r="Q540" i="5"/>
  <c r="R537" i="5"/>
  <c r="Q537" i="5"/>
  <c r="R536" i="5"/>
  <c r="Q536" i="5"/>
  <c r="R535" i="5"/>
  <c r="Q535" i="5"/>
  <c r="R534" i="5"/>
  <c r="Q534" i="5"/>
  <c r="R533" i="5"/>
  <c r="Q533" i="5"/>
  <c r="R532" i="5"/>
  <c r="Q532" i="5"/>
  <c r="R531" i="5"/>
  <c r="Q531" i="5"/>
  <c r="R530" i="5"/>
  <c r="Q530" i="5"/>
  <c r="R529" i="5"/>
  <c r="Q529" i="5"/>
  <c r="R528" i="5"/>
  <c r="Q528" i="5"/>
  <c r="Z526" i="5"/>
  <c r="Z523" i="5" s="1"/>
  <c r="Y526" i="5"/>
  <c r="Y523" i="5" s="1"/>
  <c r="W526" i="5"/>
  <c r="W523" i="5" s="1"/>
  <c r="V526" i="5"/>
  <c r="V523" i="5" s="1"/>
  <c r="T526" i="5"/>
  <c r="T523" i="5" s="1"/>
  <c r="S526" i="5"/>
  <c r="S523" i="5" s="1"/>
  <c r="R513" i="5"/>
  <c r="Q513" i="5"/>
  <c r="R512" i="5"/>
  <c r="Q512" i="5"/>
  <c r="R511" i="5"/>
  <c r="Q511" i="5"/>
  <c r="R510" i="5"/>
  <c r="Q510" i="5"/>
  <c r="R509" i="5"/>
  <c r="Q509" i="5"/>
  <c r="R508" i="5"/>
  <c r="Q508" i="5"/>
  <c r="R506" i="5"/>
  <c r="Q506" i="5"/>
  <c r="R505" i="5"/>
  <c r="Q505" i="5"/>
  <c r="R504" i="5"/>
  <c r="Q504" i="5"/>
  <c r="R503" i="5"/>
  <c r="Q503" i="5"/>
  <c r="R502" i="5"/>
  <c r="Q502" i="5"/>
  <c r="R501" i="5"/>
  <c r="Q501" i="5"/>
  <c r="J485" i="5"/>
  <c r="J500" i="5"/>
  <c r="CK507" i="5"/>
  <c r="CJ507" i="5"/>
  <c r="CH507" i="5"/>
  <c r="CG507" i="5"/>
  <c r="CE507" i="5"/>
  <c r="CD507" i="5"/>
  <c r="CK500" i="5"/>
  <c r="CJ500" i="5"/>
  <c r="CH500" i="5"/>
  <c r="CG500" i="5"/>
  <c r="CE500" i="5"/>
  <c r="CD500" i="5"/>
  <c r="CB507" i="5"/>
  <c r="CA507" i="5"/>
  <c r="BY507" i="5"/>
  <c r="BX507" i="5"/>
  <c r="BV507" i="5"/>
  <c r="BU507" i="5"/>
  <c r="CB500" i="5"/>
  <c r="CA500" i="5"/>
  <c r="BY500" i="5"/>
  <c r="BX500" i="5"/>
  <c r="BV500" i="5"/>
  <c r="BU500" i="5"/>
  <c r="BS507" i="5"/>
  <c r="BR507" i="5"/>
  <c r="BP507" i="5"/>
  <c r="BO507" i="5"/>
  <c r="BM507" i="5"/>
  <c r="BL507" i="5"/>
  <c r="BS500" i="5"/>
  <c r="BR500" i="5"/>
  <c r="BP500" i="5"/>
  <c r="BO500" i="5"/>
  <c r="BM500" i="5"/>
  <c r="BL500" i="5"/>
  <c r="BJ507" i="5"/>
  <c r="BI507" i="5"/>
  <c r="BG507" i="5"/>
  <c r="BF507" i="5"/>
  <c r="BD507" i="5"/>
  <c r="BC507" i="5"/>
  <c r="BJ500" i="5"/>
  <c r="BI500" i="5"/>
  <c r="BG500" i="5"/>
  <c r="BF500" i="5"/>
  <c r="BD500" i="5"/>
  <c r="BC500" i="5"/>
  <c r="BA507" i="5"/>
  <c r="AZ507" i="5"/>
  <c r="AX507" i="5"/>
  <c r="AW507" i="5"/>
  <c r="AU507" i="5"/>
  <c r="AT507" i="5"/>
  <c r="BA500" i="5"/>
  <c r="AZ500" i="5"/>
  <c r="AX500" i="5"/>
  <c r="AW500" i="5"/>
  <c r="AU500" i="5"/>
  <c r="AT500" i="5"/>
  <c r="AR507" i="5"/>
  <c r="AQ507" i="5"/>
  <c r="AO507" i="5"/>
  <c r="AN507" i="5"/>
  <c r="AL507" i="5"/>
  <c r="AK507" i="5"/>
  <c r="AR500" i="5"/>
  <c r="AQ500" i="5"/>
  <c r="AO500" i="5"/>
  <c r="AN500" i="5"/>
  <c r="AL500" i="5"/>
  <c r="AK500" i="5"/>
  <c r="AI507" i="5"/>
  <c r="AH507" i="5"/>
  <c r="AF507" i="5"/>
  <c r="AE507" i="5"/>
  <c r="AC507" i="5"/>
  <c r="AB507" i="5"/>
  <c r="AI500" i="5"/>
  <c r="AH500" i="5"/>
  <c r="AF500" i="5"/>
  <c r="AE500" i="5"/>
  <c r="AC500" i="5"/>
  <c r="AB500" i="5"/>
  <c r="Z507" i="5"/>
  <c r="Y507" i="5"/>
  <c r="W507" i="5"/>
  <c r="V507" i="5"/>
  <c r="T507" i="5"/>
  <c r="S507" i="5"/>
  <c r="Z500" i="5"/>
  <c r="Y500" i="5"/>
  <c r="W500" i="5"/>
  <c r="V500" i="5"/>
  <c r="T500" i="5"/>
  <c r="S500" i="5"/>
  <c r="AK499" i="5" l="1"/>
  <c r="AZ499" i="5"/>
  <c r="BF499" i="5"/>
  <c r="BO499" i="5"/>
  <c r="AX499" i="5"/>
  <c r="AC499" i="5"/>
  <c r="AI499" i="5"/>
  <c r="CD499" i="5"/>
  <c r="Q500" i="5"/>
  <c r="BD499" i="5"/>
  <c r="BJ499" i="5"/>
  <c r="BG499" i="5"/>
  <c r="BV499" i="5"/>
  <c r="CB499" i="5"/>
  <c r="V499" i="5"/>
  <c r="AT499" i="5"/>
  <c r="BP499" i="5"/>
  <c r="W499" i="5"/>
  <c r="AN499" i="5"/>
  <c r="AQ499" i="5"/>
  <c r="BU499" i="5"/>
  <c r="CA499" i="5"/>
  <c r="CH499" i="5"/>
  <c r="AO499" i="5"/>
  <c r="AU499" i="5"/>
  <c r="BA499" i="5"/>
  <c r="CE499" i="5"/>
  <c r="CK499" i="5"/>
  <c r="BR499" i="5"/>
  <c r="T499" i="5"/>
  <c r="AE499" i="5"/>
  <c r="AF499" i="5"/>
  <c r="BL499" i="5"/>
  <c r="CG499" i="5"/>
  <c r="Q526" i="5"/>
  <c r="Q523" i="5" s="1"/>
  <c r="Q507" i="5"/>
  <c r="S499" i="5"/>
  <c r="AB499" i="5"/>
  <c r="BY499" i="5"/>
  <c r="Y499" i="5"/>
  <c r="AH499" i="5"/>
  <c r="CJ499" i="5"/>
  <c r="R507" i="5"/>
  <c r="Z499" i="5"/>
  <c r="AL499" i="5"/>
  <c r="AR499" i="5"/>
  <c r="AW499" i="5"/>
  <c r="BC499" i="5"/>
  <c r="BI499" i="5"/>
  <c r="BM499" i="5"/>
  <c r="BS499" i="5"/>
  <c r="BX499" i="5"/>
  <c r="R526" i="5"/>
  <c r="R523" i="5" s="1"/>
  <c r="R500" i="5"/>
  <c r="Q499" i="5" l="1"/>
  <c r="R499" i="5"/>
  <c r="R475" i="5"/>
  <c r="Q475" i="5"/>
  <c r="R471" i="5"/>
  <c r="Q471" i="5"/>
  <c r="R470" i="5"/>
  <c r="Q470" i="5"/>
  <c r="Q441" i="5" s="1"/>
  <c r="R468" i="5"/>
  <c r="Q468" i="5"/>
  <c r="R467" i="5"/>
  <c r="R438" i="5" s="1"/>
  <c r="Q467" i="5"/>
  <c r="R465" i="5"/>
  <c r="Q465" i="5"/>
  <c r="R464" i="5"/>
  <c r="R435" i="5" s="1"/>
  <c r="Q464" i="5"/>
  <c r="Q435" i="5" s="1"/>
  <c r="R425" i="5"/>
  <c r="Q460" i="5"/>
  <c r="R456" i="5"/>
  <c r="Q456" i="5"/>
  <c r="R455" i="5"/>
  <c r="Q455" i="5"/>
  <c r="R453" i="5"/>
  <c r="Q453" i="5"/>
  <c r="Q452" i="5"/>
  <c r="R450" i="5"/>
  <c r="Q450" i="5"/>
  <c r="R449" i="5"/>
  <c r="Q449" i="5"/>
  <c r="Q428" i="5" l="1"/>
  <c r="R441" i="5"/>
  <c r="Q438" i="5"/>
  <c r="R436" i="5"/>
  <c r="R439" i="5"/>
  <c r="R442" i="5"/>
  <c r="Q426" i="5"/>
  <c r="Q429" i="5"/>
  <c r="Q423" i="5"/>
  <c r="Q422" i="5"/>
  <c r="Q425" i="5"/>
  <c r="Q445" i="5"/>
  <c r="Q444" i="5"/>
  <c r="R444" i="5"/>
  <c r="R445" i="5"/>
  <c r="Q431" i="5"/>
  <c r="Q432" i="5"/>
  <c r="Q436" i="5"/>
  <c r="Q439" i="5"/>
  <c r="Q442" i="5"/>
  <c r="R429" i="5"/>
  <c r="R423" i="5"/>
  <c r="R432" i="5"/>
  <c r="R428" i="5"/>
  <c r="R422" i="5"/>
  <c r="R431" i="5"/>
  <c r="R426" i="5"/>
  <c r="R418" i="5"/>
  <c r="Q418" i="5"/>
  <c r="R417" i="5"/>
  <c r="Q417" i="5"/>
  <c r="R415" i="5"/>
  <c r="Q415" i="5"/>
  <c r="R414" i="5"/>
  <c r="Q414" i="5"/>
  <c r="R409" i="5"/>
  <c r="Q409" i="5"/>
  <c r="R408" i="5"/>
  <c r="Q408" i="5"/>
  <c r="R406" i="5"/>
  <c r="Q406" i="5"/>
  <c r="R405" i="5"/>
  <c r="Q405" i="5"/>
  <c r="CK416" i="5"/>
  <c r="CJ416" i="5"/>
  <c r="CH416" i="5"/>
  <c r="CG416" i="5"/>
  <c r="CE416" i="5"/>
  <c r="CD416" i="5"/>
  <c r="CK413" i="5"/>
  <c r="CJ413" i="5"/>
  <c r="CH413" i="5"/>
  <c r="CG413" i="5"/>
  <c r="CE413" i="5"/>
  <c r="CD413" i="5"/>
  <c r="CK412" i="5"/>
  <c r="CJ412" i="5"/>
  <c r="CH412" i="5"/>
  <c r="CG412" i="5"/>
  <c r="CE412" i="5"/>
  <c r="CD412" i="5"/>
  <c r="CK411" i="5"/>
  <c r="CJ411" i="5"/>
  <c r="CH411" i="5"/>
  <c r="CG411" i="5"/>
  <c r="CE411" i="5"/>
  <c r="CD411" i="5"/>
  <c r="CK407" i="5"/>
  <c r="CJ407" i="5"/>
  <c r="CH407" i="5"/>
  <c r="CG407" i="5"/>
  <c r="CE407" i="5"/>
  <c r="CD407" i="5"/>
  <c r="CK404" i="5"/>
  <c r="CJ404" i="5"/>
  <c r="CH404" i="5"/>
  <c r="CG404" i="5"/>
  <c r="CE404" i="5"/>
  <c r="CD404" i="5"/>
  <c r="CK403" i="5"/>
  <c r="CJ403" i="5"/>
  <c r="CH403" i="5"/>
  <c r="CG403" i="5"/>
  <c r="CE403" i="5"/>
  <c r="CD403" i="5"/>
  <c r="CK402" i="5"/>
  <c r="CJ402" i="5"/>
  <c r="CH402" i="5"/>
  <c r="CG402" i="5"/>
  <c r="CE402" i="5"/>
  <c r="CD402" i="5"/>
  <c r="CB416" i="5"/>
  <c r="CA416" i="5"/>
  <c r="BY416" i="5"/>
  <c r="BX416" i="5"/>
  <c r="BV416" i="5"/>
  <c r="BU416" i="5"/>
  <c r="CB413" i="5"/>
  <c r="CA413" i="5"/>
  <c r="BY413" i="5"/>
  <c r="BX413" i="5"/>
  <c r="BV413" i="5"/>
  <c r="BU413" i="5"/>
  <c r="CB412" i="5"/>
  <c r="CA412" i="5"/>
  <c r="BY412" i="5"/>
  <c r="BX412" i="5"/>
  <c r="BV412" i="5"/>
  <c r="BU412" i="5"/>
  <c r="CB411" i="5"/>
  <c r="CA411" i="5"/>
  <c r="BY411" i="5"/>
  <c r="BX411" i="5"/>
  <c r="BV411" i="5"/>
  <c r="BU411" i="5"/>
  <c r="CB407" i="5"/>
  <c r="CA407" i="5"/>
  <c r="BY407" i="5"/>
  <c r="BX407" i="5"/>
  <c r="BV407" i="5"/>
  <c r="BU407" i="5"/>
  <c r="CB404" i="5"/>
  <c r="CA404" i="5"/>
  <c r="BY404" i="5"/>
  <c r="BX404" i="5"/>
  <c r="BV404" i="5"/>
  <c r="BU404" i="5"/>
  <c r="CB403" i="5"/>
  <c r="CA403" i="5"/>
  <c r="BY403" i="5"/>
  <c r="BX403" i="5"/>
  <c r="BV403" i="5"/>
  <c r="BU403" i="5"/>
  <c r="CB402" i="5"/>
  <c r="CA402" i="5"/>
  <c r="BY402" i="5"/>
  <c r="BX402" i="5"/>
  <c r="BV402" i="5"/>
  <c r="BU402" i="5"/>
  <c r="BS416" i="5"/>
  <c r="BR416" i="5"/>
  <c r="BP416" i="5"/>
  <c r="BO416" i="5"/>
  <c r="BM416" i="5"/>
  <c r="BL416" i="5"/>
  <c r="BS413" i="5"/>
  <c r="BR413" i="5"/>
  <c r="BP413" i="5"/>
  <c r="BO413" i="5"/>
  <c r="BM413" i="5"/>
  <c r="BL413" i="5"/>
  <c r="BS412" i="5"/>
  <c r="BR412" i="5"/>
  <c r="BP412" i="5"/>
  <c r="BO412" i="5"/>
  <c r="BM412" i="5"/>
  <c r="BL412" i="5"/>
  <c r="BS411" i="5"/>
  <c r="BR411" i="5"/>
  <c r="BP411" i="5"/>
  <c r="BO411" i="5"/>
  <c r="BM411" i="5"/>
  <c r="BL411" i="5"/>
  <c r="BS407" i="5"/>
  <c r="BR407" i="5"/>
  <c r="BP407" i="5"/>
  <c r="BO407" i="5"/>
  <c r="BM407" i="5"/>
  <c r="BL407" i="5"/>
  <c r="BS404" i="5"/>
  <c r="BR404" i="5"/>
  <c r="BP404" i="5"/>
  <c r="BO404" i="5"/>
  <c r="BM404" i="5"/>
  <c r="BL404" i="5"/>
  <c r="BS403" i="5"/>
  <c r="BR403" i="5"/>
  <c r="BP403" i="5"/>
  <c r="BO403" i="5"/>
  <c r="BM403" i="5"/>
  <c r="BL403" i="5"/>
  <c r="BS402" i="5"/>
  <c r="BR402" i="5"/>
  <c r="BP402" i="5"/>
  <c r="BO402" i="5"/>
  <c r="BM402" i="5"/>
  <c r="BL402" i="5"/>
  <c r="BJ416" i="5"/>
  <c r="BI416" i="5"/>
  <c r="BG416" i="5"/>
  <c r="BF416" i="5"/>
  <c r="BD416" i="5"/>
  <c r="BC416" i="5"/>
  <c r="BJ413" i="5"/>
  <c r="BI413" i="5"/>
  <c r="BG413" i="5"/>
  <c r="BF413" i="5"/>
  <c r="BD413" i="5"/>
  <c r="BC413" i="5"/>
  <c r="BJ412" i="5"/>
  <c r="BI412" i="5"/>
  <c r="BG412" i="5"/>
  <c r="BF412" i="5"/>
  <c r="BD412" i="5"/>
  <c r="BC412" i="5"/>
  <c r="BJ411" i="5"/>
  <c r="BI411" i="5"/>
  <c r="BG411" i="5"/>
  <c r="BF411" i="5"/>
  <c r="BD411" i="5"/>
  <c r="BC411" i="5"/>
  <c r="BJ407" i="5"/>
  <c r="BI407" i="5"/>
  <c r="BG407" i="5"/>
  <c r="BF407" i="5"/>
  <c r="BD407" i="5"/>
  <c r="BC407" i="5"/>
  <c r="BJ404" i="5"/>
  <c r="BI404" i="5"/>
  <c r="BG404" i="5"/>
  <c r="BF404" i="5"/>
  <c r="BD404" i="5"/>
  <c r="BC404" i="5"/>
  <c r="BJ403" i="5"/>
  <c r="BI403" i="5"/>
  <c r="BG403" i="5"/>
  <c r="BF403" i="5"/>
  <c r="BD403" i="5"/>
  <c r="BC403" i="5"/>
  <c r="BJ402" i="5"/>
  <c r="BI402" i="5"/>
  <c r="BG402" i="5"/>
  <c r="BF402" i="5"/>
  <c r="BD402" i="5"/>
  <c r="BC402" i="5"/>
  <c r="BA416" i="5"/>
  <c r="AZ416" i="5"/>
  <c r="AX416" i="5"/>
  <c r="AW416" i="5"/>
  <c r="AU416" i="5"/>
  <c r="AT416" i="5"/>
  <c r="BA413" i="5"/>
  <c r="AZ413" i="5"/>
  <c r="AX413" i="5"/>
  <c r="AW413" i="5"/>
  <c r="AU413" i="5"/>
  <c r="AT413" i="5"/>
  <c r="BA412" i="5"/>
  <c r="AZ412" i="5"/>
  <c r="AX412" i="5"/>
  <c r="AW412" i="5"/>
  <c r="AU412" i="5"/>
  <c r="AT412" i="5"/>
  <c r="BA411" i="5"/>
  <c r="AZ411" i="5"/>
  <c r="AX411" i="5"/>
  <c r="AW411" i="5"/>
  <c r="AU411" i="5"/>
  <c r="AT411" i="5"/>
  <c r="BA407" i="5"/>
  <c r="AZ407" i="5"/>
  <c r="AX407" i="5"/>
  <c r="AW407" i="5"/>
  <c r="AU407" i="5"/>
  <c r="AT407" i="5"/>
  <c r="BA404" i="5"/>
  <c r="AZ404" i="5"/>
  <c r="AX404" i="5"/>
  <c r="AW404" i="5"/>
  <c r="AU404" i="5"/>
  <c r="AT404" i="5"/>
  <c r="BA403" i="5"/>
  <c r="AZ403" i="5"/>
  <c r="AX403" i="5"/>
  <c r="AW403" i="5"/>
  <c r="AU403" i="5"/>
  <c r="AT403" i="5"/>
  <c r="BA402" i="5"/>
  <c r="AZ402" i="5"/>
  <c r="AX402" i="5"/>
  <c r="AW402" i="5"/>
  <c r="AU402" i="5"/>
  <c r="AT402" i="5"/>
  <c r="AR416" i="5"/>
  <c r="AQ416" i="5"/>
  <c r="AO416" i="5"/>
  <c r="AN416" i="5"/>
  <c r="AL416" i="5"/>
  <c r="AK416" i="5"/>
  <c r="AR413" i="5"/>
  <c r="AQ413" i="5"/>
  <c r="AO413" i="5"/>
  <c r="AN413" i="5"/>
  <c r="AL413" i="5"/>
  <c r="AK413" i="5"/>
  <c r="AR412" i="5"/>
  <c r="AQ412" i="5"/>
  <c r="AO412" i="5"/>
  <c r="AN412" i="5"/>
  <c r="AL412" i="5"/>
  <c r="AK412" i="5"/>
  <c r="AR411" i="5"/>
  <c r="AQ411" i="5"/>
  <c r="AO411" i="5"/>
  <c r="AN411" i="5"/>
  <c r="AL411" i="5"/>
  <c r="AK411" i="5"/>
  <c r="AR407" i="5"/>
  <c r="AQ407" i="5"/>
  <c r="AO407" i="5"/>
  <c r="AN407" i="5"/>
  <c r="AL407" i="5"/>
  <c r="AK407" i="5"/>
  <c r="AR404" i="5"/>
  <c r="AQ404" i="5"/>
  <c r="AO404" i="5"/>
  <c r="AN404" i="5"/>
  <c r="AL404" i="5"/>
  <c r="AK404" i="5"/>
  <c r="AR403" i="5"/>
  <c r="AQ403" i="5"/>
  <c r="AO403" i="5"/>
  <c r="AN403" i="5"/>
  <c r="AL403" i="5"/>
  <c r="AK403" i="5"/>
  <c r="AR402" i="5"/>
  <c r="AQ402" i="5"/>
  <c r="AO402" i="5"/>
  <c r="AN402" i="5"/>
  <c r="AL402" i="5"/>
  <c r="AK402" i="5"/>
  <c r="AI416" i="5"/>
  <c r="AH416" i="5"/>
  <c r="AF416" i="5"/>
  <c r="AE416" i="5"/>
  <c r="AC416" i="5"/>
  <c r="AB416" i="5"/>
  <c r="AI413" i="5"/>
  <c r="AH413" i="5"/>
  <c r="AF413" i="5"/>
  <c r="AE413" i="5"/>
  <c r="AC413" i="5"/>
  <c r="AB413" i="5"/>
  <c r="AI412" i="5"/>
  <c r="AH412" i="5"/>
  <c r="AF412" i="5"/>
  <c r="AE412" i="5"/>
  <c r="AC412" i="5"/>
  <c r="AB412" i="5"/>
  <c r="AI411" i="5"/>
  <c r="AH411" i="5"/>
  <c r="AF411" i="5"/>
  <c r="AE411" i="5"/>
  <c r="AC411" i="5"/>
  <c r="AB411" i="5"/>
  <c r="AI407" i="5"/>
  <c r="AH407" i="5"/>
  <c r="AF407" i="5"/>
  <c r="AE407" i="5"/>
  <c r="AC407" i="5"/>
  <c r="AB407" i="5"/>
  <c r="AI404" i="5"/>
  <c r="AH404" i="5"/>
  <c r="AF404" i="5"/>
  <c r="AE404" i="5"/>
  <c r="AC404" i="5"/>
  <c r="AB404" i="5"/>
  <c r="AI403" i="5"/>
  <c r="AH403" i="5"/>
  <c r="AF403" i="5"/>
  <c r="AE403" i="5"/>
  <c r="AC403" i="5"/>
  <c r="AB403" i="5"/>
  <c r="AI402" i="5"/>
  <c r="AH402" i="5"/>
  <c r="AF402" i="5"/>
  <c r="AE402" i="5"/>
  <c r="AC402" i="5"/>
  <c r="AB402" i="5"/>
  <c r="Z416" i="5"/>
  <c r="Y416" i="5"/>
  <c r="W416" i="5"/>
  <c r="V416" i="5"/>
  <c r="T416" i="5"/>
  <c r="S416" i="5"/>
  <c r="Z413" i="5"/>
  <c r="Y413" i="5"/>
  <c r="Z412" i="5"/>
  <c r="Y412" i="5"/>
  <c r="Z411" i="5"/>
  <c r="Y411" i="5"/>
  <c r="W413" i="5"/>
  <c r="V413" i="5"/>
  <c r="W412" i="5"/>
  <c r="V412" i="5"/>
  <c r="W411" i="5"/>
  <c r="V411" i="5"/>
  <c r="T413" i="5"/>
  <c r="S413" i="5"/>
  <c r="T412" i="5"/>
  <c r="S412" i="5"/>
  <c r="T411" i="5"/>
  <c r="S411" i="5"/>
  <c r="Z407" i="5"/>
  <c r="Y407" i="5"/>
  <c r="W407" i="5"/>
  <c r="V407" i="5"/>
  <c r="T407" i="5"/>
  <c r="S407" i="5"/>
  <c r="Z404" i="5"/>
  <c r="Y404" i="5"/>
  <c r="Z403" i="5"/>
  <c r="Y403" i="5"/>
  <c r="Z402" i="5"/>
  <c r="Y402" i="5"/>
  <c r="W404" i="5"/>
  <c r="V404" i="5"/>
  <c r="W403" i="5"/>
  <c r="V403" i="5"/>
  <c r="W402" i="5"/>
  <c r="V402" i="5"/>
  <c r="T404" i="5"/>
  <c r="S404" i="5"/>
  <c r="T403" i="5"/>
  <c r="S403" i="5"/>
  <c r="T402" i="5"/>
  <c r="S402" i="5"/>
  <c r="CD388" i="5"/>
  <c r="CE388" i="5"/>
  <c r="R387" i="5"/>
  <c r="Q387" i="5"/>
  <c r="R386" i="5"/>
  <c r="Q386" i="5"/>
  <c r="R385" i="5"/>
  <c r="Q385" i="5"/>
  <c r="R384" i="5"/>
  <c r="Q384" i="5"/>
  <c r="R383" i="5"/>
  <c r="Q383" i="5"/>
  <c r="R382" i="5"/>
  <c r="Q382" i="5"/>
  <c r="R391" i="5"/>
  <c r="R389" i="5" s="1"/>
  <c r="Q391" i="5"/>
  <c r="Q389" i="5" s="1"/>
  <c r="R390" i="5"/>
  <c r="R388" i="5" s="1"/>
  <c r="Q390" i="5"/>
  <c r="Q388" i="5" s="1"/>
  <c r="R376" i="5"/>
  <c r="R374" i="5" s="1"/>
  <c r="Q376" i="5"/>
  <c r="Q374" i="5" s="1"/>
  <c r="R375" i="5"/>
  <c r="R373" i="5" s="1"/>
  <c r="Q375" i="5"/>
  <c r="Q373" i="5" s="1"/>
  <c r="R372" i="5"/>
  <c r="Q372" i="5"/>
  <c r="R371" i="5"/>
  <c r="Q371" i="5"/>
  <c r="R370" i="5"/>
  <c r="Q370" i="5"/>
  <c r="R369" i="5"/>
  <c r="Q369" i="5"/>
  <c r="R368" i="5"/>
  <c r="Q368" i="5"/>
  <c r="R367" i="5"/>
  <c r="Q367" i="5"/>
  <c r="CK389" i="5"/>
  <c r="CJ389" i="5"/>
  <c r="CH389" i="5"/>
  <c r="CG389" i="5"/>
  <c r="CE389" i="5"/>
  <c r="CD389" i="5"/>
  <c r="CK388" i="5"/>
  <c r="CJ388" i="5"/>
  <c r="CH388" i="5"/>
  <c r="CG388" i="5"/>
  <c r="CK381" i="5"/>
  <c r="CJ381" i="5"/>
  <c r="CH381" i="5"/>
  <c r="CG381" i="5"/>
  <c r="CE381" i="5"/>
  <c r="CD381" i="5"/>
  <c r="CK380" i="5"/>
  <c r="CJ380" i="5"/>
  <c r="CH380" i="5"/>
  <c r="CG380" i="5"/>
  <c r="CE380" i="5"/>
  <c r="CD380" i="5"/>
  <c r="CB389" i="5"/>
  <c r="CA389" i="5"/>
  <c r="BY389" i="5"/>
  <c r="BX389" i="5"/>
  <c r="BV389" i="5"/>
  <c r="BU389" i="5"/>
  <c r="CB388" i="5"/>
  <c r="CA388" i="5"/>
  <c r="BY388" i="5"/>
  <c r="BX388" i="5"/>
  <c r="BV388" i="5"/>
  <c r="BU388" i="5"/>
  <c r="CB381" i="5"/>
  <c r="CB379" i="5" s="1"/>
  <c r="CA381" i="5"/>
  <c r="BY381" i="5"/>
  <c r="BY379" i="5" s="1"/>
  <c r="BX381" i="5"/>
  <c r="BX379" i="5" s="1"/>
  <c r="BV381" i="5"/>
  <c r="BU381" i="5"/>
  <c r="BU379" i="5" s="1"/>
  <c r="CB380" i="5"/>
  <c r="CB378" i="5" s="1"/>
  <c r="CA380" i="5"/>
  <c r="CA378" i="5" s="1"/>
  <c r="BY380" i="5"/>
  <c r="BX380" i="5"/>
  <c r="BV380" i="5"/>
  <c r="BV378" i="5" s="1"/>
  <c r="BU380" i="5"/>
  <c r="BU378" i="5" s="1"/>
  <c r="BS389" i="5"/>
  <c r="BR389" i="5"/>
  <c r="BP389" i="5"/>
  <c r="BO389" i="5"/>
  <c r="BM389" i="5"/>
  <c r="BL389" i="5"/>
  <c r="BS388" i="5"/>
  <c r="BR388" i="5"/>
  <c r="BP388" i="5"/>
  <c r="BO388" i="5"/>
  <c r="BM388" i="5"/>
  <c r="BL388" i="5"/>
  <c r="BS381" i="5"/>
  <c r="BS379" i="5" s="1"/>
  <c r="BR381" i="5"/>
  <c r="BP381" i="5"/>
  <c r="BP379" i="5" s="1"/>
  <c r="BO381" i="5"/>
  <c r="BO379" i="5" s="1"/>
  <c r="BM381" i="5"/>
  <c r="BL381" i="5"/>
  <c r="BS380" i="5"/>
  <c r="BS378" i="5" s="1"/>
  <c r="BR380" i="5"/>
  <c r="BR378" i="5" s="1"/>
  <c r="BP380" i="5"/>
  <c r="BP378" i="5" s="1"/>
  <c r="BO380" i="5"/>
  <c r="BM380" i="5"/>
  <c r="BM378" i="5" s="1"/>
  <c r="BL380" i="5"/>
  <c r="BL378" i="5" s="1"/>
  <c r="BR379" i="5"/>
  <c r="BM379" i="5"/>
  <c r="BJ389" i="5"/>
  <c r="BI389" i="5"/>
  <c r="BG389" i="5"/>
  <c r="BF389" i="5"/>
  <c r="BD389" i="5"/>
  <c r="BC389" i="5"/>
  <c r="BJ388" i="5"/>
  <c r="BI388" i="5"/>
  <c r="BG388" i="5"/>
  <c r="BF388" i="5"/>
  <c r="BD388" i="5"/>
  <c r="BC388" i="5"/>
  <c r="BJ381" i="5"/>
  <c r="BJ379" i="5" s="1"/>
  <c r="BI381" i="5"/>
  <c r="BG381" i="5"/>
  <c r="BF381" i="5"/>
  <c r="BD381" i="5"/>
  <c r="BC381" i="5"/>
  <c r="BC379" i="5" s="1"/>
  <c r="BJ380" i="5"/>
  <c r="BI380" i="5"/>
  <c r="BG380" i="5"/>
  <c r="BG378" i="5" s="1"/>
  <c r="BF380" i="5"/>
  <c r="BD380" i="5"/>
  <c r="BC380" i="5"/>
  <c r="BA389" i="5"/>
  <c r="AZ389" i="5"/>
  <c r="AX389" i="5"/>
  <c r="AW389" i="5"/>
  <c r="AU389" i="5"/>
  <c r="AT389" i="5"/>
  <c r="BA388" i="5"/>
  <c r="AZ388" i="5"/>
  <c r="AX388" i="5"/>
  <c r="AW388" i="5"/>
  <c r="AU388" i="5"/>
  <c r="AT388" i="5"/>
  <c r="BA381" i="5"/>
  <c r="BA379" i="5" s="1"/>
  <c r="AZ381" i="5"/>
  <c r="AX381" i="5"/>
  <c r="AX379" i="5" s="1"/>
  <c r="AW381" i="5"/>
  <c r="AW379" i="5" s="1"/>
  <c r="AU381" i="5"/>
  <c r="AT381" i="5"/>
  <c r="AT379" i="5" s="1"/>
  <c r="BA380" i="5"/>
  <c r="BA378" i="5" s="1"/>
  <c r="AZ380" i="5"/>
  <c r="AX380" i="5"/>
  <c r="AX378" i="5" s="1"/>
  <c r="AW380" i="5"/>
  <c r="AU380" i="5"/>
  <c r="AU378" i="5" s="1"/>
  <c r="AT380" i="5"/>
  <c r="AT378" i="5" s="1"/>
  <c r="AZ379" i="5"/>
  <c r="AR389" i="5"/>
  <c r="AQ389" i="5"/>
  <c r="AO389" i="5"/>
  <c r="AN389" i="5"/>
  <c r="AL389" i="5"/>
  <c r="AK389" i="5"/>
  <c r="AR388" i="5"/>
  <c r="AQ388" i="5"/>
  <c r="AO388" i="5"/>
  <c r="AN388" i="5"/>
  <c r="AL388" i="5"/>
  <c r="AK388" i="5"/>
  <c r="AR381" i="5"/>
  <c r="AQ381" i="5"/>
  <c r="AO381" i="5"/>
  <c r="AN381" i="5"/>
  <c r="AL381" i="5"/>
  <c r="AL379" i="5" s="1"/>
  <c r="AK381" i="5"/>
  <c r="AR380" i="5"/>
  <c r="AQ380" i="5"/>
  <c r="AQ378" i="5" s="1"/>
  <c r="AO380" i="5"/>
  <c r="AO378" i="5" s="1"/>
  <c r="AN380" i="5"/>
  <c r="AN378" i="5" s="1"/>
  <c r="AL380" i="5"/>
  <c r="AK380" i="5"/>
  <c r="AR379" i="5"/>
  <c r="AQ379" i="5"/>
  <c r="AO379" i="5"/>
  <c r="AN379" i="5"/>
  <c r="AK379" i="5"/>
  <c r="AR378" i="5"/>
  <c r="AL378" i="5"/>
  <c r="AK378" i="5"/>
  <c r="AI389" i="5"/>
  <c r="AH389" i="5"/>
  <c r="AF389" i="5"/>
  <c r="AE389" i="5"/>
  <c r="AC389" i="5"/>
  <c r="AB389" i="5"/>
  <c r="AI388" i="5"/>
  <c r="AH388" i="5"/>
  <c r="AF388" i="5"/>
  <c r="AE388" i="5"/>
  <c r="AC388" i="5"/>
  <c r="AB388" i="5"/>
  <c r="AI381" i="5"/>
  <c r="AI379" i="5" s="1"/>
  <c r="AH381" i="5"/>
  <c r="AF381" i="5"/>
  <c r="AF379" i="5" s="1"/>
  <c r="AE381" i="5"/>
  <c r="AE379" i="5" s="1"/>
  <c r="AC381" i="5"/>
  <c r="AB381" i="5"/>
  <c r="AI380" i="5"/>
  <c r="AH380" i="5"/>
  <c r="AF380" i="5"/>
  <c r="AE380" i="5"/>
  <c r="AC380" i="5"/>
  <c r="AC378" i="5" s="1"/>
  <c r="AB380" i="5"/>
  <c r="AB378" i="5" s="1"/>
  <c r="Z389" i="5"/>
  <c r="Y389" i="5"/>
  <c r="Z388" i="5"/>
  <c r="Y388" i="5"/>
  <c r="W389" i="5"/>
  <c r="V389" i="5"/>
  <c r="W388" i="5"/>
  <c r="V388" i="5"/>
  <c r="T389" i="5"/>
  <c r="S389" i="5"/>
  <c r="T388" i="5"/>
  <c r="S388" i="5"/>
  <c r="Z381" i="5"/>
  <c r="Z379" i="5" s="1"/>
  <c r="Y381" i="5"/>
  <c r="Z380" i="5"/>
  <c r="Y380" i="5"/>
  <c r="W381" i="5"/>
  <c r="V381" i="5"/>
  <c r="W380" i="5"/>
  <c r="V380" i="5"/>
  <c r="T381" i="5"/>
  <c r="S381" i="5"/>
  <c r="T380" i="5"/>
  <c r="S380" i="5"/>
  <c r="CK374" i="5"/>
  <c r="CJ374" i="5"/>
  <c r="CH374" i="5"/>
  <c r="CG374" i="5"/>
  <c r="CE374" i="5"/>
  <c r="CD374" i="5"/>
  <c r="CK373" i="5"/>
  <c r="CJ373" i="5"/>
  <c r="CH373" i="5"/>
  <c r="CG373" i="5"/>
  <c r="CE373" i="5"/>
  <c r="CD373" i="5"/>
  <c r="CK366" i="5"/>
  <c r="CJ366" i="5"/>
  <c r="CJ364" i="5" s="1"/>
  <c r="CH366" i="5"/>
  <c r="CG366" i="5"/>
  <c r="CE366" i="5"/>
  <c r="CD366" i="5"/>
  <c r="CK365" i="5"/>
  <c r="CJ365" i="5"/>
  <c r="CJ363" i="5" s="1"/>
  <c r="CH365" i="5"/>
  <c r="CH363" i="5" s="1"/>
  <c r="CG365" i="5"/>
  <c r="CG363" i="5" s="1"/>
  <c r="CE365" i="5"/>
  <c r="CD365" i="5"/>
  <c r="CB374" i="5"/>
  <c r="CA374" i="5"/>
  <c r="BY374" i="5"/>
  <c r="BX374" i="5"/>
  <c r="BV374" i="5"/>
  <c r="BU374" i="5"/>
  <c r="CB373" i="5"/>
  <c r="CA373" i="5"/>
  <c r="BY373" i="5"/>
  <c r="BX373" i="5"/>
  <c r="BV373" i="5"/>
  <c r="BU373" i="5"/>
  <c r="CB366" i="5"/>
  <c r="CB364" i="5" s="1"/>
  <c r="CA366" i="5"/>
  <c r="BY366" i="5"/>
  <c r="BX366" i="5"/>
  <c r="BV366" i="5"/>
  <c r="BU366" i="5"/>
  <c r="CB365" i="5"/>
  <c r="CA365" i="5"/>
  <c r="CA363" i="5" s="1"/>
  <c r="BY365" i="5"/>
  <c r="BX365" i="5"/>
  <c r="BX363" i="5" s="1"/>
  <c r="BV365" i="5"/>
  <c r="BU365" i="5"/>
  <c r="BS374" i="5"/>
  <c r="BR374" i="5"/>
  <c r="BP374" i="5"/>
  <c r="BO374" i="5"/>
  <c r="BM374" i="5"/>
  <c r="BL374" i="5"/>
  <c r="BS373" i="5"/>
  <c r="BR373" i="5"/>
  <c r="BP373" i="5"/>
  <c r="BO373" i="5"/>
  <c r="BM373" i="5"/>
  <c r="BL373" i="5"/>
  <c r="BS366" i="5"/>
  <c r="BS364" i="5" s="1"/>
  <c r="BR366" i="5"/>
  <c r="BR364" i="5" s="1"/>
  <c r="BP366" i="5"/>
  <c r="BP364" i="5" s="1"/>
  <c r="BO366" i="5"/>
  <c r="BO364" i="5" s="1"/>
  <c r="BM366" i="5"/>
  <c r="BL366" i="5"/>
  <c r="BS365" i="5"/>
  <c r="BR365" i="5"/>
  <c r="BR363" i="5" s="1"/>
  <c r="BP365" i="5"/>
  <c r="BO365" i="5"/>
  <c r="BM365" i="5"/>
  <c r="BL365" i="5"/>
  <c r="BJ374" i="5"/>
  <c r="BI374" i="5"/>
  <c r="BG374" i="5"/>
  <c r="BF374" i="5"/>
  <c r="BD374" i="5"/>
  <c r="BC374" i="5"/>
  <c r="BJ373" i="5"/>
  <c r="BI373" i="5"/>
  <c r="BG373" i="5"/>
  <c r="BF373" i="5"/>
  <c r="BD373" i="5"/>
  <c r="BC373" i="5"/>
  <c r="BJ366" i="5"/>
  <c r="BI366" i="5"/>
  <c r="BG366" i="5"/>
  <c r="BF366" i="5"/>
  <c r="BD366" i="5"/>
  <c r="BD364" i="5" s="1"/>
  <c r="BC366" i="5"/>
  <c r="BC364" i="5" s="1"/>
  <c r="BJ365" i="5"/>
  <c r="BJ363" i="5" s="1"/>
  <c r="BI365" i="5"/>
  <c r="BG365" i="5"/>
  <c r="BF365" i="5"/>
  <c r="BD365" i="5"/>
  <c r="BC365" i="5"/>
  <c r="BA374" i="5"/>
  <c r="AZ374" i="5"/>
  <c r="AX374" i="5"/>
  <c r="AW374" i="5"/>
  <c r="AU374" i="5"/>
  <c r="AT374" i="5"/>
  <c r="BA373" i="5"/>
  <c r="AZ373" i="5"/>
  <c r="AX373" i="5"/>
  <c r="AW373" i="5"/>
  <c r="AU373" i="5"/>
  <c r="AT373" i="5"/>
  <c r="BA366" i="5"/>
  <c r="AZ366" i="5"/>
  <c r="AX366" i="5"/>
  <c r="AW366" i="5"/>
  <c r="AU366" i="5"/>
  <c r="AU364" i="5" s="1"/>
  <c r="AT366" i="5"/>
  <c r="AT364" i="5" s="1"/>
  <c r="BA365" i="5"/>
  <c r="AZ365" i="5"/>
  <c r="AZ363" i="5" s="1"/>
  <c r="AX365" i="5"/>
  <c r="AW365" i="5"/>
  <c r="AU365" i="5"/>
  <c r="AT365" i="5"/>
  <c r="BA364" i="5"/>
  <c r="AR374" i="5"/>
  <c r="AQ374" i="5"/>
  <c r="AO374" i="5"/>
  <c r="AN374" i="5"/>
  <c r="AL374" i="5"/>
  <c r="AK374" i="5"/>
  <c r="AR373" i="5"/>
  <c r="AQ373" i="5"/>
  <c r="AO373" i="5"/>
  <c r="AN373" i="5"/>
  <c r="AL373" i="5"/>
  <c r="AK373" i="5"/>
  <c r="AR366" i="5"/>
  <c r="AQ366" i="5"/>
  <c r="AO366" i="5"/>
  <c r="AN366" i="5"/>
  <c r="AL366" i="5"/>
  <c r="AK366" i="5"/>
  <c r="AK364" i="5" s="1"/>
  <c r="AR365" i="5"/>
  <c r="AQ365" i="5"/>
  <c r="AO365" i="5"/>
  <c r="AN365" i="5"/>
  <c r="AL365" i="5"/>
  <c r="AK365" i="5"/>
  <c r="AK363" i="5" s="1"/>
  <c r="AI374" i="5"/>
  <c r="AH374" i="5"/>
  <c r="AF374" i="5"/>
  <c r="AE374" i="5"/>
  <c r="AC374" i="5"/>
  <c r="AB374" i="5"/>
  <c r="AI373" i="5"/>
  <c r="AH373" i="5"/>
  <c r="AF373" i="5"/>
  <c r="AE373" i="5"/>
  <c r="AC373" i="5"/>
  <c r="AB373" i="5"/>
  <c r="AI366" i="5"/>
  <c r="AH366" i="5"/>
  <c r="AF366" i="5"/>
  <c r="AE366" i="5"/>
  <c r="AE364" i="5" s="1"/>
  <c r="AC366" i="5"/>
  <c r="AB366" i="5"/>
  <c r="AB364" i="5" s="1"/>
  <c r="AI365" i="5"/>
  <c r="AI363" i="5" s="1"/>
  <c r="AH365" i="5"/>
  <c r="AF365" i="5"/>
  <c r="AE365" i="5"/>
  <c r="AC365" i="5"/>
  <c r="AB365" i="5"/>
  <c r="AB363" i="5" s="1"/>
  <c r="Z374" i="5"/>
  <c r="Y374" i="5"/>
  <c r="Z373" i="5"/>
  <c r="Y373" i="5"/>
  <c r="W374" i="5"/>
  <c r="V374" i="5"/>
  <c r="W373" i="5"/>
  <c r="V373" i="5"/>
  <c r="T374" i="5"/>
  <c r="S374" i="5"/>
  <c r="T373" i="5"/>
  <c r="S373" i="5"/>
  <c r="Z366" i="5"/>
  <c r="Y366" i="5"/>
  <c r="Z365" i="5"/>
  <c r="Y365" i="5"/>
  <c r="W366" i="5"/>
  <c r="V366" i="5"/>
  <c r="V364" i="5" s="1"/>
  <c r="W365" i="5"/>
  <c r="V365" i="5"/>
  <c r="T366" i="5"/>
  <c r="S366" i="5"/>
  <c r="T365" i="5"/>
  <c r="S365" i="5"/>
  <c r="BJ357" i="5"/>
  <c r="BD357" i="5"/>
  <c r="BG357" i="5"/>
  <c r="R360" i="5"/>
  <c r="R358" i="5" s="1"/>
  <c r="Q360" i="5"/>
  <c r="Q358" i="5" s="1"/>
  <c r="Q359" i="5"/>
  <c r="Q357" i="5" s="1"/>
  <c r="R356" i="5"/>
  <c r="Q356" i="5"/>
  <c r="R355" i="5"/>
  <c r="Q355" i="5"/>
  <c r="R354" i="5"/>
  <c r="Q354" i="5"/>
  <c r="R352" i="5"/>
  <c r="Q352" i="5"/>
  <c r="R351" i="5"/>
  <c r="Q351" i="5"/>
  <c r="R350" i="5"/>
  <c r="Q350" i="5"/>
  <c r="CK358" i="5"/>
  <c r="CJ358" i="5"/>
  <c r="CH358" i="5"/>
  <c r="CG358" i="5"/>
  <c r="CE358" i="5"/>
  <c r="CD358" i="5"/>
  <c r="CK357" i="5"/>
  <c r="CJ357" i="5"/>
  <c r="CH357" i="5"/>
  <c r="CG357" i="5"/>
  <c r="CE357" i="5"/>
  <c r="CD357" i="5"/>
  <c r="CK353" i="5"/>
  <c r="CJ353" i="5"/>
  <c r="CJ347" i="5" s="1"/>
  <c r="CH353" i="5"/>
  <c r="CH347" i="5" s="1"/>
  <c r="CG353" i="5"/>
  <c r="CE353" i="5"/>
  <c r="CE347" i="5" s="1"/>
  <c r="CD353" i="5"/>
  <c r="CK349" i="5"/>
  <c r="CJ349" i="5"/>
  <c r="CH349" i="5"/>
  <c r="CG349" i="5"/>
  <c r="CG346" i="5" s="1"/>
  <c r="CE349" i="5"/>
  <c r="CD349" i="5"/>
  <c r="CD346" i="5" s="1"/>
  <c r="CB358" i="5"/>
  <c r="CA358" i="5"/>
  <c r="BY358" i="5"/>
  <c r="BX358" i="5"/>
  <c r="BV358" i="5"/>
  <c r="BU358" i="5"/>
  <c r="CB357" i="5"/>
  <c r="CA357" i="5"/>
  <c r="BY357" i="5"/>
  <c r="BX357" i="5"/>
  <c r="BV357" i="5"/>
  <c r="BU357" i="5"/>
  <c r="CB353" i="5"/>
  <c r="CA353" i="5"/>
  <c r="CA347" i="5" s="1"/>
  <c r="BY353" i="5"/>
  <c r="BY347" i="5" s="1"/>
  <c r="BX353" i="5"/>
  <c r="BV353" i="5"/>
  <c r="BV347" i="5" s="1"/>
  <c r="BU353" i="5"/>
  <c r="CB349" i="5"/>
  <c r="CA349" i="5"/>
  <c r="BY349" i="5"/>
  <c r="BX349" i="5"/>
  <c r="BX346" i="5" s="1"/>
  <c r="BV349" i="5"/>
  <c r="BV346" i="5" s="1"/>
  <c r="BU349" i="5"/>
  <c r="BS358" i="5"/>
  <c r="BR358" i="5"/>
  <c r="BP358" i="5"/>
  <c r="BO358" i="5"/>
  <c r="BM358" i="5"/>
  <c r="BL358" i="5"/>
  <c r="BS357" i="5"/>
  <c r="BR357" i="5"/>
  <c r="BP357" i="5"/>
  <c r="BO357" i="5"/>
  <c r="BM357" i="5"/>
  <c r="BL357" i="5"/>
  <c r="BS353" i="5"/>
  <c r="BR353" i="5"/>
  <c r="BR347" i="5" s="1"/>
  <c r="BP353" i="5"/>
  <c r="BP347" i="5" s="1"/>
  <c r="BO353" i="5"/>
  <c r="BO347" i="5" s="1"/>
  <c r="BM353" i="5"/>
  <c r="BM347" i="5" s="1"/>
  <c r="BL353" i="5"/>
  <c r="BS349" i="5"/>
  <c r="BR349" i="5"/>
  <c r="BP349" i="5"/>
  <c r="BO349" i="5"/>
  <c r="BM349" i="5"/>
  <c r="BL349" i="5"/>
  <c r="BJ358" i="5"/>
  <c r="BI358" i="5"/>
  <c r="BG358" i="5"/>
  <c r="BF358" i="5"/>
  <c r="BD358" i="5"/>
  <c r="BC358" i="5"/>
  <c r="BI357" i="5"/>
  <c r="BF357" i="5"/>
  <c r="BC357" i="5"/>
  <c r="BJ353" i="5"/>
  <c r="BI353" i="5"/>
  <c r="BG353" i="5"/>
  <c r="BF353" i="5"/>
  <c r="BD353" i="5"/>
  <c r="BC353" i="5"/>
  <c r="BJ349" i="5"/>
  <c r="BI349" i="5"/>
  <c r="BG349" i="5"/>
  <c r="BF349" i="5"/>
  <c r="BD349" i="5"/>
  <c r="BC349" i="5"/>
  <c r="BA358" i="5"/>
  <c r="AZ358" i="5"/>
  <c r="AX358" i="5"/>
  <c r="AW358" i="5"/>
  <c r="AU358" i="5"/>
  <c r="AT358" i="5"/>
  <c r="BA357" i="5"/>
  <c r="AZ357" i="5"/>
  <c r="AX357" i="5"/>
  <c r="AW357" i="5"/>
  <c r="AU357" i="5"/>
  <c r="AT357" i="5"/>
  <c r="BA353" i="5"/>
  <c r="AZ353" i="5"/>
  <c r="AX353" i="5"/>
  <c r="AW353" i="5"/>
  <c r="AU353" i="5"/>
  <c r="AU347" i="5" s="1"/>
  <c r="AT353" i="5"/>
  <c r="AT347" i="5" s="1"/>
  <c r="BA349" i="5"/>
  <c r="BA346" i="5" s="1"/>
  <c r="AZ349" i="5"/>
  <c r="AX349" i="5"/>
  <c r="AW349" i="5"/>
  <c r="AU349" i="5"/>
  <c r="AT349" i="5"/>
  <c r="AR358" i="5"/>
  <c r="AQ358" i="5"/>
  <c r="AO358" i="5"/>
  <c r="AN358" i="5"/>
  <c r="AL358" i="5"/>
  <c r="AK358" i="5"/>
  <c r="AR357" i="5"/>
  <c r="AQ357" i="5"/>
  <c r="AO357" i="5"/>
  <c r="AN357" i="5"/>
  <c r="AL357" i="5"/>
  <c r="AK357" i="5"/>
  <c r="AR353" i="5"/>
  <c r="AQ353" i="5"/>
  <c r="AO353" i="5"/>
  <c r="AN353" i="5"/>
  <c r="AL353" i="5"/>
  <c r="AL347" i="5" s="1"/>
  <c r="AK353" i="5"/>
  <c r="AR349" i="5"/>
  <c r="AQ349" i="5"/>
  <c r="AO349" i="5"/>
  <c r="AN349" i="5"/>
  <c r="AL349" i="5"/>
  <c r="AK349" i="5"/>
  <c r="AI358" i="5"/>
  <c r="AH358" i="5"/>
  <c r="AF358" i="5"/>
  <c r="AE358" i="5"/>
  <c r="AC358" i="5"/>
  <c r="AB358" i="5"/>
  <c r="AI357" i="5"/>
  <c r="AH357" i="5"/>
  <c r="AF357" i="5"/>
  <c r="AE357" i="5"/>
  <c r="AC357" i="5"/>
  <c r="AB357" i="5"/>
  <c r="AI353" i="5"/>
  <c r="AH353" i="5"/>
  <c r="AF353" i="5"/>
  <c r="AE353" i="5"/>
  <c r="AC353" i="5"/>
  <c r="AC347" i="5" s="1"/>
  <c r="AB353" i="5"/>
  <c r="AB347" i="5" s="1"/>
  <c r="AI349" i="5"/>
  <c r="AH349" i="5"/>
  <c r="AH346" i="5" s="1"/>
  <c r="AF349" i="5"/>
  <c r="AE349" i="5"/>
  <c r="AC349" i="5"/>
  <c r="AB349" i="5"/>
  <c r="AI347" i="5"/>
  <c r="Z358" i="5"/>
  <c r="Y358" i="5"/>
  <c r="Z357" i="5"/>
  <c r="Y357" i="5"/>
  <c r="W358" i="5"/>
  <c r="V358" i="5"/>
  <c r="W357" i="5"/>
  <c r="V357" i="5"/>
  <c r="T358" i="5"/>
  <c r="S358" i="5"/>
  <c r="T357" i="5"/>
  <c r="S357" i="5"/>
  <c r="Z353" i="5"/>
  <c r="Y353" i="5"/>
  <c r="W353" i="5"/>
  <c r="V353" i="5"/>
  <c r="T353" i="5"/>
  <c r="S353" i="5"/>
  <c r="Z349" i="5"/>
  <c r="Y349" i="5"/>
  <c r="W349" i="5"/>
  <c r="V349" i="5"/>
  <c r="T349" i="5"/>
  <c r="S349" i="5"/>
  <c r="CE341" i="5"/>
  <c r="AL341" i="5"/>
  <c r="Z341" i="5"/>
  <c r="AI341" i="5"/>
  <c r="AF341" i="5"/>
  <c r="BP341" i="5"/>
  <c r="BY341" i="5"/>
  <c r="BV341" i="5"/>
  <c r="BM341" i="5"/>
  <c r="T341" i="5"/>
  <c r="BS341" i="5"/>
  <c r="W341" i="5"/>
  <c r="BA341" i="5"/>
  <c r="BD341" i="5"/>
  <c r="BG341" i="5"/>
  <c r="AO341" i="5"/>
  <c r="AC341" i="5"/>
  <c r="AU341" i="5"/>
  <c r="BJ341" i="5"/>
  <c r="AX341" i="5"/>
  <c r="CB341" i="5"/>
  <c r="CH341" i="5"/>
  <c r="CK341" i="5"/>
  <c r="J343" i="5"/>
  <c r="Z342" i="5"/>
  <c r="AI342" i="5"/>
  <c r="AF342" i="5"/>
  <c r="AR342" i="5"/>
  <c r="W342" i="5"/>
  <c r="AO342" i="5"/>
  <c r="AC342" i="5"/>
  <c r="CH342" i="5"/>
  <c r="Q344" i="5"/>
  <c r="Q342" i="5" s="1"/>
  <c r="Q343" i="5"/>
  <c r="Q341" i="5" s="1"/>
  <c r="R340" i="5"/>
  <c r="Q340" i="5"/>
  <c r="R339" i="5"/>
  <c r="Q339" i="5"/>
  <c r="R334" i="5"/>
  <c r="Q334" i="5"/>
  <c r="R333" i="5"/>
  <c r="Q333" i="5"/>
  <c r="CK342" i="5"/>
  <c r="CJ342" i="5"/>
  <c r="CG342" i="5"/>
  <c r="CE342" i="5"/>
  <c r="CD342" i="5"/>
  <c r="CJ341" i="5"/>
  <c r="CG341" i="5"/>
  <c r="CD341" i="5"/>
  <c r="CB342" i="5"/>
  <c r="CA342" i="5"/>
  <c r="BY342" i="5"/>
  <c r="BX342" i="5"/>
  <c r="BV342" i="5"/>
  <c r="BU342" i="5"/>
  <c r="CA341" i="5"/>
  <c r="BX341" i="5"/>
  <c r="BU341" i="5"/>
  <c r="BS342" i="5"/>
  <c r="BR342" i="5"/>
  <c r="BP342" i="5"/>
  <c r="BO342" i="5"/>
  <c r="BM342" i="5"/>
  <c r="BL342" i="5"/>
  <c r="BR341" i="5"/>
  <c r="BO341" i="5"/>
  <c r="BL341" i="5"/>
  <c r="BJ342" i="5"/>
  <c r="BI342" i="5"/>
  <c r="BG342" i="5"/>
  <c r="BF342" i="5"/>
  <c r="BD342" i="5"/>
  <c r="BC342" i="5"/>
  <c r="BI341" i="5"/>
  <c r="BF341" i="5"/>
  <c r="BC341" i="5"/>
  <c r="BA342" i="5"/>
  <c r="AZ342" i="5"/>
  <c r="AX342" i="5"/>
  <c r="AW342" i="5"/>
  <c r="AU342" i="5"/>
  <c r="AT342" i="5"/>
  <c r="AZ341" i="5"/>
  <c r="AW341" i="5"/>
  <c r="AT341" i="5"/>
  <c r="AQ342" i="5"/>
  <c r="AN342" i="5"/>
  <c r="AL342" i="5"/>
  <c r="AK342" i="5"/>
  <c r="AR341" i="5"/>
  <c r="AQ341" i="5"/>
  <c r="AN341" i="5"/>
  <c r="AK341" i="5"/>
  <c r="AH342" i="5"/>
  <c r="AE342" i="5"/>
  <c r="AB342" i="5"/>
  <c r="AH341" i="5"/>
  <c r="AE341" i="5"/>
  <c r="AB341" i="5"/>
  <c r="Y342" i="5"/>
  <c r="Y341" i="5"/>
  <c r="V342" i="5"/>
  <c r="V341" i="5"/>
  <c r="T342" i="5"/>
  <c r="S342" i="5"/>
  <c r="S341" i="5"/>
  <c r="Z539" i="5"/>
  <c r="Z690" i="5" s="1"/>
  <c r="Z1435" i="5" s="1"/>
  <c r="Y539" i="5"/>
  <c r="Y690" i="5" s="1"/>
  <c r="Y1435" i="5" s="1"/>
  <c r="Z538" i="5"/>
  <c r="Y538" i="5"/>
  <c r="W539" i="5"/>
  <c r="W690" i="5" s="1"/>
  <c r="W1435" i="5" s="1"/>
  <c r="V539" i="5"/>
  <c r="V690" i="5" s="1"/>
  <c r="V1435" i="5" s="1"/>
  <c r="W538" i="5"/>
  <c r="V538" i="5"/>
  <c r="T539" i="5"/>
  <c r="S539" i="5"/>
  <c r="T538" i="5"/>
  <c r="S538" i="5"/>
  <c r="R309" i="5"/>
  <c r="Q309" i="5"/>
  <c r="R308" i="5"/>
  <c r="Q308" i="5"/>
  <c r="R312" i="5"/>
  <c r="Q312" i="5"/>
  <c r="R311" i="5"/>
  <c r="Q311" i="5"/>
  <c r="R318" i="5"/>
  <c r="Q318" i="5"/>
  <c r="R317" i="5"/>
  <c r="Q317" i="5"/>
  <c r="Q316" i="5" s="1"/>
  <c r="R320" i="5"/>
  <c r="Q320" i="5"/>
  <c r="CK314" i="5"/>
  <c r="CJ314" i="5"/>
  <c r="CH314" i="5"/>
  <c r="CG314" i="5"/>
  <c r="CE314" i="5"/>
  <c r="CD314" i="5"/>
  <c r="CK310" i="5"/>
  <c r="CK304" i="5" s="1"/>
  <c r="CJ310" i="5"/>
  <c r="CJ304" i="5" s="1"/>
  <c r="CH310" i="5"/>
  <c r="CH304" i="5" s="1"/>
  <c r="CG310" i="5"/>
  <c r="CG304" i="5" s="1"/>
  <c r="CE310" i="5"/>
  <c r="CE304" i="5" s="1"/>
  <c r="CD310" i="5"/>
  <c r="CD304" i="5" s="1"/>
  <c r="CB314" i="5"/>
  <c r="CA314" i="5"/>
  <c r="BY314" i="5"/>
  <c r="BX314" i="5"/>
  <c r="BV314" i="5"/>
  <c r="BU314" i="5"/>
  <c r="CB310" i="5"/>
  <c r="CB304" i="5" s="1"/>
  <c r="CA310" i="5"/>
  <c r="CA304" i="5" s="1"/>
  <c r="BY310" i="5"/>
  <c r="BY304" i="5" s="1"/>
  <c r="BX310" i="5"/>
  <c r="BX304" i="5" s="1"/>
  <c r="BV310" i="5"/>
  <c r="BV304" i="5" s="1"/>
  <c r="BU310" i="5"/>
  <c r="BU304" i="5" s="1"/>
  <c r="BS314" i="5"/>
  <c r="BR314" i="5"/>
  <c r="BP314" i="5"/>
  <c r="BO314" i="5"/>
  <c r="BM314" i="5"/>
  <c r="BL314" i="5"/>
  <c r="BS310" i="5"/>
  <c r="BS304" i="5" s="1"/>
  <c r="BR310" i="5"/>
  <c r="BR304" i="5" s="1"/>
  <c r="BP310" i="5"/>
  <c r="BP304" i="5" s="1"/>
  <c r="BO310" i="5"/>
  <c r="BO304" i="5" s="1"/>
  <c r="BM310" i="5"/>
  <c r="BM304" i="5" s="1"/>
  <c r="BL310" i="5"/>
  <c r="BL304" i="5" s="1"/>
  <c r="BJ314" i="5"/>
  <c r="BI314" i="5"/>
  <c r="BG314" i="5"/>
  <c r="BF314" i="5"/>
  <c r="BD314" i="5"/>
  <c r="BC314" i="5"/>
  <c r="BJ310" i="5"/>
  <c r="BJ304" i="5" s="1"/>
  <c r="BI310" i="5"/>
  <c r="BI304" i="5" s="1"/>
  <c r="BG310" i="5"/>
  <c r="BG304" i="5" s="1"/>
  <c r="BF310" i="5"/>
  <c r="BF304" i="5" s="1"/>
  <c r="BD310" i="5"/>
  <c r="BD304" i="5" s="1"/>
  <c r="BC310" i="5"/>
  <c r="BC304" i="5" s="1"/>
  <c r="BA314" i="5"/>
  <c r="AZ314" i="5"/>
  <c r="AX314" i="5"/>
  <c r="AW314" i="5"/>
  <c r="AU314" i="5"/>
  <c r="AT314" i="5"/>
  <c r="BA310" i="5"/>
  <c r="BA304" i="5" s="1"/>
  <c r="AZ310" i="5"/>
  <c r="AZ304" i="5" s="1"/>
  <c r="AX310" i="5"/>
  <c r="AX304" i="5" s="1"/>
  <c r="AW310" i="5"/>
  <c r="AW304" i="5" s="1"/>
  <c r="AU310" i="5"/>
  <c r="AU304" i="5" s="1"/>
  <c r="AT310" i="5"/>
  <c r="AT304" i="5" s="1"/>
  <c r="AR314" i="5"/>
  <c r="AQ314" i="5"/>
  <c r="AO314" i="5"/>
  <c r="AN314" i="5"/>
  <c r="AL314" i="5"/>
  <c r="AK314" i="5"/>
  <c r="AR310" i="5"/>
  <c r="AR304" i="5" s="1"/>
  <c r="AQ310" i="5"/>
  <c r="AQ304" i="5" s="1"/>
  <c r="AO310" i="5"/>
  <c r="AO304" i="5" s="1"/>
  <c r="AN310" i="5"/>
  <c r="AN304" i="5" s="1"/>
  <c r="AL310" i="5"/>
  <c r="AL304" i="5" s="1"/>
  <c r="AK310" i="5"/>
  <c r="AK304" i="5" s="1"/>
  <c r="AI314" i="5"/>
  <c r="AH314" i="5"/>
  <c r="AF314" i="5"/>
  <c r="AE314" i="5"/>
  <c r="AC314" i="5"/>
  <c r="AB314" i="5"/>
  <c r="AI310" i="5"/>
  <c r="AI304" i="5" s="1"/>
  <c r="AH310" i="5"/>
  <c r="AH304" i="5" s="1"/>
  <c r="AF310" i="5"/>
  <c r="AF304" i="5" s="1"/>
  <c r="AE310" i="5"/>
  <c r="AE304" i="5" s="1"/>
  <c r="AC310" i="5"/>
  <c r="AC304" i="5" s="1"/>
  <c r="AB310" i="5"/>
  <c r="AB304" i="5" s="1"/>
  <c r="Z314" i="5"/>
  <c r="Y314" i="5"/>
  <c r="W314" i="5"/>
  <c r="V314" i="5"/>
  <c r="T314" i="5"/>
  <c r="S314" i="5"/>
  <c r="Z310" i="5"/>
  <c r="Z304" i="5" s="1"/>
  <c r="Y310" i="5"/>
  <c r="Y304" i="5" s="1"/>
  <c r="W310" i="5"/>
  <c r="W304" i="5" s="1"/>
  <c r="V310" i="5"/>
  <c r="V304" i="5" s="1"/>
  <c r="T310" i="5"/>
  <c r="T304" i="5" s="1"/>
  <c r="S310" i="5"/>
  <c r="S304" i="5" s="1"/>
  <c r="AZ378" i="5" l="1"/>
  <c r="AT346" i="5"/>
  <c r="BP346" i="5"/>
  <c r="BS347" i="5"/>
  <c r="CB347" i="5"/>
  <c r="CK347" i="5"/>
  <c r="AO364" i="5"/>
  <c r="AT363" i="5"/>
  <c r="AW364" i="5"/>
  <c r="BC363" i="5"/>
  <c r="BF364" i="5"/>
  <c r="AH378" i="5"/>
  <c r="BI378" i="5"/>
  <c r="BV379" i="5"/>
  <c r="AF347" i="5"/>
  <c r="AL346" i="5"/>
  <c r="AO347" i="5"/>
  <c r="AU346" i="5"/>
  <c r="BR346" i="5"/>
  <c r="S364" i="5"/>
  <c r="AE363" i="5"/>
  <c r="AH364" i="5"/>
  <c r="AN363" i="5"/>
  <c r="AQ364" i="5"/>
  <c r="AU363" i="5"/>
  <c r="BL364" i="5"/>
  <c r="CD364" i="5"/>
  <c r="AI378" i="5"/>
  <c r="AE346" i="5"/>
  <c r="AH347" i="5"/>
  <c r="AN346" i="5"/>
  <c r="AQ347" i="5"/>
  <c r="AW346" i="5"/>
  <c r="AZ347" i="5"/>
  <c r="CB346" i="5"/>
  <c r="CK346" i="5"/>
  <c r="AR364" i="5"/>
  <c r="BF363" i="5"/>
  <c r="BI364" i="5"/>
  <c r="AF346" i="5"/>
  <c r="AR347" i="5"/>
  <c r="AX346" i="5"/>
  <c r="BA347" i="5"/>
  <c r="BL347" i="5"/>
  <c r="BU347" i="5"/>
  <c r="CD347" i="5"/>
  <c r="AH363" i="5"/>
  <c r="AQ363" i="5"/>
  <c r="AX363" i="5"/>
  <c r="BJ364" i="5"/>
  <c r="BU363" i="5"/>
  <c r="BX364" i="5"/>
  <c r="CG364" i="5"/>
  <c r="Y378" i="5"/>
  <c r="AC379" i="5"/>
  <c r="AU379" i="5"/>
  <c r="BD379" i="5"/>
  <c r="BX378" i="5"/>
  <c r="CA379" i="5"/>
  <c r="Q403" i="5"/>
  <c r="AC364" i="5"/>
  <c r="AO363" i="5"/>
  <c r="BG363" i="5"/>
  <c r="BI379" i="5"/>
  <c r="BG379" i="5"/>
  <c r="CK363" i="5"/>
  <c r="AN364" i="5"/>
  <c r="R316" i="5"/>
  <c r="R329" i="5"/>
  <c r="Q329" i="5"/>
  <c r="BL379" i="5"/>
  <c r="BO378" i="5"/>
  <c r="Q305" i="5"/>
  <c r="Q307" i="5"/>
  <c r="R305" i="5"/>
  <c r="R307" i="5"/>
  <c r="Q306" i="5"/>
  <c r="R306" i="5"/>
  <c r="AI364" i="5"/>
  <c r="CE363" i="5"/>
  <c r="BU364" i="5"/>
  <c r="CA364" i="5"/>
  <c r="R538" i="5"/>
  <c r="T689" i="5"/>
  <c r="T527" i="5"/>
  <c r="T524" i="5" s="1"/>
  <c r="T525" i="5"/>
  <c r="T522" i="5" s="1"/>
  <c r="Z689" i="5"/>
  <c r="Z527" i="5"/>
  <c r="Z524" i="5" s="1"/>
  <c r="Z525" i="5"/>
  <c r="Z522" i="5" s="1"/>
  <c r="BV364" i="5"/>
  <c r="S690" i="5"/>
  <c r="Q539" i="5"/>
  <c r="V689" i="5"/>
  <c r="V527" i="5"/>
  <c r="V524" i="5" s="1"/>
  <c r="V525" i="5"/>
  <c r="V522" i="5" s="1"/>
  <c r="S689" i="5"/>
  <c r="S527" i="5"/>
  <c r="S524" i="5" s="1"/>
  <c r="S525" i="5"/>
  <c r="S522" i="5" s="1"/>
  <c r="Q538" i="5"/>
  <c r="Y689" i="5"/>
  <c r="Y527" i="5"/>
  <c r="Y524" i="5" s="1"/>
  <c r="Y525" i="5"/>
  <c r="Y522" i="5" s="1"/>
  <c r="R539" i="5"/>
  <c r="T690" i="5"/>
  <c r="W689" i="5"/>
  <c r="W527" i="5"/>
  <c r="W524" i="5" s="1"/>
  <c r="W525" i="5"/>
  <c r="W522" i="5" s="1"/>
  <c r="CB363" i="5"/>
  <c r="BY364" i="5"/>
  <c r="BJ378" i="5"/>
  <c r="BD378" i="5"/>
  <c r="AF364" i="5"/>
  <c r="AL363" i="5"/>
  <c r="AR363" i="5"/>
  <c r="BD363" i="5"/>
  <c r="AC363" i="5"/>
  <c r="AX364" i="5"/>
  <c r="BG364" i="5"/>
  <c r="CH364" i="5"/>
  <c r="Q349" i="5"/>
  <c r="Q346" i="5" s="1"/>
  <c r="AK347" i="5"/>
  <c r="BY378" i="5"/>
  <c r="W347" i="5"/>
  <c r="BX362" i="5"/>
  <c r="BF346" i="5"/>
  <c r="AW378" i="5"/>
  <c r="BV401" i="5"/>
  <c r="AH329" i="5"/>
  <c r="AH326" i="5" s="1"/>
  <c r="BY329" i="5"/>
  <c r="BY326" i="5" s="1"/>
  <c r="BC347" i="5"/>
  <c r="BI347" i="5"/>
  <c r="BJ346" i="5"/>
  <c r="S329" i="5"/>
  <c r="S326" i="5" s="1"/>
  <c r="V335" i="5"/>
  <c r="V327" i="5" s="1"/>
  <c r="BL329" i="5"/>
  <c r="BL326" i="5" s="1"/>
  <c r="BR329" i="5"/>
  <c r="BR326" i="5" s="1"/>
  <c r="BO329" i="5"/>
  <c r="BO335" i="5"/>
  <c r="BO327" i="5" s="1"/>
  <c r="AW348" i="5"/>
  <c r="AW345" i="5" s="1"/>
  <c r="BC348" i="5"/>
  <c r="BC345" i="5" s="1"/>
  <c r="BI348" i="5"/>
  <c r="BI345" i="5" s="1"/>
  <c r="BF347" i="5"/>
  <c r="CK348" i="5"/>
  <c r="CK345" i="5" s="1"/>
  <c r="CH348" i="5"/>
  <c r="CH345" i="5" s="1"/>
  <c r="BY377" i="5"/>
  <c r="CK378" i="5"/>
  <c r="CH377" i="5"/>
  <c r="CK379" i="5"/>
  <c r="AI401" i="5"/>
  <c r="BG410" i="5"/>
  <c r="BM410" i="5"/>
  <c r="BS410" i="5"/>
  <c r="BU401" i="5"/>
  <c r="CJ410" i="5"/>
  <c r="Q416" i="5"/>
  <c r="AT329" i="5"/>
  <c r="AT326" i="5" s="1"/>
  <c r="AW362" i="5"/>
  <c r="AZ362" i="5"/>
  <c r="CG377" i="5"/>
  <c r="AK401" i="5"/>
  <c r="AQ401" i="5"/>
  <c r="AW410" i="5"/>
  <c r="AL329" i="5"/>
  <c r="AL326" i="5" s="1"/>
  <c r="BV335" i="5"/>
  <c r="BV327" i="5" s="1"/>
  <c r="CB335" i="5"/>
  <c r="CB327" i="5" s="1"/>
  <c r="CG329" i="5"/>
  <c r="CG326" i="5" s="1"/>
  <c r="CD329" i="5"/>
  <c r="CD326" i="5" s="1"/>
  <c r="CD335" i="5"/>
  <c r="CD327" i="5" s="1"/>
  <c r="CJ335" i="5"/>
  <c r="CJ327" i="5" s="1"/>
  <c r="BU348" i="5"/>
  <c r="BU345" i="5" s="1"/>
  <c r="CA348" i="5"/>
  <c r="CA345" i="5" s="1"/>
  <c r="BX348" i="5"/>
  <c r="BX345" i="5" s="1"/>
  <c r="AT377" i="5"/>
  <c r="AZ377" i="5"/>
  <c r="AW377" i="5"/>
  <c r="BF377" i="5"/>
  <c r="AX329" i="5"/>
  <c r="AX326" i="5" s="1"/>
  <c r="BL348" i="5"/>
  <c r="BL345" i="5" s="1"/>
  <c r="CD348" i="5"/>
  <c r="CD345" i="5" s="1"/>
  <c r="CJ348" i="5"/>
  <c r="CJ345" i="5" s="1"/>
  <c r="AO377" i="5"/>
  <c r="BM377" i="5"/>
  <c r="BS377" i="5"/>
  <c r="BU377" i="5"/>
  <c r="CA377" i="5"/>
  <c r="BV410" i="5"/>
  <c r="CB410" i="5"/>
  <c r="CK410" i="5"/>
  <c r="AO329" i="5"/>
  <c r="AO326" i="5" s="1"/>
  <c r="AL335" i="5"/>
  <c r="AL327" i="5" s="1"/>
  <c r="AR335" i="5"/>
  <c r="AR327" i="5" s="1"/>
  <c r="BG348" i="5"/>
  <c r="BG345" i="5" s="1"/>
  <c r="BD347" i="5"/>
  <c r="BJ347" i="5"/>
  <c r="BI362" i="5"/>
  <c r="BL362" i="5"/>
  <c r="AB410" i="5"/>
  <c r="AH410" i="5"/>
  <c r="BF410" i="5"/>
  <c r="BL410" i="5"/>
  <c r="BR410" i="5"/>
  <c r="AR348" i="5"/>
  <c r="AR345" i="5" s="1"/>
  <c r="AR346" i="5"/>
  <c r="AO335" i="5"/>
  <c r="BL346" i="5"/>
  <c r="AE410" i="5"/>
  <c r="AI329" i="5"/>
  <c r="AI326" i="5" s="1"/>
  <c r="AW329" i="5"/>
  <c r="AW326" i="5" s="1"/>
  <c r="AT335" i="5"/>
  <c r="AZ335" i="5"/>
  <c r="AZ327" i="5" s="1"/>
  <c r="BD329" i="5"/>
  <c r="BG329" i="5"/>
  <c r="BG326" i="5" s="1"/>
  <c r="BG335" i="5"/>
  <c r="BG327" i="5" s="1"/>
  <c r="CE335" i="5"/>
  <c r="CE327" i="5" s="1"/>
  <c r="CK335" i="5"/>
  <c r="CK327" i="5" s="1"/>
  <c r="AX348" i="5"/>
  <c r="AX345" i="5" s="1"/>
  <c r="BG347" i="5"/>
  <c r="BO348" i="5"/>
  <c r="BO345" i="5" s="1"/>
  <c r="AB362" i="5"/>
  <c r="AH362" i="5"/>
  <c r="CH378" i="5"/>
  <c r="W401" i="5"/>
  <c r="AT401" i="5"/>
  <c r="AZ401" i="5"/>
  <c r="AW401" i="5"/>
  <c r="BC401" i="5"/>
  <c r="BI401" i="5"/>
  <c r="BF401" i="5"/>
  <c r="BO410" i="5"/>
  <c r="CA401" i="5"/>
  <c r="BY410" i="5"/>
  <c r="AB335" i="5"/>
  <c r="AB327" i="5" s="1"/>
  <c r="AH335" i="5"/>
  <c r="AH327" i="5" s="1"/>
  <c r="AU335" i="5"/>
  <c r="AU327" i="5" s="1"/>
  <c r="BA335" i="5"/>
  <c r="BA327" i="5" s="1"/>
  <c r="AC348" i="5"/>
  <c r="AC345" i="5" s="1"/>
  <c r="AI348" i="5"/>
  <c r="AI345" i="5" s="1"/>
  <c r="AX347" i="5"/>
  <c r="BF348" i="5"/>
  <c r="BF345" i="5" s="1"/>
  <c r="CB348" i="5"/>
  <c r="CB345" i="5" s="1"/>
  <c r="BY348" i="5"/>
  <c r="BY345" i="5" s="1"/>
  <c r="BP362" i="5"/>
  <c r="BU362" i="5"/>
  <c r="CA362" i="5"/>
  <c r="CJ378" i="5"/>
  <c r="S401" i="5"/>
  <c r="AB401" i="5"/>
  <c r="BJ401" i="5"/>
  <c r="BP401" i="5"/>
  <c r="T329" i="5"/>
  <c r="T326" i="5" s="1"/>
  <c r="AC329" i="5"/>
  <c r="AC326" i="5" s="1"/>
  <c r="AC335" i="5"/>
  <c r="AC327" i="5" s="1"/>
  <c r="BD335" i="5"/>
  <c r="BD327" i="5" s="1"/>
  <c r="BJ335" i="5"/>
  <c r="BJ327" i="5" s="1"/>
  <c r="BY335" i="5"/>
  <c r="R344" i="5"/>
  <c r="R342" i="5" s="1"/>
  <c r="T346" i="5"/>
  <c r="BU346" i="5"/>
  <c r="BX347" i="5"/>
  <c r="CG348" i="5"/>
  <c r="CG345" i="5" s="1"/>
  <c r="V363" i="5"/>
  <c r="Y362" i="5"/>
  <c r="S363" i="5"/>
  <c r="BC362" i="5"/>
  <c r="BI363" i="5"/>
  <c r="AC377" i="5"/>
  <c r="BX377" i="5"/>
  <c r="CH379" i="5"/>
  <c r="AN401" i="5"/>
  <c r="AN410" i="5"/>
  <c r="BX401" i="5"/>
  <c r="AB329" i="5"/>
  <c r="AB326" i="5" s="1"/>
  <c r="AU329" i="5"/>
  <c r="BA329" i="5"/>
  <c r="BA326" i="5" s="1"/>
  <c r="AX335" i="5"/>
  <c r="AX327" i="5" s="1"/>
  <c r="BU335" i="5"/>
  <c r="BU327" i="5" s="1"/>
  <c r="CA335" i="5"/>
  <c r="CA327" i="5" s="1"/>
  <c r="CE329" i="5"/>
  <c r="CK329" i="5"/>
  <c r="CK326" i="5" s="1"/>
  <c r="CH329" i="5"/>
  <c r="CH326" i="5" s="1"/>
  <c r="CH335" i="5"/>
  <c r="CH327" i="5" s="1"/>
  <c r="Z348" i="5"/>
  <c r="Z345" i="5" s="1"/>
  <c r="R349" i="5"/>
  <c r="AQ362" i="5"/>
  <c r="BF362" i="5"/>
  <c r="AI377" i="5"/>
  <c r="CE379" i="5"/>
  <c r="Y401" i="5"/>
  <c r="AE401" i="5"/>
  <c r="AC410" i="5"/>
  <c r="AI410" i="5"/>
  <c r="AF410" i="5"/>
  <c r="BU410" i="5"/>
  <c r="CA410" i="5"/>
  <c r="CD401" i="5"/>
  <c r="CG410" i="5"/>
  <c r="CD410" i="5"/>
  <c r="CA346" i="5"/>
  <c r="Y364" i="5"/>
  <c r="W379" i="5"/>
  <c r="CD378" i="5"/>
  <c r="CJ379" i="5"/>
  <c r="W410" i="5"/>
  <c r="Z410" i="5"/>
  <c r="CE410" i="5"/>
  <c r="V329" i="5"/>
  <c r="S335" i="5"/>
  <c r="S327" i="5" s="1"/>
  <c r="Y335" i="5"/>
  <c r="Y327" i="5" s="1"/>
  <c r="AE335" i="5"/>
  <c r="AE327" i="5" s="1"/>
  <c r="AN329" i="5"/>
  <c r="AN326" i="5" s="1"/>
  <c r="AQ329" i="5"/>
  <c r="AQ326" i="5" s="1"/>
  <c r="AK335" i="5"/>
  <c r="AK327" i="5" s="1"/>
  <c r="AQ335" i="5"/>
  <c r="AQ327" i="5" s="1"/>
  <c r="AZ329" i="5"/>
  <c r="AZ326" i="5" s="1"/>
  <c r="AW335" i="5"/>
  <c r="AW327" i="5" s="1"/>
  <c r="BM329" i="5"/>
  <c r="BS329" i="5"/>
  <c r="BS326" i="5" s="1"/>
  <c r="BP335" i="5"/>
  <c r="BP327" i="5" s="1"/>
  <c r="BU329" i="5"/>
  <c r="BU326" i="5" s="1"/>
  <c r="BX329" i="5"/>
  <c r="BX326" i="5" s="1"/>
  <c r="BX335" i="5"/>
  <c r="BX327" i="5" s="1"/>
  <c r="S347" i="5"/>
  <c r="Y363" i="5"/>
  <c r="AE362" i="5"/>
  <c r="AN362" i="5"/>
  <c r="AK362" i="5"/>
  <c r="AT362" i="5"/>
  <c r="AW363" i="5"/>
  <c r="BO362" i="5"/>
  <c r="BY362" i="5"/>
  <c r="CD362" i="5"/>
  <c r="Y379" i="5"/>
  <c r="AU377" i="5"/>
  <c r="BA377" i="5"/>
  <c r="CG378" i="5"/>
  <c r="CD379" i="5"/>
  <c r="CG379" i="5"/>
  <c r="T401" i="5"/>
  <c r="AH401" i="5"/>
  <c r="AL410" i="5"/>
  <c r="AR410" i="5"/>
  <c r="AU410" i="5"/>
  <c r="BA410" i="5"/>
  <c r="AX410" i="5"/>
  <c r="BC410" i="5"/>
  <c r="BL401" i="5"/>
  <c r="BR401" i="5"/>
  <c r="CG401" i="5"/>
  <c r="W329" i="5"/>
  <c r="W326" i="5" s="1"/>
  <c r="T335" i="5"/>
  <c r="Z335" i="5"/>
  <c r="Z327" i="5" s="1"/>
  <c r="BC329" i="5"/>
  <c r="BC326" i="5" s="1"/>
  <c r="BF329" i="5"/>
  <c r="BF326" i="5" s="1"/>
  <c r="BF335" i="5"/>
  <c r="BF327" i="5" s="1"/>
  <c r="BL335" i="5"/>
  <c r="BL327" i="5" s="1"/>
  <c r="BR335" i="5"/>
  <c r="BR327" i="5" s="1"/>
  <c r="BV329" i="5"/>
  <c r="CJ329" i="5"/>
  <c r="CG335" i="5"/>
  <c r="CG327" i="5" s="1"/>
  <c r="S348" i="5"/>
  <c r="S345" i="5" s="1"/>
  <c r="AB348" i="5"/>
  <c r="AB345" i="5" s="1"/>
  <c r="AE348" i="5"/>
  <c r="AE345" i="5" s="1"/>
  <c r="AK348" i="5"/>
  <c r="AK345" i="5" s="1"/>
  <c r="AQ348" i="5"/>
  <c r="AQ345" i="5" s="1"/>
  <c r="AN348" i="5"/>
  <c r="AN345" i="5" s="1"/>
  <c r="BI346" i="5"/>
  <c r="BO346" i="5"/>
  <c r="BM348" i="5"/>
  <c r="BM345" i="5" s="1"/>
  <c r="BS348" i="5"/>
  <c r="BS345" i="5" s="1"/>
  <c r="CJ346" i="5"/>
  <c r="R359" i="5"/>
  <c r="R357" i="5" s="1"/>
  <c r="BO363" i="5"/>
  <c r="CD363" i="5"/>
  <c r="T378" i="5"/>
  <c r="W378" i="5"/>
  <c r="AU401" i="5"/>
  <c r="AI335" i="5"/>
  <c r="Z363" i="5"/>
  <c r="BP410" i="5"/>
  <c r="R335" i="5"/>
  <c r="R310" i="5"/>
  <c r="Z329" i="5"/>
  <c r="BC335" i="5"/>
  <c r="BC327" i="5" s="1"/>
  <c r="BI335" i="5"/>
  <c r="BI327" i="5" s="1"/>
  <c r="BP329" i="5"/>
  <c r="BM335" i="5"/>
  <c r="BM327" i="5" s="1"/>
  <c r="BS335" i="5"/>
  <c r="BS327" i="5" s="1"/>
  <c r="Q335" i="5"/>
  <c r="Q327" i="5" s="1"/>
  <c r="W335" i="5"/>
  <c r="W327" i="5" s="1"/>
  <c r="AF335" i="5"/>
  <c r="AF327" i="5" s="1"/>
  <c r="AK329" i="5"/>
  <c r="AN335" i="5"/>
  <c r="AN327" i="5" s="1"/>
  <c r="BI329" i="5"/>
  <c r="BI326" i="5" s="1"/>
  <c r="CA329" i="5"/>
  <c r="W348" i="5"/>
  <c r="W345" i="5" s="1"/>
  <c r="AB346" i="5"/>
  <c r="AK346" i="5"/>
  <c r="AT348" i="5"/>
  <c r="AT345" i="5" s="1"/>
  <c r="AZ348" i="5"/>
  <c r="AZ345" i="5" s="1"/>
  <c r="AW347" i="5"/>
  <c r="BJ348" i="5"/>
  <c r="BJ345" i="5" s="1"/>
  <c r="BD346" i="5"/>
  <c r="BP348" i="5"/>
  <c r="BP345" i="5" s="1"/>
  <c r="BV348" i="5"/>
  <c r="BV345" i="5" s="1"/>
  <c r="CE346" i="5"/>
  <c r="BV362" i="5"/>
  <c r="CG362" i="5"/>
  <c r="Z377" i="5"/>
  <c r="AE377" i="5"/>
  <c r="BI377" i="5"/>
  <c r="BL377" i="5"/>
  <c r="BR377" i="5"/>
  <c r="BO377" i="5"/>
  <c r="Y410" i="5"/>
  <c r="AK410" i="5"/>
  <c r="AQ410" i="5"/>
  <c r="BO401" i="5"/>
  <c r="CJ401" i="5"/>
  <c r="Q407" i="5"/>
  <c r="Q411" i="5"/>
  <c r="AE329" i="5"/>
  <c r="AE326" i="5" s="1"/>
  <c r="Y348" i="5"/>
  <c r="Y345" i="5" s="1"/>
  <c r="V347" i="5"/>
  <c r="AH348" i="5"/>
  <c r="AH345" i="5" s="1"/>
  <c r="AF348" i="5"/>
  <c r="AF345" i="5" s="1"/>
  <c r="AO348" i="5"/>
  <c r="AO345" i="5" s="1"/>
  <c r="AU348" i="5"/>
  <c r="AU345" i="5" s="1"/>
  <c r="BA348" i="5"/>
  <c r="BA345" i="5" s="1"/>
  <c r="BC346" i="5"/>
  <c r="BR348" i="5"/>
  <c r="BR345" i="5" s="1"/>
  <c r="CG347" i="5"/>
  <c r="BL363" i="5"/>
  <c r="CJ362" i="5"/>
  <c r="AN377" i="5"/>
  <c r="AK377" i="5"/>
  <c r="AQ377" i="5"/>
  <c r="CE378" i="5"/>
  <c r="AO410" i="5"/>
  <c r="AE347" i="5"/>
  <c r="AN347" i="5"/>
  <c r="Q412" i="5"/>
  <c r="BY346" i="5"/>
  <c r="S362" i="5"/>
  <c r="W363" i="5"/>
  <c r="V401" i="5"/>
  <c r="AC401" i="5"/>
  <c r="AT410" i="5"/>
  <c r="Q402" i="5"/>
  <c r="Q413" i="5"/>
  <c r="Y329" i="5"/>
  <c r="AR329" i="5"/>
  <c r="Q314" i="5"/>
  <c r="R314" i="5"/>
  <c r="Q366" i="5"/>
  <c r="Q364" i="5" s="1"/>
  <c r="Q365" i="5"/>
  <c r="Q363" i="5" s="1"/>
  <c r="Q404" i="5"/>
  <c r="AF329" i="5"/>
  <c r="AF326" i="5" s="1"/>
  <c r="BJ329" i="5"/>
  <c r="CB329" i="5"/>
  <c r="Q380" i="5"/>
  <c r="Q378" i="5" s="1"/>
  <c r="CE401" i="5"/>
  <c r="AL401" i="5"/>
  <c r="AF401" i="5"/>
  <c r="BY401" i="5"/>
  <c r="BM401" i="5"/>
  <c r="AR401" i="5"/>
  <c r="BS401" i="5"/>
  <c r="BA401" i="5"/>
  <c r="BD401" i="5"/>
  <c r="BG401" i="5"/>
  <c r="AO401" i="5"/>
  <c r="CK401" i="5"/>
  <c r="AX401" i="5"/>
  <c r="CB401" i="5"/>
  <c r="R402" i="5"/>
  <c r="CH401" i="5"/>
  <c r="R407" i="5"/>
  <c r="R411" i="5"/>
  <c r="R413" i="5"/>
  <c r="BI410" i="5"/>
  <c r="AZ410" i="5"/>
  <c r="BD410" i="5"/>
  <c r="BJ410" i="5"/>
  <c r="BX410" i="5"/>
  <c r="CH410" i="5"/>
  <c r="R416" i="5"/>
  <c r="S410" i="5"/>
  <c r="T410" i="5"/>
  <c r="V410" i="5"/>
  <c r="R404" i="5"/>
  <c r="Z401" i="5"/>
  <c r="R403" i="5"/>
  <c r="R412" i="5"/>
  <c r="AC362" i="5"/>
  <c r="AL364" i="5"/>
  <c r="AI362" i="5"/>
  <c r="AF362" i="5"/>
  <c r="T364" i="5"/>
  <c r="CH362" i="5"/>
  <c r="AF363" i="5"/>
  <c r="BY363" i="5"/>
  <c r="R365" i="5"/>
  <c r="R363" i="5" s="1"/>
  <c r="BM363" i="5"/>
  <c r="Z362" i="5"/>
  <c r="BP363" i="5"/>
  <c r="BV363" i="5"/>
  <c r="T363" i="5"/>
  <c r="BS363" i="5"/>
  <c r="BR362" i="5"/>
  <c r="W362" i="5"/>
  <c r="BG362" i="5"/>
  <c r="AO362" i="5"/>
  <c r="AX362" i="5"/>
  <c r="CK364" i="5"/>
  <c r="CE364" i="5"/>
  <c r="BM364" i="5"/>
  <c r="BJ362" i="5"/>
  <c r="BD362" i="5"/>
  <c r="AZ364" i="5"/>
  <c r="R366" i="5"/>
  <c r="R364" i="5" s="1"/>
  <c r="AU362" i="5"/>
  <c r="AL362" i="5"/>
  <c r="Z364" i="5"/>
  <c r="CE362" i="5"/>
  <c r="AR362" i="5"/>
  <c r="BA362" i="5"/>
  <c r="BM362" i="5"/>
  <c r="BS362" i="5"/>
  <c r="BA363" i="5"/>
  <c r="CB362" i="5"/>
  <c r="CK362" i="5"/>
  <c r="BF379" i="5"/>
  <c r="Q381" i="5"/>
  <c r="BC377" i="5"/>
  <c r="R380" i="5"/>
  <c r="R378" i="5" s="1"/>
  <c r="R381" i="5"/>
  <c r="R379" i="5" s="1"/>
  <c r="BC378" i="5"/>
  <c r="BG377" i="5"/>
  <c r="BF378" i="5"/>
  <c r="AH379" i="5"/>
  <c r="T379" i="5"/>
  <c r="W377" i="5"/>
  <c r="AX377" i="5"/>
  <c r="BJ377" i="5"/>
  <c r="S378" i="5"/>
  <c r="V378" i="5"/>
  <c r="AE378" i="5"/>
  <c r="AL377" i="5"/>
  <c r="AR377" i="5"/>
  <c r="BP377" i="5"/>
  <c r="Z378" i="5"/>
  <c r="AB379" i="5"/>
  <c r="BD377" i="5"/>
  <c r="V379" i="5"/>
  <c r="AF378" i="5"/>
  <c r="BV377" i="5"/>
  <c r="CB377" i="5"/>
  <c r="AF377" i="5"/>
  <c r="S377" i="5"/>
  <c r="S379" i="5"/>
  <c r="Y377" i="5"/>
  <c r="AB377" i="5"/>
  <c r="CD377" i="5"/>
  <c r="CJ377" i="5"/>
  <c r="V377" i="5"/>
  <c r="CE377" i="5"/>
  <c r="CK377" i="5"/>
  <c r="AH377" i="5"/>
  <c r="T377" i="5"/>
  <c r="W364" i="5"/>
  <c r="V362" i="5"/>
  <c r="T362" i="5"/>
  <c r="Y347" i="5"/>
  <c r="AQ346" i="5"/>
  <c r="AZ346" i="5"/>
  <c r="T348" i="5"/>
  <c r="T345" i="5" s="1"/>
  <c r="CE348" i="5"/>
  <c r="CE345" i="5" s="1"/>
  <c r="BD348" i="5"/>
  <c r="BD345" i="5" s="1"/>
  <c r="AL348" i="5"/>
  <c r="AL345" i="5" s="1"/>
  <c r="R353" i="5"/>
  <c r="R347" i="5" s="1"/>
  <c r="Q353" i="5"/>
  <c r="CH346" i="5"/>
  <c r="BM346" i="5"/>
  <c r="BS346" i="5"/>
  <c r="BG346" i="5"/>
  <c r="AO346" i="5"/>
  <c r="AC346" i="5"/>
  <c r="AI346" i="5"/>
  <c r="Z347" i="5"/>
  <c r="V348" i="5"/>
  <c r="V345" i="5" s="1"/>
  <c r="T347" i="5"/>
  <c r="Y346" i="5"/>
  <c r="Z346" i="5"/>
  <c r="V346" i="5"/>
  <c r="W346" i="5"/>
  <c r="S346" i="5"/>
  <c r="R343" i="5"/>
  <c r="Q310" i="5"/>
  <c r="Q302" i="5"/>
  <c r="Q301" i="5"/>
  <c r="R299" i="5"/>
  <c r="Q299" i="5"/>
  <c r="R298" i="5"/>
  <c r="Q298" i="5"/>
  <c r="R293" i="5"/>
  <c r="Q293" i="5"/>
  <c r="R292" i="5"/>
  <c r="Q292" i="5"/>
  <c r="R290" i="5"/>
  <c r="Q290" i="5"/>
  <c r="R289" i="5"/>
  <c r="Q289" i="5"/>
  <c r="CK300" i="5"/>
  <c r="CJ300" i="5"/>
  <c r="CH300" i="5"/>
  <c r="CG300" i="5"/>
  <c r="CE300" i="5"/>
  <c r="CD300" i="5"/>
  <c r="CK297" i="5"/>
  <c r="CJ297" i="5"/>
  <c r="CH297" i="5"/>
  <c r="CG297" i="5"/>
  <c r="CE297" i="5"/>
  <c r="CD297" i="5"/>
  <c r="CK296" i="5"/>
  <c r="CJ296" i="5"/>
  <c r="CH296" i="5"/>
  <c r="CG296" i="5"/>
  <c r="CE296" i="5"/>
  <c r="CD296" i="5"/>
  <c r="CK295" i="5"/>
  <c r="CJ295" i="5"/>
  <c r="CH295" i="5"/>
  <c r="CG295" i="5"/>
  <c r="CE295" i="5"/>
  <c r="CD295" i="5"/>
  <c r="CK291" i="5"/>
  <c r="CJ291" i="5"/>
  <c r="CH291" i="5"/>
  <c r="CG291" i="5"/>
  <c r="CE291" i="5"/>
  <c r="CD291" i="5"/>
  <c r="CK288" i="5"/>
  <c r="CJ288" i="5"/>
  <c r="CH288" i="5"/>
  <c r="CG288" i="5"/>
  <c r="CE288" i="5"/>
  <c r="CD288" i="5"/>
  <c r="CK287" i="5"/>
  <c r="CJ287" i="5"/>
  <c r="CH287" i="5"/>
  <c r="CG287" i="5"/>
  <c r="CE287" i="5"/>
  <c r="CD287" i="5"/>
  <c r="CK286" i="5"/>
  <c r="CJ286" i="5"/>
  <c r="CH286" i="5"/>
  <c r="CG286" i="5"/>
  <c r="CE286" i="5"/>
  <c r="CD286" i="5"/>
  <c r="CB300" i="5"/>
  <c r="CA300" i="5"/>
  <c r="BY300" i="5"/>
  <c r="BX300" i="5"/>
  <c r="BV300" i="5"/>
  <c r="BU300" i="5"/>
  <c r="CB297" i="5"/>
  <c r="CA297" i="5"/>
  <c r="BY297" i="5"/>
  <c r="BX297" i="5"/>
  <c r="BV297" i="5"/>
  <c r="BU297" i="5"/>
  <c r="CB296" i="5"/>
  <c r="CA296" i="5"/>
  <c r="BY296" i="5"/>
  <c r="BX296" i="5"/>
  <c r="BV296" i="5"/>
  <c r="BU296" i="5"/>
  <c r="CB295" i="5"/>
  <c r="CA295" i="5"/>
  <c r="BY295" i="5"/>
  <c r="BX295" i="5"/>
  <c r="BV295" i="5"/>
  <c r="BU295" i="5"/>
  <c r="CB291" i="5"/>
  <c r="CA291" i="5"/>
  <c r="BY291" i="5"/>
  <c r="BX291" i="5"/>
  <c r="BV291" i="5"/>
  <c r="BU291" i="5"/>
  <c r="CB288" i="5"/>
  <c r="CA288" i="5"/>
  <c r="BY288" i="5"/>
  <c r="BX288" i="5"/>
  <c r="BV288" i="5"/>
  <c r="BU288" i="5"/>
  <c r="CB287" i="5"/>
  <c r="CA287" i="5"/>
  <c r="BY287" i="5"/>
  <c r="BX287" i="5"/>
  <c r="BV287" i="5"/>
  <c r="BU287" i="5"/>
  <c r="CB286" i="5"/>
  <c r="CA286" i="5"/>
  <c r="BY286" i="5"/>
  <c r="BX286" i="5"/>
  <c r="BV286" i="5"/>
  <c r="BU286" i="5"/>
  <c r="BS300" i="5"/>
  <c r="BR300" i="5"/>
  <c r="BP300" i="5"/>
  <c r="BO300" i="5"/>
  <c r="BM300" i="5"/>
  <c r="BL300" i="5"/>
  <c r="BS297" i="5"/>
  <c r="BR297" i="5"/>
  <c r="BP297" i="5"/>
  <c r="BO297" i="5"/>
  <c r="BM297" i="5"/>
  <c r="BL297" i="5"/>
  <c r="BS296" i="5"/>
  <c r="BR296" i="5"/>
  <c r="BP296" i="5"/>
  <c r="BO296" i="5"/>
  <c r="BM296" i="5"/>
  <c r="BL296" i="5"/>
  <c r="BS295" i="5"/>
  <c r="BR295" i="5"/>
  <c r="BP295" i="5"/>
  <c r="BO295" i="5"/>
  <c r="BM295" i="5"/>
  <c r="BL295" i="5"/>
  <c r="BS291" i="5"/>
  <c r="BR291" i="5"/>
  <c r="BP291" i="5"/>
  <c r="BO291" i="5"/>
  <c r="BM291" i="5"/>
  <c r="BL291" i="5"/>
  <c r="BS288" i="5"/>
  <c r="BR288" i="5"/>
  <c r="BP288" i="5"/>
  <c r="BO288" i="5"/>
  <c r="BM288" i="5"/>
  <c r="BL288" i="5"/>
  <c r="BS287" i="5"/>
  <c r="BR287" i="5"/>
  <c r="BP287" i="5"/>
  <c r="BO287" i="5"/>
  <c r="BM287" i="5"/>
  <c r="BL287" i="5"/>
  <c r="BS286" i="5"/>
  <c r="BR286" i="5"/>
  <c r="BP286" i="5"/>
  <c r="BO286" i="5"/>
  <c r="BM286" i="5"/>
  <c r="BL286" i="5"/>
  <c r="BJ300" i="5"/>
  <c r="BI300" i="5"/>
  <c r="BG300" i="5"/>
  <c r="BF300" i="5"/>
  <c r="BD300" i="5"/>
  <c r="BC300" i="5"/>
  <c r="BJ297" i="5"/>
  <c r="BI297" i="5"/>
  <c r="BG297" i="5"/>
  <c r="BF297" i="5"/>
  <c r="BD297" i="5"/>
  <c r="BC297" i="5"/>
  <c r="BJ296" i="5"/>
  <c r="BI296" i="5"/>
  <c r="BG296" i="5"/>
  <c r="BF296" i="5"/>
  <c r="BD296" i="5"/>
  <c r="BC296" i="5"/>
  <c r="BJ295" i="5"/>
  <c r="BI295" i="5"/>
  <c r="BG295" i="5"/>
  <c r="BF295" i="5"/>
  <c r="BD295" i="5"/>
  <c r="BC295" i="5"/>
  <c r="BJ291" i="5"/>
  <c r="BI291" i="5"/>
  <c r="BG291" i="5"/>
  <c r="BF291" i="5"/>
  <c r="BD291" i="5"/>
  <c r="BC291" i="5"/>
  <c r="BJ288" i="5"/>
  <c r="BI288" i="5"/>
  <c r="BG288" i="5"/>
  <c r="BF288" i="5"/>
  <c r="BD288" i="5"/>
  <c r="BC288" i="5"/>
  <c r="BJ287" i="5"/>
  <c r="BI287" i="5"/>
  <c r="BG287" i="5"/>
  <c r="BF287" i="5"/>
  <c r="BD287" i="5"/>
  <c r="BC287" i="5"/>
  <c r="BJ286" i="5"/>
  <c r="BI286" i="5"/>
  <c r="BG286" i="5"/>
  <c r="BF286" i="5"/>
  <c r="BD286" i="5"/>
  <c r="BC286" i="5"/>
  <c r="BA300" i="5"/>
  <c r="AZ300" i="5"/>
  <c r="AX300" i="5"/>
  <c r="AW300" i="5"/>
  <c r="AU300" i="5"/>
  <c r="AT300" i="5"/>
  <c r="BA297" i="5"/>
  <c r="AZ297" i="5"/>
  <c r="AX297" i="5"/>
  <c r="AW297" i="5"/>
  <c r="AU297" i="5"/>
  <c r="AT297" i="5"/>
  <c r="BA296" i="5"/>
  <c r="AZ296" i="5"/>
  <c r="AX296" i="5"/>
  <c r="AW296" i="5"/>
  <c r="AU296" i="5"/>
  <c r="AT296" i="5"/>
  <c r="BA295" i="5"/>
  <c r="AZ295" i="5"/>
  <c r="AX295" i="5"/>
  <c r="AW295" i="5"/>
  <c r="AU295" i="5"/>
  <c r="AT295" i="5"/>
  <c r="BA291" i="5"/>
  <c r="AZ291" i="5"/>
  <c r="AX291" i="5"/>
  <c r="AW291" i="5"/>
  <c r="AU291" i="5"/>
  <c r="AT291" i="5"/>
  <c r="BA288" i="5"/>
  <c r="AZ288" i="5"/>
  <c r="AX288" i="5"/>
  <c r="AW288" i="5"/>
  <c r="AU288" i="5"/>
  <c r="AT288" i="5"/>
  <c r="BA287" i="5"/>
  <c r="AZ287" i="5"/>
  <c r="AX287" i="5"/>
  <c r="AW287" i="5"/>
  <c r="AU287" i="5"/>
  <c r="AT287" i="5"/>
  <c r="BA286" i="5"/>
  <c r="AZ286" i="5"/>
  <c r="AX286" i="5"/>
  <c r="AW286" i="5"/>
  <c r="AU286" i="5"/>
  <c r="AT286" i="5"/>
  <c r="AR300" i="5"/>
  <c r="AQ300" i="5"/>
  <c r="AO300" i="5"/>
  <c r="AN300" i="5"/>
  <c r="AL300" i="5"/>
  <c r="AK300" i="5"/>
  <c r="AR297" i="5"/>
  <c r="AQ297" i="5"/>
  <c r="AO297" i="5"/>
  <c r="AN297" i="5"/>
  <c r="AL297" i="5"/>
  <c r="AK297" i="5"/>
  <c r="AR296" i="5"/>
  <c r="AQ296" i="5"/>
  <c r="AO296" i="5"/>
  <c r="AN296" i="5"/>
  <c r="AL296" i="5"/>
  <c r="AK296" i="5"/>
  <c r="AR295" i="5"/>
  <c r="AQ295" i="5"/>
  <c r="AO295" i="5"/>
  <c r="AN295" i="5"/>
  <c r="AL295" i="5"/>
  <c r="AK295" i="5"/>
  <c r="AR291" i="5"/>
  <c r="AQ291" i="5"/>
  <c r="AO291" i="5"/>
  <c r="AN291" i="5"/>
  <c r="AL291" i="5"/>
  <c r="AK291" i="5"/>
  <c r="AR288" i="5"/>
  <c r="AQ288" i="5"/>
  <c r="AO288" i="5"/>
  <c r="AN288" i="5"/>
  <c r="AL288" i="5"/>
  <c r="AK288" i="5"/>
  <c r="AR287" i="5"/>
  <c r="AQ287" i="5"/>
  <c r="AO287" i="5"/>
  <c r="AN287" i="5"/>
  <c r="AL287" i="5"/>
  <c r="AK287" i="5"/>
  <c r="AR286" i="5"/>
  <c r="AQ286" i="5"/>
  <c r="AO286" i="5"/>
  <c r="AN286" i="5"/>
  <c r="AL286" i="5"/>
  <c r="AK286" i="5"/>
  <c r="AI300" i="5"/>
  <c r="AH300" i="5"/>
  <c r="AF300" i="5"/>
  <c r="AE300" i="5"/>
  <c r="AC300" i="5"/>
  <c r="AB300" i="5"/>
  <c r="AI297" i="5"/>
  <c r="AH297" i="5"/>
  <c r="AF297" i="5"/>
  <c r="AE297" i="5"/>
  <c r="AC297" i="5"/>
  <c r="AB297" i="5"/>
  <c r="AI296" i="5"/>
  <c r="AH296" i="5"/>
  <c r="AF296" i="5"/>
  <c r="AE296" i="5"/>
  <c r="AC296" i="5"/>
  <c r="AB296" i="5"/>
  <c r="AI295" i="5"/>
  <c r="AH295" i="5"/>
  <c r="AF295" i="5"/>
  <c r="AE295" i="5"/>
  <c r="AC295" i="5"/>
  <c r="AB295" i="5"/>
  <c r="AI291" i="5"/>
  <c r="AH291" i="5"/>
  <c r="AF291" i="5"/>
  <c r="AE291" i="5"/>
  <c r="AC291" i="5"/>
  <c r="AB291" i="5"/>
  <c r="AI288" i="5"/>
  <c r="AH288" i="5"/>
  <c r="AF288" i="5"/>
  <c r="AE288" i="5"/>
  <c r="AC288" i="5"/>
  <c r="AB288" i="5"/>
  <c r="AI287" i="5"/>
  <c r="AH287" i="5"/>
  <c r="AF287" i="5"/>
  <c r="AE287" i="5"/>
  <c r="AC287" i="5"/>
  <c r="AB287" i="5"/>
  <c r="AI286" i="5"/>
  <c r="AH286" i="5"/>
  <c r="AF286" i="5"/>
  <c r="AE286" i="5"/>
  <c r="AC286" i="5"/>
  <c r="AB286" i="5"/>
  <c r="Z300" i="5"/>
  <c r="Y300" i="5"/>
  <c r="W300" i="5"/>
  <c r="V300" i="5"/>
  <c r="T300" i="5"/>
  <c r="S300" i="5"/>
  <c r="Z297" i="5"/>
  <c r="Y297" i="5"/>
  <c r="Z296" i="5"/>
  <c r="Y296" i="5"/>
  <c r="Z295" i="5"/>
  <c r="Y295" i="5"/>
  <c r="W297" i="5"/>
  <c r="V297" i="5"/>
  <c r="W296" i="5"/>
  <c r="V296" i="5"/>
  <c r="W295" i="5"/>
  <c r="V295" i="5"/>
  <c r="T297" i="5"/>
  <c r="S297" i="5"/>
  <c r="T296" i="5"/>
  <c r="S296" i="5"/>
  <c r="T295" i="5"/>
  <c r="S295" i="5"/>
  <c r="Z291" i="5"/>
  <c r="Y291" i="5"/>
  <c r="W291" i="5"/>
  <c r="V291" i="5"/>
  <c r="T291" i="5"/>
  <c r="S291" i="5"/>
  <c r="Z288" i="5"/>
  <c r="Y288" i="5"/>
  <c r="Z287" i="5"/>
  <c r="Y287" i="5"/>
  <c r="Z286" i="5"/>
  <c r="Y286" i="5"/>
  <c r="W288" i="5"/>
  <c r="V288" i="5"/>
  <c r="W287" i="5"/>
  <c r="V287" i="5"/>
  <c r="W286" i="5"/>
  <c r="V286" i="5"/>
  <c r="T288" i="5"/>
  <c r="S288" i="5"/>
  <c r="T287" i="5"/>
  <c r="S287" i="5"/>
  <c r="T286" i="5"/>
  <c r="S286" i="5"/>
  <c r="R280" i="5"/>
  <c r="Q280" i="5"/>
  <c r="R279" i="5"/>
  <c r="Q279" i="5"/>
  <c r="Q277" i="5"/>
  <c r="Q276" i="5"/>
  <c r="R274" i="5"/>
  <c r="Q274" i="5"/>
  <c r="R273" i="5"/>
  <c r="Q273" i="5"/>
  <c r="CK278" i="5"/>
  <c r="CJ278" i="5"/>
  <c r="CH278" i="5"/>
  <c r="CG278" i="5"/>
  <c r="CE278" i="5"/>
  <c r="CD278" i="5"/>
  <c r="CJ275" i="5"/>
  <c r="CH275" i="5"/>
  <c r="CG275" i="5"/>
  <c r="CE275" i="5"/>
  <c r="CD275" i="5"/>
  <c r="CK272" i="5"/>
  <c r="CJ272" i="5"/>
  <c r="CH272" i="5"/>
  <c r="CG272" i="5"/>
  <c r="CE272" i="5"/>
  <c r="CD272" i="5"/>
  <c r="CJ268" i="5"/>
  <c r="CH268" i="5"/>
  <c r="CG268" i="5"/>
  <c r="CE268" i="5"/>
  <c r="CD268" i="5"/>
  <c r="CJ267" i="5"/>
  <c r="CH267" i="5"/>
  <c r="CG267" i="5"/>
  <c r="CE267" i="5"/>
  <c r="CD267" i="5"/>
  <c r="CB278" i="5"/>
  <c r="CA278" i="5"/>
  <c r="BY278" i="5"/>
  <c r="BX278" i="5"/>
  <c r="BV278" i="5"/>
  <c r="BU278" i="5"/>
  <c r="CB275" i="5"/>
  <c r="CA275" i="5"/>
  <c r="BY275" i="5"/>
  <c r="BX275" i="5"/>
  <c r="BV275" i="5"/>
  <c r="BU275" i="5"/>
  <c r="CB272" i="5"/>
  <c r="CA272" i="5"/>
  <c r="BY272" i="5"/>
  <c r="BX272" i="5"/>
  <c r="BV272" i="5"/>
  <c r="BU272" i="5"/>
  <c r="CB268" i="5"/>
  <c r="CA268" i="5"/>
  <c r="BY268" i="5"/>
  <c r="BX268" i="5"/>
  <c r="BV268" i="5"/>
  <c r="BU268" i="5"/>
  <c r="CB267" i="5"/>
  <c r="CA267" i="5"/>
  <c r="BY267" i="5"/>
  <c r="BX267" i="5"/>
  <c r="BV267" i="5"/>
  <c r="BU267" i="5"/>
  <c r="BS278" i="5"/>
  <c r="BR278" i="5"/>
  <c r="BP278" i="5"/>
  <c r="BO278" i="5"/>
  <c r="BM278" i="5"/>
  <c r="BL278" i="5"/>
  <c r="BS275" i="5"/>
  <c r="BR275" i="5"/>
  <c r="BP275" i="5"/>
  <c r="BO275" i="5"/>
  <c r="BM275" i="5"/>
  <c r="BL275" i="5"/>
  <c r="BS272" i="5"/>
  <c r="BR272" i="5"/>
  <c r="BP272" i="5"/>
  <c r="BO272" i="5"/>
  <c r="BM272" i="5"/>
  <c r="BL272" i="5"/>
  <c r="BS268" i="5"/>
  <c r="BR268" i="5"/>
  <c r="BP268" i="5"/>
  <c r="BO268" i="5"/>
  <c r="BM268" i="5"/>
  <c r="BL268" i="5"/>
  <c r="BS267" i="5"/>
  <c r="BR267" i="5"/>
  <c r="BP267" i="5"/>
  <c r="BO267" i="5"/>
  <c r="BM267" i="5"/>
  <c r="BL267" i="5"/>
  <c r="BJ278" i="5"/>
  <c r="BI278" i="5"/>
  <c r="BG278" i="5"/>
  <c r="BF278" i="5"/>
  <c r="BD278" i="5"/>
  <c r="BC278" i="5"/>
  <c r="BJ275" i="5"/>
  <c r="BI275" i="5"/>
  <c r="BG275" i="5"/>
  <c r="BF275" i="5"/>
  <c r="BD275" i="5"/>
  <c r="BC275" i="5"/>
  <c r="BJ272" i="5"/>
  <c r="BI272" i="5"/>
  <c r="BG272" i="5"/>
  <c r="BF272" i="5"/>
  <c r="BD272" i="5"/>
  <c r="BC272" i="5"/>
  <c r="BJ268" i="5"/>
  <c r="BI268" i="5"/>
  <c r="BG268" i="5"/>
  <c r="BF268" i="5"/>
  <c r="BD268" i="5"/>
  <c r="BC268" i="5"/>
  <c r="BJ267" i="5"/>
  <c r="BI267" i="5"/>
  <c r="BG267" i="5"/>
  <c r="BF267" i="5"/>
  <c r="BD267" i="5"/>
  <c r="BC267" i="5"/>
  <c r="BA278" i="5"/>
  <c r="AZ278" i="5"/>
  <c r="AX278" i="5"/>
  <c r="AW278" i="5"/>
  <c r="AU278" i="5"/>
  <c r="AT278" i="5"/>
  <c r="BA275" i="5"/>
  <c r="AZ275" i="5"/>
  <c r="AX275" i="5"/>
  <c r="AW275" i="5"/>
  <c r="AU275" i="5"/>
  <c r="AT275" i="5"/>
  <c r="BA272" i="5"/>
  <c r="AZ272" i="5"/>
  <c r="AX272" i="5"/>
  <c r="AW272" i="5"/>
  <c r="AU272" i="5"/>
  <c r="AT272" i="5"/>
  <c r="BA268" i="5"/>
  <c r="AZ268" i="5"/>
  <c r="AX268" i="5"/>
  <c r="AW268" i="5"/>
  <c r="AU268" i="5"/>
  <c r="AT268" i="5"/>
  <c r="BA267" i="5"/>
  <c r="AZ267" i="5"/>
  <c r="AX267" i="5"/>
  <c r="AW267" i="5"/>
  <c r="AU267" i="5"/>
  <c r="AT267" i="5"/>
  <c r="AR278" i="5"/>
  <c r="AQ278" i="5"/>
  <c r="AO278" i="5"/>
  <c r="AN278" i="5"/>
  <c r="AL278" i="5"/>
  <c r="AK278" i="5"/>
  <c r="AR275" i="5"/>
  <c r="AQ275" i="5"/>
  <c r="AO275" i="5"/>
  <c r="AN275" i="5"/>
  <c r="AL275" i="5"/>
  <c r="AK275" i="5"/>
  <c r="AR272" i="5"/>
  <c r="AQ272" i="5"/>
  <c r="AO272" i="5"/>
  <c r="AN272" i="5"/>
  <c r="AL272" i="5"/>
  <c r="AK272" i="5"/>
  <c r="AR268" i="5"/>
  <c r="AQ268" i="5"/>
  <c r="AO268" i="5"/>
  <c r="AN268" i="5"/>
  <c r="AL268" i="5"/>
  <c r="AK268" i="5"/>
  <c r="AR267" i="5"/>
  <c r="AQ267" i="5"/>
  <c r="AO267" i="5"/>
  <c r="AN267" i="5"/>
  <c r="AL267" i="5"/>
  <c r="AK267" i="5"/>
  <c r="AI278" i="5"/>
  <c r="AH278" i="5"/>
  <c r="AF278" i="5"/>
  <c r="AE278" i="5"/>
  <c r="AC278" i="5"/>
  <c r="AB278" i="5"/>
  <c r="AI275" i="5"/>
  <c r="AH275" i="5"/>
  <c r="AF275" i="5"/>
  <c r="AE275" i="5"/>
  <c r="AC275" i="5"/>
  <c r="AB275" i="5"/>
  <c r="AI272" i="5"/>
  <c r="AH272" i="5"/>
  <c r="AF272" i="5"/>
  <c r="AE272" i="5"/>
  <c r="AC272" i="5"/>
  <c r="AB272" i="5"/>
  <c r="AI268" i="5"/>
  <c r="AH268" i="5"/>
  <c r="AF268" i="5"/>
  <c r="AE268" i="5"/>
  <c r="AC268" i="5"/>
  <c r="AB268" i="5"/>
  <c r="AI267" i="5"/>
  <c r="AH267" i="5"/>
  <c r="AF267" i="5"/>
  <c r="AE267" i="5"/>
  <c r="AC267" i="5"/>
  <c r="AB267" i="5"/>
  <c r="Z278" i="5"/>
  <c r="Y278" i="5"/>
  <c r="W278" i="5"/>
  <c r="V278" i="5"/>
  <c r="T278" i="5"/>
  <c r="S278" i="5"/>
  <c r="Z275" i="5"/>
  <c r="Y275" i="5"/>
  <c r="W275" i="5"/>
  <c r="V275" i="5"/>
  <c r="T275" i="5"/>
  <c r="S275" i="5"/>
  <c r="Z272" i="5"/>
  <c r="Y272" i="5"/>
  <c r="Z268" i="5"/>
  <c r="Y268" i="5"/>
  <c r="Z267" i="5"/>
  <c r="Y267" i="5"/>
  <c r="W272" i="5"/>
  <c r="V272" i="5"/>
  <c r="W268" i="5"/>
  <c r="V268" i="5"/>
  <c r="W267" i="5"/>
  <c r="V267" i="5"/>
  <c r="T272" i="5"/>
  <c r="S272" i="5"/>
  <c r="T268" i="5"/>
  <c r="S268" i="5"/>
  <c r="T267" i="5"/>
  <c r="S267" i="5"/>
  <c r="I267" i="5"/>
  <c r="R264" i="5"/>
  <c r="Q264" i="5"/>
  <c r="R263" i="5"/>
  <c r="Q263" i="5"/>
  <c r="R262" i="5"/>
  <c r="Q262" i="5"/>
  <c r="R260" i="5"/>
  <c r="Q260" i="5"/>
  <c r="R259" i="5"/>
  <c r="Q259" i="5"/>
  <c r="R258" i="5"/>
  <c r="Q258" i="5"/>
  <c r="R255" i="5"/>
  <c r="Q255" i="5"/>
  <c r="R254" i="5"/>
  <c r="Q254" i="5"/>
  <c r="R253" i="5"/>
  <c r="Q253" i="5"/>
  <c r="R251" i="5"/>
  <c r="Q251" i="5"/>
  <c r="R250" i="5"/>
  <c r="Q250" i="5"/>
  <c r="R249" i="5"/>
  <c r="Q249" i="5"/>
  <c r="R234" i="5"/>
  <c r="R230" i="5"/>
  <c r="J229" i="5"/>
  <c r="R243" i="5"/>
  <c r="R242" i="5"/>
  <c r="Q242" i="5"/>
  <c r="R241" i="5"/>
  <c r="Q241" i="5"/>
  <c r="R239" i="5"/>
  <c r="Q239" i="5"/>
  <c r="R238" i="5"/>
  <c r="Q238" i="5"/>
  <c r="R237" i="5"/>
  <c r="Q237" i="5"/>
  <c r="Q234" i="5"/>
  <c r="Q233" i="5"/>
  <c r="Q232" i="5"/>
  <c r="Q230" i="5"/>
  <c r="Q229" i="5"/>
  <c r="Q228" i="5"/>
  <c r="R304" i="5" l="1"/>
  <c r="Q304" i="5"/>
  <c r="T1434" i="5"/>
  <c r="T676" i="5"/>
  <c r="T673" i="5" s="1"/>
  <c r="R689" i="5"/>
  <c r="T678" i="5"/>
  <c r="T675" i="5" s="1"/>
  <c r="T1435" i="5"/>
  <c r="R1435" i="5" s="1"/>
  <c r="R690" i="5"/>
  <c r="Y1434" i="5"/>
  <c r="Y676" i="5"/>
  <c r="Y673" i="5" s="1"/>
  <c r="Y678" i="5"/>
  <c r="Y675" i="5" s="1"/>
  <c r="S1434" i="5"/>
  <c r="S676" i="5"/>
  <c r="S673" i="5" s="1"/>
  <c r="Q689" i="5"/>
  <c r="S678" i="5"/>
  <c r="S675" i="5" s="1"/>
  <c r="Q525" i="5"/>
  <c r="Q522" i="5" s="1"/>
  <c r="Q527" i="5"/>
  <c r="Q524" i="5" s="1"/>
  <c r="S1435" i="5"/>
  <c r="Q1435" i="5" s="1"/>
  <c r="Q690" i="5"/>
  <c r="Z1434" i="5"/>
  <c r="Z676" i="5"/>
  <c r="Z673" i="5" s="1"/>
  <c r="Z678" i="5"/>
  <c r="Z675" i="5" s="1"/>
  <c r="R525" i="5"/>
  <c r="R522" i="5" s="1"/>
  <c r="R527" i="5"/>
  <c r="R524" i="5" s="1"/>
  <c r="W1434" i="5"/>
  <c r="W678" i="5"/>
  <c r="W675" i="5" s="1"/>
  <c r="W676" i="5"/>
  <c r="W673" i="5" s="1"/>
  <c r="V1434" i="5"/>
  <c r="V678" i="5"/>
  <c r="V675" i="5" s="1"/>
  <c r="V676" i="5"/>
  <c r="V673" i="5" s="1"/>
  <c r="Q348" i="5"/>
  <c r="Q345" i="5" s="1"/>
  <c r="BY328" i="5"/>
  <c r="BY325" i="5" s="1"/>
  <c r="AR328" i="5"/>
  <c r="AR325" i="5" s="1"/>
  <c r="CD328" i="5"/>
  <c r="CD325" i="5" s="1"/>
  <c r="AL328" i="5"/>
  <c r="AL325" i="5" s="1"/>
  <c r="V328" i="5"/>
  <c r="V325" i="5" s="1"/>
  <c r="BO328" i="5"/>
  <c r="BO325" i="5" s="1"/>
  <c r="BR294" i="5"/>
  <c r="CA285" i="5"/>
  <c r="BX285" i="5"/>
  <c r="CJ328" i="5"/>
  <c r="CJ325" i="5" s="1"/>
  <c r="AU328" i="5"/>
  <c r="AU325" i="5" s="1"/>
  <c r="AH328" i="5"/>
  <c r="AH325" i="5" s="1"/>
  <c r="CA328" i="5"/>
  <c r="CA325" i="5" s="1"/>
  <c r="AT328" i="5"/>
  <c r="AT325" i="5" s="1"/>
  <c r="BO326" i="5"/>
  <c r="AT327" i="5"/>
  <c r="AO328" i="5"/>
  <c r="AO325" i="5" s="1"/>
  <c r="CB328" i="5"/>
  <c r="CB325" i="5" s="1"/>
  <c r="Q410" i="5"/>
  <c r="CE328" i="5"/>
  <c r="CE325" i="5" s="1"/>
  <c r="BD328" i="5"/>
  <c r="BD325" i="5" s="1"/>
  <c r="V326" i="5"/>
  <c r="AI294" i="5"/>
  <c r="BJ285" i="5"/>
  <c r="BM285" i="5"/>
  <c r="CG328" i="5"/>
  <c r="CG325" i="5" s="1"/>
  <c r="BP328" i="5"/>
  <c r="BP325" i="5" s="1"/>
  <c r="AI328" i="5"/>
  <c r="AI325" i="5" s="1"/>
  <c r="BV328" i="5"/>
  <c r="BV325" i="5" s="1"/>
  <c r="T328" i="5"/>
  <c r="T325" i="5" s="1"/>
  <c r="BF266" i="5"/>
  <c r="BC266" i="5"/>
  <c r="BI266" i="5"/>
  <c r="BJ328" i="5"/>
  <c r="BJ325" i="5" s="1"/>
  <c r="BG328" i="5"/>
  <c r="BG325" i="5" s="1"/>
  <c r="R232" i="5"/>
  <c r="S266" i="5"/>
  <c r="AT266" i="5"/>
  <c r="BY266" i="5"/>
  <c r="AW285" i="5"/>
  <c r="BO285" i="5"/>
  <c r="BL285" i="5"/>
  <c r="BR285" i="5"/>
  <c r="AU326" i="5"/>
  <c r="BY327" i="5"/>
  <c r="AO327" i="5"/>
  <c r="T327" i="5"/>
  <c r="AZ328" i="5"/>
  <c r="AZ325" i="5" s="1"/>
  <c r="CH328" i="5"/>
  <c r="CH325" i="5" s="1"/>
  <c r="BD326" i="5"/>
  <c r="BG266" i="5"/>
  <c r="AF294" i="5"/>
  <c r="AC294" i="5"/>
  <c r="BV326" i="5"/>
  <c r="R346" i="5"/>
  <c r="R296" i="5"/>
  <c r="AE328" i="5"/>
  <c r="AE325" i="5" s="1"/>
  <c r="T266" i="5"/>
  <c r="AC266" i="5"/>
  <c r="AX266" i="5"/>
  <c r="AC285" i="5"/>
  <c r="AI285" i="5"/>
  <c r="AH294" i="5"/>
  <c r="AQ294" i="5"/>
  <c r="AN294" i="5"/>
  <c r="BG285" i="5"/>
  <c r="BU294" i="5"/>
  <c r="CA294" i="5"/>
  <c r="CG285" i="5"/>
  <c r="CK328" i="5"/>
  <c r="CK325" i="5" s="1"/>
  <c r="Q328" i="5"/>
  <c r="Q325" i="5" s="1"/>
  <c r="Y328" i="5"/>
  <c r="Y325" i="5" s="1"/>
  <c r="AW328" i="5"/>
  <c r="AW325" i="5" s="1"/>
  <c r="V266" i="5"/>
  <c r="BR266" i="5"/>
  <c r="V285" i="5"/>
  <c r="AU294" i="5"/>
  <c r="BA294" i="5"/>
  <c r="BI285" i="5"/>
  <c r="BM294" i="5"/>
  <c r="BY294" i="5"/>
  <c r="BA328" i="5"/>
  <c r="BA325" i="5" s="1"/>
  <c r="CA326" i="5"/>
  <c r="AB328" i="5"/>
  <c r="AB325" i="5" s="1"/>
  <c r="BU328" i="5"/>
  <c r="BU325" i="5" s="1"/>
  <c r="AI327" i="5"/>
  <c r="R348" i="5"/>
  <c r="R345" i="5" s="1"/>
  <c r="AC328" i="5"/>
  <c r="AC325" i="5" s="1"/>
  <c r="R228" i="5"/>
  <c r="AK266" i="5"/>
  <c r="AQ266" i="5"/>
  <c r="BO266" i="5"/>
  <c r="BL266" i="5"/>
  <c r="CE266" i="5"/>
  <c r="AL294" i="5"/>
  <c r="AR294" i="5"/>
  <c r="AT285" i="5"/>
  <c r="AZ285" i="5"/>
  <c r="BG294" i="5"/>
  <c r="BS294" i="5"/>
  <c r="Q326" i="5"/>
  <c r="BJ326" i="5"/>
  <c r="CE326" i="5"/>
  <c r="BL328" i="5"/>
  <c r="BL325" i="5" s="1"/>
  <c r="Q401" i="5"/>
  <c r="BF328" i="5"/>
  <c r="BF325" i="5" s="1"/>
  <c r="AX328" i="5"/>
  <c r="AX325" i="5" s="1"/>
  <c r="S328" i="5"/>
  <c r="S325" i="5" s="1"/>
  <c r="Q296" i="5"/>
  <c r="R233" i="5"/>
  <c r="AH266" i="5"/>
  <c r="AO266" i="5"/>
  <c r="AL266" i="5"/>
  <c r="AR266" i="5"/>
  <c r="CJ266" i="5"/>
  <c r="CG266" i="5"/>
  <c r="Y294" i="5"/>
  <c r="AE294" i="5"/>
  <c r="AZ294" i="5"/>
  <c r="BF285" i="5"/>
  <c r="BC285" i="5"/>
  <c r="BF294" i="5"/>
  <c r="BO294" i="5"/>
  <c r="BL294" i="5"/>
  <c r="CK285" i="5"/>
  <c r="CE294" i="5"/>
  <c r="CK294" i="5"/>
  <c r="CH294" i="5"/>
  <c r="BR328" i="5"/>
  <c r="BR325" i="5" s="1"/>
  <c r="R327" i="5"/>
  <c r="BM328" i="5"/>
  <c r="BM325" i="5" s="1"/>
  <c r="CJ326" i="5"/>
  <c r="BX328" i="5"/>
  <c r="BX325" i="5" s="1"/>
  <c r="AI266" i="5"/>
  <c r="BP266" i="5"/>
  <c r="BU266" i="5"/>
  <c r="CA266" i="5"/>
  <c r="BX266" i="5"/>
  <c r="Y285" i="5"/>
  <c r="W294" i="5"/>
  <c r="AE285" i="5"/>
  <c r="AK285" i="5"/>
  <c r="AQ285" i="5"/>
  <c r="AN285" i="5"/>
  <c r="AW294" i="5"/>
  <c r="AT294" i="5"/>
  <c r="BP285" i="5"/>
  <c r="BP294" i="5"/>
  <c r="BM326" i="5"/>
  <c r="BI328" i="5"/>
  <c r="BI325" i="5" s="1"/>
  <c r="R328" i="5"/>
  <c r="Q287" i="5"/>
  <c r="Y326" i="5"/>
  <c r="AB266" i="5"/>
  <c r="BV266" i="5"/>
  <c r="CB266" i="5"/>
  <c r="Z294" i="5"/>
  <c r="AX294" i="5"/>
  <c r="BD285" i="5"/>
  <c r="BC294" i="5"/>
  <c r="BI294" i="5"/>
  <c r="BV285" i="5"/>
  <c r="BV294" i="5"/>
  <c r="CB294" i="5"/>
  <c r="CD285" i="5"/>
  <c r="CJ285" i="5"/>
  <c r="CD294" i="5"/>
  <c r="CJ294" i="5"/>
  <c r="W328" i="5"/>
  <c r="W325" i="5" s="1"/>
  <c r="CB326" i="5"/>
  <c r="AQ328" i="5"/>
  <c r="AQ325" i="5" s="1"/>
  <c r="Z328" i="5"/>
  <c r="Z325" i="5" s="1"/>
  <c r="Y266" i="5"/>
  <c r="AE266" i="5"/>
  <c r="BM266" i="5"/>
  <c r="BS266" i="5"/>
  <c r="AB285" i="5"/>
  <c r="AH285" i="5"/>
  <c r="AW266" i="5"/>
  <c r="AB294" i="5"/>
  <c r="CB285" i="5"/>
  <c r="BY285" i="5"/>
  <c r="BX294" i="5"/>
  <c r="Z326" i="5"/>
  <c r="BS328" i="5"/>
  <c r="BS325" i="5" s="1"/>
  <c r="BC328" i="5"/>
  <c r="BC325" i="5" s="1"/>
  <c r="AN328" i="5"/>
  <c r="AN325" i="5" s="1"/>
  <c r="R229" i="5"/>
  <c r="S285" i="5"/>
  <c r="BS285" i="5"/>
  <c r="BU285" i="5"/>
  <c r="CG294" i="5"/>
  <c r="AK328" i="5"/>
  <c r="AK325" i="5" s="1"/>
  <c r="AK326" i="5"/>
  <c r="Z266" i="5"/>
  <c r="W266" i="5"/>
  <c r="AN266" i="5"/>
  <c r="AZ266" i="5"/>
  <c r="CD266" i="5"/>
  <c r="Z285" i="5"/>
  <c r="V294" i="5"/>
  <c r="AO285" i="5"/>
  <c r="BP326" i="5"/>
  <c r="Q291" i="5"/>
  <c r="R278" i="5"/>
  <c r="Q272" i="5"/>
  <c r="Q288" i="5"/>
  <c r="AF328" i="5"/>
  <c r="AF325" i="5" s="1"/>
  <c r="AR326" i="5"/>
  <c r="Q362" i="5"/>
  <c r="R297" i="5"/>
  <c r="R300" i="5"/>
  <c r="Q377" i="5"/>
  <c r="Q268" i="5"/>
  <c r="Q286" i="5"/>
  <c r="Q297" i="5"/>
  <c r="R401" i="5"/>
  <c r="R410" i="5"/>
  <c r="R362" i="5"/>
  <c r="Q379" i="5"/>
  <c r="R377" i="5"/>
  <c r="Q347" i="5"/>
  <c r="R341" i="5"/>
  <c r="R326" i="5" s="1"/>
  <c r="BD294" i="5"/>
  <c r="BJ294" i="5"/>
  <c r="S294" i="5"/>
  <c r="T294" i="5"/>
  <c r="Q295" i="5"/>
  <c r="AK294" i="5"/>
  <c r="Q300" i="5"/>
  <c r="AO294" i="5"/>
  <c r="AF285" i="5"/>
  <c r="CE285" i="5"/>
  <c r="W285" i="5"/>
  <c r="BA285" i="5"/>
  <c r="AU285" i="5"/>
  <c r="AX285" i="5"/>
  <c r="R286" i="5"/>
  <c r="CH285" i="5"/>
  <c r="R291" i="5"/>
  <c r="AL285" i="5"/>
  <c r="AR285" i="5"/>
  <c r="T285" i="5"/>
  <c r="R287" i="5"/>
  <c r="R295" i="5"/>
  <c r="R288" i="5"/>
  <c r="AU266" i="5"/>
  <c r="R272" i="5"/>
  <c r="AF266" i="5"/>
  <c r="BA266" i="5"/>
  <c r="BD266" i="5"/>
  <c r="BJ266" i="5"/>
  <c r="CH266" i="5"/>
  <c r="Q275" i="5"/>
  <c r="Q278" i="5"/>
  <c r="Q267" i="5"/>
  <c r="CK261" i="5"/>
  <c r="CK321" i="5" s="1"/>
  <c r="CJ261" i="5"/>
  <c r="CJ321" i="5" s="1"/>
  <c r="CH261" i="5"/>
  <c r="CH321" i="5" s="1"/>
  <c r="CG261" i="5"/>
  <c r="CG321" i="5" s="1"/>
  <c r="CE261" i="5"/>
  <c r="CE321" i="5" s="1"/>
  <c r="CD261" i="5"/>
  <c r="CD321" i="5" s="1"/>
  <c r="CK257" i="5"/>
  <c r="CJ257" i="5"/>
  <c r="CH257" i="5"/>
  <c r="CG257" i="5"/>
  <c r="CE257" i="5"/>
  <c r="CD257" i="5"/>
  <c r="CK252" i="5"/>
  <c r="CJ252" i="5"/>
  <c r="CJ246" i="5" s="1"/>
  <c r="CH252" i="5"/>
  <c r="CH246" i="5" s="1"/>
  <c r="CG252" i="5"/>
  <c r="CG246" i="5" s="1"/>
  <c r="CE252" i="5"/>
  <c r="CE246" i="5" s="1"/>
  <c r="CD252" i="5"/>
  <c r="CK248" i="5"/>
  <c r="CJ248" i="5"/>
  <c r="CJ245" i="5" s="1"/>
  <c r="CH248" i="5"/>
  <c r="CG248" i="5"/>
  <c r="CE248" i="5"/>
  <c r="CD248" i="5"/>
  <c r="CK240" i="5"/>
  <c r="CJ240" i="5"/>
  <c r="CH240" i="5"/>
  <c r="CG240" i="5"/>
  <c r="CE240" i="5"/>
  <c r="CD240" i="5"/>
  <c r="CK236" i="5"/>
  <c r="CJ236" i="5"/>
  <c r="CH236" i="5"/>
  <c r="CG236" i="5"/>
  <c r="CE236" i="5"/>
  <c r="CD236" i="5"/>
  <c r="CK231" i="5"/>
  <c r="CJ231" i="5"/>
  <c r="CJ225" i="5" s="1"/>
  <c r="CH231" i="5"/>
  <c r="CH225" i="5" s="1"/>
  <c r="CG231" i="5"/>
  <c r="CG225" i="5" s="1"/>
  <c r="CE231" i="5"/>
  <c r="CD231" i="5"/>
  <c r="CK227" i="5"/>
  <c r="CJ227" i="5"/>
  <c r="CH227" i="5"/>
  <c r="CG227" i="5"/>
  <c r="CG221" i="5" s="1"/>
  <c r="CE227" i="5"/>
  <c r="CD227" i="5"/>
  <c r="CD221" i="5" s="1"/>
  <c r="CB261" i="5"/>
  <c r="CB321" i="5" s="1"/>
  <c r="CA261" i="5"/>
  <c r="CA321" i="5" s="1"/>
  <c r="BY261" i="5"/>
  <c r="BY321" i="5" s="1"/>
  <c r="BX261" i="5"/>
  <c r="BX321" i="5" s="1"/>
  <c r="BV261" i="5"/>
  <c r="BV321" i="5" s="1"/>
  <c r="BU261" i="5"/>
  <c r="BU321" i="5" s="1"/>
  <c r="CB257" i="5"/>
  <c r="CA257" i="5"/>
  <c r="BY257" i="5"/>
  <c r="BX257" i="5"/>
  <c r="BV257" i="5"/>
  <c r="BU257" i="5"/>
  <c r="CB252" i="5"/>
  <c r="CA252" i="5"/>
  <c r="CA246" i="5" s="1"/>
  <c r="BY252" i="5"/>
  <c r="BY246" i="5" s="1"/>
  <c r="BX252" i="5"/>
  <c r="BX246" i="5" s="1"/>
  <c r="BV252" i="5"/>
  <c r="BV246" i="5" s="1"/>
  <c r="BU252" i="5"/>
  <c r="CB248" i="5"/>
  <c r="CA248" i="5"/>
  <c r="BY248" i="5"/>
  <c r="BX248" i="5"/>
  <c r="BV248" i="5"/>
  <c r="BV245" i="5" s="1"/>
  <c r="BU248" i="5"/>
  <c r="BU245" i="5" s="1"/>
  <c r="CB246" i="5"/>
  <c r="CB240" i="5"/>
  <c r="CA240" i="5"/>
  <c r="BY240" i="5"/>
  <c r="BX240" i="5"/>
  <c r="BV240" i="5"/>
  <c r="BU240" i="5"/>
  <c r="CB236" i="5"/>
  <c r="CA236" i="5"/>
  <c r="BY236" i="5"/>
  <c r="BX236" i="5"/>
  <c r="BV236" i="5"/>
  <c r="BU236" i="5"/>
  <c r="CB231" i="5"/>
  <c r="CA231" i="5"/>
  <c r="CA225" i="5" s="1"/>
  <c r="BY231" i="5"/>
  <c r="BX231" i="5"/>
  <c r="BV231" i="5"/>
  <c r="BU231" i="5"/>
  <c r="CB227" i="5"/>
  <c r="CA227" i="5"/>
  <c r="BY227" i="5"/>
  <c r="BX227" i="5"/>
  <c r="BX221" i="5" s="1"/>
  <c r="BU227" i="5"/>
  <c r="BS261" i="5"/>
  <c r="BS321" i="5" s="1"/>
  <c r="BR261" i="5"/>
  <c r="BR321" i="5" s="1"/>
  <c r="BP261" i="5"/>
  <c r="BP321" i="5" s="1"/>
  <c r="BO261" i="5"/>
  <c r="BO321" i="5" s="1"/>
  <c r="BM261" i="5"/>
  <c r="BM321" i="5" s="1"/>
  <c r="BL261" i="5"/>
  <c r="BL321" i="5" s="1"/>
  <c r="BS257" i="5"/>
  <c r="BR257" i="5"/>
  <c r="BP257" i="5"/>
  <c r="BO257" i="5"/>
  <c r="BM257" i="5"/>
  <c r="BL257" i="5"/>
  <c r="BS252" i="5"/>
  <c r="BS246" i="5" s="1"/>
  <c r="BR252" i="5"/>
  <c r="BR246" i="5" s="1"/>
  <c r="BP252" i="5"/>
  <c r="BO252" i="5"/>
  <c r="BM252" i="5"/>
  <c r="BL252" i="5"/>
  <c r="BS248" i="5"/>
  <c r="BR248" i="5"/>
  <c r="BR245" i="5" s="1"/>
  <c r="BP248" i="5"/>
  <c r="BO248" i="5"/>
  <c r="BM248" i="5"/>
  <c r="BL248" i="5"/>
  <c r="BS240" i="5"/>
  <c r="BR240" i="5"/>
  <c r="BP240" i="5"/>
  <c r="BO240" i="5"/>
  <c r="BM240" i="5"/>
  <c r="BL240" i="5"/>
  <c r="BS236" i="5"/>
  <c r="BR236" i="5"/>
  <c r="BP236" i="5"/>
  <c r="BO236" i="5"/>
  <c r="BM236" i="5"/>
  <c r="BL236" i="5"/>
  <c r="BS231" i="5"/>
  <c r="BR231" i="5"/>
  <c r="BP231" i="5"/>
  <c r="BO231" i="5"/>
  <c r="BM231" i="5"/>
  <c r="BL231" i="5"/>
  <c r="BS227" i="5"/>
  <c r="BR227" i="5"/>
  <c r="BR221" i="5" s="1"/>
  <c r="BP227" i="5"/>
  <c r="BO227" i="5"/>
  <c r="BM227" i="5"/>
  <c r="BL227" i="5"/>
  <c r="BJ261" i="5"/>
  <c r="BJ321" i="5" s="1"/>
  <c r="BI261" i="5"/>
  <c r="BI321" i="5" s="1"/>
  <c r="BG261" i="5"/>
  <c r="BG321" i="5" s="1"/>
  <c r="BF261" i="5"/>
  <c r="BF321" i="5" s="1"/>
  <c r="BD261" i="5"/>
  <c r="BD321" i="5" s="1"/>
  <c r="BC261" i="5"/>
  <c r="BC321" i="5" s="1"/>
  <c r="BJ257" i="5"/>
  <c r="BI257" i="5"/>
  <c r="BG257" i="5"/>
  <c r="BF257" i="5"/>
  <c r="BD257" i="5"/>
  <c r="BC257" i="5"/>
  <c r="BJ252" i="5"/>
  <c r="BJ246" i="5" s="1"/>
  <c r="BI252" i="5"/>
  <c r="BI246" i="5" s="1"/>
  <c r="BG252" i="5"/>
  <c r="BF252" i="5"/>
  <c r="BD252" i="5"/>
  <c r="BC252" i="5"/>
  <c r="BJ248" i="5"/>
  <c r="BI248" i="5"/>
  <c r="BI245" i="5" s="1"/>
  <c r="BG248" i="5"/>
  <c r="BF248" i="5"/>
  <c r="BD248" i="5"/>
  <c r="BC248" i="5"/>
  <c r="BJ240" i="5"/>
  <c r="BI240" i="5"/>
  <c r="BG240" i="5"/>
  <c r="BF240" i="5"/>
  <c r="BD240" i="5"/>
  <c r="BC240" i="5"/>
  <c r="BJ236" i="5"/>
  <c r="BI236" i="5"/>
  <c r="BG236" i="5"/>
  <c r="BF236" i="5"/>
  <c r="BD236" i="5"/>
  <c r="BC236" i="5"/>
  <c r="BJ231" i="5"/>
  <c r="BI231" i="5"/>
  <c r="BG231" i="5"/>
  <c r="BG225" i="5" s="1"/>
  <c r="BF231" i="5"/>
  <c r="BD231" i="5"/>
  <c r="BC231" i="5"/>
  <c r="BJ227" i="5"/>
  <c r="BI227" i="5"/>
  <c r="BI221" i="5" s="1"/>
  <c r="BG227" i="5"/>
  <c r="BF227" i="5"/>
  <c r="BD227" i="5"/>
  <c r="BC227" i="5"/>
  <c r="BA261" i="5"/>
  <c r="BA321" i="5" s="1"/>
  <c r="AZ261" i="5"/>
  <c r="AZ321" i="5" s="1"/>
  <c r="AX261" i="5"/>
  <c r="AX321" i="5" s="1"/>
  <c r="AW261" i="5"/>
  <c r="AW321" i="5" s="1"/>
  <c r="AU261" i="5"/>
  <c r="AU321" i="5" s="1"/>
  <c r="AT261" i="5"/>
  <c r="AT321" i="5" s="1"/>
  <c r="BA257" i="5"/>
  <c r="AZ257" i="5"/>
  <c r="AX257" i="5"/>
  <c r="AW257" i="5"/>
  <c r="AU257" i="5"/>
  <c r="AT257" i="5"/>
  <c r="BA252" i="5"/>
  <c r="BA246" i="5" s="1"/>
  <c r="AZ252" i="5"/>
  <c r="AZ246" i="5" s="1"/>
  <c r="AX252" i="5"/>
  <c r="AX246" i="5" s="1"/>
  <c r="AW252" i="5"/>
  <c r="AU252" i="5"/>
  <c r="AT252" i="5"/>
  <c r="BA248" i="5"/>
  <c r="AZ248" i="5"/>
  <c r="AX248" i="5"/>
  <c r="AW248" i="5"/>
  <c r="AW245" i="5" s="1"/>
  <c r="AU248" i="5"/>
  <c r="AT248" i="5"/>
  <c r="BA240" i="5"/>
  <c r="AZ240" i="5"/>
  <c r="AX240" i="5"/>
  <c r="AW240" i="5"/>
  <c r="AU240" i="5"/>
  <c r="AT240" i="5"/>
  <c r="BA236" i="5"/>
  <c r="AZ236" i="5"/>
  <c r="AX236" i="5"/>
  <c r="AW236" i="5"/>
  <c r="AU236" i="5"/>
  <c r="AT236" i="5"/>
  <c r="BA231" i="5"/>
  <c r="AZ231" i="5"/>
  <c r="AX231" i="5"/>
  <c r="AX225" i="5" s="1"/>
  <c r="AW231" i="5"/>
  <c r="AU231" i="5"/>
  <c r="AT231" i="5"/>
  <c r="BA227" i="5"/>
  <c r="AZ227" i="5"/>
  <c r="AZ221" i="5" s="1"/>
  <c r="AX227" i="5"/>
  <c r="AW227" i="5"/>
  <c r="AU227" i="5"/>
  <c r="AT227" i="5"/>
  <c r="AR261" i="5"/>
  <c r="AR321" i="5" s="1"/>
  <c r="AQ261" i="5"/>
  <c r="AQ321" i="5" s="1"/>
  <c r="AO261" i="5"/>
  <c r="AO321" i="5" s="1"/>
  <c r="AN261" i="5"/>
  <c r="AL261" i="5"/>
  <c r="AK261" i="5"/>
  <c r="AK321" i="5" s="1"/>
  <c r="AR257" i="5"/>
  <c r="AQ257" i="5"/>
  <c r="AO257" i="5"/>
  <c r="AN257" i="5"/>
  <c r="AL257" i="5"/>
  <c r="AK257" i="5"/>
  <c r="AR252" i="5"/>
  <c r="AR246" i="5" s="1"/>
  <c r="AQ252" i="5"/>
  <c r="AQ246" i="5" s="1"/>
  <c r="AO252" i="5"/>
  <c r="AO246" i="5" s="1"/>
  <c r="AN252" i="5"/>
  <c r="AL252" i="5"/>
  <c r="AK252" i="5"/>
  <c r="AR248" i="5"/>
  <c r="AQ248" i="5"/>
  <c r="AQ245" i="5" s="1"/>
  <c r="AO248" i="5"/>
  <c r="AN248" i="5"/>
  <c r="AL248" i="5"/>
  <c r="AL245" i="5" s="1"/>
  <c r="AK248" i="5"/>
  <c r="AR240" i="5"/>
  <c r="AQ240" i="5"/>
  <c r="AO240" i="5"/>
  <c r="AN240" i="5"/>
  <c r="AL240" i="5"/>
  <c r="AK240" i="5"/>
  <c r="AR236" i="5"/>
  <c r="AQ236" i="5"/>
  <c r="AO236" i="5"/>
  <c r="AN236" i="5"/>
  <c r="AL236" i="5"/>
  <c r="AK236" i="5"/>
  <c r="AR231" i="5"/>
  <c r="AR225" i="5" s="1"/>
  <c r="AQ231" i="5"/>
  <c r="AQ225" i="5" s="1"/>
  <c r="AO231" i="5"/>
  <c r="AN231" i="5"/>
  <c r="AL231" i="5"/>
  <c r="AK231" i="5"/>
  <c r="AR227" i="5"/>
  <c r="AQ227" i="5"/>
  <c r="AO227" i="5"/>
  <c r="AN227" i="5"/>
  <c r="AN221" i="5" s="1"/>
  <c r="AL227" i="5"/>
  <c r="AK227" i="5"/>
  <c r="AI261" i="5"/>
  <c r="AI321" i="5" s="1"/>
  <c r="AH261" i="5"/>
  <c r="AH321" i="5" s="1"/>
  <c r="AF261" i="5"/>
  <c r="AF321" i="5" s="1"/>
  <c r="AE261" i="5"/>
  <c r="AE321" i="5" s="1"/>
  <c r="AC261" i="5"/>
  <c r="AC321" i="5" s="1"/>
  <c r="AB261" i="5"/>
  <c r="AB321" i="5" s="1"/>
  <c r="AI257" i="5"/>
  <c r="AH257" i="5"/>
  <c r="AF257" i="5"/>
  <c r="AE257" i="5"/>
  <c r="AC257" i="5"/>
  <c r="AB257" i="5"/>
  <c r="AI252" i="5"/>
  <c r="AH252" i="5"/>
  <c r="AH246" i="5" s="1"/>
  <c r="AF252" i="5"/>
  <c r="AF246" i="5" s="1"/>
  <c r="AE252" i="5"/>
  <c r="AC252" i="5"/>
  <c r="AB252" i="5"/>
  <c r="AI248" i="5"/>
  <c r="AH248" i="5"/>
  <c r="AH245" i="5" s="1"/>
  <c r="AF248" i="5"/>
  <c r="AF245" i="5" s="1"/>
  <c r="AE248" i="5"/>
  <c r="AC248" i="5"/>
  <c r="AC245" i="5" s="1"/>
  <c r="AB248" i="5"/>
  <c r="AI240" i="5"/>
  <c r="AH240" i="5"/>
  <c r="AF240" i="5"/>
  <c r="AE240" i="5"/>
  <c r="AC240" i="5"/>
  <c r="AB240" i="5"/>
  <c r="AI236" i="5"/>
  <c r="AH236" i="5"/>
  <c r="AF236" i="5"/>
  <c r="AE236" i="5"/>
  <c r="AC236" i="5"/>
  <c r="AB236" i="5"/>
  <c r="AI231" i="5"/>
  <c r="AI225" i="5" s="1"/>
  <c r="AH231" i="5"/>
  <c r="AH225" i="5" s="1"/>
  <c r="AF231" i="5"/>
  <c r="AE231" i="5"/>
  <c r="AC231" i="5"/>
  <c r="AB231" i="5"/>
  <c r="AI227" i="5"/>
  <c r="AH227" i="5"/>
  <c r="AF227" i="5"/>
  <c r="AE227" i="5"/>
  <c r="AE221" i="5" s="1"/>
  <c r="AC227" i="5"/>
  <c r="AB227" i="5"/>
  <c r="Z261" i="5"/>
  <c r="Z321" i="5" s="1"/>
  <c r="Y261" i="5"/>
  <c r="Y321" i="5" s="1"/>
  <c r="W261" i="5"/>
  <c r="W321" i="5" s="1"/>
  <c r="V261" i="5"/>
  <c r="V321" i="5" s="1"/>
  <c r="T261" i="5"/>
  <c r="T321" i="5" s="1"/>
  <c r="S261" i="5"/>
  <c r="S321" i="5" s="1"/>
  <c r="R261" i="5"/>
  <c r="Q261" i="5"/>
  <c r="Z257" i="5"/>
  <c r="Y257" i="5"/>
  <c r="W257" i="5"/>
  <c r="V257" i="5"/>
  <c r="T257" i="5"/>
  <c r="S257" i="5"/>
  <c r="R257" i="5"/>
  <c r="Q257" i="5"/>
  <c r="Z252" i="5"/>
  <c r="Z246" i="5" s="1"/>
  <c r="Y252" i="5"/>
  <c r="Y246" i="5" s="1"/>
  <c r="W252" i="5"/>
  <c r="V252" i="5"/>
  <c r="T252" i="5"/>
  <c r="T246" i="5" s="1"/>
  <c r="S252" i="5"/>
  <c r="S246" i="5" s="1"/>
  <c r="R252" i="5"/>
  <c r="Q252" i="5"/>
  <c r="Z248" i="5"/>
  <c r="Y248" i="5"/>
  <c r="Y245" i="5" s="1"/>
  <c r="W248" i="5"/>
  <c r="V248" i="5"/>
  <c r="T248" i="5"/>
  <c r="S248" i="5"/>
  <c r="R248" i="5"/>
  <c r="Q248" i="5"/>
  <c r="Z240" i="5"/>
  <c r="Y240" i="5"/>
  <c r="W240" i="5"/>
  <c r="V240" i="5"/>
  <c r="T240" i="5"/>
  <c r="S240" i="5"/>
  <c r="R240" i="5"/>
  <c r="Q240" i="5"/>
  <c r="Z236" i="5"/>
  <c r="Y236" i="5"/>
  <c r="W236" i="5"/>
  <c r="V236" i="5"/>
  <c r="T236" i="5"/>
  <c r="S236" i="5"/>
  <c r="R236" i="5"/>
  <c r="Q236" i="5"/>
  <c r="Z231" i="5"/>
  <c r="Z225" i="5" s="1"/>
  <c r="Y231" i="5"/>
  <c r="W231" i="5"/>
  <c r="W225" i="5" s="1"/>
  <c r="V231" i="5"/>
  <c r="T231" i="5"/>
  <c r="S231" i="5"/>
  <c r="Q231" i="5"/>
  <c r="Z227" i="5"/>
  <c r="Y227" i="5"/>
  <c r="W227" i="5"/>
  <c r="V227" i="5"/>
  <c r="T227" i="5"/>
  <c r="S227" i="5"/>
  <c r="Q227" i="5"/>
  <c r="CK175" i="5"/>
  <c r="CJ175" i="5"/>
  <c r="CH175" i="5"/>
  <c r="CG175" i="5"/>
  <c r="CE175" i="5"/>
  <c r="CD175" i="5"/>
  <c r="CK172" i="5"/>
  <c r="CJ172" i="5"/>
  <c r="CH172" i="5"/>
  <c r="CG172" i="5"/>
  <c r="CE172" i="5"/>
  <c r="CD172" i="5"/>
  <c r="CB175" i="5"/>
  <c r="CA175" i="5"/>
  <c r="BY175" i="5"/>
  <c r="BX175" i="5"/>
  <c r="BV175" i="5"/>
  <c r="BU175" i="5"/>
  <c r="CB172" i="5"/>
  <c r="CA172" i="5"/>
  <c r="BY172" i="5"/>
  <c r="BX172" i="5"/>
  <c r="BV172" i="5"/>
  <c r="BU172" i="5"/>
  <c r="BS175" i="5"/>
  <c r="BR175" i="5"/>
  <c r="BP175" i="5"/>
  <c r="BO175" i="5"/>
  <c r="BM175" i="5"/>
  <c r="BL175" i="5"/>
  <c r="BS172" i="5"/>
  <c r="BR172" i="5"/>
  <c r="BP172" i="5"/>
  <c r="BO172" i="5"/>
  <c r="BM172" i="5"/>
  <c r="BL172" i="5"/>
  <c r="BJ175" i="5"/>
  <c r="BI175" i="5"/>
  <c r="BG175" i="5"/>
  <c r="BF175" i="5"/>
  <c r="BD175" i="5"/>
  <c r="BC175" i="5"/>
  <c r="BJ172" i="5"/>
  <c r="BI172" i="5"/>
  <c r="BG172" i="5"/>
  <c r="BF172" i="5"/>
  <c r="BD172" i="5"/>
  <c r="BC172" i="5"/>
  <c r="BA175" i="5"/>
  <c r="AZ175" i="5"/>
  <c r="AX175" i="5"/>
  <c r="AW175" i="5"/>
  <c r="AU175" i="5"/>
  <c r="AT175" i="5"/>
  <c r="BA172" i="5"/>
  <c r="AZ172" i="5"/>
  <c r="AX172" i="5"/>
  <c r="AW172" i="5"/>
  <c r="AU172" i="5"/>
  <c r="AT172" i="5"/>
  <c r="AR175" i="5"/>
  <c r="AQ175" i="5"/>
  <c r="AO175" i="5"/>
  <c r="AN175" i="5"/>
  <c r="AL175" i="5"/>
  <c r="AK175" i="5"/>
  <c r="AR172" i="5"/>
  <c r="AQ172" i="5"/>
  <c r="AO172" i="5"/>
  <c r="AN172" i="5"/>
  <c r="AL172" i="5"/>
  <c r="AK172" i="5"/>
  <c r="AI175" i="5"/>
  <c r="AH175" i="5"/>
  <c r="AF175" i="5"/>
  <c r="AE175" i="5"/>
  <c r="AC175" i="5"/>
  <c r="AB175" i="5"/>
  <c r="AI172" i="5"/>
  <c r="AH172" i="5"/>
  <c r="AF172" i="5"/>
  <c r="AE172" i="5"/>
  <c r="AC172" i="5"/>
  <c r="AB172" i="5"/>
  <c r="Z175" i="5"/>
  <c r="Y175" i="5"/>
  <c r="W175" i="5"/>
  <c r="V175" i="5"/>
  <c r="T175" i="5"/>
  <c r="S175" i="5"/>
  <c r="Z172" i="5"/>
  <c r="Y172" i="5"/>
  <c r="W172" i="5"/>
  <c r="V172" i="5"/>
  <c r="T172" i="5"/>
  <c r="S172" i="5"/>
  <c r="CK168" i="5"/>
  <c r="CJ168" i="5"/>
  <c r="CH168" i="5"/>
  <c r="CG168" i="5"/>
  <c r="CE168" i="5"/>
  <c r="CD168" i="5"/>
  <c r="CB168" i="5"/>
  <c r="CA168" i="5"/>
  <c r="BY168" i="5"/>
  <c r="BX168" i="5"/>
  <c r="BV168" i="5"/>
  <c r="BU168" i="5"/>
  <c r="BS168" i="5"/>
  <c r="BR168" i="5"/>
  <c r="BP168" i="5"/>
  <c r="BO168" i="5"/>
  <c r="BM168" i="5"/>
  <c r="BL168" i="5"/>
  <c r="BJ168" i="5"/>
  <c r="BI168" i="5"/>
  <c r="BG168" i="5"/>
  <c r="BF168" i="5"/>
  <c r="BD168" i="5"/>
  <c r="BC168" i="5"/>
  <c r="BA168" i="5"/>
  <c r="AZ168" i="5"/>
  <c r="AX168" i="5"/>
  <c r="AW168" i="5"/>
  <c r="AU168" i="5"/>
  <c r="AT168" i="5"/>
  <c r="AR168" i="5"/>
  <c r="AQ168" i="5"/>
  <c r="AO168" i="5"/>
  <c r="AN168" i="5"/>
  <c r="AL168" i="5"/>
  <c r="AK168" i="5"/>
  <c r="AI168" i="5"/>
  <c r="AH168" i="5"/>
  <c r="AF168" i="5"/>
  <c r="AE168" i="5"/>
  <c r="AC168" i="5"/>
  <c r="AB168" i="5"/>
  <c r="Z168" i="5"/>
  <c r="Y168" i="5"/>
  <c r="W168" i="5"/>
  <c r="V168" i="5"/>
  <c r="T168" i="5"/>
  <c r="S168" i="5"/>
  <c r="CK165" i="5"/>
  <c r="CJ165" i="5"/>
  <c r="CH165" i="5"/>
  <c r="CG165" i="5"/>
  <c r="CE165" i="5"/>
  <c r="CD165" i="5"/>
  <c r="CB165" i="5"/>
  <c r="CA165" i="5"/>
  <c r="BY165" i="5"/>
  <c r="BX165" i="5"/>
  <c r="BV165" i="5"/>
  <c r="BU165" i="5"/>
  <c r="BS165" i="5"/>
  <c r="BR165" i="5"/>
  <c r="BP165" i="5"/>
  <c r="BO165" i="5"/>
  <c r="BM165" i="5"/>
  <c r="BL165" i="5"/>
  <c r="BJ165" i="5"/>
  <c r="BI165" i="5"/>
  <c r="BG165" i="5"/>
  <c r="BF165" i="5"/>
  <c r="BF158" i="5" s="1"/>
  <c r="BD165" i="5"/>
  <c r="BC165" i="5"/>
  <c r="BA165" i="5"/>
  <c r="AZ165" i="5"/>
  <c r="AX165" i="5"/>
  <c r="AW165" i="5"/>
  <c r="AU165" i="5"/>
  <c r="AT165" i="5"/>
  <c r="AR165" i="5"/>
  <c r="AQ165" i="5"/>
  <c r="AO165" i="5"/>
  <c r="AN165" i="5"/>
  <c r="AL165" i="5"/>
  <c r="AK165" i="5"/>
  <c r="AI165" i="5"/>
  <c r="AH165" i="5"/>
  <c r="AF165" i="5"/>
  <c r="AE165" i="5"/>
  <c r="AC165" i="5"/>
  <c r="AB165" i="5"/>
  <c r="Z165" i="5"/>
  <c r="Y165" i="5"/>
  <c r="W165" i="5"/>
  <c r="V165" i="5"/>
  <c r="T165" i="5"/>
  <c r="S165" i="5"/>
  <c r="R166" i="5"/>
  <c r="R177" i="5"/>
  <c r="Q177" i="5"/>
  <c r="R176" i="5"/>
  <c r="Q176" i="5"/>
  <c r="R174" i="5"/>
  <c r="Q174" i="5"/>
  <c r="R173" i="5"/>
  <c r="Q173" i="5"/>
  <c r="R170" i="5"/>
  <c r="Q170" i="5"/>
  <c r="R169" i="5"/>
  <c r="Q169" i="5"/>
  <c r="R167" i="5"/>
  <c r="Q167" i="5"/>
  <c r="Q166" i="5"/>
  <c r="CK163" i="5"/>
  <c r="CJ163" i="5"/>
  <c r="CH163" i="5"/>
  <c r="CG163" i="5"/>
  <c r="CE163" i="5"/>
  <c r="CD163" i="5"/>
  <c r="CK162" i="5"/>
  <c r="CJ162" i="5"/>
  <c r="CH162" i="5"/>
  <c r="CG162" i="5"/>
  <c r="CE162" i="5"/>
  <c r="CD162" i="5"/>
  <c r="CK160" i="5"/>
  <c r="CJ160" i="5"/>
  <c r="CH160" i="5"/>
  <c r="CG160" i="5"/>
  <c r="CE160" i="5"/>
  <c r="CD160" i="5"/>
  <c r="CK159" i="5"/>
  <c r="CJ159" i="5"/>
  <c r="CH159" i="5"/>
  <c r="CG159" i="5"/>
  <c r="CE159" i="5"/>
  <c r="CD159" i="5"/>
  <c r="CB163" i="5"/>
  <c r="CA163" i="5"/>
  <c r="BY163" i="5"/>
  <c r="BX163" i="5"/>
  <c r="BV163" i="5"/>
  <c r="BU163" i="5"/>
  <c r="CB162" i="5"/>
  <c r="CA162" i="5"/>
  <c r="BY162" i="5"/>
  <c r="BX162" i="5"/>
  <c r="BV162" i="5"/>
  <c r="BU162" i="5"/>
  <c r="CB160" i="5"/>
  <c r="CA160" i="5"/>
  <c r="BY160" i="5"/>
  <c r="BX160" i="5"/>
  <c r="BV160" i="5"/>
  <c r="BU160" i="5"/>
  <c r="CB159" i="5"/>
  <c r="CA159" i="5"/>
  <c r="BY159" i="5"/>
  <c r="BX159" i="5"/>
  <c r="BV159" i="5"/>
  <c r="BU159" i="5"/>
  <c r="BS163" i="5"/>
  <c r="BR163" i="5"/>
  <c r="BP163" i="5"/>
  <c r="BO163" i="5"/>
  <c r="BM163" i="5"/>
  <c r="BL163" i="5"/>
  <c r="BS162" i="5"/>
  <c r="BR162" i="5"/>
  <c r="BP162" i="5"/>
  <c r="BO162" i="5"/>
  <c r="BM162" i="5"/>
  <c r="BL162" i="5"/>
  <c r="BS160" i="5"/>
  <c r="BR160" i="5"/>
  <c r="BP160" i="5"/>
  <c r="BO160" i="5"/>
  <c r="BM160" i="5"/>
  <c r="BL160" i="5"/>
  <c r="BS159" i="5"/>
  <c r="BR159" i="5"/>
  <c r="BP159" i="5"/>
  <c r="BO159" i="5"/>
  <c r="BM159" i="5"/>
  <c r="BL159" i="5"/>
  <c r="BJ163" i="5"/>
  <c r="BI163" i="5"/>
  <c r="BG163" i="5"/>
  <c r="BF163" i="5"/>
  <c r="BD163" i="5"/>
  <c r="BC163" i="5"/>
  <c r="BJ162" i="5"/>
  <c r="BI162" i="5"/>
  <c r="BG162" i="5"/>
  <c r="BF162" i="5"/>
  <c r="BD162" i="5"/>
  <c r="BC162" i="5"/>
  <c r="BJ160" i="5"/>
  <c r="BI160" i="5"/>
  <c r="BG160" i="5"/>
  <c r="BF160" i="5"/>
  <c r="BD160" i="5"/>
  <c r="BC160" i="5"/>
  <c r="BJ159" i="5"/>
  <c r="BI159" i="5"/>
  <c r="BG159" i="5"/>
  <c r="BF159" i="5"/>
  <c r="BD159" i="5"/>
  <c r="BC159" i="5"/>
  <c r="BA163" i="5"/>
  <c r="AZ163" i="5"/>
  <c r="AX163" i="5"/>
  <c r="AW163" i="5"/>
  <c r="AU163" i="5"/>
  <c r="AT163" i="5"/>
  <c r="BA162" i="5"/>
  <c r="AZ162" i="5"/>
  <c r="AX162" i="5"/>
  <c r="AW162" i="5"/>
  <c r="AU162" i="5"/>
  <c r="AT162" i="5"/>
  <c r="BA160" i="5"/>
  <c r="AZ160" i="5"/>
  <c r="AX160" i="5"/>
  <c r="AW160" i="5"/>
  <c r="AU160" i="5"/>
  <c r="AT160" i="5"/>
  <c r="BA159" i="5"/>
  <c r="AZ159" i="5"/>
  <c r="AX159" i="5"/>
  <c r="AW159" i="5"/>
  <c r="AU159" i="5"/>
  <c r="AT159" i="5"/>
  <c r="AR163" i="5"/>
  <c r="AQ163" i="5"/>
  <c r="AO163" i="5"/>
  <c r="AN163" i="5"/>
  <c r="AL163" i="5"/>
  <c r="AK163" i="5"/>
  <c r="AR162" i="5"/>
  <c r="AQ162" i="5"/>
  <c r="AO162" i="5"/>
  <c r="AN162" i="5"/>
  <c r="AL162" i="5"/>
  <c r="AK162" i="5"/>
  <c r="AR160" i="5"/>
  <c r="AQ160" i="5"/>
  <c r="AO160" i="5"/>
  <c r="AN160" i="5"/>
  <c r="AL160" i="5"/>
  <c r="AK160" i="5"/>
  <c r="AR159" i="5"/>
  <c r="AQ159" i="5"/>
  <c r="AO159" i="5"/>
  <c r="AN159" i="5"/>
  <c r="AL159" i="5"/>
  <c r="AK159" i="5"/>
  <c r="AI163" i="5"/>
  <c r="AH163" i="5"/>
  <c r="AF163" i="5"/>
  <c r="AE163" i="5"/>
  <c r="AC163" i="5"/>
  <c r="AB163" i="5"/>
  <c r="AI162" i="5"/>
  <c r="AH162" i="5"/>
  <c r="AF162" i="5"/>
  <c r="AE162" i="5"/>
  <c r="AC162" i="5"/>
  <c r="AB162" i="5"/>
  <c r="AI160" i="5"/>
  <c r="AH160" i="5"/>
  <c r="AF160" i="5"/>
  <c r="AE160" i="5"/>
  <c r="AC160" i="5"/>
  <c r="AB160" i="5"/>
  <c r="AI159" i="5"/>
  <c r="AH159" i="5"/>
  <c r="AF159" i="5"/>
  <c r="AE159" i="5"/>
  <c r="AC159" i="5"/>
  <c r="AB159" i="5"/>
  <c r="Z163" i="5"/>
  <c r="Y163" i="5"/>
  <c r="Z162" i="5"/>
  <c r="Y162" i="5"/>
  <c r="Z160" i="5"/>
  <c r="Y160" i="5"/>
  <c r="Z159" i="5"/>
  <c r="Y159" i="5"/>
  <c r="W163" i="5"/>
  <c r="V163" i="5"/>
  <c r="W162" i="5"/>
  <c r="V162" i="5"/>
  <c r="W160" i="5"/>
  <c r="V160" i="5"/>
  <c r="W159" i="5"/>
  <c r="V159" i="5"/>
  <c r="T163" i="5"/>
  <c r="S163" i="5"/>
  <c r="T162" i="5"/>
  <c r="S162" i="5"/>
  <c r="T160" i="5"/>
  <c r="S160" i="5"/>
  <c r="T159" i="5"/>
  <c r="S159" i="5"/>
  <c r="I160" i="5"/>
  <c r="I159" i="5"/>
  <c r="AI245" i="5" l="1"/>
  <c r="BS245" i="5"/>
  <c r="BU225" i="5"/>
  <c r="CH245" i="5"/>
  <c r="CK246" i="5"/>
  <c r="AB225" i="5"/>
  <c r="AB246" i="5"/>
  <c r="AK225" i="5"/>
  <c r="AK246" i="5"/>
  <c r="AT246" i="5"/>
  <c r="BL246" i="5"/>
  <c r="BV225" i="5"/>
  <c r="CA245" i="5"/>
  <c r="AC225" i="5"/>
  <c r="AC246" i="5"/>
  <c r="AL225" i="5"/>
  <c r="AU246" i="5"/>
  <c r="BM246" i="5"/>
  <c r="CB245" i="5"/>
  <c r="CK245" i="5"/>
  <c r="AB245" i="5"/>
  <c r="AE246" i="5"/>
  <c r="AK245" i="5"/>
  <c r="AT221" i="5"/>
  <c r="AW225" i="5"/>
  <c r="AT245" i="5"/>
  <c r="AW246" i="5"/>
  <c r="BC221" i="5"/>
  <c r="BF225" i="5"/>
  <c r="BC245" i="5"/>
  <c r="BL221" i="5"/>
  <c r="BO225" i="5"/>
  <c r="BL245" i="5"/>
  <c r="BO246" i="5"/>
  <c r="BU246" i="5"/>
  <c r="CD225" i="5"/>
  <c r="CD246" i="5"/>
  <c r="BM245" i="5"/>
  <c r="AF221" i="5"/>
  <c r="AF220" i="5"/>
  <c r="AF224" i="5"/>
  <c r="BO245" i="5"/>
  <c r="AZ245" i="5"/>
  <c r="BD245" i="5"/>
  <c r="BX245" i="5"/>
  <c r="BY245" i="5"/>
  <c r="BP245" i="5"/>
  <c r="AN245" i="5"/>
  <c r="CE222" i="5"/>
  <c r="CE225" i="5"/>
  <c r="V225" i="5"/>
  <c r="BV222" i="5"/>
  <c r="AI246" i="5"/>
  <c r="Q285" i="5"/>
  <c r="AQ319" i="5"/>
  <c r="AQ313" i="5" s="1"/>
  <c r="AQ315" i="5"/>
  <c r="AT319" i="5"/>
  <c r="AT313" i="5" s="1"/>
  <c r="AT315" i="5"/>
  <c r="BF319" i="5"/>
  <c r="BF313" i="5" s="1"/>
  <c r="BF315" i="5"/>
  <c r="T319" i="5"/>
  <c r="T313" i="5" s="1"/>
  <c r="T315" i="5"/>
  <c r="Z315" i="5"/>
  <c r="Z319" i="5"/>
  <c r="Z313" i="5" s="1"/>
  <c r="AC319" i="5"/>
  <c r="AC313" i="5" s="1"/>
  <c r="AC315" i="5"/>
  <c r="AI315" i="5"/>
  <c r="AI319" i="5"/>
  <c r="AI313" i="5" s="1"/>
  <c r="AO319" i="5"/>
  <c r="AO313" i="5" s="1"/>
  <c r="AO315" i="5"/>
  <c r="AX319" i="5"/>
  <c r="AX313" i="5" s="1"/>
  <c r="AX315" i="5"/>
  <c r="BD315" i="5"/>
  <c r="BD319" i="5"/>
  <c r="BD313" i="5" s="1"/>
  <c r="BJ319" i="5"/>
  <c r="BJ313" i="5" s="1"/>
  <c r="BJ315" i="5"/>
  <c r="BM319" i="5"/>
  <c r="BM313" i="5" s="1"/>
  <c r="BM315" i="5"/>
  <c r="BS319" i="5"/>
  <c r="BS313" i="5" s="1"/>
  <c r="BS315" i="5"/>
  <c r="BU319" i="5"/>
  <c r="BU313" i="5" s="1"/>
  <c r="BU315" i="5"/>
  <c r="CA319" i="5"/>
  <c r="CA313" i="5" s="1"/>
  <c r="CA315" i="5"/>
  <c r="CE319" i="5"/>
  <c r="CE313" i="5" s="1"/>
  <c r="CE315" i="5"/>
  <c r="CK319" i="5"/>
  <c r="CK313" i="5" s="1"/>
  <c r="CK315" i="5"/>
  <c r="W1423" i="5"/>
  <c r="W1420" i="5" s="1"/>
  <c r="W1421" i="5"/>
  <c r="W1418" i="5" s="1"/>
  <c r="W1405" i="5" s="1"/>
  <c r="Q676" i="5"/>
  <c r="Q673" i="5" s="1"/>
  <c r="Q678" i="5"/>
  <c r="Q675" i="5" s="1"/>
  <c r="R678" i="5"/>
  <c r="R675" i="5" s="1"/>
  <c r="R676" i="5"/>
  <c r="R673" i="5" s="1"/>
  <c r="V319" i="5"/>
  <c r="V313" i="5" s="1"/>
  <c r="V315" i="5"/>
  <c r="AE319" i="5"/>
  <c r="AE313" i="5" s="1"/>
  <c r="AE315" i="5"/>
  <c r="AK319" i="5"/>
  <c r="AK313" i="5" s="1"/>
  <c r="AK315" i="5"/>
  <c r="AZ319" i="5"/>
  <c r="AZ313" i="5" s="1"/>
  <c r="AZ315" i="5"/>
  <c r="BO319" i="5"/>
  <c r="BO313" i="5" s="1"/>
  <c r="BO315" i="5"/>
  <c r="BV315" i="5"/>
  <c r="BV319" i="5"/>
  <c r="BV313" i="5" s="1"/>
  <c r="CB319" i="5"/>
  <c r="CB313" i="5" s="1"/>
  <c r="CB315" i="5"/>
  <c r="CG319" i="5"/>
  <c r="CG313" i="5" s="1"/>
  <c r="CG315" i="5"/>
  <c r="V1423" i="5"/>
  <c r="V1420" i="5" s="1"/>
  <c r="V1421" i="5"/>
  <c r="V1418" i="5" s="1"/>
  <c r="V1405" i="5" s="1"/>
  <c r="Y1421" i="5"/>
  <c r="Y1418" i="5" s="1"/>
  <c r="Y1405" i="5" s="1"/>
  <c r="Y1423" i="5"/>
  <c r="Y1420" i="5" s="1"/>
  <c r="W319" i="5"/>
  <c r="W313" i="5" s="1"/>
  <c r="W315" i="5"/>
  <c r="AF319" i="5"/>
  <c r="AF313" i="5" s="1"/>
  <c r="AF315" i="5"/>
  <c r="AO245" i="5"/>
  <c r="AL246" i="5"/>
  <c r="AL321" i="5"/>
  <c r="AR319" i="5"/>
  <c r="AR313" i="5" s="1"/>
  <c r="AR315" i="5"/>
  <c r="AU319" i="5"/>
  <c r="AU313" i="5" s="1"/>
  <c r="AU315" i="5"/>
  <c r="BA319" i="5"/>
  <c r="BA313" i="5" s="1"/>
  <c r="BA315" i="5"/>
  <c r="BG319" i="5"/>
  <c r="BG313" i="5" s="1"/>
  <c r="BG315" i="5"/>
  <c r="BP319" i="5"/>
  <c r="BP313" i="5" s="1"/>
  <c r="BP315" i="5"/>
  <c r="BX319" i="5"/>
  <c r="BX313" i="5" s="1"/>
  <c r="BX315" i="5"/>
  <c r="CH319" i="5"/>
  <c r="CH313" i="5" s="1"/>
  <c r="CH315" i="5"/>
  <c r="Z1421" i="5"/>
  <c r="Z1418" i="5" s="1"/>
  <c r="Z1405" i="5" s="1"/>
  <c r="Z1423" i="5"/>
  <c r="Z1420" i="5" s="1"/>
  <c r="S1421" i="5"/>
  <c r="S1418" i="5" s="1"/>
  <c r="S1405" i="5" s="1"/>
  <c r="Q1434" i="5"/>
  <c r="S1423" i="5"/>
  <c r="S1420" i="5" s="1"/>
  <c r="S319" i="5"/>
  <c r="S313" i="5" s="1"/>
  <c r="S315" i="5"/>
  <c r="Y319" i="5"/>
  <c r="Y313" i="5" s="1"/>
  <c r="Y315" i="5"/>
  <c r="AE245" i="5"/>
  <c r="AB319" i="5"/>
  <c r="AB313" i="5" s="1"/>
  <c r="AB315" i="5"/>
  <c r="AH319" i="5"/>
  <c r="AH313" i="5" s="1"/>
  <c r="AH315" i="5"/>
  <c r="AN246" i="5"/>
  <c r="AN321" i="5"/>
  <c r="AW315" i="5"/>
  <c r="AW319" i="5"/>
  <c r="AW313" i="5" s="1"/>
  <c r="BC319" i="5"/>
  <c r="BC313" i="5" s="1"/>
  <c r="BC315" i="5"/>
  <c r="BI319" i="5"/>
  <c r="BI313" i="5" s="1"/>
  <c r="BI315" i="5"/>
  <c r="BL319" i="5"/>
  <c r="BL313" i="5" s="1"/>
  <c r="BL315" i="5"/>
  <c r="BR319" i="5"/>
  <c r="BR313" i="5" s="1"/>
  <c r="BR315" i="5"/>
  <c r="BY319" i="5"/>
  <c r="BY313" i="5" s="1"/>
  <c r="BY315" i="5"/>
  <c r="CD319" i="5"/>
  <c r="CD313" i="5" s="1"/>
  <c r="CD315" i="5"/>
  <c r="CJ319" i="5"/>
  <c r="CJ313" i="5" s="1"/>
  <c r="CJ315" i="5"/>
  <c r="T1421" i="5"/>
  <c r="T1418" i="5" s="1"/>
  <c r="T1405" i="5" s="1"/>
  <c r="R1434" i="5"/>
  <c r="T1423" i="5"/>
  <c r="T1420" i="5" s="1"/>
  <c r="BF245" i="5"/>
  <c r="CG245" i="5"/>
  <c r="BG246" i="5"/>
  <c r="BP246" i="5"/>
  <c r="Z244" i="5"/>
  <c r="AF225" i="5"/>
  <c r="BY225" i="5"/>
  <c r="AU225" i="5"/>
  <c r="T225" i="5"/>
  <c r="AO225" i="5"/>
  <c r="AR245" i="5"/>
  <c r="AR158" i="5"/>
  <c r="CD161" i="5"/>
  <c r="AB244" i="5"/>
  <c r="BV158" i="5"/>
  <c r="BS244" i="5"/>
  <c r="CB244" i="5"/>
  <c r="Z158" i="5"/>
  <c r="AL158" i="5"/>
  <c r="AX158" i="5"/>
  <c r="BD158" i="5"/>
  <c r="BJ158" i="5"/>
  <c r="CB158" i="5"/>
  <c r="CH158" i="5"/>
  <c r="W161" i="5"/>
  <c r="Z161" i="5"/>
  <c r="AF161" i="5"/>
  <c r="AI161" i="5"/>
  <c r="AO161" i="5"/>
  <c r="AL161" i="5"/>
  <c r="AR161" i="5"/>
  <c r="AU161" i="5"/>
  <c r="BA161" i="5"/>
  <c r="BD161" i="5"/>
  <c r="BJ161" i="5"/>
  <c r="BM161" i="5"/>
  <c r="BS161" i="5"/>
  <c r="BV161" i="5"/>
  <c r="CB161" i="5"/>
  <c r="CE161" i="5"/>
  <c r="CK161" i="5"/>
  <c r="AK222" i="5"/>
  <c r="R231" i="5"/>
  <c r="R222" i="5" s="1"/>
  <c r="AH220" i="5"/>
  <c r="AQ222" i="5"/>
  <c r="CJ244" i="5"/>
  <c r="BY158" i="5"/>
  <c r="AB222" i="5"/>
  <c r="AQ220" i="5"/>
  <c r="AK220" i="5"/>
  <c r="AK244" i="5"/>
  <c r="Q225" i="5"/>
  <c r="AT158" i="5"/>
  <c r="BL158" i="5"/>
  <c r="AI158" i="5"/>
  <c r="AC244" i="5"/>
  <c r="AR244" i="5"/>
  <c r="BM244" i="5"/>
  <c r="AZ158" i="5"/>
  <c r="CD158" i="5"/>
  <c r="BU244" i="5"/>
  <c r="Z245" i="5"/>
  <c r="CJ220" i="5"/>
  <c r="BX158" i="5"/>
  <c r="R165" i="5"/>
  <c r="AQ158" i="5"/>
  <c r="BU158" i="5"/>
  <c r="CA158" i="5"/>
  <c r="CG158" i="5"/>
  <c r="W245" i="5"/>
  <c r="AW222" i="5"/>
  <c r="BO244" i="5"/>
  <c r="R227" i="5"/>
  <c r="R163" i="5"/>
  <c r="BR158" i="5"/>
  <c r="CJ158" i="5"/>
  <c r="AW244" i="5"/>
  <c r="CD244" i="5"/>
  <c r="AK158" i="5"/>
  <c r="BI158" i="5"/>
  <c r="S161" i="5"/>
  <c r="Y161" i="5"/>
  <c r="AK161" i="5"/>
  <c r="AT161" i="5"/>
  <c r="BF161" i="5"/>
  <c r="BL161" i="5"/>
  <c r="BU161" i="5"/>
  <c r="CA161" i="5"/>
  <c r="BX161" i="5"/>
  <c r="CJ161" i="5"/>
  <c r="CG161" i="5"/>
  <c r="AH244" i="5"/>
  <c r="AU244" i="5"/>
  <c r="BA244" i="5"/>
  <c r="CA244" i="5"/>
  <c r="CK244" i="5"/>
  <c r="AH222" i="5"/>
  <c r="AI244" i="5"/>
  <c r="BF222" i="5"/>
  <c r="CA222" i="5"/>
  <c r="CG222" i="5"/>
  <c r="W158" i="5"/>
  <c r="AC158" i="5"/>
  <c r="AU158" i="5"/>
  <c r="BA158" i="5"/>
  <c r="BG158" i="5"/>
  <c r="BM158" i="5"/>
  <c r="BS158" i="5"/>
  <c r="CE158" i="5"/>
  <c r="CK158" i="5"/>
  <c r="V245" i="5"/>
  <c r="BO222" i="5"/>
  <c r="BU222" i="5"/>
  <c r="R294" i="5"/>
  <c r="Z223" i="5"/>
  <c r="Z224" i="5"/>
  <c r="Y220" i="5"/>
  <c r="Y225" i="5"/>
  <c r="AB223" i="5"/>
  <c r="AB224" i="5"/>
  <c r="AO224" i="5"/>
  <c r="AO223" i="5"/>
  <c r="AU221" i="5"/>
  <c r="AU224" i="5"/>
  <c r="AU223" i="5"/>
  <c r="BA221" i="5"/>
  <c r="BA224" i="5"/>
  <c r="BA223" i="5"/>
  <c r="BD223" i="5"/>
  <c r="BD224" i="5"/>
  <c r="BJ223" i="5"/>
  <c r="BJ224" i="5"/>
  <c r="BM224" i="5"/>
  <c r="BM223" i="5"/>
  <c r="BP222" i="5"/>
  <c r="BP225" i="5"/>
  <c r="BU224" i="5"/>
  <c r="BU223" i="5"/>
  <c r="BX222" i="5"/>
  <c r="BX225" i="5"/>
  <c r="Y158" i="5"/>
  <c r="AW158" i="5"/>
  <c r="BO158" i="5"/>
  <c r="V224" i="5"/>
  <c r="V223" i="5"/>
  <c r="S245" i="5"/>
  <c r="AK224" i="5"/>
  <c r="AK223" i="5"/>
  <c r="AN222" i="5"/>
  <c r="AN225" i="5"/>
  <c r="AW224" i="5"/>
  <c r="AW223" i="5"/>
  <c r="AZ222" i="5"/>
  <c r="AZ225" i="5"/>
  <c r="BF224" i="5"/>
  <c r="BF223" i="5"/>
  <c r="BI222" i="5"/>
  <c r="BI225" i="5"/>
  <c r="BC246" i="5"/>
  <c r="BO224" i="5"/>
  <c r="BO223" i="5"/>
  <c r="BV223" i="5"/>
  <c r="BV224" i="5"/>
  <c r="CB223" i="5"/>
  <c r="CB224" i="5"/>
  <c r="AF158" i="5"/>
  <c r="BP158" i="5"/>
  <c r="T161" i="5"/>
  <c r="AC161" i="5"/>
  <c r="BG161" i="5"/>
  <c r="W224" i="5"/>
  <c r="W223" i="5"/>
  <c r="AE224" i="5"/>
  <c r="AE223" i="5"/>
  <c r="AL223" i="5"/>
  <c r="AL224" i="5"/>
  <c r="AR223" i="5"/>
  <c r="AR224" i="5"/>
  <c r="AX223" i="5"/>
  <c r="AX224" i="5"/>
  <c r="BA222" i="5"/>
  <c r="BA225" i="5"/>
  <c r="AX245" i="5"/>
  <c r="BG224" i="5"/>
  <c r="BG223" i="5"/>
  <c r="BD222" i="5"/>
  <c r="BD225" i="5"/>
  <c r="BJ222" i="5"/>
  <c r="BJ225" i="5"/>
  <c r="BG244" i="5"/>
  <c r="BD246" i="5"/>
  <c r="BP223" i="5"/>
  <c r="BP224" i="5"/>
  <c r="BM222" i="5"/>
  <c r="BM225" i="5"/>
  <c r="BS222" i="5"/>
  <c r="BS225" i="5"/>
  <c r="BU220" i="5"/>
  <c r="BX223" i="5"/>
  <c r="BX224" i="5"/>
  <c r="CD220" i="5"/>
  <c r="CJ222" i="5"/>
  <c r="CK222" i="5"/>
  <c r="CK225" i="5"/>
  <c r="CD245" i="5"/>
  <c r="CE244" i="5"/>
  <c r="T223" i="5"/>
  <c r="T224" i="5"/>
  <c r="S220" i="5"/>
  <c r="S225" i="5"/>
  <c r="AH224" i="5"/>
  <c r="AH223" i="5"/>
  <c r="AE222" i="5"/>
  <c r="AE225" i="5"/>
  <c r="BS224" i="5"/>
  <c r="BS223" i="5"/>
  <c r="CA224" i="5"/>
  <c r="CA223" i="5"/>
  <c r="CE224" i="5"/>
  <c r="CE223" i="5"/>
  <c r="AE158" i="5"/>
  <c r="BC158" i="5"/>
  <c r="AC224" i="5"/>
  <c r="AC223" i="5"/>
  <c r="AI224" i="5"/>
  <c r="AI223" i="5"/>
  <c r="AQ224" i="5"/>
  <c r="AQ223" i="5"/>
  <c r="AT222" i="5"/>
  <c r="AT225" i="5"/>
  <c r="BC222" i="5"/>
  <c r="BC225" i="5"/>
  <c r="BL222" i="5"/>
  <c r="BL225" i="5"/>
  <c r="BR222" i="5"/>
  <c r="BR225" i="5"/>
  <c r="CG224" i="5"/>
  <c r="CG223" i="5"/>
  <c r="V158" i="5"/>
  <c r="AB158" i="5"/>
  <c r="AH158" i="5"/>
  <c r="V161" i="5"/>
  <c r="AB161" i="5"/>
  <c r="AH161" i="5"/>
  <c r="BC161" i="5"/>
  <c r="BI161" i="5"/>
  <c r="BR161" i="5"/>
  <c r="S224" i="5"/>
  <c r="S223" i="5"/>
  <c r="Y224" i="5"/>
  <c r="Y223" i="5"/>
  <c r="V246" i="5"/>
  <c r="AB220" i="5"/>
  <c r="AF223" i="5"/>
  <c r="AN223" i="5"/>
  <c r="AN224" i="5"/>
  <c r="AQ244" i="5"/>
  <c r="AW220" i="5"/>
  <c r="AT224" i="5"/>
  <c r="AT223" i="5"/>
  <c r="AZ223" i="5"/>
  <c r="AZ224" i="5"/>
  <c r="BA245" i="5"/>
  <c r="BF220" i="5"/>
  <c r="BC224" i="5"/>
  <c r="BC223" i="5"/>
  <c r="BI224" i="5"/>
  <c r="BI223" i="5"/>
  <c r="BO220" i="5"/>
  <c r="BL223" i="5"/>
  <c r="BL224" i="5"/>
  <c r="BR224" i="5"/>
  <c r="BR223" i="5"/>
  <c r="CA220" i="5"/>
  <c r="BY221" i="5"/>
  <c r="BY224" i="5"/>
  <c r="BY223" i="5"/>
  <c r="CB222" i="5"/>
  <c r="CB225" i="5"/>
  <c r="CG220" i="5"/>
  <c r="CD222" i="5"/>
  <c r="CD224" i="5"/>
  <c r="CD223" i="5"/>
  <c r="CJ223" i="5"/>
  <c r="CJ224" i="5"/>
  <c r="R168" i="5"/>
  <c r="Q266" i="5"/>
  <c r="Q294" i="5"/>
  <c r="Q165" i="5"/>
  <c r="Q168" i="5"/>
  <c r="Q223" i="5"/>
  <c r="Q224" i="5"/>
  <c r="R325" i="5"/>
  <c r="CH224" i="5"/>
  <c r="CH223" i="5"/>
  <c r="CK221" i="5"/>
  <c r="CK220" i="5"/>
  <c r="CK223" i="5"/>
  <c r="CK224" i="5"/>
  <c r="R285" i="5"/>
  <c r="BJ245" i="5"/>
  <c r="CE245" i="5"/>
  <c r="BG245" i="5"/>
  <c r="T245" i="5"/>
  <c r="AL244" i="5"/>
  <c r="AU245" i="5"/>
  <c r="BV244" i="5"/>
  <c r="CG244" i="5"/>
  <c r="BF244" i="5"/>
  <c r="BP244" i="5"/>
  <c r="Y244" i="5"/>
  <c r="Q246" i="5"/>
  <c r="AE244" i="5"/>
  <c r="AN244" i="5"/>
  <c r="BC244" i="5"/>
  <c r="BI244" i="5"/>
  <c r="AF244" i="5"/>
  <c r="AO244" i="5"/>
  <c r="BD244" i="5"/>
  <c r="BJ244" i="5"/>
  <c r="BL244" i="5"/>
  <c r="BR244" i="5"/>
  <c r="BY244" i="5"/>
  <c r="CH244" i="5"/>
  <c r="BX244" i="5"/>
  <c r="BF246" i="5"/>
  <c r="AX244" i="5"/>
  <c r="AT244" i="5"/>
  <c r="AZ244" i="5"/>
  <c r="W246" i="5"/>
  <c r="T244" i="5"/>
  <c r="R246" i="5"/>
  <c r="Q245" i="5"/>
  <c r="R245" i="5"/>
  <c r="AL222" i="5"/>
  <c r="AI222" i="5"/>
  <c r="AR222" i="5"/>
  <c r="W222" i="5"/>
  <c r="AX222" i="5"/>
  <c r="BG222" i="5"/>
  <c r="AF222" i="5"/>
  <c r="CH222" i="5"/>
  <c r="AO222" i="5"/>
  <c r="AC222" i="5"/>
  <c r="AU222" i="5"/>
  <c r="BS220" i="5"/>
  <c r="BY222" i="5"/>
  <c r="BM221" i="5"/>
  <c r="AO221" i="5"/>
  <c r="CB220" i="5"/>
  <c r="BS221" i="5"/>
  <c r="BD221" i="5"/>
  <c r="AC220" i="5"/>
  <c r="BP221" i="5"/>
  <c r="BP220" i="5"/>
  <c r="BM220" i="5"/>
  <c r="AL220" i="5"/>
  <c r="BV220" i="5"/>
  <c r="T220" i="5"/>
  <c r="AI220" i="5"/>
  <c r="CE220" i="5"/>
  <c r="CE221" i="5"/>
  <c r="AR220" i="5"/>
  <c r="W220" i="5"/>
  <c r="BG220" i="5"/>
  <c r="BJ221" i="5"/>
  <c r="AX220" i="5"/>
  <c r="CH220" i="5"/>
  <c r="CH221" i="5"/>
  <c r="CJ221" i="5"/>
  <c r="Q220" i="5"/>
  <c r="BX220" i="5"/>
  <c r="BU221" i="5"/>
  <c r="CA221" i="5"/>
  <c r="BY220" i="5"/>
  <c r="BV221" i="5"/>
  <c r="CB221" i="5"/>
  <c r="BL220" i="5"/>
  <c r="BR220" i="5"/>
  <c r="BO221" i="5"/>
  <c r="BC220" i="5"/>
  <c r="BI220" i="5"/>
  <c r="BF221" i="5"/>
  <c r="BD220" i="5"/>
  <c r="BJ220" i="5"/>
  <c r="BG221" i="5"/>
  <c r="AT220" i="5"/>
  <c r="AZ220" i="5"/>
  <c r="AW221" i="5"/>
  <c r="AU220" i="5"/>
  <c r="BA220" i="5"/>
  <c r="AX221" i="5"/>
  <c r="AN220" i="5"/>
  <c r="AK221" i="5"/>
  <c r="AQ221" i="5"/>
  <c r="AO220" i="5"/>
  <c r="AL221" i="5"/>
  <c r="AR221" i="5"/>
  <c r="AE220" i="5"/>
  <c r="AB221" i="5"/>
  <c r="AH221" i="5"/>
  <c r="AC221" i="5"/>
  <c r="AI221" i="5"/>
  <c r="V244" i="5"/>
  <c r="W244" i="5"/>
  <c r="Q244" i="5"/>
  <c r="R244" i="5"/>
  <c r="S244" i="5"/>
  <c r="Z220" i="5"/>
  <c r="Y222" i="5"/>
  <c r="Z222" i="5"/>
  <c r="V220" i="5"/>
  <c r="V222" i="5"/>
  <c r="S222" i="5"/>
  <c r="T222" i="5"/>
  <c r="Q222" i="5"/>
  <c r="Y221" i="5"/>
  <c r="Z221" i="5"/>
  <c r="V221" i="5"/>
  <c r="W221" i="5"/>
  <c r="S221" i="5"/>
  <c r="T221" i="5"/>
  <c r="Q221" i="5"/>
  <c r="AZ161" i="5"/>
  <c r="AN161" i="5"/>
  <c r="R175" i="5"/>
  <c r="AQ161" i="5"/>
  <c r="Q175" i="5"/>
  <c r="Q163" i="5"/>
  <c r="CH161" i="5"/>
  <c r="BY161" i="5"/>
  <c r="BO161" i="5"/>
  <c r="BP161" i="5"/>
  <c r="AW161" i="5"/>
  <c r="AX161" i="5"/>
  <c r="Q172" i="5"/>
  <c r="Q161" i="5" s="1"/>
  <c r="AE161" i="5"/>
  <c r="Q162" i="5"/>
  <c r="R172" i="5"/>
  <c r="R162" i="5"/>
  <c r="AN158" i="5"/>
  <c r="AO158" i="5"/>
  <c r="S158" i="5"/>
  <c r="T158" i="5"/>
  <c r="Q159" i="5"/>
  <c r="Q160" i="5"/>
  <c r="R160" i="5"/>
  <c r="R159" i="5"/>
  <c r="BA70" i="5"/>
  <c r="AI70" i="5"/>
  <c r="W70" i="5"/>
  <c r="BJ70" i="5"/>
  <c r="CK70" i="5"/>
  <c r="CJ70" i="5"/>
  <c r="CG70" i="5"/>
  <c r="CE70" i="5"/>
  <c r="CD70" i="5"/>
  <c r="CB70" i="5"/>
  <c r="CA70" i="5"/>
  <c r="BY70" i="5"/>
  <c r="BX70" i="5"/>
  <c r="BV70" i="5"/>
  <c r="BU70" i="5"/>
  <c r="BS70" i="5"/>
  <c r="BR70" i="5"/>
  <c r="BP70" i="5"/>
  <c r="BO70" i="5"/>
  <c r="BM70" i="5"/>
  <c r="BL70" i="5"/>
  <c r="BI70" i="5"/>
  <c r="BF70" i="5"/>
  <c r="BD70" i="5"/>
  <c r="BC70" i="5"/>
  <c r="AZ70" i="5"/>
  <c r="AX70" i="5"/>
  <c r="AW70" i="5"/>
  <c r="AU70" i="5"/>
  <c r="AT70" i="5"/>
  <c r="AR70" i="5"/>
  <c r="AQ70" i="5"/>
  <c r="AO70" i="5"/>
  <c r="AN70" i="5"/>
  <c r="AL70" i="5"/>
  <c r="AK70" i="5"/>
  <c r="AH70" i="5"/>
  <c r="AF70" i="5"/>
  <c r="AE70" i="5"/>
  <c r="AC70" i="5"/>
  <c r="AB70" i="5"/>
  <c r="Z70" i="5"/>
  <c r="Y70" i="5"/>
  <c r="V70" i="5"/>
  <c r="T70" i="5"/>
  <c r="S70" i="5"/>
  <c r="CK67" i="5"/>
  <c r="CJ67" i="5"/>
  <c r="CG67" i="5"/>
  <c r="CE67" i="5"/>
  <c r="CD67" i="5"/>
  <c r="CB67" i="5"/>
  <c r="CA67" i="5"/>
  <c r="BY67" i="5"/>
  <c r="BX67" i="5"/>
  <c r="BV67" i="5"/>
  <c r="BU67" i="5"/>
  <c r="BS67" i="5"/>
  <c r="BR67" i="5"/>
  <c r="BP67" i="5"/>
  <c r="BO67" i="5"/>
  <c r="BM67" i="5"/>
  <c r="BL67" i="5"/>
  <c r="BI67" i="5"/>
  <c r="BF67" i="5"/>
  <c r="BD67" i="5"/>
  <c r="BC67" i="5"/>
  <c r="BA67" i="5"/>
  <c r="AZ67" i="5"/>
  <c r="AX67" i="5"/>
  <c r="AW67" i="5"/>
  <c r="AT67" i="5"/>
  <c r="AR67" i="5"/>
  <c r="AQ67" i="5"/>
  <c r="AO67" i="5"/>
  <c r="AN67" i="5"/>
  <c r="AK67" i="5"/>
  <c r="AH67" i="5"/>
  <c r="AE67" i="5"/>
  <c r="AC67" i="5"/>
  <c r="AB67" i="5"/>
  <c r="Z67" i="5"/>
  <c r="Y67" i="5"/>
  <c r="W67" i="5"/>
  <c r="V67" i="5"/>
  <c r="T67" i="5"/>
  <c r="S67" i="5"/>
  <c r="CK76" i="5"/>
  <c r="CJ76" i="5"/>
  <c r="CH76" i="5"/>
  <c r="CG76" i="5"/>
  <c r="CE76" i="5"/>
  <c r="CD76" i="5"/>
  <c r="CB76" i="5"/>
  <c r="CA76" i="5"/>
  <c r="BY76" i="5"/>
  <c r="BX76" i="5"/>
  <c r="BV76" i="5"/>
  <c r="BU76" i="5"/>
  <c r="BS76" i="5"/>
  <c r="BR76" i="5"/>
  <c r="BP76" i="5"/>
  <c r="BO76" i="5"/>
  <c r="BM76" i="5"/>
  <c r="BL76" i="5"/>
  <c r="BJ76" i="5"/>
  <c r="BI76" i="5"/>
  <c r="BG76" i="5"/>
  <c r="BF76" i="5"/>
  <c r="BD76" i="5"/>
  <c r="BC76" i="5"/>
  <c r="BA76" i="5"/>
  <c r="AZ76" i="5"/>
  <c r="AX76" i="5"/>
  <c r="AW76" i="5"/>
  <c r="AU76" i="5"/>
  <c r="AT76" i="5"/>
  <c r="AR76" i="5"/>
  <c r="AQ76" i="5"/>
  <c r="AO76" i="5"/>
  <c r="AN76" i="5"/>
  <c r="AL76" i="5"/>
  <c r="AK76" i="5"/>
  <c r="AI76" i="5"/>
  <c r="AH76" i="5"/>
  <c r="AF76" i="5"/>
  <c r="AE76" i="5"/>
  <c r="AC76" i="5"/>
  <c r="AB76" i="5"/>
  <c r="Z76" i="5"/>
  <c r="Y76" i="5"/>
  <c r="W76" i="5"/>
  <c r="V76" i="5"/>
  <c r="T76" i="5"/>
  <c r="S76" i="5"/>
  <c r="CK79" i="5"/>
  <c r="CJ79" i="5"/>
  <c r="CH79" i="5"/>
  <c r="CG79" i="5"/>
  <c r="CE79" i="5"/>
  <c r="CD79" i="5"/>
  <c r="CB79" i="5"/>
  <c r="CA79" i="5"/>
  <c r="BY79" i="5"/>
  <c r="BY73" i="5" s="1"/>
  <c r="BX79" i="5"/>
  <c r="BX73" i="5" s="1"/>
  <c r="BV79" i="5"/>
  <c r="BU79" i="5"/>
  <c r="BS79" i="5"/>
  <c r="BR79" i="5"/>
  <c r="BP79" i="5"/>
  <c r="BO79" i="5"/>
  <c r="BM79" i="5"/>
  <c r="BL79" i="5"/>
  <c r="BJ79" i="5"/>
  <c r="BI79" i="5"/>
  <c r="BG79" i="5"/>
  <c r="BF79" i="5"/>
  <c r="BD79" i="5"/>
  <c r="BC79" i="5"/>
  <c r="BA79" i="5"/>
  <c r="AZ79" i="5"/>
  <c r="AX79" i="5"/>
  <c r="AW79" i="5"/>
  <c r="AU79" i="5"/>
  <c r="AT79" i="5"/>
  <c r="AR79" i="5"/>
  <c r="AQ79" i="5"/>
  <c r="AO79" i="5"/>
  <c r="AN79" i="5"/>
  <c r="AN73" i="5" s="1"/>
  <c r="AL79" i="5"/>
  <c r="AK79" i="5"/>
  <c r="AI79" i="5"/>
  <c r="AH79" i="5"/>
  <c r="AF79" i="5"/>
  <c r="AE79" i="5"/>
  <c r="AE73" i="5" s="1"/>
  <c r="AC79" i="5"/>
  <c r="AB79" i="5"/>
  <c r="Z79" i="5"/>
  <c r="Y79" i="5"/>
  <c r="W79" i="5"/>
  <c r="V79" i="5"/>
  <c r="T79" i="5"/>
  <c r="S79" i="5"/>
  <c r="AI67" i="5"/>
  <c r="CH67" i="5"/>
  <c r="AL67" i="5"/>
  <c r="AF67" i="5"/>
  <c r="BG67" i="5"/>
  <c r="BJ67" i="5"/>
  <c r="AU67" i="5"/>
  <c r="R81" i="5"/>
  <c r="Q81" i="5"/>
  <c r="R80" i="5"/>
  <c r="Q80" i="5"/>
  <c r="R78" i="5"/>
  <c r="Q78" i="5"/>
  <c r="R77" i="5"/>
  <c r="Q77" i="5"/>
  <c r="R72" i="5"/>
  <c r="Q72" i="5"/>
  <c r="Q71" i="5"/>
  <c r="R69" i="5"/>
  <c r="Q69" i="5"/>
  <c r="Q68" i="5"/>
  <c r="CK75" i="5"/>
  <c r="CJ75" i="5"/>
  <c r="CH75" i="5"/>
  <c r="CG75" i="5"/>
  <c r="CE75" i="5"/>
  <c r="CD75" i="5"/>
  <c r="CK74" i="5"/>
  <c r="CJ74" i="5"/>
  <c r="CH74" i="5"/>
  <c r="CG74" i="5"/>
  <c r="CE74" i="5"/>
  <c r="CD74" i="5"/>
  <c r="CK66" i="5"/>
  <c r="CJ66" i="5"/>
  <c r="CH66" i="5"/>
  <c r="CG66" i="5"/>
  <c r="CE66" i="5"/>
  <c r="CD66" i="5"/>
  <c r="CK65" i="5"/>
  <c r="CJ65" i="5"/>
  <c r="CG65" i="5"/>
  <c r="CE65" i="5"/>
  <c r="CD65" i="5"/>
  <c r="CB75" i="5"/>
  <c r="CA75" i="5"/>
  <c r="BY75" i="5"/>
  <c r="BX75" i="5"/>
  <c r="BV75" i="5"/>
  <c r="BU75" i="5"/>
  <c r="CB74" i="5"/>
  <c r="CA74" i="5"/>
  <c r="BY74" i="5"/>
  <c r="BX74" i="5"/>
  <c r="BV74" i="5"/>
  <c r="BU74" i="5"/>
  <c r="CB66" i="5"/>
  <c r="CA66" i="5"/>
  <c r="BY66" i="5"/>
  <c r="BX66" i="5"/>
  <c r="BV66" i="5"/>
  <c r="BU66" i="5"/>
  <c r="CB65" i="5"/>
  <c r="CA65" i="5"/>
  <c r="BY65" i="5"/>
  <c r="BX65" i="5"/>
  <c r="BV65" i="5"/>
  <c r="BU65" i="5"/>
  <c r="BS75" i="5"/>
  <c r="BR75" i="5"/>
  <c r="BP75" i="5"/>
  <c r="BO75" i="5"/>
  <c r="BM75" i="5"/>
  <c r="BL75" i="5"/>
  <c r="BS74" i="5"/>
  <c r="BR74" i="5"/>
  <c r="BP74" i="5"/>
  <c r="BO74" i="5"/>
  <c r="BM74" i="5"/>
  <c r="BL74" i="5"/>
  <c r="BS66" i="5"/>
  <c r="BR66" i="5"/>
  <c r="BP66" i="5"/>
  <c r="BO66" i="5"/>
  <c r="BM66" i="5"/>
  <c r="BL66" i="5"/>
  <c r="BS65" i="5"/>
  <c r="BR65" i="5"/>
  <c r="BP65" i="5"/>
  <c r="BO65" i="5"/>
  <c r="BM65" i="5"/>
  <c r="BL65" i="5"/>
  <c r="BJ75" i="5"/>
  <c r="BI75" i="5"/>
  <c r="BG75" i="5"/>
  <c r="BF75" i="5"/>
  <c r="BD75" i="5"/>
  <c r="BC75" i="5"/>
  <c r="BJ74" i="5"/>
  <c r="BI74" i="5"/>
  <c r="BG74" i="5"/>
  <c r="BF74" i="5"/>
  <c r="BD74" i="5"/>
  <c r="BC74" i="5"/>
  <c r="BJ66" i="5"/>
  <c r="BI66" i="5"/>
  <c r="BG66" i="5"/>
  <c r="BF66" i="5"/>
  <c r="BD66" i="5"/>
  <c r="BC66" i="5"/>
  <c r="BI65" i="5"/>
  <c r="BF65" i="5"/>
  <c r="BD65" i="5"/>
  <c r="BC65" i="5"/>
  <c r="BA75" i="5"/>
  <c r="AZ75" i="5"/>
  <c r="AX75" i="5"/>
  <c r="AW75" i="5"/>
  <c r="AU75" i="5"/>
  <c r="AT75" i="5"/>
  <c r="BA74" i="5"/>
  <c r="AZ74" i="5"/>
  <c r="AX74" i="5"/>
  <c r="AW74" i="5"/>
  <c r="AU74" i="5"/>
  <c r="AT74" i="5"/>
  <c r="BA66" i="5"/>
  <c r="AZ66" i="5"/>
  <c r="AX66" i="5"/>
  <c r="AW66" i="5"/>
  <c r="AU66" i="5"/>
  <c r="AT66" i="5"/>
  <c r="AZ65" i="5"/>
  <c r="AX65" i="5"/>
  <c r="AW65" i="5"/>
  <c r="AT65" i="5"/>
  <c r="AR75" i="5"/>
  <c r="AQ75" i="5"/>
  <c r="AO75" i="5"/>
  <c r="AN75" i="5"/>
  <c r="AL75" i="5"/>
  <c r="AK75" i="5"/>
  <c r="AR74" i="5"/>
  <c r="AQ74" i="5"/>
  <c r="AO74" i="5"/>
  <c r="AN74" i="5"/>
  <c r="AL74" i="5"/>
  <c r="AK74" i="5"/>
  <c r="AR66" i="5"/>
  <c r="AQ66" i="5"/>
  <c r="AO66" i="5"/>
  <c r="AN66" i="5"/>
  <c r="AL66" i="5"/>
  <c r="AK66" i="5"/>
  <c r="AR65" i="5"/>
  <c r="AQ65" i="5"/>
  <c r="AO65" i="5"/>
  <c r="AN65" i="5"/>
  <c r="AK65" i="5"/>
  <c r="AI75" i="5"/>
  <c r="AH75" i="5"/>
  <c r="AF75" i="5"/>
  <c r="AE75" i="5"/>
  <c r="AC75" i="5"/>
  <c r="AB75" i="5"/>
  <c r="AI74" i="5"/>
  <c r="AH74" i="5"/>
  <c r="AF74" i="5"/>
  <c r="AE74" i="5"/>
  <c r="AC74" i="5"/>
  <c r="AB74" i="5"/>
  <c r="AI66" i="5"/>
  <c r="AH66" i="5"/>
  <c r="AF66" i="5"/>
  <c r="AE66" i="5"/>
  <c r="AC66" i="5"/>
  <c r="AB66" i="5"/>
  <c r="AH65" i="5"/>
  <c r="AE65" i="5"/>
  <c r="AC65" i="5"/>
  <c r="AB65" i="5"/>
  <c r="Z75" i="5"/>
  <c r="Y75" i="5"/>
  <c r="Z74" i="5"/>
  <c r="Y74" i="5"/>
  <c r="W75" i="5"/>
  <c r="V75" i="5"/>
  <c r="W74" i="5"/>
  <c r="V74" i="5"/>
  <c r="T75" i="5"/>
  <c r="S75" i="5"/>
  <c r="T74" i="5"/>
  <c r="S74" i="5"/>
  <c r="Z66" i="5"/>
  <c r="Y66" i="5"/>
  <c r="Z65" i="5"/>
  <c r="Y65" i="5"/>
  <c r="W66" i="5"/>
  <c r="V66" i="5"/>
  <c r="V65" i="5"/>
  <c r="T66" i="5"/>
  <c r="S66" i="5"/>
  <c r="T65" i="5"/>
  <c r="S65" i="5"/>
  <c r="AN315" i="5" l="1"/>
  <c r="AN319" i="5"/>
  <c r="AN313" i="5" s="1"/>
  <c r="AL319" i="5"/>
  <c r="AL313" i="5" s="1"/>
  <c r="AL315" i="5"/>
  <c r="Q1421" i="5"/>
  <c r="Q1418" i="5" s="1"/>
  <c r="Q1423" i="5"/>
  <c r="Q1420" i="5" s="1"/>
  <c r="R321" i="5"/>
  <c r="R1423" i="5"/>
  <c r="R1420" i="5" s="1"/>
  <c r="R1421" i="5"/>
  <c r="R1418" i="5" s="1"/>
  <c r="Q321" i="5"/>
  <c r="AI64" i="5"/>
  <c r="AC64" i="5"/>
  <c r="AO64" i="5"/>
  <c r="CA73" i="5"/>
  <c r="BU73" i="5"/>
  <c r="AX64" i="5"/>
  <c r="BR64" i="5"/>
  <c r="BX64" i="5"/>
  <c r="CD64" i="5"/>
  <c r="BD73" i="5"/>
  <c r="R223" i="5"/>
  <c r="R225" i="5"/>
  <c r="AR73" i="5"/>
  <c r="CH73" i="5"/>
  <c r="AL65" i="5"/>
  <c r="W65" i="5"/>
  <c r="R76" i="5"/>
  <c r="R221" i="5"/>
  <c r="R224" i="5"/>
  <c r="R79" i="5"/>
  <c r="Z73" i="5"/>
  <c r="AF73" i="5"/>
  <c r="AL73" i="5"/>
  <c r="BJ73" i="5"/>
  <c r="BV73" i="5"/>
  <c r="CB73" i="5"/>
  <c r="AZ64" i="5"/>
  <c r="AU73" i="5"/>
  <c r="BM73" i="5"/>
  <c r="CK73" i="5"/>
  <c r="CA64" i="5"/>
  <c r="AU65" i="5"/>
  <c r="V64" i="5"/>
  <c r="AB64" i="5"/>
  <c r="BF64" i="5"/>
  <c r="BU64" i="5"/>
  <c r="T64" i="5"/>
  <c r="R220" i="5"/>
  <c r="W73" i="5"/>
  <c r="AO73" i="5"/>
  <c r="BA73" i="5"/>
  <c r="BG73" i="5"/>
  <c r="BS73" i="5"/>
  <c r="CE73" i="5"/>
  <c r="S64" i="5"/>
  <c r="BL64" i="5"/>
  <c r="R158" i="5"/>
  <c r="AZ73" i="5"/>
  <c r="BL73" i="5"/>
  <c r="CJ73" i="5"/>
  <c r="CH65" i="5"/>
  <c r="BA64" i="5"/>
  <c r="BV64" i="5"/>
  <c r="BA65" i="5"/>
  <c r="AK73" i="5"/>
  <c r="BC73" i="5"/>
  <c r="BI73" i="5"/>
  <c r="CG73" i="5"/>
  <c r="Y64" i="5"/>
  <c r="AE64" i="5"/>
  <c r="BF73" i="5"/>
  <c r="BR73" i="5"/>
  <c r="CD73" i="5"/>
  <c r="AN64" i="5"/>
  <c r="AT64" i="5"/>
  <c r="CB64" i="5"/>
  <c r="BG65" i="5"/>
  <c r="AU64" i="5"/>
  <c r="AH64" i="5"/>
  <c r="BM64" i="5"/>
  <c r="BS64" i="5"/>
  <c r="BY64" i="5"/>
  <c r="S73" i="5"/>
  <c r="Y73" i="5"/>
  <c r="AQ73" i="5"/>
  <c r="BO73" i="5"/>
  <c r="AW64" i="5"/>
  <c r="CJ64" i="5"/>
  <c r="AF65" i="5"/>
  <c r="T73" i="5"/>
  <c r="BP73" i="5"/>
  <c r="AF64" i="5"/>
  <c r="BD64" i="5"/>
  <c r="V73" i="5"/>
  <c r="AT73" i="5"/>
  <c r="AI65" i="5"/>
  <c r="W64" i="5"/>
  <c r="BG70" i="5"/>
  <c r="BG64" i="5" s="1"/>
  <c r="CG64" i="5"/>
  <c r="BJ64" i="5"/>
  <c r="Q66" i="5"/>
  <c r="Q65" i="5"/>
  <c r="Q158" i="5"/>
  <c r="Q67" i="5"/>
  <c r="Q76" i="5"/>
  <c r="Q79" i="5"/>
  <c r="R161" i="5"/>
  <c r="R66" i="5"/>
  <c r="CE64" i="5"/>
  <c r="R71" i="5"/>
  <c r="CH70" i="5"/>
  <c r="CH64" i="5" s="1"/>
  <c r="Q70" i="5"/>
  <c r="CK64" i="5"/>
  <c r="BO64" i="5"/>
  <c r="BP64" i="5"/>
  <c r="BC64" i="5"/>
  <c r="BI64" i="5"/>
  <c r="AK64" i="5"/>
  <c r="AQ64" i="5"/>
  <c r="AL64" i="5"/>
  <c r="AR64" i="5"/>
  <c r="Z64" i="5"/>
  <c r="AW73" i="5"/>
  <c r="AX73" i="5"/>
  <c r="AB73" i="5"/>
  <c r="AH73" i="5"/>
  <c r="AC73" i="5"/>
  <c r="AI73" i="5"/>
  <c r="Q75" i="5"/>
  <c r="R75" i="5"/>
  <c r="Q74" i="5"/>
  <c r="R74" i="5"/>
  <c r="BJ65" i="5"/>
  <c r="Q64" i="5" l="1"/>
  <c r="R319" i="5"/>
  <c r="R313" i="5" s="1"/>
  <c r="R315" i="5"/>
  <c r="Q315" i="5"/>
  <c r="Q319" i="5"/>
  <c r="Q313" i="5" s="1"/>
  <c r="R70" i="5"/>
  <c r="R67" i="5"/>
  <c r="R73" i="5"/>
  <c r="Q73" i="5"/>
  <c r="R65" i="5"/>
  <c r="R64" i="5" l="1"/>
  <c r="CK29" i="5"/>
  <c r="CK25" i="5"/>
  <c r="CK38" i="5"/>
  <c r="CK277" i="5" s="1"/>
  <c r="CK34" i="5"/>
  <c r="CK276" i="5" s="1"/>
  <c r="CK50" i="5"/>
  <c r="CJ50" i="5"/>
  <c r="CH50" i="5"/>
  <c r="CG50" i="5"/>
  <c r="CE50" i="5"/>
  <c r="CD50" i="5"/>
  <c r="CB50" i="5"/>
  <c r="CA50" i="5"/>
  <c r="BY50" i="5"/>
  <c r="BX50" i="5"/>
  <c r="BV50" i="5"/>
  <c r="BU50" i="5"/>
  <c r="BS50" i="5"/>
  <c r="BR50" i="5"/>
  <c r="BP50" i="5"/>
  <c r="BO50" i="5"/>
  <c r="BM50" i="5"/>
  <c r="BL50" i="5"/>
  <c r="BJ50" i="5"/>
  <c r="BI50" i="5"/>
  <c r="BG50" i="5"/>
  <c r="BF50" i="5"/>
  <c r="BD50" i="5"/>
  <c r="BC50" i="5"/>
  <c r="BA50" i="5"/>
  <c r="AZ50" i="5"/>
  <c r="AX50" i="5"/>
  <c r="AW50" i="5"/>
  <c r="AU50" i="5"/>
  <c r="AT50" i="5"/>
  <c r="AR50" i="5"/>
  <c r="AQ50" i="5"/>
  <c r="AO50" i="5"/>
  <c r="AN50" i="5"/>
  <c r="AL50" i="5"/>
  <c r="AK50" i="5"/>
  <c r="AI50" i="5"/>
  <c r="AH50" i="5"/>
  <c r="AF50" i="5"/>
  <c r="AE50" i="5"/>
  <c r="AC50" i="5"/>
  <c r="AB50" i="5"/>
  <c r="Z50" i="5"/>
  <c r="Y50" i="5"/>
  <c r="W50" i="5"/>
  <c r="V50" i="5"/>
  <c r="T50" i="5"/>
  <c r="S50" i="5"/>
  <c r="CK59" i="5"/>
  <c r="CK283" i="5" s="1"/>
  <c r="CK271" i="5" s="1"/>
  <c r="CJ59" i="5"/>
  <c r="CJ283" i="5" s="1"/>
  <c r="CJ271" i="5" s="1"/>
  <c r="CH59" i="5"/>
  <c r="CH283" i="5" s="1"/>
  <c r="CH271" i="5" s="1"/>
  <c r="CG59" i="5"/>
  <c r="CG283" i="5" s="1"/>
  <c r="CG271" i="5" s="1"/>
  <c r="CE59" i="5"/>
  <c r="CE283" i="5" s="1"/>
  <c r="CE271" i="5" s="1"/>
  <c r="CD59" i="5"/>
  <c r="CD283" i="5" s="1"/>
  <c r="CD271" i="5" s="1"/>
  <c r="CB59" i="5"/>
  <c r="CB283" i="5" s="1"/>
  <c r="CB271" i="5" s="1"/>
  <c r="CA59" i="5"/>
  <c r="CA283" i="5" s="1"/>
  <c r="CA271" i="5" s="1"/>
  <c r="BY59" i="5"/>
  <c r="BY283" i="5" s="1"/>
  <c r="BY271" i="5" s="1"/>
  <c r="BX59" i="5"/>
  <c r="BX283" i="5" s="1"/>
  <c r="BX271" i="5" s="1"/>
  <c r="BV59" i="5"/>
  <c r="BV283" i="5" s="1"/>
  <c r="BV271" i="5" s="1"/>
  <c r="BU59" i="5"/>
  <c r="BU283" i="5" s="1"/>
  <c r="BU271" i="5" s="1"/>
  <c r="BS59" i="5"/>
  <c r="BS283" i="5" s="1"/>
  <c r="BS271" i="5" s="1"/>
  <c r="BR59" i="5"/>
  <c r="BR283" i="5" s="1"/>
  <c r="BR271" i="5" s="1"/>
  <c r="BP59" i="5"/>
  <c r="BP283" i="5" s="1"/>
  <c r="BP271" i="5" s="1"/>
  <c r="BO59" i="5"/>
  <c r="BO283" i="5" s="1"/>
  <c r="BO271" i="5" s="1"/>
  <c r="BM59" i="5"/>
  <c r="BM283" i="5" s="1"/>
  <c r="BM271" i="5" s="1"/>
  <c r="BL59" i="5"/>
  <c r="BL283" i="5" s="1"/>
  <c r="BL271" i="5" s="1"/>
  <c r="BJ59" i="5"/>
  <c r="BJ283" i="5" s="1"/>
  <c r="BJ271" i="5" s="1"/>
  <c r="BI59" i="5"/>
  <c r="BI283" i="5" s="1"/>
  <c r="BI271" i="5" s="1"/>
  <c r="BG59" i="5"/>
  <c r="BG283" i="5" s="1"/>
  <c r="BG271" i="5" s="1"/>
  <c r="BF59" i="5"/>
  <c r="BF283" i="5" s="1"/>
  <c r="BF271" i="5" s="1"/>
  <c r="BD59" i="5"/>
  <c r="BD283" i="5" s="1"/>
  <c r="BD271" i="5" s="1"/>
  <c r="BC59" i="5"/>
  <c r="BC283" i="5" s="1"/>
  <c r="BC271" i="5" s="1"/>
  <c r="BA59" i="5"/>
  <c r="BA283" i="5" s="1"/>
  <c r="BA271" i="5" s="1"/>
  <c r="AZ59" i="5"/>
  <c r="AZ283" i="5" s="1"/>
  <c r="AZ271" i="5" s="1"/>
  <c r="AX59" i="5"/>
  <c r="AX283" i="5" s="1"/>
  <c r="AX271" i="5" s="1"/>
  <c r="AW59" i="5"/>
  <c r="AW283" i="5" s="1"/>
  <c r="AW271" i="5" s="1"/>
  <c r="AU59" i="5"/>
  <c r="AU283" i="5" s="1"/>
  <c r="AU271" i="5" s="1"/>
  <c r="AT59" i="5"/>
  <c r="AT283" i="5" s="1"/>
  <c r="AT271" i="5" s="1"/>
  <c r="AR59" i="5"/>
  <c r="AR283" i="5" s="1"/>
  <c r="AR271" i="5" s="1"/>
  <c r="AQ59" i="5"/>
  <c r="AQ283" i="5" s="1"/>
  <c r="AQ271" i="5" s="1"/>
  <c r="AO59" i="5"/>
  <c r="AO283" i="5" s="1"/>
  <c r="AO271" i="5" s="1"/>
  <c r="AN59" i="5"/>
  <c r="AN283" i="5" s="1"/>
  <c r="AN271" i="5" s="1"/>
  <c r="AL59" i="5"/>
  <c r="AL283" i="5" s="1"/>
  <c r="AL271" i="5" s="1"/>
  <c r="AK59" i="5"/>
  <c r="AK283" i="5" s="1"/>
  <c r="AK271" i="5" s="1"/>
  <c r="AI59" i="5"/>
  <c r="AI283" i="5" s="1"/>
  <c r="AI271" i="5" s="1"/>
  <c r="AH59" i="5"/>
  <c r="AH283" i="5" s="1"/>
  <c r="AH271" i="5" s="1"/>
  <c r="AF59" i="5"/>
  <c r="AF283" i="5" s="1"/>
  <c r="AF271" i="5" s="1"/>
  <c r="AE59" i="5"/>
  <c r="AE283" i="5" s="1"/>
  <c r="AE271" i="5" s="1"/>
  <c r="AC59" i="5"/>
  <c r="AC283" i="5" s="1"/>
  <c r="AC271" i="5" s="1"/>
  <c r="AB59" i="5"/>
  <c r="AB283" i="5" s="1"/>
  <c r="AB271" i="5" s="1"/>
  <c r="Z59" i="5"/>
  <c r="Z283" i="5" s="1"/>
  <c r="Z271" i="5" s="1"/>
  <c r="Y59" i="5"/>
  <c r="Y283" i="5" s="1"/>
  <c r="Y271" i="5" s="1"/>
  <c r="W59" i="5"/>
  <c r="W283" i="5" s="1"/>
  <c r="W271" i="5" s="1"/>
  <c r="V59" i="5"/>
  <c r="V283" i="5" s="1"/>
  <c r="V271" i="5" s="1"/>
  <c r="T59" i="5"/>
  <c r="T283" i="5" s="1"/>
  <c r="S59" i="5"/>
  <c r="S283" i="5" s="1"/>
  <c r="I34" i="5"/>
  <c r="CK55" i="5"/>
  <c r="CJ55" i="5"/>
  <c r="CH55" i="5"/>
  <c r="CG55" i="5"/>
  <c r="CE55" i="5"/>
  <c r="CD55" i="5"/>
  <c r="CK46" i="5"/>
  <c r="CJ46" i="5"/>
  <c r="CH46" i="5"/>
  <c r="CG46" i="5"/>
  <c r="CE46" i="5"/>
  <c r="CD46" i="5"/>
  <c r="CB55" i="5"/>
  <c r="CA55" i="5"/>
  <c r="BY55" i="5"/>
  <c r="BX55" i="5"/>
  <c r="BV55" i="5"/>
  <c r="BU55" i="5"/>
  <c r="CB46" i="5"/>
  <c r="CA46" i="5"/>
  <c r="BY46" i="5"/>
  <c r="BX46" i="5"/>
  <c r="BV46" i="5"/>
  <c r="BU46" i="5"/>
  <c r="BS55" i="5"/>
  <c r="BR55" i="5"/>
  <c r="BP55" i="5"/>
  <c r="BO55" i="5"/>
  <c r="BM55" i="5"/>
  <c r="BL55" i="5"/>
  <c r="BS46" i="5"/>
  <c r="BR46" i="5"/>
  <c r="BP46" i="5"/>
  <c r="BO46" i="5"/>
  <c r="BM46" i="5"/>
  <c r="BL46" i="5"/>
  <c r="BJ55" i="5"/>
  <c r="BI55" i="5"/>
  <c r="BG55" i="5"/>
  <c r="BF55" i="5"/>
  <c r="BD55" i="5"/>
  <c r="BC55" i="5"/>
  <c r="BI46" i="5"/>
  <c r="BG46" i="5"/>
  <c r="BF46" i="5"/>
  <c r="BD46" i="5"/>
  <c r="BC46" i="5"/>
  <c r="BA55" i="5"/>
  <c r="AZ55" i="5"/>
  <c r="AX55" i="5"/>
  <c r="AW55" i="5"/>
  <c r="AU55" i="5"/>
  <c r="AT55" i="5"/>
  <c r="BA46" i="5"/>
  <c r="AZ46" i="5"/>
  <c r="AX46" i="5"/>
  <c r="AW46" i="5"/>
  <c r="AU46" i="5"/>
  <c r="AT46" i="5"/>
  <c r="AR55" i="5"/>
  <c r="AQ55" i="5"/>
  <c r="AO55" i="5"/>
  <c r="AN55" i="5"/>
  <c r="AL55" i="5"/>
  <c r="AK55" i="5"/>
  <c r="AR46" i="5"/>
  <c r="AQ46" i="5"/>
  <c r="AO46" i="5"/>
  <c r="AN46" i="5"/>
  <c r="AL46" i="5"/>
  <c r="AK46" i="5"/>
  <c r="AI55" i="5"/>
  <c r="AH55" i="5"/>
  <c r="AF55" i="5"/>
  <c r="AE55" i="5"/>
  <c r="AC55" i="5"/>
  <c r="AB55" i="5"/>
  <c r="AI46" i="5"/>
  <c r="AH46" i="5"/>
  <c r="AF46" i="5"/>
  <c r="AE46" i="5"/>
  <c r="AC46" i="5"/>
  <c r="AB46" i="5"/>
  <c r="Z46" i="5"/>
  <c r="Y46" i="5"/>
  <c r="W46" i="5"/>
  <c r="V46" i="5"/>
  <c r="T46" i="5"/>
  <c r="S46" i="5"/>
  <c r="Q47" i="5"/>
  <c r="R47" i="5"/>
  <c r="Z55" i="5"/>
  <c r="Y55" i="5"/>
  <c r="W55" i="5"/>
  <c r="V55" i="5"/>
  <c r="T55" i="5"/>
  <c r="S55" i="5"/>
  <c r="R283" i="5" l="1"/>
  <c r="R271" i="5" s="1"/>
  <c r="T271" i="5"/>
  <c r="R277" i="5"/>
  <c r="R268" i="5" s="1"/>
  <c r="CK268" i="5"/>
  <c r="Q283" i="5"/>
  <c r="Q271" i="5" s="1"/>
  <c r="S271" i="5"/>
  <c r="CK267" i="5"/>
  <c r="R276" i="5"/>
  <c r="CK275" i="5"/>
  <c r="CK266" i="5" s="1"/>
  <c r="AK24" i="5"/>
  <c r="AQ24" i="5"/>
  <c r="AT24" i="5"/>
  <c r="AZ24" i="5"/>
  <c r="BC24" i="5"/>
  <c r="BI24" i="5"/>
  <c r="BU24" i="5"/>
  <c r="CA24" i="5"/>
  <c r="BX24" i="5"/>
  <c r="AF54" i="5"/>
  <c r="AF282" i="5" s="1"/>
  <c r="AL45" i="5"/>
  <c r="AR45" i="5"/>
  <c r="AX54" i="5"/>
  <c r="AX282" i="5" s="1"/>
  <c r="BD45" i="5"/>
  <c r="BJ45" i="5"/>
  <c r="BP54" i="5"/>
  <c r="BP282" i="5" s="1"/>
  <c r="BV45" i="5"/>
  <c r="CB45" i="5"/>
  <c r="CH54" i="5"/>
  <c r="CH282" i="5" s="1"/>
  <c r="T54" i="5"/>
  <c r="T282" i="5" s="1"/>
  <c r="Z54" i="5"/>
  <c r="Z282" i="5" s="1"/>
  <c r="T45" i="5"/>
  <c r="Z45" i="5"/>
  <c r="AF45" i="5"/>
  <c r="AL54" i="5"/>
  <c r="AL282" i="5" s="1"/>
  <c r="AR54" i="5"/>
  <c r="AR282" i="5" s="1"/>
  <c r="AX45" i="5"/>
  <c r="BD54" i="5"/>
  <c r="BD282" i="5" s="1"/>
  <c r="BJ54" i="5"/>
  <c r="BJ282" i="5" s="1"/>
  <c r="BP45" i="5"/>
  <c r="BV54" i="5"/>
  <c r="BV282" i="5" s="1"/>
  <c r="CB54" i="5"/>
  <c r="CB282" i="5" s="1"/>
  <c r="CH45" i="5"/>
  <c r="AI54" i="5"/>
  <c r="AI282" i="5" s="1"/>
  <c r="BA54" i="5"/>
  <c r="BA282" i="5" s="1"/>
  <c r="BG45" i="5"/>
  <c r="BM54" i="5"/>
  <c r="BM282" i="5" s="1"/>
  <c r="CK54" i="5"/>
  <c r="CK282" i="5" s="1"/>
  <c r="AC54" i="5"/>
  <c r="AC282" i="5" s="1"/>
  <c r="AO45" i="5"/>
  <c r="AU54" i="5"/>
  <c r="AU282" i="5" s="1"/>
  <c r="BS54" i="5"/>
  <c r="BS282" i="5" s="1"/>
  <c r="BY45" i="5"/>
  <c r="CE54" i="5"/>
  <c r="CE282" i="5" s="1"/>
  <c r="W54" i="5"/>
  <c r="W282" i="5" s="1"/>
  <c r="W45" i="5"/>
  <c r="AC45" i="5"/>
  <c r="AI45" i="5"/>
  <c r="AO54" i="5"/>
  <c r="AO282" i="5" s="1"/>
  <c r="AU45" i="5"/>
  <c r="BA45" i="5"/>
  <c r="BG54" i="5"/>
  <c r="BG282" i="5" s="1"/>
  <c r="BM45" i="5"/>
  <c r="BS45" i="5"/>
  <c r="BY54" i="5"/>
  <c r="BY282" i="5" s="1"/>
  <c r="CE45" i="5"/>
  <c r="CE42" i="5" s="1"/>
  <c r="CK45" i="5"/>
  <c r="AE24" i="5"/>
  <c r="V24" i="5"/>
  <c r="AL22" i="5"/>
  <c r="AR22" i="5"/>
  <c r="AO23" i="5"/>
  <c r="BV22" i="5"/>
  <c r="BY23" i="5"/>
  <c r="CG24" i="5"/>
  <c r="AO22" i="5"/>
  <c r="AL23" i="5"/>
  <c r="BY22" i="5"/>
  <c r="BV23" i="5"/>
  <c r="CB23" i="5"/>
  <c r="V54" i="5"/>
  <c r="V282" i="5" s="1"/>
  <c r="V45" i="5"/>
  <c r="AE54" i="5"/>
  <c r="AE282" i="5" s="1"/>
  <c r="AK45" i="5"/>
  <c r="AQ45" i="5"/>
  <c r="AN54" i="5"/>
  <c r="AN282" i="5" s="1"/>
  <c r="AT45" i="5"/>
  <c r="AZ45" i="5"/>
  <c r="AW54" i="5"/>
  <c r="AW282" i="5" s="1"/>
  <c r="BC45" i="5"/>
  <c r="BI45" i="5"/>
  <c r="BF54" i="5"/>
  <c r="BF282" i="5" s="1"/>
  <c r="BL45" i="5"/>
  <c r="BR45" i="5"/>
  <c r="BO54" i="5"/>
  <c r="BO282" i="5" s="1"/>
  <c r="BU45" i="5"/>
  <c r="CA45" i="5"/>
  <c r="BX54" i="5"/>
  <c r="BX282" i="5" s="1"/>
  <c r="CD45" i="5"/>
  <c r="CJ45" i="5"/>
  <c r="CG54" i="5"/>
  <c r="CG282" i="5" s="1"/>
  <c r="S54" i="5"/>
  <c r="S282" i="5" s="1"/>
  <c r="Y54" i="5"/>
  <c r="Y282" i="5" s="1"/>
  <c r="S45" i="5"/>
  <c r="Y45" i="5"/>
  <c r="AB54" i="5"/>
  <c r="AB282" i="5" s="1"/>
  <c r="AH54" i="5"/>
  <c r="AH282" i="5" s="1"/>
  <c r="AN45" i="5"/>
  <c r="AK54" i="5"/>
  <c r="AK282" i="5" s="1"/>
  <c r="AQ54" i="5"/>
  <c r="AQ282" i="5" s="1"/>
  <c r="AW45" i="5"/>
  <c r="AT54" i="5"/>
  <c r="AT282" i="5" s="1"/>
  <c r="AZ54" i="5"/>
  <c r="AZ282" i="5" s="1"/>
  <c r="BF45" i="5"/>
  <c r="BC54" i="5"/>
  <c r="BC282" i="5" s="1"/>
  <c r="BI54" i="5"/>
  <c r="BI282" i="5" s="1"/>
  <c r="BO45" i="5"/>
  <c r="BL54" i="5"/>
  <c r="BL282" i="5" s="1"/>
  <c r="BR54" i="5"/>
  <c r="BR282" i="5" s="1"/>
  <c r="BX45" i="5"/>
  <c r="BU54" i="5"/>
  <c r="BU282" i="5" s="1"/>
  <c r="CA54" i="5"/>
  <c r="CA282" i="5" s="1"/>
  <c r="CG45" i="5"/>
  <c r="CD54" i="5"/>
  <c r="CD282" i="5" s="1"/>
  <c r="CJ54" i="5"/>
  <c r="CJ282" i="5" s="1"/>
  <c r="AC24" i="5"/>
  <c r="AC22" i="5"/>
  <c r="AI22" i="5"/>
  <c r="AF23" i="5"/>
  <c r="AR24" i="5"/>
  <c r="AR23" i="5"/>
  <c r="AU22" i="5"/>
  <c r="BA24" i="5"/>
  <c r="BA22" i="5"/>
  <c r="AX23" i="5"/>
  <c r="BG22" i="5"/>
  <c r="BD23" i="5"/>
  <c r="BJ23" i="5"/>
  <c r="BO22" i="5"/>
  <c r="BL23" i="5"/>
  <c r="BR23" i="5"/>
  <c r="CD22" i="5"/>
  <c r="CJ22" i="5"/>
  <c r="CG23" i="5"/>
  <c r="AE45" i="5"/>
  <c r="AE22" i="5"/>
  <c r="AB23" i="5"/>
  <c r="AH23" i="5"/>
  <c r="AK22" i="5"/>
  <c r="AQ22" i="5"/>
  <c r="AN23" i="5"/>
  <c r="AW24" i="5"/>
  <c r="AW21" i="5" s="1"/>
  <c r="AW22" i="5"/>
  <c r="AT23" i="5"/>
  <c r="AZ23" i="5"/>
  <c r="BC22" i="5"/>
  <c r="BI22" i="5"/>
  <c r="BF23" i="5"/>
  <c r="BO24" i="5"/>
  <c r="BP22" i="5"/>
  <c r="BM23" i="5"/>
  <c r="BS23" i="5"/>
  <c r="BU22" i="5"/>
  <c r="CA22" i="5"/>
  <c r="BX23" i="5"/>
  <c r="CD24" i="5"/>
  <c r="CE22" i="5"/>
  <c r="CK22" i="5"/>
  <c r="CH23" i="5"/>
  <c r="AF22" i="5"/>
  <c r="AC23" i="5"/>
  <c r="AI23" i="5"/>
  <c r="AX22" i="5"/>
  <c r="AU24" i="5"/>
  <c r="AU23" i="5"/>
  <c r="BA23" i="5"/>
  <c r="BD22" i="5"/>
  <c r="BJ22" i="5"/>
  <c r="BG23" i="5"/>
  <c r="BL24" i="5"/>
  <c r="BL22" i="5"/>
  <c r="BR24" i="5"/>
  <c r="BR22" i="5"/>
  <c r="BO23" i="5"/>
  <c r="CB24" i="5"/>
  <c r="CB22" i="5"/>
  <c r="CG22" i="5"/>
  <c r="CD23" i="5"/>
  <c r="CJ23" i="5"/>
  <c r="AB45" i="5"/>
  <c r="AH45" i="5"/>
  <c r="AB24" i="5"/>
  <c r="AB22" i="5"/>
  <c r="AH24" i="5"/>
  <c r="AH22" i="5"/>
  <c r="AE23" i="5"/>
  <c r="AN24" i="5"/>
  <c r="AN22" i="5"/>
  <c r="AK23" i="5"/>
  <c r="AQ23" i="5"/>
  <c r="AT22" i="5"/>
  <c r="AZ22" i="5"/>
  <c r="AW23" i="5"/>
  <c r="BF24" i="5"/>
  <c r="BF22" i="5"/>
  <c r="BC23" i="5"/>
  <c r="BI23" i="5"/>
  <c r="BM24" i="5"/>
  <c r="BM22" i="5"/>
  <c r="BS22" i="5"/>
  <c r="BP23" i="5"/>
  <c r="BX22" i="5"/>
  <c r="BU23" i="5"/>
  <c r="CA23" i="5"/>
  <c r="CJ24" i="5"/>
  <c r="CH24" i="5"/>
  <c r="CH22" i="5"/>
  <c r="CE23" i="5"/>
  <c r="CK23" i="5"/>
  <c r="AL24" i="5"/>
  <c r="AL21" i="5" s="1"/>
  <c r="BP24" i="5"/>
  <c r="CE24" i="5"/>
  <c r="AO24" i="5"/>
  <c r="AI24" i="5"/>
  <c r="AI21" i="5" s="1"/>
  <c r="W24" i="5"/>
  <c r="S24" i="5"/>
  <c r="CK33" i="5"/>
  <c r="AF24" i="5"/>
  <c r="T24" i="5"/>
  <c r="AX24" i="5"/>
  <c r="BD24" i="5"/>
  <c r="BG24" i="5"/>
  <c r="BJ24" i="5"/>
  <c r="BS24" i="5"/>
  <c r="BV24" i="5"/>
  <c r="BY24" i="5"/>
  <c r="CK24" i="5"/>
  <c r="Y24" i="5"/>
  <c r="Z24" i="5"/>
  <c r="CK44" i="5"/>
  <c r="CJ44" i="5"/>
  <c r="CH44" i="5"/>
  <c r="CG44" i="5"/>
  <c r="CE44" i="5"/>
  <c r="CD44" i="5"/>
  <c r="CK43" i="5"/>
  <c r="CJ43" i="5"/>
  <c r="CH43" i="5"/>
  <c r="CG43" i="5"/>
  <c r="CE43" i="5"/>
  <c r="CD43" i="5"/>
  <c r="CB44" i="5"/>
  <c r="CA44" i="5"/>
  <c r="BY44" i="5"/>
  <c r="BX44" i="5"/>
  <c r="BV44" i="5"/>
  <c r="BU44" i="5"/>
  <c r="CB43" i="5"/>
  <c r="CA43" i="5"/>
  <c r="BY43" i="5"/>
  <c r="BX43" i="5"/>
  <c r="BV43" i="5"/>
  <c r="BU43" i="5"/>
  <c r="BS44" i="5"/>
  <c r="BR44" i="5"/>
  <c r="BP44" i="5"/>
  <c r="BO44" i="5"/>
  <c r="BM44" i="5"/>
  <c r="BL44" i="5"/>
  <c r="BS43" i="5"/>
  <c r="BR43" i="5"/>
  <c r="BP43" i="5"/>
  <c r="BO43" i="5"/>
  <c r="BM43" i="5"/>
  <c r="BL43" i="5"/>
  <c r="BS42" i="5"/>
  <c r="BJ44" i="5"/>
  <c r="BI44" i="5"/>
  <c r="BG44" i="5"/>
  <c r="BF44" i="5"/>
  <c r="BD44" i="5"/>
  <c r="BC44" i="5"/>
  <c r="BJ43" i="5"/>
  <c r="BI43" i="5"/>
  <c r="BG43" i="5"/>
  <c r="BF43" i="5"/>
  <c r="BD43" i="5"/>
  <c r="BC43" i="5"/>
  <c r="BA44" i="5"/>
  <c r="AZ44" i="5"/>
  <c r="AX44" i="5"/>
  <c r="AW44" i="5"/>
  <c r="AU44" i="5"/>
  <c r="AT44" i="5"/>
  <c r="BA43" i="5"/>
  <c r="AZ43" i="5"/>
  <c r="AX43" i="5"/>
  <c r="AW43" i="5"/>
  <c r="AU43" i="5"/>
  <c r="AT43" i="5"/>
  <c r="AR44" i="5"/>
  <c r="AQ44" i="5"/>
  <c r="AO44" i="5"/>
  <c r="AN44" i="5"/>
  <c r="AL44" i="5"/>
  <c r="AK44" i="5"/>
  <c r="AR43" i="5"/>
  <c r="AQ43" i="5"/>
  <c r="AO43" i="5"/>
  <c r="AN43" i="5"/>
  <c r="AL43" i="5"/>
  <c r="AK43" i="5"/>
  <c r="AI44" i="5"/>
  <c r="AH44" i="5"/>
  <c r="AF44" i="5"/>
  <c r="AE44" i="5"/>
  <c r="AC44" i="5"/>
  <c r="AB44" i="5"/>
  <c r="AI43" i="5"/>
  <c r="AH43" i="5"/>
  <c r="AF43" i="5"/>
  <c r="AE43" i="5"/>
  <c r="AC43" i="5"/>
  <c r="AB43" i="5"/>
  <c r="Z44" i="5"/>
  <c r="Y44" i="5"/>
  <c r="Z43" i="5"/>
  <c r="Y43" i="5"/>
  <c r="W44" i="5"/>
  <c r="V44" i="5"/>
  <c r="W43" i="5"/>
  <c r="V43" i="5"/>
  <c r="T44" i="5"/>
  <c r="S44" i="5"/>
  <c r="T43" i="5"/>
  <c r="S43" i="5"/>
  <c r="R62" i="5"/>
  <c r="Q62" i="5"/>
  <c r="R61" i="5"/>
  <c r="Q61" i="5"/>
  <c r="R60" i="5"/>
  <c r="Q60" i="5"/>
  <c r="R58" i="5"/>
  <c r="Q58" i="5"/>
  <c r="R57" i="5"/>
  <c r="Q57" i="5"/>
  <c r="R56" i="5"/>
  <c r="Q56" i="5"/>
  <c r="R53" i="5"/>
  <c r="Q53" i="5"/>
  <c r="R52" i="5"/>
  <c r="Q52" i="5"/>
  <c r="R51" i="5"/>
  <c r="Q51" i="5"/>
  <c r="R49" i="5"/>
  <c r="Q49" i="5"/>
  <c r="R48" i="5"/>
  <c r="Q48" i="5"/>
  <c r="AB42" i="5" l="1"/>
  <c r="AC42" i="5"/>
  <c r="CJ270" i="5"/>
  <c r="CJ281" i="5"/>
  <c r="CJ269" i="5" s="1"/>
  <c r="BU270" i="5"/>
  <c r="BU281" i="5"/>
  <c r="BU269" i="5" s="1"/>
  <c r="AZ270" i="5"/>
  <c r="AZ281" i="5"/>
  <c r="AZ269" i="5" s="1"/>
  <c r="AK281" i="5"/>
  <c r="AK269" i="5" s="1"/>
  <c r="AK270" i="5"/>
  <c r="CG270" i="5"/>
  <c r="CG281" i="5"/>
  <c r="CG269" i="5" s="1"/>
  <c r="AW270" i="5"/>
  <c r="AW281" i="5"/>
  <c r="AW269" i="5" s="1"/>
  <c r="V270" i="5"/>
  <c r="V281" i="5"/>
  <c r="V269" i="5" s="1"/>
  <c r="BY281" i="5"/>
  <c r="BY269" i="5" s="1"/>
  <c r="BY270" i="5"/>
  <c r="AC270" i="5"/>
  <c r="AC281" i="5"/>
  <c r="AC269" i="5" s="1"/>
  <c r="BA270" i="5"/>
  <c r="BA281" i="5"/>
  <c r="BA269" i="5" s="1"/>
  <c r="BV270" i="5"/>
  <c r="BV281" i="5"/>
  <c r="BV269" i="5" s="1"/>
  <c r="CH281" i="5"/>
  <c r="CH269" i="5" s="1"/>
  <c r="CH270" i="5"/>
  <c r="R275" i="5"/>
  <c r="R266" i="5" s="1"/>
  <c r="R267" i="5"/>
  <c r="CD270" i="5"/>
  <c r="CD281" i="5"/>
  <c r="CD269" i="5" s="1"/>
  <c r="BI281" i="5"/>
  <c r="BI269" i="5" s="1"/>
  <c r="BI270" i="5"/>
  <c r="AT281" i="5"/>
  <c r="AT269" i="5" s="1"/>
  <c r="AT270" i="5"/>
  <c r="BF270" i="5"/>
  <c r="BF281" i="5"/>
  <c r="BF269" i="5" s="1"/>
  <c r="BS270" i="5"/>
  <c r="BS281" i="5"/>
  <c r="BS269" i="5" s="1"/>
  <c r="CK270" i="5"/>
  <c r="CK281" i="5"/>
  <c r="CK269" i="5" s="1"/>
  <c r="AI270" i="5"/>
  <c r="AI281" i="5"/>
  <c r="AI269" i="5" s="1"/>
  <c r="AR270" i="5"/>
  <c r="AR281" i="5"/>
  <c r="AR269" i="5" s="1"/>
  <c r="AF281" i="5"/>
  <c r="AF269" i="5" s="1"/>
  <c r="AF270" i="5"/>
  <c r="BR281" i="5"/>
  <c r="BR269" i="5" s="1"/>
  <c r="BR270" i="5"/>
  <c r="BC281" i="5"/>
  <c r="BC269" i="5" s="1"/>
  <c r="BC270" i="5"/>
  <c r="AH281" i="5"/>
  <c r="AH269" i="5" s="1"/>
  <c r="AH270" i="5"/>
  <c r="Y281" i="5"/>
  <c r="Y269" i="5" s="1"/>
  <c r="Y270" i="5"/>
  <c r="BO270" i="5"/>
  <c r="BO281" i="5"/>
  <c r="BO269" i="5" s="1"/>
  <c r="AE270" i="5"/>
  <c r="AE281" i="5"/>
  <c r="AE269" i="5" s="1"/>
  <c r="CK42" i="5"/>
  <c r="AO281" i="5"/>
  <c r="AO269" i="5" s="1"/>
  <c r="AO270" i="5"/>
  <c r="W281" i="5"/>
  <c r="W269" i="5" s="1"/>
  <c r="W270" i="5"/>
  <c r="AU270" i="5"/>
  <c r="AU281" i="5"/>
  <c r="AU269" i="5" s="1"/>
  <c r="BM270" i="5"/>
  <c r="BM281" i="5"/>
  <c r="BM269" i="5" s="1"/>
  <c r="BJ270" i="5"/>
  <c r="BJ281" i="5"/>
  <c r="BJ269" i="5" s="1"/>
  <c r="AL270" i="5"/>
  <c r="AL281" i="5"/>
  <c r="AL269" i="5" s="1"/>
  <c r="Z270" i="5"/>
  <c r="Z281" i="5"/>
  <c r="Z269" i="5" s="1"/>
  <c r="AX281" i="5"/>
  <c r="AX269" i="5" s="1"/>
  <c r="AX270" i="5"/>
  <c r="CA281" i="5"/>
  <c r="CA269" i="5" s="1"/>
  <c r="CA270" i="5"/>
  <c r="BL270" i="5"/>
  <c r="BL281" i="5"/>
  <c r="BL269" i="5" s="1"/>
  <c r="AQ270" i="5"/>
  <c r="AQ281" i="5"/>
  <c r="AQ269" i="5" s="1"/>
  <c r="AB270" i="5"/>
  <c r="AB281" i="5"/>
  <c r="AB269" i="5" s="1"/>
  <c r="Q282" i="5"/>
  <c r="S281" i="5"/>
  <c r="S269" i="5" s="1"/>
  <c r="S270" i="5"/>
  <c r="BX270" i="5"/>
  <c r="BX281" i="5"/>
  <c r="BX269" i="5" s="1"/>
  <c r="AN270" i="5"/>
  <c r="AN281" i="5"/>
  <c r="AN269" i="5" s="1"/>
  <c r="BG281" i="5"/>
  <c r="BG269" i="5" s="1"/>
  <c r="BG270" i="5"/>
  <c r="CE270" i="5"/>
  <c r="CE281" i="5"/>
  <c r="CE269" i="5" s="1"/>
  <c r="CB270" i="5"/>
  <c r="CB281" i="5"/>
  <c r="CB269" i="5" s="1"/>
  <c r="BD270" i="5"/>
  <c r="BD281" i="5"/>
  <c r="BD269" i="5" s="1"/>
  <c r="T270" i="5"/>
  <c r="R282" i="5"/>
  <c r="T281" i="5"/>
  <c r="T269" i="5" s="1"/>
  <c r="BP281" i="5"/>
  <c r="BP269" i="5" s="1"/>
  <c r="BP270" i="5"/>
  <c r="BL21" i="5"/>
  <c r="BU21" i="5"/>
  <c r="AQ21" i="5"/>
  <c r="AK21" i="5"/>
  <c r="CG21" i="5"/>
  <c r="BI21" i="5"/>
  <c r="W42" i="5"/>
  <c r="AT21" i="5"/>
  <c r="AF42" i="5"/>
  <c r="CA21" i="5"/>
  <c r="BG42" i="5"/>
  <c r="AZ21" i="5"/>
  <c r="CH42" i="5"/>
  <c r="BJ42" i="5"/>
  <c r="AL42" i="5"/>
  <c r="Z42" i="5"/>
  <c r="BV42" i="5"/>
  <c r="AX42" i="5"/>
  <c r="BX21" i="5"/>
  <c r="AU42" i="5"/>
  <c r="BC21" i="5"/>
  <c r="BP42" i="5"/>
  <c r="AR42" i="5"/>
  <c r="T42" i="5"/>
  <c r="CB42" i="5"/>
  <c r="BD42" i="5"/>
  <c r="BA42" i="5"/>
  <c r="AI42" i="5"/>
  <c r="AO42" i="5"/>
  <c r="BM42" i="5"/>
  <c r="BF21" i="5"/>
  <c r="CD21" i="5"/>
  <c r="BF42" i="5"/>
  <c r="AN42" i="5"/>
  <c r="AE42" i="5"/>
  <c r="BY42" i="5"/>
  <c r="V42" i="5"/>
  <c r="AH42" i="5"/>
  <c r="BX42" i="5"/>
  <c r="AN21" i="5"/>
  <c r="BU42" i="5"/>
  <c r="AZ42" i="5"/>
  <c r="AE21" i="5"/>
  <c r="CG42" i="5"/>
  <c r="BA21" i="5"/>
  <c r="BL42" i="5"/>
  <c r="S42" i="5"/>
  <c r="BP21" i="5"/>
  <c r="CJ42" i="5"/>
  <c r="AK42" i="5"/>
  <c r="BR42" i="5"/>
  <c r="CD42" i="5"/>
  <c r="BI42" i="5"/>
  <c r="AT42" i="5"/>
  <c r="AW42" i="5"/>
  <c r="Y42" i="5"/>
  <c r="BO42" i="5"/>
  <c r="AX21" i="5"/>
  <c r="CA42" i="5"/>
  <c r="AQ42" i="5"/>
  <c r="BC42" i="5"/>
  <c r="BY21" i="5"/>
  <c r="BG21" i="5"/>
  <c r="BS21" i="5"/>
  <c r="R50" i="5"/>
  <c r="R59" i="5"/>
  <c r="CK21" i="5"/>
  <c r="BJ21" i="5"/>
  <c r="AB21" i="5"/>
  <c r="CJ21" i="5"/>
  <c r="AF21" i="5"/>
  <c r="BO21" i="5"/>
  <c r="BV21" i="5"/>
  <c r="BD21" i="5"/>
  <c r="AO21" i="5"/>
  <c r="CE21" i="5"/>
  <c r="CH21" i="5"/>
  <c r="CB21" i="5"/>
  <c r="BR21" i="5"/>
  <c r="AU21" i="5"/>
  <c r="BM21" i="5"/>
  <c r="AH21" i="5"/>
  <c r="AR21" i="5"/>
  <c r="AC21" i="5"/>
  <c r="Q55" i="5"/>
  <c r="Q50" i="5"/>
  <c r="Q59" i="5"/>
  <c r="R55" i="5"/>
  <c r="Q46" i="5"/>
  <c r="R46" i="5"/>
  <c r="Z23" i="5"/>
  <c r="Y23" i="5"/>
  <c r="Z22" i="5"/>
  <c r="Y22" i="5"/>
  <c r="Z21" i="5"/>
  <c r="Y21" i="5"/>
  <c r="W23" i="5"/>
  <c r="V23" i="5"/>
  <c r="W22" i="5"/>
  <c r="V22" i="5"/>
  <c r="W21" i="5"/>
  <c r="V21" i="5"/>
  <c r="T23" i="5"/>
  <c r="S23" i="5"/>
  <c r="T22" i="5"/>
  <c r="S22" i="5"/>
  <c r="T21" i="5"/>
  <c r="S21" i="5"/>
  <c r="R496" i="5"/>
  <c r="R487" i="5" s="1"/>
  <c r="R483" i="5" s="1"/>
  <c r="R493" i="5"/>
  <c r="Q493" i="5"/>
  <c r="R492" i="5"/>
  <c r="Q492" i="5"/>
  <c r="R491" i="5"/>
  <c r="Q491" i="5"/>
  <c r="R490" i="5"/>
  <c r="Q490" i="5"/>
  <c r="R498" i="5"/>
  <c r="Q498" i="5"/>
  <c r="R497" i="5"/>
  <c r="Q497" i="5"/>
  <c r="Q496" i="5"/>
  <c r="R495" i="5"/>
  <c r="R486" i="5" s="1"/>
  <c r="Q495" i="5"/>
  <c r="Q486" i="5" s="1"/>
  <c r="CK494" i="5"/>
  <c r="CJ494" i="5"/>
  <c r="CH494" i="5"/>
  <c r="CG494" i="5"/>
  <c r="CE494" i="5"/>
  <c r="CD494" i="5"/>
  <c r="CK489" i="5"/>
  <c r="CJ489" i="5"/>
  <c r="CH489" i="5"/>
  <c r="CG489" i="5"/>
  <c r="CE489" i="5"/>
  <c r="CD489" i="5"/>
  <c r="CK487" i="5"/>
  <c r="CK483" i="5" s="1"/>
  <c r="CJ487" i="5"/>
  <c r="CJ483" i="5" s="1"/>
  <c r="CH487" i="5"/>
  <c r="CH483" i="5" s="1"/>
  <c r="CG487" i="5"/>
  <c r="CG483" i="5" s="1"/>
  <c r="CE487" i="5"/>
  <c r="CE483" i="5" s="1"/>
  <c r="CD487" i="5"/>
  <c r="CD483" i="5" s="1"/>
  <c r="CK486" i="5"/>
  <c r="CJ486" i="5"/>
  <c r="CH486" i="5"/>
  <c r="CG486" i="5"/>
  <c r="CE486" i="5"/>
  <c r="CD486" i="5"/>
  <c r="CK485" i="5"/>
  <c r="CK480" i="5" s="1"/>
  <c r="CJ485" i="5"/>
  <c r="CJ480" i="5" s="1"/>
  <c r="CH485" i="5"/>
  <c r="CH480" i="5" s="1"/>
  <c r="CG485" i="5"/>
  <c r="CG480" i="5" s="1"/>
  <c r="CE485" i="5"/>
  <c r="CE480" i="5" s="1"/>
  <c r="CD485" i="5"/>
  <c r="CD480" i="5" s="1"/>
  <c r="CK484" i="5"/>
  <c r="CJ484" i="5"/>
  <c r="CH484" i="5"/>
  <c r="CG484" i="5"/>
  <c r="CE484" i="5"/>
  <c r="CD484" i="5"/>
  <c r="CB494" i="5"/>
  <c r="CA494" i="5"/>
  <c r="BY494" i="5"/>
  <c r="BX494" i="5"/>
  <c r="BV494" i="5"/>
  <c r="BU494" i="5"/>
  <c r="CB489" i="5"/>
  <c r="CA489" i="5"/>
  <c r="BY489" i="5"/>
  <c r="BX489" i="5"/>
  <c r="BV489" i="5"/>
  <c r="BU489" i="5"/>
  <c r="CB487" i="5"/>
  <c r="CB483" i="5" s="1"/>
  <c r="CA487" i="5"/>
  <c r="CA483" i="5" s="1"/>
  <c r="BY487" i="5"/>
  <c r="BY483" i="5" s="1"/>
  <c r="BX487" i="5"/>
  <c r="BX483" i="5" s="1"/>
  <c r="BV487" i="5"/>
  <c r="BV483" i="5" s="1"/>
  <c r="BU487" i="5"/>
  <c r="BU483" i="5" s="1"/>
  <c r="CB486" i="5"/>
  <c r="CA486" i="5"/>
  <c r="BY486" i="5"/>
  <c r="BX486" i="5"/>
  <c r="BV486" i="5"/>
  <c r="BU486" i="5"/>
  <c r="CB485" i="5"/>
  <c r="CB480" i="5" s="1"/>
  <c r="CA485" i="5"/>
  <c r="CA480" i="5" s="1"/>
  <c r="BY485" i="5"/>
  <c r="BY480" i="5" s="1"/>
  <c r="BX485" i="5"/>
  <c r="BX480" i="5" s="1"/>
  <c r="BV485" i="5"/>
  <c r="BV480" i="5" s="1"/>
  <c r="BU485" i="5"/>
  <c r="BU480" i="5" s="1"/>
  <c r="CB484" i="5"/>
  <c r="CA484" i="5"/>
  <c r="BY484" i="5"/>
  <c r="BX484" i="5"/>
  <c r="BV484" i="5"/>
  <c r="BU484" i="5"/>
  <c r="BS494" i="5"/>
  <c r="BR494" i="5"/>
  <c r="BP494" i="5"/>
  <c r="BO494" i="5"/>
  <c r="BM494" i="5"/>
  <c r="BL494" i="5"/>
  <c r="BS489" i="5"/>
  <c r="BR489" i="5"/>
  <c r="BP489" i="5"/>
  <c r="BO489" i="5"/>
  <c r="BM489" i="5"/>
  <c r="BL489" i="5"/>
  <c r="BS487" i="5"/>
  <c r="BS483" i="5" s="1"/>
  <c r="BR487" i="5"/>
  <c r="BR483" i="5" s="1"/>
  <c r="BP487" i="5"/>
  <c r="BP483" i="5" s="1"/>
  <c r="BO487" i="5"/>
  <c r="BO483" i="5" s="1"/>
  <c r="BM487" i="5"/>
  <c r="BM483" i="5" s="1"/>
  <c r="BL487" i="5"/>
  <c r="BL483" i="5" s="1"/>
  <c r="BS486" i="5"/>
  <c r="BR486" i="5"/>
  <c r="BP486" i="5"/>
  <c r="BO486" i="5"/>
  <c r="BM486" i="5"/>
  <c r="BL486" i="5"/>
  <c r="BS485" i="5"/>
  <c r="BS480" i="5" s="1"/>
  <c r="BR485" i="5"/>
  <c r="BR480" i="5" s="1"/>
  <c r="BP485" i="5"/>
  <c r="BP480" i="5" s="1"/>
  <c r="BO485" i="5"/>
  <c r="BO480" i="5" s="1"/>
  <c r="BM485" i="5"/>
  <c r="BM480" i="5" s="1"/>
  <c r="BL485" i="5"/>
  <c r="BL480" i="5" s="1"/>
  <c r="BS484" i="5"/>
  <c r="BR484" i="5"/>
  <c r="BP484" i="5"/>
  <c r="BO484" i="5"/>
  <c r="BM484" i="5"/>
  <c r="BL484" i="5"/>
  <c r="BJ494" i="5"/>
  <c r="BI494" i="5"/>
  <c r="BG494" i="5"/>
  <c r="BF494" i="5"/>
  <c r="BD494" i="5"/>
  <c r="BC494" i="5"/>
  <c r="BJ489" i="5"/>
  <c r="BI489" i="5"/>
  <c r="BG489" i="5"/>
  <c r="BF489" i="5"/>
  <c r="BD489" i="5"/>
  <c r="BC489" i="5"/>
  <c r="BJ487" i="5"/>
  <c r="BJ483" i="5" s="1"/>
  <c r="BI487" i="5"/>
  <c r="BI483" i="5" s="1"/>
  <c r="BG487" i="5"/>
  <c r="BG483" i="5" s="1"/>
  <c r="BF487" i="5"/>
  <c r="BF483" i="5" s="1"/>
  <c r="BD487" i="5"/>
  <c r="BD483" i="5" s="1"/>
  <c r="BC487" i="5"/>
  <c r="BC483" i="5" s="1"/>
  <c r="BJ486" i="5"/>
  <c r="BI486" i="5"/>
  <c r="BG486" i="5"/>
  <c r="BF486" i="5"/>
  <c r="BD486" i="5"/>
  <c r="BC486" i="5"/>
  <c r="BJ485" i="5"/>
  <c r="BJ480" i="5" s="1"/>
  <c r="BI485" i="5"/>
  <c r="BI480" i="5" s="1"/>
  <c r="BG485" i="5"/>
  <c r="BG480" i="5" s="1"/>
  <c r="BF485" i="5"/>
  <c r="BF480" i="5" s="1"/>
  <c r="BD485" i="5"/>
  <c r="BD480" i="5" s="1"/>
  <c r="BC485" i="5"/>
  <c r="BC480" i="5" s="1"/>
  <c r="BJ484" i="5"/>
  <c r="BI484" i="5"/>
  <c r="BG484" i="5"/>
  <c r="BF484" i="5"/>
  <c r="BD484" i="5"/>
  <c r="BC484" i="5"/>
  <c r="BA494" i="5"/>
  <c r="AZ494" i="5"/>
  <c r="AX494" i="5"/>
  <c r="AW494" i="5"/>
  <c r="AU494" i="5"/>
  <c r="AT494" i="5"/>
  <c r="BA489" i="5"/>
  <c r="AZ489" i="5"/>
  <c r="AX489" i="5"/>
  <c r="AW489" i="5"/>
  <c r="AU489" i="5"/>
  <c r="AT489" i="5"/>
  <c r="BA487" i="5"/>
  <c r="BA483" i="5" s="1"/>
  <c r="AZ487" i="5"/>
  <c r="AZ483" i="5" s="1"/>
  <c r="AX487" i="5"/>
  <c r="AX483" i="5" s="1"/>
  <c r="AW487" i="5"/>
  <c r="AW483" i="5" s="1"/>
  <c r="AU487" i="5"/>
  <c r="AU483" i="5" s="1"/>
  <c r="AT487" i="5"/>
  <c r="AT483" i="5" s="1"/>
  <c r="BA486" i="5"/>
  <c r="AZ486" i="5"/>
  <c r="AX486" i="5"/>
  <c r="AW486" i="5"/>
  <c r="AU486" i="5"/>
  <c r="AT486" i="5"/>
  <c r="BA485" i="5"/>
  <c r="BA480" i="5" s="1"/>
  <c r="AZ485" i="5"/>
  <c r="AZ480" i="5" s="1"/>
  <c r="AX485" i="5"/>
  <c r="AX480" i="5" s="1"/>
  <c r="AW485" i="5"/>
  <c r="AW480" i="5" s="1"/>
  <c r="AU485" i="5"/>
  <c r="AU480" i="5" s="1"/>
  <c r="AT485" i="5"/>
  <c r="AT480" i="5" s="1"/>
  <c r="BA484" i="5"/>
  <c r="AZ484" i="5"/>
  <c r="AX484" i="5"/>
  <c r="AW484" i="5"/>
  <c r="AU484" i="5"/>
  <c r="AT484" i="5"/>
  <c r="AR494" i="5"/>
  <c r="AQ494" i="5"/>
  <c r="AO494" i="5"/>
  <c r="AN494" i="5"/>
  <c r="AL494" i="5"/>
  <c r="AK494" i="5"/>
  <c r="AR489" i="5"/>
  <c r="AQ489" i="5"/>
  <c r="AO489" i="5"/>
  <c r="AN489" i="5"/>
  <c r="AL489" i="5"/>
  <c r="AK489" i="5"/>
  <c r="AR487" i="5"/>
  <c r="AR483" i="5" s="1"/>
  <c r="AQ487" i="5"/>
  <c r="AQ483" i="5" s="1"/>
  <c r="AO487" i="5"/>
  <c r="AO483" i="5" s="1"/>
  <c r="AN487" i="5"/>
  <c r="AN483" i="5" s="1"/>
  <c r="AL487" i="5"/>
  <c r="AL483" i="5" s="1"/>
  <c r="AK487" i="5"/>
  <c r="AK483" i="5" s="1"/>
  <c r="AR486" i="5"/>
  <c r="AQ486" i="5"/>
  <c r="AO486" i="5"/>
  <c r="AN486" i="5"/>
  <c r="AL486" i="5"/>
  <c r="AK486" i="5"/>
  <c r="AR485" i="5"/>
  <c r="AR480" i="5" s="1"/>
  <c r="AQ485" i="5"/>
  <c r="AQ480" i="5" s="1"/>
  <c r="AO485" i="5"/>
  <c r="AO480" i="5" s="1"/>
  <c r="AN485" i="5"/>
  <c r="AN480" i="5" s="1"/>
  <c r="AL485" i="5"/>
  <c r="AL480" i="5" s="1"/>
  <c r="AK485" i="5"/>
  <c r="AK480" i="5" s="1"/>
  <c r="AR484" i="5"/>
  <c r="AQ484" i="5"/>
  <c r="AO484" i="5"/>
  <c r="AN484" i="5"/>
  <c r="AL484" i="5"/>
  <c r="AK484" i="5"/>
  <c r="AI494" i="5"/>
  <c r="AH494" i="5"/>
  <c r="AF494" i="5"/>
  <c r="AE494" i="5"/>
  <c r="AC494" i="5"/>
  <c r="AB494" i="5"/>
  <c r="AI489" i="5"/>
  <c r="AH489" i="5"/>
  <c r="AF489" i="5"/>
  <c r="AE489" i="5"/>
  <c r="AC489" i="5"/>
  <c r="AB489" i="5"/>
  <c r="AI487" i="5"/>
  <c r="AI483" i="5" s="1"/>
  <c r="AH487" i="5"/>
  <c r="AH483" i="5" s="1"/>
  <c r="AF487" i="5"/>
  <c r="AF483" i="5" s="1"/>
  <c r="AE487" i="5"/>
  <c r="AE483" i="5" s="1"/>
  <c r="AC487" i="5"/>
  <c r="AC483" i="5" s="1"/>
  <c r="AB487" i="5"/>
  <c r="AB483" i="5" s="1"/>
  <c r="AI486" i="5"/>
  <c r="AH486" i="5"/>
  <c r="AF486" i="5"/>
  <c r="AE486" i="5"/>
  <c r="AC486" i="5"/>
  <c r="AB486" i="5"/>
  <c r="AI485" i="5"/>
  <c r="AI480" i="5" s="1"/>
  <c r="AH485" i="5"/>
  <c r="AH480" i="5" s="1"/>
  <c r="AF485" i="5"/>
  <c r="AF480" i="5" s="1"/>
  <c r="AE485" i="5"/>
  <c r="AE480" i="5" s="1"/>
  <c r="AC485" i="5"/>
  <c r="AC480" i="5" s="1"/>
  <c r="AB485" i="5"/>
  <c r="AB480" i="5" s="1"/>
  <c r="AI484" i="5"/>
  <c r="AH484" i="5"/>
  <c r="AF484" i="5"/>
  <c r="AE484" i="5"/>
  <c r="AC484" i="5"/>
  <c r="AB484" i="5"/>
  <c r="Z494" i="5"/>
  <c r="Y494" i="5"/>
  <c r="W494" i="5"/>
  <c r="V494" i="5"/>
  <c r="T494" i="5"/>
  <c r="S494" i="5"/>
  <c r="Z489" i="5"/>
  <c r="Y489" i="5"/>
  <c r="Z487" i="5"/>
  <c r="Z483" i="5" s="1"/>
  <c r="Y487" i="5"/>
  <c r="Y483" i="5" s="1"/>
  <c r="Z486" i="5"/>
  <c r="Y486" i="5"/>
  <c r="Z485" i="5"/>
  <c r="Z480" i="5" s="1"/>
  <c r="Y485" i="5"/>
  <c r="Y480" i="5" s="1"/>
  <c r="Z484" i="5"/>
  <c r="Y484" i="5"/>
  <c r="W489" i="5"/>
  <c r="V489" i="5"/>
  <c r="W487" i="5"/>
  <c r="W483" i="5" s="1"/>
  <c r="V487" i="5"/>
  <c r="V483" i="5" s="1"/>
  <c r="W486" i="5"/>
  <c r="V486" i="5"/>
  <c r="W485" i="5"/>
  <c r="W480" i="5" s="1"/>
  <c r="V485" i="5"/>
  <c r="V480" i="5" s="1"/>
  <c r="W484" i="5"/>
  <c r="V484" i="5"/>
  <c r="T489" i="5"/>
  <c r="S489" i="5"/>
  <c r="T487" i="5"/>
  <c r="T483" i="5" s="1"/>
  <c r="S487" i="5"/>
  <c r="S483" i="5" s="1"/>
  <c r="T486" i="5"/>
  <c r="S486" i="5"/>
  <c r="T485" i="5"/>
  <c r="T480" i="5" s="1"/>
  <c r="S485" i="5"/>
  <c r="S480" i="5" s="1"/>
  <c r="T484" i="5"/>
  <c r="S484" i="5"/>
  <c r="R620" i="5"/>
  <c r="R614" i="5" s="1"/>
  <c r="Q620" i="5"/>
  <c r="Q614" i="5" s="1"/>
  <c r="R619" i="5"/>
  <c r="R613" i="5" s="1"/>
  <c r="Q619" i="5"/>
  <c r="Q613" i="5" s="1"/>
  <c r="R606" i="5"/>
  <c r="Q606" i="5"/>
  <c r="Q600" i="5" s="1"/>
  <c r="R605" i="5"/>
  <c r="Q605" i="5"/>
  <c r="CK614" i="5"/>
  <c r="CK563" i="5" s="1"/>
  <c r="CJ614" i="5"/>
  <c r="CJ563" i="5" s="1"/>
  <c r="CH614" i="5"/>
  <c r="CH556" i="5" s="1"/>
  <c r="CG614" i="5"/>
  <c r="CE614" i="5"/>
  <c r="CE563" i="5" s="1"/>
  <c r="CD614" i="5"/>
  <c r="CD563" i="5" s="1"/>
  <c r="CK613" i="5"/>
  <c r="CJ613" i="5"/>
  <c r="CJ562" i="5" s="1"/>
  <c r="CH613" i="5"/>
  <c r="CH562" i="5" s="1"/>
  <c r="CG613" i="5"/>
  <c r="CG562" i="5" s="1"/>
  <c r="CE613" i="5"/>
  <c r="CE562" i="5" s="1"/>
  <c r="CD613" i="5"/>
  <c r="CK600" i="5"/>
  <c r="CJ600" i="5"/>
  <c r="CH600" i="5"/>
  <c r="CG600" i="5"/>
  <c r="CE600" i="5"/>
  <c r="CD600" i="5"/>
  <c r="CK599" i="5"/>
  <c r="CJ599" i="5"/>
  <c r="CH599" i="5"/>
  <c r="CH569" i="5" s="1"/>
  <c r="CG599" i="5"/>
  <c r="CE599" i="5"/>
  <c r="CD599" i="5"/>
  <c r="CB614" i="5"/>
  <c r="CB563" i="5" s="1"/>
  <c r="CA614" i="5"/>
  <c r="CA563" i="5" s="1"/>
  <c r="BY614" i="5"/>
  <c r="BY563" i="5" s="1"/>
  <c r="BX614" i="5"/>
  <c r="BX556" i="5" s="1"/>
  <c r="BV614" i="5"/>
  <c r="BV563" i="5" s="1"/>
  <c r="BU614" i="5"/>
  <c r="BU556" i="5" s="1"/>
  <c r="CB613" i="5"/>
  <c r="CB562" i="5" s="1"/>
  <c r="CA613" i="5"/>
  <c r="BY613" i="5"/>
  <c r="BY562" i="5" s="1"/>
  <c r="BX613" i="5"/>
  <c r="BX562" i="5" s="1"/>
  <c r="BV613" i="5"/>
  <c r="BV562" i="5" s="1"/>
  <c r="BU613" i="5"/>
  <c r="CB600" i="5"/>
  <c r="CA600" i="5"/>
  <c r="BY600" i="5"/>
  <c r="BX600" i="5"/>
  <c r="BV600" i="5"/>
  <c r="BU600" i="5"/>
  <c r="BU570" i="5" s="1"/>
  <c r="CB599" i="5"/>
  <c r="CB569" i="5" s="1"/>
  <c r="CA599" i="5"/>
  <c r="BY599" i="5"/>
  <c r="BX599" i="5"/>
  <c r="BV599" i="5"/>
  <c r="BU599" i="5"/>
  <c r="BS614" i="5"/>
  <c r="BS556" i="5" s="1"/>
  <c r="BR614" i="5"/>
  <c r="BR563" i="5" s="1"/>
  <c r="BP614" i="5"/>
  <c r="BP563" i="5" s="1"/>
  <c r="BO614" i="5"/>
  <c r="BO556" i="5" s="1"/>
  <c r="BM614" i="5"/>
  <c r="BM563" i="5" s="1"/>
  <c r="BL614" i="5"/>
  <c r="BL563" i="5" s="1"/>
  <c r="BS613" i="5"/>
  <c r="BS555" i="5" s="1"/>
  <c r="BR613" i="5"/>
  <c r="BR555" i="5" s="1"/>
  <c r="BP613" i="5"/>
  <c r="BP555" i="5" s="1"/>
  <c r="BO613" i="5"/>
  <c r="BO562" i="5" s="1"/>
  <c r="BM613" i="5"/>
  <c r="BM562" i="5" s="1"/>
  <c r="BL613" i="5"/>
  <c r="BS600" i="5"/>
  <c r="BR600" i="5"/>
  <c r="BP600" i="5"/>
  <c r="BO600" i="5"/>
  <c r="BO570" i="5" s="1"/>
  <c r="BM600" i="5"/>
  <c r="BL600" i="5"/>
  <c r="BL570" i="5" s="1"/>
  <c r="BS599" i="5"/>
  <c r="BR599" i="5"/>
  <c r="BP599" i="5"/>
  <c r="BP569" i="5" s="1"/>
  <c r="BO599" i="5"/>
  <c r="BM599" i="5"/>
  <c r="BL599" i="5"/>
  <c r="BJ614" i="5"/>
  <c r="BJ556" i="5" s="1"/>
  <c r="BI614" i="5"/>
  <c r="BI556" i="5" s="1"/>
  <c r="BG614" i="5"/>
  <c r="BG563" i="5" s="1"/>
  <c r="BF614" i="5"/>
  <c r="BF563" i="5" s="1"/>
  <c r="BD614" i="5"/>
  <c r="BD556" i="5" s="1"/>
  <c r="BC614" i="5"/>
  <c r="BC563" i="5" s="1"/>
  <c r="BJ613" i="5"/>
  <c r="BJ562" i="5" s="1"/>
  <c r="BI613" i="5"/>
  <c r="BI562" i="5" s="1"/>
  <c r="BG613" i="5"/>
  <c r="BF613" i="5"/>
  <c r="BF555" i="5" s="1"/>
  <c r="BD613" i="5"/>
  <c r="BD555" i="5" s="1"/>
  <c r="BC613" i="5"/>
  <c r="BC562" i="5" s="1"/>
  <c r="BJ600" i="5"/>
  <c r="BI600" i="5"/>
  <c r="BG600" i="5"/>
  <c r="BF600" i="5"/>
  <c r="BF570" i="5" s="1"/>
  <c r="BD600" i="5"/>
  <c r="BC600" i="5"/>
  <c r="BJ599" i="5"/>
  <c r="BI599" i="5"/>
  <c r="BI569" i="5" s="1"/>
  <c r="BG599" i="5"/>
  <c r="BF599" i="5"/>
  <c r="BD599" i="5"/>
  <c r="BD569" i="5" s="1"/>
  <c r="BC599" i="5"/>
  <c r="BC569" i="5" s="1"/>
  <c r="BA614" i="5"/>
  <c r="BA556" i="5" s="1"/>
  <c r="AZ614" i="5"/>
  <c r="AZ563" i="5" s="1"/>
  <c r="AX614" i="5"/>
  <c r="AX556" i="5" s="1"/>
  <c r="AW614" i="5"/>
  <c r="AW563" i="5" s="1"/>
  <c r="AU614" i="5"/>
  <c r="AU563" i="5" s="1"/>
  <c r="AT614" i="5"/>
  <c r="AT563" i="5" s="1"/>
  <c r="BA613" i="5"/>
  <c r="AZ613" i="5"/>
  <c r="AZ562" i="5" s="1"/>
  <c r="AX613" i="5"/>
  <c r="AX555" i="5" s="1"/>
  <c r="AW613" i="5"/>
  <c r="AW562" i="5" s="1"/>
  <c r="AU613" i="5"/>
  <c r="AU562" i="5" s="1"/>
  <c r="AT613" i="5"/>
  <c r="AT562" i="5" s="1"/>
  <c r="BA600" i="5"/>
  <c r="BA570" i="5" s="1"/>
  <c r="AZ600" i="5"/>
  <c r="AX600" i="5"/>
  <c r="AX570" i="5" s="1"/>
  <c r="AW600" i="5"/>
  <c r="AW570" i="5" s="1"/>
  <c r="AU600" i="5"/>
  <c r="AT600" i="5"/>
  <c r="AT570" i="5" s="1"/>
  <c r="BA599" i="5"/>
  <c r="BA569" i="5" s="1"/>
  <c r="AZ599" i="5"/>
  <c r="AZ569" i="5" s="1"/>
  <c r="AX599" i="5"/>
  <c r="AW599" i="5"/>
  <c r="AU599" i="5"/>
  <c r="AT599" i="5"/>
  <c r="AT569" i="5" s="1"/>
  <c r="AR614" i="5"/>
  <c r="AR563" i="5" s="1"/>
  <c r="AQ614" i="5"/>
  <c r="AQ563" i="5" s="1"/>
  <c r="AO614" i="5"/>
  <c r="AO563" i="5" s="1"/>
  <c r="AN614" i="5"/>
  <c r="AN563" i="5" s="1"/>
  <c r="AL614" i="5"/>
  <c r="AL563" i="5" s="1"/>
  <c r="AK614" i="5"/>
  <c r="AK563" i="5" s="1"/>
  <c r="AR613" i="5"/>
  <c r="AQ613" i="5"/>
  <c r="AQ562" i="5" s="1"/>
  <c r="AO613" i="5"/>
  <c r="AO555" i="5" s="1"/>
  <c r="AN613" i="5"/>
  <c r="AL613" i="5"/>
  <c r="AL562" i="5" s="1"/>
  <c r="AK613" i="5"/>
  <c r="AK562" i="5" s="1"/>
  <c r="AR600" i="5"/>
  <c r="AR570" i="5" s="1"/>
  <c r="AQ600" i="5"/>
  <c r="AO600" i="5"/>
  <c r="AO570" i="5" s="1"/>
  <c r="AN600" i="5"/>
  <c r="AN570" i="5" s="1"/>
  <c r="AL600" i="5"/>
  <c r="AK600" i="5"/>
  <c r="AK570" i="5" s="1"/>
  <c r="AR599" i="5"/>
  <c r="AQ599" i="5"/>
  <c r="AQ569" i="5" s="1"/>
  <c r="AO599" i="5"/>
  <c r="AO569" i="5" s="1"/>
  <c r="AN599" i="5"/>
  <c r="AL599" i="5"/>
  <c r="AL569" i="5" s="1"/>
  <c r="AK599" i="5"/>
  <c r="AK569" i="5" s="1"/>
  <c r="AI614" i="5"/>
  <c r="AI563" i="5" s="1"/>
  <c r="AH614" i="5"/>
  <c r="AH563" i="5" s="1"/>
  <c r="AF614" i="5"/>
  <c r="AF556" i="5" s="1"/>
  <c r="AE614" i="5"/>
  <c r="AC614" i="5"/>
  <c r="AC563" i="5" s="1"/>
  <c r="AB614" i="5"/>
  <c r="AB563" i="5" s="1"/>
  <c r="AI613" i="5"/>
  <c r="AI555" i="5" s="1"/>
  <c r="AH613" i="5"/>
  <c r="AH562" i="5" s="1"/>
  <c r="AF613" i="5"/>
  <c r="AF562" i="5" s="1"/>
  <c r="AE613" i="5"/>
  <c r="AE562" i="5" s="1"/>
  <c r="AC613" i="5"/>
  <c r="AB613" i="5"/>
  <c r="AB555" i="5" s="1"/>
  <c r="AI600" i="5"/>
  <c r="AI570" i="5" s="1"/>
  <c r="AH600" i="5"/>
  <c r="AF600" i="5"/>
  <c r="AE600" i="5"/>
  <c r="AC600" i="5"/>
  <c r="AB600" i="5"/>
  <c r="AB570" i="5" s="1"/>
  <c r="AI599" i="5"/>
  <c r="AI569" i="5" s="1"/>
  <c r="AH599" i="5"/>
  <c r="AH569" i="5" s="1"/>
  <c r="AF599" i="5"/>
  <c r="AF569" i="5" s="1"/>
  <c r="AE599" i="5"/>
  <c r="AC599" i="5"/>
  <c r="AB599" i="5"/>
  <c r="Z600" i="5"/>
  <c r="Y600" i="5"/>
  <c r="Z599" i="5"/>
  <c r="Y599" i="5"/>
  <c r="W600" i="5"/>
  <c r="V600" i="5"/>
  <c r="W599" i="5"/>
  <c r="V599" i="5"/>
  <c r="T600" i="5"/>
  <c r="S600" i="5"/>
  <c r="T599" i="5"/>
  <c r="S599" i="5"/>
  <c r="R600" i="5"/>
  <c r="J598" i="5"/>
  <c r="Z614" i="5"/>
  <c r="Y614" i="5"/>
  <c r="Z613" i="5"/>
  <c r="Z562" i="5" s="1"/>
  <c r="Y613" i="5"/>
  <c r="Y562" i="5" s="1"/>
  <c r="W614" i="5"/>
  <c r="W563" i="5" s="1"/>
  <c r="V614" i="5"/>
  <c r="V563" i="5" s="1"/>
  <c r="W613" i="5"/>
  <c r="V613" i="5"/>
  <c r="T614" i="5"/>
  <c r="T563" i="5" s="1"/>
  <c r="S614" i="5"/>
  <c r="S563" i="5" s="1"/>
  <c r="T613" i="5"/>
  <c r="S613" i="5"/>
  <c r="J578" i="5"/>
  <c r="R576" i="5"/>
  <c r="Q576" i="5"/>
  <c r="R575" i="5"/>
  <c r="Q575" i="5"/>
  <c r="R573" i="5"/>
  <c r="Q573" i="5"/>
  <c r="R572" i="5"/>
  <c r="Q572" i="5"/>
  <c r="I549" i="5"/>
  <c r="I548" i="5"/>
  <c r="CK574" i="5"/>
  <c r="CJ574" i="5"/>
  <c r="CH574" i="5"/>
  <c r="CG574" i="5"/>
  <c r="CE574" i="5"/>
  <c r="CD574" i="5"/>
  <c r="CK571" i="5"/>
  <c r="CJ571" i="5"/>
  <c r="CH571" i="5"/>
  <c r="CG571" i="5"/>
  <c r="CE571" i="5"/>
  <c r="CD571" i="5"/>
  <c r="CK567" i="5"/>
  <c r="CJ567" i="5"/>
  <c r="CH567" i="5"/>
  <c r="CG567" i="5"/>
  <c r="CE567" i="5"/>
  <c r="CD567" i="5"/>
  <c r="CK566" i="5"/>
  <c r="CJ566" i="5"/>
  <c r="CH566" i="5"/>
  <c r="CG566" i="5"/>
  <c r="CE566" i="5"/>
  <c r="CD566" i="5"/>
  <c r="CK565" i="5"/>
  <c r="CJ565" i="5"/>
  <c r="CH565" i="5"/>
  <c r="CG565" i="5"/>
  <c r="CE565" i="5"/>
  <c r="CD565" i="5"/>
  <c r="CK560" i="5"/>
  <c r="CJ560" i="5"/>
  <c r="CH560" i="5"/>
  <c r="CG560" i="5"/>
  <c r="CE560" i="5"/>
  <c r="CD560" i="5"/>
  <c r="CK559" i="5"/>
  <c r="CJ559" i="5"/>
  <c r="CH559" i="5"/>
  <c r="CG559" i="5"/>
  <c r="CE559" i="5"/>
  <c r="CD559" i="5"/>
  <c r="CK558" i="5"/>
  <c r="CJ558" i="5"/>
  <c r="CH558" i="5"/>
  <c r="CG558" i="5"/>
  <c r="CE558" i="5"/>
  <c r="CD558" i="5"/>
  <c r="CK553" i="5"/>
  <c r="CJ553" i="5"/>
  <c r="CH553" i="5"/>
  <c r="CG553" i="5"/>
  <c r="CE553" i="5"/>
  <c r="CD553" i="5"/>
  <c r="CK552" i="5"/>
  <c r="CJ552" i="5"/>
  <c r="CH552" i="5"/>
  <c r="CG552" i="5"/>
  <c r="CE552" i="5"/>
  <c r="CD552" i="5"/>
  <c r="CK551" i="5"/>
  <c r="CJ551" i="5"/>
  <c r="CH551" i="5"/>
  <c r="CG551" i="5"/>
  <c r="CE551" i="5"/>
  <c r="CD551" i="5"/>
  <c r="CK549" i="5"/>
  <c r="CJ549" i="5"/>
  <c r="CH549" i="5"/>
  <c r="CG549" i="5"/>
  <c r="CE549" i="5"/>
  <c r="CD549" i="5"/>
  <c r="CK548" i="5"/>
  <c r="CJ548" i="5"/>
  <c r="CH548" i="5"/>
  <c r="CG548" i="5"/>
  <c r="CE548" i="5"/>
  <c r="CD548" i="5"/>
  <c r="CB574" i="5"/>
  <c r="CA574" i="5"/>
  <c r="BY574" i="5"/>
  <c r="BX574" i="5"/>
  <c r="BV574" i="5"/>
  <c r="BU574" i="5"/>
  <c r="CB571" i="5"/>
  <c r="CA571" i="5"/>
  <c r="BY571" i="5"/>
  <c r="BX571" i="5"/>
  <c r="BV571" i="5"/>
  <c r="BU571" i="5"/>
  <c r="CB567" i="5"/>
  <c r="CA567" i="5"/>
  <c r="BY567" i="5"/>
  <c r="BX567" i="5"/>
  <c r="BV567" i="5"/>
  <c r="BU567" i="5"/>
  <c r="CB566" i="5"/>
  <c r="CA566" i="5"/>
  <c r="BY566" i="5"/>
  <c r="BX566" i="5"/>
  <c r="BV566" i="5"/>
  <c r="BU566" i="5"/>
  <c r="CB565" i="5"/>
  <c r="CA565" i="5"/>
  <c r="BY565" i="5"/>
  <c r="BX565" i="5"/>
  <c r="BV565" i="5"/>
  <c r="BU565" i="5"/>
  <c r="CB560" i="5"/>
  <c r="CA560" i="5"/>
  <c r="BY560" i="5"/>
  <c r="BX560" i="5"/>
  <c r="BV560" i="5"/>
  <c r="BU560" i="5"/>
  <c r="CB559" i="5"/>
  <c r="CA559" i="5"/>
  <c r="BY559" i="5"/>
  <c r="BX559" i="5"/>
  <c r="BV559" i="5"/>
  <c r="BU559" i="5"/>
  <c r="CB558" i="5"/>
  <c r="CA558" i="5"/>
  <c r="BY558" i="5"/>
  <c r="BX558" i="5"/>
  <c r="BV558" i="5"/>
  <c r="BU558" i="5"/>
  <c r="CB553" i="5"/>
  <c r="CA553" i="5"/>
  <c r="BY553" i="5"/>
  <c r="BX553" i="5"/>
  <c r="BV553" i="5"/>
  <c r="BU553" i="5"/>
  <c r="CB552" i="5"/>
  <c r="CA552" i="5"/>
  <c r="BY552" i="5"/>
  <c r="BX552" i="5"/>
  <c r="BV552" i="5"/>
  <c r="BU552" i="5"/>
  <c r="CB551" i="5"/>
  <c r="CA551" i="5"/>
  <c r="BY551" i="5"/>
  <c r="BX551" i="5"/>
  <c r="BV551" i="5"/>
  <c r="BU551" i="5"/>
  <c r="CB549" i="5"/>
  <c r="CA549" i="5"/>
  <c r="BY549" i="5"/>
  <c r="BX549" i="5"/>
  <c r="BV549" i="5"/>
  <c r="BU549" i="5"/>
  <c r="CB548" i="5"/>
  <c r="CA548" i="5"/>
  <c r="BY548" i="5"/>
  <c r="BX548" i="5"/>
  <c r="BV548" i="5"/>
  <c r="BU548" i="5"/>
  <c r="BS574" i="5"/>
  <c r="BR574" i="5"/>
  <c r="BP574" i="5"/>
  <c r="BO574" i="5"/>
  <c r="BM574" i="5"/>
  <c r="BL574" i="5"/>
  <c r="BS571" i="5"/>
  <c r="BR571" i="5"/>
  <c r="BP571" i="5"/>
  <c r="BO571" i="5"/>
  <c r="BM571" i="5"/>
  <c r="BL571" i="5"/>
  <c r="BM569" i="5"/>
  <c r="BS567" i="5"/>
  <c r="BR567" i="5"/>
  <c r="BP567" i="5"/>
  <c r="BO567" i="5"/>
  <c r="BM567" i="5"/>
  <c r="BL567" i="5"/>
  <c r="BS566" i="5"/>
  <c r="BR566" i="5"/>
  <c r="BP566" i="5"/>
  <c r="BO566" i="5"/>
  <c r="BM566" i="5"/>
  <c r="BL566" i="5"/>
  <c r="BS565" i="5"/>
  <c r="BR565" i="5"/>
  <c r="BP565" i="5"/>
  <c r="BO565" i="5"/>
  <c r="BM565" i="5"/>
  <c r="BL565" i="5"/>
  <c r="BS560" i="5"/>
  <c r="BR560" i="5"/>
  <c r="BP560" i="5"/>
  <c r="BO560" i="5"/>
  <c r="BM560" i="5"/>
  <c r="BL560" i="5"/>
  <c r="BS559" i="5"/>
  <c r="BR559" i="5"/>
  <c r="BP559" i="5"/>
  <c r="BO559" i="5"/>
  <c r="BM559" i="5"/>
  <c r="BL559" i="5"/>
  <c r="BS558" i="5"/>
  <c r="BR558" i="5"/>
  <c r="BP558" i="5"/>
  <c r="BO558" i="5"/>
  <c r="BM558" i="5"/>
  <c r="BL558" i="5"/>
  <c r="BS553" i="5"/>
  <c r="BR553" i="5"/>
  <c r="BP553" i="5"/>
  <c r="BO553" i="5"/>
  <c r="BM553" i="5"/>
  <c r="BL553" i="5"/>
  <c r="BS552" i="5"/>
  <c r="BR552" i="5"/>
  <c r="BP552" i="5"/>
  <c r="BO552" i="5"/>
  <c r="BM552" i="5"/>
  <c r="BL552" i="5"/>
  <c r="BS551" i="5"/>
  <c r="BR551" i="5"/>
  <c r="BP551" i="5"/>
  <c r="BO551" i="5"/>
  <c r="BM551" i="5"/>
  <c r="BL551" i="5"/>
  <c r="BS549" i="5"/>
  <c r="BR549" i="5"/>
  <c r="BP549" i="5"/>
  <c r="BO549" i="5"/>
  <c r="BM549" i="5"/>
  <c r="BL549" i="5"/>
  <c r="BS548" i="5"/>
  <c r="BR548" i="5"/>
  <c r="BP548" i="5"/>
  <c r="BO548" i="5"/>
  <c r="BM548" i="5"/>
  <c r="BL548" i="5"/>
  <c r="BJ574" i="5"/>
  <c r="BI574" i="5"/>
  <c r="BG574" i="5"/>
  <c r="BF574" i="5"/>
  <c r="BD574" i="5"/>
  <c r="BC574" i="5"/>
  <c r="BJ571" i="5"/>
  <c r="BI571" i="5"/>
  <c r="BG571" i="5"/>
  <c r="BF571" i="5"/>
  <c r="BD571" i="5"/>
  <c r="BC571" i="5"/>
  <c r="BJ567" i="5"/>
  <c r="BI567" i="5"/>
  <c r="BG567" i="5"/>
  <c r="BF567" i="5"/>
  <c r="BD567" i="5"/>
  <c r="BC567" i="5"/>
  <c r="BJ566" i="5"/>
  <c r="BI566" i="5"/>
  <c r="BG566" i="5"/>
  <c r="BF566" i="5"/>
  <c r="BD566" i="5"/>
  <c r="BC566" i="5"/>
  <c r="BJ565" i="5"/>
  <c r="BI565" i="5"/>
  <c r="BG565" i="5"/>
  <c r="BF565" i="5"/>
  <c r="BD565" i="5"/>
  <c r="BC565" i="5"/>
  <c r="BJ560" i="5"/>
  <c r="BI560" i="5"/>
  <c r="BG560" i="5"/>
  <c r="BF560" i="5"/>
  <c r="BD560" i="5"/>
  <c r="BC560" i="5"/>
  <c r="BJ559" i="5"/>
  <c r="BI559" i="5"/>
  <c r="BG559" i="5"/>
  <c r="BF559" i="5"/>
  <c r="BD559" i="5"/>
  <c r="BC559" i="5"/>
  <c r="BJ558" i="5"/>
  <c r="BI558" i="5"/>
  <c r="BG558" i="5"/>
  <c r="BF558" i="5"/>
  <c r="BD558" i="5"/>
  <c r="BC558" i="5"/>
  <c r="BJ553" i="5"/>
  <c r="BI553" i="5"/>
  <c r="BG553" i="5"/>
  <c r="BF553" i="5"/>
  <c r="BD553" i="5"/>
  <c r="BC553" i="5"/>
  <c r="BJ552" i="5"/>
  <c r="BI552" i="5"/>
  <c r="BG552" i="5"/>
  <c r="BF552" i="5"/>
  <c r="BD552" i="5"/>
  <c r="BC552" i="5"/>
  <c r="BJ551" i="5"/>
  <c r="BI551" i="5"/>
  <c r="BG551" i="5"/>
  <c r="BF551" i="5"/>
  <c r="BD551" i="5"/>
  <c r="BC551" i="5"/>
  <c r="BJ549" i="5"/>
  <c r="BI549" i="5"/>
  <c r="BG549" i="5"/>
  <c r="BF549" i="5"/>
  <c r="BD549" i="5"/>
  <c r="BC549" i="5"/>
  <c r="BJ548" i="5"/>
  <c r="BI548" i="5"/>
  <c r="BG548" i="5"/>
  <c r="BF548" i="5"/>
  <c r="BD548" i="5"/>
  <c r="BC548" i="5"/>
  <c r="BA574" i="5"/>
  <c r="AZ574" i="5"/>
  <c r="AX574" i="5"/>
  <c r="AW574" i="5"/>
  <c r="AU574" i="5"/>
  <c r="AT574" i="5"/>
  <c r="BA571" i="5"/>
  <c r="AZ571" i="5"/>
  <c r="AX571" i="5"/>
  <c r="AW571" i="5"/>
  <c r="AU571" i="5"/>
  <c r="AT571" i="5"/>
  <c r="BA567" i="5"/>
  <c r="AZ567" i="5"/>
  <c r="AX567" i="5"/>
  <c r="AW567" i="5"/>
  <c r="AU567" i="5"/>
  <c r="AT567" i="5"/>
  <c r="BA566" i="5"/>
  <c r="AZ566" i="5"/>
  <c r="AX566" i="5"/>
  <c r="AW566" i="5"/>
  <c r="AU566" i="5"/>
  <c r="AT566" i="5"/>
  <c r="BA565" i="5"/>
  <c r="AZ565" i="5"/>
  <c r="AX565" i="5"/>
  <c r="AW565" i="5"/>
  <c r="AU565" i="5"/>
  <c r="AT565" i="5"/>
  <c r="BA560" i="5"/>
  <c r="AZ560" i="5"/>
  <c r="AX560" i="5"/>
  <c r="AW560" i="5"/>
  <c r="AU560" i="5"/>
  <c r="AT560" i="5"/>
  <c r="BA559" i="5"/>
  <c r="AZ559" i="5"/>
  <c r="AX559" i="5"/>
  <c r="AW559" i="5"/>
  <c r="AU559" i="5"/>
  <c r="AT559" i="5"/>
  <c r="BA558" i="5"/>
  <c r="AZ558" i="5"/>
  <c r="AX558" i="5"/>
  <c r="AW558" i="5"/>
  <c r="AU558" i="5"/>
  <c r="AT558" i="5"/>
  <c r="BA553" i="5"/>
  <c r="AZ553" i="5"/>
  <c r="AX553" i="5"/>
  <c r="AW553" i="5"/>
  <c r="AU553" i="5"/>
  <c r="AT553" i="5"/>
  <c r="BA552" i="5"/>
  <c r="AZ552" i="5"/>
  <c r="AX552" i="5"/>
  <c r="AW552" i="5"/>
  <c r="AU552" i="5"/>
  <c r="AT552" i="5"/>
  <c r="BA551" i="5"/>
  <c r="AZ551" i="5"/>
  <c r="AX551" i="5"/>
  <c r="AW551" i="5"/>
  <c r="AU551" i="5"/>
  <c r="AT551" i="5"/>
  <c r="BA549" i="5"/>
  <c r="AZ549" i="5"/>
  <c r="AX549" i="5"/>
  <c r="AW549" i="5"/>
  <c r="AU549" i="5"/>
  <c r="AT549" i="5"/>
  <c r="BA548" i="5"/>
  <c r="AZ548" i="5"/>
  <c r="AX548" i="5"/>
  <c r="AW548" i="5"/>
  <c r="AU548" i="5"/>
  <c r="AT548" i="5"/>
  <c r="AR574" i="5"/>
  <c r="AQ574" i="5"/>
  <c r="AO574" i="5"/>
  <c r="AN574" i="5"/>
  <c r="AL574" i="5"/>
  <c r="AK574" i="5"/>
  <c r="AR571" i="5"/>
  <c r="AQ571" i="5"/>
  <c r="AO571" i="5"/>
  <c r="AN571" i="5"/>
  <c r="AL571" i="5"/>
  <c r="AK571" i="5"/>
  <c r="AR567" i="5"/>
  <c r="AQ567" i="5"/>
  <c r="AO567" i="5"/>
  <c r="AN567" i="5"/>
  <c r="AL567" i="5"/>
  <c r="AK567" i="5"/>
  <c r="AR566" i="5"/>
  <c r="AQ566" i="5"/>
  <c r="AO566" i="5"/>
  <c r="AN566" i="5"/>
  <c r="AL566" i="5"/>
  <c r="AK566" i="5"/>
  <c r="AR565" i="5"/>
  <c r="AQ565" i="5"/>
  <c r="AO565" i="5"/>
  <c r="AN565" i="5"/>
  <c r="AL565" i="5"/>
  <c r="AK565" i="5"/>
  <c r="AR560" i="5"/>
  <c r="AQ560" i="5"/>
  <c r="AO560" i="5"/>
  <c r="AN560" i="5"/>
  <c r="AL560" i="5"/>
  <c r="AK560" i="5"/>
  <c r="AR559" i="5"/>
  <c r="AQ559" i="5"/>
  <c r="AO559" i="5"/>
  <c r="AN559" i="5"/>
  <c r="AL559" i="5"/>
  <c r="AK559" i="5"/>
  <c r="AR558" i="5"/>
  <c r="AQ558" i="5"/>
  <c r="AO558" i="5"/>
  <c r="AN558" i="5"/>
  <c r="AL558" i="5"/>
  <c r="AK558" i="5"/>
  <c r="AR553" i="5"/>
  <c r="AQ553" i="5"/>
  <c r="AO553" i="5"/>
  <c r="AN553" i="5"/>
  <c r="AL553" i="5"/>
  <c r="AK553" i="5"/>
  <c r="AR552" i="5"/>
  <c r="AQ552" i="5"/>
  <c r="AO552" i="5"/>
  <c r="AN552" i="5"/>
  <c r="AL552" i="5"/>
  <c r="AK552" i="5"/>
  <c r="AR551" i="5"/>
  <c r="AQ551" i="5"/>
  <c r="AO551" i="5"/>
  <c r="AN551" i="5"/>
  <c r="AL551" i="5"/>
  <c r="AK551" i="5"/>
  <c r="AR549" i="5"/>
  <c r="AQ549" i="5"/>
  <c r="AO549" i="5"/>
  <c r="AN549" i="5"/>
  <c r="AL549" i="5"/>
  <c r="AK549" i="5"/>
  <c r="AR548" i="5"/>
  <c r="AQ548" i="5"/>
  <c r="AO548" i="5"/>
  <c r="AN548" i="5"/>
  <c r="AL548" i="5"/>
  <c r="AK548" i="5"/>
  <c r="AI574" i="5"/>
  <c r="AH574" i="5"/>
  <c r="AF574" i="5"/>
  <c r="AE574" i="5"/>
  <c r="AC574" i="5"/>
  <c r="AB574" i="5"/>
  <c r="AI571" i="5"/>
  <c r="AH571" i="5"/>
  <c r="AF571" i="5"/>
  <c r="AE571" i="5"/>
  <c r="AC571" i="5"/>
  <c r="AB571" i="5"/>
  <c r="AI567" i="5"/>
  <c r="AH567" i="5"/>
  <c r="AF567" i="5"/>
  <c r="AE567" i="5"/>
  <c r="AC567" i="5"/>
  <c r="AB567" i="5"/>
  <c r="AI566" i="5"/>
  <c r="AH566" i="5"/>
  <c r="AF566" i="5"/>
  <c r="AE566" i="5"/>
  <c r="AC566" i="5"/>
  <c r="AB566" i="5"/>
  <c r="AI565" i="5"/>
  <c r="AH565" i="5"/>
  <c r="AF565" i="5"/>
  <c r="AE565" i="5"/>
  <c r="AC565" i="5"/>
  <c r="AB565" i="5"/>
  <c r="AI560" i="5"/>
  <c r="AH560" i="5"/>
  <c r="AF560" i="5"/>
  <c r="AE560" i="5"/>
  <c r="AC560" i="5"/>
  <c r="AB560" i="5"/>
  <c r="AI559" i="5"/>
  <c r="AH559" i="5"/>
  <c r="AF559" i="5"/>
  <c r="AE559" i="5"/>
  <c r="AC559" i="5"/>
  <c r="AB559" i="5"/>
  <c r="AI558" i="5"/>
  <c r="AH558" i="5"/>
  <c r="AF558" i="5"/>
  <c r="AE558" i="5"/>
  <c r="AC558" i="5"/>
  <c r="AB558" i="5"/>
  <c r="AI553" i="5"/>
  <c r="AH553" i="5"/>
  <c r="AF553" i="5"/>
  <c r="AE553" i="5"/>
  <c r="AC553" i="5"/>
  <c r="AB553" i="5"/>
  <c r="AI552" i="5"/>
  <c r="AH552" i="5"/>
  <c r="AF552" i="5"/>
  <c r="AE552" i="5"/>
  <c r="AC552" i="5"/>
  <c r="AB552" i="5"/>
  <c r="AI551" i="5"/>
  <c r="AH551" i="5"/>
  <c r="AF551" i="5"/>
  <c r="AE551" i="5"/>
  <c r="AC551" i="5"/>
  <c r="AB551" i="5"/>
  <c r="AI549" i="5"/>
  <c r="AH549" i="5"/>
  <c r="AF549" i="5"/>
  <c r="AE549" i="5"/>
  <c r="AC549" i="5"/>
  <c r="AB549" i="5"/>
  <c r="AI548" i="5"/>
  <c r="AH548" i="5"/>
  <c r="AF548" i="5"/>
  <c r="AE548" i="5"/>
  <c r="AC548" i="5"/>
  <c r="AB548" i="5"/>
  <c r="Z574" i="5"/>
  <c r="Y574" i="5"/>
  <c r="Z571" i="5"/>
  <c r="Y571" i="5"/>
  <c r="Z567" i="5"/>
  <c r="Y567" i="5"/>
  <c r="Z566" i="5"/>
  <c r="Y566" i="5"/>
  <c r="Z565" i="5"/>
  <c r="Y565" i="5"/>
  <c r="Z560" i="5"/>
  <c r="Y560" i="5"/>
  <c r="Z559" i="5"/>
  <c r="Y559" i="5"/>
  <c r="Z558" i="5"/>
  <c r="Y558" i="5"/>
  <c r="Z553" i="5"/>
  <c r="Y553" i="5"/>
  <c r="Z552" i="5"/>
  <c r="Y552" i="5"/>
  <c r="Z551" i="5"/>
  <c r="Y551" i="5"/>
  <c r="Z549" i="5"/>
  <c r="Y549" i="5"/>
  <c r="Z548" i="5"/>
  <c r="Y548" i="5"/>
  <c r="W574" i="5"/>
  <c r="V574" i="5"/>
  <c r="W571" i="5"/>
  <c r="V571" i="5"/>
  <c r="W567" i="5"/>
  <c r="V567" i="5"/>
  <c r="W566" i="5"/>
  <c r="V566" i="5"/>
  <c r="W565" i="5"/>
  <c r="V565" i="5"/>
  <c r="W560" i="5"/>
  <c r="V560" i="5"/>
  <c r="W559" i="5"/>
  <c r="V559" i="5"/>
  <c r="W558" i="5"/>
  <c r="V558" i="5"/>
  <c r="W553" i="5"/>
  <c r="V553" i="5"/>
  <c r="W552" i="5"/>
  <c r="V552" i="5"/>
  <c r="W551" i="5"/>
  <c r="V551" i="5"/>
  <c r="W549" i="5"/>
  <c r="V549" i="5"/>
  <c r="W548" i="5"/>
  <c r="V548" i="5"/>
  <c r="S574" i="5"/>
  <c r="T574" i="5"/>
  <c r="T571" i="5"/>
  <c r="S571" i="5"/>
  <c r="T567" i="5"/>
  <c r="S567" i="5"/>
  <c r="T566" i="5"/>
  <c r="S566" i="5"/>
  <c r="T565" i="5"/>
  <c r="S565" i="5"/>
  <c r="T560" i="5"/>
  <c r="S560" i="5"/>
  <c r="T559" i="5"/>
  <c r="S559" i="5"/>
  <c r="T558" i="5"/>
  <c r="S558" i="5"/>
  <c r="T553" i="5"/>
  <c r="S553" i="5"/>
  <c r="T552" i="5"/>
  <c r="S552" i="5"/>
  <c r="T551" i="5"/>
  <c r="S551" i="5"/>
  <c r="T549" i="5"/>
  <c r="S549" i="5"/>
  <c r="T548" i="5"/>
  <c r="S548" i="5"/>
  <c r="R567" i="5"/>
  <c r="Q567" i="5"/>
  <c r="R566" i="5"/>
  <c r="Q566" i="5"/>
  <c r="R565" i="5"/>
  <c r="Q565" i="5"/>
  <c r="R560" i="5"/>
  <c r="Q560" i="5"/>
  <c r="R559" i="5"/>
  <c r="Q559" i="5"/>
  <c r="R558" i="5"/>
  <c r="Q558" i="5"/>
  <c r="R553" i="5"/>
  <c r="Q553" i="5"/>
  <c r="R552" i="5"/>
  <c r="Q552" i="5"/>
  <c r="R551" i="5"/>
  <c r="Q551" i="5"/>
  <c r="AC570" i="5" l="1"/>
  <c r="AU570" i="5"/>
  <c r="BD570" i="5"/>
  <c r="BM570" i="5"/>
  <c r="CE570" i="5"/>
  <c r="BX570" i="5"/>
  <c r="BP570" i="5"/>
  <c r="BV569" i="5"/>
  <c r="BY570" i="5"/>
  <c r="CE569" i="5"/>
  <c r="CH570" i="5"/>
  <c r="AE569" i="5"/>
  <c r="AH570" i="5"/>
  <c r="AQ570" i="5"/>
  <c r="AW569" i="5"/>
  <c r="AZ570" i="5"/>
  <c r="BI570" i="5"/>
  <c r="BR570" i="5"/>
  <c r="BX569" i="5"/>
  <c r="CA570" i="5"/>
  <c r="CG569" i="5"/>
  <c r="CJ570" i="5"/>
  <c r="BY569" i="5"/>
  <c r="BJ570" i="5"/>
  <c r="BO569" i="5"/>
  <c r="BF569" i="5"/>
  <c r="CK570" i="5"/>
  <c r="BC570" i="5"/>
  <c r="BV570" i="5"/>
  <c r="CB570" i="5"/>
  <c r="S479" i="5"/>
  <c r="S478" i="5"/>
  <c r="S481" i="5"/>
  <c r="S482" i="5"/>
  <c r="Q599" i="5"/>
  <c r="Q568" i="5" s="1"/>
  <c r="Q604" i="5"/>
  <c r="R599" i="5"/>
  <c r="R569" i="5" s="1"/>
  <c r="R604" i="5"/>
  <c r="T479" i="5"/>
  <c r="T478" i="5"/>
  <c r="T481" i="5"/>
  <c r="T482" i="5"/>
  <c r="R482" i="5"/>
  <c r="R481" i="5"/>
  <c r="R485" i="5"/>
  <c r="R480" i="5" s="1"/>
  <c r="AX569" i="5"/>
  <c r="BS570" i="5"/>
  <c r="AO562" i="5"/>
  <c r="T556" i="5"/>
  <c r="R281" i="5"/>
  <c r="R269" i="5" s="1"/>
  <c r="R270" i="5"/>
  <c r="Q281" i="5"/>
  <c r="Q269" i="5" s="1"/>
  <c r="Q270" i="5"/>
  <c r="CD570" i="5"/>
  <c r="W556" i="5"/>
  <c r="BO563" i="5"/>
  <c r="AN547" i="5"/>
  <c r="BP556" i="5"/>
  <c r="CG547" i="5"/>
  <c r="Q574" i="5"/>
  <c r="T554" i="5"/>
  <c r="W561" i="5"/>
  <c r="BC547" i="5"/>
  <c r="BI547" i="5"/>
  <c r="T570" i="5"/>
  <c r="W570" i="5"/>
  <c r="AU556" i="5"/>
  <c r="AH547" i="5"/>
  <c r="AT556" i="5"/>
  <c r="AX562" i="5"/>
  <c r="BP562" i="5"/>
  <c r="Q485" i="5"/>
  <c r="Q480" i="5" s="1"/>
  <c r="V556" i="5"/>
  <c r="AI562" i="5"/>
  <c r="AO556" i="5"/>
  <c r="AX563" i="5"/>
  <c r="S570" i="5"/>
  <c r="BG561" i="5"/>
  <c r="CH547" i="5"/>
  <c r="BG568" i="5"/>
  <c r="BG554" i="5"/>
  <c r="BM561" i="5"/>
  <c r="Q22" i="5"/>
  <c r="BC556" i="5"/>
  <c r="BJ547" i="5"/>
  <c r="CB554" i="5"/>
  <c r="BU547" i="5"/>
  <c r="R54" i="5"/>
  <c r="Q24" i="5"/>
  <c r="AR554" i="5"/>
  <c r="BA554" i="5"/>
  <c r="BA563" i="5"/>
  <c r="AT547" i="5"/>
  <c r="AZ547" i="5"/>
  <c r="BD563" i="5"/>
  <c r="BV556" i="5"/>
  <c r="V569" i="5"/>
  <c r="BF562" i="5"/>
  <c r="BI563" i="5"/>
  <c r="BX555" i="5"/>
  <c r="CA556" i="5"/>
  <c r="AW555" i="5"/>
  <c r="AZ556" i="5"/>
  <c r="BJ563" i="5"/>
  <c r="BY555" i="5"/>
  <c r="CB556" i="5"/>
  <c r="BU563" i="5"/>
  <c r="AE561" i="5"/>
  <c r="BL568" i="5"/>
  <c r="BR568" i="5"/>
  <c r="BL561" i="5"/>
  <c r="BR561" i="5"/>
  <c r="BU568" i="5"/>
  <c r="BU561" i="5"/>
  <c r="CA561" i="5"/>
  <c r="R44" i="5"/>
  <c r="AE547" i="5"/>
  <c r="AB547" i="5"/>
  <c r="BG555" i="5"/>
  <c r="BG569" i="5"/>
  <c r="BS563" i="5"/>
  <c r="CA547" i="5"/>
  <c r="S561" i="5"/>
  <c r="T568" i="5"/>
  <c r="W568" i="5"/>
  <c r="Z569" i="5"/>
  <c r="AO554" i="5"/>
  <c r="AU568" i="5"/>
  <c r="AU561" i="5"/>
  <c r="BA561" i="5"/>
  <c r="BD568" i="5"/>
  <c r="BJ568" i="5"/>
  <c r="BD561" i="5"/>
  <c r="BJ561" i="5"/>
  <c r="BM568" i="5"/>
  <c r="BS561" i="5"/>
  <c r="CK569" i="5"/>
  <c r="AL561" i="5"/>
  <c r="AL568" i="5"/>
  <c r="CK562" i="5"/>
  <c r="AL570" i="5"/>
  <c r="Z479" i="5"/>
  <c r="Z478" i="5"/>
  <c r="Z482" i="5"/>
  <c r="Z481" i="5"/>
  <c r="AB479" i="5"/>
  <c r="AB478" i="5"/>
  <c r="AH479" i="5"/>
  <c r="AH478" i="5"/>
  <c r="AB482" i="5"/>
  <c r="AB481" i="5"/>
  <c r="AH482" i="5"/>
  <c r="AH481" i="5"/>
  <c r="AK479" i="5"/>
  <c r="AK478" i="5"/>
  <c r="AQ479" i="5"/>
  <c r="AQ478" i="5"/>
  <c r="AK482" i="5"/>
  <c r="AK481" i="5"/>
  <c r="AQ482" i="5"/>
  <c r="AQ481" i="5"/>
  <c r="AT479" i="5"/>
  <c r="AT478" i="5"/>
  <c r="AZ479" i="5"/>
  <c r="AZ478" i="5"/>
  <c r="AT482" i="5"/>
  <c r="AT481" i="5"/>
  <c r="AZ482" i="5"/>
  <c r="AZ481" i="5"/>
  <c r="BC479" i="5"/>
  <c r="BC478" i="5"/>
  <c r="BI479" i="5"/>
  <c r="BI478" i="5"/>
  <c r="BC482" i="5"/>
  <c r="BC481" i="5"/>
  <c r="BI482" i="5"/>
  <c r="BI481" i="5"/>
  <c r="BL479" i="5"/>
  <c r="BL478" i="5"/>
  <c r="BR478" i="5"/>
  <c r="BR479" i="5"/>
  <c r="BL482" i="5"/>
  <c r="BL481" i="5"/>
  <c r="BR482" i="5"/>
  <c r="BR481" i="5"/>
  <c r="BU479" i="5"/>
  <c r="BU478" i="5"/>
  <c r="CA478" i="5"/>
  <c r="CA479" i="5"/>
  <c r="BU482" i="5"/>
  <c r="BU481" i="5"/>
  <c r="CA482" i="5"/>
  <c r="CA481" i="5"/>
  <c r="CD478" i="5"/>
  <c r="CD479" i="5"/>
  <c r="CJ478" i="5"/>
  <c r="CJ479" i="5"/>
  <c r="CD482" i="5"/>
  <c r="CD481" i="5"/>
  <c r="CJ482" i="5"/>
  <c r="CJ481" i="5"/>
  <c r="S556" i="5"/>
  <c r="AL555" i="5"/>
  <c r="AR556" i="5"/>
  <c r="BA562" i="5"/>
  <c r="BA568" i="5"/>
  <c r="BG562" i="5"/>
  <c r="BP547" i="5"/>
  <c r="BV561" i="5"/>
  <c r="CD569" i="5"/>
  <c r="CG570" i="5"/>
  <c r="V478" i="5"/>
  <c r="V479" i="5"/>
  <c r="V482" i="5"/>
  <c r="V481" i="5"/>
  <c r="AC478" i="5"/>
  <c r="AC479" i="5"/>
  <c r="AI479" i="5"/>
  <c r="AI478" i="5"/>
  <c r="AC482" i="5"/>
  <c r="AC481" i="5"/>
  <c r="AI482" i="5"/>
  <c r="AI481" i="5"/>
  <c r="AL479" i="5"/>
  <c r="AL478" i="5"/>
  <c r="AR479" i="5"/>
  <c r="AR478" i="5"/>
  <c r="AL482" i="5"/>
  <c r="AL481" i="5"/>
  <c r="AR482" i="5"/>
  <c r="AR481" i="5"/>
  <c r="AU478" i="5"/>
  <c r="AU479" i="5"/>
  <c r="BA479" i="5"/>
  <c r="BA478" i="5"/>
  <c r="AU482" i="5"/>
  <c r="AU481" i="5"/>
  <c r="BA482" i="5"/>
  <c r="BA481" i="5"/>
  <c r="BD478" i="5"/>
  <c r="BD479" i="5"/>
  <c r="BJ479" i="5"/>
  <c r="BJ478" i="5"/>
  <c r="BD482" i="5"/>
  <c r="BD481" i="5"/>
  <c r="BJ482" i="5"/>
  <c r="BJ481" i="5"/>
  <c r="BM478" i="5"/>
  <c r="BM479" i="5"/>
  <c r="BS479" i="5"/>
  <c r="BS478" i="5"/>
  <c r="BM482" i="5"/>
  <c r="BM481" i="5"/>
  <c r="BS482" i="5"/>
  <c r="BS481" i="5"/>
  <c r="BV479" i="5"/>
  <c r="BV478" i="5"/>
  <c r="CB478" i="5"/>
  <c r="CB479" i="5"/>
  <c r="BV482" i="5"/>
  <c r="BV481" i="5"/>
  <c r="CB482" i="5"/>
  <c r="CB481" i="5"/>
  <c r="CE478" i="5"/>
  <c r="CE479" i="5"/>
  <c r="CK478" i="5"/>
  <c r="CK479" i="5"/>
  <c r="CE482" i="5"/>
  <c r="CE481" i="5"/>
  <c r="CK482" i="5"/>
  <c r="CK481" i="5"/>
  <c r="AC569" i="5"/>
  <c r="AF570" i="5"/>
  <c r="AL554" i="5"/>
  <c r="AR569" i="5"/>
  <c r="AU569" i="5"/>
  <c r="BS569" i="5"/>
  <c r="CH568" i="5"/>
  <c r="W479" i="5"/>
  <c r="W478" i="5"/>
  <c r="W482" i="5"/>
  <c r="W481" i="5"/>
  <c r="AE479" i="5"/>
  <c r="AE478" i="5"/>
  <c r="AE482" i="5"/>
  <c r="AE481" i="5"/>
  <c r="AN478" i="5"/>
  <c r="AN479" i="5"/>
  <c r="AN482" i="5"/>
  <c r="AN481" i="5"/>
  <c r="AW479" i="5"/>
  <c r="AW478" i="5"/>
  <c r="AW482" i="5"/>
  <c r="AW481" i="5"/>
  <c r="BF479" i="5"/>
  <c r="BF478" i="5"/>
  <c r="BF482" i="5"/>
  <c r="BF481" i="5"/>
  <c r="BO479" i="5"/>
  <c r="BO478" i="5"/>
  <c r="BO482" i="5"/>
  <c r="BO481" i="5"/>
  <c r="BX478" i="5"/>
  <c r="BX479" i="5"/>
  <c r="BX482" i="5"/>
  <c r="BX481" i="5"/>
  <c r="CG479" i="5"/>
  <c r="CG478" i="5"/>
  <c r="CG482" i="5"/>
  <c r="CG481" i="5"/>
  <c r="S554" i="5"/>
  <c r="AC555" i="5"/>
  <c r="AF561" i="5"/>
  <c r="AF568" i="5"/>
  <c r="AL556" i="5"/>
  <c r="BJ555" i="5"/>
  <c r="BD562" i="5"/>
  <c r="BS554" i="5"/>
  <c r="BM556" i="5"/>
  <c r="CE555" i="5"/>
  <c r="CH561" i="5"/>
  <c r="T569" i="5"/>
  <c r="W569" i="5"/>
  <c r="Y479" i="5"/>
  <c r="Y478" i="5"/>
  <c r="Y482" i="5"/>
  <c r="Y481" i="5"/>
  <c r="AF479" i="5"/>
  <c r="AF478" i="5"/>
  <c r="AF482" i="5"/>
  <c r="AF481" i="5"/>
  <c r="AO479" i="5"/>
  <c r="AO478" i="5"/>
  <c r="AO482" i="5"/>
  <c r="AO481" i="5"/>
  <c r="AX478" i="5"/>
  <c r="AX479" i="5"/>
  <c r="AX482" i="5"/>
  <c r="AX481" i="5"/>
  <c r="BG479" i="5"/>
  <c r="BG478" i="5"/>
  <c r="BG482" i="5"/>
  <c r="BG481" i="5"/>
  <c r="BP479" i="5"/>
  <c r="BP478" i="5"/>
  <c r="BP482" i="5"/>
  <c r="BP481" i="5"/>
  <c r="BY478" i="5"/>
  <c r="BY479" i="5"/>
  <c r="BY482" i="5"/>
  <c r="BY481" i="5"/>
  <c r="CH478" i="5"/>
  <c r="CH479" i="5"/>
  <c r="CH482" i="5"/>
  <c r="CH481" i="5"/>
  <c r="Q54" i="5"/>
  <c r="Q482" i="5"/>
  <c r="Q44" i="5"/>
  <c r="R43" i="5"/>
  <c r="R45" i="5"/>
  <c r="Q23" i="5"/>
  <c r="Q43" i="5"/>
  <c r="Q45" i="5"/>
  <c r="R23" i="5"/>
  <c r="R24" i="5"/>
  <c r="R22" i="5"/>
  <c r="Q489" i="5"/>
  <c r="R489" i="5"/>
  <c r="R484" i="5"/>
  <c r="Q494" i="5"/>
  <c r="Q487" i="5"/>
  <c r="Q483" i="5" s="1"/>
  <c r="R494" i="5"/>
  <c r="Q484" i="5"/>
  <c r="Q562" i="5"/>
  <c r="Q555" i="5"/>
  <c r="BR562" i="5"/>
  <c r="CG554" i="5"/>
  <c r="CD562" i="5"/>
  <c r="CG563" i="5"/>
  <c r="CJ569" i="5"/>
  <c r="W554" i="5"/>
  <c r="Z555" i="5"/>
  <c r="AF554" i="5"/>
  <c r="AC562" i="5"/>
  <c r="AF563" i="5"/>
  <c r="AB569" i="5"/>
  <c r="AO561" i="5"/>
  <c r="AR562" i="5"/>
  <c r="AU554" i="5"/>
  <c r="AU555" i="5"/>
  <c r="BA555" i="5"/>
  <c r="BG570" i="5"/>
  <c r="BM555" i="5"/>
  <c r="BL562" i="5"/>
  <c r="BS562" i="5"/>
  <c r="BS568" i="5"/>
  <c r="CB561" i="5"/>
  <c r="CH554" i="5"/>
  <c r="CK555" i="5"/>
  <c r="CH563" i="5"/>
  <c r="V570" i="5"/>
  <c r="AN568" i="5"/>
  <c r="AN561" i="5"/>
  <c r="AW561" i="5"/>
  <c r="S568" i="5"/>
  <c r="V568" i="5"/>
  <c r="Y569" i="5"/>
  <c r="V554" i="5"/>
  <c r="Y555" i="5"/>
  <c r="AE554" i="5"/>
  <c r="AH555" i="5"/>
  <c r="AB562" i="5"/>
  <c r="AE563" i="5"/>
  <c r="AE570" i="5"/>
  <c r="AT554" i="5"/>
  <c r="AT555" i="5"/>
  <c r="AZ555" i="5"/>
  <c r="AW556" i="5"/>
  <c r="AZ561" i="5"/>
  <c r="BL555" i="5"/>
  <c r="CJ555" i="5"/>
  <c r="CG568" i="5"/>
  <c r="T561" i="5"/>
  <c r="V561" i="5"/>
  <c r="AE556" i="5"/>
  <c r="AR555" i="5"/>
  <c r="AR561" i="5"/>
  <c r="AZ554" i="5"/>
  <c r="AT561" i="5"/>
  <c r="BG556" i="5"/>
  <c r="BM554" i="5"/>
  <c r="BL569" i="5"/>
  <c r="BV554" i="5"/>
  <c r="CB568" i="5"/>
  <c r="CD555" i="5"/>
  <c r="CG556" i="5"/>
  <c r="CG561" i="5"/>
  <c r="AO568" i="5"/>
  <c r="AR568" i="5"/>
  <c r="AX561" i="5"/>
  <c r="BP568" i="5"/>
  <c r="BP561" i="5"/>
  <c r="BV568" i="5"/>
  <c r="Q563" i="5"/>
  <c r="Q561" i="5"/>
  <c r="Q556" i="5"/>
  <c r="Q570" i="5"/>
  <c r="Q554" i="5"/>
  <c r="BJ569" i="5"/>
  <c r="CA568" i="5"/>
  <c r="BR569" i="5"/>
  <c r="AZ568" i="5"/>
  <c r="AW568" i="5"/>
  <c r="AT568" i="5"/>
  <c r="AX568" i="5"/>
  <c r="AE568" i="5"/>
  <c r="R570" i="5"/>
  <c r="CD554" i="5"/>
  <c r="CJ554" i="5"/>
  <c r="CG555" i="5"/>
  <c r="CD556" i="5"/>
  <c r="CJ556" i="5"/>
  <c r="CD561" i="5"/>
  <c r="CJ561" i="5"/>
  <c r="CD568" i="5"/>
  <c r="CJ568" i="5"/>
  <c r="CE554" i="5"/>
  <c r="CK554" i="5"/>
  <c r="CH555" i="5"/>
  <c r="CE556" i="5"/>
  <c r="CK556" i="5"/>
  <c r="CE561" i="5"/>
  <c r="CK561" i="5"/>
  <c r="CE568" i="5"/>
  <c r="CK568" i="5"/>
  <c r="BX554" i="5"/>
  <c r="BX561" i="5"/>
  <c r="CA562" i="5"/>
  <c r="BX563" i="5"/>
  <c r="BX568" i="5"/>
  <c r="CA569" i="5"/>
  <c r="BY554" i="5"/>
  <c r="BV555" i="5"/>
  <c r="CB555" i="5"/>
  <c r="BY556" i="5"/>
  <c r="BY561" i="5"/>
  <c r="BY568" i="5"/>
  <c r="BU555" i="5"/>
  <c r="CA555" i="5"/>
  <c r="BU562" i="5"/>
  <c r="BU569" i="5"/>
  <c r="BU554" i="5"/>
  <c r="CA554" i="5"/>
  <c r="BO554" i="5"/>
  <c r="BO561" i="5"/>
  <c r="BO568" i="5"/>
  <c r="BP554" i="5"/>
  <c r="BL554" i="5"/>
  <c r="BR554" i="5"/>
  <c r="BO555" i="5"/>
  <c r="BL556" i="5"/>
  <c r="BR556" i="5"/>
  <c r="BI554" i="5"/>
  <c r="BC561" i="5"/>
  <c r="BC568" i="5"/>
  <c r="BI568" i="5"/>
  <c r="BD554" i="5"/>
  <c r="BJ554" i="5"/>
  <c r="BC554" i="5"/>
  <c r="BI561" i="5"/>
  <c r="BF554" i="5"/>
  <c r="BC555" i="5"/>
  <c r="BI555" i="5"/>
  <c r="BF556" i="5"/>
  <c r="BF561" i="5"/>
  <c r="BF568" i="5"/>
  <c r="AW554" i="5"/>
  <c r="AX554" i="5"/>
  <c r="AK554" i="5"/>
  <c r="AQ554" i="5"/>
  <c r="AN555" i="5"/>
  <c r="AK556" i="5"/>
  <c r="AQ556" i="5"/>
  <c r="AK561" i="5"/>
  <c r="AQ561" i="5"/>
  <c r="AN562" i="5"/>
  <c r="AK568" i="5"/>
  <c r="AQ568" i="5"/>
  <c r="AN569" i="5"/>
  <c r="AN554" i="5"/>
  <c r="AK555" i="5"/>
  <c r="AQ555" i="5"/>
  <c r="AN556" i="5"/>
  <c r="AB554" i="5"/>
  <c r="AH554" i="5"/>
  <c r="AE555" i="5"/>
  <c r="AB556" i="5"/>
  <c r="AH556" i="5"/>
  <c r="AB561" i="5"/>
  <c r="AH561" i="5"/>
  <c r="AB568" i="5"/>
  <c r="AH568" i="5"/>
  <c r="AC554" i="5"/>
  <c r="AI554" i="5"/>
  <c r="AF555" i="5"/>
  <c r="AC556" i="5"/>
  <c r="AI556" i="5"/>
  <c r="AC561" i="5"/>
  <c r="AI561" i="5"/>
  <c r="AC568" i="5"/>
  <c r="AI568" i="5"/>
  <c r="Y570" i="5"/>
  <c r="Z570" i="5"/>
  <c r="S569" i="5"/>
  <c r="Y554" i="5"/>
  <c r="Y556" i="5"/>
  <c r="Y561" i="5"/>
  <c r="Y563" i="5"/>
  <c r="Y568" i="5"/>
  <c r="Z554" i="5"/>
  <c r="Z556" i="5"/>
  <c r="Z561" i="5"/>
  <c r="Z563" i="5"/>
  <c r="Z568" i="5"/>
  <c r="V555" i="5"/>
  <c r="V562" i="5"/>
  <c r="W555" i="5"/>
  <c r="W562" i="5"/>
  <c r="S555" i="5"/>
  <c r="S562" i="5"/>
  <c r="T555" i="5"/>
  <c r="T562" i="5"/>
  <c r="R555" i="5"/>
  <c r="R562" i="5"/>
  <c r="R554" i="5"/>
  <c r="R556" i="5"/>
  <c r="R561" i="5"/>
  <c r="R563" i="5"/>
  <c r="AI547" i="5"/>
  <c r="T547" i="5"/>
  <c r="BS547" i="5"/>
  <c r="AU547" i="5"/>
  <c r="CB547" i="5"/>
  <c r="BM547" i="5"/>
  <c r="Q571" i="5"/>
  <c r="BV547" i="5"/>
  <c r="BD547" i="5"/>
  <c r="AO547" i="5"/>
  <c r="AC547" i="5"/>
  <c r="R549" i="5"/>
  <c r="R571" i="5"/>
  <c r="AF547" i="5"/>
  <c r="AR547" i="5"/>
  <c r="BF547" i="5"/>
  <c r="BL547" i="5"/>
  <c r="BR547" i="5"/>
  <c r="AK547" i="5"/>
  <c r="AQ547" i="5"/>
  <c r="AW547" i="5"/>
  <c r="R548" i="5"/>
  <c r="AL547" i="5"/>
  <c r="BY547" i="5"/>
  <c r="CE547" i="5"/>
  <c r="BG547" i="5"/>
  <c r="AX547" i="5"/>
  <c r="R574" i="5"/>
  <c r="CK547" i="5"/>
  <c r="W547" i="5"/>
  <c r="Z547" i="5"/>
  <c r="BA547" i="5"/>
  <c r="BO547" i="5"/>
  <c r="BX547" i="5"/>
  <c r="CD547" i="5"/>
  <c r="CJ547" i="5"/>
  <c r="S547" i="5"/>
  <c r="Q549" i="5"/>
  <c r="V547" i="5"/>
  <c r="Y547" i="5"/>
  <c r="Q548" i="5"/>
  <c r="I663" i="5"/>
  <c r="R568" i="5" l="1"/>
  <c r="Q569" i="5"/>
  <c r="Q478" i="5"/>
  <c r="R479" i="5"/>
  <c r="R478" i="5"/>
  <c r="Q547" i="5"/>
  <c r="R42" i="5"/>
  <c r="Q21" i="5"/>
  <c r="Q42" i="5"/>
  <c r="Q479" i="5"/>
  <c r="Q481" i="5"/>
  <c r="R21" i="5"/>
  <c r="R547" i="5"/>
  <c r="CK651" i="5"/>
  <c r="CJ651" i="5"/>
  <c r="CH651" i="5"/>
  <c r="CG651" i="5"/>
  <c r="CE651" i="5"/>
  <c r="CD651" i="5"/>
  <c r="CK650" i="5"/>
  <c r="CJ650" i="5"/>
  <c r="CH650" i="5"/>
  <c r="CG650" i="5"/>
  <c r="CE650" i="5"/>
  <c r="CD650" i="5"/>
  <c r="CK649" i="5"/>
  <c r="CK630" i="5" s="1"/>
  <c r="CJ649" i="5"/>
  <c r="CJ630" i="5" s="1"/>
  <c r="CH649" i="5"/>
  <c r="CH630" i="5" s="1"/>
  <c r="CG649" i="5"/>
  <c r="CG630" i="5" s="1"/>
  <c r="CE649" i="5"/>
  <c r="CE630" i="5" s="1"/>
  <c r="CD649" i="5"/>
  <c r="CD630" i="5" s="1"/>
  <c r="CK648" i="5"/>
  <c r="CK629" i="5" s="1"/>
  <c r="CJ648" i="5"/>
  <c r="CJ629" i="5" s="1"/>
  <c r="CH648" i="5"/>
  <c r="CH629" i="5" s="1"/>
  <c r="CG648" i="5"/>
  <c r="CG629" i="5" s="1"/>
  <c r="CE648" i="5"/>
  <c r="CE629" i="5" s="1"/>
  <c r="CD648" i="5"/>
  <c r="CD629" i="5" s="1"/>
  <c r="CB651" i="5"/>
  <c r="CA651" i="5"/>
  <c r="BY651" i="5"/>
  <c r="BX651" i="5"/>
  <c r="BV651" i="5"/>
  <c r="BU651" i="5"/>
  <c r="CB650" i="5"/>
  <c r="CA650" i="5"/>
  <c r="BY650" i="5"/>
  <c r="BX650" i="5"/>
  <c r="BV650" i="5"/>
  <c r="BU650" i="5"/>
  <c r="CB649" i="5"/>
  <c r="CB630" i="5" s="1"/>
  <c r="CA649" i="5"/>
  <c r="CA630" i="5" s="1"/>
  <c r="BY649" i="5"/>
  <c r="BY630" i="5" s="1"/>
  <c r="BX649" i="5"/>
  <c r="BX630" i="5" s="1"/>
  <c r="BV649" i="5"/>
  <c r="BV630" i="5" s="1"/>
  <c r="BU649" i="5"/>
  <c r="BU630" i="5" s="1"/>
  <c r="CB648" i="5"/>
  <c r="CB629" i="5" s="1"/>
  <c r="CA648" i="5"/>
  <c r="CA629" i="5" s="1"/>
  <c r="BY648" i="5"/>
  <c r="BY629" i="5" s="1"/>
  <c r="BX648" i="5"/>
  <c r="BX629" i="5" s="1"/>
  <c r="BV648" i="5"/>
  <c r="BV629" i="5" s="1"/>
  <c r="BU648" i="5"/>
  <c r="BU629" i="5" s="1"/>
  <c r="BS651" i="5"/>
  <c r="BR651" i="5"/>
  <c r="BP651" i="5"/>
  <c r="BO651" i="5"/>
  <c r="BM651" i="5"/>
  <c r="BL651" i="5"/>
  <c r="BS650" i="5"/>
  <c r="BR650" i="5"/>
  <c r="BP650" i="5"/>
  <c r="BO650" i="5"/>
  <c r="BM650" i="5"/>
  <c r="BL650" i="5"/>
  <c r="BS649" i="5"/>
  <c r="BS630" i="5" s="1"/>
  <c r="BR649" i="5"/>
  <c r="BR630" i="5" s="1"/>
  <c r="BP649" i="5"/>
  <c r="BP630" i="5" s="1"/>
  <c r="BO649" i="5"/>
  <c r="BO630" i="5" s="1"/>
  <c r="BM649" i="5"/>
  <c r="BM630" i="5" s="1"/>
  <c r="BL649" i="5"/>
  <c r="BL630" i="5" s="1"/>
  <c r="BS648" i="5"/>
  <c r="BS629" i="5" s="1"/>
  <c r="BR648" i="5"/>
  <c r="BR629" i="5" s="1"/>
  <c r="BP648" i="5"/>
  <c r="BP629" i="5" s="1"/>
  <c r="BO648" i="5"/>
  <c r="BO629" i="5" s="1"/>
  <c r="BM648" i="5"/>
  <c r="BM629" i="5" s="1"/>
  <c r="BL648" i="5"/>
  <c r="BL629" i="5" s="1"/>
  <c r="BJ651" i="5"/>
  <c r="BI651" i="5"/>
  <c r="BG651" i="5"/>
  <c r="BF651" i="5"/>
  <c r="BD651" i="5"/>
  <c r="BC651" i="5"/>
  <c r="BJ650" i="5"/>
  <c r="BI650" i="5"/>
  <c r="BG650" i="5"/>
  <c r="BF650" i="5"/>
  <c r="BD650" i="5"/>
  <c r="BC650" i="5"/>
  <c r="BJ649" i="5"/>
  <c r="BJ630" i="5" s="1"/>
  <c r="BI649" i="5"/>
  <c r="BI630" i="5" s="1"/>
  <c r="BG649" i="5"/>
  <c r="BG630" i="5" s="1"/>
  <c r="BF649" i="5"/>
  <c r="BF630" i="5" s="1"/>
  <c r="BD649" i="5"/>
  <c r="BD630" i="5" s="1"/>
  <c r="BC649" i="5"/>
  <c r="BC630" i="5" s="1"/>
  <c r="BJ648" i="5"/>
  <c r="BJ629" i="5" s="1"/>
  <c r="BI648" i="5"/>
  <c r="BI629" i="5" s="1"/>
  <c r="BG648" i="5"/>
  <c r="BG629" i="5" s="1"/>
  <c r="BF648" i="5"/>
  <c r="BF629" i="5" s="1"/>
  <c r="BD648" i="5"/>
  <c r="BD629" i="5" s="1"/>
  <c r="BC648" i="5"/>
  <c r="BC629" i="5" s="1"/>
  <c r="BA651" i="5"/>
  <c r="AZ651" i="5"/>
  <c r="AX651" i="5"/>
  <c r="AW651" i="5"/>
  <c r="AU651" i="5"/>
  <c r="AT651" i="5"/>
  <c r="BA650" i="5"/>
  <c r="AZ650" i="5"/>
  <c r="AX650" i="5"/>
  <c r="AW650" i="5"/>
  <c r="AU650" i="5"/>
  <c r="AT650" i="5"/>
  <c r="BA649" i="5"/>
  <c r="BA630" i="5" s="1"/>
  <c r="AZ649" i="5"/>
  <c r="AZ630" i="5" s="1"/>
  <c r="AX649" i="5"/>
  <c r="AX630" i="5" s="1"/>
  <c r="AW649" i="5"/>
  <c r="AW630" i="5" s="1"/>
  <c r="AU649" i="5"/>
  <c r="AU630" i="5" s="1"/>
  <c r="AT649" i="5"/>
  <c r="AT630" i="5" s="1"/>
  <c r="BA648" i="5"/>
  <c r="BA629" i="5" s="1"/>
  <c r="AZ648" i="5"/>
  <c r="AZ629" i="5" s="1"/>
  <c r="AX648" i="5"/>
  <c r="AX629" i="5" s="1"/>
  <c r="AW648" i="5"/>
  <c r="AW629" i="5" s="1"/>
  <c r="AU648" i="5"/>
  <c r="AU629" i="5" s="1"/>
  <c r="AT648" i="5"/>
  <c r="AT629" i="5" s="1"/>
  <c r="AR651" i="5"/>
  <c r="AQ651" i="5"/>
  <c r="AO651" i="5"/>
  <c r="AN651" i="5"/>
  <c r="AL651" i="5"/>
  <c r="AK651" i="5"/>
  <c r="AR650" i="5"/>
  <c r="AQ650" i="5"/>
  <c r="AO650" i="5"/>
  <c r="AN650" i="5"/>
  <c r="AL650" i="5"/>
  <c r="AK650" i="5"/>
  <c r="AR649" i="5"/>
  <c r="AR630" i="5" s="1"/>
  <c r="AQ649" i="5"/>
  <c r="AQ630" i="5" s="1"/>
  <c r="AO649" i="5"/>
  <c r="AO630" i="5" s="1"/>
  <c r="AN649" i="5"/>
  <c r="AN630" i="5" s="1"/>
  <c r="AL649" i="5"/>
  <c r="AL630" i="5" s="1"/>
  <c r="AK649" i="5"/>
  <c r="AK630" i="5" s="1"/>
  <c r="AR648" i="5"/>
  <c r="AR629" i="5" s="1"/>
  <c r="AQ648" i="5"/>
  <c r="AQ629" i="5" s="1"/>
  <c r="AO648" i="5"/>
  <c r="AO629" i="5" s="1"/>
  <c r="AN648" i="5"/>
  <c r="AN629" i="5" s="1"/>
  <c r="AL648" i="5"/>
  <c r="AL629" i="5" s="1"/>
  <c r="AK648" i="5"/>
  <c r="AK629" i="5" s="1"/>
  <c r="AI651" i="5"/>
  <c r="AH651" i="5"/>
  <c r="AF651" i="5"/>
  <c r="AE651" i="5"/>
  <c r="AC651" i="5"/>
  <c r="AB651" i="5"/>
  <c r="AI650" i="5"/>
  <c r="AH650" i="5"/>
  <c r="AF650" i="5"/>
  <c r="AE650" i="5"/>
  <c r="AC650" i="5"/>
  <c r="AB650" i="5"/>
  <c r="AI649" i="5"/>
  <c r="AI630" i="5" s="1"/>
  <c r="AH649" i="5"/>
  <c r="AH630" i="5" s="1"/>
  <c r="AF649" i="5"/>
  <c r="AF630" i="5" s="1"/>
  <c r="AE649" i="5"/>
  <c r="AE630" i="5" s="1"/>
  <c r="AC649" i="5"/>
  <c r="AC630" i="5" s="1"/>
  <c r="AB649" i="5"/>
  <c r="AB630" i="5" s="1"/>
  <c r="AI648" i="5"/>
  <c r="AI629" i="5" s="1"/>
  <c r="AH648" i="5"/>
  <c r="AH629" i="5" s="1"/>
  <c r="AF648" i="5"/>
  <c r="AF629" i="5" s="1"/>
  <c r="AE648" i="5"/>
  <c r="AE629" i="5" s="1"/>
  <c r="AC648" i="5"/>
  <c r="AC629" i="5" s="1"/>
  <c r="AB648" i="5"/>
  <c r="AB629" i="5" s="1"/>
  <c r="Z651" i="5"/>
  <c r="Y651" i="5"/>
  <c r="Z650" i="5"/>
  <c r="Y650" i="5"/>
  <c r="Z649" i="5"/>
  <c r="Z630" i="5" s="1"/>
  <c r="Y649" i="5"/>
  <c r="Y630" i="5" s="1"/>
  <c r="Z648" i="5"/>
  <c r="Z629" i="5" s="1"/>
  <c r="Y648" i="5"/>
  <c r="Y629" i="5" s="1"/>
  <c r="W651" i="5"/>
  <c r="V651" i="5"/>
  <c r="W650" i="5"/>
  <c r="V650" i="5"/>
  <c r="W649" i="5"/>
  <c r="W630" i="5" s="1"/>
  <c r="V649" i="5"/>
  <c r="V630" i="5" s="1"/>
  <c r="W648" i="5"/>
  <c r="W629" i="5" s="1"/>
  <c r="V648" i="5"/>
  <c r="V629" i="5" s="1"/>
  <c r="T651" i="5"/>
  <c r="T650" i="5"/>
  <c r="T649" i="5"/>
  <c r="T630" i="5" s="1"/>
  <c r="T648" i="5"/>
  <c r="T629" i="5" s="1"/>
  <c r="R1274" i="5"/>
  <c r="Q1274" i="5"/>
  <c r="R1273" i="5"/>
  <c r="Q1273" i="5"/>
  <c r="R1277" i="5"/>
  <c r="Q1277" i="5"/>
  <c r="R1276" i="5"/>
  <c r="Q1276" i="5"/>
  <c r="CK1281" i="5"/>
  <c r="CJ1281" i="5"/>
  <c r="CH1281" i="5"/>
  <c r="CG1281" i="5"/>
  <c r="CE1281" i="5"/>
  <c r="CD1281" i="5"/>
  <c r="CB1281" i="5"/>
  <c r="CA1281" i="5"/>
  <c r="BY1281" i="5"/>
  <c r="BX1281" i="5"/>
  <c r="BV1281" i="5"/>
  <c r="BU1281" i="5"/>
  <c r="BS1281" i="5"/>
  <c r="BR1281" i="5"/>
  <c r="BP1281" i="5"/>
  <c r="BO1281" i="5"/>
  <c r="BM1281" i="5"/>
  <c r="BL1281" i="5"/>
  <c r="BJ1281" i="5"/>
  <c r="BI1281" i="5"/>
  <c r="BG1281" i="5"/>
  <c r="BF1281" i="5"/>
  <c r="BD1281" i="5"/>
  <c r="BC1281" i="5"/>
  <c r="BA1281" i="5"/>
  <c r="AZ1281" i="5"/>
  <c r="AX1281" i="5"/>
  <c r="AW1281" i="5"/>
  <c r="AU1281" i="5"/>
  <c r="AT1281" i="5"/>
  <c r="AR1281" i="5"/>
  <c r="AQ1281" i="5"/>
  <c r="AO1281" i="5"/>
  <c r="AN1281" i="5"/>
  <c r="AL1281" i="5"/>
  <c r="AK1281" i="5"/>
  <c r="AI1281" i="5"/>
  <c r="AH1281" i="5"/>
  <c r="AF1281" i="5"/>
  <c r="AE1281" i="5"/>
  <c r="AC1281" i="5"/>
  <c r="AB1281" i="5"/>
  <c r="Z1281" i="5"/>
  <c r="Y1281" i="5"/>
  <c r="W1281" i="5"/>
  <c r="V1281" i="5"/>
  <c r="T1281" i="5"/>
  <c r="S1281" i="5"/>
  <c r="CK1286" i="5"/>
  <c r="CJ1286" i="5"/>
  <c r="CH1286" i="5"/>
  <c r="CG1286" i="5"/>
  <c r="CE1286" i="5"/>
  <c r="CD1286" i="5"/>
  <c r="CB1286" i="5"/>
  <c r="CA1286" i="5"/>
  <c r="BY1286" i="5"/>
  <c r="BX1286" i="5"/>
  <c r="BV1286" i="5"/>
  <c r="BU1286" i="5"/>
  <c r="BS1286" i="5"/>
  <c r="BR1286" i="5"/>
  <c r="BP1286" i="5"/>
  <c r="BO1286" i="5"/>
  <c r="BM1286" i="5"/>
  <c r="BL1286" i="5"/>
  <c r="BJ1286" i="5"/>
  <c r="BI1286" i="5"/>
  <c r="BG1286" i="5"/>
  <c r="BF1286" i="5"/>
  <c r="BD1286" i="5"/>
  <c r="BC1286" i="5"/>
  <c r="BA1286" i="5"/>
  <c r="AZ1286" i="5"/>
  <c r="AX1286" i="5"/>
  <c r="AW1286" i="5"/>
  <c r="AU1286" i="5"/>
  <c r="AT1286" i="5"/>
  <c r="AR1286" i="5"/>
  <c r="AQ1286" i="5"/>
  <c r="AO1286" i="5"/>
  <c r="AN1286" i="5"/>
  <c r="AL1286" i="5"/>
  <c r="AK1286" i="5"/>
  <c r="AI1286" i="5"/>
  <c r="AH1286" i="5"/>
  <c r="AF1286" i="5"/>
  <c r="AE1286" i="5"/>
  <c r="AC1286" i="5"/>
  <c r="AB1286" i="5"/>
  <c r="Z1286" i="5"/>
  <c r="Y1286" i="5"/>
  <c r="W1286" i="5"/>
  <c r="V1286" i="5"/>
  <c r="T1286" i="5"/>
  <c r="S1286" i="5"/>
  <c r="R1285" i="5" l="1"/>
  <c r="Q1285" i="5"/>
  <c r="R1284" i="5"/>
  <c r="Q1284" i="5"/>
  <c r="R1283" i="5"/>
  <c r="Q1283" i="5"/>
  <c r="R1282" i="5"/>
  <c r="Q1282" i="5"/>
  <c r="R1290" i="5"/>
  <c r="Q1290" i="5"/>
  <c r="R1289" i="5"/>
  <c r="Q1289" i="5"/>
  <c r="R1288" i="5"/>
  <c r="Q1288" i="5"/>
  <c r="R1287" i="5"/>
  <c r="Q1287" i="5"/>
  <c r="CK1279" i="5"/>
  <c r="CJ1279" i="5"/>
  <c r="CH1279" i="5"/>
  <c r="CG1279" i="5"/>
  <c r="CE1279" i="5"/>
  <c r="CD1279" i="5"/>
  <c r="CK1278" i="5"/>
  <c r="CJ1278" i="5"/>
  <c r="CH1278" i="5"/>
  <c r="CG1278" i="5"/>
  <c r="CE1278" i="5"/>
  <c r="CD1278" i="5"/>
  <c r="CK1270" i="5"/>
  <c r="CJ1270" i="5"/>
  <c r="CJ1266" i="5" s="1"/>
  <c r="CH1270" i="5"/>
  <c r="CH1266" i="5" s="1"/>
  <c r="CG1270" i="5"/>
  <c r="CG1266" i="5" s="1"/>
  <c r="CE1270" i="5"/>
  <c r="CE1266" i="5" s="1"/>
  <c r="CD1270" i="5"/>
  <c r="CD1266" i="5" s="1"/>
  <c r="CK1269" i="5"/>
  <c r="CK1265" i="5" s="1"/>
  <c r="CJ1269" i="5"/>
  <c r="CJ1265" i="5" s="1"/>
  <c r="CH1269" i="5"/>
  <c r="CH1265" i="5" s="1"/>
  <c r="CG1269" i="5"/>
  <c r="CG1265" i="5" s="1"/>
  <c r="CE1269" i="5"/>
  <c r="CE1265" i="5" s="1"/>
  <c r="CD1269" i="5"/>
  <c r="CD1265" i="5" s="1"/>
  <c r="CK1268" i="5"/>
  <c r="CJ1268" i="5"/>
  <c r="CJ1263" i="5" s="1"/>
  <c r="CH1268" i="5"/>
  <c r="CH1263" i="5" s="1"/>
  <c r="CG1268" i="5"/>
  <c r="CG1263" i="5" s="1"/>
  <c r="CE1268" i="5"/>
  <c r="CE1263" i="5" s="1"/>
  <c r="CD1268" i="5"/>
  <c r="CD1263" i="5" s="1"/>
  <c r="CK1267" i="5"/>
  <c r="CK1262" i="5" s="1"/>
  <c r="CJ1267" i="5"/>
  <c r="CJ1262" i="5" s="1"/>
  <c r="CH1267" i="5"/>
  <c r="CH1262" i="5" s="1"/>
  <c r="CG1267" i="5"/>
  <c r="CG1262" i="5" s="1"/>
  <c r="CE1267" i="5"/>
  <c r="CE1262" i="5" s="1"/>
  <c r="CD1267" i="5"/>
  <c r="CD1262" i="5" s="1"/>
  <c r="CK1266" i="5"/>
  <c r="CK1263" i="5"/>
  <c r="CB1279" i="5"/>
  <c r="CA1279" i="5"/>
  <c r="BY1279" i="5"/>
  <c r="BX1279" i="5"/>
  <c r="BV1279" i="5"/>
  <c r="BU1279" i="5"/>
  <c r="CB1278" i="5"/>
  <c r="CA1278" i="5"/>
  <c r="BY1278" i="5"/>
  <c r="BX1278" i="5"/>
  <c r="BV1278" i="5"/>
  <c r="BU1278" i="5"/>
  <c r="CB1270" i="5"/>
  <c r="CA1270" i="5"/>
  <c r="BY1270" i="5"/>
  <c r="BY1266" i="5" s="1"/>
  <c r="BX1270" i="5"/>
  <c r="BX1266" i="5" s="1"/>
  <c r="BV1270" i="5"/>
  <c r="BV1266" i="5" s="1"/>
  <c r="BU1270" i="5"/>
  <c r="BU1266" i="5" s="1"/>
  <c r="CB1269" i="5"/>
  <c r="CB1265" i="5" s="1"/>
  <c r="CA1269" i="5"/>
  <c r="CA1265" i="5" s="1"/>
  <c r="BY1269" i="5"/>
  <c r="BY1265" i="5" s="1"/>
  <c r="BX1269" i="5"/>
  <c r="BX1265" i="5" s="1"/>
  <c r="BV1269" i="5"/>
  <c r="BV1265" i="5" s="1"/>
  <c r="BU1269" i="5"/>
  <c r="CB1268" i="5"/>
  <c r="CA1268" i="5"/>
  <c r="CA1263" i="5" s="1"/>
  <c r="BY1268" i="5"/>
  <c r="BY1263" i="5" s="1"/>
  <c r="BX1268" i="5"/>
  <c r="BX1263" i="5" s="1"/>
  <c r="BV1268" i="5"/>
  <c r="BV1263" i="5" s="1"/>
  <c r="BU1268" i="5"/>
  <c r="BU1263" i="5" s="1"/>
  <c r="CB1267" i="5"/>
  <c r="CB1262" i="5" s="1"/>
  <c r="CA1267" i="5"/>
  <c r="CA1262" i="5" s="1"/>
  <c r="BY1267" i="5"/>
  <c r="BY1262" i="5" s="1"/>
  <c r="BX1267" i="5"/>
  <c r="BX1262" i="5" s="1"/>
  <c r="BV1267" i="5"/>
  <c r="BV1262" i="5" s="1"/>
  <c r="BU1267" i="5"/>
  <c r="BU1262" i="5" s="1"/>
  <c r="CB1266" i="5"/>
  <c r="CA1266" i="5"/>
  <c r="BU1265" i="5"/>
  <c r="CB1263" i="5"/>
  <c r="BS1279" i="5"/>
  <c r="BR1279" i="5"/>
  <c r="BP1279" i="5"/>
  <c r="BO1279" i="5"/>
  <c r="BM1279" i="5"/>
  <c r="BL1279" i="5"/>
  <c r="BS1278" i="5"/>
  <c r="BR1278" i="5"/>
  <c r="BP1278" i="5"/>
  <c r="BO1278" i="5"/>
  <c r="BM1278" i="5"/>
  <c r="BL1278" i="5"/>
  <c r="BS1270" i="5"/>
  <c r="BS1266" i="5" s="1"/>
  <c r="BR1270" i="5"/>
  <c r="BR1266" i="5" s="1"/>
  <c r="BP1270" i="5"/>
  <c r="BP1266" i="5" s="1"/>
  <c r="BO1270" i="5"/>
  <c r="BM1270" i="5"/>
  <c r="BM1266" i="5" s="1"/>
  <c r="BL1270" i="5"/>
  <c r="BL1266" i="5" s="1"/>
  <c r="BS1269" i="5"/>
  <c r="BS1265" i="5" s="1"/>
  <c r="BR1269" i="5"/>
  <c r="BR1265" i="5" s="1"/>
  <c r="BP1269" i="5"/>
  <c r="BP1265" i="5" s="1"/>
  <c r="BO1269" i="5"/>
  <c r="BO1265" i="5" s="1"/>
  <c r="BM1269" i="5"/>
  <c r="BM1265" i="5" s="1"/>
  <c r="BL1269" i="5"/>
  <c r="BL1265" i="5" s="1"/>
  <c r="BS1268" i="5"/>
  <c r="BS1263" i="5" s="1"/>
  <c r="BR1268" i="5"/>
  <c r="BR1263" i="5" s="1"/>
  <c r="BP1268" i="5"/>
  <c r="BP1263" i="5" s="1"/>
  <c r="BO1268" i="5"/>
  <c r="BO1263" i="5" s="1"/>
  <c r="BM1268" i="5"/>
  <c r="BM1263" i="5" s="1"/>
  <c r="BL1268" i="5"/>
  <c r="BL1263" i="5" s="1"/>
  <c r="BS1267" i="5"/>
  <c r="BS1262" i="5" s="1"/>
  <c r="BR1267" i="5"/>
  <c r="BR1262" i="5" s="1"/>
  <c r="BP1267" i="5"/>
  <c r="BP1262" i="5" s="1"/>
  <c r="BO1267" i="5"/>
  <c r="BO1262" i="5" s="1"/>
  <c r="BM1267" i="5"/>
  <c r="BM1262" i="5" s="1"/>
  <c r="BL1267" i="5"/>
  <c r="BL1262" i="5" s="1"/>
  <c r="BO1266" i="5"/>
  <c r="BJ1279" i="5"/>
  <c r="BI1279" i="5"/>
  <c r="BG1279" i="5"/>
  <c r="BF1279" i="5"/>
  <c r="BD1279" i="5"/>
  <c r="BC1279" i="5"/>
  <c r="BJ1278" i="5"/>
  <c r="BI1278" i="5"/>
  <c r="BG1278" i="5"/>
  <c r="BF1278" i="5"/>
  <c r="BD1278" i="5"/>
  <c r="BC1278" i="5"/>
  <c r="BJ1270" i="5"/>
  <c r="BI1270" i="5"/>
  <c r="BG1270" i="5"/>
  <c r="BG1266" i="5" s="1"/>
  <c r="BF1270" i="5"/>
  <c r="BF1266" i="5" s="1"/>
  <c r="BD1270" i="5"/>
  <c r="BD1266" i="5" s="1"/>
  <c r="BC1270" i="5"/>
  <c r="BJ1269" i="5"/>
  <c r="BJ1265" i="5" s="1"/>
  <c r="BI1269" i="5"/>
  <c r="BI1265" i="5" s="1"/>
  <c r="BG1269" i="5"/>
  <c r="BG1265" i="5" s="1"/>
  <c r="BF1269" i="5"/>
  <c r="BD1269" i="5"/>
  <c r="BD1265" i="5" s="1"/>
  <c r="BC1269" i="5"/>
  <c r="BC1265" i="5" s="1"/>
  <c r="BJ1268" i="5"/>
  <c r="BJ1263" i="5" s="1"/>
  <c r="BI1268" i="5"/>
  <c r="BI1263" i="5" s="1"/>
  <c r="BG1268" i="5"/>
  <c r="BG1263" i="5" s="1"/>
  <c r="BF1268" i="5"/>
  <c r="BF1263" i="5" s="1"/>
  <c r="BD1268" i="5"/>
  <c r="BD1263" i="5" s="1"/>
  <c r="BC1268" i="5"/>
  <c r="BC1263" i="5" s="1"/>
  <c r="BJ1267" i="5"/>
  <c r="BJ1262" i="5" s="1"/>
  <c r="BI1267" i="5"/>
  <c r="BI1262" i="5" s="1"/>
  <c r="BG1267" i="5"/>
  <c r="BG1262" i="5" s="1"/>
  <c r="BF1267" i="5"/>
  <c r="BF1262" i="5" s="1"/>
  <c r="BD1267" i="5"/>
  <c r="BD1262" i="5" s="1"/>
  <c r="BC1267" i="5"/>
  <c r="BC1262" i="5" s="1"/>
  <c r="BJ1266" i="5"/>
  <c r="BI1266" i="5"/>
  <c r="BC1266" i="5"/>
  <c r="BF1265" i="5"/>
  <c r="BA1279" i="5"/>
  <c r="AZ1279" i="5"/>
  <c r="AX1279" i="5"/>
  <c r="AW1279" i="5"/>
  <c r="AU1279" i="5"/>
  <c r="AT1279" i="5"/>
  <c r="BA1278" i="5"/>
  <c r="AZ1278" i="5"/>
  <c r="AX1278" i="5"/>
  <c r="AW1278" i="5"/>
  <c r="AU1278" i="5"/>
  <c r="AT1278" i="5"/>
  <c r="BA1270" i="5"/>
  <c r="AZ1270" i="5"/>
  <c r="AX1270" i="5"/>
  <c r="AW1270" i="5"/>
  <c r="AU1270" i="5"/>
  <c r="AT1270" i="5"/>
  <c r="BA1269" i="5"/>
  <c r="AZ1269" i="5"/>
  <c r="AX1269" i="5"/>
  <c r="AX1265" i="5" s="1"/>
  <c r="AW1269" i="5"/>
  <c r="AW1265" i="5" s="1"/>
  <c r="AU1269" i="5"/>
  <c r="AU1265" i="5" s="1"/>
  <c r="AT1269" i="5"/>
  <c r="AT1265" i="5" s="1"/>
  <c r="BA1268" i="5"/>
  <c r="BA1263" i="5" s="1"/>
  <c r="AZ1268" i="5"/>
  <c r="AZ1263" i="5" s="1"/>
  <c r="AX1268" i="5"/>
  <c r="AX1263" i="5" s="1"/>
  <c r="AW1268" i="5"/>
  <c r="AW1263" i="5" s="1"/>
  <c r="AU1268" i="5"/>
  <c r="AU1263" i="5" s="1"/>
  <c r="AT1268" i="5"/>
  <c r="AT1263" i="5" s="1"/>
  <c r="BA1267" i="5"/>
  <c r="BA1262" i="5" s="1"/>
  <c r="AZ1267" i="5"/>
  <c r="AZ1262" i="5" s="1"/>
  <c r="AX1267" i="5"/>
  <c r="AX1262" i="5" s="1"/>
  <c r="AW1267" i="5"/>
  <c r="AW1262" i="5" s="1"/>
  <c r="AU1267" i="5"/>
  <c r="AU1262" i="5" s="1"/>
  <c r="AT1267" i="5"/>
  <c r="AT1262" i="5" s="1"/>
  <c r="BA1266" i="5"/>
  <c r="AZ1266" i="5"/>
  <c r="AX1266" i="5"/>
  <c r="AW1266" i="5"/>
  <c r="AU1266" i="5"/>
  <c r="AT1266" i="5"/>
  <c r="BA1265" i="5"/>
  <c r="AZ1265" i="5"/>
  <c r="AR1279" i="5"/>
  <c r="AQ1279" i="5"/>
  <c r="AO1279" i="5"/>
  <c r="AN1279" i="5"/>
  <c r="AL1279" i="5"/>
  <c r="AK1279" i="5"/>
  <c r="AR1278" i="5"/>
  <c r="AQ1278" i="5"/>
  <c r="AO1278" i="5"/>
  <c r="AN1278" i="5"/>
  <c r="AL1278" i="5"/>
  <c r="AK1278" i="5"/>
  <c r="AR1270" i="5"/>
  <c r="AR1266" i="5" s="1"/>
  <c r="AQ1270" i="5"/>
  <c r="AQ1266" i="5" s="1"/>
  <c r="AO1270" i="5"/>
  <c r="AO1266" i="5" s="1"/>
  <c r="AN1270" i="5"/>
  <c r="AN1266" i="5" s="1"/>
  <c r="AL1270" i="5"/>
  <c r="AK1270" i="5"/>
  <c r="AK1266" i="5" s="1"/>
  <c r="AR1269" i="5"/>
  <c r="AR1265" i="5" s="1"/>
  <c r="AQ1269" i="5"/>
  <c r="AQ1265" i="5" s="1"/>
  <c r="AO1269" i="5"/>
  <c r="AO1265" i="5" s="1"/>
  <c r="AN1269" i="5"/>
  <c r="AN1265" i="5" s="1"/>
  <c r="AL1269" i="5"/>
  <c r="AL1265" i="5" s="1"/>
  <c r="AK1269" i="5"/>
  <c r="AK1265" i="5" s="1"/>
  <c r="AR1268" i="5"/>
  <c r="AR1263" i="5" s="1"/>
  <c r="AQ1268" i="5"/>
  <c r="AQ1263" i="5" s="1"/>
  <c r="AO1268" i="5"/>
  <c r="AO1263" i="5" s="1"/>
  <c r="AN1268" i="5"/>
  <c r="AN1263" i="5" s="1"/>
  <c r="AL1268" i="5"/>
  <c r="AL1263" i="5" s="1"/>
  <c r="AK1268" i="5"/>
  <c r="AK1263" i="5" s="1"/>
  <c r="AR1267" i="5"/>
  <c r="AR1262" i="5" s="1"/>
  <c r="AQ1267" i="5"/>
  <c r="AQ1262" i="5" s="1"/>
  <c r="AO1267" i="5"/>
  <c r="AO1262" i="5" s="1"/>
  <c r="AN1267" i="5"/>
  <c r="AN1262" i="5" s="1"/>
  <c r="AL1267" i="5"/>
  <c r="AL1262" i="5" s="1"/>
  <c r="AK1267" i="5"/>
  <c r="AK1262" i="5" s="1"/>
  <c r="AL1266" i="5"/>
  <c r="AI1279" i="5"/>
  <c r="AH1279" i="5"/>
  <c r="AF1279" i="5"/>
  <c r="AE1279" i="5"/>
  <c r="AC1279" i="5"/>
  <c r="AB1279" i="5"/>
  <c r="AI1278" i="5"/>
  <c r="AH1278" i="5"/>
  <c r="AF1278" i="5"/>
  <c r="AE1278" i="5"/>
  <c r="AC1278" i="5"/>
  <c r="AB1278" i="5"/>
  <c r="AI1270" i="5"/>
  <c r="AH1270" i="5"/>
  <c r="AF1270" i="5"/>
  <c r="AE1270" i="5"/>
  <c r="AE1266" i="5" s="1"/>
  <c r="AC1270" i="5"/>
  <c r="AB1270" i="5"/>
  <c r="AI1269" i="5"/>
  <c r="AI1265" i="5" s="1"/>
  <c r="AH1269" i="5"/>
  <c r="AF1269" i="5"/>
  <c r="AE1269" i="5"/>
  <c r="AC1269" i="5"/>
  <c r="AC1265" i="5" s="1"/>
  <c r="AB1269" i="5"/>
  <c r="AB1265" i="5" s="1"/>
  <c r="AI1268" i="5"/>
  <c r="AI1263" i="5" s="1"/>
  <c r="AH1268" i="5"/>
  <c r="AH1263" i="5" s="1"/>
  <c r="AF1268" i="5"/>
  <c r="AF1263" i="5" s="1"/>
  <c r="AE1268" i="5"/>
  <c r="AE1263" i="5" s="1"/>
  <c r="AC1268" i="5"/>
  <c r="AC1263" i="5" s="1"/>
  <c r="AB1268" i="5"/>
  <c r="AB1263" i="5" s="1"/>
  <c r="AI1267" i="5"/>
  <c r="AI1262" i="5" s="1"/>
  <c r="AH1267" i="5"/>
  <c r="AH1262" i="5" s="1"/>
  <c r="AF1267" i="5"/>
  <c r="AF1262" i="5" s="1"/>
  <c r="AE1267" i="5"/>
  <c r="AE1262" i="5" s="1"/>
  <c r="AC1267" i="5"/>
  <c r="AC1262" i="5" s="1"/>
  <c r="AB1267" i="5"/>
  <c r="AB1262" i="5" s="1"/>
  <c r="AI1266" i="5"/>
  <c r="AH1266" i="5"/>
  <c r="AF1266" i="5"/>
  <c r="AC1266" i="5"/>
  <c r="AB1266" i="5"/>
  <c r="AH1265" i="5"/>
  <c r="AF1265" i="5"/>
  <c r="AE1265" i="5"/>
  <c r="Z1279" i="5"/>
  <c r="Y1279" i="5"/>
  <c r="Z1278" i="5"/>
  <c r="Y1278" i="5"/>
  <c r="W1279" i="5"/>
  <c r="V1279" i="5"/>
  <c r="W1278" i="5"/>
  <c r="V1278" i="5"/>
  <c r="T1279" i="5"/>
  <c r="S1279" i="5"/>
  <c r="T1278" i="5"/>
  <c r="S1278" i="5"/>
  <c r="Z1270" i="5"/>
  <c r="Z1266" i="5" s="1"/>
  <c r="Y1270" i="5"/>
  <c r="Y1266" i="5" s="1"/>
  <c r="Z1269" i="5"/>
  <c r="Z1265" i="5" s="1"/>
  <c r="Y1269" i="5"/>
  <c r="Y1265" i="5" s="1"/>
  <c r="Z1268" i="5"/>
  <c r="Z1263" i="5" s="1"/>
  <c r="Y1268" i="5"/>
  <c r="Y1263" i="5" s="1"/>
  <c r="Z1267" i="5"/>
  <c r="Z1262" i="5" s="1"/>
  <c r="Y1267" i="5"/>
  <c r="Y1262" i="5" s="1"/>
  <c r="W1270" i="5"/>
  <c r="V1270" i="5"/>
  <c r="W1269" i="5"/>
  <c r="V1269" i="5"/>
  <c r="W1268" i="5"/>
  <c r="V1268" i="5"/>
  <c r="W1267" i="5"/>
  <c r="W1262" i="5" s="1"/>
  <c r="V1267" i="5"/>
  <c r="V1262" i="5" s="1"/>
  <c r="W1266" i="5"/>
  <c r="V1266" i="5"/>
  <c r="W1265" i="5"/>
  <c r="V1265" i="5"/>
  <c r="W1263" i="5"/>
  <c r="V1263" i="5"/>
  <c r="T1270" i="5"/>
  <c r="T1266" i="5" s="1"/>
  <c r="S1270" i="5"/>
  <c r="S1266" i="5" s="1"/>
  <c r="T1269" i="5"/>
  <c r="T1265" i="5" s="1"/>
  <c r="S1269" i="5"/>
  <c r="S1265" i="5" s="1"/>
  <c r="T1268" i="5"/>
  <c r="T1263" i="5" s="1"/>
  <c r="S1268" i="5"/>
  <c r="S1263" i="5" s="1"/>
  <c r="T1267" i="5"/>
  <c r="T1262" i="5" s="1"/>
  <c r="S1267" i="5"/>
  <c r="S1262" i="5" s="1"/>
  <c r="R1270" i="5"/>
  <c r="Q1270" i="5"/>
  <c r="R1269" i="5"/>
  <c r="Q1269" i="5"/>
  <c r="R1268" i="5"/>
  <c r="Q1268" i="5"/>
  <c r="R1267" i="5"/>
  <c r="Q1267" i="5"/>
  <c r="R644" i="5"/>
  <c r="R639" i="5" s="1"/>
  <c r="Q644" i="5"/>
  <c r="Q639" i="5" s="1"/>
  <c r="R643" i="5"/>
  <c r="R638" i="5" s="1"/>
  <c r="Q643" i="5"/>
  <c r="Q638" i="5" s="1"/>
  <c r="R647" i="5"/>
  <c r="R641" i="5" s="1"/>
  <c r="Q647" i="5"/>
  <c r="Q641" i="5" s="1"/>
  <c r="R646" i="5"/>
  <c r="R640" i="5" s="1"/>
  <c r="Q646" i="5"/>
  <c r="Q640" i="5" s="1"/>
  <c r="R654" i="5"/>
  <c r="R649" i="5" s="1"/>
  <c r="Q654" i="5"/>
  <c r="Q649" i="5" s="1"/>
  <c r="R648" i="5"/>
  <c r="Q653" i="5"/>
  <c r="Q648" i="5" s="1"/>
  <c r="R657" i="5"/>
  <c r="R651" i="5" s="1"/>
  <c r="Q657" i="5"/>
  <c r="Q651" i="5" s="1"/>
  <c r="R656" i="5"/>
  <c r="Q656" i="5"/>
  <c r="R667" i="5"/>
  <c r="Q667" i="5"/>
  <c r="R666" i="5"/>
  <c r="Q666" i="5"/>
  <c r="R665" i="5"/>
  <c r="Q665" i="5"/>
  <c r="R664" i="5"/>
  <c r="Q664" i="5"/>
  <c r="R670" i="5"/>
  <c r="Q670" i="5"/>
  <c r="R672" i="5"/>
  <c r="Q672" i="5"/>
  <c r="R671" i="5"/>
  <c r="Q671" i="5"/>
  <c r="CK641" i="5"/>
  <c r="CJ641" i="5"/>
  <c r="CH641" i="5"/>
  <c r="CG641" i="5"/>
  <c r="CE641" i="5"/>
  <c r="CD641" i="5"/>
  <c r="CK640" i="5"/>
  <c r="CJ640" i="5"/>
  <c r="CH640" i="5"/>
  <c r="CG640" i="5"/>
  <c r="CE640" i="5"/>
  <c r="CD640" i="5"/>
  <c r="CK639" i="5"/>
  <c r="CK626" i="5" s="1"/>
  <c r="CJ639" i="5"/>
  <c r="CJ626" i="5" s="1"/>
  <c r="CH639" i="5"/>
  <c r="CH626" i="5" s="1"/>
  <c r="CG639" i="5"/>
  <c r="CG626" i="5" s="1"/>
  <c r="CE639" i="5"/>
  <c r="CE626" i="5" s="1"/>
  <c r="CD639" i="5"/>
  <c r="CD626" i="5" s="1"/>
  <c r="CK638" i="5"/>
  <c r="CK625" i="5" s="1"/>
  <c r="CJ638" i="5"/>
  <c r="CJ625" i="5" s="1"/>
  <c r="CH638" i="5"/>
  <c r="CH625" i="5" s="1"/>
  <c r="CG638" i="5"/>
  <c r="CG625" i="5" s="1"/>
  <c r="CE638" i="5"/>
  <c r="CE625" i="5" s="1"/>
  <c r="CD638" i="5"/>
  <c r="CD625" i="5" s="1"/>
  <c r="CB641" i="5"/>
  <c r="CA641" i="5"/>
  <c r="BY641" i="5"/>
  <c r="BX641" i="5"/>
  <c r="BV641" i="5"/>
  <c r="BU641" i="5"/>
  <c r="CB640" i="5"/>
  <c r="CA640" i="5"/>
  <c r="BY640" i="5"/>
  <c r="BX640" i="5"/>
  <c r="BV640" i="5"/>
  <c r="BU640" i="5"/>
  <c r="CB639" i="5"/>
  <c r="CB626" i="5" s="1"/>
  <c r="CA639" i="5"/>
  <c r="CA626" i="5" s="1"/>
  <c r="BY639" i="5"/>
  <c r="BY626" i="5" s="1"/>
  <c r="BX639" i="5"/>
  <c r="BX626" i="5" s="1"/>
  <c r="BV639" i="5"/>
  <c r="BV626" i="5" s="1"/>
  <c r="BU639" i="5"/>
  <c r="BU626" i="5" s="1"/>
  <c r="CB638" i="5"/>
  <c r="CB625" i="5" s="1"/>
  <c r="CA638" i="5"/>
  <c r="CA625" i="5" s="1"/>
  <c r="BY638" i="5"/>
  <c r="BY625" i="5" s="1"/>
  <c r="BX638" i="5"/>
  <c r="BX625" i="5" s="1"/>
  <c r="BV638" i="5"/>
  <c r="BV625" i="5" s="1"/>
  <c r="BU638" i="5"/>
  <c r="BU625" i="5" s="1"/>
  <c r="BS641" i="5"/>
  <c r="BR641" i="5"/>
  <c r="BP641" i="5"/>
  <c r="BO641" i="5"/>
  <c r="BM641" i="5"/>
  <c r="BL641" i="5"/>
  <c r="BS640" i="5"/>
  <c r="BR640" i="5"/>
  <c r="BP640" i="5"/>
  <c r="BO640" i="5"/>
  <c r="BM640" i="5"/>
  <c r="BL640" i="5"/>
  <c r="BS639" i="5"/>
  <c r="BS626" i="5" s="1"/>
  <c r="BR639" i="5"/>
  <c r="BR626" i="5" s="1"/>
  <c r="BP639" i="5"/>
  <c r="BP626" i="5" s="1"/>
  <c r="BO639" i="5"/>
  <c r="BO626" i="5" s="1"/>
  <c r="BM639" i="5"/>
  <c r="BM626" i="5" s="1"/>
  <c r="BL639" i="5"/>
  <c r="BL626" i="5" s="1"/>
  <c r="BS638" i="5"/>
  <c r="BS625" i="5" s="1"/>
  <c r="BR638" i="5"/>
  <c r="BR625" i="5" s="1"/>
  <c r="BP638" i="5"/>
  <c r="BP625" i="5" s="1"/>
  <c r="BO638" i="5"/>
  <c r="BO625" i="5" s="1"/>
  <c r="BM638" i="5"/>
  <c r="BM625" i="5" s="1"/>
  <c r="BL638" i="5"/>
  <c r="BL625" i="5" s="1"/>
  <c r="BJ641" i="5"/>
  <c r="BI641" i="5"/>
  <c r="BG641" i="5"/>
  <c r="BF641" i="5"/>
  <c r="BD641" i="5"/>
  <c r="BC641" i="5"/>
  <c r="BJ640" i="5"/>
  <c r="BI640" i="5"/>
  <c r="BG640" i="5"/>
  <c r="BF640" i="5"/>
  <c r="BD640" i="5"/>
  <c r="BC640" i="5"/>
  <c r="BJ639" i="5"/>
  <c r="BJ626" i="5" s="1"/>
  <c r="BI639" i="5"/>
  <c r="BI626" i="5" s="1"/>
  <c r="BG639" i="5"/>
  <c r="BG626" i="5" s="1"/>
  <c r="BF639" i="5"/>
  <c r="BF626" i="5" s="1"/>
  <c r="BD639" i="5"/>
  <c r="BD626" i="5" s="1"/>
  <c r="BC639" i="5"/>
  <c r="BC626" i="5" s="1"/>
  <c r="BJ638" i="5"/>
  <c r="BJ625" i="5" s="1"/>
  <c r="BI638" i="5"/>
  <c r="BI625" i="5" s="1"/>
  <c r="BG638" i="5"/>
  <c r="BG625" i="5" s="1"/>
  <c r="BF638" i="5"/>
  <c r="BF625" i="5" s="1"/>
  <c r="BD638" i="5"/>
  <c r="BD625" i="5" s="1"/>
  <c r="BC638" i="5"/>
  <c r="BC625" i="5" s="1"/>
  <c r="BA641" i="5"/>
  <c r="AZ641" i="5"/>
  <c r="AX641" i="5"/>
  <c r="AW641" i="5"/>
  <c r="AU641" i="5"/>
  <c r="AT641" i="5"/>
  <c r="BA640" i="5"/>
  <c r="AZ640" i="5"/>
  <c r="AX640" i="5"/>
  <c r="AW640" i="5"/>
  <c r="AU640" i="5"/>
  <c r="AT640" i="5"/>
  <c r="BA639" i="5"/>
  <c r="BA626" i="5" s="1"/>
  <c r="AZ639" i="5"/>
  <c r="AZ626" i="5" s="1"/>
  <c r="AX639" i="5"/>
  <c r="AX626" i="5" s="1"/>
  <c r="AW639" i="5"/>
  <c r="AW626" i="5" s="1"/>
  <c r="AU639" i="5"/>
  <c r="AU626" i="5" s="1"/>
  <c r="AT639" i="5"/>
  <c r="AT626" i="5" s="1"/>
  <c r="BA638" i="5"/>
  <c r="BA625" i="5" s="1"/>
  <c r="AZ638" i="5"/>
  <c r="AZ625" i="5" s="1"/>
  <c r="AX638" i="5"/>
  <c r="AX625" i="5" s="1"/>
  <c r="AW638" i="5"/>
  <c r="AW625" i="5" s="1"/>
  <c r="AU638" i="5"/>
  <c r="AU625" i="5" s="1"/>
  <c r="AT638" i="5"/>
  <c r="AT625" i="5" s="1"/>
  <c r="AR641" i="5"/>
  <c r="AQ641" i="5"/>
  <c r="AO641" i="5"/>
  <c r="AN641" i="5"/>
  <c r="AL641" i="5"/>
  <c r="AK641" i="5"/>
  <c r="AR640" i="5"/>
  <c r="AQ640" i="5"/>
  <c r="AO640" i="5"/>
  <c r="AN640" i="5"/>
  <c r="AL640" i="5"/>
  <c r="AK640" i="5"/>
  <c r="AR639" i="5"/>
  <c r="AR626" i="5" s="1"/>
  <c r="AQ639" i="5"/>
  <c r="AQ626" i="5" s="1"/>
  <c r="AO639" i="5"/>
  <c r="AO626" i="5" s="1"/>
  <c r="AN639" i="5"/>
  <c r="AN626" i="5" s="1"/>
  <c r="AL639" i="5"/>
  <c r="AL626" i="5" s="1"/>
  <c r="AK639" i="5"/>
  <c r="AK626" i="5" s="1"/>
  <c r="AR638" i="5"/>
  <c r="AR625" i="5" s="1"/>
  <c r="AQ638" i="5"/>
  <c r="AQ625" i="5" s="1"/>
  <c r="AO638" i="5"/>
  <c r="AO625" i="5" s="1"/>
  <c r="AN638" i="5"/>
  <c r="AN625" i="5" s="1"/>
  <c r="AL638" i="5"/>
  <c r="AL625" i="5" s="1"/>
  <c r="AK638" i="5"/>
  <c r="AK625" i="5" s="1"/>
  <c r="AI641" i="5"/>
  <c r="AH641" i="5"/>
  <c r="AF641" i="5"/>
  <c r="AE641" i="5"/>
  <c r="AC641" i="5"/>
  <c r="AB641" i="5"/>
  <c r="AI640" i="5"/>
  <c r="AH640" i="5"/>
  <c r="AF640" i="5"/>
  <c r="AE640" i="5"/>
  <c r="AC640" i="5"/>
  <c r="AB640" i="5"/>
  <c r="AI639" i="5"/>
  <c r="AI626" i="5" s="1"/>
  <c r="AH639" i="5"/>
  <c r="AH626" i="5" s="1"/>
  <c r="AF639" i="5"/>
  <c r="AF626" i="5" s="1"/>
  <c r="AE639" i="5"/>
  <c r="AE626" i="5" s="1"/>
  <c r="AC639" i="5"/>
  <c r="AC626" i="5" s="1"/>
  <c r="AB639" i="5"/>
  <c r="AB626" i="5" s="1"/>
  <c r="AI638" i="5"/>
  <c r="AI625" i="5" s="1"/>
  <c r="AH638" i="5"/>
  <c r="AH625" i="5" s="1"/>
  <c r="AF638" i="5"/>
  <c r="AF625" i="5" s="1"/>
  <c r="AE638" i="5"/>
  <c r="AE625" i="5" s="1"/>
  <c r="AC638" i="5"/>
  <c r="AC625" i="5" s="1"/>
  <c r="AB638" i="5"/>
  <c r="AB625" i="5" s="1"/>
  <c r="Z641" i="5"/>
  <c r="Y641" i="5"/>
  <c r="Z640" i="5"/>
  <c r="Y640" i="5"/>
  <c r="Z639" i="5"/>
  <c r="Z626" i="5" s="1"/>
  <c r="Y639" i="5"/>
  <c r="Y626" i="5" s="1"/>
  <c r="Z638" i="5"/>
  <c r="Z625" i="5" s="1"/>
  <c r="Y638" i="5"/>
  <c r="Y625" i="5" s="1"/>
  <c r="W641" i="5"/>
  <c r="V641" i="5"/>
  <c r="W640" i="5"/>
  <c r="V640" i="5"/>
  <c r="W639" i="5"/>
  <c r="W626" i="5" s="1"/>
  <c r="V639" i="5"/>
  <c r="V626" i="5" s="1"/>
  <c r="W638" i="5"/>
  <c r="W625" i="5" s="1"/>
  <c r="V638" i="5"/>
  <c r="V625" i="5" s="1"/>
  <c r="T641" i="5"/>
  <c r="S641" i="5"/>
  <c r="T640" i="5"/>
  <c r="S640" i="5"/>
  <c r="T639" i="5"/>
  <c r="T626" i="5" s="1"/>
  <c r="S639" i="5"/>
  <c r="S626" i="5" s="1"/>
  <c r="T638" i="5"/>
  <c r="T625" i="5" s="1"/>
  <c r="S638" i="5"/>
  <c r="S625" i="5" s="1"/>
  <c r="S651" i="5"/>
  <c r="S650" i="5"/>
  <c r="S649" i="5"/>
  <c r="S630" i="5" s="1"/>
  <c r="S648" i="5"/>
  <c r="S629" i="5" s="1"/>
  <c r="H652" i="5"/>
  <c r="H651" i="5"/>
  <c r="H650" i="5"/>
  <c r="H649" i="5"/>
  <c r="H648" i="5"/>
  <c r="CK663" i="5"/>
  <c r="CK660" i="5" s="1"/>
  <c r="CJ663" i="5"/>
  <c r="CJ660" i="5" s="1"/>
  <c r="CE663" i="5"/>
  <c r="CE660" i="5" s="1"/>
  <c r="CD663" i="5"/>
  <c r="CD660" i="5" s="1"/>
  <c r="CH663" i="5"/>
  <c r="CH660" i="5" s="1"/>
  <c r="CG663" i="5"/>
  <c r="CG660" i="5" s="1"/>
  <c r="CK661" i="5"/>
  <c r="CJ661" i="5"/>
  <c r="CH661" i="5"/>
  <c r="CG661" i="5"/>
  <c r="CE661" i="5"/>
  <c r="CD661" i="5"/>
  <c r="BX663" i="5"/>
  <c r="BX660" i="5" s="1"/>
  <c r="CB663" i="5"/>
  <c r="CB660" i="5" s="1"/>
  <c r="CA663" i="5"/>
  <c r="CA660" i="5" s="1"/>
  <c r="BY663" i="5"/>
  <c r="BY660" i="5" s="1"/>
  <c r="BV663" i="5"/>
  <c r="BV660" i="5" s="1"/>
  <c r="BU663" i="5"/>
  <c r="BU660" i="5" s="1"/>
  <c r="CB661" i="5"/>
  <c r="CA661" i="5"/>
  <c r="BY661" i="5"/>
  <c r="BX661" i="5"/>
  <c r="BV661" i="5"/>
  <c r="BU661" i="5"/>
  <c r="BP663" i="5"/>
  <c r="BP660" i="5" s="1"/>
  <c r="BL663" i="5"/>
  <c r="BL660" i="5" s="1"/>
  <c r="BS663" i="5"/>
  <c r="BS660" i="5" s="1"/>
  <c r="BR663" i="5"/>
  <c r="BR660" i="5" s="1"/>
  <c r="BO663" i="5"/>
  <c r="BO660" i="5" s="1"/>
  <c r="BM663" i="5"/>
  <c r="BM660" i="5" s="1"/>
  <c r="BS661" i="5"/>
  <c r="BR661" i="5"/>
  <c r="BP661" i="5"/>
  <c r="BO661" i="5"/>
  <c r="BM661" i="5"/>
  <c r="BL661" i="5"/>
  <c r="BJ663" i="5"/>
  <c r="BJ660" i="5" s="1"/>
  <c r="BI663" i="5"/>
  <c r="BI660" i="5" s="1"/>
  <c r="BD663" i="5"/>
  <c r="BD660" i="5" s="1"/>
  <c r="BC663" i="5"/>
  <c r="BC660" i="5" s="1"/>
  <c r="BG663" i="5"/>
  <c r="BG660" i="5" s="1"/>
  <c r="BF663" i="5"/>
  <c r="BF660" i="5" s="1"/>
  <c r="BJ661" i="5"/>
  <c r="BI661" i="5"/>
  <c r="BG661" i="5"/>
  <c r="BF661" i="5"/>
  <c r="BD661" i="5"/>
  <c r="BC661" i="5"/>
  <c r="BA663" i="5"/>
  <c r="BA660" i="5" s="1"/>
  <c r="AZ663" i="5"/>
  <c r="AZ660" i="5" s="1"/>
  <c r="AX663" i="5"/>
  <c r="AX660" i="5" s="1"/>
  <c r="AW663" i="5"/>
  <c r="AW660" i="5" s="1"/>
  <c r="AU663" i="5"/>
  <c r="AU660" i="5" s="1"/>
  <c r="AT663" i="5"/>
  <c r="AT660" i="5" s="1"/>
  <c r="BA661" i="5"/>
  <c r="AZ661" i="5"/>
  <c r="AX661" i="5"/>
  <c r="AW661" i="5"/>
  <c r="AU661" i="5"/>
  <c r="AT661" i="5"/>
  <c r="AQ663" i="5"/>
  <c r="AQ660" i="5" s="1"/>
  <c r="AR663" i="5"/>
  <c r="AR660" i="5" s="1"/>
  <c r="AO663" i="5"/>
  <c r="AO660" i="5" s="1"/>
  <c r="AN663" i="5"/>
  <c r="AN660" i="5" s="1"/>
  <c r="AL663" i="5"/>
  <c r="AL660" i="5" s="1"/>
  <c r="AK663" i="5"/>
  <c r="AK660" i="5" s="1"/>
  <c r="AR661" i="5"/>
  <c r="AQ661" i="5"/>
  <c r="AO661" i="5"/>
  <c r="AN661" i="5"/>
  <c r="AL661" i="5"/>
  <c r="AK661" i="5"/>
  <c r="AI663" i="5"/>
  <c r="AI660" i="5" s="1"/>
  <c r="AC663" i="5"/>
  <c r="AC660" i="5" s="1"/>
  <c r="AH663" i="5"/>
  <c r="AH660" i="5" s="1"/>
  <c r="AF663" i="5"/>
  <c r="AF660" i="5" s="1"/>
  <c r="AE663" i="5"/>
  <c r="AE660" i="5" s="1"/>
  <c r="AB663" i="5"/>
  <c r="AB660" i="5" s="1"/>
  <c r="AI661" i="5"/>
  <c r="AH661" i="5"/>
  <c r="AF661" i="5"/>
  <c r="AE661" i="5"/>
  <c r="AC661" i="5"/>
  <c r="AB661" i="5"/>
  <c r="Z663" i="5"/>
  <c r="Z660" i="5" s="1"/>
  <c r="Y663" i="5"/>
  <c r="Y660" i="5" s="1"/>
  <c r="Z661" i="5"/>
  <c r="Y661" i="5"/>
  <c r="W663" i="5"/>
  <c r="W660" i="5" s="1"/>
  <c r="V663" i="5"/>
  <c r="V660" i="5" s="1"/>
  <c r="W661" i="5"/>
  <c r="V661" i="5"/>
  <c r="T663" i="5"/>
  <c r="T660" i="5" s="1"/>
  <c r="S663" i="5"/>
  <c r="S660" i="5" s="1"/>
  <c r="T661" i="5"/>
  <c r="S661" i="5"/>
  <c r="H668" i="5"/>
  <c r="H661" i="5" s="1"/>
  <c r="R711" i="5"/>
  <c r="R705" i="5" s="1"/>
  <c r="Q711" i="5"/>
  <c r="Q705" i="5" s="1"/>
  <c r="R710" i="5"/>
  <c r="Q710" i="5"/>
  <c r="R714" i="5"/>
  <c r="R707" i="5" s="1"/>
  <c r="Q714" i="5"/>
  <c r="Q707" i="5" s="1"/>
  <c r="R713" i="5"/>
  <c r="R706" i="5" s="1"/>
  <c r="Q713" i="5"/>
  <c r="Q706" i="5" s="1"/>
  <c r="R722" i="5"/>
  <c r="R716" i="5" s="1"/>
  <c r="Q722" i="5"/>
  <c r="Q716" i="5" s="1"/>
  <c r="R721" i="5"/>
  <c r="Q721" i="5"/>
  <c r="R725" i="5"/>
  <c r="R718" i="5" s="1"/>
  <c r="Q718" i="5"/>
  <c r="R724" i="5"/>
  <c r="R717" i="5" s="1"/>
  <c r="Q724" i="5"/>
  <c r="Q717" i="5" s="1"/>
  <c r="CK707" i="5"/>
  <c r="CJ707" i="5"/>
  <c r="CH707" i="5"/>
  <c r="CG707" i="5"/>
  <c r="CE707" i="5"/>
  <c r="CD707" i="5"/>
  <c r="CK706" i="5"/>
  <c r="CJ706" i="5"/>
  <c r="CH706" i="5"/>
  <c r="CG706" i="5"/>
  <c r="CE706" i="5"/>
  <c r="CD706" i="5"/>
  <c r="CK705" i="5"/>
  <c r="CJ705" i="5"/>
  <c r="CH705" i="5"/>
  <c r="CG705" i="5"/>
  <c r="CE705" i="5"/>
  <c r="CD705" i="5"/>
  <c r="CK704" i="5"/>
  <c r="CJ704" i="5"/>
  <c r="CH704" i="5"/>
  <c r="CG704" i="5"/>
  <c r="CE704" i="5"/>
  <c r="CD704" i="5"/>
  <c r="CB707" i="5"/>
  <c r="CA707" i="5"/>
  <c r="BY707" i="5"/>
  <c r="BX707" i="5"/>
  <c r="BV707" i="5"/>
  <c r="BU707" i="5"/>
  <c r="CB706" i="5"/>
  <c r="CA706" i="5"/>
  <c r="BY706" i="5"/>
  <c r="BX706" i="5"/>
  <c r="BV706" i="5"/>
  <c r="BU706" i="5"/>
  <c r="CB705" i="5"/>
  <c r="CA705" i="5"/>
  <c r="BY705" i="5"/>
  <c r="BX705" i="5"/>
  <c r="BV705" i="5"/>
  <c r="BU705" i="5"/>
  <c r="CB704" i="5"/>
  <c r="CA704" i="5"/>
  <c r="BY704" i="5"/>
  <c r="BX704" i="5"/>
  <c r="BV704" i="5"/>
  <c r="BU704" i="5"/>
  <c r="BS707" i="5"/>
  <c r="BR707" i="5"/>
  <c r="BP707" i="5"/>
  <c r="BO707" i="5"/>
  <c r="BM707" i="5"/>
  <c r="BL707" i="5"/>
  <c r="BS706" i="5"/>
  <c r="BR706" i="5"/>
  <c r="BP706" i="5"/>
  <c r="BO706" i="5"/>
  <c r="BM706" i="5"/>
  <c r="BL706" i="5"/>
  <c r="BS705" i="5"/>
  <c r="BR705" i="5"/>
  <c r="BP705" i="5"/>
  <c r="BO705" i="5"/>
  <c r="BM705" i="5"/>
  <c r="BL705" i="5"/>
  <c r="BS704" i="5"/>
  <c r="BR704" i="5"/>
  <c r="BP704" i="5"/>
  <c r="BO704" i="5"/>
  <c r="BM704" i="5"/>
  <c r="BL704" i="5"/>
  <c r="BJ707" i="5"/>
  <c r="BI707" i="5"/>
  <c r="BG707" i="5"/>
  <c r="BF707" i="5"/>
  <c r="BD707" i="5"/>
  <c r="BC707" i="5"/>
  <c r="BJ706" i="5"/>
  <c r="BI706" i="5"/>
  <c r="BG706" i="5"/>
  <c r="BF706" i="5"/>
  <c r="BD706" i="5"/>
  <c r="BC706" i="5"/>
  <c r="BJ705" i="5"/>
  <c r="BI705" i="5"/>
  <c r="BG705" i="5"/>
  <c r="BF705" i="5"/>
  <c r="BD705" i="5"/>
  <c r="BC705" i="5"/>
  <c r="BJ704" i="5"/>
  <c r="BI704" i="5"/>
  <c r="BG704" i="5"/>
  <c r="BF704" i="5"/>
  <c r="BD704" i="5"/>
  <c r="BC704" i="5"/>
  <c r="BA707" i="5"/>
  <c r="AZ707" i="5"/>
  <c r="AX707" i="5"/>
  <c r="AW707" i="5"/>
  <c r="AU707" i="5"/>
  <c r="AT707" i="5"/>
  <c r="BA706" i="5"/>
  <c r="AZ706" i="5"/>
  <c r="AX706" i="5"/>
  <c r="AW706" i="5"/>
  <c r="AU706" i="5"/>
  <c r="AT706" i="5"/>
  <c r="BA705" i="5"/>
  <c r="AZ705" i="5"/>
  <c r="AX705" i="5"/>
  <c r="AW705" i="5"/>
  <c r="AU705" i="5"/>
  <c r="AT705" i="5"/>
  <c r="BA704" i="5"/>
  <c r="AZ704" i="5"/>
  <c r="AX704" i="5"/>
  <c r="AW704" i="5"/>
  <c r="AU704" i="5"/>
  <c r="AT704" i="5"/>
  <c r="AR707" i="5"/>
  <c r="AQ707" i="5"/>
  <c r="AO707" i="5"/>
  <c r="AN707" i="5"/>
  <c r="AL707" i="5"/>
  <c r="AK707" i="5"/>
  <c r="AR706" i="5"/>
  <c r="AQ706" i="5"/>
  <c r="AO706" i="5"/>
  <c r="AN706" i="5"/>
  <c r="AL706" i="5"/>
  <c r="AK706" i="5"/>
  <c r="AR705" i="5"/>
  <c r="AQ705" i="5"/>
  <c r="AO705" i="5"/>
  <c r="AN705" i="5"/>
  <c r="AL705" i="5"/>
  <c r="AK705" i="5"/>
  <c r="AR704" i="5"/>
  <c r="AQ704" i="5"/>
  <c r="AO704" i="5"/>
  <c r="AN704" i="5"/>
  <c r="AL704" i="5"/>
  <c r="AK704" i="5"/>
  <c r="AI707" i="5"/>
  <c r="AH707" i="5"/>
  <c r="AF707" i="5"/>
  <c r="AE707" i="5"/>
  <c r="AC707" i="5"/>
  <c r="AB707" i="5"/>
  <c r="AI706" i="5"/>
  <c r="AH706" i="5"/>
  <c r="AF706" i="5"/>
  <c r="AE706" i="5"/>
  <c r="AC706" i="5"/>
  <c r="AB706" i="5"/>
  <c r="AI705" i="5"/>
  <c r="AH705" i="5"/>
  <c r="AF705" i="5"/>
  <c r="AE705" i="5"/>
  <c r="AC705" i="5"/>
  <c r="AB705" i="5"/>
  <c r="AI704" i="5"/>
  <c r="AH704" i="5"/>
  <c r="AF704" i="5"/>
  <c r="AE704" i="5"/>
  <c r="AC704" i="5"/>
  <c r="AB704" i="5"/>
  <c r="Z707" i="5"/>
  <c r="Y707" i="5"/>
  <c r="Z706" i="5"/>
  <c r="Y706" i="5"/>
  <c r="Z705" i="5"/>
  <c r="Y705" i="5"/>
  <c r="Z704" i="5"/>
  <c r="Y704" i="5"/>
  <c r="W707" i="5"/>
  <c r="V707" i="5"/>
  <c r="W706" i="5"/>
  <c r="V706" i="5"/>
  <c r="W705" i="5"/>
  <c r="V705" i="5"/>
  <c r="W704" i="5"/>
  <c r="V704" i="5"/>
  <c r="T707" i="5"/>
  <c r="S707" i="5"/>
  <c r="T706" i="5"/>
  <c r="S706" i="5"/>
  <c r="T705" i="5"/>
  <c r="S705" i="5"/>
  <c r="T704" i="5"/>
  <c r="S704" i="5"/>
  <c r="CK718" i="5"/>
  <c r="CJ718" i="5"/>
  <c r="CH718" i="5"/>
  <c r="CG718" i="5"/>
  <c r="CE718" i="5"/>
  <c r="CD718" i="5"/>
  <c r="CK717" i="5"/>
  <c r="CJ717" i="5"/>
  <c r="CH717" i="5"/>
  <c r="CG717" i="5"/>
  <c r="CE717" i="5"/>
  <c r="CD717" i="5"/>
  <c r="CK716" i="5"/>
  <c r="CJ716" i="5"/>
  <c r="CH716" i="5"/>
  <c r="CG716" i="5"/>
  <c r="CE716" i="5"/>
  <c r="CD716" i="5"/>
  <c r="CK715" i="5"/>
  <c r="CJ715" i="5"/>
  <c r="CH715" i="5"/>
  <c r="CG715" i="5"/>
  <c r="CE715" i="5"/>
  <c r="CD715" i="5"/>
  <c r="CB718" i="5"/>
  <c r="CA718" i="5"/>
  <c r="BY718" i="5"/>
  <c r="BX718" i="5"/>
  <c r="BV718" i="5"/>
  <c r="BU718" i="5"/>
  <c r="CB717" i="5"/>
  <c r="CA717" i="5"/>
  <c r="BY717" i="5"/>
  <c r="BX717" i="5"/>
  <c r="BV717" i="5"/>
  <c r="BU717" i="5"/>
  <c r="CB716" i="5"/>
  <c r="CA716" i="5"/>
  <c r="BY716" i="5"/>
  <c r="BX716" i="5"/>
  <c r="BV716" i="5"/>
  <c r="BU716" i="5"/>
  <c r="CB715" i="5"/>
  <c r="CA715" i="5"/>
  <c r="BY715" i="5"/>
  <c r="BX715" i="5"/>
  <c r="BV715" i="5"/>
  <c r="BU715" i="5"/>
  <c r="BS718" i="5"/>
  <c r="BR718" i="5"/>
  <c r="BP718" i="5"/>
  <c r="BO718" i="5"/>
  <c r="BM718" i="5"/>
  <c r="BL718" i="5"/>
  <c r="BS717" i="5"/>
  <c r="BR717" i="5"/>
  <c r="BP717" i="5"/>
  <c r="BO717" i="5"/>
  <c r="BM717" i="5"/>
  <c r="BL717" i="5"/>
  <c r="BS716" i="5"/>
  <c r="BR716" i="5"/>
  <c r="BP716" i="5"/>
  <c r="BO716" i="5"/>
  <c r="BM716" i="5"/>
  <c r="BL716" i="5"/>
  <c r="BS715" i="5"/>
  <c r="BR715" i="5"/>
  <c r="BP715" i="5"/>
  <c r="BO715" i="5"/>
  <c r="BM715" i="5"/>
  <c r="BL715" i="5"/>
  <c r="BJ718" i="5"/>
  <c r="BI718" i="5"/>
  <c r="BG718" i="5"/>
  <c r="BF718" i="5"/>
  <c r="BD718" i="5"/>
  <c r="BC718" i="5"/>
  <c r="BJ717" i="5"/>
  <c r="BI717" i="5"/>
  <c r="BG717" i="5"/>
  <c r="BF717" i="5"/>
  <c r="BD717" i="5"/>
  <c r="BC717" i="5"/>
  <c r="BC702" i="5" s="1"/>
  <c r="BJ716" i="5"/>
  <c r="BI716" i="5"/>
  <c r="BG716" i="5"/>
  <c r="BF716" i="5"/>
  <c r="BD716" i="5"/>
  <c r="BC716" i="5"/>
  <c r="BJ715" i="5"/>
  <c r="BI715" i="5"/>
  <c r="BG715" i="5"/>
  <c r="BF715" i="5"/>
  <c r="BD715" i="5"/>
  <c r="BC715" i="5"/>
  <c r="BA718" i="5"/>
  <c r="AZ718" i="5"/>
  <c r="AX718" i="5"/>
  <c r="AW718" i="5"/>
  <c r="AW703" i="5" s="1"/>
  <c r="AU718" i="5"/>
  <c r="AT718" i="5"/>
  <c r="BA717" i="5"/>
  <c r="AZ717" i="5"/>
  <c r="AZ702" i="5" s="1"/>
  <c r="AX717" i="5"/>
  <c r="AW717" i="5"/>
  <c r="AU717" i="5"/>
  <c r="AT717" i="5"/>
  <c r="AT702" i="5" s="1"/>
  <c r="BA716" i="5"/>
  <c r="AZ716" i="5"/>
  <c r="AX716" i="5"/>
  <c r="AW716" i="5"/>
  <c r="AU716" i="5"/>
  <c r="AT716" i="5"/>
  <c r="BA715" i="5"/>
  <c r="AZ715" i="5"/>
  <c r="AX715" i="5"/>
  <c r="AW715" i="5"/>
  <c r="AU715" i="5"/>
  <c r="AT715" i="5"/>
  <c r="AR718" i="5"/>
  <c r="AQ718" i="5"/>
  <c r="AO718" i="5"/>
  <c r="AN718" i="5"/>
  <c r="AL718" i="5"/>
  <c r="AK718" i="5"/>
  <c r="AR717" i="5"/>
  <c r="AQ717" i="5"/>
  <c r="AO717" i="5"/>
  <c r="AN717" i="5"/>
  <c r="AL717" i="5"/>
  <c r="AK717" i="5"/>
  <c r="AR716" i="5"/>
  <c r="AQ716" i="5"/>
  <c r="AO716" i="5"/>
  <c r="AN716" i="5"/>
  <c r="AL716" i="5"/>
  <c r="AK716" i="5"/>
  <c r="AR715" i="5"/>
  <c r="AQ715" i="5"/>
  <c r="AO715" i="5"/>
  <c r="AO699" i="5" s="1"/>
  <c r="AN715" i="5"/>
  <c r="AL715" i="5"/>
  <c r="AK715" i="5"/>
  <c r="AI718" i="5"/>
  <c r="AH718" i="5"/>
  <c r="AF718" i="5"/>
  <c r="AE718" i="5"/>
  <c r="AC718" i="5"/>
  <c r="AB718" i="5"/>
  <c r="AB703" i="5" s="1"/>
  <c r="AI717" i="5"/>
  <c r="AH717" i="5"/>
  <c r="AF717" i="5"/>
  <c r="AE717" i="5"/>
  <c r="AC717" i="5"/>
  <c r="AB717" i="5"/>
  <c r="AI716" i="5"/>
  <c r="AH716" i="5"/>
  <c r="AF716" i="5"/>
  <c r="AE716" i="5"/>
  <c r="AC716" i="5"/>
  <c r="AB716" i="5"/>
  <c r="AI715" i="5"/>
  <c r="AH715" i="5"/>
  <c r="AF715" i="5"/>
  <c r="AE715" i="5"/>
  <c r="AC715" i="5"/>
  <c r="AB715" i="5"/>
  <c r="Z718" i="5"/>
  <c r="Y718" i="5"/>
  <c r="Y703" i="5" s="1"/>
  <c r="Z717" i="5"/>
  <c r="Y717" i="5"/>
  <c r="Z716" i="5"/>
  <c r="Y716" i="5"/>
  <c r="Y700" i="5" s="1"/>
  <c r="Z715" i="5"/>
  <c r="Y715" i="5"/>
  <c r="W718" i="5"/>
  <c r="V718" i="5"/>
  <c r="V703" i="5" s="1"/>
  <c r="W717" i="5"/>
  <c r="V717" i="5"/>
  <c r="W716" i="5"/>
  <c r="V716" i="5"/>
  <c r="V700" i="5" s="1"/>
  <c r="W715" i="5"/>
  <c r="V715" i="5"/>
  <c r="T718" i="5"/>
  <c r="S718" i="5"/>
  <c r="S703" i="5" s="1"/>
  <c r="T717" i="5"/>
  <c r="S717" i="5"/>
  <c r="T716" i="5"/>
  <c r="S716" i="5"/>
  <c r="S700" i="5" s="1"/>
  <c r="T715" i="5"/>
  <c r="S715" i="5"/>
  <c r="R751" i="5"/>
  <c r="Q751" i="5"/>
  <c r="R750" i="5"/>
  <c r="Q750" i="5"/>
  <c r="R760" i="5"/>
  <c r="Q760" i="5"/>
  <c r="R759" i="5"/>
  <c r="Q759" i="5"/>
  <c r="R763" i="5"/>
  <c r="Q763" i="5"/>
  <c r="R762" i="5"/>
  <c r="Q762" i="5"/>
  <c r="R754" i="5"/>
  <c r="Q754" i="5"/>
  <c r="R753" i="5"/>
  <c r="Q753" i="5"/>
  <c r="CK752" i="5"/>
  <c r="CJ752" i="5"/>
  <c r="CH752" i="5"/>
  <c r="CG752" i="5"/>
  <c r="CE752" i="5"/>
  <c r="CD752" i="5"/>
  <c r="CK749" i="5"/>
  <c r="CJ749" i="5"/>
  <c r="CH749" i="5"/>
  <c r="CG749" i="5"/>
  <c r="CE749" i="5"/>
  <c r="CD749" i="5"/>
  <c r="CK748" i="5"/>
  <c r="CJ748" i="5"/>
  <c r="CH748" i="5"/>
  <c r="CG748" i="5"/>
  <c r="CE748" i="5"/>
  <c r="CD748" i="5"/>
  <c r="CK747" i="5"/>
  <c r="CJ747" i="5"/>
  <c r="CH747" i="5"/>
  <c r="CG747" i="5"/>
  <c r="CE747" i="5"/>
  <c r="CD747" i="5"/>
  <c r="CB752" i="5"/>
  <c r="CA752" i="5"/>
  <c r="BY752" i="5"/>
  <c r="BX752" i="5"/>
  <c r="BV752" i="5"/>
  <c r="BU752" i="5"/>
  <c r="CB749" i="5"/>
  <c r="CA749" i="5"/>
  <c r="BY749" i="5"/>
  <c r="BX749" i="5"/>
  <c r="BV749" i="5"/>
  <c r="BU749" i="5"/>
  <c r="CB748" i="5"/>
  <c r="CA748" i="5"/>
  <c r="BY748" i="5"/>
  <c r="BX748" i="5"/>
  <c r="BV748" i="5"/>
  <c r="BU748" i="5"/>
  <c r="CB747" i="5"/>
  <c r="CA747" i="5"/>
  <c r="BY747" i="5"/>
  <c r="BX747" i="5"/>
  <c r="BV747" i="5"/>
  <c r="BU747" i="5"/>
  <c r="BS752" i="5"/>
  <c r="BR752" i="5"/>
  <c r="BP752" i="5"/>
  <c r="BO752" i="5"/>
  <c r="BM752" i="5"/>
  <c r="BL752" i="5"/>
  <c r="BS749" i="5"/>
  <c r="BR749" i="5"/>
  <c r="BP749" i="5"/>
  <c r="BO749" i="5"/>
  <c r="BM749" i="5"/>
  <c r="BL749" i="5"/>
  <c r="BS748" i="5"/>
  <c r="BR748" i="5"/>
  <c r="BP748" i="5"/>
  <c r="BO748" i="5"/>
  <c r="BM748" i="5"/>
  <c r="BL748" i="5"/>
  <c r="BS747" i="5"/>
  <c r="BR747" i="5"/>
  <c r="BP747" i="5"/>
  <c r="BO747" i="5"/>
  <c r="BM747" i="5"/>
  <c r="BL747" i="5"/>
  <c r="BJ752" i="5"/>
  <c r="BI752" i="5"/>
  <c r="BG752" i="5"/>
  <c r="BF752" i="5"/>
  <c r="BD752" i="5"/>
  <c r="BC752" i="5"/>
  <c r="BJ749" i="5"/>
  <c r="BI749" i="5"/>
  <c r="BG749" i="5"/>
  <c r="BF749" i="5"/>
  <c r="BD749" i="5"/>
  <c r="BC749" i="5"/>
  <c r="BJ748" i="5"/>
  <c r="BI748" i="5"/>
  <c r="BG748" i="5"/>
  <c r="BF748" i="5"/>
  <c r="BD748" i="5"/>
  <c r="BC748" i="5"/>
  <c r="BJ747" i="5"/>
  <c r="BI747" i="5"/>
  <c r="BG747" i="5"/>
  <c r="BF747" i="5"/>
  <c r="BD747" i="5"/>
  <c r="BC747" i="5"/>
  <c r="BA752" i="5"/>
  <c r="AZ752" i="5"/>
  <c r="AX752" i="5"/>
  <c r="AW752" i="5"/>
  <c r="AU752" i="5"/>
  <c r="AT752" i="5"/>
  <c r="BA749" i="5"/>
  <c r="AZ749" i="5"/>
  <c r="AX749" i="5"/>
  <c r="AW749" i="5"/>
  <c r="AU749" i="5"/>
  <c r="AT749" i="5"/>
  <c r="BA748" i="5"/>
  <c r="AZ748" i="5"/>
  <c r="AX748" i="5"/>
  <c r="AW748" i="5"/>
  <c r="AU748" i="5"/>
  <c r="AT748" i="5"/>
  <c r="BA747" i="5"/>
  <c r="AZ747" i="5"/>
  <c r="AX747" i="5"/>
  <c r="AW747" i="5"/>
  <c r="AU747" i="5"/>
  <c r="AT747" i="5"/>
  <c r="AR752" i="5"/>
  <c r="AQ752" i="5"/>
  <c r="AO752" i="5"/>
  <c r="AN752" i="5"/>
  <c r="AL752" i="5"/>
  <c r="AK752" i="5"/>
  <c r="AR749" i="5"/>
  <c r="AQ749" i="5"/>
  <c r="AO749" i="5"/>
  <c r="AN749" i="5"/>
  <c r="AL749" i="5"/>
  <c r="AK749" i="5"/>
  <c r="AR748" i="5"/>
  <c r="AQ748" i="5"/>
  <c r="AO748" i="5"/>
  <c r="AN748" i="5"/>
  <c r="AL748" i="5"/>
  <c r="AK748" i="5"/>
  <c r="AR747" i="5"/>
  <c r="AQ747" i="5"/>
  <c r="AO747" i="5"/>
  <c r="AN747" i="5"/>
  <c r="AL747" i="5"/>
  <c r="AK747" i="5"/>
  <c r="AI752" i="5"/>
  <c r="AH752" i="5"/>
  <c r="AF752" i="5"/>
  <c r="AE752" i="5"/>
  <c r="AC752" i="5"/>
  <c r="AB752" i="5"/>
  <c r="AI749" i="5"/>
  <c r="AH749" i="5"/>
  <c r="AF749" i="5"/>
  <c r="AE749" i="5"/>
  <c r="AC749" i="5"/>
  <c r="AB749" i="5"/>
  <c r="AI748" i="5"/>
  <c r="AH748" i="5"/>
  <c r="AF748" i="5"/>
  <c r="AE748" i="5"/>
  <c r="AC748" i="5"/>
  <c r="AB748" i="5"/>
  <c r="AI747" i="5"/>
  <c r="AH747" i="5"/>
  <c r="AF747" i="5"/>
  <c r="AE747" i="5"/>
  <c r="AC747" i="5"/>
  <c r="AB747" i="5"/>
  <c r="Z749" i="5"/>
  <c r="Y749" i="5"/>
  <c r="Z748" i="5"/>
  <c r="Y748" i="5"/>
  <c r="Z747" i="5"/>
  <c r="Y747" i="5"/>
  <c r="W749" i="5"/>
  <c r="V749" i="5"/>
  <c r="W748" i="5"/>
  <c r="V748" i="5"/>
  <c r="W747" i="5"/>
  <c r="V747" i="5"/>
  <c r="T749" i="5"/>
  <c r="S749" i="5"/>
  <c r="T748" i="5"/>
  <c r="S748" i="5"/>
  <c r="T747" i="5"/>
  <c r="S747" i="5"/>
  <c r="Z752" i="5"/>
  <c r="Y752" i="5"/>
  <c r="W752" i="5"/>
  <c r="V752" i="5"/>
  <c r="T752" i="5"/>
  <c r="S752" i="5"/>
  <c r="CK761" i="5"/>
  <c r="CJ761" i="5"/>
  <c r="CH761" i="5"/>
  <c r="CG761" i="5"/>
  <c r="CE761" i="5"/>
  <c r="CD761" i="5"/>
  <c r="CK758" i="5"/>
  <c r="CJ758" i="5"/>
  <c r="CH758" i="5"/>
  <c r="CG758" i="5"/>
  <c r="CE758" i="5"/>
  <c r="CD758" i="5"/>
  <c r="CK757" i="5"/>
  <c r="CJ757" i="5"/>
  <c r="CH757" i="5"/>
  <c r="CG757" i="5"/>
  <c r="CE757" i="5"/>
  <c r="CD757" i="5"/>
  <c r="CK756" i="5"/>
  <c r="CJ756" i="5"/>
  <c r="CH756" i="5"/>
  <c r="CG756" i="5"/>
  <c r="CE756" i="5"/>
  <c r="CD756" i="5"/>
  <c r="CB761" i="5"/>
  <c r="CA761" i="5"/>
  <c r="BY761" i="5"/>
  <c r="BX761" i="5"/>
  <c r="BV761" i="5"/>
  <c r="BU761" i="5"/>
  <c r="CB758" i="5"/>
  <c r="CA758" i="5"/>
  <c r="BY758" i="5"/>
  <c r="BX758" i="5"/>
  <c r="BV758" i="5"/>
  <c r="BU758" i="5"/>
  <c r="CB757" i="5"/>
  <c r="CA757" i="5"/>
  <c r="BY757" i="5"/>
  <c r="BX757" i="5"/>
  <c r="BV757" i="5"/>
  <c r="BU757" i="5"/>
  <c r="CB756" i="5"/>
  <c r="CA756" i="5"/>
  <c r="BY756" i="5"/>
  <c r="BX756" i="5"/>
  <c r="BV756" i="5"/>
  <c r="BU756" i="5"/>
  <c r="BS761" i="5"/>
  <c r="BR761" i="5"/>
  <c r="BP761" i="5"/>
  <c r="BO761" i="5"/>
  <c r="BM761" i="5"/>
  <c r="BL761" i="5"/>
  <c r="BS758" i="5"/>
  <c r="BR758" i="5"/>
  <c r="BP758" i="5"/>
  <c r="BO758" i="5"/>
  <c r="BM758" i="5"/>
  <c r="BL758" i="5"/>
  <c r="BS757" i="5"/>
  <c r="BR757" i="5"/>
  <c r="BP757" i="5"/>
  <c r="BO757" i="5"/>
  <c r="BM757" i="5"/>
  <c r="BL757" i="5"/>
  <c r="BS756" i="5"/>
  <c r="BR756" i="5"/>
  <c r="BP756" i="5"/>
  <c r="BO756" i="5"/>
  <c r="BM756" i="5"/>
  <c r="BL756" i="5"/>
  <c r="BJ761" i="5"/>
  <c r="BI761" i="5"/>
  <c r="BG761" i="5"/>
  <c r="BF761" i="5"/>
  <c r="BD761" i="5"/>
  <c r="BC761" i="5"/>
  <c r="BJ758" i="5"/>
  <c r="BI758" i="5"/>
  <c r="BG758" i="5"/>
  <c r="BF758" i="5"/>
  <c r="BD758" i="5"/>
  <c r="BC758" i="5"/>
  <c r="BJ757" i="5"/>
  <c r="BI757" i="5"/>
  <c r="BG757" i="5"/>
  <c r="BF757" i="5"/>
  <c r="BD757" i="5"/>
  <c r="BC757" i="5"/>
  <c r="BJ756" i="5"/>
  <c r="BI756" i="5"/>
  <c r="BG756" i="5"/>
  <c r="BF756" i="5"/>
  <c r="BD756" i="5"/>
  <c r="BC756" i="5"/>
  <c r="BA761" i="5"/>
  <c r="AZ761" i="5"/>
  <c r="AX761" i="5"/>
  <c r="AW761" i="5"/>
  <c r="AU761" i="5"/>
  <c r="AT761" i="5"/>
  <c r="BA758" i="5"/>
  <c r="AZ758" i="5"/>
  <c r="AX758" i="5"/>
  <c r="AW758" i="5"/>
  <c r="AU758" i="5"/>
  <c r="AT758" i="5"/>
  <c r="BA757" i="5"/>
  <c r="AZ757" i="5"/>
  <c r="AX757" i="5"/>
  <c r="AW757" i="5"/>
  <c r="AU757" i="5"/>
  <c r="AT757" i="5"/>
  <c r="BA756" i="5"/>
  <c r="AZ756" i="5"/>
  <c r="AX756" i="5"/>
  <c r="AW756" i="5"/>
  <c r="AU756" i="5"/>
  <c r="AT756" i="5"/>
  <c r="AR761" i="5"/>
  <c r="AQ761" i="5"/>
  <c r="AO761" i="5"/>
  <c r="AN761" i="5"/>
  <c r="AL761" i="5"/>
  <c r="AK761" i="5"/>
  <c r="AR758" i="5"/>
  <c r="AQ758" i="5"/>
  <c r="AO758" i="5"/>
  <c r="AN758" i="5"/>
  <c r="AL758" i="5"/>
  <c r="AK758" i="5"/>
  <c r="AR757" i="5"/>
  <c r="AQ757" i="5"/>
  <c r="AO757" i="5"/>
  <c r="AN757" i="5"/>
  <c r="AL757" i="5"/>
  <c r="AK757" i="5"/>
  <c r="AR756" i="5"/>
  <c r="AQ756" i="5"/>
  <c r="AO756" i="5"/>
  <c r="AN756" i="5"/>
  <c r="AL756" i="5"/>
  <c r="AK756" i="5"/>
  <c r="AI761" i="5"/>
  <c r="AH761" i="5"/>
  <c r="AF761" i="5"/>
  <c r="AE761" i="5"/>
  <c r="AC761" i="5"/>
  <c r="AB761" i="5"/>
  <c r="AI758" i="5"/>
  <c r="AH758" i="5"/>
  <c r="AF758" i="5"/>
  <c r="AE758" i="5"/>
  <c r="AC758" i="5"/>
  <c r="AB758" i="5"/>
  <c r="AI757" i="5"/>
  <c r="AH757" i="5"/>
  <c r="AF757" i="5"/>
  <c r="AE757" i="5"/>
  <c r="AC757" i="5"/>
  <c r="AB757" i="5"/>
  <c r="AI756" i="5"/>
  <c r="AH756" i="5"/>
  <c r="AF756" i="5"/>
  <c r="AE756" i="5"/>
  <c r="AC756" i="5"/>
  <c r="AB756" i="5"/>
  <c r="Z761" i="5"/>
  <c r="Y761" i="5"/>
  <c r="W761" i="5"/>
  <c r="V761" i="5"/>
  <c r="T761" i="5"/>
  <c r="S761" i="5"/>
  <c r="Z758" i="5"/>
  <c r="Y758" i="5"/>
  <c r="Z757" i="5"/>
  <c r="Y757" i="5"/>
  <c r="Z756" i="5"/>
  <c r="Y756" i="5"/>
  <c r="W758" i="5"/>
  <c r="V758" i="5"/>
  <c r="W757" i="5"/>
  <c r="V757" i="5"/>
  <c r="W756" i="5"/>
  <c r="V756" i="5"/>
  <c r="T758" i="5"/>
  <c r="S758" i="5"/>
  <c r="T757" i="5"/>
  <c r="S757" i="5"/>
  <c r="T756" i="5"/>
  <c r="S756" i="5"/>
  <c r="CK800" i="5"/>
  <c r="CJ800" i="5"/>
  <c r="CH800" i="5"/>
  <c r="CG800" i="5"/>
  <c r="CE800" i="5"/>
  <c r="CD800" i="5"/>
  <c r="CB800" i="5"/>
  <c r="CA800" i="5"/>
  <c r="BY800" i="5"/>
  <c r="BX800" i="5"/>
  <c r="BV800" i="5"/>
  <c r="BU800" i="5"/>
  <c r="BS800" i="5"/>
  <c r="BR800" i="5"/>
  <c r="BP800" i="5"/>
  <c r="BO800" i="5"/>
  <c r="BM800" i="5"/>
  <c r="BL800" i="5"/>
  <c r="BJ800" i="5"/>
  <c r="BI800" i="5"/>
  <c r="BG800" i="5"/>
  <c r="BF800" i="5"/>
  <c r="BD800" i="5"/>
  <c r="BC800" i="5"/>
  <c r="BA800" i="5"/>
  <c r="AZ800" i="5"/>
  <c r="AX800" i="5"/>
  <c r="AW800" i="5"/>
  <c r="AU800" i="5"/>
  <c r="AT800" i="5"/>
  <c r="AR800" i="5"/>
  <c r="AQ800" i="5"/>
  <c r="AO800" i="5"/>
  <c r="AN800" i="5"/>
  <c r="AL800" i="5"/>
  <c r="AK800" i="5"/>
  <c r="AI800" i="5"/>
  <c r="AH800" i="5"/>
  <c r="AF800" i="5"/>
  <c r="AE800" i="5"/>
  <c r="AC800" i="5"/>
  <c r="AB800" i="5"/>
  <c r="Z800" i="5"/>
  <c r="Y800" i="5"/>
  <c r="W800" i="5"/>
  <c r="V800" i="5"/>
  <c r="T800" i="5"/>
  <c r="S800" i="5"/>
  <c r="CK803" i="5"/>
  <c r="CJ803" i="5"/>
  <c r="CH803" i="5"/>
  <c r="CG803" i="5"/>
  <c r="CE803" i="5"/>
  <c r="CD803" i="5"/>
  <c r="CB803" i="5"/>
  <c r="CA803" i="5"/>
  <c r="BY803" i="5"/>
  <c r="BX803" i="5"/>
  <c r="BV803" i="5"/>
  <c r="BU803" i="5"/>
  <c r="BS803" i="5"/>
  <c r="BR803" i="5"/>
  <c r="BP803" i="5"/>
  <c r="BO803" i="5"/>
  <c r="BM803" i="5"/>
  <c r="BL803" i="5"/>
  <c r="BJ803" i="5"/>
  <c r="BI803" i="5"/>
  <c r="BG803" i="5"/>
  <c r="BF803" i="5"/>
  <c r="BD803" i="5"/>
  <c r="BC803" i="5"/>
  <c r="BA803" i="5"/>
  <c r="AZ803" i="5"/>
  <c r="AX803" i="5"/>
  <c r="AW803" i="5"/>
  <c r="AU803" i="5"/>
  <c r="AT803" i="5"/>
  <c r="AR803" i="5"/>
  <c r="AQ803" i="5"/>
  <c r="AO803" i="5"/>
  <c r="AN803" i="5"/>
  <c r="AL803" i="5"/>
  <c r="AK803" i="5"/>
  <c r="AI803" i="5"/>
  <c r="AH803" i="5"/>
  <c r="AF803" i="5"/>
  <c r="AE803" i="5"/>
  <c r="AC803" i="5"/>
  <c r="AB803" i="5"/>
  <c r="Z803" i="5"/>
  <c r="Y803" i="5"/>
  <c r="W803" i="5"/>
  <c r="V803" i="5"/>
  <c r="T803" i="5"/>
  <c r="S803" i="5"/>
  <c r="CK809" i="5"/>
  <c r="CJ809" i="5"/>
  <c r="CH809" i="5"/>
  <c r="CG809" i="5"/>
  <c r="CE809" i="5"/>
  <c r="CD809" i="5"/>
  <c r="CB809" i="5"/>
  <c r="CA809" i="5"/>
  <c r="BY809" i="5"/>
  <c r="BX809" i="5"/>
  <c r="BV809" i="5"/>
  <c r="BU809" i="5"/>
  <c r="BS809" i="5"/>
  <c r="BR809" i="5"/>
  <c r="BP809" i="5"/>
  <c r="BO809" i="5"/>
  <c r="BM809" i="5"/>
  <c r="BL809" i="5"/>
  <c r="BJ809" i="5"/>
  <c r="BI809" i="5"/>
  <c r="BG809" i="5"/>
  <c r="BF809" i="5"/>
  <c r="BD809" i="5"/>
  <c r="BC809" i="5"/>
  <c r="BA809" i="5"/>
  <c r="AZ809" i="5"/>
  <c r="AX809" i="5"/>
  <c r="AW809" i="5"/>
  <c r="AU809" i="5"/>
  <c r="AT809" i="5"/>
  <c r="AR809" i="5"/>
  <c r="AQ809" i="5"/>
  <c r="AO809" i="5"/>
  <c r="AN809" i="5"/>
  <c r="AL809" i="5"/>
  <c r="AK809" i="5"/>
  <c r="AI809" i="5"/>
  <c r="AH809" i="5"/>
  <c r="AF809" i="5"/>
  <c r="AE809" i="5"/>
  <c r="AC809" i="5"/>
  <c r="AB809" i="5"/>
  <c r="Z809" i="5"/>
  <c r="Y809" i="5"/>
  <c r="W809" i="5"/>
  <c r="V809" i="5"/>
  <c r="T809" i="5"/>
  <c r="S809" i="5"/>
  <c r="CK812" i="5"/>
  <c r="CJ812" i="5"/>
  <c r="CH812" i="5"/>
  <c r="CG812" i="5"/>
  <c r="CE812" i="5"/>
  <c r="CD812" i="5"/>
  <c r="CB812" i="5"/>
  <c r="CA812" i="5"/>
  <c r="BY812" i="5"/>
  <c r="BX812" i="5"/>
  <c r="BV812" i="5"/>
  <c r="BU812" i="5"/>
  <c r="BS812" i="5"/>
  <c r="BR812" i="5"/>
  <c r="BP812" i="5"/>
  <c r="BO812" i="5"/>
  <c r="BM812" i="5"/>
  <c r="BL812" i="5"/>
  <c r="BJ812" i="5"/>
  <c r="BI812" i="5"/>
  <c r="BG812" i="5"/>
  <c r="BF812" i="5"/>
  <c r="BD812" i="5"/>
  <c r="BC812" i="5"/>
  <c r="BA812" i="5"/>
  <c r="AZ812" i="5"/>
  <c r="AX812" i="5"/>
  <c r="AW812" i="5"/>
  <c r="AU812" i="5"/>
  <c r="AT812" i="5"/>
  <c r="AR812" i="5"/>
  <c r="AQ812" i="5"/>
  <c r="AO812" i="5"/>
  <c r="AN812" i="5"/>
  <c r="AL812" i="5"/>
  <c r="AK812" i="5"/>
  <c r="AI812" i="5"/>
  <c r="AH812" i="5"/>
  <c r="AF812" i="5"/>
  <c r="AE812" i="5"/>
  <c r="AC812" i="5"/>
  <c r="AB812" i="5"/>
  <c r="Z812" i="5"/>
  <c r="Y812" i="5"/>
  <c r="W812" i="5"/>
  <c r="V812" i="5"/>
  <c r="T812" i="5"/>
  <c r="S812" i="5"/>
  <c r="Q813" i="5"/>
  <c r="R813" i="5"/>
  <c r="R715" i="5" l="1"/>
  <c r="R720" i="5"/>
  <c r="R704" i="5"/>
  <c r="R698" i="5" s="1"/>
  <c r="R709" i="5"/>
  <c r="Q715" i="5"/>
  <c r="Q720" i="5"/>
  <c r="Q704" i="5"/>
  <c r="Q699" i="5" s="1"/>
  <c r="Q709" i="5"/>
  <c r="Q668" i="5"/>
  <c r="R668" i="5"/>
  <c r="R661" i="5" s="1"/>
  <c r="CG637" i="5"/>
  <c r="CG635" i="5"/>
  <c r="CG633" i="5"/>
  <c r="CG636" i="5"/>
  <c r="CG634" i="5"/>
  <c r="CG632" i="5"/>
  <c r="CD636" i="5"/>
  <c r="CD634" i="5"/>
  <c r="CD632" i="5"/>
  <c r="CD637" i="5"/>
  <c r="CD635" i="5"/>
  <c r="CD633" i="5"/>
  <c r="CJ636" i="5"/>
  <c r="CJ634" i="5"/>
  <c r="CJ632" i="5"/>
  <c r="CJ637" i="5"/>
  <c r="CJ635" i="5"/>
  <c r="CJ633" i="5"/>
  <c r="CH637" i="5"/>
  <c r="CH635" i="5"/>
  <c r="CH633" i="5"/>
  <c r="CH636" i="5"/>
  <c r="CH634" i="5"/>
  <c r="CH632" i="5"/>
  <c r="CE636" i="5"/>
  <c r="CE634" i="5"/>
  <c r="CE632" i="5"/>
  <c r="CE637" i="5"/>
  <c r="CE635" i="5"/>
  <c r="CE633" i="5"/>
  <c r="CK636" i="5"/>
  <c r="CK634" i="5"/>
  <c r="CK632" i="5"/>
  <c r="CK637" i="5"/>
  <c r="CK635" i="5"/>
  <c r="CK633" i="5"/>
  <c r="BX636" i="5"/>
  <c r="BX634" i="5"/>
  <c r="BX632" i="5"/>
  <c r="BX637" i="5"/>
  <c r="BX635" i="5"/>
  <c r="BX633" i="5"/>
  <c r="BY636" i="5"/>
  <c r="BY634" i="5"/>
  <c r="BY632" i="5"/>
  <c r="BY637" i="5"/>
  <c r="BY635" i="5"/>
  <c r="BY633" i="5"/>
  <c r="BU637" i="5"/>
  <c r="BU635" i="5"/>
  <c r="BU633" i="5"/>
  <c r="BU636" i="5"/>
  <c r="BU634" i="5"/>
  <c r="BU632" i="5"/>
  <c r="CA637" i="5"/>
  <c r="CA635" i="5"/>
  <c r="CA633" i="5"/>
  <c r="CA636" i="5"/>
  <c r="CA634" i="5"/>
  <c r="CA632" i="5"/>
  <c r="BV637" i="5"/>
  <c r="BV635" i="5"/>
  <c r="BV633" i="5"/>
  <c r="BV636" i="5"/>
  <c r="BV634" i="5"/>
  <c r="BV632" i="5"/>
  <c r="CB637" i="5"/>
  <c r="CB635" i="5"/>
  <c r="CB633" i="5"/>
  <c r="CB636" i="5"/>
  <c r="CB634" i="5"/>
  <c r="CB632" i="5"/>
  <c r="BO636" i="5"/>
  <c r="BO634" i="5"/>
  <c r="BO632" i="5"/>
  <c r="BO637" i="5"/>
  <c r="BO635" i="5"/>
  <c r="BO633" i="5"/>
  <c r="BP636" i="5"/>
  <c r="BP634" i="5"/>
  <c r="BP632" i="5"/>
  <c r="BP637" i="5"/>
  <c r="BP635" i="5"/>
  <c r="BP633" i="5"/>
  <c r="BL637" i="5"/>
  <c r="BL635" i="5"/>
  <c r="BL633" i="5"/>
  <c r="BL636" i="5"/>
  <c r="BL634" i="5"/>
  <c r="BL632" i="5"/>
  <c r="BR637" i="5"/>
  <c r="BR635" i="5"/>
  <c r="BR633" i="5"/>
  <c r="BR636" i="5"/>
  <c r="BR634" i="5"/>
  <c r="BR632" i="5"/>
  <c r="BM637" i="5"/>
  <c r="BM635" i="5"/>
  <c r="BM633" i="5"/>
  <c r="BM636" i="5"/>
  <c r="BM634" i="5"/>
  <c r="BM632" i="5"/>
  <c r="BS637" i="5"/>
  <c r="BS635" i="5"/>
  <c r="BS633" i="5"/>
  <c r="BS636" i="5"/>
  <c r="BS634" i="5"/>
  <c r="BS632" i="5"/>
  <c r="BF636" i="5"/>
  <c r="BF634" i="5"/>
  <c r="BF632" i="5"/>
  <c r="BF637" i="5"/>
  <c r="BF635" i="5"/>
  <c r="BF633" i="5"/>
  <c r="BG636" i="5"/>
  <c r="BG634" i="5"/>
  <c r="BG632" i="5"/>
  <c r="BG637" i="5"/>
  <c r="BG635" i="5"/>
  <c r="BG633" i="5"/>
  <c r="BC637" i="5"/>
  <c r="BC635" i="5"/>
  <c r="BC633" i="5"/>
  <c r="BC636" i="5"/>
  <c r="BC634" i="5"/>
  <c r="BC632" i="5"/>
  <c r="BI637" i="5"/>
  <c r="BI635" i="5"/>
  <c r="BI633" i="5"/>
  <c r="BI636" i="5"/>
  <c r="BI634" i="5"/>
  <c r="BI632" i="5"/>
  <c r="BD637" i="5"/>
  <c r="BD635" i="5"/>
  <c r="BD633" i="5"/>
  <c r="BD636" i="5"/>
  <c r="BD634" i="5"/>
  <c r="BD632" i="5"/>
  <c r="BJ637" i="5"/>
  <c r="BJ635" i="5"/>
  <c r="BJ633" i="5"/>
  <c r="BJ636" i="5"/>
  <c r="BJ634" i="5"/>
  <c r="BJ632" i="5"/>
  <c r="AX636" i="5"/>
  <c r="AX634" i="5"/>
  <c r="AX632" i="5"/>
  <c r="AX637" i="5"/>
  <c r="AX635" i="5"/>
  <c r="AX633" i="5"/>
  <c r="AT637" i="5"/>
  <c r="AT635" i="5"/>
  <c r="AT633" i="5"/>
  <c r="AT636" i="5"/>
  <c r="AT634" i="5"/>
  <c r="AT632" i="5"/>
  <c r="AZ637" i="5"/>
  <c r="AZ635" i="5"/>
  <c r="AZ633" i="5"/>
  <c r="AZ636" i="5"/>
  <c r="AZ634" i="5"/>
  <c r="AZ632" i="5"/>
  <c r="AU637" i="5"/>
  <c r="AU635" i="5"/>
  <c r="AU633" i="5"/>
  <c r="AU636" i="5"/>
  <c r="AU634" i="5"/>
  <c r="AU632" i="5"/>
  <c r="BA637" i="5"/>
  <c r="BA635" i="5"/>
  <c r="BA633" i="5"/>
  <c r="BA636" i="5"/>
  <c r="BA634" i="5"/>
  <c r="BA632" i="5"/>
  <c r="AW636" i="5"/>
  <c r="AW634" i="5"/>
  <c r="AW632" i="5"/>
  <c r="AW637" i="5"/>
  <c r="AW635" i="5"/>
  <c r="AW633" i="5"/>
  <c r="AL637" i="5"/>
  <c r="AL635" i="5"/>
  <c r="AL633" i="5"/>
  <c r="AL636" i="5"/>
  <c r="AL634" i="5"/>
  <c r="AL632" i="5"/>
  <c r="AR637" i="5"/>
  <c r="AR635" i="5"/>
  <c r="AR633" i="5"/>
  <c r="AR636" i="5"/>
  <c r="AR634" i="5"/>
  <c r="AR632" i="5"/>
  <c r="AN636" i="5"/>
  <c r="AN634" i="5"/>
  <c r="AN632" i="5"/>
  <c r="AN637" i="5"/>
  <c r="AN635" i="5"/>
  <c r="AN633" i="5"/>
  <c r="AO636" i="5"/>
  <c r="AO634" i="5"/>
  <c r="AO632" i="5"/>
  <c r="AO637" i="5"/>
  <c r="AO635" i="5"/>
  <c r="AO633" i="5"/>
  <c r="AK637" i="5"/>
  <c r="AK635" i="5"/>
  <c r="AK633" i="5"/>
  <c r="AK636" i="5"/>
  <c r="AK634" i="5"/>
  <c r="AK632" i="5"/>
  <c r="AQ637" i="5"/>
  <c r="AQ635" i="5"/>
  <c r="AQ633" i="5"/>
  <c r="AQ636" i="5"/>
  <c r="AQ634" i="5"/>
  <c r="AQ632" i="5"/>
  <c r="AI637" i="5"/>
  <c r="AI635" i="5"/>
  <c r="AI633" i="5"/>
  <c r="AI636" i="5"/>
  <c r="AI634" i="5"/>
  <c r="AI632" i="5"/>
  <c r="AE637" i="5"/>
  <c r="AE636" i="5"/>
  <c r="AE635" i="5"/>
  <c r="AE634" i="5"/>
  <c r="AE633" i="5"/>
  <c r="AE632" i="5"/>
  <c r="AF637" i="5"/>
  <c r="AF636" i="5"/>
  <c r="AF635" i="5"/>
  <c r="AF634" i="5"/>
  <c r="AF633" i="5"/>
  <c r="AF632" i="5"/>
  <c r="AC637" i="5"/>
  <c r="AC636" i="5"/>
  <c r="AC635" i="5"/>
  <c r="AC634" i="5"/>
  <c r="AC633" i="5"/>
  <c r="AC632" i="5"/>
  <c r="AB636" i="5"/>
  <c r="AB633" i="5"/>
  <c r="AB637" i="5"/>
  <c r="AB634" i="5"/>
  <c r="AB635" i="5"/>
  <c r="AB632" i="5"/>
  <c r="AH634" i="5"/>
  <c r="AH637" i="5"/>
  <c r="AH635" i="5"/>
  <c r="AH633" i="5"/>
  <c r="AH636" i="5"/>
  <c r="AH632" i="5"/>
  <c r="Y637" i="5"/>
  <c r="Y633" i="5"/>
  <c r="Y635" i="5"/>
  <c r="Y634" i="5"/>
  <c r="Y636" i="5"/>
  <c r="Y632" i="5"/>
  <c r="Z637" i="5"/>
  <c r="Z635" i="5"/>
  <c r="Z633" i="5"/>
  <c r="Z636" i="5"/>
  <c r="Z634" i="5"/>
  <c r="Z632" i="5"/>
  <c r="W637" i="5"/>
  <c r="W635" i="5"/>
  <c r="W633" i="5"/>
  <c r="W636" i="5"/>
  <c r="W634" i="5"/>
  <c r="W632" i="5"/>
  <c r="V636" i="5"/>
  <c r="V634" i="5"/>
  <c r="V632" i="5"/>
  <c r="V637" i="5"/>
  <c r="V635" i="5"/>
  <c r="V633" i="5"/>
  <c r="CG624" i="5"/>
  <c r="CG628" i="5"/>
  <c r="CJ624" i="5"/>
  <c r="CJ628" i="5"/>
  <c r="CH628" i="5"/>
  <c r="CH624" i="5"/>
  <c r="CK624" i="5"/>
  <c r="CK628" i="5"/>
  <c r="CD624" i="5"/>
  <c r="CD628" i="5"/>
  <c r="CE624" i="5"/>
  <c r="CE628" i="5"/>
  <c r="CB628" i="5"/>
  <c r="CB624" i="5"/>
  <c r="BX628" i="5"/>
  <c r="BX624" i="5"/>
  <c r="BY624" i="5"/>
  <c r="BY628" i="5"/>
  <c r="BU624" i="5"/>
  <c r="BU628" i="5"/>
  <c r="BV628" i="5"/>
  <c r="BV624" i="5"/>
  <c r="CA624" i="5"/>
  <c r="CA628" i="5"/>
  <c r="BM624" i="5"/>
  <c r="BM628" i="5"/>
  <c r="BL624" i="5"/>
  <c r="BL628" i="5"/>
  <c r="BO628" i="5"/>
  <c r="BO624" i="5"/>
  <c r="BP628" i="5"/>
  <c r="BP624" i="5"/>
  <c r="BR624" i="5"/>
  <c r="BR628" i="5"/>
  <c r="BS624" i="5"/>
  <c r="BS628" i="5"/>
  <c r="BF628" i="5"/>
  <c r="BF624" i="5"/>
  <c r="BI624" i="5"/>
  <c r="BI628" i="5"/>
  <c r="BG628" i="5"/>
  <c r="BG624" i="5"/>
  <c r="BJ624" i="5"/>
  <c r="BJ628" i="5"/>
  <c r="BC624" i="5"/>
  <c r="BC628" i="5"/>
  <c r="BD624" i="5"/>
  <c r="BD628" i="5"/>
  <c r="AU624" i="5"/>
  <c r="AU628" i="5"/>
  <c r="BA624" i="5"/>
  <c r="BA628" i="5"/>
  <c r="AW628" i="5"/>
  <c r="AW624" i="5"/>
  <c r="AX628" i="5"/>
  <c r="AX624" i="5"/>
  <c r="AT624" i="5"/>
  <c r="AT628" i="5"/>
  <c r="AZ624" i="5"/>
  <c r="AZ628" i="5"/>
  <c r="AL624" i="5"/>
  <c r="AL628" i="5"/>
  <c r="AQ624" i="5"/>
  <c r="AQ628" i="5"/>
  <c r="AN628" i="5"/>
  <c r="AN624" i="5"/>
  <c r="AO628" i="5"/>
  <c r="AO624" i="5"/>
  <c r="AK624" i="5"/>
  <c r="AK628" i="5"/>
  <c r="AR624" i="5"/>
  <c r="AR628" i="5"/>
  <c r="AB628" i="5"/>
  <c r="AB624" i="5"/>
  <c r="AC628" i="5"/>
  <c r="AC624" i="5"/>
  <c r="AE628" i="5"/>
  <c r="AE624" i="5"/>
  <c r="AI624" i="5"/>
  <c r="AI628" i="5"/>
  <c r="AH624" i="5"/>
  <c r="AH628" i="5"/>
  <c r="AF628" i="5"/>
  <c r="AF624" i="5"/>
  <c r="Y624" i="5"/>
  <c r="Y628" i="5"/>
  <c r="Z624" i="5"/>
  <c r="Z628" i="5"/>
  <c r="V624" i="5"/>
  <c r="V628" i="5"/>
  <c r="W624" i="5"/>
  <c r="W628" i="5"/>
  <c r="T636" i="5"/>
  <c r="T634" i="5"/>
  <c r="T632" i="5"/>
  <c r="T637" i="5"/>
  <c r="T635" i="5"/>
  <c r="T633" i="5"/>
  <c r="S636" i="5"/>
  <c r="S634" i="5"/>
  <c r="S632" i="5"/>
  <c r="S635" i="5"/>
  <c r="S637" i="5"/>
  <c r="S633" i="5"/>
  <c r="S624" i="5"/>
  <c r="S628" i="5"/>
  <c r="Q625" i="5"/>
  <c r="Q629" i="5"/>
  <c r="T624" i="5"/>
  <c r="T628" i="5"/>
  <c r="R625" i="5"/>
  <c r="R629" i="5"/>
  <c r="R630" i="5"/>
  <c r="R626" i="5"/>
  <c r="Q630" i="5"/>
  <c r="Q626" i="5"/>
  <c r="Q650" i="5"/>
  <c r="R650" i="5"/>
  <c r="Q661" i="5"/>
  <c r="Q747" i="5"/>
  <c r="AQ746" i="5"/>
  <c r="AX755" i="5"/>
  <c r="Q757" i="5"/>
  <c r="S1264" i="5"/>
  <c r="AN1264" i="5"/>
  <c r="AF755" i="5"/>
  <c r="CA755" i="5"/>
  <c r="CD755" i="5"/>
  <c r="CJ755" i="5"/>
  <c r="CG755" i="5"/>
  <c r="Y746" i="5"/>
  <c r="R761" i="5"/>
  <c r="BM755" i="5"/>
  <c r="BS755" i="5"/>
  <c r="BP755" i="5"/>
  <c r="CB755" i="5"/>
  <c r="BL746" i="5"/>
  <c r="CA746" i="5"/>
  <c r="AX1264" i="5"/>
  <c r="CD746" i="5"/>
  <c r="CJ746" i="5"/>
  <c r="CG746" i="5"/>
  <c r="Q761" i="5"/>
  <c r="Q749" i="5"/>
  <c r="Z700" i="5"/>
  <c r="S755" i="5"/>
  <c r="Y755" i="5"/>
  <c r="BI755" i="5"/>
  <c r="BO755" i="5"/>
  <c r="T1264" i="5"/>
  <c r="BP1264" i="5"/>
  <c r="AL698" i="5"/>
  <c r="AL702" i="5"/>
  <c r="AR702" i="5"/>
  <c r="AO703" i="5"/>
  <c r="AU699" i="5"/>
  <c r="BA699" i="5"/>
  <c r="AU702" i="5"/>
  <c r="BA701" i="5"/>
  <c r="AX703" i="5"/>
  <c r="BG701" i="5"/>
  <c r="CE699" i="5"/>
  <c r="CK699" i="5"/>
  <c r="AW702" i="5"/>
  <c r="AZ703" i="5"/>
  <c r="BC700" i="5"/>
  <c r="BC703" i="5"/>
  <c r="BL700" i="5"/>
  <c r="CD700" i="5"/>
  <c r="CD703" i="5"/>
  <c r="S1261" i="5"/>
  <c r="AL755" i="5"/>
  <c r="AR755" i="5"/>
  <c r="AW755" i="5"/>
  <c r="BG755" i="5"/>
  <c r="BD755" i="5"/>
  <c r="BM746" i="5"/>
  <c r="BS746" i="5"/>
  <c r="BD700" i="5"/>
  <c r="BD703" i="5"/>
  <c r="BJ703" i="5"/>
  <c r="BS700" i="5"/>
  <c r="CH702" i="5"/>
  <c r="CE703" i="5"/>
  <c r="CK703" i="5"/>
  <c r="CG703" i="5"/>
  <c r="AH1261" i="5"/>
  <c r="AI1264" i="5"/>
  <c r="AO1264" i="5"/>
  <c r="BO1264" i="5"/>
  <c r="BL1264" i="5"/>
  <c r="CD1261" i="5"/>
  <c r="AK700" i="5"/>
  <c r="AT700" i="5"/>
  <c r="AT703" i="5"/>
  <c r="BO699" i="5"/>
  <c r="BR700" i="5"/>
  <c r="BU703" i="5"/>
  <c r="CJ700" i="5"/>
  <c r="BY755" i="5"/>
  <c r="BV755" i="5"/>
  <c r="AF746" i="5"/>
  <c r="AN746" i="5"/>
  <c r="AK746" i="5"/>
  <c r="W1261" i="5"/>
  <c r="V755" i="5"/>
  <c r="AB755" i="5"/>
  <c r="AH755" i="5"/>
  <c r="AE755" i="5"/>
  <c r="CE755" i="5"/>
  <c r="CK755" i="5"/>
  <c r="CH755" i="5"/>
  <c r="W746" i="5"/>
  <c r="AZ746" i="5"/>
  <c r="BC746" i="5"/>
  <c r="BI746" i="5"/>
  <c r="BF746" i="5"/>
  <c r="BO746" i="5"/>
  <c r="CB746" i="5"/>
  <c r="CE746" i="5"/>
  <c r="CK746" i="5"/>
  <c r="R752" i="5"/>
  <c r="AO702" i="5"/>
  <c r="AL703" i="5"/>
  <c r="AR703" i="5"/>
  <c r="AX702" i="5"/>
  <c r="AU703" i="5"/>
  <c r="BA703" i="5"/>
  <c r="Q700" i="5"/>
  <c r="AB1261" i="5"/>
  <c r="BI1264" i="5"/>
  <c r="BM1261" i="5"/>
  <c r="BR1264" i="5"/>
  <c r="CE1261" i="5"/>
  <c r="CK1264" i="5"/>
  <c r="R1281" i="5"/>
  <c r="R1278" i="5" s="1"/>
  <c r="R1261" i="5" s="1"/>
  <c r="BX755" i="5"/>
  <c r="BU755" i="5"/>
  <c r="AE746" i="5"/>
  <c r="AB746" i="5"/>
  <c r="AR746" i="5"/>
  <c r="BA746" i="5"/>
  <c r="BD746" i="5"/>
  <c r="BJ746" i="5"/>
  <c r="S702" i="5"/>
  <c r="V702" i="5"/>
  <c r="Y699" i="5"/>
  <c r="Y702" i="5"/>
  <c r="AB699" i="5"/>
  <c r="AH699" i="5"/>
  <c r="AE700" i="5"/>
  <c r="AE703" i="5"/>
  <c r="BL702" i="5"/>
  <c r="BR702" i="5"/>
  <c r="BO703" i="5"/>
  <c r="BU699" i="5"/>
  <c r="CA699" i="5"/>
  <c r="BU702" i="5"/>
  <c r="CA702" i="5"/>
  <c r="BX703" i="5"/>
  <c r="BP699" i="5"/>
  <c r="Y1264" i="5"/>
  <c r="BJ1264" i="5"/>
  <c r="BO1261" i="5"/>
  <c r="AW699" i="5"/>
  <c r="AW1261" i="5"/>
  <c r="BS1261" i="5"/>
  <c r="CJ701" i="5"/>
  <c r="AN701" i="5"/>
  <c r="BF699" i="5"/>
  <c r="AQ755" i="5"/>
  <c r="AT746" i="5"/>
  <c r="S698" i="5"/>
  <c r="V698" i="5"/>
  <c r="AK698" i="5"/>
  <c r="AQ698" i="5"/>
  <c r="AK702" i="5"/>
  <c r="AQ702" i="5"/>
  <c r="AN703" i="5"/>
  <c r="AT698" i="5"/>
  <c r="AZ698" i="5"/>
  <c r="CG699" i="5"/>
  <c r="AE698" i="5"/>
  <c r="AZ700" i="5"/>
  <c r="CD701" i="5"/>
  <c r="CD702" i="5"/>
  <c r="R756" i="5"/>
  <c r="BI700" i="5"/>
  <c r="AK755" i="5"/>
  <c r="BJ755" i="5"/>
  <c r="AW746" i="5"/>
  <c r="AH746" i="5"/>
  <c r="AO746" i="5"/>
  <c r="BR746" i="5"/>
  <c r="BY746" i="5"/>
  <c r="R757" i="5"/>
  <c r="R748" i="5"/>
  <c r="AN699" i="5"/>
  <c r="AQ700" i="5"/>
  <c r="AK703" i="5"/>
  <c r="CD1264" i="5"/>
  <c r="CJ1264" i="5"/>
  <c r="CJ1261" i="5"/>
  <c r="Q1281" i="5"/>
  <c r="Q1278" i="5" s="1"/>
  <c r="Q1261" i="5" s="1"/>
  <c r="T755" i="5"/>
  <c r="Z755" i="5"/>
  <c r="BF755" i="5"/>
  <c r="BC755" i="5"/>
  <c r="BL755" i="5"/>
  <c r="BR755" i="5"/>
  <c r="V746" i="5"/>
  <c r="S746" i="5"/>
  <c r="AI746" i="5"/>
  <c r="AX746" i="5"/>
  <c r="BP746" i="5"/>
  <c r="BX746" i="5"/>
  <c r="BU746" i="5"/>
  <c r="Q748" i="5"/>
  <c r="T700" i="5"/>
  <c r="W700" i="5"/>
  <c r="AI703" i="5"/>
  <c r="BG699" i="5"/>
  <c r="BJ700" i="5"/>
  <c r="BG702" i="5"/>
  <c r="V1261" i="5"/>
  <c r="AK1261" i="5"/>
  <c r="AT1264" i="5"/>
  <c r="BC698" i="5"/>
  <c r="BI698" i="5"/>
  <c r="BL698" i="5"/>
  <c r="BR698" i="5"/>
  <c r="CD698" i="5"/>
  <c r="CJ698" i="5"/>
  <c r="AN702" i="5"/>
  <c r="AQ703" i="5"/>
  <c r="BL1261" i="5"/>
  <c r="BR1261" i="5"/>
  <c r="CA1261" i="5"/>
  <c r="W755" i="5"/>
  <c r="T702" i="5"/>
  <c r="W702" i="5"/>
  <c r="Z701" i="5"/>
  <c r="AC699" i="5"/>
  <c r="AI699" i="5"/>
  <c r="AC702" i="5"/>
  <c r="AF703" i="5"/>
  <c r="BS702" i="5"/>
  <c r="BV699" i="5"/>
  <c r="CB699" i="5"/>
  <c r="BV702" i="5"/>
  <c r="CB701" i="5"/>
  <c r="BY703" i="5"/>
  <c r="AB702" i="5"/>
  <c r="AH702" i="5"/>
  <c r="AR700" i="5"/>
  <c r="V1264" i="5"/>
  <c r="AQ1261" i="5"/>
  <c r="BM1264" i="5"/>
  <c r="BS1264" i="5"/>
  <c r="CB1261" i="5"/>
  <c r="AL1261" i="5"/>
  <c r="AR1261" i="5"/>
  <c r="BG1261" i="5"/>
  <c r="BP1261" i="5"/>
  <c r="AI1261" i="5"/>
  <c r="AF1261" i="5"/>
  <c r="BU1261" i="5"/>
  <c r="BV1261" i="5"/>
  <c r="BA1261" i="5"/>
  <c r="BC1261" i="5"/>
  <c r="BF1261" i="5"/>
  <c r="AC1261" i="5"/>
  <c r="AU1261" i="5"/>
  <c r="BI1261" i="5"/>
  <c r="CK1261" i="5"/>
  <c r="CG1264" i="5"/>
  <c r="CH1264" i="5"/>
  <c r="BX1264" i="5"/>
  <c r="BV1264" i="5"/>
  <c r="CB1264" i="5"/>
  <c r="BY1264" i="5"/>
  <c r="BC1264" i="5"/>
  <c r="BF1264" i="5"/>
  <c r="BD1264" i="5"/>
  <c r="AZ1264" i="5"/>
  <c r="AC1264" i="5"/>
  <c r="AE1264" i="5"/>
  <c r="AF1264" i="5"/>
  <c r="Z1264" i="5"/>
  <c r="Q1265" i="5"/>
  <c r="R1265" i="5"/>
  <c r="Q1266" i="5"/>
  <c r="R1266" i="5"/>
  <c r="CE1264" i="5"/>
  <c r="BU1264" i="5"/>
  <c r="CA1264" i="5"/>
  <c r="AU1264" i="5"/>
  <c r="BA1264" i="5"/>
  <c r="Q1286" i="5"/>
  <c r="Q1279" i="5" s="1"/>
  <c r="Q1264" i="5" s="1"/>
  <c r="R1286" i="5"/>
  <c r="R1279" i="5" s="1"/>
  <c r="R1264" i="5" s="1"/>
  <c r="BG1264" i="5"/>
  <c r="AW1264" i="5"/>
  <c r="AK1264" i="5"/>
  <c r="AQ1264" i="5"/>
  <c r="AL1264" i="5"/>
  <c r="AR1264" i="5"/>
  <c r="AB1264" i="5"/>
  <c r="AH1264" i="5"/>
  <c r="R1263" i="5"/>
  <c r="Q1262" i="5"/>
  <c r="Q1263" i="5"/>
  <c r="R1262" i="5"/>
  <c r="CG1261" i="5"/>
  <c r="CH1261" i="5"/>
  <c r="BX1261" i="5"/>
  <c r="BY1261" i="5"/>
  <c r="BD1261" i="5"/>
  <c r="BJ1261" i="5"/>
  <c r="AX1261" i="5"/>
  <c r="AT1261" i="5"/>
  <c r="AZ1261" i="5"/>
  <c r="AN1261" i="5"/>
  <c r="AO1261" i="5"/>
  <c r="AE1261" i="5"/>
  <c r="W1264" i="5"/>
  <c r="Y1261" i="5"/>
  <c r="Z1261" i="5"/>
  <c r="T1261" i="5"/>
  <c r="R663" i="5"/>
  <c r="R660" i="5" s="1"/>
  <c r="Q663" i="5"/>
  <c r="Q660" i="5" s="1"/>
  <c r="AL700" i="5"/>
  <c r="AF700" i="5"/>
  <c r="T698" i="5"/>
  <c r="CH700" i="5"/>
  <c r="Z699" i="5"/>
  <c r="BY700" i="5"/>
  <c r="BM700" i="5"/>
  <c r="BM698" i="5"/>
  <c r="AR698" i="5"/>
  <c r="BS698" i="5"/>
  <c r="W698" i="5"/>
  <c r="BD698" i="5"/>
  <c r="BJ698" i="5"/>
  <c r="AX700" i="5"/>
  <c r="R700" i="5"/>
  <c r="BJ702" i="5"/>
  <c r="BD702" i="5"/>
  <c r="CE702" i="5"/>
  <c r="CK701" i="5"/>
  <c r="CH703" i="5"/>
  <c r="CJ702" i="5"/>
  <c r="CG702" i="5"/>
  <c r="CJ703" i="5"/>
  <c r="BX702" i="5"/>
  <c r="CA703" i="5"/>
  <c r="BY702" i="5"/>
  <c r="BV703" i="5"/>
  <c r="CB703" i="5"/>
  <c r="BS703" i="5"/>
  <c r="BM702" i="5"/>
  <c r="BP703" i="5"/>
  <c r="BO702" i="5"/>
  <c r="BL703" i="5"/>
  <c r="BR703" i="5"/>
  <c r="BP702" i="5"/>
  <c r="BM703" i="5"/>
  <c r="BF702" i="5"/>
  <c r="BI703" i="5"/>
  <c r="BI702" i="5"/>
  <c r="BF703" i="5"/>
  <c r="AI701" i="5"/>
  <c r="AE702" i="5"/>
  <c r="AH703" i="5"/>
  <c r="AB701" i="5"/>
  <c r="Q703" i="5"/>
  <c r="AH701" i="5"/>
  <c r="AF702" i="5"/>
  <c r="AC703" i="5"/>
  <c r="Z703" i="5"/>
  <c r="W703" i="5"/>
  <c r="R703" i="5"/>
  <c r="T703" i="5"/>
  <c r="AU701" i="5"/>
  <c r="BM701" i="5"/>
  <c r="CB702" i="5"/>
  <c r="Y701" i="5"/>
  <c r="AC701" i="5"/>
  <c r="AI702" i="5"/>
  <c r="AO701" i="5"/>
  <c r="AW701" i="5"/>
  <c r="BC701" i="5"/>
  <c r="BI701" i="5"/>
  <c r="BO701" i="5"/>
  <c r="CA701" i="5"/>
  <c r="BX701" i="5"/>
  <c r="CE701" i="5"/>
  <c r="CK702" i="5"/>
  <c r="Z702" i="5"/>
  <c r="BA702" i="5"/>
  <c r="BV701" i="5"/>
  <c r="AE701" i="5"/>
  <c r="AK701" i="5"/>
  <c r="AQ701" i="5"/>
  <c r="AX701" i="5"/>
  <c r="BG703" i="5"/>
  <c r="BD701" i="5"/>
  <c r="BJ701" i="5"/>
  <c r="BP701" i="5"/>
  <c r="BY701" i="5"/>
  <c r="CG701" i="5"/>
  <c r="T701" i="5"/>
  <c r="W701" i="5"/>
  <c r="BS701" i="5"/>
  <c r="S701" i="5"/>
  <c r="V701" i="5"/>
  <c r="AF701" i="5"/>
  <c r="AL701" i="5"/>
  <c r="AR701" i="5"/>
  <c r="AT701" i="5"/>
  <c r="AZ701" i="5"/>
  <c r="BF701" i="5"/>
  <c r="BL701" i="5"/>
  <c r="BR701" i="5"/>
  <c r="BU701" i="5"/>
  <c r="CH701" i="5"/>
  <c r="BX700" i="5"/>
  <c r="BX698" i="5"/>
  <c r="AK699" i="5"/>
  <c r="AQ699" i="5"/>
  <c r="AN700" i="5"/>
  <c r="BL699" i="5"/>
  <c r="S699" i="5"/>
  <c r="BC699" i="5"/>
  <c r="BI699" i="5"/>
  <c r="BF700" i="5"/>
  <c r="V699" i="5"/>
  <c r="Y698" i="5"/>
  <c r="AT699" i="5"/>
  <c r="AZ699" i="5"/>
  <c r="AW700" i="5"/>
  <c r="BR699" i="5"/>
  <c r="BO700" i="5"/>
  <c r="CD699" i="5"/>
  <c r="CJ699" i="5"/>
  <c r="CG700" i="5"/>
  <c r="T699" i="5"/>
  <c r="W699" i="5"/>
  <c r="Z698" i="5"/>
  <c r="AF698" i="5"/>
  <c r="AL699" i="5"/>
  <c r="AR699" i="5"/>
  <c r="AO700" i="5"/>
  <c r="AX698" i="5"/>
  <c r="BD699" i="5"/>
  <c r="BJ699" i="5"/>
  <c r="BG700" i="5"/>
  <c r="BM699" i="5"/>
  <c r="BS699" i="5"/>
  <c r="BP700" i="5"/>
  <c r="BY698" i="5"/>
  <c r="CH698" i="5"/>
  <c r="AE699" i="5"/>
  <c r="AB700" i="5"/>
  <c r="AH700" i="5"/>
  <c r="BX699" i="5"/>
  <c r="BU700" i="5"/>
  <c r="CA700" i="5"/>
  <c r="AF699" i="5"/>
  <c r="AC700" i="5"/>
  <c r="AI700" i="5"/>
  <c r="AX699" i="5"/>
  <c r="AU700" i="5"/>
  <c r="BA700" i="5"/>
  <c r="BY699" i="5"/>
  <c r="BV700" i="5"/>
  <c r="CB700" i="5"/>
  <c r="CH699" i="5"/>
  <c r="CE700" i="5"/>
  <c r="CK700" i="5"/>
  <c r="Q701" i="5"/>
  <c r="R701" i="5"/>
  <c r="Q702" i="5"/>
  <c r="R702" i="5"/>
  <c r="CE698" i="5"/>
  <c r="CK698" i="5"/>
  <c r="CG698" i="5"/>
  <c r="BU698" i="5"/>
  <c r="CA698" i="5"/>
  <c r="BV698" i="5"/>
  <c r="CB698" i="5"/>
  <c r="BO698" i="5"/>
  <c r="BP698" i="5"/>
  <c r="BF698" i="5"/>
  <c r="BG698" i="5"/>
  <c r="AU698" i="5"/>
  <c r="BA698" i="5"/>
  <c r="AW698" i="5"/>
  <c r="AN698" i="5"/>
  <c r="AO698" i="5"/>
  <c r="AB698" i="5"/>
  <c r="AH698" i="5"/>
  <c r="AC698" i="5"/>
  <c r="AI698" i="5"/>
  <c r="AN755" i="5"/>
  <c r="Q758" i="5"/>
  <c r="R758" i="5"/>
  <c r="R749" i="5"/>
  <c r="AL746" i="5"/>
  <c r="BV746" i="5"/>
  <c r="BG746" i="5"/>
  <c r="AC746" i="5"/>
  <c r="AU746" i="5"/>
  <c r="R747" i="5"/>
  <c r="CH746" i="5"/>
  <c r="AC755" i="5"/>
  <c r="AI755" i="5"/>
  <c r="AT755" i="5"/>
  <c r="AZ755" i="5"/>
  <c r="Q756" i="5"/>
  <c r="AO755" i="5"/>
  <c r="AU755" i="5"/>
  <c r="BA755" i="5"/>
  <c r="Q752" i="5"/>
  <c r="Z746" i="5"/>
  <c r="T746" i="5"/>
  <c r="R811" i="5"/>
  <c r="Q811" i="5"/>
  <c r="R814" i="5"/>
  <c r="R812" i="5" s="1"/>
  <c r="Q814" i="5"/>
  <c r="Q812" i="5" s="1"/>
  <c r="R810" i="5"/>
  <c r="Q810" i="5"/>
  <c r="R802" i="5"/>
  <c r="Q802" i="5"/>
  <c r="Q799" i="5" s="1"/>
  <c r="R801" i="5"/>
  <c r="Q801" i="5"/>
  <c r="CK808" i="5"/>
  <c r="CJ808" i="5"/>
  <c r="CH808" i="5"/>
  <c r="CG808" i="5"/>
  <c r="CE808" i="5"/>
  <c r="CD808" i="5"/>
  <c r="CK807" i="5"/>
  <c r="CJ807" i="5"/>
  <c r="CH807" i="5"/>
  <c r="CG807" i="5"/>
  <c r="CE807" i="5"/>
  <c r="CD807" i="5"/>
  <c r="CK806" i="5"/>
  <c r="CJ806" i="5"/>
  <c r="CH806" i="5"/>
  <c r="CG806" i="5"/>
  <c r="CE806" i="5"/>
  <c r="CD806" i="5"/>
  <c r="CK799" i="5"/>
  <c r="CJ799" i="5"/>
  <c r="CH799" i="5"/>
  <c r="CG799" i="5"/>
  <c r="CE799" i="5"/>
  <c r="CD799" i="5"/>
  <c r="CK798" i="5"/>
  <c r="CJ798" i="5"/>
  <c r="CH798" i="5"/>
  <c r="CG798" i="5"/>
  <c r="CE798" i="5"/>
  <c r="CD798" i="5"/>
  <c r="CK797" i="5"/>
  <c r="CJ797" i="5"/>
  <c r="CH797" i="5"/>
  <c r="CG797" i="5"/>
  <c r="CE797" i="5"/>
  <c r="CD797" i="5"/>
  <c r="CB808" i="5"/>
  <c r="CA808" i="5"/>
  <c r="BY808" i="5"/>
  <c r="BX808" i="5"/>
  <c r="BV808" i="5"/>
  <c r="BU808" i="5"/>
  <c r="CB807" i="5"/>
  <c r="CA807" i="5"/>
  <c r="BY807" i="5"/>
  <c r="BX807" i="5"/>
  <c r="BV807" i="5"/>
  <c r="BU807" i="5"/>
  <c r="CB806" i="5"/>
  <c r="CA806" i="5"/>
  <c r="BY806" i="5"/>
  <c r="BX806" i="5"/>
  <c r="BV806" i="5"/>
  <c r="BU806" i="5"/>
  <c r="CB799" i="5"/>
  <c r="CA799" i="5"/>
  <c r="BY799" i="5"/>
  <c r="BX799" i="5"/>
  <c r="BV799" i="5"/>
  <c r="BU799" i="5"/>
  <c r="CB798" i="5"/>
  <c r="CA798" i="5"/>
  <c r="BY798" i="5"/>
  <c r="BX798" i="5"/>
  <c r="BV798" i="5"/>
  <c r="BU798" i="5"/>
  <c r="CB797" i="5"/>
  <c r="CA797" i="5"/>
  <c r="BY797" i="5"/>
  <c r="BX797" i="5"/>
  <c r="BV797" i="5"/>
  <c r="BU797" i="5"/>
  <c r="BS808" i="5"/>
  <c r="BR808" i="5"/>
  <c r="BP808" i="5"/>
  <c r="BO808" i="5"/>
  <c r="BM808" i="5"/>
  <c r="BL808" i="5"/>
  <c r="BS807" i="5"/>
  <c r="BR807" i="5"/>
  <c r="BP807" i="5"/>
  <c r="BO807" i="5"/>
  <c r="BM807" i="5"/>
  <c r="BL807" i="5"/>
  <c r="BS806" i="5"/>
  <c r="BR806" i="5"/>
  <c r="BP806" i="5"/>
  <c r="BO806" i="5"/>
  <c r="BM806" i="5"/>
  <c r="BL806" i="5"/>
  <c r="BS799" i="5"/>
  <c r="BR799" i="5"/>
  <c r="BP799" i="5"/>
  <c r="BO799" i="5"/>
  <c r="BM799" i="5"/>
  <c r="BL799" i="5"/>
  <c r="BS798" i="5"/>
  <c r="BR798" i="5"/>
  <c r="BP798" i="5"/>
  <c r="BO798" i="5"/>
  <c r="BM798" i="5"/>
  <c r="BL798" i="5"/>
  <c r="BS797" i="5"/>
  <c r="BR797" i="5"/>
  <c r="BP797" i="5"/>
  <c r="BO797" i="5"/>
  <c r="BM797" i="5"/>
  <c r="BL797" i="5"/>
  <c r="BJ808" i="5"/>
  <c r="BI808" i="5"/>
  <c r="BG808" i="5"/>
  <c r="BF808" i="5"/>
  <c r="BD808" i="5"/>
  <c r="BC808" i="5"/>
  <c r="BJ807" i="5"/>
  <c r="BI807" i="5"/>
  <c r="BG807" i="5"/>
  <c r="BF807" i="5"/>
  <c r="BD807" i="5"/>
  <c r="BC807" i="5"/>
  <c r="BJ806" i="5"/>
  <c r="BI806" i="5"/>
  <c r="BG806" i="5"/>
  <c r="BF806" i="5"/>
  <c r="BD806" i="5"/>
  <c r="BC806" i="5"/>
  <c r="BJ799" i="5"/>
  <c r="BI799" i="5"/>
  <c r="BG799" i="5"/>
  <c r="BF799" i="5"/>
  <c r="BD799" i="5"/>
  <c r="BC799" i="5"/>
  <c r="BJ798" i="5"/>
  <c r="BI798" i="5"/>
  <c r="BG798" i="5"/>
  <c r="BF798" i="5"/>
  <c r="BD798" i="5"/>
  <c r="BC798" i="5"/>
  <c r="BJ797" i="5"/>
  <c r="BI797" i="5"/>
  <c r="BG797" i="5"/>
  <c r="BF797" i="5"/>
  <c r="BD797" i="5"/>
  <c r="BC797" i="5"/>
  <c r="BA808" i="5"/>
  <c r="AZ808" i="5"/>
  <c r="AX808" i="5"/>
  <c r="AW808" i="5"/>
  <c r="AU808" i="5"/>
  <c r="AT808" i="5"/>
  <c r="BA807" i="5"/>
  <c r="AZ807" i="5"/>
  <c r="AX807" i="5"/>
  <c r="AW807" i="5"/>
  <c r="AU807" i="5"/>
  <c r="AT807" i="5"/>
  <c r="BA806" i="5"/>
  <c r="AZ806" i="5"/>
  <c r="AX806" i="5"/>
  <c r="AW806" i="5"/>
  <c r="AU806" i="5"/>
  <c r="AT806" i="5"/>
  <c r="BA799" i="5"/>
  <c r="AZ799" i="5"/>
  <c r="AX799" i="5"/>
  <c r="AW799" i="5"/>
  <c r="AU799" i="5"/>
  <c r="AT799" i="5"/>
  <c r="BA798" i="5"/>
  <c r="AZ798" i="5"/>
  <c r="AX798" i="5"/>
  <c r="AW798" i="5"/>
  <c r="AU798" i="5"/>
  <c r="AT798" i="5"/>
  <c r="BA797" i="5"/>
  <c r="AZ797" i="5"/>
  <c r="AX797" i="5"/>
  <c r="AW797" i="5"/>
  <c r="AU797" i="5"/>
  <c r="AT797" i="5"/>
  <c r="AR808" i="5"/>
  <c r="AQ808" i="5"/>
  <c r="AO808" i="5"/>
  <c r="AN808" i="5"/>
  <c r="AL808" i="5"/>
  <c r="AK808" i="5"/>
  <c r="AR807" i="5"/>
  <c r="AQ807" i="5"/>
  <c r="AO807" i="5"/>
  <c r="AN807" i="5"/>
  <c r="AL807" i="5"/>
  <c r="AK807" i="5"/>
  <c r="AR806" i="5"/>
  <c r="AQ806" i="5"/>
  <c r="AO806" i="5"/>
  <c r="AN806" i="5"/>
  <c r="AL806" i="5"/>
  <c r="AK806" i="5"/>
  <c r="AR799" i="5"/>
  <c r="AQ799" i="5"/>
  <c r="AO799" i="5"/>
  <c r="AN799" i="5"/>
  <c r="AL799" i="5"/>
  <c r="AK799" i="5"/>
  <c r="AR798" i="5"/>
  <c r="AQ798" i="5"/>
  <c r="AO798" i="5"/>
  <c r="AN798" i="5"/>
  <c r="AL798" i="5"/>
  <c r="AK798" i="5"/>
  <c r="AR797" i="5"/>
  <c r="AQ797" i="5"/>
  <c r="AO797" i="5"/>
  <c r="AN797" i="5"/>
  <c r="AL797" i="5"/>
  <c r="AK797" i="5"/>
  <c r="AI808" i="5"/>
  <c r="AH808" i="5"/>
  <c r="AF808" i="5"/>
  <c r="AE808" i="5"/>
  <c r="AC808" i="5"/>
  <c r="AB808" i="5"/>
  <c r="AI807" i="5"/>
  <c r="AH807" i="5"/>
  <c r="AF807" i="5"/>
  <c r="AE807" i="5"/>
  <c r="AC807" i="5"/>
  <c r="AB807" i="5"/>
  <c r="AI806" i="5"/>
  <c r="AH806" i="5"/>
  <c r="AF806" i="5"/>
  <c r="AE806" i="5"/>
  <c r="AC806" i="5"/>
  <c r="AB806" i="5"/>
  <c r="AI799" i="5"/>
  <c r="AH799" i="5"/>
  <c r="AF799" i="5"/>
  <c r="AE799" i="5"/>
  <c r="AC799" i="5"/>
  <c r="AB799" i="5"/>
  <c r="AI798" i="5"/>
  <c r="AH798" i="5"/>
  <c r="AF798" i="5"/>
  <c r="AE798" i="5"/>
  <c r="AC798" i="5"/>
  <c r="AB798" i="5"/>
  <c r="AI797" i="5"/>
  <c r="AH797" i="5"/>
  <c r="AF797" i="5"/>
  <c r="AE797" i="5"/>
  <c r="AC797" i="5"/>
  <c r="AB797" i="5"/>
  <c r="Z808" i="5"/>
  <c r="Y808" i="5"/>
  <c r="Z807" i="5"/>
  <c r="Y807" i="5"/>
  <c r="Z806" i="5"/>
  <c r="Y806" i="5"/>
  <c r="W808" i="5"/>
  <c r="V808" i="5"/>
  <c r="W807" i="5"/>
  <c r="V807" i="5"/>
  <c r="W806" i="5"/>
  <c r="V806" i="5"/>
  <c r="T808" i="5"/>
  <c r="S808" i="5"/>
  <c r="T807" i="5"/>
  <c r="S807" i="5"/>
  <c r="T806" i="5"/>
  <c r="S806" i="5"/>
  <c r="Z799" i="5"/>
  <c r="Y799" i="5"/>
  <c r="Z798" i="5"/>
  <c r="Y798" i="5"/>
  <c r="Z797" i="5"/>
  <c r="Y797" i="5"/>
  <c r="W799" i="5"/>
  <c r="V799" i="5"/>
  <c r="W798" i="5"/>
  <c r="V798" i="5"/>
  <c r="W797" i="5"/>
  <c r="V797" i="5"/>
  <c r="T799" i="5"/>
  <c r="S799" i="5"/>
  <c r="T798" i="5"/>
  <c r="S798" i="5"/>
  <c r="T797" i="5"/>
  <c r="S797" i="5"/>
  <c r="R1304" i="5"/>
  <c r="R1299" i="5" s="1"/>
  <c r="Q1304" i="5"/>
  <c r="Q1299" i="5" s="1"/>
  <c r="R1303" i="5"/>
  <c r="Q1303" i="5"/>
  <c r="R1307" i="5"/>
  <c r="R1301" i="5" s="1"/>
  <c r="Q1307" i="5"/>
  <c r="Q1301" i="5" s="1"/>
  <c r="R1306" i="5"/>
  <c r="Q1306" i="5"/>
  <c r="R1317" i="5"/>
  <c r="Q1317" i="5"/>
  <c r="Q1311" i="5" s="1"/>
  <c r="R1316" i="5"/>
  <c r="Q1316" i="5"/>
  <c r="R1314" i="5"/>
  <c r="R1309" i="5" s="1"/>
  <c r="Q1314" i="5"/>
  <c r="Q1309" i="5" s="1"/>
  <c r="R1313" i="5"/>
  <c r="Q1313" i="5"/>
  <c r="CK1311" i="5"/>
  <c r="CJ1311" i="5"/>
  <c r="CH1311" i="5"/>
  <c r="CG1311" i="5"/>
  <c r="CE1311" i="5"/>
  <c r="CD1311" i="5"/>
  <c r="CK1310" i="5"/>
  <c r="CJ1310" i="5"/>
  <c r="CH1310" i="5"/>
  <c r="CG1310" i="5"/>
  <c r="CE1310" i="5"/>
  <c r="CD1310" i="5"/>
  <c r="CK1309" i="5"/>
  <c r="CJ1309" i="5"/>
  <c r="CH1309" i="5"/>
  <c r="CG1309" i="5"/>
  <c r="CE1309" i="5"/>
  <c r="CD1309" i="5"/>
  <c r="CK1308" i="5"/>
  <c r="CJ1308" i="5"/>
  <c r="CH1308" i="5"/>
  <c r="CG1308" i="5"/>
  <c r="CE1308" i="5"/>
  <c r="CD1308" i="5"/>
  <c r="CB1311" i="5"/>
  <c r="CA1311" i="5"/>
  <c r="BY1311" i="5"/>
  <c r="BX1311" i="5"/>
  <c r="BV1311" i="5"/>
  <c r="BU1311" i="5"/>
  <c r="CB1310" i="5"/>
  <c r="CA1310" i="5"/>
  <c r="BY1310" i="5"/>
  <c r="BX1310" i="5"/>
  <c r="BV1310" i="5"/>
  <c r="BU1310" i="5"/>
  <c r="CB1309" i="5"/>
  <c r="CA1309" i="5"/>
  <c r="BY1309" i="5"/>
  <c r="BX1309" i="5"/>
  <c r="BV1309" i="5"/>
  <c r="BU1309" i="5"/>
  <c r="CB1308" i="5"/>
  <c r="CA1308" i="5"/>
  <c r="BY1308" i="5"/>
  <c r="BX1308" i="5"/>
  <c r="BV1308" i="5"/>
  <c r="BU1308" i="5"/>
  <c r="BS1311" i="5"/>
  <c r="BR1311" i="5"/>
  <c r="BP1311" i="5"/>
  <c r="BO1311" i="5"/>
  <c r="BM1311" i="5"/>
  <c r="BL1311" i="5"/>
  <c r="BS1310" i="5"/>
  <c r="BR1310" i="5"/>
  <c r="BP1310" i="5"/>
  <c r="BO1310" i="5"/>
  <c r="BM1310" i="5"/>
  <c r="BL1310" i="5"/>
  <c r="BS1309" i="5"/>
  <c r="BR1309" i="5"/>
  <c r="BP1309" i="5"/>
  <c r="BO1309" i="5"/>
  <c r="BM1309" i="5"/>
  <c r="BL1309" i="5"/>
  <c r="BS1308" i="5"/>
  <c r="BR1308" i="5"/>
  <c r="BP1308" i="5"/>
  <c r="BO1308" i="5"/>
  <c r="BM1308" i="5"/>
  <c r="BL1308" i="5"/>
  <c r="BJ1311" i="5"/>
  <c r="BI1311" i="5"/>
  <c r="BG1311" i="5"/>
  <c r="BF1311" i="5"/>
  <c r="BD1311" i="5"/>
  <c r="BC1311" i="5"/>
  <c r="BJ1310" i="5"/>
  <c r="BI1310" i="5"/>
  <c r="BG1310" i="5"/>
  <c r="BF1310" i="5"/>
  <c r="BD1310" i="5"/>
  <c r="BC1310" i="5"/>
  <c r="BJ1309" i="5"/>
  <c r="BI1309" i="5"/>
  <c r="BG1309" i="5"/>
  <c r="BF1309" i="5"/>
  <c r="BD1309" i="5"/>
  <c r="BC1309" i="5"/>
  <c r="BJ1308" i="5"/>
  <c r="BI1308" i="5"/>
  <c r="BG1308" i="5"/>
  <c r="BF1308" i="5"/>
  <c r="BD1308" i="5"/>
  <c r="BC1308" i="5"/>
  <c r="BA1311" i="5"/>
  <c r="AZ1311" i="5"/>
  <c r="AX1311" i="5"/>
  <c r="AW1311" i="5"/>
  <c r="AU1311" i="5"/>
  <c r="AT1311" i="5"/>
  <c r="BA1310" i="5"/>
  <c r="AZ1310" i="5"/>
  <c r="AX1310" i="5"/>
  <c r="AW1310" i="5"/>
  <c r="AU1310" i="5"/>
  <c r="AT1310" i="5"/>
  <c r="BA1309" i="5"/>
  <c r="AZ1309" i="5"/>
  <c r="AX1309" i="5"/>
  <c r="AW1309" i="5"/>
  <c r="AU1309" i="5"/>
  <c r="AT1309" i="5"/>
  <c r="BA1308" i="5"/>
  <c r="AZ1308" i="5"/>
  <c r="AX1308" i="5"/>
  <c r="AW1308" i="5"/>
  <c r="AU1308" i="5"/>
  <c r="AT1308" i="5"/>
  <c r="AR1311" i="5"/>
  <c r="AQ1311" i="5"/>
  <c r="AO1311" i="5"/>
  <c r="AN1311" i="5"/>
  <c r="AL1311" i="5"/>
  <c r="AK1311" i="5"/>
  <c r="AR1310" i="5"/>
  <c r="AQ1310" i="5"/>
  <c r="AO1310" i="5"/>
  <c r="AN1310" i="5"/>
  <c r="AL1310" i="5"/>
  <c r="AK1310" i="5"/>
  <c r="AR1309" i="5"/>
  <c r="AQ1309" i="5"/>
  <c r="AO1309" i="5"/>
  <c r="AN1309" i="5"/>
  <c r="AL1309" i="5"/>
  <c r="AK1309" i="5"/>
  <c r="AR1308" i="5"/>
  <c r="AQ1308" i="5"/>
  <c r="AO1308" i="5"/>
  <c r="AN1308" i="5"/>
  <c r="AL1308" i="5"/>
  <c r="AK1308" i="5"/>
  <c r="AI1311" i="5"/>
  <c r="AH1311" i="5"/>
  <c r="AF1311" i="5"/>
  <c r="AE1311" i="5"/>
  <c r="AC1311" i="5"/>
  <c r="AB1311" i="5"/>
  <c r="AI1310" i="5"/>
  <c r="AH1310" i="5"/>
  <c r="AF1310" i="5"/>
  <c r="AE1310" i="5"/>
  <c r="AC1310" i="5"/>
  <c r="AB1310" i="5"/>
  <c r="AI1309" i="5"/>
  <c r="AH1309" i="5"/>
  <c r="AF1309" i="5"/>
  <c r="AE1309" i="5"/>
  <c r="AC1309" i="5"/>
  <c r="AB1309" i="5"/>
  <c r="AI1308" i="5"/>
  <c r="AH1308" i="5"/>
  <c r="AF1308" i="5"/>
  <c r="AE1308" i="5"/>
  <c r="AC1308" i="5"/>
  <c r="AB1308" i="5"/>
  <c r="Z1311" i="5"/>
  <c r="Y1311" i="5"/>
  <c r="Z1310" i="5"/>
  <c r="Y1310" i="5"/>
  <c r="Z1309" i="5"/>
  <c r="Y1309" i="5"/>
  <c r="Z1308" i="5"/>
  <c r="Y1308" i="5"/>
  <c r="W1311" i="5"/>
  <c r="V1311" i="5"/>
  <c r="W1310" i="5"/>
  <c r="V1310" i="5"/>
  <c r="W1309" i="5"/>
  <c r="V1309" i="5"/>
  <c r="W1308" i="5"/>
  <c r="V1308" i="5"/>
  <c r="T1311" i="5"/>
  <c r="S1311" i="5"/>
  <c r="T1310" i="5"/>
  <c r="S1310" i="5"/>
  <c r="T1309" i="5"/>
  <c r="S1309" i="5"/>
  <c r="T1308" i="5"/>
  <c r="S1308" i="5"/>
  <c r="R1311" i="5"/>
  <c r="CK1301" i="5"/>
  <c r="CJ1301" i="5"/>
  <c r="CH1301" i="5"/>
  <c r="CG1301" i="5"/>
  <c r="CE1301" i="5"/>
  <c r="CD1301" i="5"/>
  <c r="CK1300" i="5"/>
  <c r="CJ1300" i="5"/>
  <c r="CH1300" i="5"/>
  <c r="CG1300" i="5"/>
  <c r="CE1300" i="5"/>
  <c r="CD1300" i="5"/>
  <c r="CK1299" i="5"/>
  <c r="CJ1299" i="5"/>
  <c r="CG1299" i="5"/>
  <c r="CE1299" i="5"/>
  <c r="CD1299" i="5"/>
  <c r="CK1298" i="5"/>
  <c r="CJ1298" i="5"/>
  <c r="CH1298" i="5"/>
  <c r="CG1298" i="5"/>
  <c r="CE1298" i="5"/>
  <c r="CD1298" i="5"/>
  <c r="CB1301" i="5"/>
  <c r="CA1301" i="5"/>
  <c r="BY1301" i="5"/>
  <c r="BX1301" i="5"/>
  <c r="BV1301" i="5"/>
  <c r="BU1301" i="5"/>
  <c r="CB1300" i="5"/>
  <c r="CA1300" i="5"/>
  <c r="BY1300" i="5"/>
  <c r="BX1300" i="5"/>
  <c r="BV1300" i="5"/>
  <c r="BU1300" i="5"/>
  <c r="CB1299" i="5"/>
  <c r="CA1299" i="5"/>
  <c r="BY1299" i="5"/>
  <c r="BX1299" i="5"/>
  <c r="BV1299" i="5"/>
  <c r="BU1299" i="5"/>
  <c r="CB1298" i="5"/>
  <c r="CA1298" i="5"/>
  <c r="BY1298" i="5"/>
  <c r="BX1298" i="5"/>
  <c r="BV1298" i="5"/>
  <c r="BU1298" i="5"/>
  <c r="BS1301" i="5"/>
  <c r="BR1301" i="5"/>
  <c r="BP1301" i="5"/>
  <c r="BO1301" i="5"/>
  <c r="BM1301" i="5"/>
  <c r="BL1301" i="5"/>
  <c r="BS1300" i="5"/>
  <c r="BR1300" i="5"/>
  <c r="BP1300" i="5"/>
  <c r="BO1300" i="5"/>
  <c r="BM1300" i="5"/>
  <c r="BL1300" i="5"/>
  <c r="BS1299" i="5"/>
  <c r="BR1299" i="5"/>
  <c r="BP1299" i="5"/>
  <c r="BO1299" i="5"/>
  <c r="BM1299" i="5"/>
  <c r="BL1299" i="5"/>
  <c r="BS1298" i="5"/>
  <c r="BR1298" i="5"/>
  <c r="BP1298" i="5"/>
  <c r="BO1298" i="5"/>
  <c r="BM1298" i="5"/>
  <c r="BL1298" i="5"/>
  <c r="BJ1301" i="5"/>
  <c r="BI1301" i="5"/>
  <c r="BG1301" i="5"/>
  <c r="BF1301" i="5"/>
  <c r="BD1301" i="5"/>
  <c r="BC1301" i="5"/>
  <c r="BJ1300" i="5"/>
  <c r="BI1300" i="5"/>
  <c r="BG1300" i="5"/>
  <c r="BF1300" i="5"/>
  <c r="BD1300" i="5"/>
  <c r="BC1300" i="5"/>
  <c r="BJ1299" i="5"/>
  <c r="BI1299" i="5"/>
  <c r="BG1299" i="5"/>
  <c r="BF1299" i="5"/>
  <c r="BD1299" i="5"/>
  <c r="BC1299" i="5"/>
  <c r="BJ1298" i="5"/>
  <c r="BI1298" i="5"/>
  <c r="BG1298" i="5"/>
  <c r="BF1298" i="5"/>
  <c r="BD1298" i="5"/>
  <c r="BC1298" i="5"/>
  <c r="BA1301" i="5"/>
  <c r="AZ1301" i="5"/>
  <c r="AX1301" i="5"/>
  <c r="AW1301" i="5"/>
  <c r="AU1301" i="5"/>
  <c r="AT1301" i="5"/>
  <c r="BA1300" i="5"/>
  <c r="AZ1300" i="5"/>
  <c r="AX1300" i="5"/>
  <c r="AW1300" i="5"/>
  <c r="AU1300" i="5"/>
  <c r="AT1300" i="5"/>
  <c r="BA1299" i="5"/>
  <c r="AZ1299" i="5"/>
  <c r="AX1299" i="5"/>
  <c r="AW1299" i="5"/>
  <c r="AU1299" i="5"/>
  <c r="AT1299" i="5"/>
  <c r="BA1298" i="5"/>
  <c r="AZ1298" i="5"/>
  <c r="AX1298" i="5"/>
  <c r="AW1298" i="5"/>
  <c r="AU1298" i="5"/>
  <c r="AT1298" i="5"/>
  <c r="AR1301" i="5"/>
  <c r="AQ1301" i="5"/>
  <c r="AO1301" i="5"/>
  <c r="AN1301" i="5"/>
  <c r="AL1301" i="5"/>
  <c r="AK1301" i="5"/>
  <c r="AR1300" i="5"/>
  <c r="AQ1300" i="5"/>
  <c r="AO1300" i="5"/>
  <c r="AN1300" i="5"/>
  <c r="AL1300" i="5"/>
  <c r="AK1300" i="5"/>
  <c r="AR1299" i="5"/>
  <c r="AQ1299" i="5"/>
  <c r="AO1299" i="5"/>
  <c r="AN1299" i="5"/>
  <c r="AL1299" i="5"/>
  <c r="AK1299" i="5"/>
  <c r="AR1298" i="5"/>
  <c r="AQ1298" i="5"/>
  <c r="AO1298" i="5"/>
  <c r="AN1298" i="5"/>
  <c r="AL1298" i="5"/>
  <c r="AK1298" i="5"/>
  <c r="AI1301" i="5"/>
  <c r="AH1301" i="5"/>
  <c r="AF1301" i="5"/>
  <c r="AE1301" i="5"/>
  <c r="AC1301" i="5"/>
  <c r="AB1301" i="5"/>
  <c r="AI1300" i="5"/>
  <c r="AH1300" i="5"/>
  <c r="AF1300" i="5"/>
  <c r="AE1300" i="5"/>
  <c r="AC1300" i="5"/>
  <c r="AB1300" i="5"/>
  <c r="AI1299" i="5"/>
  <c r="AH1299" i="5"/>
  <c r="AF1299" i="5"/>
  <c r="AE1299" i="5"/>
  <c r="AC1299" i="5"/>
  <c r="AB1299" i="5"/>
  <c r="AI1298" i="5"/>
  <c r="AH1298" i="5"/>
  <c r="AF1298" i="5"/>
  <c r="AE1298" i="5"/>
  <c r="AC1298" i="5"/>
  <c r="AB1298" i="5"/>
  <c r="Z1301" i="5"/>
  <c r="Y1301" i="5"/>
  <c r="Z1300" i="5"/>
  <c r="Y1300" i="5"/>
  <c r="Z1299" i="5"/>
  <c r="Y1299" i="5"/>
  <c r="Z1298" i="5"/>
  <c r="Y1298" i="5"/>
  <c r="W1301" i="5"/>
  <c r="V1301" i="5"/>
  <c r="W1300" i="5"/>
  <c r="V1300" i="5"/>
  <c r="W1299" i="5"/>
  <c r="V1299" i="5"/>
  <c r="W1298" i="5"/>
  <c r="V1298" i="5"/>
  <c r="T1301" i="5"/>
  <c r="S1301" i="5"/>
  <c r="T1300" i="5"/>
  <c r="S1300" i="5"/>
  <c r="T1299" i="5"/>
  <c r="S1299" i="5"/>
  <c r="T1298" i="5"/>
  <c r="S1298" i="5"/>
  <c r="R1332" i="5"/>
  <c r="Q1332" i="5"/>
  <c r="Q1326" i="5" s="1"/>
  <c r="R1331" i="5"/>
  <c r="R1325" i="5" s="1"/>
  <c r="Q1331" i="5"/>
  <c r="R1335" i="5"/>
  <c r="R1328" i="5" s="1"/>
  <c r="Q1335" i="5"/>
  <c r="Q1328" i="5" s="1"/>
  <c r="R1334" i="5"/>
  <c r="Q1334" i="5"/>
  <c r="R1346" i="5"/>
  <c r="Q1346" i="5"/>
  <c r="R1345" i="5"/>
  <c r="Q1345" i="5"/>
  <c r="R1343" i="5"/>
  <c r="Q1343" i="5"/>
  <c r="R1342" i="5"/>
  <c r="Q1342" i="5"/>
  <c r="CK1339" i="5"/>
  <c r="CJ1339" i="5"/>
  <c r="CH1339" i="5"/>
  <c r="CG1339" i="5"/>
  <c r="CE1339" i="5"/>
  <c r="CD1339" i="5"/>
  <c r="CK1338" i="5"/>
  <c r="CJ1338" i="5"/>
  <c r="CH1338" i="5"/>
  <c r="CG1338" i="5"/>
  <c r="CE1338" i="5"/>
  <c r="CD1338" i="5"/>
  <c r="CK1337" i="5"/>
  <c r="CJ1337" i="5"/>
  <c r="CH1337" i="5"/>
  <c r="CG1337" i="5"/>
  <c r="CE1337" i="5"/>
  <c r="CD1337" i="5"/>
  <c r="CK1336" i="5"/>
  <c r="CJ1336" i="5"/>
  <c r="CH1336" i="5"/>
  <c r="CG1336" i="5"/>
  <c r="CE1336" i="5"/>
  <c r="CD1336" i="5"/>
  <c r="CB1339" i="5"/>
  <c r="CA1339" i="5"/>
  <c r="BY1339" i="5"/>
  <c r="BX1339" i="5"/>
  <c r="BV1339" i="5"/>
  <c r="BU1339" i="5"/>
  <c r="CB1338" i="5"/>
  <c r="CA1338" i="5"/>
  <c r="BY1338" i="5"/>
  <c r="BX1338" i="5"/>
  <c r="BV1338" i="5"/>
  <c r="BU1338" i="5"/>
  <c r="CB1337" i="5"/>
  <c r="CA1337" i="5"/>
  <c r="BY1337" i="5"/>
  <c r="BX1337" i="5"/>
  <c r="BV1337" i="5"/>
  <c r="BU1337" i="5"/>
  <c r="CB1336" i="5"/>
  <c r="CA1336" i="5"/>
  <c r="BY1336" i="5"/>
  <c r="BX1336" i="5"/>
  <c r="BV1336" i="5"/>
  <c r="BU1336" i="5"/>
  <c r="BS1339" i="5"/>
  <c r="BR1339" i="5"/>
  <c r="BP1339" i="5"/>
  <c r="BO1339" i="5"/>
  <c r="BM1339" i="5"/>
  <c r="BL1339" i="5"/>
  <c r="BS1338" i="5"/>
  <c r="BR1338" i="5"/>
  <c r="BP1338" i="5"/>
  <c r="BO1338" i="5"/>
  <c r="BM1338" i="5"/>
  <c r="BL1338" i="5"/>
  <c r="BS1337" i="5"/>
  <c r="BR1337" i="5"/>
  <c r="BP1337" i="5"/>
  <c r="BO1337" i="5"/>
  <c r="BM1337" i="5"/>
  <c r="BL1337" i="5"/>
  <c r="BS1336" i="5"/>
  <c r="BR1336" i="5"/>
  <c r="BP1336" i="5"/>
  <c r="BO1336" i="5"/>
  <c r="BM1336" i="5"/>
  <c r="BL1336" i="5"/>
  <c r="BJ1339" i="5"/>
  <c r="BI1339" i="5"/>
  <c r="BG1339" i="5"/>
  <c r="BF1339" i="5"/>
  <c r="BD1339" i="5"/>
  <c r="BC1339" i="5"/>
  <c r="BJ1338" i="5"/>
  <c r="BI1338" i="5"/>
  <c r="BG1338" i="5"/>
  <c r="BF1338" i="5"/>
  <c r="BD1338" i="5"/>
  <c r="BC1338" i="5"/>
  <c r="BJ1337" i="5"/>
  <c r="BI1337" i="5"/>
  <c r="BG1337" i="5"/>
  <c r="BF1337" i="5"/>
  <c r="BD1337" i="5"/>
  <c r="BC1337" i="5"/>
  <c r="BJ1336" i="5"/>
  <c r="BI1336" i="5"/>
  <c r="BG1336" i="5"/>
  <c r="BF1336" i="5"/>
  <c r="BD1336" i="5"/>
  <c r="BC1336" i="5"/>
  <c r="BA1339" i="5"/>
  <c r="AZ1339" i="5"/>
  <c r="AX1339" i="5"/>
  <c r="AW1339" i="5"/>
  <c r="AU1339" i="5"/>
  <c r="AT1339" i="5"/>
  <c r="BA1338" i="5"/>
  <c r="AZ1338" i="5"/>
  <c r="AX1338" i="5"/>
  <c r="AW1338" i="5"/>
  <c r="AU1338" i="5"/>
  <c r="AT1338" i="5"/>
  <c r="BA1337" i="5"/>
  <c r="AZ1337" i="5"/>
  <c r="AX1337" i="5"/>
  <c r="AW1337" i="5"/>
  <c r="AU1337" i="5"/>
  <c r="AT1337" i="5"/>
  <c r="BA1336" i="5"/>
  <c r="AZ1336" i="5"/>
  <c r="AX1336" i="5"/>
  <c r="AW1336" i="5"/>
  <c r="AU1336" i="5"/>
  <c r="AT1336" i="5"/>
  <c r="AR1339" i="5"/>
  <c r="AQ1339" i="5"/>
  <c r="AO1339" i="5"/>
  <c r="AN1339" i="5"/>
  <c r="AL1339" i="5"/>
  <c r="AK1339" i="5"/>
  <c r="AR1338" i="5"/>
  <c r="AQ1338" i="5"/>
  <c r="AO1338" i="5"/>
  <c r="AN1338" i="5"/>
  <c r="AL1338" i="5"/>
  <c r="AK1338" i="5"/>
  <c r="AR1337" i="5"/>
  <c r="AQ1337" i="5"/>
  <c r="AO1337" i="5"/>
  <c r="AN1337" i="5"/>
  <c r="AL1337" i="5"/>
  <c r="AK1337" i="5"/>
  <c r="AR1336" i="5"/>
  <c r="AQ1336" i="5"/>
  <c r="AO1336" i="5"/>
  <c r="AN1336" i="5"/>
  <c r="AL1336" i="5"/>
  <c r="AK1336" i="5"/>
  <c r="AI1339" i="5"/>
  <c r="AH1339" i="5"/>
  <c r="AF1339" i="5"/>
  <c r="AE1339" i="5"/>
  <c r="AC1339" i="5"/>
  <c r="AB1339" i="5"/>
  <c r="AI1338" i="5"/>
  <c r="AH1338" i="5"/>
  <c r="AF1338" i="5"/>
  <c r="AE1338" i="5"/>
  <c r="AC1338" i="5"/>
  <c r="AB1338" i="5"/>
  <c r="AI1337" i="5"/>
  <c r="AH1337" i="5"/>
  <c r="AF1337" i="5"/>
  <c r="AE1337" i="5"/>
  <c r="AC1337" i="5"/>
  <c r="AB1337" i="5"/>
  <c r="AI1336" i="5"/>
  <c r="AH1336" i="5"/>
  <c r="AF1336" i="5"/>
  <c r="AE1336" i="5"/>
  <c r="AC1336" i="5"/>
  <c r="AB1336" i="5"/>
  <c r="Z1339" i="5"/>
  <c r="Y1339" i="5"/>
  <c r="Z1338" i="5"/>
  <c r="Y1338" i="5"/>
  <c r="Z1337" i="5"/>
  <c r="Y1337" i="5"/>
  <c r="Z1336" i="5"/>
  <c r="Y1336" i="5"/>
  <c r="W1339" i="5"/>
  <c r="V1339" i="5"/>
  <c r="W1338" i="5"/>
  <c r="V1338" i="5"/>
  <c r="W1337" i="5"/>
  <c r="V1337" i="5"/>
  <c r="W1336" i="5"/>
  <c r="V1336" i="5"/>
  <c r="T1339" i="5"/>
  <c r="S1339" i="5"/>
  <c r="T1338" i="5"/>
  <c r="S1338" i="5"/>
  <c r="T1337" i="5"/>
  <c r="S1337" i="5"/>
  <c r="T1336" i="5"/>
  <c r="S1336" i="5"/>
  <c r="R1339" i="5"/>
  <c r="Q1339" i="5"/>
  <c r="R1338" i="5"/>
  <c r="Q1338" i="5"/>
  <c r="R1337" i="5"/>
  <c r="Q1337" i="5"/>
  <c r="R1336" i="5"/>
  <c r="CK1328" i="5"/>
  <c r="CJ1328" i="5"/>
  <c r="CH1328" i="5"/>
  <c r="CG1328" i="5"/>
  <c r="CE1328" i="5"/>
  <c r="CD1328" i="5"/>
  <c r="CK1327" i="5"/>
  <c r="CJ1327" i="5"/>
  <c r="CH1327" i="5"/>
  <c r="CG1327" i="5"/>
  <c r="CE1327" i="5"/>
  <c r="CD1327" i="5"/>
  <c r="CK1326" i="5"/>
  <c r="CJ1326" i="5"/>
  <c r="CH1326" i="5"/>
  <c r="CG1326" i="5"/>
  <c r="CE1326" i="5"/>
  <c r="CD1326" i="5"/>
  <c r="CK1325" i="5"/>
  <c r="CJ1325" i="5"/>
  <c r="CH1325" i="5"/>
  <c r="CG1325" i="5"/>
  <c r="CE1325" i="5"/>
  <c r="CD1325" i="5"/>
  <c r="CB1328" i="5"/>
  <c r="CA1328" i="5"/>
  <c r="BY1328" i="5"/>
  <c r="BX1328" i="5"/>
  <c r="BV1328" i="5"/>
  <c r="BU1328" i="5"/>
  <c r="CB1327" i="5"/>
  <c r="CA1327" i="5"/>
  <c r="BY1327" i="5"/>
  <c r="BX1327" i="5"/>
  <c r="BV1327" i="5"/>
  <c r="BU1327" i="5"/>
  <c r="CB1326" i="5"/>
  <c r="CA1326" i="5"/>
  <c r="BY1326" i="5"/>
  <c r="BX1326" i="5"/>
  <c r="BV1326" i="5"/>
  <c r="BU1326" i="5"/>
  <c r="CB1325" i="5"/>
  <c r="CA1325" i="5"/>
  <c r="BY1325" i="5"/>
  <c r="BX1325" i="5"/>
  <c r="BV1325" i="5"/>
  <c r="BU1325" i="5"/>
  <c r="BS1328" i="5"/>
  <c r="BR1328" i="5"/>
  <c r="BP1328" i="5"/>
  <c r="BO1328" i="5"/>
  <c r="BM1328" i="5"/>
  <c r="BL1328" i="5"/>
  <c r="BS1327" i="5"/>
  <c r="BR1327" i="5"/>
  <c r="BP1327" i="5"/>
  <c r="BO1327" i="5"/>
  <c r="BM1327" i="5"/>
  <c r="BL1327" i="5"/>
  <c r="BS1326" i="5"/>
  <c r="BR1326" i="5"/>
  <c r="BP1326" i="5"/>
  <c r="BO1326" i="5"/>
  <c r="BM1326" i="5"/>
  <c r="BL1326" i="5"/>
  <c r="BS1325" i="5"/>
  <c r="BR1325" i="5"/>
  <c r="BP1325" i="5"/>
  <c r="BO1325" i="5"/>
  <c r="BM1325" i="5"/>
  <c r="BL1325" i="5"/>
  <c r="BJ1328" i="5"/>
  <c r="BI1328" i="5"/>
  <c r="BG1328" i="5"/>
  <c r="BF1328" i="5"/>
  <c r="BD1328" i="5"/>
  <c r="BC1328" i="5"/>
  <c r="BJ1327" i="5"/>
  <c r="BI1327" i="5"/>
  <c r="BG1327" i="5"/>
  <c r="BF1327" i="5"/>
  <c r="BD1327" i="5"/>
  <c r="BC1327" i="5"/>
  <c r="BJ1326" i="5"/>
  <c r="BI1326" i="5"/>
  <c r="BG1326" i="5"/>
  <c r="BF1326" i="5"/>
  <c r="BD1326" i="5"/>
  <c r="BC1326" i="5"/>
  <c r="BJ1325" i="5"/>
  <c r="BI1325" i="5"/>
  <c r="BG1325" i="5"/>
  <c r="BF1325" i="5"/>
  <c r="BD1325" i="5"/>
  <c r="BC1325" i="5"/>
  <c r="BA1328" i="5"/>
  <c r="AZ1328" i="5"/>
  <c r="AX1328" i="5"/>
  <c r="AW1328" i="5"/>
  <c r="AU1328" i="5"/>
  <c r="AT1328" i="5"/>
  <c r="BA1327" i="5"/>
  <c r="AZ1327" i="5"/>
  <c r="AX1327" i="5"/>
  <c r="AW1327" i="5"/>
  <c r="AU1327" i="5"/>
  <c r="AT1327" i="5"/>
  <c r="BA1326" i="5"/>
  <c r="AZ1326" i="5"/>
  <c r="AX1326" i="5"/>
  <c r="AW1326" i="5"/>
  <c r="AU1326" i="5"/>
  <c r="AT1326" i="5"/>
  <c r="BA1325" i="5"/>
  <c r="AZ1325" i="5"/>
  <c r="AX1325" i="5"/>
  <c r="AW1325" i="5"/>
  <c r="AU1325" i="5"/>
  <c r="AT1325" i="5"/>
  <c r="AR1328" i="5"/>
  <c r="AQ1328" i="5"/>
  <c r="AO1328" i="5"/>
  <c r="AN1328" i="5"/>
  <c r="AL1328" i="5"/>
  <c r="AK1328" i="5"/>
  <c r="AR1327" i="5"/>
  <c r="AQ1327" i="5"/>
  <c r="AO1327" i="5"/>
  <c r="AN1327" i="5"/>
  <c r="AL1327" i="5"/>
  <c r="AK1327" i="5"/>
  <c r="AR1326" i="5"/>
  <c r="AQ1326" i="5"/>
  <c r="AO1326" i="5"/>
  <c r="AN1326" i="5"/>
  <c r="AL1326" i="5"/>
  <c r="AK1326" i="5"/>
  <c r="AR1325" i="5"/>
  <c r="AQ1325" i="5"/>
  <c r="AO1325" i="5"/>
  <c r="AN1325" i="5"/>
  <c r="AL1325" i="5"/>
  <c r="AK1325" i="5"/>
  <c r="AI1328" i="5"/>
  <c r="AH1328" i="5"/>
  <c r="AF1328" i="5"/>
  <c r="AE1328" i="5"/>
  <c r="AC1328" i="5"/>
  <c r="AB1328" i="5"/>
  <c r="AI1327" i="5"/>
  <c r="AH1327" i="5"/>
  <c r="AF1327" i="5"/>
  <c r="AE1327" i="5"/>
  <c r="AC1327" i="5"/>
  <c r="AB1327" i="5"/>
  <c r="AI1326" i="5"/>
  <c r="AH1326" i="5"/>
  <c r="AF1326" i="5"/>
  <c r="AE1326" i="5"/>
  <c r="AC1326" i="5"/>
  <c r="AB1326" i="5"/>
  <c r="AI1325" i="5"/>
  <c r="AH1325" i="5"/>
  <c r="AF1325" i="5"/>
  <c r="AE1325" i="5"/>
  <c r="AC1325" i="5"/>
  <c r="AB1325" i="5"/>
  <c r="Z1328" i="5"/>
  <c r="Y1328" i="5"/>
  <c r="Z1327" i="5"/>
  <c r="Y1327" i="5"/>
  <c r="Z1326" i="5"/>
  <c r="Y1326" i="5"/>
  <c r="Z1325" i="5"/>
  <c r="Y1325" i="5"/>
  <c r="W1328" i="5"/>
  <c r="V1328" i="5"/>
  <c r="W1327" i="5"/>
  <c r="V1327" i="5"/>
  <c r="W1326" i="5"/>
  <c r="V1326" i="5"/>
  <c r="W1325" i="5"/>
  <c r="V1325" i="5"/>
  <c r="T1328" i="5"/>
  <c r="S1328" i="5"/>
  <c r="T1327" i="5"/>
  <c r="S1327" i="5"/>
  <c r="T1326" i="5"/>
  <c r="S1326" i="5"/>
  <c r="T1325" i="5"/>
  <c r="S1325" i="5"/>
  <c r="R1361" i="5"/>
  <c r="R1355" i="5" s="1"/>
  <c r="Q1361" i="5"/>
  <c r="Q1355" i="5" s="1"/>
  <c r="R1360" i="5"/>
  <c r="Q1360" i="5"/>
  <c r="R1364" i="5"/>
  <c r="R1357" i="5" s="1"/>
  <c r="Q1364" i="5"/>
  <c r="Q1357" i="5" s="1"/>
  <c r="R1363" i="5"/>
  <c r="Q1363" i="5"/>
  <c r="R1375" i="5"/>
  <c r="Q1375" i="5"/>
  <c r="R1374" i="5"/>
  <c r="Q1374" i="5"/>
  <c r="R1372" i="5"/>
  <c r="Q1372" i="5"/>
  <c r="R1371" i="5"/>
  <c r="Q1371" i="5"/>
  <c r="CK1368" i="5"/>
  <c r="CJ1368" i="5"/>
  <c r="CH1368" i="5"/>
  <c r="CG1368" i="5"/>
  <c r="CE1368" i="5"/>
  <c r="CD1368" i="5"/>
  <c r="CK1367" i="5"/>
  <c r="CJ1367" i="5"/>
  <c r="CH1367" i="5"/>
  <c r="CG1367" i="5"/>
  <c r="CE1367" i="5"/>
  <c r="CD1367" i="5"/>
  <c r="CK1366" i="5"/>
  <c r="CJ1366" i="5"/>
  <c r="CH1366" i="5"/>
  <c r="CG1366" i="5"/>
  <c r="CE1366" i="5"/>
  <c r="CD1366" i="5"/>
  <c r="CK1365" i="5"/>
  <c r="CJ1365" i="5"/>
  <c r="CH1365" i="5"/>
  <c r="CG1365" i="5"/>
  <c r="CE1365" i="5"/>
  <c r="CD1365" i="5"/>
  <c r="CB1368" i="5"/>
  <c r="CA1368" i="5"/>
  <c r="BY1368" i="5"/>
  <c r="BX1368" i="5"/>
  <c r="BV1368" i="5"/>
  <c r="BU1368" i="5"/>
  <c r="CB1367" i="5"/>
  <c r="CA1367" i="5"/>
  <c r="BY1367" i="5"/>
  <c r="BX1367" i="5"/>
  <c r="BV1367" i="5"/>
  <c r="BU1367" i="5"/>
  <c r="CB1366" i="5"/>
  <c r="CA1366" i="5"/>
  <c r="BY1366" i="5"/>
  <c r="BX1366" i="5"/>
  <c r="BV1366" i="5"/>
  <c r="BU1366" i="5"/>
  <c r="CB1365" i="5"/>
  <c r="CA1365" i="5"/>
  <c r="BY1365" i="5"/>
  <c r="BX1365" i="5"/>
  <c r="BV1365" i="5"/>
  <c r="BU1365" i="5"/>
  <c r="BS1368" i="5"/>
  <c r="BR1368" i="5"/>
  <c r="BP1368" i="5"/>
  <c r="BO1368" i="5"/>
  <c r="BM1368" i="5"/>
  <c r="BL1368" i="5"/>
  <c r="BS1367" i="5"/>
  <c r="BR1367" i="5"/>
  <c r="BP1367" i="5"/>
  <c r="BO1367" i="5"/>
  <c r="BM1367" i="5"/>
  <c r="BL1367" i="5"/>
  <c r="BS1366" i="5"/>
  <c r="BR1366" i="5"/>
  <c r="BP1366" i="5"/>
  <c r="BO1366" i="5"/>
  <c r="BM1366" i="5"/>
  <c r="BL1366" i="5"/>
  <c r="BS1365" i="5"/>
  <c r="BR1365" i="5"/>
  <c r="BP1365" i="5"/>
  <c r="BO1365" i="5"/>
  <c r="BM1365" i="5"/>
  <c r="BL1365" i="5"/>
  <c r="BJ1368" i="5"/>
  <c r="BI1368" i="5"/>
  <c r="BG1368" i="5"/>
  <c r="BF1368" i="5"/>
  <c r="BD1368" i="5"/>
  <c r="BC1368" i="5"/>
  <c r="BJ1367" i="5"/>
  <c r="BI1367" i="5"/>
  <c r="BG1367" i="5"/>
  <c r="BF1367" i="5"/>
  <c r="BD1367" i="5"/>
  <c r="BC1367" i="5"/>
  <c r="BJ1366" i="5"/>
  <c r="BI1366" i="5"/>
  <c r="BG1366" i="5"/>
  <c r="BF1366" i="5"/>
  <c r="BD1366" i="5"/>
  <c r="BC1366" i="5"/>
  <c r="BJ1365" i="5"/>
  <c r="BI1365" i="5"/>
  <c r="BG1365" i="5"/>
  <c r="BF1365" i="5"/>
  <c r="BD1365" i="5"/>
  <c r="BC1365" i="5"/>
  <c r="BA1368" i="5"/>
  <c r="AZ1368" i="5"/>
  <c r="AX1368" i="5"/>
  <c r="AW1368" i="5"/>
  <c r="AU1368" i="5"/>
  <c r="AT1368" i="5"/>
  <c r="BA1367" i="5"/>
  <c r="AZ1367" i="5"/>
  <c r="AX1367" i="5"/>
  <c r="AW1367" i="5"/>
  <c r="AU1367" i="5"/>
  <c r="AT1367" i="5"/>
  <c r="BA1366" i="5"/>
  <c r="AZ1366" i="5"/>
  <c r="AX1366" i="5"/>
  <c r="AW1366" i="5"/>
  <c r="AU1366" i="5"/>
  <c r="AT1366" i="5"/>
  <c r="BA1365" i="5"/>
  <c r="AZ1365" i="5"/>
  <c r="AX1365" i="5"/>
  <c r="AW1365" i="5"/>
  <c r="AU1365" i="5"/>
  <c r="AT1365" i="5"/>
  <c r="AR1368" i="5"/>
  <c r="AQ1368" i="5"/>
  <c r="AO1368" i="5"/>
  <c r="AN1368" i="5"/>
  <c r="AL1368" i="5"/>
  <c r="AK1368" i="5"/>
  <c r="AR1367" i="5"/>
  <c r="AQ1367" i="5"/>
  <c r="AO1367" i="5"/>
  <c r="AN1367" i="5"/>
  <c r="AL1367" i="5"/>
  <c r="AK1367" i="5"/>
  <c r="AR1366" i="5"/>
  <c r="AQ1366" i="5"/>
  <c r="AO1366" i="5"/>
  <c r="AN1366" i="5"/>
  <c r="AL1366" i="5"/>
  <c r="AK1366" i="5"/>
  <c r="AR1365" i="5"/>
  <c r="AQ1365" i="5"/>
  <c r="AO1365" i="5"/>
  <c r="AN1365" i="5"/>
  <c r="AL1365" i="5"/>
  <c r="AK1365" i="5"/>
  <c r="AI1368" i="5"/>
  <c r="AH1368" i="5"/>
  <c r="AF1368" i="5"/>
  <c r="AE1368" i="5"/>
  <c r="AC1368" i="5"/>
  <c r="AB1368" i="5"/>
  <c r="AI1367" i="5"/>
  <c r="AH1367" i="5"/>
  <c r="AF1367" i="5"/>
  <c r="AE1367" i="5"/>
  <c r="AC1367" i="5"/>
  <c r="AB1367" i="5"/>
  <c r="AI1366" i="5"/>
  <c r="AH1366" i="5"/>
  <c r="AF1366" i="5"/>
  <c r="AE1366" i="5"/>
  <c r="AC1366" i="5"/>
  <c r="AB1366" i="5"/>
  <c r="AI1365" i="5"/>
  <c r="AH1365" i="5"/>
  <c r="AF1365" i="5"/>
  <c r="AE1365" i="5"/>
  <c r="AC1365" i="5"/>
  <c r="AB1365" i="5"/>
  <c r="Z1368" i="5"/>
  <c r="Y1368" i="5"/>
  <c r="Z1367" i="5"/>
  <c r="Y1367" i="5"/>
  <c r="Z1366" i="5"/>
  <c r="Y1366" i="5"/>
  <c r="Z1365" i="5"/>
  <c r="Y1365" i="5"/>
  <c r="W1368" i="5"/>
  <c r="V1368" i="5"/>
  <c r="W1367" i="5"/>
  <c r="V1367" i="5"/>
  <c r="W1366" i="5"/>
  <c r="V1366" i="5"/>
  <c r="W1365" i="5"/>
  <c r="V1365" i="5"/>
  <c r="T1368" i="5"/>
  <c r="S1368" i="5"/>
  <c r="T1367" i="5"/>
  <c r="S1367" i="5"/>
  <c r="T1366" i="5"/>
  <c r="S1366" i="5"/>
  <c r="T1365" i="5"/>
  <c r="S1365" i="5"/>
  <c r="R1368" i="5"/>
  <c r="Q1368" i="5"/>
  <c r="R1367" i="5"/>
  <c r="Q1367" i="5"/>
  <c r="R1366" i="5"/>
  <c r="Q1366" i="5"/>
  <c r="R1365" i="5"/>
  <c r="Q1365" i="5"/>
  <c r="CK1357" i="5"/>
  <c r="CJ1357" i="5"/>
  <c r="CH1357" i="5"/>
  <c r="CG1357" i="5"/>
  <c r="CE1357" i="5"/>
  <c r="CD1357" i="5"/>
  <c r="CD1353" i="5" s="1"/>
  <c r="CK1356" i="5"/>
  <c r="CJ1356" i="5"/>
  <c r="CH1356" i="5"/>
  <c r="CH1352" i="5" s="1"/>
  <c r="CG1356" i="5"/>
  <c r="CG1352" i="5" s="1"/>
  <c r="CE1356" i="5"/>
  <c r="CE1352" i="5" s="1"/>
  <c r="CD1356" i="5"/>
  <c r="CD1352" i="5" s="1"/>
  <c r="CK1355" i="5"/>
  <c r="CK1350" i="5" s="1"/>
  <c r="CJ1355" i="5"/>
  <c r="CJ1350" i="5" s="1"/>
  <c r="CH1355" i="5"/>
  <c r="CG1355" i="5"/>
  <c r="CG1350" i="5" s="1"/>
  <c r="CE1355" i="5"/>
  <c r="CE1350" i="5" s="1"/>
  <c r="CD1355" i="5"/>
  <c r="CD1350" i="5" s="1"/>
  <c r="CK1354" i="5"/>
  <c r="CK1349" i="5" s="1"/>
  <c r="CJ1354" i="5"/>
  <c r="CJ1349" i="5" s="1"/>
  <c r="CH1354" i="5"/>
  <c r="CH1349" i="5" s="1"/>
  <c r="CG1354" i="5"/>
  <c r="CG1349" i="5" s="1"/>
  <c r="CE1354" i="5"/>
  <c r="CD1354" i="5"/>
  <c r="CD1349" i="5" s="1"/>
  <c r="CK1353" i="5"/>
  <c r="CJ1353" i="5"/>
  <c r="CH1353" i="5"/>
  <c r="CG1353" i="5"/>
  <c r="CB1357" i="5"/>
  <c r="CA1357" i="5"/>
  <c r="BY1357" i="5"/>
  <c r="BX1357" i="5"/>
  <c r="BV1357" i="5"/>
  <c r="BU1357" i="5"/>
  <c r="CB1356" i="5"/>
  <c r="CA1356" i="5"/>
  <c r="BY1356" i="5"/>
  <c r="BX1356" i="5"/>
  <c r="BV1356" i="5"/>
  <c r="BU1356" i="5"/>
  <c r="CB1355" i="5"/>
  <c r="CA1355" i="5"/>
  <c r="BY1355" i="5"/>
  <c r="BX1355" i="5"/>
  <c r="BV1355" i="5"/>
  <c r="BU1355" i="5"/>
  <c r="CB1354" i="5"/>
  <c r="CA1354" i="5"/>
  <c r="BY1354" i="5"/>
  <c r="BX1354" i="5"/>
  <c r="BV1354" i="5"/>
  <c r="BU1354" i="5"/>
  <c r="BS1357" i="5"/>
  <c r="BR1357" i="5"/>
  <c r="BP1357" i="5"/>
  <c r="BO1357" i="5"/>
  <c r="BM1357" i="5"/>
  <c r="BL1357" i="5"/>
  <c r="BS1356" i="5"/>
  <c r="BR1356" i="5"/>
  <c r="BP1356" i="5"/>
  <c r="BO1356" i="5"/>
  <c r="BM1356" i="5"/>
  <c r="BL1356" i="5"/>
  <c r="BS1355" i="5"/>
  <c r="BR1355" i="5"/>
  <c r="BP1355" i="5"/>
  <c r="BO1355" i="5"/>
  <c r="BM1355" i="5"/>
  <c r="BL1355" i="5"/>
  <c r="BS1354" i="5"/>
  <c r="BR1354" i="5"/>
  <c r="BP1354" i="5"/>
  <c r="BO1354" i="5"/>
  <c r="BM1354" i="5"/>
  <c r="BL1354" i="5"/>
  <c r="BJ1357" i="5"/>
  <c r="BI1357" i="5"/>
  <c r="BG1357" i="5"/>
  <c r="BF1357" i="5"/>
  <c r="BD1357" i="5"/>
  <c r="BC1357" i="5"/>
  <c r="BJ1356" i="5"/>
  <c r="BI1356" i="5"/>
  <c r="BG1356" i="5"/>
  <c r="BF1356" i="5"/>
  <c r="BD1356" i="5"/>
  <c r="BC1356" i="5"/>
  <c r="BJ1355" i="5"/>
  <c r="BI1355" i="5"/>
  <c r="BG1355" i="5"/>
  <c r="BF1355" i="5"/>
  <c r="BD1355" i="5"/>
  <c r="BC1355" i="5"/>
  <c r="BJ1354" i="5"/>
  <c r="BI1354" i="5"/>
  <c r="BG1354" i="5"/>
  <c r="BF1354" i="5"/>
  <c r="BD1354" i="5"/>
  <c r="BC1354" i="5"/>
  <c r="BA1357" i="5"/>
  <c r="AZ1357" i="5"/>
  <c r="AX1357" i="5"/>
  <c r="AW1357" i="5"/>
  <c r="AU1357" i="5"/>
  <c r="AT1357" i="5"/>
  <c r="BA1356" i="5"/>
  <c r="AZ1356" i="5"/>
  <c r="AX1356" i="5"/>
  <c r="AW1356" i="5"/>
  <c r="AU1356" i="5"/>
  <c r="AT1356" i="5"/>
  <c r="BA1355" i="5"/>
  <c r="AZ1355" i="5"/>
  <c r="AX1355" i="5"/>
  <c r="AW1355" i="5"/>
  <c r="AU1355" i="5"/>
  <c r="AT1355" i="5"/>
  <c r="BA1354" i="5"/>
  <c r="AZ1354" i="5"/>
  <c r="AX1354" i="5"/>
  <c r="AW1354" i="5"/>
  <c r="AU1354" i="5"/>
  <c r="AT1354" i="5"/>
  <c r="AR1357" i="5"/>
  <c r="AQ1357" i="5"/>
  <c r="AO1357" i="5"/>
  <c r="AN1357" i="5"/>
  <c r="AL1357" i="5"/>
  <c r="AK1357" i="5"/>
  <c r="AR1356" i="5"/>
  <c r="AQ1356" i="5"/>
  <c r="AO1356" i="5"/>
  <c r="AN1356" i="5"/>
  <c r="AL1356" i="5"/>
  <c r="AK1356" i="5"/>
  <c r="AR1355" i="5"/>
  <c r="AQ1355" i="5"/>
  <c r="AO1355" i="5"/>
  <c r="AN1355" i="5"/>
  <c r="AL1355" i="5"/>
  <c r="AK1355" i="5"/>
  <c r="AR1354" i="5"/>
  <c r="AQ1354" i="5"/>
  <c r="AO1354" i="5"/>
  <c r="AN1354" i="5"/>
  <c r="AL1354" i="5"/>
  <c r="AK1354" i="5"/>
  <c r="AI1357" i="5"/>
  <c r="AH1357" i="5"/>
  <c r="AF1357" i="5"/>
  <c r="AE1357" i="5"/>
  <c r="AC1357" i="5"/>
  <c r="AB1357" i="5"/>
  <c r="AI1356" i="5"/>
  <c r="AH1356" i="5"/>
  <c r="AF1356" i="5"/>
  <c r="AE1356" i="5"/>
  <c r="AC1356" i="5"/>
  <c r="AB1356" i="5"/>
  <c r="AI1355" i="5"/>
  <c r="AH1355" i="5"/>
  <c r="AF1355" i="5"/>
  <c r="AE1355" i="5"/>
  <c r="AC1355" i="5"/>
  <c r="AB1355" i="5"/>
  <c r="AI1354" i="5"/>
  <c r="AH1354" i="5"/>
  <c r="AF1354" i="5"/>
  <c r="AE1354" i="5"/>
  <c r="AC1354" i="5"/>
  <c r="AB1354" i="5"/>
  <c r="Z1357" i="5"/>
  <c r="Y1357" i="5"/>
  <c r="Z1356" i="5"/>
  <c r="Y1356" i="5"/>
  <c r="Z1355" i="5"/>
  <c r="Y1355" i="5"/>
  <c r="Z1354" i="5"/>
  <c r="Y1354" i="5"/>
  <c r="W1357" i="5"/>
  <c r="V1357" i="5"/>
  <c r="W1356" i="5"/>
  <c r="V1356" i="5"/>
  <c r="W1355" i="5"/>
  <c r="V1355" i="5"/>
  <c r="W1354" i="5"/>
  <c r="V1354" i="5"/>
  <c r="T1357" i="5"/>
  <c r="S1357" i="5"/>
  <c r="T1356" i="5"/>
  <c r="S1356" i="5"/>
  <c r="T1355" i="5"/>
  <c r="S1355" i="5"/>
  <c r="T1354" i="5"/>
  <c r="S1354" i="5"/>
  <c r="R1402" i="5"/>
  <c r="R1401" i="5"/>
  <c r="R1399" i="5"/>
  <c r="R1398" i="5"/>
  <c r="R1396" i="5"/>
  <c r="R1395" i="5"/>
  <c r="R1393" i="5"/>
  <c r="Q1402" i="5" s="1"/>
  <c r="Q1393" i="5"/>
  <c r="R1392" i="5"/>
  <c r="Q1401" i="5" s="1"/>
  <c r="Q1392" i="5"/>
  <c r="R1390" i="5"/>
  <c r="Q1399" i="5" s="1"/>
  <c r="Q1390" i="5"/>
  <c r="R1389" i="5"/>
  <c r="Q1389" i="5"/>
  <c r="R1387" i="5"/>
  <c r="Q1396" i="5" s="1"/>
  <c r="Q1387" i="5"/>
  <c r="R1386" i="5"/>
  <c r="S1380" i="5" s="1"/>
  <c r="Q1386" i="5"/>
  <c r="CK1384" i="5"/>
  <c r="CJ1384" i="5"/>
  <c r="CH1384" i="5"/>
  <c r="CG1384" i="5"/>
  <c r="CE1384" i="5"/>
  <c r="CD1384" i="5"/>
  <c r="CK1383" i="5"/>
  <c r="CJ1383" i="5"/>
  <c r="CH1383" i="5"/>
  <c r="CG1383" i="5"/>
  <c r="CE1383" i="5"/>
  <c r="CD1383" i="5"/>
  <c r="CK1382" i="5"/>
  <c r="CJ1382" i="5"/>
  <c r="CH1382" i="5"/>
  <c r="CG1382" i="5"/>
  <c r="CE1382" i="5"/>
  <c r="CD1382" i="5"/>
  <c r="CK1381" i="5"/>
  <c r="CJ1381" i="5"/>
  <c r="CH1381" i="5"/>
  <c r="CG1381" i="5"/>
  <c r="CE1381" i="5"/>
  <c r="CD1381" i="5"/>
  <c r="CK1380" i="5"/>
  <c r="CJ1380" i="5"/>
  <c r="CH1380" i="5"/>
  <c r="CG1380" i="5"/>
  <c r="CE1380" i="5"/>
  <c r="CD1380" i="5"/>
  <c r="CK1379" i="5"/>
  <c r="CJ1379" i="5"/>
  <c r="CH1379" i="5"/>
  <c r="CG1379" i="5"/>
  <c r="CE1379" i="5"/>
  <c r="CD1379" i="5"/>
  <c r="CB1384" i="5"/>
  <c r="CA1384" i="5"/>
  <c r="BY1384" i="5"/>
  <c r="BX1384" i="5"/>
  <c r="BV1384" i="5"/>
  <c r="BU1384" i="5"/>
  <c r="CB1383" i="5"/>
  <c r="CA1383" i="5"/>
  <c r="BY1383" i="5"/>
  <c r="BX1383" i="5"/>
  <c r="BV1383" i="5"/>
  <c r="BU1383" i="5"/>
  <c r="CB1382" i="5"/>
  <c r="CA1382" i="5"/>
  <c r="BY1382" i="5"/>
  <c r="BX1382" i="5"/>
  <c r="BV1382" i="5"/>
  <c r="BU1382" i="5"/>
  <c r="CB1381" i="5"/>
  <c r="CA1381" i="5"/>
  <c r="BY1381" i="5"/>
  <c r="BX1381" i="5"/>
  <c r="BV1381" i="5"/>
  <c r="BU1381" i="5"/>
  <c r="CB1380" i="5"/>
  <c r="CA1380" i="5"/>
  <c r="BY1380" i="5"/>
  <c r="BX1380" i="5"/>
  <c r="BV1380" i="5"/>
  <c r="BU1380" i="5"/>
  <c r="CB1379" i="5"/>
  <c r="CA1379" i="5"/>
  <c r="BY1379" i="5"/>
  <c r="BX1379" i="5"/>
  <c r="BV1379" i="5"/>
  <c r="BU1379" i="5"/>
  <c r="BS1384" i="5"/>
  <c r="BR1384" i="5"/>
  <c r="BP1384" i="5"/>
  <c r="BO1384" i="5"/>
  <c r="BM1384" i="5"/>
  <c r="BL1384" i="5"/>
  <c r="BS1383" i="5"/>
  <c r="BR1383" i="5"/>
  <c r="BP1383" i="5"/>
  <c r="BO1383" i="5"/>
  <c r="BM1383" i="5"/>
  <c r="BL1383" i="5"/>
  <c r="BS1382" i="5"/>
  <c r="BR1382" i="5"/>
  <c r="BP1382" i="5"/>
  <c r="BO1382" i="5"/>
  <c r="BM1382" i="5"/>
  <c r="BL1382" i="5"/>
  <c r="BS1381" i="5"/>
  <c r="BR1381" i="5"/>
  <c r="BP1381" i="5"/>
  <c r="BO1381" i="5"/>
  <c r="BM1381" i="5"/>
  <c r="BL1381" i="5"/>
  <c r="BS1380" i="5"/>
  <c r="BR1380" i="5"/>
  <c r="BP1380" i="5"/>
  <c r="BO1380" i="5"/>
  <c r="BM1380" i="5"/>
  <c r="BL1380" i="5"/>
  <c r="BS1379" i="5"/>
  <c r="BR1379" i="5"/>
  <c r="BP1379" i="5"/>
  <c r="BO1379" i="5"/>
  <c r="BM1379" i="5"/>
  <c r="BL1379" i="5"/>
  <c r="BJ1384" i="5"/>
  <c r="BI1384" i="5"/>
  <c r="BG1384" i="5"/>
  <c r="BF1384" i="5"/>
  <c r="BD1384" i="5"/>
  <c r="BC1384" i="5"/>
  <c r="BJ1383" i="5"/>
  <c r="BI1383" i="5"/>
  <c r="BG1383" i="5"/>
  <c r="BF1383" i="5"/>
  <c r="BD1383" i="5"/>
  <c r="BC1383" i="5"/>
  <c r="BJ1382" i="5"/>
  <c r="BI1382" i="5"/>
  <c r="BG1382" i="5"/>
  <c r="BF1382" i="5"/>
  <c r="BD1382" i="5"/>
  <c r="BC1382" i="5"/>
  <c r="BJ1381" i="5"/>
  <c r="BI1381" i="5"/>
  <c r="BG1381" i="5"/>
  <c r="BF1381" i="5"/>
  <c r="BD1381" i="5"/>
  <c r="BC1381" i="5"/>
  <c r="BJ1380" i="5"/>
  <c r="BI1380" i="5"/>
  <c r="BG1380" i="5"/>
  <c r="BF1380" i="5"/>
  <c r="BD1380" i="5"/>
  <c r="BC1380" i="5"/>
  <c r="BJ1379" i="5"/>
  <c r="BI1379" i="5"/>
  <c r="BG1379" i="5"/>
  <c r="BF1379" i="5"/>
  <c r="BD1379" i="5"/>
  <c r="BC1379" i="5"/>
  <c r="BA1384" i="5"/>
  <c r="AZ1384" i="5"/>
  <c r="AX1384" i="5"/>
  <c r="AW1384" i="5"/>
  <c r="AU1384" i="5"/>
  <c r="AT1384" i="5"/>
  <c r="BA1383" i="5"/>
  <c r="AZ1383" i="5"/>
  <c r="AX1383" i="5"/>
  <c r="AW1383" i="5"/>
  <c r="AU1383" i="5"/>
  <c r="AT1383" i="5"/>
  <c r="BA1382" i="5"/>
  <c r="AZ1382" i="5"/>
  <c r="AX1382" i="5"/>
  <c r="AW1382" i="5"/>
  <c r="AU1382" i="5"/>
  <c r="AT1382" i="5"/>
  <c r="BA1381" i="5"/>
  <c r="AZ1381" i="5"/>
  <c r="AX1381" i="5"/>
  <c r="AW1381" i="5"/>
  <c r="AU1381" i="5"/>
  <c r="AT1381" i="5"/>
  <c r="BA1380" i="5"/>
  <c r="AZ1380" i="5"/>
  <c r="AX1380" i="5"/>
  <c r="AW1380" i="5"/>
  <c r="AU1380" i="5"/>
  <c r="AT1380" i="5"/>
  <c r="BA1379" i="5"/>
  <c r="AZ1379" i="5"/>
  <c r="AX1379" i="5"/>
  <c r="AW1379" i="5"/>
  <c r="AU1379" i="5"/>
  <c r="AT1379" i="5"/>
  <c r="AR1384" i="5"/>
  <c r="AQ1384" i="5"/>
  <c r="AO1384" i="5"/>
  <c r="AN1384" i="5"/>
  <c r="AL1384" i="5"/>
  <c r="AK1384" i="5"/>
  <c r="AR1383" i="5"/>
  <c r="AQ1383" i="5"/>
  <c r="AO1383" i="5"/>
  <c r="AN1383" i="5"/>
  <c r="AL1383" i="5"/>
  <c r="AK1383" i="5"/>
  <c r="AR1382" i="5"/>
  <c r="AQ1382" i="5"/>
  <c r="AO1382" i="5"/>
  <c r="AN1382" i="5"/>
  <c r="AL1382" i="5"/>
  <c r="AK1382" i="5"/>
  <c r="AR1381" i="5"/>
  <c r="AQ1381" i="5"/>
  <c r="AO1381" i="5"/>
  <c r="AN1381" i="5"/>
  <c r="AL1381" i="5"/>
  <c r="AK1381" i="5"/>
  <c r="AR1380" i="5"/>
  <c r="AQ1380" i="5"/>
  <c r="AO1380" i="5"/>
  <c r="AN1380" i="5"/>
  <c r="AL1380" i="5"/>
  <c r="AK1380" i="5"/>
  <c r="AR1379" i="5"/>
  <c r="AQ1379" i="5"/>
  <c r="AO1379" i="5"/>
  <c r="AN1379" i="5"/>
  <c r="AL1379" i="5"/>
  <c r="AK1379" i="5"/>
  <c r="AI1384" i="5"/>
  <c r="AH1384" i="5"/>
  <c r="AF1384" i="5"/>
  <c r="AE1384" i="5"/>
  <c r="AC1384" i="5"/>
  <c r="AB1384" i="5"/>
  <c r="AI1383" i="5"/>
  <c r="AH1383" i="5"/>
  <c r="AF1383" i="5"/>
  <c r="AE1383" i="5"/>
  <c r="AC1383" i="5"/>
  <c r="AB1383" i="5"/>
  <c r="AI1382" i="5"/>
  <c r="AH1382" i="5"/>
  <c r="AF1382" i="5"/>
  <c r="AE1382" i="5"/>
  <c r="AC1382" i="5"/>
  <c r="AB1382" i="5"/>
  <c r="AI1381" i="5"/>
  <c r="AH1381" i="5"/>
  <c r="AF1381" i="5"/>
  <c r="AE1381" i="5"/>
  <c r="AC1381" i="5"/>
  <c r="AB1381" i="5"/>
  <c r="AI1380" i="5"/>
  <c r="AH1380" i="5"/>
  <c r="AF1380" i="5"/>
  <c r="AE1380" i="5"/>
  <c r="AC1380" i="5"/>
  <c r="AB1380" i="5"/>
  <c r="AI1379" i="5"/>
  <c r="AH1379" i="5"/>
  <c r="AF1379" i="5"/>
  <c r="AE1379" i="5"/>
  <c r="AC1379" i="5"/>
  <c r="AB1379" i="5"/>
  <c r="Z1384" i="5"/>
  <c r="Y1384" i="5"/>
  <c r="Z1383" i="5"/>
  <c r="Y1383" i="5"/>
  <c r="Z1382" i="5"/>
  <c r="Y1382" i="5"/>
  <c r="Z1381" i="5"/>
  <c r="Y1381" i="5"/>
  <c r="Z1380" i="5"/>
  <c r="Y1380" i="5"/>
  <c r="Z1379" i="5"/>
  <c r="Y1379" i="5"/>
  <c r="W1384" i="5"/>
  <c r="V1384" i="5"/>
  <c r="W1383" i="5"/>
  <c r="V1383" i="5"/>
  <c r="W1382" i="5"/>
  <c r="V1382" i="5"/>
  <c r="W1381" i="5"/>
  <c r="V1381" i="5"/>
  <c r="W1380" i="5"/>
  <c r="V1380" i="5"/>
  <c r="W1379" i="5"/>
  <c r="V1379" i="5"/>
  <c r="T1384" i="5"/>
  <c r="S1384" i="5"/>
  <c r="T1383" i="5"/>
  <c r="T1382" i="5"/>
  <c r="T1381" i="5"/>
  <c r="S1381" i="5"/>
  <c r="T1380" i="5"/>
  <c r="T1379" i="5"/>
  <c r="R1408" i="5"/>
  <c r="Q1408" i="5"/>
  <c r="Q1407" i="5" s="1"/>
  <c r="R1410" i="5"/>
  <c r="R1409" i="5" s="1"/>
  <c r="Q1410" i="5"/>
  <c r="Q1409" i="5" s="1"/>
  <c r="R1414" i="5"/>
  <c r="Q1414" i="5"/>
  <c r="R1412" i="5"/>
  <c r="Q1412" i="5"/>
  <c r="R1417" i="5"/>
  <c r="Q1417" i="5"/>
  <c r="R1416" i="5"/>
  <c r="Q1416" i="5"/>
  <c r="CK1415" i="5"/>
  <c r="CJ1415" i="5"/>
  <c r="CH1415" i="5"/>
  <c r="CG1415" i="5"/>
  <c r="CE1415" i="5"/>
  <c r="CD1415" i="5"/>
  <c r="CK1409" i="5"/>
  <c r="CK1458" i="5" s="1"/>
  <c r="CK1457" i="5" s="1"/>
  <c r="CJ1409" i="5"/>
  <c r="CJ1458" i="5" s="1"/>
  <c r="CJ1457" i="5" s="1"/>
  <c r="CH1409" i="5"/>
  <c r="CH1458" i="5" s="1"/>
  <c r="CH1457" i="5" s="1"/>
  <c r="CG1409" i="5"/>
  <c r="CG1458" i="5" s="1"/>
  <c r="CG1457" i="5" s="1"/>
  <c r="CE1409" i="5"/>
  <c r="CE1458" i="5" s="1"/>
  <c r="CE1457" i="5" s="1"/>
  <c r="CD1409" i="5"/>
  <c r="CD1458" i="5" s="1"/>
  <c r="CD1457" i="5" s="1"/>
  <c r="CK1407" i="5"/>
  <c r="CK1405" i="5" s="1"/>
  <c r="CJ1407" i="5"/>
  <c r="CJ1405" i="5" s="1"/>
  <c r="CH1407" i="5"/>
  <c r="CH1405" i="5" s="1"/>
  <c r="CG1407" i="5"/>
  <c r="CG1405" i="5" s="1"/>
  <c r="CE1407" i="5"/>
  <c r="CE1405" i="5" s="1"/>
  <c r="CD1407" i="5"/>
  <c r="CD1405" i="5" s="1"/>
  <c r="CB1415" i="5"/>
  <c r="CA1415" i="5"/>
  <c r="BY1415" i="5"/>
  <c r="BX1415" i="5"/>
  <c r="BV1415" i="5"/>
  <c r="BU1415" i="5"/>
  <c r="CB1409" i="5"/>
  <c r="CB1458" i="5" s="1"/>
  <c r="CB1457" i="5" s="1"/>
  <c r="CA1409" i="5"/>
  <c r="CA1458" i="5" s="1"/>
  <c r="CA1457" i="5" s="1"/>
  <c r="BY1409" i="5"/>
  <c r="BY1458" i="5" s="1"/>
  <c r="BY1457" i="5" s="1"/>
  <c r="BX1409" i="5"/>
  <c r="BX1458" i="5" s="1"/>
  <c r="BX1457" i="5" s="1"/>
  <c r="BV1409" i="5"/>
  <c r="BV1458" i="5" s="1"/>
  <c r="BV1457" i="5" s="1"/>
  <c r="BU1409" i="5"/>
  <c r="CB1407" i="5"/>
  <c r="CB1405" i="5" s="1"/>
  <c r="CA1407" i="5"/>
  <c r="CA1405" i="5" s="1"/>
  <c r="BY1407" i="5"/>
  <c r="BY1405" i="5" s="1"/>
  <c r="BX1407" i="5"/>
  <c r="BX1405" i="5" s="1"/>
  <c r="BV1407" i="5"/>
  <c r="BV1405" i="5" s="1"/>
  <c r="BU1407" i="5"/>
  <c r="BU1405" i="5" s="1"/>
  <c r="BS1415" i="5"/>
  <c r="BR1415" i="5"/>
  <c r="BP1415" i="5"/>
  <c r="BO1415" i="5"/>
  <c r="BM1415" i="5"/>
  <c r="BL1415" i="5"/>
  <c r="BS1409" i="5"/>
  <c r="BS1458" i="5" s="1"/>
  <c r="BS1457" i="5" s="1"/>
  <c r="BR1409" i="5"/>
  <c r="BR1458" i="5" s="1"/>
  <c r="BR1457" i="5" s="1"/>
  <c r="BP1409" i="5"/>
  <c r="BP1458" i="5" s="1"/>
  <c r="BP1457" i="5" s="1"/>
  <c r="BO1409" i="5"/>
  <c r="BM1409" i="5"/>
  <c r="BM1458" i="5" s="1"/>
  <c r="BM1457" i="5" s="1"/>
  <c r="BL1409" i="5"/>
  <c r="BL1458" i="5" s="1"/>
  <c r="BL1457" i="5" s="1"/>
  <c r="BS1407" i="5"/>
  <c r="BS1405" i="5" s="1"/>
  <c r="BR1407" i="5"/>
  <c r="BR1405" i="5" s="1"/>
  <c r="BP1407" i="5"/>
  <c r="BO1407" i="5"/>
  <c r="BO1405" i="5" s="1"/>
  <c r="BM1407" i="5"/>
  <c r="BM1405" i="5" s="1"/>
  <c r="BL1407" i="5"/>
  <c r="BL1405" i="5" s="1"/>
  <c r="BJ1415" i="5"/>
  <c r="BI1415" i="5"/>
  <c r="BG1415" i="5"/>
  <c r="BF1415" i="5"/>
  <c r="BD1415" i="5"/>
  <c r="BC1415" i="5"/>
  <c r="BJ1409" i="5"/>
  <c r="BJ1458" i="5" s="1"/>
  <c r="BJ1457" i="5" s="1"/>
  <c r="BI1409" i="5"/>
  <c r="BI1458" i="5" s="1"/>
  <c r="BI1457" i="5" s="1"/>
  <c r="BG1409" i="5"/>
  <c r="BG1458" i="5" s="1"/>
  <c r="BG1457" i="5" s="1"/>
  <c r="BF1409" i="5"/>
  <c r="BF1458" i="5" s="1"/>
  <c r="BF1457" i="5" s="1"/>
  <c r="BD1409" i="5"/>
  <c r="BD1458" i="5" s="1"/>
  <c r="BD1457" i="5" s="1"/>
  <c r="BC1409" i="5"/>
  <c r="BC1458" i="5" s="1"/>
  <c r="BC1457" i="5" s="1"/>
  <c r="BJ1407" i="5"/>
  <c r="BJ1405" i="5" s="1"/>
  <c r="BI1407" i="5"/>
  <c r="BI1405" i="5" s="1"/>
  <c r="BG1407" i="5"/>
  <c r="BG1405" i="5" s="1"/>
  <c r="BF1407" i="5"/>
  <c r="BF1405" i="5" s="1"/>
  <c r="BD1407" i="5"/>
  <c r="BD1405" i="5" s="1"/>
  <c r="BC1407" i="5"/>
  <c r="BC1405" i="5" s="1"/>
  <c r="BA1415" i="5"/>
  <c r="AZ1415" i="5"/>
  <c r="AX1415" i="5"/>
  <c r="AW1415" i="5"/>
  <c r="AU1415" i="5"/>
  <c r="AT1415" i="5"/>
  <c r="BA1409" i="5"/>
  <c r="BA1458" i="5" s="1"/>
  <c r="BA1457" i="5" s="1"/>
  <c r="AZ1409" i="5"/>
  <c r="AX1409" i="5"/>
  <c r="AW1409" i="5"/>
  <c r="AW1458" i="5" s="1"/>
  <c r="AW1457" i="5" s="1"/>
  <c r="AU1409" i="5"/>
  <c r="AU1458" i="5" s="1"/>
  <c r="AU1457" i="5" s="1"/>
  <c r="AT1409" i="5"/>
  <c r="BA1407" i="5"/>
  <c r="BA1405" i="5" s="1"/>
  <c r="AZ1407" i="5"/>
  <c r="AZ1405" i="5" s="1"/>
  <c r="AX1407" i="5"/>
  <c r="AX1405" i="5" s="1"/>
  <c r="AW1407" i="5"/>
  <c r="AW1405" i="5" s="1"/>
  <c r="AU1407" i="5"/>
  <c r="AU1405" i="5" s="1"/>
  <c r="AT1407" i="5"/>
  <c r="AT1405" i="5" s="1"/>
  <c r="AR1415" i="5"/>
  <c r="AQ1415" i="5"/>
  <c r="AO1415" i="5"/>
  <c r="AN1415" i="5"/>
  <c r="AL1415" i="5"/>
  <c r="AK1415" i="5"/>
  <c r="AR1409" i="5"/>
  <c r="AR1458" i="5" s="1"/>
  <c r="AR1457" i="5" s="1"/>
  <c r="AQ1409" i="5"/>
  <c r="AQ1458" i="5" s="1"/>
  <c r="AQ1457" i="5" s="1"/>
  <c r="AO1409" i="5"/>
  <c r="AO1458" i="5" s="1"/>
  <c r="AO1457" i="5" s="1"/>
  <c r="AN1409" i="5"/>
  <c r="AN1458" i="5" s="1"/>
  <c r="AN1457" i="5" s="1"/>
  <c r="AL1409" i="5"/>
  <c r="AL1458" i="5" s="1"/>
  <c r="AL1457" i="5" s="1"/>
  <c r="AK1409" i="5"/>
  <c r="AK1458" i="5" s="1"/>
  <c r="AK1457" i="5" s="1"/>
  <c r="AR1407" i="5"/>
  <c r="AR1405" i="5" s="1"/>
  <c r="AQ1407" i="5"/>
  <c r="AQ1405" i="5" s="1"/>
  <c r="AO1407" i="5"/>
  <c r="AO1405" i="5" s="1"/>
  <c r="AN1407" i="5"/>
  <c r="AN1405" i="5" s="1"/>
  <c r="AL1407" i="5"/>
  <c r="AL1405" i="5" s="1"/>
  <c r="AK1407" i="5"/>
  <c r="AK1405" i="5" s="1"/>
  <c r="AI1415" i="5"/>
  <c r="AH1415" i="5"/>
  <c r="AF1415" i="5"/>
  <c r="AE1415" i="5"/>
  <c r="AC1415" i="5"/>
  <c r="AB1415" i="5"/>
  <c r="AI1409" i="5"/>
  <c r="AI1458" i="5" s="1"/>
  <c r="AI1457" i="5" s="1"/>
  <c r="AH1409" i="5"/>
  <c r="AH1458" i="5" s="1"/>
  <c r="AH1457" i="5" s="1"/>
  <c r="AF1409" i="5"/>
  <c r="AF1458" i="5" s="1"/>
  <c r="AF1457" i="5" s="1"/>
  <c r="AE1409" i="5"/>
  <c r="AE1458" i="5" s="1"/>
  <c r="AE1457" i="5" s="1"/>
  <c r="AC1409" i="5"/>
  <c r="AC1458" i="5" s="1"/>
  <c r="AC1457" i="5" s="1"/>
  <c r="AB1409" i="5"/>
  <c r="AB1458" i="5" s="1"/>
  <c r="AB1457" i="5" s="1"/>
  <c r="AI1407" i="5"/>
  <c r="AI1405" i="5" s="1"/>
  <c r="AH1407" i="5"/>
  <c r="AH1405" i="5" s="1"/>
  <c r="AF1407" i="5"/>
  <c r="AF1405" i="5" s="1"/>
  <c r="AE1407" i="5"/>
  <c r="AE1405" i="5" s="1"/>
  <c r="AC1407" i="5"/>
  <c r="AC1405" i="5" s="1"/>
  <c r="AB1407" i="5"/>
  <c r="AB1405" i="5" s="1"/>
  <c r="Z1415" i="5"/>
  <c r="Y1415" i="5"/>
  <c r="Z1409" i="5"/>
  <c r="Z1458" i="5" s="1"/>
  <c r="Z1457" i="5" s="1"/>
  <c r="Y1409" i="5"/>
  <c r="Y1458" i="5" s="1"/>
  <c r="Y1457" i="5" s="1"/>
  <c r="W1415" i="5"/>
  <c r="V1415" i="5"/>
  <c r="W1409" i="5"/>
  <c r="W1458" i="5" s="1"/>
  <c r="W1457" i="5" s="1"/>
  <c r="V1409" i="5"/>
  <c r="V1458" i="5" s="1"/>
  <c r="V1457" i="5" s="1"/>
  <c r="T1415" i="5"/>
  <c r="S1415" i="5"/>
  <c r="T1409" i="5"/>
  <c r="T1458" i="5" s="1"/>
  <c r="S1409" i="5"/>
  <c r="S1458" i="5" s="1"/>
  <c r="S1457" i="5" s="1"/>
  <c r="R1449" i="5"/>
  <c r="Q1449" i="5"/>
  <c r="R1448" i="5"/>
  <c r="Q1448" i="5"/>
  <c r="R1447" i="5"/>
  <c r="Q1447" i="5"/>
  <c r="R1446" i="5"/>
  <c r="Q1446" i="5"/>
  <c r="R1454" i="5"/>
  <c r="Q1454" i="5"/>
  <c r="R1453" i="5"/>
  <c r="Q1453" i="5"/>
  <c r="R1452" i="5"/>
  <c r="Q1452" i="5"/>
  <c r="R1451" i="5"/>
  <c r="Q1451" i="5"/>
  <c r="R1456" i="5"/>
  <c r="R1455" i="5" s="1"/>
  <c r="Q1456" i="5"/>
  <c r="Q1455" i="5" s="1"/>
  <c r="CK1455" i="5"/>
  <c r="CJ1455" i="5"/>
  <c r="CH1455" i="5"/>
  <c r="CG1455" i="5"/>
  <c r="CE1455" i="5"/>
  <c r="CD1455" i="5"/>
  <c r="CK1450" i="5"/>
  <c r="CJ1450" i="5"/>
  <c r="CH1450" i="5"/>
  <c r="CG1450" i="5"/>
  <c r="CE1450" i="5"/>
  <c r="CD1450" i="5"/>
  <c r="CB1455" i="5"/>
  <c r="CA1455" i="5"/>
  <c r="BY1455" i="5"/>
  <c r="BX1455" i="5"/>
  <c r="BV1455" i="5"/>
  <c r="BU1455" i="5"/>
  <c r="CB1450" i="5"/>
  <c r="CA1450" i="5"/>
  <c r="BY1450" i="5"/>
  <c r="BX1450" i="5"/>
  <c r="BV1450" i="5"/>
  <c r="BU1450" i="5"/>
  <c r="BS1455" i="5"/>
  <c r="BR1455" i="5"/>
  <c r="BP1455" i="5"/>
  <c r="BO1455" i="5"/>
  <c r="BM1455" i="5"/>
  <c r="BL1455" i="5"/>
  <c r="BS1450" i="5"/>
  <c r="BR1450" i="5"/>
  <c r="BP1450" i="5"/>
  <c r="BO1450" i="5"/>
  <c r="BM1450" i="5"/>
  <c r="BL1450" i="5"/>
  <c r="BJ1455" i="5"/>
  <c r="BI1455" i="5"/>
  <c r="BG1455" i="5"/>
  <c r="BF1455" i="5"/>
  <c r="BD1455" i="5"/>
  <c r="BC1455" i="5"/>
  <c r="BJ1450" i="5"/>
  <c r="BI1450" i="5"/>
  <c r="BG1450" i="5"/>
  <c r="BF1450" i="5"/>
  <c r="BD1450" i="5"/>
  <c r="BC1450" i="5"/>
  <c r="BA1455" i="5"/>
  <c r="AZ1455" i="5"/>
  <c r="AX1455" i="5"/>
  <c r="AW1455" i="5"/>
  <c r="AU1455" i="5"/>
  <c r="AT1455" i="5"/>
  <c r="BA1450" i="5"/>
  <c r="AZ1450" i="5"/>
  <c r="AX1450" i="5"/>
  <c r="AW1450" i="5"/>
  <c r="AU1450" i="5"/>
  <c r="AT1450" i="5"/>
  <c r="AR1455" i="5"/>
  <c r="AQ1455" i="5"/>
  <c r="AO1455" i="5"/>
  <c r="AN1455" i="5"/>
  <c r="AL1455" i="5"/>
  <c r="AK1455" i="5"/>
  <c r="AR1450" i="5"/>
  <c r="AQ1450" i="5"/>
  <c r="AO1450" i="5"/>
  <c r="AN1450" i="5"/>
  <c r="AL1450" i="5"/>
  <c r="AK1450" i="5"/>
  <c r="AI1455" i="5"/>
  <c r="AH1455" i="5"/>
  <c r="AF1455" i="5"/>
  <c r="AE1455" i="5"/>
  <c r="AC1455" i="5"/>
  <c r="AB1455" i="5"/>
  <c r="AI1450" i="5"/>
  <c r="AH1450" i="5"/>
  <c r="AF1450" i="5"/>
  <c r="AE1450" i="5"/>
  <c r="AC1450" i="5"/>
  <c r="AB1450" i="5"/>
  <c r="Z1455" i="5"/>
  <c r="Y1455" i="5"/>
  <c r="Z1450" i="5"/>
  <c r="Y1450" i="5"/>
  <c r="W1455" i="5"/>
  <c r="V1455" i="5"/>
  <c r="W1450" i="5"/>
  <c r="V1450" i="5"/>
  <c r="T1457" i="5"/>
  <c r="T1455" i="5"/>
  <c r="S1455" i="5"/>
  <c r="T1450" i="5"/>
  <c r="S1450" i="5"/>
  <c r="CK1445" i="5"/>
  <c r="CJ1445" i="5"/>
  <c r="CH1445" i="5"/>
  <c r="CG1445" i="5"/>
  <c r="CE1445" i="5"/>
  <c r="CD1445" i="5"/>
  <c r="CB1445" i="5"/>
  <c r="CA1445" i="5"/>
  <c r="BY1445" i="5"/>
  <c r="BX1445" i="5"/>
  <c r="BV1445" i="5"/>
  <c r="BU1445" i="5"/>
  <c r="BS1445" i="5"/>
  <c r="BR1445" i="5"/>
  <c r="BP1445" i="5"/>
  <c r="BO1445" i="5"/>
  <c r="BM1445" i="5"/>
  <c r="BL1445" i="5"/>
  <c r="BJ1445" i="5"/>
  <c r="BI1445" i="5"/>
  <c r="BG1445" i="5"/>
  <c r="BF1445" i="5"/>
  <c r="BD1445" i="5"/>
  <c r="BC1445" i="5"/>
  <c r="BA1445" i="5"/>
  <c r="AZ1445" i="5"/>
  <c r="AX1445" i="5"/>
  <c r="AW1445" i="5"/>
  <c r="AU1445" i="5"/>
  <c r="AT1445" i="5"/>
  <c r="AR1445" i="5"/>
  <c r="AQ1445" i="5"/>
  <c r="AO1445" i="5"/>
  <c r="AN1445" i="5"/>
  <c r="AL1445" i="5"/>
  <c r="AK1445" i="5"/>
  <c r="AI1445" i="5"/>
  <c r="AH1445" i="5"/>
  <c r="AF1445" i="5"/>
  <c r="AE1445" i="5"/>
  <c r="AC1445" i="5"/>
  <c r="AB1445" i="5"/>
  <c r="Z1445" i="5"/>
  <c r="Y1445" i="5"/>
  <c r="W1445" i="5"/>
  <c r="V1445" i="5"/>
  <c r="T1445" i="5"/>
  <c r="S1445" i="5"/>
  <c r="H1445" i="5"/>
  <c r="R1514" i="5"/>
  <c r="Q1514" i="5"/>
  <c r="Q1508" i="5" s="1"/>
  <c r="R1513" i="5"/>
  <c r="Q1513" i="5"/>
  <c r="R1517" i="5"/>
  <c r="R1510" i="5" s="1"/>
  <c r="Q1517" i="5"/>
  <c r="Q1510" i="5" s="1"/>
  <c r="R1516" i="5"/>
  <c r="R1509" i="5" s="1"/>
  <c r="Q1516" i="5"/>
  <c r="Q1509" i="5" s="1"/>
  <c r="CK1510" i="5"/>
  <c r="CJ1510" i="5"/>
  <c r="CH1510" i="5"/>
  <c r="CG1510" i="5"/>
  <c r="CE1510" i="5"/>
  <c r="CD1510" i="5"/>
  <c r="CK1509" i="5"/>
  <c r="CJ1509" i="5"/>
  <c r="CH1509" i="5"/>
  <c r="CG1509" i="5"/>
  <c r="CE1509" i="5"/>
  <c r="CD1509" i="5"/>
  <c r="CK1508" i="5"/>
  <c r="CJ1508" i="5"/>
  <c r="CH1508" i="5"/>
  <c r="CG1508" i="5"/>
  <c r="CE1508" i="5"/>
  <c r="CD1508" i="5"/>
  <c r="CK1507" i="5"/>
  <c r="CJ1507" i="5"/>
  <c r="CH1507" i="5"/>
  <c r="CG1507" i="5"/>
  <c r="CE1507" i="5"/>
  <c r="CD1507" i="5"/>
  <c r="CB1510" i="5"/>
  <c r="CA1510" i="5"/>
  <c r="BY1510" i="5"/>
  <c r="BX1510" i="5"/>
  <c r="BV1510" i="5"/>
  <c r="BU1510" i="5"/>
  <c r="CB1509" i="5"/>
  <c r="CA1509" i="5"/>
  <c r="BY1509" i="5"/>
  <c r="BX1509" i="5"/>
  <c r="BV1509" i="5"/>
  <c r="BU1509" i="5"/>
  <c r="CB1508" i="5"/>
  <c r="CA1508" i="5"/>
  <c r="BY1508" i="5"/>
  <c r="BX1508" i="5"/>
  <c r="BV1508" i="5"/>
  <c r="BU1508" i="5"/>
  <c r="CB1507" i="5"/>
  <c r="CA1507" i="5"/>
  <c r="BY1507" i="5"/>
  <c r="BX1507" i="5"/>
  <c r="BV1507" i="5"/>
  <c r="BU1507" i="5"/>
  <c r="BS1510" i="5"/>
  <c r="BR1510" i="5"/>
  <c r="BP1510" i="5"/>
  <c r="BO1510" i="5"/>
  <c r="BM1510" i="5"/>
  <c r="BL1510" i="5"/>
  <c r="BS1509" i="5"/>
  <c r="BR1509" i="5"/>
  <c r="BP1509" i="5"/>
  <c r="BO1509" i="5"/>
  <c r="BM1509" i="5"/>
  <c r="BL1509" i="5"/>
  <c r="BS1508" i="5"/>
  <c r="BR1508" i="5"/>
  <c r="BP1508" i="5"/>
  <c r="BO1508" i="5"/>
  <c r="BM1508" i="5"/>
  <c r="BL1508" i="5"/>
  <c r="BS1507" i="5"/>
  <c r="BR1507" i="5"/>
  <c r="BP1507" i="5"/>
  <c r="BO1507" i="5"/>
  <c r="BM1507" i="5"/>
  <c r="BL1507" i="5"/>
  <c r="BJ1510" i="5"/>
  <c r="BI1510" i="5"/>
  <c r="BG1510" i="5"/>
  <c r="BF1510" i="5"/>
  <c r="BD1510" i="5"/>
  <c r="BC1510" i="5"/>
  <c r="BJ1509" i="5"/>
  <c r="BI1509" i="5"/>
  <c r="BG1509" i="5"/>
  <c r="BF1509" i="5"/>
  <c r="BD1509" i="5"/>
  <c r="BC1509" i="5"/>
  <c r="BJ1508" i="5"/>
  <c r="BI1508" i="5"/>
  <c r="BG1508" i="5"/>
  <c r="BF1508" i="5"/>
  <c r="BD1508" i="5"/>
  <c r="BC1508" i="5"/>
  <c r="BJ1507" i="5"/>
  <c r="BI1507" i="5"/>
  <c r="BG1507" i="5"/>
  <c r="BF1507" i="5"/>
  <c r="BD1507" i="5"/>
  <c r="BC1507" i="5"/>
  <c r="BA1510" i="5"/>
  <c r="AZ1510" i="5"/>
  <c r="AX1510" i="5"/>
  <c r="AW1510" i="5"/>
  <c r="AU1510" i="5"/>
  <c r="AT1510" i="5"/>
  <c r="BA1509" i="5"/>
  <c r="AZ1509" i="5"/>
  <c r="AX1509" i="5"/>
  <c r="AW1509" i="5"/>
  <c r="AU1509" i="5"/>
  <c r="AT1509" i="5"/>
  <c r="BA1508" i="5"/>
  <c r="AZ1508" i="5"/>
  <c r="AX1508" i="5"/>
  <c r="AW1508" i="5"/>
  <c r="AU1508" i="5"/>
  <c r="AT1508" i="5"/>
  <c r="BA1507" i="5"/>
  <c r="AZ1507" i="5"/>
  <c r="AX1507" i="5"/>
  <c r="AW1507" i="5"/>
  <c r="AU1507" i="5"/>
  <c r="AT1507" i="5"/>
  <c r="AR1510" i="5"/>
  <c r="AQ1510" i="5"/>
  <c r="AO1510" i="5"/>
  <c r="AN1510" i="5"/>
  <c r="AL1510" i="5"/>
  <c r="AK1510" i="5"/>
  <c r="AR1509" i="5"/>
  <c r="AQ1509" i="5"/>
  <c r="AO1509" i="5"/>
  <c r="AN1509" i="5"/>
  <c r="AL1509" i="5"/>
  <c r="AK1509" i="5"/>
  <c r="AR1508" i="5"/>
  <c r="AQ1508" i="5"/>
  <c r="AO1508" i="5"/>
  <c r="AN1508" i="5"/>
  <c r="AL1508" i="5"/>
  <c r="AK1508" i="5"/>
  <c r="AR1507" i="5"/>
  <c r="AQ1507" i="5"/>
  <c r="AO1507" i="5"/>
  <c r="AN1507" i="5"/>
  <c r="AL1507" i="5"/>
  <c r="AK1507" i="5"/>
  <c r="AI1510" i="5"/>
  <c r="AH1510" i="5"/>
  <c r="AF1510" i="5"/>
  <c r="AE1510" i="5"/>
  <c r="AC1510" i="5"/>
  <c r="AB1510" i="5"/>
  <c r="AI1509" i="5"/>
  <c r="AH1509" i="5"/>
  <c r="AF1509" i="5"/>
  <c r="AE1509" i="5"/>
  <c r="AC1509" i="5"/>
  <c r="AB1509" i="5"/>
  <c r="AI1508" i="5"/>
  <c r="AH1508" i="5"/>
  <c r="AF1508" i="5"/>
  <c r="AE1508" i="5"/>
  <c r="AC1508" i="5"/>
  <c r="AB1508" i="5"/>
  <c r="AI1507" i="5"/>
  <c r="AH1507" i="5"/>
  <c r="AF1507" i="5"/>
  <c r="AE1507" i="5"/>
  <c r="AC1507" i="5"/>
  <c r="AB1507" i="5"/>
  <c r="Y1508" i="5"/>
  <c r="V1508" i="5"/>
  <c r="S1508" i="5"/>
  <c r="Z1510" i="5"/>
  <c r="Y1510" i="5"/>
  <c r="Z1509" i="5"/>
  <c r="Y1509" i="5"/>
  <c r="Z1508" i="5"/>
  <c r="Z1507" i="5"/>
  <c r="Y1507" i="5"/>
  <c r="W1510" i="5"/>
  <c r="V1510" i="5"/>
  <c r="W1509" i="5"/>
  <c r="V1509" i="5"/>
  <c r="W1508" i="5"/>
  <c r="W1507" i="5"/>
  <c r="V1507" i="5"/>
  <c r="T1510" i="5"/>
  <c r="S1510" i="5"/>
  <c r="T1509" i="5"/>
  <c r="S1509" i="5"/>
  <c r="T1508" i="5"/>
  <c r="T1507" i="5"/>
  <c r="S1507" i="5"/>
  <c r="CK1521" i="5"/>
  <c r="CJ1521" i="5"/>
  <c r="CH1521" i="5"/>
  <c r="CG1521" i="5"/>
  <c r="CE1521" i="5"/>
  <c r="CD1521" i="5"/>
  <c r="CK1520" i="5"/>
  <c r="CJ1520" i="5"/>
  <c r="CH1520" i="5"/>
  <c r="CG1520" i="5"/>
  <c r="CE1520" i="5"/>
  <c r="CD1520" i="5"/>
  <c r="CK1519" i="5"/>
  <c r="CJ1519" i="5"/>
  <c r="CH1519" i="5"/>
  <c r="CG1519" i="5"/>
  <c r="CE1519" i="5"/>
  <c r="CD1519" i="5"/>
  <c r="CK1518" i="5"/>
  <c r="CJ1518" i="5"/>
  <c r="CH1518" i="5"/>
  <c r="CG1518" i="5"/>
  <c r="CE1518" i="5"/>
  <c r="CD1518" i="5"/>
  <c r="CB1521" i="5"/>
  <c r="CA1521" i="5"/>
  <c r="BY1521" i="5"/>
  <c r="BY1506" i="5" s="1"/>
  <c r="BX1521" i="5"/>
  <c r="BV1521" i="5"/>
  <c r="BU1521" i="5"/>
  <c r="CB1520" i="5"/>
  <c r="CA1520" i="5"/>
  <c r="BY1520" i="5"/>
  <c r="BX1520" i="5"/>
  <c r="BV1520" i="5"/>
  <c r="BV1505" i="5" s="1"/>
  <c r="BU1520" i="5"/>
  <c r="CB1519" i="5"/>
  <c r="CA1519" i="5"/>
  <c r="BY1519" i="5"/>
  <c r="BY1503" i="5" s="1"/>
  <c r="BX1519" i="5"/>
  <c r="BV1519" i="5"/>
  <c r="BU1519" i="5"/>
  <c r="CB1518" i="5"/>
  <c r="CB1502" i="5" s="1"/>
  <c r="CA1518" i="5"/>
  <c r="BY1518" i="5"/>
  <c r="BX1518" i="5"/>
  <c r="BV1518" i="5"/>
  <c r="BV1502" i="5" s="1"/>
  <c r="BU1518" i="5"/>
  <c r="BS1521" i="5"/>
  <c r="BR1521" i="5"/>
  <c r="BP1521" i="5"/>
  <c r="BO1521" i="5"/>
  <c r="BM1521" i="5"/>
  <c r="BL1521" i="5"/>
  <c r="BS1520" i="5"/>
  <c r="BR1520" i="5"/>
  <c r="BP1520" i="5"/>
  <c r="BO1520" i="5"/>
  <c r="BM1520" i="5"/>
  <c r="BL1520" i="5"/>
  <c r="BS1519" i="5"/>
  <c r="BR1519" i="5"/>
  <c r="BP1519" i="5"/>
  <c r="BO1519" i="5"/>
  <c r="BM1519" i="5"/>
  <c r="BL1519" i="5"/>
  <c r="BS1518" i="5"/>
  <c r="BR1518" i="5"/>
  <c r="BP1518" i="5"/>
  <c r="BO1518" i="5"/>
  <c r="BM1518" i="5"/>
  <c r="BL1518" i="5"/>
  <c r="BJ1521" i="5"/>
  <c r="BI1521" i="5"/>
  <c r="BG1521" i="5"/>
  <c r="BF1521" i="5"/>
  <c r="BD1521" i="5"/>
  <c r="BC1521" i="5"/>
  <c r="BJ1520" i="5"/>
  <c r="BI1520" i="5"/>
  <c r="BG1520" i="5"/>
  <c r="BF1520" i="5"/>
  <c r="BD1520" i="5"/>
  <c r="BC1520" i="5"/>
  <c r="BJ1519" i="5"/>
  <c r="BI1519" i="5"/>
  <c r="BG1519" i="5"/>
  <c r="BF1519" i="5"/>
  <c r="BD1519" i="5"/>
  <c r="BC1519" i="5"/>
  <c r="BJ1518" i="5"/>
  <c r="BI1518" i="5"/>
  <c r="BG1518" i="5"/>
  <c r="BF1518" i="5"/>
  <c r="BD1518" i="5"/>
  <c r="BC1518" i="5"/>
  <c r="BA1521" i="5"/>
  <c r="AZ1521" i="5"/>
  <c r="AX1521" i="5"/>
  <c r="AW1521" i="5"/>
  <c r="AU1521" i="5"/>
  <c r="AT1521" i="5"/>
  <c r="BA1520" i="5"/>
  <c r="AZ1520" i="5"/>
  <c r="AX1520" i="5"/>
  <c r="AW1520" i="5"/>
  <c r="AU1520" i="5"/>
  <c r="AT1520" i="5"/>
  <c r="BA1519" i="5"/>
  <c r="AZ1519" i="5"/>
  <c r="AX1519" i="5"/>
  <c r="AW1519" i="5"/>
  <c r="AU1519" i="5"/>
  <c r="AT1519" i="5"/>
  <c r="BA1518" i="5"/>
  <c r="AZ1518" i="5"/>
  <c r="AX1518" i="5"/>
  <c r="AW1518" i="5"/>
  <c r="AU1518" i="5"/>
  <c r="AT1518" i="5"/>
  <c r="AR1521" i="5"/>
  <c r="AQ1521" i="5"/>
  <c r="AO1521" i="5"/>
  <c r="AN1521" i="5"/>
  <c r="AL1521" i="5"/>
  <c r="AK1521" i="5"/>
  <c r="AR1520" i="5"/>
  <c r="AQ1520" i="5"/>
  <c r="AO1520" i="5"/>
  <c r="AN1520" i="5"/>
  <c r="AL1520" i="5"/>
  <c r="AK1520" i="5"/>
  <c r="AR1519" i="5"/>
  <c r="AQ1519" i="5"/>
  <c r="AO1519" i="5"/>
  <c r="AN1519" i="5"/>
  <c r="AL1519" i="5"/>
  <c r="AK1519" i="5"/>
  <c r="AR1518" i="5"/>
  <c r="AQ1518" i="5"/>
  <c r="AO1518" i="5"/>
  <c r="AN1518" i="5"/>
  <c r="AL1518" i="5"/>
  <c r="AK1518" i="5"/>
  <c r="AI1521" i="5"/>
  <c r="AH1521" i="5"/>
  <c r="AF1521" i="5"/>
  <c r="AF1506" i="5" s="1"/>
  <c r="AE1521" i="5"/>
  <c r="AC1521" i="5"/>
  <c r="AB1521" i="5"/>
  <c r="AI1520" i="5"/>
  <c r="AI1505" i="5" s="1"/>
  <c r="AH1520" i="5"/>
  <c r="AF1520" i="5"/>
  <c r="AE1520" i="5"/>
  <c r="AC1520" i="5"/>
  <c r="AC1505" i="5" s="1"/>
  <c r="AB1520" i="5"/>
  <c r="AI1519" i="5"/>
  <c r="AH1519" i="5"/>
  <c r="AF1519" i="5"/>
  <c r="AE1519" i="5"/>
  <c r="AC1519" i="5"/>
  <c r="AB1519" i="5"/>
  <c r="AI1518" i="5"/>
  <c r="AH1518" i="5"/>
  <c r="AF1518" i="5"/>
  <c r="AE1518" i="5"/>
  <c r="AC1518" i="5"/>
  <c r="AB1518" i="5"/>
  <c r="Z1521" i="5"/>
  <c r="Y1521" i="5"/>
  <c r="Z1520" i="5"/>
  <c r="Y1520" i="5"/>
  <c r="Z1519" i="5"/>
  <c r="Y1519" i="5"/>
  <c r="Z1518" i="5"/>
  <c r="Y1518" i="5"/>
  <c r="W1521" i="5"/>
  <c r="V1521" i="5"/>
  <c r="W1520" i="5"/>
  <c r="V1520" i="5"/>
  <c r="W1519" i="5"/>
  <c r="V1519" i="5"/>
  <c r="W1518" i="5"/>
  <c r="V1518" i="5"/>
  <c r="T1521" i="5"/>
  <c r="S1521" i="5"/>
  <c r="T1520" i="5"/>
  <c r="S1520" i="5"/>
  <c r="T1519" i="5"/>
  <c r="S1519" i="5"/>
  <c r="T1518" i="5"/>
  <c r="S1518" i="5"/>
  <c r="R1528" i="5"/>
  <c r="R1521" i="5" s="1"/>
  <c r="Q1528" i="5"/>
  <c r="Q1521" i="5" s="1"/>
  <c r="R1527" i="5"/>
  <c r="R1520" i="5" s="1"/>
  <c r="Q1527" i="5"/>
  <c r="Q1520" i="5" s="1"/>
  <c r="R1519" i="5"/>
  <c r="Q1519" i="5"/>
  <c r="R1518" i="5"/>
  <c r="Q1518" i="5"/>
  <c r="CK1637" i="5"/>
  <c r="CJ1637" i="5"/>
  <c r="CH1637" i="5"/>
  <c r="CG1637" i="5"/>
  <c r="CE1637" i="5"/>
  <c r="CD1637" i="5"/>
  <c r="CK1636" i="5"/>
  <c r="CJ1636" i="5"/>
  <c r="CH1636" i="5"/>
  <c r="CG1636" i="5"/>
  <c r="CE1636" i="5"/>
  <c r="CD1636" i="5"/>
  <c r="CK1635" i="5"/>
  <c r="CJ1635" i="5"/>
  <c r="CH1635" i="5"/>
  <c r="CG1635" i="5"/>
  <c r="CE1635" i="5"/>
  <c r="CD1635" i="5"/>
  <c r="CK1634" i="5"/>
  <c r="CJ1634" i="5"/>
  <c r="CH1634" i="5"/>
  <c r="CG1634" i="5"/>
  <c r="CE1634" i="5"/>
  <c r="CD1634" i="5"/>
  <c r="CB1637" i="5"/>
  <c r="CA1637" i="5"/>
  <c r="BY1637" i="5"/>
  <c r="BX1637" i="5"/>
  <c r="BV1637" i="5"/>
  <c r="BU1637" i="5"/>
  <c r="CB1636" i="5"/>
  <c r="CA1636" i="5"/>
  <c r="BY1636" i="5"/>
  <c r="BX1636" i="5"/>
  <c r="BV1636" i="5"/>
  <c r="BU1636" i="5"/>
  <c r="CB1635" i="5"/>
  <c r="CA1635" i="5"/>
  <c r="BY1635" i="5"/>
  <c r="BX1635" i="5"/>
  <c r="BV1635" i="5"/>
  <c r="BU1635" i="5"/>
  <c r="CB1634" i="5"/>
  <c r="CA1634" i="5"/>
  <c r="BY1634" i="5"/>
  <c r="BX1634" i="5"/>
  <c r="BV1634" i="5"/>
  <c r="BU1634" i="5"/>
  <c r="BS1637" i="5"/>
  <c r="BR1637" i="5"/>
  <c r="BP1637" i="5"/>
  <c r="BO1637" i="5"/>
  <c r="BM1637" i="5"/>
  <c r="BL1637" i="5"/>
  <c r="BS1636" i="5"/>
  <c r="BR1636" i="5"/>
  <c r="BP1636" i="5"/>
  <c r="BO1636" i="5"/>
  <c r="BM1636" i="5"/>
  <c r="BL1636" i="5"/>
  <c r="BS1635" i="5"/>
  <c r="BR1635" i="5"/>
  <c r="BP1635" i="5"/>
  <c r="BO1635" i="5"/>
  <c r="BM1635" i="5"/>
  <c r="BL1635" i="5"/>
  <c r="BS1634" i="5"/>
  <c r="BR1634" i="5"/>
  <c r="BP1634" i="5"/>
  <c r="BO1634" i="5"/>
  <c r="BM1634" i="5"/>
  <c r="BL1634" i="5"/>
  <c r="BJ1637" i="5"/>
  <c r="BI1637" i="5"/>
  <c r="BG1637" i="5"/>
  <c r="BF1637" i="5"/>
  <c r="BD1637" i="5"/>
  <c r="BC1637" i="5"/>
  <c r="BJ1636" i="5"/>
  <c r="BI1636" i="5"/>
  <c r="BG1636" i="5"/>
  <c r="BF1636" i="5"/>
  <c r="BD1636" i="5"/>
  <c r="BC1636" i="5"/>
  <c r="BJ1635" i="5"/>
  <c r="BI1635" i="5"/>
  <c r="BG1635" i="5"/>
  <c r="BF1635" i="5"/>
  <c r="BD1635" i="5"/>
  <c r="BC1635" i="5"/>
  <c r="BJ1634" i="5"/>
  <c r="BI1634" i="5"/>
  <c r="BG1634" i="5"/>
  <c r="BF1634" i="5"/>
  <c r="BD1634" i="5"/>
  <c r="BC1634" i="5"/>
  <c r="BA1637" i="5"/>
  <c r="AZ1637" i="5"/>
  <c r="AX1637" i="5"/>
  <c r="AW1637" i="5"/>
  <c r="AU1637" i="5"/>
  <c r="AT1637" i="5"/>
  <c r="BA1636" i="5"/>
  <c r="AZ1636" i="5"/>
  <c r="AX1636" i="5"/>
  <c r="AW1636" i="5"/>
  <c r="AU1636" i="5"/>
  <c r="AT1636" i="5"/>
  <c r="BA1635" i="5"/>
  <c r="AZ1635" i="5"/>
  <c r="AX1635" i="5"/>
  <c r="AW1635" i="5"/>
  <c r="AU1635" i="5"/>
  <c r="AT1635" i="5"/>
  <c r="BA1634" i="5"/>
  <c r="AZ1634" i="5"/>
  <c r="AX1634" i="5"/>
  <c r="AW1634" i="5"/>
  <c r="AU1634" i="5"/>
  <c r="AT1634" i="5"/>
  <c r="AR1637" i="5"/>
  <c r="AQ1637" i="5"/>
  <c r="AO1637" i="5"/>
  <c r="AN1637" i="5"/>
  <c r="AL1637" i="5"/>
  <c r="AK1637" i="5"/>
  <c r="AR1636" i="5"/>
  <c r="AQ1636" i="5"/>
  <c r="AO1636" i="5"/>
  <c r="AN1636" i="5"/>
  <c r="AL1636" i="5"/>
  <c r="AK1636" i="5"/>
  <c r="AR1635" i="5"/>
  <c r="AQ1635" i="5"/>
  <c r="AO1635" i="5"/>
  <c r="AN1635" i="5"/>
  <c r="AL1635" i="5"/>
  <c r="AK1635" i="5"/>
  <c r="AR1634" i="5"/>
  <c r="AQ1634" i="5"/>
  <c r="AO1634" i="5"/>
  <c r="AN1634" i="5"/>
  <c r="AL1634" i="5"/>
  <c r="AK1634" i="5"/>
  <c r="AI1637" i="5"/>
  <c r="AH1637" i="5"/>
  <c r="AF1637" i="5"/>
  <c r="AE1637" i="5"/>
  <c r="AC1637" i="5"/>
  <c r="AB1637" i="5"/>
  <c r="AI1636" i="5"/>
  <c r="AH1636" i="5"/>
  <c r="AF1636" i="5"/>
  <c r="AE1636" i="5"/>
  <c r="AC1636" i="5"/>
  <c r="AB1636" i="5"/>
  <c r="AI1635" i="5"/>
  <c r="AH1635" i="5"/>
  <c r="AF1635" i="5"/>
  <c r="AE1635" i="5"/>
  <c r="AC1635" i="5"/>
  <c r="AB1635" i="5"/>
  <c r="AI1634" i="5"/>
  <c r="AH1634" i="5"/>
  <c r="AF1634" i="5"/>
  <c r="AE1634" i="5"/>
  <c r="AC1634" i="5"/>
  <c r="AB1634" i="5"/>
  <c r="Z1637" i="5"/>
  <c r="Y1637" i="5"/>
  <c r="Z1636" i="5"/>
  <c r="Y1636" i="5"/>
  <c r="Z1635" i="5"/>
  <c r="Y1635" i="5"/>
  <c r="Z1634" i="5"/>
  <c r="Y1634" i="5"/>
  <c r="W1637" i="5"/>
  <c r="V1637" i="5"/>
  <c r="W1636" i="5"/>
  <c r="V1636" i="5"/>
  <c r="W1635" i="5"/>
  <c r="V1635" i="5"/>
  <c r="W1634" i="5"/>
  <c r="V1634" i="5"/>
  <c r="T1637" i="5"/>
  <c r="S1637" i="5"/>
  <c r="T1636" i="5"/>
  <c r="S1636" i="5"/>
  <c r="T1635" i="5"/>
  <c r="S1635" i="5"/>
  <c r="T1634" i="5"/>
  <c r="S1634" i="5"/>
  <c r="R1633" i="5"/>
  <c r="R1626" i="5" s="1"/>
  <c r="Q1633" i="5"/>
  <c r="Q1626" i="5" s="1"/>
  <c r="R1632" i="5"/>
  <c r="R1625" i="5" s="1"/>
  <c r="Q1632" i="5"/>
  <c r="Q1625" i="5" s="1"/>
  <c r="R1630" i="5"/>
  <c r="R1624" i="5" s="1"/>
  <c r="Q1630" i="5"/>
  <c r="Q1624" i="5" s="1"/>
  <c r="R1629" i="5"/>
  <c r="Q1629" i="5"/>
  <c r="CK1626" i="5"/>
  <c r="CJ1626" i="5"/>
  <c r="CH1626" i="5"/>
  <c r="CH1622" i="5" s="1"/>
  <c r="CG1626" i="5"/>
  <c r="CE1626" i="5"/>
  <c r="CE1622" i="5" s="1"/>
  <c r="CD1626" i="5"/>
  <c r="CK1625" i="5"/>
  <c r="CK1621" i="5" s="1"/>
  <c r="CJ1625" i="5"/>
  <c r="CH1625" i="5"/>
  <c r="CH1621" i="5" s="1"/>
  <c r="CG1625" i="5"/>
  <c r="CE1625" i="5"/>
  <c r="CD1625" i="5"/>
  <c r="CK1624" i="5"/>
  <c r="CJ1624" i="5"/>
  <c r="CH1624" i="5"/>
  <c r="CH1619" i="5" s="1"/>
  <c r="CG1624" i="5"/>
  <c r="CE1624" i="5"/>
  <c r="CE1619" i="5" s="1"/>
  <c r="CD1624" i="5"/>
  <c r="CK1623" i="5"/>
  <c r="CJ1623" i="5"/>
  <c r="CH1623" i="5"/>
  <c r="CG1623" i="5"/>
  <c r="CE1623" i="5"/>
  <c r="CD1623" i="5"/>
  <c r="CB1626" i="5"/>
  <c r="CB1622" i="5" s="1"/>
  <c r="CA1626" i="5"/>
  <c r="BY1626" i="5"/>
  <c r="BX1626" i="5"/>
  <c r="BV1626" i="5"/>
  <c r="BU1626" i="5"/>
  <c r="CB1625" i="5"/>
  <c r="CA1625" i="5"/>
  <c r="BY1625" i="5"/>
  <c r="BY1621" i="5" s="1"/>
  <c r="BX1625" i="5"/>
  <c r="BV1625" i="5"/>
  <c r="BV1621" i="5" s="1"/>
  <c r="BU1625" i="5"/>
  <c r="CB1624" i="5"/>
  <c r="CA1624" i="5"/>
  <c r="BY1624" i="5"/>
  <c r="BY1619" i="5" s="1"/>
  <c r="BX1624" i="5"/>
  <c r="BV1624" i="5"/>
  <c r="BU1624" i="5"/>
  <c r="CB1623" i="5"/>
  <c r="CA1623" i="5"/>
  <c r="BY1623" i="5"/>
  <c r="BY1618" i="5" s="1"/>
  <c r="BX1623" i="5"/>
  <c r="BV1623" i="5"/>
  <c r="BV1618" i="5" s="1"/>
  <c r="BU1623" i="5"/>
  <c r="BS1626" i="5"/>
  <c r="BS1622" i="5" s="1"/>
  <c r="BR1626" i="5"/>
  <c r="BP1626" i="5"/>
  <c r="BO1626" i="5"/>
  <c r="BM1626" i="5"/>
  <c r="BM1622" i="5" s="1"/>
  <c r="BL1626" i="5"/>
  <c r="BS1625" i="5"/>
  <c r="BR1625" i="5"/>
  <c r="BP1625" i="5"/>
  <c r="BP1621" i="5" s="1"/>
  <c r="BO1625" i="5"/>
  <c r="BM1625" i="5"/>
  <c r="BL1625" i="5"/>
  <c r="BS1624" i="5"/>
  <c r="BS1619" i="5" s="1"/>
  <c r="BR1624" i="5"/>
  <c r="BP1624" i="5"/>
  <c r="BP1619" i="5" s="1"/>
  <c r="BO1624" i="5"/>
  <c r="BM1624" i="5"/>
  <c r="BM1619" i="5" s="1"/>
  <c r="BL1624" i="5"/>
  <c r="BS1623" i="5"/>
  <c r="BS1618" i="5" s="1"/>
  <c r="BR1623" i="5"/>
  <c r="BP1623" i="5"/>
  <c r="BP1618" i="5" s="1"/>
  <c r="BO1623" i="5"/>
  <c r="BM1623" i="5"/>
  <c r="BM1618" i="5" s="1"/>
  <c r="BL1623" i="5"/>
  <c r="BJ1626" i="5"/>
  <c r="BJ1622" i="5" s="1"/>
  <c r="BI1626" i="5"/>
  <c r="BG1626" i="5"/>
  <c r="BG1622" i="5" s="1"/>
  <c r="BF1626" i="5"/>
  <c r="BD1626" i="5"/>
  <c r="BD1622" i="5" s="1"/>
  <c r="BC1626" i="5"/>
  <c r="BJ1625" i="5"/>
  <c r="BI1625" i="5"/>
  <c r="BG1625" i="5"/>
  <c r="BF1625" i="5"/>
  <c r="BD1625" i="5"/>
  <c r="BC1625" i="5"/>
  <c r="BJ1624" i="5"/>
  <c r="BI1624" i="5"/>
  <c r="BG1624" i="5"/>
  <c r="BG1619" i="5" s="1"/>
  <c r="BF1624" i="5"/>
  <c r="BD1624" i="5"/>
  <c r="BC1624" i="5"/>
  <c r="BJ1623" i="5"/>
  <c r="BJ1618" i="5" s="1"/>
  <c r="BI1623" i="5"/>
  <c r="BG1623" i="5"/>
  <c r="BG1618" i="5" s="1"/>
  <c r="BF1623" i="5"/>
  <c r="BD1623" i="5"/>
  <c r="BD1618" i="5" s="1"/>
  <c r="BC1623" i="5"/>
  <c r="BA1626" i="5"/>
  <c r="BA1622" i="5" s="1"/>
  <c r="AZ1626" i="5"/>
  <c r="AX1626" i="5"/>
  <c r="AW1626" i="5"/>
  <c r="AU1626" i="5"/>
  <c r="AU1622" i="5" s="1"/>
  <c r="AT1626" i="5"/>
  <c r="BA1625" i="5"/>
  <c r="BA1621" i="5" s="1"/>
  <c r="AZ1625" i="5"/>
  <c r="AX1625" i="5"/>
  <c r="AX1621" i="5" s="1"/>
  <c r="AW1625" i="5"/>
  <c r="AU1625" i="5"/>
  <c r="AT1625" i="5"/>
  <c r="BA1624" i="5"/>
  <c r="BA1619" i="5" s="1"/>
  <c r="AZ1624" i="5"/>
  <c r="AX1624" i="5"/>
  <c r="AX1619" i="5" s="1"/>
  <c r="AW1624" i="5"/>
  <c r="AU1624" i="5"/>
  <c r="AU1619" i="5" s="1"/>
  <c r="AT1624" i="5"/>
  <c r="BA1623" i="5"/>
  <c r="BA1618" i="5" s="1"/>
  <c r="AZ1623" i="5"/>
  <c r="AX1623" i="5"/>
  <c r="AX1618" i="5" s="1"/>
  <c r="AW1623" i="5"/>
  <c r="AU1623" i="5"/>
  <c r="AU1618" i="5" s="1"/>
  <c r="AT1623" i="5"/>
  <c r="AR1626" i="5"/>
  <c r="AR1622" i="5" s="1"/>
  <c r="AQ1626" i="5"/>
  <c r="AO1626" i="5"/>
  <c r="AO1622" i="5" s="1"/>
  <c r="AN1626" i="5"/>
  <c r="AL1626" i="5"/>
  <c r="AL1622" i="5" s="1"/>
  <c r="AK1626" i="5"/>
  <c r="AR1625" i="5"/>
  <c r="AR1621" i="5" s="1"/>
  <c r="AQ1625" i="5"/>
  <c r="AO1625" i="5"/>
  <c r="AO1621" i="5" s="1"/>
  <c r="AN1625" i="5"/>
  <c r="AL1625" i="5"/>
  <c r="AK1625" i="5"/>
  <c r="AR1624" i="5"/>
  <c r="AR1619" i="5" s="1"/>
  <c r="AQ1624" i="5"/>
  <c r="AO1624" i="5"/>
  <c r="AO1619" i="5" s="1"/>
  <c r="AN1624" i="5"/>
  <c r="AL1624" i="5"/>
  <c r="AL1619" i="5" s="1"/>
  <c r="AK1624" i="5"/>
  <c r="AR1623" i="5"/>
  <c r="AQ1623" i="5"/>
  <c r="AO1623" i="5"/>
  <c r="AO1618" i="5" s="1"/>
  <c r="AN1623" i="5"/>
  <c r="AL1623" i="5"/>
  <c r="AL1618" i="5" s="1"/>
  <c r="AK1623" i="5"/>
  <c r="AI1626" i="5"/>
  <c r="AI1622" i="5" s="1"/>
  <c r="AH1626" i="5"/>
  <c r="AF1626" i="5"/>
  <c r="AF1622" i="5" s="1"/>
  <c r="AE1626" i="5"/>
  <c r="AC1626" i="5"/>
  <c r="AC1622" i="5" s="1"/>
  <c r="AB1626" i="5"/>
  <c r="AI1625" i="5"/>
  <c r="AH1625" i="5"/>
  <c r="AF1625" i="5"/>
  <c r="AF1621" i="5" s="1"/>
  <c r="AE1625" i="5"/>
  <c r="AC1625" i="5"/>
  <c r="AB1625" i="5"/>
  <c r="AI1624" i="5"/>
  <c r="AI1619" i="5" s="1"/>
  <c r="AH1624" i="5"/>
  <c r="AF1624" i="5"/>
  <c r="AF1619" i="5" s="1"/>
  <c r="AE1624" i="5"/>
  <c r="AC1624" i="5"/>
  <c r="AC1619" i="5" s="1"/>
  <c r="AB1624" i="5"/>
  <c r="AI1623" i="5"/>
  <c r="AI1618" i="5" s="1"/>
  <c r="AH1623" i="5"/>
  <c r="AF1623" i="5"/>
  <c r="AF1618" i="5" s="1"/>
  <c r="AE1623" i="5"/>
  <c r="AC1623" i="5"/>
  <c r="AC1618" i="5" s="1"/>
  <c r="AB1623" i="5"/>
  <c r="Z1626" i="5"/>
  <c r="Z1622" i="5" s="1"/>
  <c r="Y1626" i="5"/>
  <c r="Y1622" i="5" s="1"/>
  <c r="Z1625" i="5"/>
  <c r="Z1621" i="5" s="1"/>
  <c r="Y1625" i="5"/>
  <c r="Z1624" i="5"/>
  <c r="Y1624" i="5"/>
  <c r="Z1623" i="5"/>
  <c r="Y1623" i="5"/>
  <c r="W1626" i="5"/>
  <c r="W1622" i="5" s="1"/>
  <c r="V1626" i="5"/>
  <c r="W1625" i="5"/>
  <c r="V1625" i="5"/>
  <c r="W1624" i="5"/>
  <c r="W1619" i="5" s="1"/>
  <c r="V1624" i="5"/>
  <c r="W1623" i="5"/>
  <c r="W1618" i="5" s="1"/>
  <c r="V1623" i="5"/>
  <c r="T1626" i="5"/>
  <c r="T1622" i="5" s="1"/>
  <c r="S1626" i="5"/>
  <c r="T1625" i="5"/>
  <c r="S1625" i="5"/>
  <c r="T1624" i="5"/>
  <c r="T1619" i="5" s="1"/>
  <c r="S1624" i="5"/>
  <c r="T1623" i="5"/>
  <c r="T1618" i="5" s="1"/>
  <c r="S1623" i="5"/>
  <c r="CK1622" i="5"/>
  <c r="R1637" i="5"/>
  <c r="Q1637" i="5"/>
  <c r="R1636" i="5"/>
  <c r="Q1636" i="5"/>
  <c r="R1635" i="5"/>
  <c r="Q1635" i="5"/>
  <c r="R1634" i="5"/>
  <c r="Q1634" i="5"/>
  <c r="R1370" i="5" l="1"/>
  <c r="R1373" i="5"/>
  <c r="Q698" i="5"/>
  <c r="Q1370" i="5"/>
  <c r="Q1373" i="5"/>
  <c r="Q1310" i="5"/>
  <c r="Q1315" i="5"/>
  <c r="Q1298" i="5"/>
  <c r="Q1302" i="5"/>
  <c r="Q1354" i="5"/>
  <c r="Q1359" i="5"/>
  <c r="R1310" i="5"/>
  <c r="R1315" i="5"/>
  <c r="R1298" i="5"/>
  <c r="R1302" i="5"/>
  <c r="R1356" i="5"/>
  <c r="R1362" i="5"/>
  <c r="R1384" i="5"/>
  <c r="R1354" i="5"/>
  <c r="R1359" i="5"/>
  <c r="Q1327" i="5"/>
  <c r="Q1323" i="5" s="1"/>
  <c r="Q1333" i="5"/>
  <c r="Q1308" i="5"/>
  <c r="Q1312" i="5"/>
  <c r="Q1300" i="5"/>
  <c r="Q1305" i="5"/>
  <c r="Q1356" i="5"/>
  <c r="Q1362" i="5"/>
  <c r="R1327" i="5"/>
  <c r="R1323" i="5" s="1"/>
  <c r="R1333" i="5"/>
  <c r="R1308" i="5"/>
  <c r="R1312" i="5"/>
  <c r="R1300" i="5"/>
  <c r="R1305" i="5"/>
  <c r="R699" i="5"/>
  <c r="Q1623" i="5"/>
  <c r="Q1628" i="5"/>
  <c r="Q1507" i="5"/>
  <c r="Q1502" i="5" s="1"/>
  <c r="Q1512" i="5"/>
  <c r="R1623" i="5"/>
  <c r="R1628" i="5"/>
  <c r="Q1336" i="5"/>
  <c r="Q1319" i="5" s="1"/>
  <c r="Q1341" i="5"/>
  <c r="Q1325" i="5"/>
  <c r="Q1330" i="5"/>
  <c r="R1512" i="5"/>
  <c r="R1326" i="5"/>
  <c r="R1319" i="5" s="1"/>
  <c r="R1330" i="5"/>
  <c r="R1341" i="5"/>
  <c r="R1411" i="5"/>
  <c r="Q1411" i="5"/>
  <c r="Q1384" i="5"/>
  <c r="S1382" i="5"/>
  <c r="Q1398" i="5"/>
  <c r="Q1383" i="5" s="1"/>
  <c r="S1379" i="5"/>
  <c r="R1383" i="5"/>
  <c r="S1383" i="5"/>
  <c r="Q1395" i="5"/>
  <c r="Q1380" i="5" s="1"/>
  <c r="Q1381" i="5"/>
  <c r="CD1444" i="5"/>
  <c r="BF1444" i="5"/>
  <c r="BL1444" i="5"/>
  <c r="CK1324" i="5"/>
  <c r="BX1444" i="5"/>
  <c r="AR1444" i="5"/>
  <c r="T1444" i="5"/>
  <c r="AF1444" i="5"/>
  <c r="BD1444" i="5"/>
  <c r="CH1320" i="5"/>
  <c r="CK1321" i="5"/>
  <c r="CH1323" i="5"/>
  <c r="CE1324" i="5"/>
  <c r="AC1444" i="5"/>
  <c r="AI1444" i="5"/>
  <c r="AN1444" i="5"/>
  <c r="BR1444" i="5"/>
  <c r="BV1444" i="5"/>
  <c r="CB1444" i="5"/>
  <c r="AN1406" i="5"/>
  <c r="BL1406" i="5"/>
  <c r="BR1406" i="5"/>
  <c r="CE1323" i="5"/>
  <c r="CK1323" i="5"/>
  <c r="CH1324" i="5"/>
  <c r="CJ1324" i="5"/>
  <c r="Y1444" i="5"/>
  <c r="CH1444" i="5"/>
  <c r="S1444" i="5"/>
  <c r="BJ1444" i="5"/>
  <c r="W1444" i="5"/>
  <c r="AU1444" i="5"/>
  <c r="BM1444" i="5"/>
  <c r="BS1444" i="5"/>
  <c r="BY1444" i="5"/>
  <c r="CK1444" i="5"/>
  <c r="AX1406" i="5"/>
  <c r="AX1458" i="5"/>
  <c r="AE1444" i="5"/>
  <c r="AQ1444" i="5"/>
  <c r="AW1444" i="5"/>
  <c r="BC1444" i="5"/>
  <c r="BI1444" i="5"/>
  <c r="CA1444" i="5"/>
  <c r="CG1444" i="5"/>
  <c r="AT1406" i="5"/>
  <c r="AT1458" i="5"/>
  <c r="AT1457" i="5" s="1"/>
  <c r="AT1444" i="5" s="1"/>
  <c r="AZ1406" i="5"/>
  <c r="AZ1458" i="5"/>
  <c r="AZ1457" i="5" s="1"/>
  <c r="AZ1444" i="5" s="1"/>
  <c r="CG1320" i="5"/>
  <c r="CD1321" i="5"/>
  <c r="CJ1321" i="5"/>
  <c r="AH1444" i="5"/>
  <c r="BO1406" i="5"/>
  <c r="BO1458" i="5"/>
  <c r="BO1457" i="5" s="1"/>
  <c r="BO1444" i="5" s="1"/>
  <c r="BU1406" i="5"/>
  <c r="BU1458" i="5"/>
  <c r="BU1457" i="5" s="1"/>
  <c r="BU1444" i="5" s="1"/>
  <c r="Z1444" i="5"/>
  <c r="R1407" i="5"/>
  <c r="R1405" i="5" s="1"/>
  <c r="BM1406" i="5"/>
  <c r="CK1352" i="5"/>
  <c r="CD1323" i="5"/>
  <c r="CJ1323" i="5"/>
  <c r="CG1324" i="5"/>
  <c r="CG1323" i="5"/>
  <c r="CD1324" i="5"/>
  <c r="CE1320" i="5"/>
  <c r="CK1320" i="5"/>
  <c r="CH1321" i="5"/>
  <c r="Q636" i="5"/>
  <c r="Q632" i="5"/>
  <c r="Q635" i="5"/>
  <c r="Q634" i="5"/>
  <c r="Q637" i="5"/>
  <c r="Q633" i="5"/>
  <c r="R634" i="5"/>
  <c r="R637" i="5"/>
  <c r="R633" i="5"/>
  <c r="R636" i="5"/>
  <c r="R632" i="5"/>
  <c r="R635" i="5"/>
  <c r="R624" i="5"/>
  <c r="R628" i="5"/>
  <c r="Q624" i="5"/>
  <c r="Q628" i="5"/>
  <c r="BI1406" i="5"/>
  <c r="CA1406" i="5"/>
  <c r="BX1406" i="5"/>
  <c r="CD1406" i="5"/>
  <c r="AL1406" i="5"/>
  <c r="AR1406" i="5"/>
  <c r="CH1406" i="5"/>
  <c r="CE1406" i="5"/>
  <c r="CK1406" i="5"/>
  <c r="V1444" i="5"/>
  <c r="AB1406" i="5"/>
  <c r="AH1406" i="5"/>
  <c r="BS1406" i="5"/>
  <c r="AF1406" i="5"/>
  <c r="AC1406" i="5"/>
  <c r="AI1406" i="5"/>
  <c r="BY1406" i="5"/>
  <c r="BV1406" i="5"/>
  <c r="CB1406" i="5"/>
  <c r="AW1406" i="5"/>
  <c r="CJ1406" i="5"/>
  <c r="AE1406" i="5"/>
  <c r="AO1406" i="5"/>
  <c r="BG1406" i="5"/>
  <c r="BJ1406" i="5"/>
  <c r="CG1406" i="5"/>
  <c r="AK1406" i="5"/>
  <c r="AQ1406" i="5"/>
  <c r="AU1406" i="5"/>
  <c r="BA1406" i="5"/>
  <c r="BC1406" i="5"/>
  <c r="BP1406" i="5"/>
  <c r="R755" i="5"/>
  <c r="T1404" i="5"/>
  <c r="T1406" i="5"/>
  <c r="Z1404" i="5"/>
  <c r="Z1406" i="5"/>
  <c r="BD1406" i="5"/>
  <c r="R1295" i="5"/>
  <c r="R1296" i="5"/>
  <c r="R1293" i="5"/>
  <c r="W1406" i="5"/>
  <c r="W1404" i="5"/>
  <c r="R1297" i="5"/>
  <c r="S1406" i="5"/>
  <c r="S1404" i="5"/>
  <c r="V1404" i="5"/>
  <c r="V1406" i="5"/>
  <c r="Y1406" i="5"/>
  <c r="Y1404" i="5"/>
  <c r="BF1406" i="5"/>
  <c r="Q1405" i="5"/>
  <c r="R1507" i="5"/>
  <c r="R1502" i="5" s="1"/>
  <c r="R1508" i="5"/>
  <c r="R1503" i="5" s="1"/>
  <c r="R1294" i="5"/>
  <c r="R1292" i="5"/>
  <c r="BV1619" i="5"/>
  <c r="CH1618" i="5"/>
  <c r="Q746" i="5"/>
  <c r="R1380" i="5"/>
  <c r="R1381" i="5"/>
  <c r="CE1353" i="5"/>
  <c r="CA1324" i="5"/>
  <c r="Q809" i="5"/>
  <c r="Q806" i="5" s="1"/>
  <c r="V1321" i="5"/>
  <c r="V1324" i="5"/>
  <c r="Y1293" i="5"/>
  <c r="S1506" i="5"/>
  <c r="AU1296" i="5"/>
  <c r="AO1443" i="5"/>
  <c r="BJ1324" i="5"/>
  <c r="R799" i="5"/>
  <c r="BX1320" i="5"/>
  <c r="CA1321" i="5"/>
  <c r="BX1323" i="5"/>
  <c r="BU1324" i="5"/>
  <c r="BF1443" i="5"/>
  <c r="CB1324" i="5"/>
  <c r="BD1619" i="5"/>
  <c r="BJ1619" i="5"/>
  <c r="BG1621" i="5"/>
  <c r="BG1320" i="5"/>
  <c r="BD1321" i="5"/>
  <c r="BJ1321" i="5"/>
  <c r="BG1323" i="5"/>
  <c r="BD1324" i="5"/>
  <c r="BU1294" i="5"/>
  <c r="CA1294" i="5"/>
  <c r="BU1297" i="5"/>
  <c r="CA1297" i="5"/>
  <c r="AU1443" i="5"/>
  <c r="BG1443" i="5"/>
  <c r="BV1323" i="5"/>
  <c r="CB1323" i="5"/>
  <c r="BY1324" i="5"/>
  <c r="T1293" i="5"/>
  <c r="T1296" i="5"/>
  <c r="W1296" i="5"/>
  <c r="AC1293" i="5"/>
  <c r="AI1293" i="5"/>
  <c r="AF1294" i="5"/>
  <c r="AC1296" i="5"/>
  <c r="AI1296" i="5"/>
  <c r="AF1297" i="5"/>
  <c r="AL1293" i="5"/>
  <c r="AR1293" i="5"/>
  <c r="AO1294" i="5"/>
  <c r="AL1296" i="5"/>
  <c r="AR1296" i="5"/>
  <c r="AO1297" i="5"/>
  <c r="CB1321" i="5"/>
  <c r="BY1323" i="5"/>
  <c r="BV1324" i="5"/>
  <c r="BI1324" i="5"/>
  <c r="AX1294" i="5"/>
  <c r="R809" i="5"/>
  <c r="R806" i="5" s="1"/>
  <c r="CA1350" i="5"/>
  <c r="BF1320" i="5"/>
  <c r="BI1321" i="5"/>
  <c r="BF1323" i="5"/>
  <c r="AU1293" i="5"/>
  <c r="BA1293" i="5"/>
  <c r="BA1296" i="5"/>
  <c r="AX1297" i="5"/>
  <c r="CK1293" i="5"/>
  <c r="CE1296" i="5"/>
  <c r="CK1296" i="5"/>
  <c r="CH1297" i="5"/>
  <c r="BG1293" i="5"/>
  <c r="BU1350" i="5"/>
  <c r="Q755" i="5"/>
  <c r="BD1404" i="5"/>
  <c r="BJ1404" i="5"/>
  <c r="Z1320" i="5"/>
  <c r="AF1324" i="5"/>
  <c r="W1323" i="5"/>
  <c r="BA1353" i="5"/>
  <c r="BY1352" i="5"/>
  <c r="Z1324" i="5"/>
  <c r="CJ1444" i="5"/>
  <c r="CA1503" i="5"/>
  <c r="T1352" i="5"/>
  <c r="W1353" i="5"/>
  <c r="BS1353" i="5"/>
  <c r="BD1443" i="5"/>
  <c r="BJ1443" i="5"/>
  <c r="BV1352" i="5"/>
  <c r="CB1352" i="5"/>
  <c r="BY1353" i="5"/>
  <c r="AR1321" i="5"/>
  <c r="AO1323" i="5"/>
  <c r="V1293" i="5"/>
  <c r="V1296" i="5"/>
  <c r="CD1293" i="5"/>
  <c r="CJ1293" i="5"/>
  <c r="CG1294" i="5"/>
  <c r="CD1296" i="5"/>
  <c r="CJ1296" i="5"/>
  <c r="CG1297" i="5"/>
  <c r="R746" i="5"/>
  <c r="BX1502" i="5"/>
  <c r="BX1505" i="5"/>
  <c r="AO1349" i="5"/>
  <c r="Z1323" i="5"/>
  <c r="Y1296" i="5"/>
  <c r="BU1503" i="5"/>
  <c r="BU1506" i="5"/>
  <c r="CA1506" i="5"/>
  <c r="BS1443" i="5"/>
  <c r="W1350" i="5"/>
  <c r="AR1350" i="5"/>
  <c r="W1503" i="5"/>
  <c r="AF1502" i="5"/>
  <c r="AF1505" i="5"/>
  <c r="AC1506" i="5"/>
  <c r="AI1506" i="5"/>
  <c r="AO1505" i="5"/>
  <c r="AL1506" i="5"/>
  <c r="AR1506" i="5"/>
  <c r="AU1503" i="5"/>
  <c r="AX1505" i="5"/>
  <c r="AU1506" i="5"/>
  <c r="BA1506" i="5"/>
  <c r="BG1505" i="5"/>
  <c r="BD1506" i="5"/>
  <c r="BJ1506" i="5"/>
  <c r="BP1505" i="5"/>
  <c r="BM1506" i="5"/>
  <c r="BS1506" i="5"/>
  <c r="BY1505" i="5"/>
  <c r="BV1506" i="5"/>
  <c r="CB1506" i="5"/>
  <c r="CH1505" i="5"/>
  <c r="CE1506" i="5"/>
  <c r="CK1506" i="5"/>
  <c r="S1503" i="5"/>
  <c r="CE1443" i="5"/>
  <c r="AL1443" i="5"/>
  <c r="CB1443" i="5"/>
  <c r="BG1404" i="5"/>
  <c r="Y1321" i="5"/>
  <c r="Z1293" i="5"/>
  <c r="Z1296" i="5"/>
  <c r="BD1293" i="5"/>
  <c r="BJ1293" i="5"/>
  <c r="BG1294" i="5"/>
  <c r="BD1296" i="5"/>
  <c r="BG1297" i="5"/>
  <c r="BM1293" i="5"/>
  <c r="BS1293" i="5"/>
  <c r="BP1294" i="5"/>
  <c r="BP1297" i="5"/>
  <c r="BV1293" i="5"/>
  <c r="CB1293" i="5"/>
  <c r="BY1294" i="5"/>
  <c r="CB1296" i="5"/>
  <c r="BY1297" i="5"/>
  <c r="AE1293" i="5"/>
  <c r="AB1294" i="5"/>
  <c r="AB1297" i="5"/>
  <c r="AH1297" i="5"/>
  <c r="AB1505" i="5"/>
  <c r="AH1505" i="5"/>
  <c r="AE1506" i="5"/>
  <c r="AK1502" i="5"/>
  <c r="AQ1502" i="5"/>
  <c r="AN1503" i="5"/>
  <c r="AQ1505" i="5"/>
  <c r="AN1506" i="5"/>
  <c r="BU1501" i="5"/>
  <c r="BU1505" i="5"/>
  <c r="CA1505" i="5"/>
  <c r="BX1506" i="5"/>
  <c r="CD1501" i="5"/>
  <c r="CD1505" i="5"/>
  <c r="CJ1505" i="5"/>
  <c r="CG1506" i="5"/>
  <c r="AE1502" i="5"/>
  <c r="AB1503" i="5"/>
  <c r="AH1503" i="5"/>
  <c r="AE1505" i="5"/>
  <c r="AB1506" i="5"/>
  <c r="AH1506" i="5"/>
  <c r="AW1502" i="5"/>
  <c r="AT1503" i="5"/>
  <c r="AZ1503" i="5"/>
  <c r="AW1505" i="5"/>
  <c r="AT1506" i="5"/>
  <c r="AZ1506" i="5"/>
  <c r="BI1503" i="5"/>
  <c r="AC1404" i="5"/>
  <c r="BC1404" i="5"/>
  <c r="BI1404" i="5"/>
  <c r="BO1404" i="5"/>
  <c r="W1352" i="5"/>
  <c r="Z1349" i="5"/>
  <c r="Z1352" i="5"/>
  <c r="AI1349" i="5"/>
  <c r="AC1352" i="5"/>
  <c r="AI1352" i="5"/>
  <c r="AF1353" i="5"/>
  <c r="AL1352" i="5"/>
  <c r="AO1353" i="5"/>
  <c r="AU1349" i="5"/>
  <c r="BG1350" i="5"/>
  <c r="BM1349" i="5"/>
  <c r="BS1349" i="5"/>
  <c r="BP1350" i="5"/>
  <c r="BM1352" i="5"/>
  <c r="BS1352" i="5"/>
  <c r="BP1353" i="5"/>
  <c r="AZ1350" i="5"/>
  <c r="BO1349" i="5"/>
  <c r="BL1350" i="5"/>
  <c r="BR1350" i="5"/>
  <c r="AK1321" i="5"/>
  <c r="AT1321" i="5"/>
  <c r="AZ1321" i="5"/>
  <c r="BV1320" i="5"/>
  <c r="CB1320" i="5"/>
  <c r="BY1321" i="5"/>
  <c r="S1320" i="5"/>
  <c r="BU1323" i="5"/>
  <c r="CA1323" i="5"/>
  <c r="BX1324" i="5"/>
  <c r="S1293" i="5"/>
  <c r="S1296" i="5"/>
  <c r="AB1296" i="5"/>
  <c r="AK1293" i="5"/>
  <c r="AN1294" i="5"/>
  <c r="Z1619" i="5"/>
  <c r="Z1617" i="5"/>
  <c r="CK1442" i="5"/>
  <c r="CK1443" i="5"/>
  <c r="BV1617" i="5"/>
  <c r="BV1443" i="5"/>
  <c r="V1350" i="5"/>
  <c r="AQ1350" i="5"/>
  <c r="AK1353" i="5"/>
  <c r="BL1294" i="5"/>
  <c r="BO1296" i="5"/>
  <c r="BR1297" i="5"/>
  <c r="S1621" i="5"/>
  <c r="V1621" i="5"/>
  <c r="Y1621" i="5"/>
  <c r="BC1502" i="5"/>
  <c r="BF1503" i="5"/>
  <c r="BI1505" i="5"/>
  <c r="BL1502" i="5"/>
  <c r="BL1505" i="5"/>
  <c r="BR1505" i="5"/>
  <c r="BO1506" i="5"/>
  <c r="BL1319" i="5"/>
  <c r="BL1323" i="5"/>
  <c r="AF1293" i="5"/>
  <c r="AI1294" i="5"/>
  <c r="BA1297" i="5"/>
  <c r="CK1297" i="5"/>
  <c r="CB1353" i="5"/>
  <c r="AI1620" i="5"/>
  <c r="AU1620" i="5"/>
  <c r="AX1620" i="5"/>
  <c r="BJ1620" i="5"/>
  <c r="BM1620" i="5"/>
  <c r="Z1502" i="5"/>
  <c r="BA1505" i="5"/>
  <c r="BD1502" i="5"/>
  <c r="BS1502" i="5"/>
  <c r="CH1443" i="5"/>
  <c r="BP1404" i="5"/>
  <c r="BY1404" i="5"/>
  <c r="AX1349" i="5"/>
  <c r="AU1350" i="5"/>
  <c r="BA1350" i="5"/>
  <c r="AX1351" i="5"/>
  <c r="AU1353" i="5"/>
  <c r="S1349" i="5"/>
  <c r="AB1352" i="5"/>
  <c r="BO1353" i="5"/>
  <c r="BU1349" i="5"/>
  <c r="CA1349" i="5"/>
  <c r="BX1350" i="5"/>
  <c r="CJ1352" i="5"/>
  <c r="W1320" i="5"/>
  <c r="AC1320" i="5"/>
  <c r="AI1320" i="5"/>
  <c r="AF1321" i="5"/>
  <c r="AC1322" i="5"/>
  <c r="AI1322" i="5"/>
  <c r="BM1320" i="5"/>
  <c r="BS1320" i="5"/>
  <c r="BP1321" i="5"/>
  <c r="BM1322" i="5"/>
  <c r="BS1322" i="5"/>
  <c r="BP1324" i="5"/>
  <c r="AH1324" i="5"/>
  <c r="AN1320" i="5"/>
  <c r="AQ1321" i="5"/>
  <c r="AN1323" i="5"/>
  <c r="AQ1324" i="5"/>
  <c r="BL1324" i="5"/>
  <c r="Q1321" i="5"/>
  <c r="Y1350" i="5"/>
  <c r="AK1350" i="5"/>
  <c r="AN1352" i="5"/>
  <c r="AQ1353" i="5"/>
  <c r="BO1293" i="5"/>
  <c r="BR1294" i="5"/>
  <c r="BL1297" i="5"/>
  <c r="V1618" i="5"/>
  <c r="Y1618" i="5"/>
  <c r="Y1501" i="5"/>
  <c r="AK1504" i="5"/>
  <c r="BI1502" i="5"/>
  <c r="BC1505" i="5"/>
  <c r="BF1506" i="5"/>
  <c r="BO1503" i="5"/>
  <c r="BA1442" i="5"/>
  <c r="Z1350" i="5"/>
  <c r="AR1617" i="5"/>
  <c r="AL1620" i="5"/>
  <c r="BD1620" i="5"/>
  <c r="BS1620" i="5"/>
  <c r="CE1620" i="5"/>
  <c r="AU1505" i="5"/>
  <c r="AX1506" i="5"/>
  <c r="BM1502" i="5"/>
  <c r="BM1505" i="5"/>
  <c r="BP1506" i="5"/>
  <c r="AE1618" i="5"/>
  <c r="AE1621" i="5"/>
  <c r="BC1622" i="5"/>
  <c r="BO1621" i="5"/>
  <c r="BX1621" i="5"/>
  <c r="BU1622" i="5"/>
  <c r="CA1622" i="5"/>
  <c r="Y1503" i="5"/>
  <c r="AC1501" i="5"/>
  <c r="AI1443" i="5"/>
  <c r="AN1443" i="5"/>
  <c r="AX1443" i="5"/>
  <c r="BL1443" i="5"/>
  <c r="AW1443" i="5"/>
  <c r="CG1443" i="5"/>
  <c r="BU1404" i="5"/>
  <c r="AL1348" i="5"/>
  <c r="BP1349" i="5"/>
  <c r="BS1350" i="5"/>
  <c r="BP1352" i="5"/>
  <c r="BM1353" i="5"/>
  <c r="AR1320" i="5"/>
  <c r="BA1320" i="5"/>
  <c r="AU1323" i="5"/>
  <c r="T1324" i="5"/>
  <c r="W1324" i="5"/>
  <c r="AC1321" i="5"/>
  <c r="AF1323" i="5"/>
  <c r="AC1324" i="5"/>
  <c r="AI1324" i="5"/>
  <c r="AO1320" i="5"/>
  <c r="AR1324" i="5"/>
  <c r="AX1323" i="5"/>
  <c r="T1503" i="5"/>
  <c r="T1506" i="5"/>
  <c r="AR1504" i="5"/>
  <c r="BY1501" i="5"/>
  <c r="BV1504" i="5"/>
  <c r="AX1622" i="5"/>
  <c r="AI1501" i="5"/>
  <c r="AL1502" i="5"/>
  <c r="AR1502" i="5"/>
  <c r="AO1503" i="5"/>
  <c r="AL1505" i="5"/>
  <c r="AR1505" i="5"/>
  <c r="AO1506" i="5"/>
  <c r="BD1501" i="5"/>
  <c r="BJ1501" i="5"/>
  <c r="BG1503" i="5"/>
  <c r="BD1504" i="5"/>
  <c r="BD1505" i="5"/>
  <c r="BJ1504" i="5"/>
  <c r="BJ1505" i="5"/>
  <c r="BG1506" i="5"/>
  <c r="CE1502" i="5"/>
  <c r="CE1505" i="5"/>
  <c r="CK1505" i="5"/>
  <c r="CH1504" i="5"/>
  <c r="CH1506" i="5"/>
  <c r="Y1352" i="5"/>
  <c r="CA1348" i="5"/>
  <c r="CE1321" i="5"/>
  <c r="CE1319" i="5"/>
  <c r="R1324" i="5"/>
  <c r="R1321" i="5"/>
  <c r="T1297" i="5"/>
  <c r="CB1618" i="5"/>
  <c r="CB1617" i="5"/>
  <c r="AO1620" i="5"/>
  <c r="AU1617" i="5"/>
  <c r="BA1620" i="5"/>
  <c r="BG1620" i="5"/>
  <c r="S1619" i="5"/>
  <c r="V1619" i="5"/>
  <c r="Y1619" i="5"/>
  <c r="BS1504" i="5"/>
  <c r="CB1504" i="5"/>
  <c r="T1505" i="5"/>
  <c r="AT1501" i="5"/>
  <c r="CJ1404" i="5"/>
  <c r="W1348" i="5"/>
  <c r="Q1348" i="5"/>
  <c r="AU1621" i="5"/>
  <c r="BM1617" i="5"/>
  <c r="AB1618" i="5"/>
  <c r="AE1619" i="5"/>
  <c r="AB1621" i="5"/>
  <c r="AH1621" i="5"/>
  <c r="AE1622" i="5"/>
  <c r="AN1619" i="5"/>
  <c r="AK1621" i="5"/>
  <c r="AQ1621" i="5"/>
  <c r="AN1622" i="5"/>
  <c r="AW1619" i="5"/>
  <c r="AT1621" i="5"/>
  <c r="AZ1621" i="5"/>
  <c r="AW1622" i="5"/>
  <c r="W1506" i="5"/>
  <c r="AC1503" i="5"/>
  <c r="AO1502" i="5"/>
  <c r="AL1503" i="5"/>
  <c r="AR1503" i="5"/>
  <c r="AO1504" i="5"/>
  <c r="AL1504" i="5"/>
  <c r="AU1501" i="5"/>
  <c r="BJ1502" i="5"/>
  <c r="BG1502" i="5"/>
  <c r="BD1503" i="5"/>
  <c r="BJ1503" i="5"/>
  <c r="BG1504" i="5"/>
  <c r="CE1503" i="5"/>
  <c r="CK1503" i="5"/>
  <c r="AR1404" i="5"/>
  <c r="BF1349" i="5"/>
  <c r="BC1350" i="5"/>
  <c r="BI1350" i="5"/>
  <c r="BF1352" i="5"/>
  <c r="AC1292" i="5"/>
  <c r="BI1622" i="5"/>
  <c r="BL1622" i="5"/>
  <c r="BR1622" i="5"/>
  <c r="V1503" i="5"/>
  <c r="Y1506" i="5"/>
  <c r="AN1501" i="5"/>
  <c r="AN1505" i="5"/>
  <c r="AK1506" i="5"/>
  <c r="AQ1506" i="5"/>
  <c r="BF1502" i="5"/>
  <c r="BC1503" i="5"/>
  <c r="BF1505" i="5"/>
  <c r="BC1506" i="5"/>
  <c r="BI1506" i="5"/>
  <c r="BO1505" i="5"/>
  <c r="BL1506" i="5"/>
  <c r="BR1506" i="5"/>
  <c r="CG1502" i="5"/>
  <c r="CD1503" i="5"/>
  <c r="CJ1503" i="5"/>
  <c r="CG1505" i="5"/>
  <c r="CD1506" i="5"/>
  <c r="CJ1506" i="5"/>
  <c r="T1502" i="5"/>
  <c r="W1502" i="5"/>
  <c r="Z1501" i="5"/>
  <c r="Z1506" i="5"/>
  <c r="AH1501" i="5"/>
  <c r="BR1502" i="5"/>
  <c r="BL1504" i="5"/>
  <c r="BR1504" i="5"/>
  <c r="CJ1501" i="5"/>
  <c r="BY1443" i="5"/>
  <c r="AB1443" i="5"/>
  <c r="AH1443" i="5"/>
  <c r="AT1443" i="5"/>
  <c r="AZ1443" i="5"/>
  <c r="BR1443" i="5"/>
  <c r="BX1443" i="5"/>
  <c r="CD1443" i="5"/>
  <c r="CJ1443" i="5"/>
  <c r="Q1445" i="5"/>
  <c r="Q1443" i="5" s="1"/>
  <c r="AB1404" i="5"/>
  <c r="AH1404" i="5"/>
  <c r="AK1404" i="5"/>
  <c r="AT1404" i="5"/>
  <c r="AZ1404" i="5"/>
  <c r="AW1404" i="5"/>
  <c r="R1382" i="5"/>
  <c r="AH1352" i="5"/>
  <c r="AE1353" i="5"/>
  <c r="AN1349" i="5"/>
  <c r="BY1349" i="5"/>
  <c r="BV1350" i="5"/>
  <c r="CB1350" i="5"/>
  <c r="BV1353" i="5"/>
  <c r="CB1351" i="5"/>
  <c r="CK1351" i="5"/>
  <c r="W1321" i="5"/>
  <c r="AB1321" i="5"/>
  <c r="AE1323" i="5"/>
  <c r="AB1324" i="5"/>
  <c r="BA1321" i="5"/>
  <c r="BC1319" i="5"/>
  <c r="BC1322" i="5"/>
  <c r="BO1320" i="5"/>
  <c r="BL1321" i="5"/>
  <c r="BO1323" i="5"/>
  <c r="BR1324" i="5"/>
  <c r="S1323" i="5"/>
  <c r="Y1320" i="5"/>
  <c r="AK1323" i="5"/>
  <c r="AQ1323" i="5"/>
  <c r="AT1323" i="5"/>
  <c r="BD1294" i="5"/>
  <c r="BG1296" i="5"/>
  <c r="BV1295" i="5"/>
  <c r="CH1292" i="5"/>
  <c r="CE1295" i="5"/>
  <c r="BL1296" i="5"/>
  <c r="BR1296" i="5"/>
  <c r="BU1293" i="5"/>
  <c r="CA1293" i="5"/>
  <c r="BX1294" i="5"/>
  <c r="BU1296" i="5"/>
  <c r="CA1296" i="5"/>
  <c r="BX1297" i="5"/>
  <c r="BX1349" i="5"/>
  <c r="V1319" i="5"/>
  <c r="AF1320" i="5"/>
  <c r="AI1321" i="5"/>
  <c r="CE1322" i="5"/>
  <c r="CK1322" i="5"/>
  <c r="BM1294" i="5"/>
  <c r="BF1619" i="5"/>
  <c r="BC1621" i="5"/>
  <c r="BI1621" i="5"/>
  <c r="BF1622" i="5"/>
  <c r="BO1619" i="5"/>
  <c r="BL1621" i="5"/>
  <c r="BR1621" i="5"/>
  <c r="BO1622" i="5"/>
  <c r="BX1619" i="5"/>
  <c r="BU1621" i="5"/>
  <c r="CA1621" i="5"/>
  <c r="BX1622" i="5"/>
  <c r="CG1619" i="5"/>
  <c r="CD1621" i="5"/>
  <c r="CJ1621" i="5"/>
  <c r="CG1622" i="5"/>
  <c r="S1501" i="5"/>
  <c r="V1501" i="5"/>
  <c r="AT1505" i="5"/>
  <c r="AZ1505" i="5"/>
  <c r="AW1506" i="5"/>
  <c r="Z1505" i="5"/>
  <c r="BX1504" i="5"/>
  <c r="CB1442" i="5"/>
  <c r="S1443" i="5"/>
  <c r="Y1443" i="5"/>
  <c r="BC1443" i="5"/>
  <c r="BI1443" i="5"/>
  <c r="AW1349" i="5"/>
  <c r="AL1321" i="5"/>
  <c r="AL1324" i="5"/>
  <c r="S1324" i="5"/>
  <c r="Y1324" i="5"/>
  <c r="AW1320" i="5"/>
  <c r="AW1323" i="5"/>
  <c r="Q1324" i="5"/>
  <c r="W1294" i="5"/>
  <c r="AC1297" i="5"/>
  <c r="AO1292" i="5"/>
  <c r="AX1293" i="5"/>
  <c r="AU1294" i="5"/>
  <c r="BA1294" i="5"/>
  <c r="AX1295" i="5"/>
  <c r="BD1295" i="5"/>
  <c r="BJ1295" i="5"/>
  <c r="CH1293" i="5"/>
  <c r="CE1294" i="5"/>
  <c r="CK1294" i="5"/>
  <c r="CH1296" i="5"/>
  <c r="CE1297" i="5"/>
  <c r="BF1293" i="5"/>
  <c r="BC1294" i="5"/>
  <c r="BI1294" i="5"/>
  <c r="BX1295" i="5"/>
  <c r="R1622" i="5"/>
  <c r="V1504" i="5"/>
  <c r="Y1502" i="5"/>
  <c r="AE1504" i="5"/>
  <c r="AW1504" i="5"/>
  <c r="BF1501" i="5"/>
  <c r="BF1504" i="5"/>
  <c r="BU1502" i="5"/>
  <c r="CA1502" i="5"/>
  <c r="BX1503" i="5"/>
  <c r="BU1504" i="5"/>
  <c r="CA1504" i="5"/>
  <c r="R1505" i="5"/>
  <c r="V1443" i="5"/>
  <c r="BP1405" i="5"/>
  <c r="CA1404" i="5"/>
  <c r="CK1404" i="5"/>
  <c r="AT1350" i="5"/>
  <c r="AW1352" i="5"/>
  <c r="AT1353" i="5"/>
  <c r="AZ1353" i="5"/>
  <c r="AE1320" i="5"/>
  <c r="AH1321" i="5"/>
  <c r="BC1321" i="5"/>
  <c r="BR1321" i="5"/>
  <c r="BU1321" i="5"/>
  <c r="S1294" i="5"/>
  <c r="V1294" i="5"/>
  <c r="AH1292" i="5"/>
  <c r="AN1292" i="5"/>
  <c r="AW1292" i="5"/>
  <c r="CG1293" i="5"/>
  <c r="CD1294" i="5"/>
  <c r="CJ1294" i="5"/>
  <c r="CG1296" i="5"/>
  <c r="CD1297" i="5"/>
  <c r="CJ1297" i="5"/>
  <c r="T1617" i="5"/>
  <c r="BP1620" i="5"/>
  <c r="R1621" i="5"/>
  <c r="CB1619" i="5"/>
  <c r="BV1622" i="5"/>
  <c r="CH1617" i="5"/>
  <c r="CK1501" i="5"/>
  <c r="S1504" i="5"/>
  <c r="V1502" i="5"/>
  <c r="W1505" i="5"/>
  <c r="AF1504" i="5"/>
  <c r="AI1503" i="5"/>
  <c r="AK1505" i="5"/>
  <c r="AQ1504" i="5"/>
  <c r="AX1504" i="5"/>
  <c r="AX1502" i="5"/>
  <c r="BA1503" i="5"/>
  <c r="BI1501" i="5"/>
  <c r="BS1505" i="5"/>
  <c r="BP1503" i="5"/>
  <c r="CB1505" i="5"/>
  <c r="CG1504" i="5"/>
  <c r="Q1506" i="5"/>
  <c r="BO1443" i="5"/>
  <c r="AI1404" i="5"/>
  <c r="BA1404" i="5"/>
  <c r="BV1351" i="5"/>
  <c r="BU1352" i="5"/>
  <c r="CA1352" i="5"/>
  <c r="BX1353" i="5"/>
  <c r="CD1348" i="5"/>
  <c r="AL1350" i="5"/>
  <c r="AO1352" i="5"/>
  <c r="AL1353" i="5"/>
  <c r="AR1353" i="5"/>
  <c r="AC1319" i="5"/>
  <c r="AK1324" i="5"/>
  <c r="AT1320" i="5"/>
  <c r="AZ1320" i="5"/>
  <c r="AW1321" i="5"/>
  <c r="BV1296" i="5"/>
  <c r="T1294" i="5"/>
  <c r="BD1292" i="5"/>
  <c r="BJ1292" i="5"/>
  <c r="BP1293" i="5"/>
  <c r="BS1294" i="5"/>
  <c r="BY1293" i="5"/>
  <c r="BV1294" i="5"/>
  <c r="T1620" i="5"/>
  <c r="AE1617" i="5"/>
  <c r="AB1619" i="5"/>
  <c r="AH1619" i="5"/>
  <c r="AB1622" i="5"/>
  <c r="AH1622" i="5"/>
  <c r="AN1618" i="5"/>
  <c r="AK1619" i="5"/>
  <c r="AQ1619" i="5"/>
  <c r="AK1622" i="5"/>
  <c r="AQ1622" i="5"/>
  <c r="AW1618" i="5"/>
  <c r="AT1619" i="5"/>
  <c r="AZ1619" i="5"/>
  <c r="AT1622" i="5"/>
  <c r="AZ1622" i="5"/>
  <c r="BF1618" i="5"/>
  <c r="BC1619" i="5"/>
  <c r="BI1619" i="5"/>
  <c r="BF1621" i="5"/>
  <c r="BO1618" i="5"/>
  <c r="BL1619" i="5"/>
  <c r="BR1619" i="5"/>
  <c r="BX1618" i="5"/>
  <c r="BU1619" i="5"/>
  <c r="CA1619" i="5"/>
  <c r="CG1618" i="5"/>
  <c r="CD1619" i="5"/>
  <c r="CJ1619" i="5"/>
  <c r="CD1622" i="5"/>
  <c r="CJ1622" i="5"/>
  <c r="Q1619" i="5"/>
  <c r="Q1622" i="5"/>
  <c r="AH1618" i="5"/>
  <c r="S1502" i="5"/>
  <c r="V1506" i="5"/>
  <c r="AB1502" i="5"/>
  <c r="AH1502" i="5"/>
  <c r="AE1503" i="5"/>
  <c r="AT1502" i="5"/>
  <c r="AZ1502" i="5"/>
  <c r="AW1503" i="5"/>
  <c r="AT1504" i="5"/>
  <c r="BC1501" i="5"/>
  <c r="BC1504" i="5"/>
  <c r="BI1504" i="5"/>
  <c r="BO1502" i="5"/>
  <c r="BL1503" i="5"/>
  <c r="BR1503" i="5"/>
  <c r="BO1504" i="5"/>
  <c r="CA1501" i="5"/>
  <c r="R1506" i="5"/>
  <c r="AB1442" i="5"/>
  <c r="AE1443" i="5"/>
  <c r="AK1443" i="5"/>
  <c r="AQ1443" i="5"/>
  <c r="BU1443" i="5"/>
  <c r="CA1443" i="5"/>
  <c r="AE1404" i="5"/>
  <c r="BF1404" i="5"/>
  <c r="AL1351" i="5"/>
  <c r="AR1351" i="5"/>
  <c r="BM1348" i="5"/>
  <c r="CG1351" i="5"/>
  <c r="V1348" i="5"/>
  <c r="AB1349" i="5"/>
  <c r="AH1349" i="5"/>
  <c r="AE1348" i="5"/>
  <c r="AK1348" i="5"/>
  <c r="AT1348" i="5"/>
  <c r="AZ1348" i="5"/>
  <c r="BC1349" i="5"/>
  <c r="BI1349" i="5"/>
  <c r="BF1348" i="5"/>
  <c r="BL1348" i="5"/>
  <c r="BR1348" i="5"/>
  <c r="AR1319" i="5"/>
  <c r="BX1319" i="5"/>
  <c r="V1323" i="5"/>
  <c r="AB1319" i="5"/>
  <c r="AH1319" i="5"/>
  <c r="AK1319" i="5"/>
  <c r="AQ1319" i="5"/>
  <c r="AT1319" i="5"/>
  <c r="AZ1319" i="5"/>
  <c r="AW1322" i="5"/>
  <c r="BC1320" i="5"/>
  <c r="BI1320" i="5"/>
  <c r="BF1321" i="5"/>
  <c r="BC1323" i="5"/>
  <c r="BI1323" i="5"/>
  <c r="BF1324" i="5"/>
  <c r="BR1319" i="5"/>
  <c r="BU1319" i="5"/>
  <c r="CA1320" i="5"/>
  <c r="BX1321" i="5"/>
  <c r="CD1320" i="5"/>
  <c r="CJ1320" i="5"/>
  <c r="CG1321" i="5"/>
  <c r="BJ1296" i="5"/>
  <c r="BM1295" i="5"/>
  <c r="BS1295" i="5"/>
  <c r="BY1292" i="5"/>
  <c r="AQ1293" i="5"/>
  <c r="AT1293" i="5"/>
  <c r="AZ1293" i="5"/>
  <c r="AW1294" i="5"/>
  <c r="Q800" i="5"/>
  <c r="Q798" i="5"/>
  <c r="Q803" i="5"/>
  <c r="AX1617" i="5"/>
  <c r="BA1617" i="5"/>
  <c r="W1617" i="5"/>
  <c r="Z1618" i="5"/>
  <c r="AR1618" i="5"/>
  <c r="AO1617" i="5"/>
  <c r="AR1620" i="5"/>
  <c r="BJ1621" i="5"/>
  <c r="BP1622" i="5"/>
  <c r="CE1618" i="5"/>
  <c r="CK1618" i="5"/>
  <c r="CK1620" i="5"/>
  <c r="CH1620" i="5"/>
  <c r="CH1502" i="5"/>
  <c r="T1504" i="5"/>
  <c r="Y1504" i="5"/>
  <c r="AB1501" i="5"/>
  <c r="AC1502" i="5"/>
  <c r="AI1502" i="5"/>
  <c r="AF1503" i="5"/>
  <c r="AI1504" i="5"/>
  <c r="AN1502" i="5"/>
  <c r="AK1503" i="5"/>
  <c r="AQ1503" i="5"/>
  <c r="AZ1501" i="5"/>
  <c r="AU1502" i="5"/>
  <c r="BA1502" i="5"/>
  <c r="AX1503" i="5"/>
  <c r="BO1501" i="5"/>
  <c r="BP1502" i="5"/>
  <c r="BM1503" i="5"/>
  <c r="BS1503" i="5"/>
  <c r="BP1504" i="5"/>
  <c r="BY1502" i="5"/>
  <c r="BV1503" i="5"/>
  <c r="CB1503" i="5"/>
  <c r="BY1504" i="5"/>
  <c r="CD1502" i="5"/>
  <c r="CJ1502" i="5"/>
  <c r="CG1503" i="5"/>
  <c r="CD1504" i="5"/>
  <c r="CJ1504" i="5"/>
  <c r="Q1505" i="5"/>
  <c r="AF1404" i="5"/>
  <c r="CD1404" i="5"/>
  <c r="BL1349" i="5"/>
  <c r="BR1349" i="5"/>
  <c r="BO1350" i="5"/>
  <c r="BR1352" i="5"/>
  <c r="BU1348" i="5"/>
  <c r="T1349" i="5"/>
  <c r="AC1349" i="5"/>
  <c r="BA1349" i="5"/>
  <c r="AU1352" i="5"/>
  <c r="BA1352" i="5"/>
  <c r="AX1353" i="5"/>
  <c r="BD1349" i="5"/>
  <c r="BJ1349" i="5"/>
  <c r="BV1349" i="5"/>
  <c r="CB1349" i="5"/>
  <c r="BY1350" i="5"/>
  <c r="R1352" i="5"/>
  <c r="S1321" i="5"/>
  <c r="AT1324" i="5"/>
  <c r="BD1320" i="5"/>
  <c r="BJ1320" i="5"/>
  <c r="BG1321" i="5"/>
  <c r="CK1319" i="5"/>
  <c r="W1292" i="5"/>
  <c r="BM1296" i="5"/>
  <c r="CE1293" i="5"/>
  <c r="CH1294" i="5"/>
  <c r="R803" i="5"/>
  <c r="R800" i="5"/>
  <c r="R808" i="5"/>
  <c r="Q808" i="5"/>
  <c r="Q807" i="5"/>
  <c r="R807" i="5"/>
  <c r="R798" i="5"/>
  <c r="AI1292" i="5"/>
  <c r="BM1292" i="5"/>
  <c r="W1293" i="5"/>
  <c r="AC1294" i="5"/>
  <c r="AX1292" i="5"/>
  <c r="CB1294" i="5"/>
  <c r="BY1295" i="5"/>
  <c r="BV1297" i="5"/>
  <c r="CB1297" i="5"/>
  <c r="BS1296" i="5"/>
  <c r="BP1296" i="5"/>
  <c r="BM1297" i="5"/>
  <c r="BS1297" i="5"/>
  <c r="BC1296" i="5"/>
  <c r="BI1296" i="5"/>
  <c r="BF1296" i="5"/>
  <c r="BC1297" i="5"/>
  <c r="BI1297" i="5"/>
  <c r="BG1295" i="5"/>
  <c r="BD1297" i="5"/>
  <c r="BJ1297" i="5"/>
  <c r="AW1296" i="5"/>
  <c r="AT1297" i="5"/>
  <c r="AZ1297" i="5"/>
  <c r="AU1297" i="5"/>
  <c r="BA1295" i="5"/>
  <c r="AX1296" i="5"/>
  <c r="AT1296" i="5"/>
  <c r="AW1297" i="5"/>
  <c r="AN1296" i="5"/>
  <c r="AK1297" i="5"/>
  <c r="AQ1297" i="5"/>
  <c r="AO1296" i="5"/>
  <c r="AL1297" i="5"/>
  <c r="AR1297" i="5"/>
  <c r="AK1296" i="5"/>
  <c r="AQ1296" i="5"/>
  <c r="AN1297" i="5"/>
  <c r="AF1296" i="5"/>
  <c r="AI1297" i="5"/>
  <c r="AC1295" i="5"/>
  <c r="AI1295" i="5"/>
  <c r="AE1297" i="5"/>
  <c r="Z1297" i="5"/>
  <c r="W1297" i="5"/>
  <c r="S1297" i="5"/>
  <c r="T1295" i="5"/>
  <c r="Q1294" i="5"/>
  <c r="Q1296" i="5"/>
  <c r="Q1297" i="5"/>
  <c r="V1297" i="5"/>
  <c r="V1295" i="5"/>
  <c r="Y1297" i="5"/>
  <c r="Y1295" i="5"/>
  <c r="AE1296" i="5"/>
  <c r="AE1295" i="5"/>
  <c r="BX1293" i="5"/>
  <c r="BX1292" i="5"/>
  <c r="V1292" i="5"/>
  <c r="AB1292" i="5"/>
  <c r="AH1294" i="5"/>
  <c r="CA1295" i="5"/>
  <c r="BL1292" i="5"/>
  <c r="CD1292" i="5"/>
  <c r="BX1296" i="5"/>
  <c r="T1292" i="5"/>
  <c r="Y1294" i="5"/>
  <c r="AL1295" i="5"/>
  <c r="AU1295" i="5"/>
  <c r="BJ1294" i="5"/>
  <c r="CB1295" i="5"/>
  <c r="BY1296" i="5"/>
  <c r="CD1295" i="5"/>
  <c r="CJ1295" i="5"/>
  <c r="Q1292" i="5"/>
  <c r="S1292" i="5"/>
  <c r="AZ1295" i="5"/>
  <c r="BC1292" i="5"/>
  <c r="BI1292" i="5"/>
  <c r="BR1292" i="5"/>
  <c r="BO1295" i="5"/>
  <c r="CJ1292" i="5"/>
  <c r="CG1295" i="5"/>
  <c r="W1295" i="5"/>
  <c r="Z1295" i="5"/>
  <c r="Z1294" i="5"/>
  <c r="AF1295" i="5"/>
  <c r="BC1293" i="5"/>
  <c r="BI1293" i="5"/>
  <c r="BF1294" i="5"/>
  <c r="BC1295" i="5"/>
  <c r="BI1295" i="5"/>
  <c r="BF1297" i="5"/>
  <c r="BO1297" i="5"/>
  <c r="BL1293" i="5"/>
  <c r="BR1293" i="5"/>
  <c r="BO1294" i="5"/>
  <c r="BL1295" i="5"/>
  <c r="BR1295" i="5"/>
  <c r="BU1295" i="5"/>
  <c r="BS1292" i="5"/>
  <c r="BP1295" i="5"/>
  <c r="CK1295" i="5"/>
  <c r="CH1295" i="5"/>
  <c r="BU1292" i="5"/>
  <c r="CA1292" i="5"/>
  <c r="BV1292" i="5"/>
  <c r="CB1292" i="5"/>
  <c r="BF1295" i="5"/>
  <c r="AT1295" i="5"/>
  <c r="AZ1296" i="5"/>
  <c r="AW1293" i="5"/>
  <c r="AT1294" i="5"/>
  <c r="AZ1294" i="5"/>
  <c r="AW1295" i="5"/>
  <c r="AQ1295" i="5"/>
  <c r="AN1293" i="5"/>
  <c r="AK1294" i="5"/>
  <c r="AQ1294" i="5"/>
  <c r="AN1295" i="5"/>
  <c r="AR1295" i="5"/>
  <c r="AO1293" i="5"/>
  <c r="AL1294" i="5"/>
  <c r="AR1294" i="5"/>
  <c r="AO1295" i="5"/>
  <c r="AK1295" i="5"/>
  <c r="AB1293" i="5"/>
  <c r="AH1293" i="5"/>
  <c r="AE1294" i="5"/>
  <c r="AB1295" i="5"/>
  <c r="AH1295" i="5"/>
  <c r="Q1295" i="5"/>
  <c r="Q1293" i="5"/>
  <c r="CE1292" i="5"/>
  <c r="CK1292" i="5"/>
  <c r="CG1292" i="5"/>
  <c r="BO1292" i="5"/>
  <c r="BP1292" i="5"/>
  <c r="BF1292" i="5"/>
  <c r="BG1292" i="5"/>
  <c r="AT1292" i="5"/>
  <c r="AZ1292" i="5"/>
  <c r="AU1292" i="5"/>
  <c r="BA1292" i="5"/>
  <c r="AK1292" i="5"/>
  <c r="AQ1292" i="5"/>
  <c r="AL1292" i="5"/>
  <c r="AR1292" i="5"/>
  <c r="AH1296" i="5"/>
  <c r="AE1292" i="5"/>
  <c r="AF1292" i="5"/>
  <c r="Y1292" i="5"/>
  <c r="Z1292" i="5"/>
  <c r="S1295" i="5"/>
  <c r="BP1320" i="5"/>
  <c r="AL1319" i="5"/>
  <c r="AL1320" i="5"/>
  <c r="Z1321" i="5"/>
  <c r="AI1319" i="5"/>
  <c r="BY1320" i="5"/>
  <c r="BV1321" i="5"/>
  <c r="BV1319" i="5"/>
  <c r="BM1321" i="5"/>
  <c r="T1319" i="5"/>
  <c r="T1321" i="5"/>
  <c r="AO1321" i="5"/>
  <c r="AU1321" i="5"/>
  <c r="AU1320" i="5"/>
  <c r="AX1321" i="5"/>
  <c r="AB1323" i="5"/>
  <c r="AN1322" i="5"/>
  <c r="BU1322" i="5"/>
  <c r="T1323" i="5"/>
  <c r="Z1322" i="5"/>
  <c r="AF1322" i="5"/>
  <c r="AL1323" i="5"/>
  <c r="AR1323" i="5"/>
  <c r="AO1324" i="5"/>
  <c r="BA1323" i="5"/>
  <c r="AX1324" i="5"/>
  <c r="BD1322" i="5"/>
  <c r="BJ1322" i="5"/>
  <c r="BG1324" i="5"/>
  <c r="BS1323" i="5"/>
  <c r="CH1322" i="5"/>
  <c r="AE1324" i="5"/>
  <c r="BO1324" i="5"/>
  <c r="CA1322" i="5"/>
  <c r="CD1322" i="5"/>
  <c r="CJ1322" i="5"/>
  <c r="AI1323" i="5"/>
  <c r="AZ1324" i="5"/>
  <c r="BC1324" i="5"/>
  <c r="Y1322" i="5"/>
  <c r="AH1323" i="5"/>
  <c r="BX1322" i="5"/>
  <c r="AC1323" i="5"/>
  <c r="AT1322" i="5"/>
  <c r="AZ1322" i="5"/>
  <c r="BM1323" i="5"/>
  <c r="AU1324" i="5"/>
  <c r="BA1324" i="5"/>
  <c r="BP1323" i="5"/>
  <c r="BM1324" i="5"/>
  <c r="BS1324" i="5"/>
  <c r="Q1320" i="5"/>
  <c r="R1320" i="5"/>
  <c r="S1322" i="5"/>
  <c r="AE1322" i="5"/>
  <c r="AW1324" i="5"/>
  <c r="BF1319" i="5"/>
  <c r="BF1322" i="5"/>
  <c r="BU1320" i="5"/>
  <c r="AO1322" i="5"/>
  <c r="AU1319" i="5"/>
  <c r="BA1322" i="5"/>
  <c r="BI1319" i="5"/>
  <c r="BI1322" i="5"/>
  <c r="T1320" i="5"/>
  <c r="T1322" i="5"/>
  <c r="V1320" i="5"/>
  <c r="V1322" i="5"/>
  <c r="Y1319" i="5"/>
  <c r="Y1323" i="5"/>
  <c r="AB1320" i="5"/>
  <c r="AH1320" i="5"/>
  <c r="AE1321" i="5"/>
  <c r="AB1322" i="5"/>
  <c r="AH1322" i="5"/>
  <c r="AR1322" i="5"/>
  <c r="W1319" i="5"/>
  <c r="AX1319" i="5"/>
  <c r="BA1319" i="5"/>
  <c r="AX1322" i="5"/>
  <c r="BS1319" i="5"/>
  <c r="CB1319" i="5"/>
  <c r="BY1322" i="5"/>
  <c r="CG1319" i="5"/>
  <c r="CG1322" i="5"/>
  <c r="CA1319" i="5"/>
  <c r="BV1322" i="5"/>
  <c r="CB1322" i="5"/>
  <c r="BO1322" i="5"/>
  <c r="BM1319" i="5"/>
  <c r="BS1321" i="5"/>
  <c r="BP1322" i="5"/>
  <c r="BL1320" i="5"/>
  <c r="BR1320" i="5"/>
  <c r="BO1321" i="5"/>
  <c r="BL1322" i="5"/>
  <c r="BR1323" i="5"/>
  <c r="BD1319" i="5"/>
  <c r="BJ1319" i="5"/>
  <c r="BG1322" i="5"/>
  <c r="BD1323" i="5"/>
  <c r="BJ1323" i="5"/>
  <c r="BG1319" i="5"/>
  <c r="AU1322" i="5"/>
  <c r="AX1320" i="5"/>
  <c r="AO1319" i="5"/>
  <c r="AL1322" i="5"/>
  <c r="AN1324" i="5"/>
  <c r="AK1320" i="5"/>
  <c r="AQ1320" i="5"/>
  <c r="AN1321" i="5"/>
  <c r="AK1322" i="5"/>
  <c r="AQ1322" i="5"/>
  <c r="Z1319" i="5"/>
  <c r="W1322" i="5"/>
  <c r="CD1319" i="5"/>
  <c r="CJ1319" i="5"/>
  <c r="CH1319" i="5"/>
  <c r="BY1319" i="5"/>
  <c r="BO1319" i="5"/>
  <c r="BR1322" i="5"/>
  <c r="BP1319" i="5"/>
  <c r="AZ1323" i="5"/>
  <c r="AW1319" i="5"/>
  <c r="AN1319" i="5"/>
  <c r="AE1319" i="5"/>
  <c r="AF1319" i="5"/>
  <c r="S1319" i="5"/>
  <c r="CH1351" i="5"/>
  <c r="CE1351" i="5"/>
  <c r="BU1351" i="5"/>
  <c r="CA1351" i="5"/>
  <c r="BX1352" i="5"/>
  <c r="BU1353" i="5"/>
  <c r="CA1353" i="5"/>
  <c r="BY1351" i="5"/>
  <c r="BO1352" i="5"/>
  <c r="BL1353" i="5"/>
  <c r="BR1353" i="5"/>
  <c r="BP1351" i="5"/>
  <c r="BL1352" i="5"/>
  <c r="BG1352" i="5"/>
  <c r="BD1353" i="5"/>
  <c r="BJ1353" i="5"/>
  <c r="BC1352" i="5"/>
  <c r="BI1352" i="5"/>
  <c r="BF1353" i="5"/>
  <c r="BD1352" i="5"/>
  <c r="BJ1352" i="5"/>
  <c r="BG1353" i="5"/>
  <c r="BC1353" i="5"/>
  <c r="BI1353" i="5"/>
  <c r="AT1352" i="5"/>
  <c r="AZ1352" i="5"/>
  <c r="AW1353" i="5"/>
  <c r="AX1352" i="5"/>
  <c r="BA1351" i="5"/>
  <c r="AR1352" i="5"/>
  <c r="AK1352" i="5"/>
  <c r="AN1353" i="5"/>
  <c r="AE1352" i="5"/>
  <c r="AB1353" i="5"/>
  <c r="AH1353" i="5"/>
  <c r="AF1352" i="5"/>
  <c r="AC1353" i="5"/>
  <c r="AI1353" i="5"/>
  <c r="Y1353" i="5"/>
  <c r="Z1353" i="5"/>
  <c r="Y1351" i="5"/>
  <c r="Z1351" i="5"/>
  <c r="W1351" i="5"/>
  <c r="V1352" i="5"/>
  <c r="V1353" i="5"/>
  <c r="T1353" i="5"/>
  <c r="S1353" i="5"/>
  <c r="S1352" i="5"/>
  <c r="Z1348" i="5"/>
  <c r="AF1350" i="5"/>
  <c r="AF1348" i="5"/>
  <c r="BV1348" i="5"/>
  <c r="CE1349" i="5"/>
  <c r="BM1350" i="5"/>
  <c r="BS1348" i="5"/>
  <c r="W1349" i="5"/>
  <c r="AX1348" i="5"/>
  <c r="CB1348" i="5"/>
  <c r="CJ1348" i="5"/>
  <c r="CH1350" i="5"/>
  <c r="CH1348" i="5"/>
  <c r="Q1350" i="5"/>
  <c r="R1350" i="5"/>
  <c r="Q1353" i="5"/>
  <c r="R1353" i="5"/>
  <c r="CK1617" i="5"/>
  <c r="R1618" i="5"/>
  <c r="CK1619" i="5"/>
  <c r="R1619" i="5"/>
  <c r="CK1502" i="5"/>
  <c r="CH1503" i="5"/>
  <c r="R1349" i="5"/>
  <c r="R1348" i="5"/>
  <c r="BF1351" i="5"/>
  <c r="BL1351" i="5"/>
  <c r="BX1351" i="5"/>
  <c r="AB1351" i="5"/>
  <c r="BM1351" i="5"/>
  <c r="BS1351" i="5"/>
  <c r="CD1351" i="5"/>
  <c r="CJ1351" i="5"/>
  <c r="R1351" i="5"/>
  <c r="AC1351" i="5"/>
  <c r="BI1351" i="5"/>
  <c r="AL1349" i="5"/>
  <c r="AR1349" i="5"/>
  <c r="AO1350" i="5"/>
  <c r="BX1348" i="5"/>
  <c r="AQ1348" i="5"/>
  <c r="AE1350" i="5"/>
  <c r="Y1349" i="5"/>
  <c r="AX1350" i="5"/>
  <c r="BF1350" i="5"/>
  <c r="BY1348" i="5"/>
  <c r="AR1348" i="5"/>
  <c r="BG1348" i="5"/>
  <c r="BO1351" i="5"/>
  <c r="BJ1351" i="5"/>
  <c r="BG1349" i="5"/>
  <c r="BD1350" i="5"/>
  <c r="BJ1350" i="5"/>
  <c r="BG1351" i="5"/>
  <c r="BC1351" i="5"/>
  <c r="BD1351" i="5"/>
  <c r="AT1349" i="5"/>
  <c r="AZ1349" i="5"/>
  <c r="AW1350" i="5"/>
  <c r="AT1351" i="5"/>
  <c r="AZ1351" i="5"/>
  <c r="AU1351" i="5"/>
  <c r="AW1351" i="5"/>
  <c r="AN1351" i="5"/>
  <c r="AO1351" i="5"/>
  <c r="AK1349" i="5"/>
  <c r="AQ1349" i="5"/>
  <c r="AN1350" i="5"/>
  <c r="AK1351" i="5"/>
  <c r="AQ1352" i="5"/>
  <c r="AH1351" i="5"/>
  <c r="AE1349" i="5"/>
  <c r="AB1350" i="5"/>
  <c r="AH1350" i="5"/>
  <c r="AE1351" i="5"/>
  <c r="AI1351" i="5"/>
  <c r="AF1349" i="5"/>
  <c r="AC1350" i="5"/>
  <c r="AI1350" i="5"/>
  <c r="AF1351" i="5"/>
  <c r="V1349" i="5"/>
  <c r="V1351" i="5"/>
  <c r="S1351" i="5"/>
  <c r="S1350" i="5"/>
  <c r="T1351" i="5"/>
  <c r="T1350" i="5"/>
  <c r="Q1349" i="5"/>
  <c r="Q1351" i="5"/>
  <c r="CE1348" i="5"/>
  <c r="CK1348" i="5"/>
  <c r="CG1348" i="5"/>
  <c r="BO1348" i="5"/>
  <c r="BR1351" i="5"/>
  <c r="BP1348" i="5"/>
  <c r="BC1348" i="5"/>
  <c r="BI1348" i="5"/>
  <c r="BD1348" i="5"/>
  <c r="BJ1348" i="5"/>
  <c r="AU1348" i="5"/>
  <c r="BA1348" i="5"/>
  <c r="AW1348" i="5"/>
  <c r="AN1348" i="5"/>
  <c r="AQ1351" i="5"/>
  <c r="AO1348" i="5"/>
  <c r="AB1348" i="5"/>
  <c r="AH1348" i="5"/>
  <c r="AC1348" i="5"/>
  <c r="AI1348" i="5"/>
  <c r="Y1348" i="5"/>
  <c r="S1348" i="5"/>
  <c r="T1348" i="5"/>
  <c r="Q1352" i="5"/>
  <c r="R1379" i="5"/>
  <c r="AX1404" i="5"/>
  <c r="AO1404" i="5"/>
  <c r="CE1404" i="5"/>
  <c r="CH1404" i="5"/>
  <c r="CB1404" i="5"/>
  <c r="BR1404" i="5"/>
  <c r="BS1404" i="5"/>
  <c r="BL1404" i="5"/>
  <c r="BM1404" i="5"/>
  <c r="AQ1404" i="5"/>
  <c r="R1415" i="5"/>
  <c r="R1406" i="5" s="1"/>
  <c r="Q1415" i="5"/>
  <c r="AL1404" i="5"/>
  <c r="BV1404" i="5"/>
  <c r="AN1404" i="5"/>
  <c r="AU1404" i="5"/>
  <c r="BX1404" i="5"/>
  <c r="CG1404" i="5"/>
  <c r="BM1442" i="5"/>
  <c r="BA1443" i="5"/>
  <c r="AC1443" i="5"/>
  <c r="AU1442" i="5"/>
  <c r="CH1442" i="5"/>
  <c r="R1445" i="5"/>
  <c r="R1443" i="5" s="1"/>
  <c r="Z1443" i="5"/>
  <c r="AF1443" i="5"/>
  <c r="BP1443" i="5"/>
  <c r="CE1442" i="5"/>
  <c r="AR1443" i="5"/>
  <c r="T1443" i="5"/>
  <c r="W1443" i="5"/>
  <c r="AO1442" i="5"/>
  <c r="BM1443" i="5"/>
  <c r="BG1442" i="5"/>
  <c r="AC1442" i="5"/>
  <c r="CE1444" i="5"/>
  <c r="BY1442" i="5"/>
  <c r="BV1442" i="5"/>
  <c r="BR1442" i="5"/>
  <c r="BL1442" i="5"/>
  <c r="BP1444" i="5"/>
  <c r="BJ1442" i="5"/>
  <c r="BG1444" i="5"/>
  <c r="BD1442" i="5"/>
  <c r="BA1444" i="5"/>
  <c r="R1450" i="5"/>
  <c r="AO1444" i="5"/>
  <c r="AK1444" i="5"/>
  <c r="AL1444" i="5"/>
  <c r="Q1450" i="5"/>
  <c r="AR1442" i="5"/>
  <c r="AL1442" i="5"/>
  <c r="T1442" i="5"/>
  <c r="CD1442" i="5"/>
  <c r="CJ1442" i="5"/>
  <c r="CG1442" i="5"/>
  <c r="BX1442" i="5"/>
  <c r="CA1442" i="5"/>
  <c r="BP1442" i="5"/>
  <c r="BS1442" i="5"/>
  <c r="BF1442" i="5"/>
  <c r="BC1442" i="5"/>
  <c r="BI1442" i="5"/>
  <c r="AW1442" i="5"/>
  <c r="AZ1442" i="5"/>
  <c r="AN1442" i="5"/>
  <c r="AK1442" i="5"/>
  <c r="AQ1442" i="5"/>
  <c r="AH1442" i="5"/>
  <c r="AB1444" i="5"/>
  <c r="AE1442" i="5"/>
  <c r="AI1442" i="5"/>
  <c r="AF1442" i="5"/>
  <c r="Y1442" i="5"/>
  <c r="Z1442" i="5"/>
  <c r="V1442" i="5"/>
  <c r="W1442" i="5"/>
  <c r="S1442" i="5"/>
  <c r="CK1504" i="5"/>
  <c r="CE1504" i="5"/>
  <c r="BM1504" i="5"/>
  <c r="AZ1504" i="5"/>
  <c r="AU1504" i="5"/>
  <c r="BA1504" i="5"/>
  <c r="AN1504" i="5"/>
  <c r="AB1504" i="5"/>
  <c r="AH1504" i="5"/>
  <c r="AC1504" i="5"/>
  <c r="Z1504" i="5"/>
  <c r="W1504" i="5"/>
  <c r="Z1503" i="5"/>
  <c r="BP1501" i="5"/>
  <c r="CE1501" i="5"/>
  <c r="W1501" i="5"/>
  <c r="BA1501" i="5"/>
  <c r="BG1501" i="5"/>
  <c r="AO1501" i="5"/>
  <c r="Q1503" i="5"/>
  <c r="CG1501" i="5"/>
  <c r="CH1501" i="5"/>
  <c r="BV1501" i="5"/>
  <c r="CB1501" i="5"/>
  <c r="BX1501" i="5"/>
  <c r="BL1501" i="5"/>
  <c r="BR1501" i="5"/>
  <c r="BM1501" i="5"/>
  <c r="BS1501" i="5"/>
  <c r="AW1501" i="5"/>
  <c r="AX1501" i="5"/>
  <c r="AK1501" i="5"/>
  <c r="AQ1501" i="5"/>
  <c r="AL1501" i="5"/>
  <c r="AR1501" i="5"/>
  <c r="AE1501" i="5"/>
  <c r="AF1501" i="5"/>
  <c r="Y1505" i="5"/>
  <c r="V1505" i="5"/>
  <c r="T1501" i="5"/>
  <c r="S1505" i="5"/>
  <c r="Q1504" i="5"/>
  <c r="R1504" i="5"/>
  <c r="BV1620" i="5"/>
  <c r="CB1620" i="5"/>
  <c r="BY1620" i="5"/>
  <c r="BS1617" i="5"/>
  <c r="AL1617" i="5"/>
  <c r="Y1617" i="5"/>
  <c r="Y1620" i="5"/>
  <c r="Z1620" i="5"/>
  <c r="V1617" i="5"/>
  <c r="W1620" i="5"/>
  <c r="V1622" i="5"/>
  <c r="S1618" i="5"/>
  <c r="S1622" i="5"/>
  <c r="CE1617" i="5"/>
  <c r="BJ1617" i="5"/>
  <c r="BD1617" i="5"/>
  <c r="V1620" i="5"/>
  <c r="AL1621" i="5"/>
  <c r="BD1621" i="5"/>
  <c r="BS1621" i="5"/>
  <c r="BY1622" i="5"/>
  <c r="CE1621" i="5"/>
  <c r="AE1620" i="5"/>
  <c r="AN1620" i="5"/>
  <c r="AW1620" i="5"/>
  <c r="BO1620" i="5"/>
  <c r="BX1620" i="5"/>
  <c r="CG1620" i="5"/>
  <c r="W1621" i="5"/>
  <c r="T1621" i="5"/>
  <c r="AB1620" i="5"/>
  <c r="BM1621" i="5"/>
  <c r="CB1621" i="5"/>
  <c r="S1620" i="5"/>
  <c r="AC1620" i="5"/>
  <c r="AK1617" i="5"/>
  <c r="AQ1617" i="5"/>
  <c r="AT1617" i="5"/>
  <c r="AZ1617" i="5"/>
  <c r="BC1617" i="5"/>
  <c r="BI1617" i="5"/>
  <c r="BL1617" i="5"/>
  <c r="BR1617" i="5"/>
  <c r="BU1617" i="5"/>
  <c r="CA1617" i="5"/>
  <c r="CD1617" i="5"/>
  <c r="CJ1617" i="5"/>
  <c r="S1617" i="5"/>
  <c r="AB1617" i="5"/>
  <c r="R1620" i="5"/>
  <c r="Q1620" i="5"/>
  <c r="Q1621" i="5"/>
  <c r="R1617" i="5"/>
  <c r="Q1617" i="5"/>
  <c r="Q1618" i="5"/>
  <c r="CG1617" i="5"/>
  <c r="CD1618" i="5"/>
  <c r="CJ1618" i="5"/>
  <c r="CD1620" i="5"/>
  <c r="CJ1620" i="5"/>
  <c r="CG1621" i="5"/>
  <c r="BX1617" i="5"/>
  <c r="BU1618" i="5"/>
  <c r="CA1618" i="5"/>
  <c r="BU1620" i="5"/>
  <c r="CA1620" i="5"/>
  <c r="BY1617" i="5"/>
  <c r="BO1617" i="5"/>
  <c r="BL1618" i="5"/>
  <c r="BR1618" i="5"/>
  <c r="BL1620" i="5"/>
  <c r="BR1620" i="5"/>
  <c r="BP1617" i="5"/>
  <c r="BF1617" i="5"/>
  <c r="BI1618" i="5"/>
  <c r="BI1620" i="5"/>
  <c r="BG1617" i="5"/>
  <c r="BC1618" i="5"/>
  <c r="BC1620" i="5"/>
  <c r="BF1620" i="5"/>
  <c r="AW1617" i="5"/>
  <c r="AT1618" i="5"/>
  <c r="AZ1618" i="5"/>
  <c r="AT1620" i="5"/>
  <c r="AZ1620" i="5"/>
  <c r="AW1621" i="5"/>
  <c r="AN1617" i="5"/>
  <c r="AK1618" i="5"/>
  <c r="AQ1618" i="5"/>
  <c r="AK1620" i="5"/>
  <c r="AQ1620" i="5"/>
  <c r="AN1621" i="5"/>
  <c r="AH1617" i="5"/>
  <c r="AH1620" i="5"/>
  <c r="AC1617" i="5"/>
  <c r="AI1617" i="5"/>
  <c r="AF1620" i="5"/>
  <c r="AC1621" i="5"/>
  <c r="AI1621" i="5"/>
  <c r="AF1617" i="5"/>
  <c r="R1322" i="5" l="1"/>
  <c r="Q1322" i="5"/>
  <c r="Q1382" i="5"/>
  <c r="Q1501" i="5"/>
  <c r="Q1404" i="5"/>
  <c r="Q1379" i="5"/>
  <c r="AT1442" i="5"/>
  <c r="BU1442" i="5"/>
  <c r="BO1442" i="5"/>
  <c r="AX1457" i="5"/>
  <c r="R1458" i="5"/>
  <c r="R1457" i="5" s="1"/>
  <c r="R1444" i="5" s="1"/>
  <c r="Q1458" i="5"/>
  <c r="Q1457" i="5" s="1"/>
  <c r="Q1442" i="5" s="1"/>
  <c r="R1501" i="5"/>
  <c r="R1404" i="5"/>
  <c r="Q1406" i="5"/>
  <c r="R797" i="5"/>
  <c r="Q797" i="5"/>
  <c r="R1442" i="5" l="1"/>
  <c r="Q1444" i="5"/>
  <c r="AX1444" i="5"/>
  <c r="AX1442" i="5"/>
  <c r="CJ1664" i="5"/>
  <c r="CE1664" i="5"/>
  <c r="CH1663" i="5"/>
  <c r="CD1664" i="5"/>
  <c r="BY1663" i="5"/>
  <c r="BR1663" i="5"/>
  <c r="BL1663" i="5"/>
  <c r="BI1663" i="5"/>
  <c r="BC1664" i="5"/>
  <c r="BC1663" i="5"/>
  <c r="AZ1663" i="5"/>
  <c r="AT1664" i="5"/>
  <c r="AQ1664" i="5"/>
  <c r="AT1663" i="5"/>
  <c r="AQ1663" i="5"/>
  <c r="AN1664" i="5"/>
  <c r="AN1663" i="5"/>
  <c r="AH1664" i="5"/>
  <c r="AE1664" i="5"/>
  <c r="AH1663" i="5"/>
  <c r="AB1664" i="5"/>
  <c r="V1664" i="5"/>
  <c r="S1663" i="5"/>
  <c r="R1659" i="5"/>
  <c r="Q1659" i="5"/>
  <c r="Q1653" i="5" s="1"/>
  <c r="R1658" i="5"/>
  <c r="Q1658" i="5"/>
  <c r="CK1666" i="5"/>
  <c r="CJ1666" i="5"/>
  <c r="CH1666" i="5"/>
  <c r="CG1666" i="5"/>
  <c r="CE1666" i="5"/>
  <c r="CD1666" i="5"/>
  <c r="CK1665" i="5"/>
  <c r="CJ1665" i="5"/>
  <c r="CH1665" i="5"/>
  <c r="CG1665" i="5"/>
  <c r="CE1665" i="5"/>
  <c r="CD1665" i="5"/>
  <c r="CK1664" i="5"/>
  <c r="CK1663" i="5"/>
  <c r="CJ1663" i="5"/>
  <c r="CG1663" i="5"/>
  <c r="CB1666" i="5"/>
  <c r="CA1666" i="5"/>
  <c r="BY1666" i="5"/>
  <c r="BX1666" i="5"/>
  <c r="BV1666" i="5"/>
  <c r="BU1666" i="5"/>
  <c r="CB1665" i="5"/>
  <c r="CA1665" i="5"/>
  <c r="BY1665" i="5"/>
  <c r="BX1665" i="5"/>
  <c r="BV1665" i="5"/>
  <c r="BU1665" i="5"/>
  <c r="BU1664" i="5"/>
  <c r="BX1663" i="5"/>
  <c r="BS1666" i="5"/>
  <c r="BR1666" i="5"/>
  <c r="BP1666" i="5"/>
  <c r="BO1666" i="5"/>
  <c r="BM1666" i="5"/>
  <c r="BL1666" i="5"/>
  <c r="BS1665" i="5"/>
  <c r="BR1665" i="5"/>
  <c r="BP1665" i="5"/>
  <c r="BO1665" i="5"/>
  <c r="BM1665" i="5"/>
  <c r="BL1665" i="5"/>
  <c r="BJ1666" i="5"/>
  <c r="BI1666" i="5"/>
  <c r="BG1666" i="5"/>
  <c r="BF1666" i="5"/>
  <c r="BD1666" i="5"/>
  <c r="BC1666" i="5"/>
  <c r="BJ1665" i="5"/>
  <c r="BI1665" i="5"/>
  <c r="BG1665" i="5"/>
  <c r="BF1665" i="5"/>
  <c r="BD1665" i="5"/>
  <c r="BC1665" i="5"/>
  <c r="BA1666" i="5"/>
  <c r="AZ1666" i="5"/>
  <c r="AX1666" i="5"/>
  <c r="AW1666" i="5"/>
  <c r="AU1666" i="5"/>
  <c r="AT1666" i="5"/>
  <c r="BA1665" i="5"/>
  <c r="AZ1665" i="5"/>
  <c r="AX1665" i="5"/>
  <c r="AW1665" i="5"/>
  <c r="AU1665" i="5"/>
  <c r="AT1665" i="5"/>
  <c r="AW1663" i="5"/>
  <c r="AR1666" i="5"/>
  <c r="AQ1666" i="5"/>
  <c r="AO1666" i="5"/>
  <c r="AN1666" i="5"/>
  <c r="AL1666" i="5"/>
  <c r="AK1666" i="5"/>
  <c r="AR1665" i="5"/>
  <c r="AQ1665" i="5"/>
  <c r="AO1665" i="5"/>
  <c r="AN1665" i="5"/>
  <c r="AL1665" i="5"/>
  <c r="AK1665" i="5"/>
  <c r="AI1666" i="5"/>
  <c r="AH1666" i="5"/>
  <c r="AF1666" i="5"/>
  <c r="AE1666" i="5"/>
  <c r="AC1666" i="5"/>
  <c r="AB1666" i="5"/>
  <c r="AI1665" i="5"/>
  <c r="AH1665" i="5"/>
  <c r="AF1665" i="5"/>
  <c r="AE1665" i="5"/>
  <c r="AC1665" i="5"/>
  <c r="AB1665" i="5"/>
  <c r="AB1663" i="5"/>
  <c r="Z1666" i="5"/>
  <c r="Y1666" i="5"/>
  <c r="Z1665" i="5"/>
  <c r="Y1665" i="5"/>
  <c r="W1666" i="5"/>
  <c r="V1666" i="5"/>
  <c r="W1665" i="5"/>
  <c r="V1665" i="5"/>
  <c r="T1666" i="5"/>
  <c r="S1666" i="5"/>
  <c r="T1665" i="5"/>
  <c r="S1665" i="5"/>
  <c r="CK1655" i="5"/>
  <c r="CK1651" i="5" s="1"/>
  <c r="CJ1655" i="5"/>
  <c r="CJ1651" i="5" s="1"/>
  <c r="CK1654" i="5"/>
  <c r="CK1650" i="5" s="1"/>
  <c r="CJ1654" i="5"/>
  <c r="CJ1650" i="5" s="1"/>
  <c r="CK1653" i="5"/>
  <c r="CJ1653" i="5"/>
  <c r="CK1652" i="5"/>
  <c r="CJ1652" i="5"/>
  <c r="CH1655" i="5"/>
  <c r="CG1655" i="5"/>
  <c r="CE1655" i="5"/>
  <c r="CD1655" i="5"/>
  <c r="CH1654" i="5"/>
  <c r="CG1654" i="5"/>
  <c r="CE1654" i="5"/>
  <c r="CD1654" i="5"/>
  <c r="CH1653" i="5"/>
  <c r="CG1653" i="5"/>
  <c r="CE1653" i="5"/>
  <c r="CD1653" i="5"/>
  <c r="CH1652" i="5"/>
  <c r="CG1652" i="5"/>
  <c r="CE1652" i="5"/>
  <c r="CD1652" i="5"/>
  <c r="CB1655" i="5"/>
  <c r="CA1655" i="5"/>
  <c r="BY1655" i="5"/>
  <c r="BX1655" i="5"/>
  <c r="CB1654" i="5"/>
  <c r="CA1654" i="5"/>
  <c r="BY1654" i="5"/>
  <c r="BX1654" i="5"/>
  <c r="CB1653" i="5"/>
  <c r="CA1653" i="5"/>
  <c r="BY1653" i="5"/>
  <c r="BX1653" i="5"/>
  <c r="CB1652" i="5"/>
  <c r="CA1652" i="5"/>
  <c r="BY1652" i="5"/>
  <c r="BX1652" i="5"/>
  <c r="BV1655" i="5"/>
  <c r="BU1655" i="5"/>
  <c r="BS1655" i="5"/>
  <c r="BR1655" i="5"/>
  <c r="BV1654" i="5"/>
  <c r="BU1654" i="5"/>
  <c r="BS1654" i="5"/>
  <c r="BR1654" i="5"/>
  <c r="BV1653" i="5"/>
  <c r="BU1653" i="5"/>
  <c r="BS1653" i="5"/>
  <c r="BR1653" i="5"/>
  <c r="BV1652" i="5"/>
  <c r="BU1652" i="5"/>
  <c r="BS1652" i="5"/>
  <c r="BR1652" i="5"/>
  <c r="BP1655" i="5"/>
  <c r="BO1655" i="5"/>
  <c r="BM1655" i="5"/>
  <c r="BL1655" i="5"/>
  <c r="BP1654" i="5"/>
  <c r="BO1654" i="5"/>
  <c r="BM1654" i="5"/>
  <c r="BL1654" i="5"/>
  <c r="BP1653" i="5"/>
  <c r="BO1653" i="5"/>
  <c r="BM1653" i="5"/>
  <c r="BL1653" i="5"/>
  <c r="BP1652" i="5"/>
  <c r="BO1652" i="5"/>
  <c r="BM1652" i="5"/>
  <c r="BL1652" i="5"/>
  <c r="BJ1655" i="5"/>
  <c r="BI1655" i="5"/>
  <c r="BG1655" i="5"/>
  <c r="BF1655" i="5"/>
  <c r="BJ1654" i="5"/>
  <c r="BI1654" i="5"/>
  <c r="BG1654" i="5"/>
  <c r="BF1654" i="5"/>
  <c r="BJ1653" i="5"/>
  <c r="BI1653" i="5"/>
  <c r="BG1653" i="5"/>
  <c r="BF1653" i="5"/>
  <c r="BJ1652" i="5"/>
  <c r="BI1652" i="5"/>
  <c r="BG1652" i="5"/>
  <c r="BF1652" i="5"/>
  <c r="BD1655" i="5"/>
  <c r="BC1655" i="5"/>
  <c r="BA1655" i="5"/>
  <c r="AZ1655" i="5"/>
  <c r="BD1654" i="5"/>
  <c r="BC1654" i="5"/>
  <c r="BA1654" i="5"/>
  <c r="AZ1654" i="5"/>
  <c r="BD1653" i="5"/>
  <c r="BC1653" i="5"/>
  <c r="BA1653" i="5"/>
  <c r="AZ1653" i="5"/>
  <c r="BD1652" i="5"/>
  <c r="BC1652" i="5"/>
  <c r="BA1652" i="5"/>
  <c r="AZ1652" i="5"/>
  <c r="AX1655" i="5"/>
  <c r="AW1655" i="5"/>
  <c r="AU1655" i="5"/>
  <c r="AT1655" i="5"/>
  <c r="AX1654" i="5"/>
  <c r="AW1654" i="5"/>
  <c r="AU1654" i="5"/>
  <c r="AT1654" i="5"/>
  <c r="AX1653" i="5"/>
  <c r="AW1653" i="5"/>
  <c r="AU1653" i="5"/>
  <c r="AT1653" i="5"/>
  <c r="AX1652" i="5"/>
  <c r="AW1652" i="5"/>
  <c r="AU1652" i="5"/>
  <c r="AT1652" i="5"/>
  <c r="AR1655" i="5"/>
  <c r="AQ1655" i="5"/>
  <c r="AO1655" i="5"/>
  <c r="AN1655" i="5"/>
  <c r="AR1654" i="5"/>
  <c r="AQ1654" i="5"/>
  <c r="AO1654" i="5"/>
  <c r="AN1654" i="5"/>
  <c r="AR1653" i="5"/>
  <c r="AQ1653" i="5"/>
  <c r="AO1653" i="5"/>
  <c r="AN1653" i="5"/>
  <c r="AR1652" i="5"/>
  <c r="AQ1652" i="5"/>
  <c r="AO1652" i="5"/>
  <c r="AN1652" i="5"/>
  <c r="AL1655" i="5"/>
  <c r="AK1655" i="5"/>
  <c r="AI1655" i="5"/>
  <c r="AH1655" i="5"/>
  <c r="AL1654" i="5"/>
  <c r="AK1654" i="5"/>
  <c r="AI1654" i="5"/>
  <c r="AH1654" i="5"/>
  <c r="AL1653" i="5"/>
  <c r="AK1653" i="5"/>
  <c r="AI1653" i="5"/>
  <c r="AH1653" i="5"/>
  <c r="AL1652" i="5"/>
  <c r="AK1652" i="5"/>
  <c r="AI1652" i="5"/>
  <c r="AH1652" i="5"/>
  <c r="AF1655" i="5"/>
  <c r="AE1655" i="5"/>
  <c r="AF1654" i="5"/>
  <c r="AE1654" i="5"/>
  <c r="AF1653" i="5"/>
  <c r="AE1653" i="5"/>
  <c r="AF1652" i="5"/>
  <c r="AE1652" i="5"/>
  <c r="AC1655" i="5"/>
  <c r="AB1655" i="5"/>
  <c r="AC1654" i="5"/>
  <c r="AB1654" i="5"/>
  <c r="AC1653" i="5"/>
  <c r="AB1653" i="5"/>
  <c r="AC1652" i="5"/>
  <c r="AB1652" i="5"/>
  <c r="Z1655" i="5"/>
  <c r="Y1655" i="5"/>
  <c r="Z1654" i="5"/>
  <c r="Y1654" i="5"/>
  <c r="Z1653" i="5"/>
  <c r="Y1653" i="5"/>
  <c r="Z1652" i="5"/>
  <c r="Y1652" i="5"/>
  <c r="W1655" i="5"/>
  <c r="V1655" i="5"/>
  <c r="W1654" i="5"/>
  <c r="V1654" i="5"/>
  <c r="W1653" i="5"/>
  <c r="V1653" i="5"/>
  <c r="W1652" i="5"/>
  <c r="V1652" i="5"/>
  <c r="T1655" i="5"/>
  <c r="S1655" i="5"/>
  <c r="T1654" i="5"/>
  <c r="S1654" i="5"/>
  <c r="T1653" i="5"/>
  <c r="S1653" i="5"/>
  <c r="T1652" i="5"/>
  <c r="S1652" i="5"/>
  <c r="E1646" i="5"/>
  <c r="J1665" i="5"/>
  <c r="J1646" i="5"/>
  <c r="J1655" i="5"/>
  <c r="R1662" i="5"/>
  <c r="R1655" i="5" s="1"/>
  <c r="Q1662" i="5"/>
  <c r="Q1655" i="5" s="1"/>
  <c r="R1661" i="5"/>
  <c r="R1654" i="5" s="1"/>
  <c r="Q1661" i="5"/>
  <c r="Q1654" i="5" s="1"/>
  <c r="R1672" i="5"/>
  <c r="R1665" i="5" s="1"/>
  <c r="Q1672" i="5"/>
  <c r="Q1665" i="5" s="1"/>
  <c r="Q1673" i="5"/>
  <c r="Q1666" i="5" s="1"/>
  <c r="R1673" i="5"/>
  <c r="R1666" i="5" s="1"/>
  <c r="CG1650" i="5" l="1"/>
  <c r="Q1652" i="5"/>
  <c r="Q1657" i="5"/>
  <c r="R1657" i="5"/>
  <c r="R1653" i="5"/>
  <c r="R1652" i="5"/>
  <c r="AF1651" i="5"/>
  <c r="AI1651" i="5"/>
  <c r="AT1650" i="5"/>
  <c r="BF1651" i="5"/>
  <c r="BL1650" i="5"/>
  <c r="BX1650" i="5"/>
  <c r="S1651" i="5"/>
  <c r="V1651" i="5"/>
  <c r="Y1651" i="5"/>
  <c r="AI1649" i="5"/>
  <c r="AO1651" i="5"/>
  <c r="CD1651" i="5"/>
  <c r="AZ1650" i="5"/>
  <c r="BR1650" i="5"/>
  <c r="BU1651" i="5"/>
  <c r="CA1651" i="5"/>
  <c r="CK1647" i="5"/>
  <c r="CE1650" i="5"/>
  <c r="CH1651" i="5"/>
  <c r="CG1647" i="5"/>
  <c r="AN1651" i="5"/>
  <c r="BR1651" i="5"/>
  <c r="BX1651" i="5"/>
  <c r="AQ1651" i="5"/>
  <c r="Y1650" i="5"/>
  <c r="AL1651" i="5"/>
  <c r="CD1649" i="5"/>
  <c r="CE1651" i="5"/>
  <c r="CH1650" i="5"/>
  <c r="S1650" i="5"/>
  <c r="V1650" i="5"/>
  <c r="AO1650" i="5"/>
  <c r="CD1650" i="5"/>
  <c r="CB1651" i="5"/>
  <c r="AR1651" i="5"/>
  <c r="CG1651" i="5"/>
  <c r="AF1650" i="5"/>
  <c r="AF1649" i="5"/>
  <c r="BC1651" i="5"/>
  <c r="BI1651" i="5"/>
  <c r="BO1650" i="5"/>
  <c r="CH1649" i="5"/>
  <c r="AC1651" i="5"/>
  <c r="AO1649" i="5"/>
  <c r="AC1649" i="5"/>
  <c r="AT1651" i="5"/>
  <c r="AZ1649" i="5"/>
  <c r="CE1649" i="5"/>
  <c r="CK1649" i="5"/>
  <c r="AX1650" i="5"/>
  <c r="AU1651" i="5"/>
  <c r="CB1650" i="5"/>
  <c r="BY1651" i="5"/>
  <c r="CJ1647" i="5"/>
  <c r="AX1651" i="5"/>
  <c r="AN1650" i="5"/>
  <c r="AH1649" i="5"/>
  <c r="AW1650" i="5"/>
  <c r="AZ1651" i="5"/>
  <c r="BF1650" i="5"/>
  <c r="BL1651" i="5"/>
  <c r="CG1649" i="5"/>
  <c r="AE1650" i="5"/>
  <c r="BJ1650" i="5"/>
  <c r="BG1651" i="5"/>
  <c r="BP1651" i="5"/>
  <c r="Q1651" i="5"/>
  <c r="AC1650" i="5"/>
  <c r="BR1649" i="5"/>
  <c r="AE1651" i="5"/>
  <c r="BG1649" i="5"/>
  <c r="BJ1651" i="5"/>
  <c r="BP1650" i="5"/>
  <c r="BM1651" i="5"/>
  <c r="R1651" i="5"/>
  <c r="Y1649" i="5"/>
  <c r="AB1651" i="5"/>
  <c r="AH1651" i="5"/>
  <c r="AK1651" i="5"/>
  <c r="AB1649" i="5"/>
  <c r="AE1649" i="5"/>
  <c r="AI1650" i="5"/>
  <c r="AT1649" i="5"/>
  <c r="BL1649" i="5"/>
  <c r="T1651" i="5"/>
  <c r="W1651" i="5"/>
  <c r="Z1651" i="5"/>
  <c r="AU1649" i="5"/>
  <c r="BA1649" i="5"/>
  <c r="BD1650" i="5"/>
  <c r="BM1649" i="5"/>
  <c r="BS1649" i="5"/>
  <c r="BY1649" i="5"/>
  <c r="BV1651" i="5"/>
  <c r="V1649" i="5"/>
  <c r="AB1650" i="5"/>
  <c r="AH1650" i="5"/>
  <c r="AN1649" i="5"/>
  <c r="BF1649" i="5"/>
  <c r="BX1649" i="5"/>
  <c r="T1649" i="5"/>
  <c r="W1649" i="5"/>
  <c r="Z1650" i="5"/>
  <c r="BA1651" i="5"/>
  <c r="BD1651" i="5"/>
  <c r="BS1651" i="5"/>
  <c r="BV1650" i="5"/>
  <c r="R1650" i="5"/>
  <c r="AU1650" i="5"/>
  <c r="BA1650" i="5"/>
  <c r="BG1650" i="5"/>
  <c r="BM1650" i="5"/>
  <c r="BS1650" i="5"/>
  <c r="BY1650" i="5"/>
  <c r="S1649" i="5"/>
  <c r="AB1647" i="5"/>
  <c r="BU1650" i="5"/>
  <c r="CA1650" i="5"/>
  <c r="CJ1649" i="5"/>
  <c r="S1647" i="5"/>
  <c r="AE1648" i="5"/>
  <c r="AQ1647" i="5"/>
  <c r="AK1650" i="5"/>
  <c r="AQ1650" i="5"/>
  <c r="AW1647" i="5"/>
  <c r="V1648" i="5"/>
  <c r="BC1647" i="5"/>
  <c r="CE1648" i="5"/>
  <c r="T1650" i="5"/>
  <c r="W1650" i="5"/>
  <c r="AL1650" i="5"/>
  <c r="AR1650" i="5"/>
  <c r="AW1651" i="5"/>
  <c r="BC1650" i="5"/>
  <c r="BI1650" i="5"/>
  <c r="BO1651" i="5"/>
  <c r="Q1649" i="5"/>
  <c r="AH1648" i="5"/>
  <c r="BX1647" i="5"/>
  <c r="AN1647" i="5"/>
  <c r="AQ1648" i="5"/>
  <c r="BC1648" i="5"/>
  <c r="BU1648" i="5"/>
  <c r="AN1648" i="5"/>
  <c r="AT1648" i="5"/>
  <c r="BI1647" i="5"/>
  <c r="CD1648" i="5"/>
  <c r="AZ1647" i="5"/>
  <c r="BL1647" i="5"/>
  <c r="CH1647" i="5"/>
  <c r="CJ1648" i="5"/>
  <c r="CE1663" i="5"/>
  <c r="CE1647" i="5" s="1"/>
  <c r="CK1648" i="5"/>
  <c r="CA1663" i="5"/>
  <c r="CA1647" i="5" s="1"/>
  <c r="CG1664" i="5"/>
  <c r="BS1663" i="5"/>
  <c r="BV1664" i="5"/>
  <c r="BV1648" i="5" s="1"/>
  <c r="BY1664" i="5"/>
  <c r="BY1648" i="5" s="1"/>
  <c r="CH1664" i="5"/>
  <c r="CH1648" i="5" s="1"/>
  <c r="CB1663" i="5"/>
  <c r="CB1647" i="5" s="1"/>
  <c r="BY1647" i="5"/>
  <c r="BX1664" i="5"/>
  <c r="BX1648" i="5" s="1"/>
  <c r="CD1663" i="5"/>
  <c r="BM1663" i="5"/>
  <c r="BM1647" i="5" s="1"/>
  <c r="BP1664" i="5"/>
  <c r="BP1648" i="5" s="1"/>
  <c r="BS1664" i="5"/>
  <c r="BS1648" i="5" s="1"/>
  <c r="CB1664" i="5"/>
  <c r="CB1648" i="5" s="1"/>
  <c r="BU1663" i="5"/>
  <c r="BU1647" i="5" s="1"/>
  <c r="CA1664" i="5"/>
  <c r="CA1648" i="5" s="1"/>
  <c r="BV1663" i="5"/>
  <c r="BV1647" i="5" s="1"/>
  <c r="BJ1664" i="5"/>
  <c r="BJ1648" i="5" s="1"/>
  <c r="BM1664" i="5"/>
  <c r="BR1647" i="5"/>
  <c r="BG1664" i="5"/>
  <c r="BG1648" i="5" s="1"/>
  <c r="BI1664" i="5"/>
  <c r="BI1648" i="5" s="1"/>
  <c r="BO1663" i="5"/>
  <c r="BO1647" i="5" s="1"/>
  <c r="BL1664" i="5"/>
  <c r="BL1648" i="5" s="1"/>
  <c r="BR1664" i="5"/>
  <c r="BR1648" i="5" s="1"/>
  <c r="BG1663" i="5"/>
  <c r="BG1647" i="5" s="1"/>
  <c r="BJ1663" i="5"/>
  <c r="BJ1647" i="5" s="1"/>
  <c r="BP1663" i="5"/>
  <c r="BP1647" i="5" s="1"/>
  <c r="BO1664" i="5"/>
  <c r="BO1648" i="5" s="1"/>
  <c r="AX1664" i="5"/>
  <c r="AX1648" i="5" s="1"/>
  <c r="AU1663" i="5"/>
  <c r="BD1664" i="5"/>
  <c r="BD1648" i="5" s="1"/>
  <c r="AX1663" i="5"/>
  <c r="AX1647" i="5" s="1"/>
  <c r="BD1663" i="5"/>
  <c r="BD1647" i="5" s="1"/>
  <c r="BF1664" i="5"/>
  <c r="BF1648" i="5" s="1"/>
  <c r="BA1663" i="5"/>
  <c r="BA1647" i="5" s="1"/>
  <c r="BA1664" i="5"/>
  <c r="BA1648" i="5" s="1"/>
  <c r="AU1664" i="5"/>
  <c r="AU1648" i="5" s="1"/>
  <c r="AZ1664" i="5"/>
  <c r="AZ1648" i="5" s="1"/>
  <c r="BF1663" i="5"/>
  <c r="AO1664" i="5"/>
  <c r="AO1648" i="5" s="1"/>
  <c r="AT1646" i="5"/>
  <c r="AW1664" i="5"/>
  <c r="AW1648" i="5" s="1"/>
  <c r="W1663" i="5"/>
  <c r="W1647" i="5" s="1"/>
  <c r="AC1663" i="5"/>
  <c r="AC1647" i="5" s="1"/>
  <c r="AI1663" i="5"/>
  <c r="AI1647" i="5" s="1"/>
  <c r="AR1664" i="5"/>
  <c r="AR1648" i="5" s="1"/>
  <c r="AL1664" i="5"/>
  <c r="AL1648" i="5" s="1"/>
  <c r="AB1648" i="5"/>
  <c r="AR1663" i="5"/>
  <c r="AR1647" i="5" s="1"/>
  <c r="AH1647" i="5"/>
  <c r="AH1646" i="5"/>
  <c r="AO1663" i="5"/>
  <c r="AT1647" i="5"/>
  <c r="AK1663" i="5"/>
  <c r="AK1647" i="5" s="1"/>
  <c r="AF1664" i="5"/>
  <c r="AF1648" i="5" s="1"/>
  <c r="AI1664" i="5"/>
  <c r="AI1648" i="5" s="1"/>
  <c r="AF1663" i="5"/>
  <c r="AF1647" i="5" s="1"/>
  <c r="AL1663" i="5"/>
  <c r="AL1647" i="5" s="1"/>
  <c r="AN1646" i="5"/>
  <c r="AK1664" i="5"/>
  <c r="AK1648" i="5" s="1"/>
  <c r="W1664" i="5"/>
  <c r="W1648" i="5" s="1"/>
  <c r="AC1664" i="5"/>
  <c r="AC1648" i="5" s="1"/>
  <c r="Z1663" i="5"/>
  <c r="Z1664" i="5"/>
  <c r="Z1648" i="5" s="1"/>
  <c r="Y1664" i="5"/>
  <c r="Y1648" i="5" s="1"/>
  <c r="AE1663" i="5"/>
  <c r="Q1663" i="5"/>
  <c r="Q1647" i="5" s="1"/>
  <c r="T1664" i="5"/>
  <c r="T1648" i="5" s="1"/>
  <c r="Y1663" i="5"/>
  <c r="Y1647" i="5" s="1"/>
  <c r="Q1664" i="5"/>
  <c r="Q1648" i="5" s="1"/>
  <c r="V1663" i="5"/>
  <c r="V1646" i="5" s="1"/>
  <c r="S1664" i="5"/>
  <c r="S1648" i="5" s="1"/>
  <c r="BU1649" i="5"/>
  <c r="CA1649" i="5"/>
  <c r="BV1649" i="5"/>
  <c r="CB1649" i="5"/>
  <c r="BO1649" i="5"/>
  <c r="BP1649" i="5"/>
  <c r="BC1646" i="5"/>
  <c r="BC1649" i="5"/>
  <c r="BI1649" i="5"/>
  <c r="BD1649" i="5"/>
  <c r="BJ1649" i="5"/>
  <c r="AW1649" i="5"/>
  <c r="AX1649" i="5"/>
  <c r="AK1649" i="5"/>
  <c r="AQ1646" i="5"/>
  <c r="AQ1649" i="5"/>
  <c r="AL1649" i="5"/>
  <c r="AR1649" i="5"/>
  <c r="Z1649" i="5"/>
  <c r="CJ1646" i="5"/>
  <c r="CK1646" i="5"/>
  <c r="AB1646" i="5"/>
  <c r="Q1650" i="5"/>
  <c r="R1649" i="5"/>
  <c r="J1300" i="5"/>
  <c r="I1300" i="5"/>
  <c r="CA1646" i="5" l="1"/>
  <c r="BS1646" i="5"/>
  <c r="BL1646" i="5"/>
  <c r="CH1646" i="5"/>
  <c r="BJ1646" i="5"/>
  <c r="CB1646" i="5"/>
  <c r="BS1647" i="5"/>
  <c r="BV1646" i="5"/>
  <c r="BU1646" i="5"/>
  <c r="BM1646" i="5"/>
  <c r="CE1646" i="5"/>
  <c r="CG1648" i="5"/>
  <c r="CG1646" i="5"/>
  <c r="BG1646" i="5"/>
  <c r="BY1646" i="5"/>
  <c r="AU1646" i="5"/>
  <c r="BI1646" i="5"/>
  <c r="BP1646" i="5"/>
  <c r="AU1647" i="5"/>
  <c r="BX1646" i="5"/>
  <c r="CD1647" i="5"/>
  <c r="CD1646" i="5"/>
  <c r="AZ1646" i="5"/>
  <c r="BM1648" i="5"/>
  <c r="BR1646" i="5"/>
  <c r="AX1646" i="5"/>
  <c r="BO1646" i="5"/>
  <c r="BA1646" i="5"/>
  <c r="BD1646" i="5"/>
  <c r="AI1646" i="5"/>
  <c r="AR1646" i="5"/>
  <c r="AW1646" i="5"/>
  <c r="BF1646" i="5"/>
  <c r="BF1647" i="5"/>
  <c r="W1646" i="5"/>
  <c r="Z1646" i="5"/>
  <c r="AC1646" i="5"/>
  <c r="AL1646" i="5"/>
  <c r="AK1646" i="5"/>
  <c r="Q1646" i="5"/>
  <c r="Y1646" i="5"/>
  <c r="AO1647" i="5"/>
  <c r="AO1646" i="5"/>
  <c r="AF1646" i="5"/>
  <c r="Z1647" i="5"/>
  <c r="R1664" i="5"/>
  <c r="R1648" i="5" s="1"/>
  <c r="AE1647" i="5"/>
  <c r="AE1646" i="5"/>
  <c r="T1663" i="5"/>
  <c r="R1663" i="5"/>
  <c r="V1647" i="5"/>
  <c r="S1646" i="5"/>
  <c r="J1508" i="5"/>
  <c r="R1647" i="5" l="1"/>
  <c r="R1646" i="5"/>
  <c r="T1647" i="5"/>
  <c r="T1646" i="5"/>
  <c r="I1098" i="5" l="1"/>
  <c r="I1099" i="5"/>
  <c r="I1097" i="5"/>
  <c r="I1100" i="5"/>
  <c r="J1098" i="5" l="1"/>
  <c r="J1100" i="5"/>
  <c r="J1099" i="5"/>
  <c r="J1097" i="5"/>
  <c r="J1164" i="5"/>
  <c r="J1133" i="5" l="1"/>
  <c r="J1129" i="5"/>
  <c r="J1136" i="5"/>
  <c r="J1132" i="5"/>
  <c r="J1135" i="5"/>
  <c r="J1134" i="5"/>
  <c r="J1131" i="5"/>
  <c r="J1130" i="5"/>
  <c r="CK1149" i="5"/>
  <c r="CE1149" i="5"/>
  <c r="CA1149" i="5"/>
  <c r="BU1149" i="5"/>
  <c r="BR1149" i="5"/>
  <c r="BL1149" i="5"/>
  <c r="CJ1149" i="5"/>
  <c r="CD1149" i="5"/>
  <c r="BY1149" i="5"/>
  <c r="BP1149" i="5"/>
  <c r="BV1149" i="5"/>
  <c r="BS1149" i="5"/>
  <c r="BJ1149" i="5"/>
  <c r="BD1149" i="5"/>
  <c r="BA1149" i="5"/>
  <c r="AU1149" i="5"/>
  <c r="AR1149" i="5"/>
  <c r="AL1149" i="5"/>
  <c r="AI1149" i="5"/>
  <c r="AC1149" i="5"/>
  <c r="Z1149" i="5"/>
  <c r="W1149" i="5"/>
  <c r="CG1149" i="5"/>
  <c r="CB1149" i="5"/>
  <c r="BM1149" i="5"/>
  <c r="BG1149" i="5"/>
  <c r="AX1149" i="5"/>
  <c r="AO1149" i="5"/>
  <c r="AF1149" i="5"/>
  <c r="BO1149" i="5"/>
  <c r="BC1149" i="5"/>
  <c r="AK1149" i="5"/>
  <c r="AE1149" i="5"/>
  <c r="Y1149" i="5"/>
  <c r="S1149" i="5"/>
  <c r="CH1149" i="5"/>
  <c r="AZ1149" i="5"/>
  <c r="AB1149" i="5"/>
  <c r="BF1149" i="5"/>
  <c r="AT1149" i="5"/>
  <c r="T1149" i="5"/>
  <c r="Q1149" i="5"/>
  <c r="BI1149" i="5"/>
  <c r="AW1149" i="5"/>
  <c r="AQ1149" i="5"/>
  <c r="BX1149" i="5"/>
  <c r="AN1149" i="5"/>
  <c r="AH1149" i="5"/>
  <c r="V1149" i="5"/>
  <c r="R1149" i="5"/>
  <c r="J1149" i="5"/>
  <c r="I1146" i="5"/>
  <c r="I1142" i="5"/>
  <c r="I1149" i="5"/>
  <c r="I1145" i="5"/>
  <c r="I1141" i="5"/>
  <c r="I1148" i="5"/>
  <c r="I1144" i="5"/>
  <c r="I1147" i="5"/>
  <c r="I1143" i="5"/>
  <c r="J1219" i="5"/>
  <c r="J1218" i="5"/>
  <c r="J1216" i="5"/>
  <c r="J1215" i="5"/>
  <c r="J1213" i="5"/>
  <c r="J1212" i="5"/>
  <c r="I1213" i="5"/>
  <c r="I1212" i="5"/>
  <c r="I1215" i="5"/>
  <c r="I1218" i="5"/>
  <c r="I1219" i="5"/>
  <c r="I1216" i="5"/>
  <c r="J1209" i="5" l="1"/>
  <c r="J1208" i="5"/>
  <c r="J1206" i="5"/>
  <c r="J1205" i="5"/>
  <c r="J1203" i="5"/>
  <c r="J1202" i="5"/>
  <c r="I1203" i="5"/>
  <c r="I1202" i="5"/>
  <c r="I1206" i="5" l="1"/>
  <c r="I1205" i="5"/>
  <c r="I1209" i="5"/>
  <c r="I1208" i="5"/>
  <c r="I890" i="5" l="1"/>
  <c r="I130" i="5" l="1"/>
  <c r="I129" i="5"/>
  <c r="I128" i="5"/>
  <c r="I486" i="5" l="1"/>
  <c r="I482" i="5" s="1"/>
  <c r="J388" i="5" l="1"/>
  <c r="J359" i="5"/>
  <c r="J344" i="5" l="1"/>
  <c r="J539" i="5" l="1"/>
  <c r="J690" i="5" s="1"/>
  <c r="J1435" i="5" s="1"/>
  <c r="J538" i="5"/>
  <c r="J689" i="5" s="1"/>
  <c r="I312" i="5"/>
  <c r="I311" i="5"/>
  <c r="I305" i="5" l="1"/>
  <c r="I335" i="5"/>
  <c r="I306" i="5"/>
  <c r="J1434" i="5"/>
  <c r="J678" i="5"/>
  <c r="J675" i="5" s="1"/>
  <c r="J676" i="5"/>
  <c r="J673" i="5" s="1"/>
  <c r="I329" i="5"/>
  <c r="I272" i="5"/>
  <c r="J1423" i="5" l="1"/>
  <c r="J1420" i="5" s="1"/>
  <c r="J1421" i="5"/>
  <c r="J1418" i="5" s="1"/>
  <c r="J230" i="5"/>
  <c r="J228" i="5"/>
  <c r="J234" i="5"/>
  <c r="J233" i="5"/>
  <c r="J232" i="5"/>
  <c r="I15" i="5" l="1"/>
  <c r="I10" i="5" s="1"/>
  <c r="J225" i="9" l="1"/>
  <c r="J224" i="9" s="1"/>
  <c r="J251" i="9"/>
  <c r="J247" i="9"/>
  <c r="J240" i="9"/>
  <c r="J191" i="9"/>
  <c r="J190" i="9"/>
  <c r="J189" i="9"/>
  <c r="J188" i="9"/>
  <c r="J187" i="9"/>
  <c r="J186" i="9"/>
  <c r="J184" i="9"/>
  <c r="J183" i="9"/>
  <c r="J182" i="9"/>
  <c r="J181" i="9"/>
  <c r="J180" i="9"/>
  <c r="J179" i="9"/>
  <c r="J161" i="9"/>
  <c r="J160" i="9"/>
  <c r="J159" i="9"/>
  <c r="J158" i="9"/>
  <c r="J157" i="9"/>
  <c r="J156" i="9"/>
  <c r="J141" i="9"/>
  <c r="J140" i="9"/>
  <c r="J139" i="9"/>
  <c r="J138" i="9"/>
  <c r="J137" i="9"/>
  <c r="J109" i="9"/>
  <c r="J108" i="9"/>
  <c r="J107" i="9"/>
  <c r="J106" i="9"/>
  <c r="J105" i="9"/>
  <c r="J86" i="9"/>
  <c r="J85" i="9"/>
  <c r="J89" i="9"/>
  <c r="J88" i="9"/>
  <c r="J70" i="9"/>
  <c r="J73" i="9"/>
  <c r="J58" i="9"/>
  <c r="J57" i="9"/>
  <c r="J41" i="9"/>
  <c r="J40" i="9"/>
  <c r="J38" i="9"/>
  <c r="J37" i="9"/>
  <c r="J26" i="9"/>
  <c r="J25" i="9"/>
  <c r="J24" i="9"/>
  <c r="J15" i="9"/>
  <c r="J16" i="9"/>
  <c r="J181" i="8"/>
  <c r="J173" i="8"/>
  <c r="J207" i="8"/>
  <c r="J204" i="8"/>
  <c r="J198" i="8"/>
  <c r="J197" i="8"/>
  <c r="J196" i="8"/>
  <c r="J171" i="8"/>
  <c r="J170" i="8"/>
  <c r="J169" i="8"/>
  <c r="J168" i="8"/>
  <c r="J167" i="8"/>
  <c r="J166" i="8"/>
  <c r="J160" i="8"/>
  <c r="J152" i="8"/>
  <c r="J119" i="8"/>
  <c r="J118" i="8"/>
  <c r="J114" i="8"/>
  <c r="J89" i="8"/>
  <c r="J34" i="8"/>
  <c r="J145" i="7"/>
  <c r="J142" i="7"/>
  <c r="J136" i="7"/>
  <c r="J135" i="7"/>
  <c r="J127" i="7"/>
  <c r="J123" i="7"/>
  <c r="J120" i="7"/>
  <c r="J112" i="7"/>
  <c r="J111" i="7"/>
  <c r="J110" i="7"/>
  <c r="J98" i="7"/>
  <c r="J97" i="7"/>
  <c r="J96" i="7"/>
  <c r="J84" i="7"/>
  <c r="J79" i="7"/>
  <c r="J78" i="7"/>
  <c r="J64" i="7"/>
  <c r="J61" i="7"/>
  <c r="J59" i="7"/>
  <c r="J53" i="7"/>
  <c r="J50" i="7"/>
  <c r="J49" i="7"/>
  <c r="J48" i="7"/>
  <c r="J42" i="7"/>
  <c r="J34" i="7"/>
  <c r="J33" i="7" s="1"/>
  <c r="J13" i="7"/>
  <c r="J82" i="2"/>
  <c r="J903" i="2"/>
  <c r="J902" i="2"/>
  <c r="J894" i="2"/>
  <c r="J893" i="2"/>
  <c r="J877" i="2"/>
  <c r="J876" i="2"/>
  <c r="J874" i="2"/>
  <c r="J856" i="2"/>
  <c r="J855" i="2"/>
  <c r="J853" i="2"/>
  <c r="J831" i="2"/>
  <c r="J830" i="2"/>
  <c r="J828" i="2"/>
  <c r="J821" i="2"/>
  <c r="J814" i="2"/>
  <c r="J813" i="2"/>
  <c r="J804" i="2"/>
  <c r="J803" i="2"/>
  <c r="J786" i="2"/>
  <c r="J785" i="2"/>
  <c r="J767" i="2"/>
  <c r="J766" i="2"/>
  <c r="J742" i="2"/>
  <c r="J741" i="2"/>
  <c r="J731" i="2"/>
  <c r="J730" i="2"/>
  <c r="J722" i="2"/>
  <c r="J721" i="2"/>
  <c r="J716" i="2"/>
  <c r="J713" i="2"/>
  <c r="J680" i="2"/>
  <c r="J677" i="2"/>
  <c r="J673" i="2"/>
  <c r="J670" i="2"/>
  <c r="J629" i="2"/>
  <c r="J626" i="2"/>
  <c r="J623" i="2"/>
  <c r="J492" i="2"/>
  <c r="J491" i="2"/>
  <c r="J461" i="2"/>
  <c r="J460" i="2"/>
  <c r="J406" i="2"/>
  <c r="J405" i="2"/>
  <c r="J397" i="2"/>
  <c r="J396" i="2"/>
  <c r="J388" i="2"/>
  <c r="J387" i="2"/>
  <c r="J377" i="2"/>
  <c r="J376" i="2"/>
  <c r="J368" i="2"/>
  <c r="J367" i="2"/>
  <c r="J363" i="2"/>
  <c r="J360" i="2"/>
  <c r="J309" i="2"/>
  <c r="J308" i="2"/>
  <c r="J291" i="2"/>
  <c r="J290" i="2"/>
  <c r="J288" i="2"/>
  <c r="J287" i="2"/>
  <c r="J278" i="2"/>
  <c r="J277" i="2"/>
  <c r="J246" i="2"/>
  <c r="J245" i="2"/>
  <c r="J243" i="2"/>
  <c r="J242" i="2"/>
  <c r="J231" i="2"/>
  <c r="J230" i="2"/>
  <c r="J198" i="2"/>
  <c r="J197" i="2"/>
  <c r="J195" i="2"/>
  <c r="J194" i="2"/>
  <c r="J192" i="2"/>
  <c r="J188" i="2"/>
  <c r="J187" i="2"/>
  <c r="J185" i="2"/>
  <c r="J184" i="2"/>
  <c r="J182" i="2"/>
  <c r="J171" i="2"/>
  <c r="J168" i="2"/>
  <c r="J164" i="2"/>
  <c r="J161" i="2"/>
  <c r="J159" i="2"/>
  <c r="J156" i="2"/>
  <c r="J153" i="2"/>
  <c r="J105" i="2"/>
  <c r="J104" i="2"/>
  <c r="J94" i="2"/>
  <c r="J90" i="2"/>
  <c r="J91" i="2"/>
  <c r="J85" i="2"/>
  <c r="J81" i="2"/>
  <c r="J63" i="2"/>
  <c r="J62" i="2"/>
  <c r="J46" i="2"/>
  <c r="J45" i="2"/>
  <c r="J27" i="2"/>
  <c r="J26" i="2"/>
  <c r="J15" i="2"/>
  <c r="J1510" i="5"/>
  <c r="J589" i="5"/>
  <c r="J580" i="5"/>
  <c r="J358" i="5"/>
  <c r="J342" i="5"/>
  <c r="J1671" i="5"/>
  <c r="J1668" i="5"/>
  <c r="J1666" i="5"/>
  <c r="J1660" i="5"/>
  <c r="J1657" i="5"/>
  <c r="J1654" i="5"/>
  <c r="J1642" i="5"/>
  <c r="J1639" i="5"/>
  <c r="J1637" i="5"/>
  <c r="J1636" i="5"/>
  <c r="J1635" i="5"/>
  <c r="J1634" i="5"/>
  <c r="J1631" i="5"/>
  <c r="J1628" i="5"/>
  <c r="J1626" i="5"/>
  <c r="J1625" i="5"/>
  <c r="J1624" i="5"/>
  <c r="J1623" i="5"/>
  <c r="J1613" i="5"/>
  <c r="J1610" i="5"/>
  <c r="J1607" i="5"/>
  <c r="J1606" i="5"/>
  <c r="J1605" i="5"/>
  <c r="J1602" i="5"/>
  <c r="J1599" i="5"/>
  <c r="J1597" i="5"/>
  <c r="J1593" i="5" s="1"/>
  <c r="J1596" i="5"/>
  <c r="J1595" i="5"/>
  <c r="J1594" i="5"/>
  <c r="J1584" i="5"/>
  <c r="J1581" i="5"/>
  <c r="J1579" i="5"/>
  <c r="J1578" i="5"/>
  <c r="J1577" i="5"/>
  <c r="J1576" i="5"/>
  <c r="J1573" i="5"/>
  <c r="J1570" i="5"/>
  <c r="J1568" i="5"/>
  <c r="J1567" i="5"/>
  <c r="J1566" i="5"/>
  <c r="J1565" i="5"/>
  <c r="J1555" i="5"/>
  <c r="J1552" i="5"/>
  <c r="J1550" i="5"/>
  <c r="J1549" i="5"/>
  <c r="J1548" i="5"/>
  <c r="J1547" i="5"/>
  <c r="J1544" i="5"/>
  <c r="J1541" i="5"/>
  <c r="J1539" i="5"/>
  <c r="J1538" i="5"/>
  <c r="J1537" i="5"/>
  <c r="J1536" i="5"/>
  <c r="J1526" i="5"/>
  <c r="J1523" i="5"/>
  <c r="J1521" i="5"/>
  <c r="J1515" i="5"/>
  <c r="J1512" i="5"/>
  <c r="J1509" i="5"/>
  <c r="J1507" i="5"/>
  <c r="J1486" i="5"/>
  <c r="J1483" i="5"/>
  <c r="J1481" i="5"/>
  <c r="J1480" i="5"/>
  <c r="J1479" i="5"/>
  <c r="J1478" i="5"/>
  <c r="J1475" i="5"/>
  <c r="J1472" i="5"/>
  <c r="J1470" i="5"/>
  <c r="J1469" i="5"/>
  <c r="J1468" i="5"/>
  <c r="J1467" i="5"/>
  <c r="J1455" i="5"/>
  <c r="J1450" i="5"/>
  <c r="J1445" i="5"/>
  <c r="J1415" i="5"/>
  <c r="J1409" i="5"/>
  <c r="J1407" i="5"/>
  <c r="J1405" i="5" s="1"/>
  <c r="J1384" i="5"/>
  <c r="J1383" i="5"/>
  <c r="J1382" i="5"/>
  <c r="J1380" i="5"/>
  <c r="J1379" i="5"/>
  <c r="J1370" i="5"/>
  <c r="J1368" i="5"/>
  <c r="J1367" i="5"/>
  <c r="J1366" i="5"/>
  <c r="J1365" i="5"/>
  <c r="J1362" i="5"/>
  <c r="J1359" i="5"/>
  <c r="J1357" i="5"/>
  <c r="J1356" i="5"/>
  <c r="J1355" i="5"/>
  <c r="J1354" i="5"/>
  <c r="J1344" i="5"/>
  <c r="J1341" i="5"/>
  <c r="J1339" i="5"/>
  <c r="J1338" i="5"/>
  <c r="J1337" i="5"/>
  <c r="J1336" i="5"/>
  <c r="J1333" i="5"/>
  <c r="J1330" i="5"/>
  <c r="J1328" i="5"/>
  <c r="J1327" i="5"/>
  <c r="J1326" i="5"/>
  <c r="J1325" i="5"/>
  <c r="J1315" i="5"/>
  <c r="J1312" i="5"/>
  <c r="J1311" i="5"/>
  <c r="J1310" i="5"/>
  <c r="J1294" i="5"/>
  <c r="J1308" i="5"/>
  <c r="J1305" i="5"/>
  <c r="J1302" i="5"/>
  <c r="J1301" i="5"/>
  <c r="J1298" i="5"/>
  <c r="J1293" i="5" s="1"/>
  <c r="J1286" i="5"/>
  <c r="J1279" i="5" s="1"/>
  <c r="J1281" i="5"/>
  <c r="J1278" i="5" s="1"/>
  <c r="J1261" i="5" s="1"/>
  <c r="J1270" i="5"/>
  <c r="J1266" i="5" s="1"/>
  <c r="J1269" i="5"/>
  <c r="J1263" i="5"/>
  <c r="J1262" i="5"/>
  <c r="J1137" i="5"/>
  <c r="J1044" i="5"/>
  <c r="J1043" i="5"/>
  <c r="J1042" i="5"/>
  <c r="J1041" i="5"/>
  <c r="J1040" i="5"/>
  <c r="J1039" i="5"/>
  <c r="J1032" i="5"/>
  <c r="J1027" i="5"/>
  <c r="J1022" i="5"/>
  <c r="J1017" i="5"/>
  <c r="J1012" i="5"/>
  <c r="J990" i="5"/>
  <c r="J985" i="5"/>
  <c r="J976" i="5"/>
  <c r="J967" i="5"/>
  <c r="J961" i="5" s="1"/>
  <c r="J954" i="5"/>
  <c r="J951" i="5"/>
  <c r="J948" i="5"/>
  <c r="J945" i="5"/>
  <c r="J942" i="5"/>
  <c r="J939" i="5"/>
  <c r="J930" i="5"/>
  <c r="J927" i="5"/>
  <c r="J922" i="5"/>
  <c r="J917" i="5"/>
  <c r="J900" i="5"/>
  <c r="J899" i="5"/>
  <c r="J891" i="5"/>
  <c r="J853" i="5"/>
  <c r="J848" i="5"/>
  <c r="J844" i="5"/>
  <c r="J841" i="5"/>
  <c r="J835" i="5"/>
  <c r="J830" i="5"/>
  <c r="J826" i="5"/>
  <c r="J823" i="5"/>
  <c r="J812" i="5"/>
  <c r="J809" i="5"/>
  <c r="J808" i="5"/>
  <c r="J807" i="5"/>
  <c r="J803" i="5"/>
  <c r="J800" i="5"/>
  <c r="J799" i="5"/>
  <c r="J798" i="5"/>
  <c r="J793" i="5"/>
  <c r="J790" i="5"/>
  <c r="J787" i="5"/>
  <c r="J785" i="5"/>
  <c r="J781" i="5"/>
  <c r="J778" i="5"/>
  <c r="J775" i="5"/>
  <c r="J773" i="5"/>
  <c r="J761" i="5"/>
  <c r="J758" i="5"/>
  <c r="J757" i="5"/>
  <c r="J756" i="5"/>
  <c r="J752" i="5"/>
  <c r="J749" i="5"/>
  <c r="J748" i="5"/>
  <c r="J747" i="5"/>
  <c r="J723" i="5"/>
  <c r="J720" i="5"/>
  <c r="J718" i="5"/>
  <c r="J717" i="5"/>
  <c r="J716" i="5"/>
  <c r="J715" i="5"/>
  <c r="J712" i="5"/>
  <c r="J709" i="5"/>
  <c r="J707" i="5"/>
  <c r="J706" i="5"/>
  <c r="J705" i="5"/>
  <c r="J704" i="5"/>
  <c r="J668" i="5"/>
  <c r="J661" i="5" s="1"/>
  <c r="J635" i="5" s="1"/>
  <c r="J663" i="5"/>
  <c r="J660" i="5" s="1"/>
  <c r="J655" i="5"/>
  <c r="J652" i="5"/>
  <c r="J645" i="5"/>
  <c r="J642" i="5"/>
  <c r="J641" i="5"/>
  <c r="J640" i="5"/>
  <c r="J639" i="5"/>
  <c r="J618" i="5"/>
  <c r="J615" i="5"/>
  <c r="J614" i="5"/>
  <c r="J613" i="5"/>
  <c r="J612" i="5"/>
  <c r="J567" i="5" s="1"/>
  <c r="J611" i="5"/>
  <c r="J604" i="5"/>
  <c r="J601" i="5"/>
  <c r="J600" i="5"/>
  <c r="J599" i="5"/>
  <c r="J597" i="5"/>
  <c r="J594" i="5"/>
  <c r="J588" i="5" s="1"/>
  <c r="J591" i="5"/>
  <c r="J590" i="5"/>
  <c r="J587" i="5"/>
  <c r="J584" i="5"/>
  <c r="J581" i="5"/>
  <c r="J579" i="5"/>
  <c r="J577" i="5"/>
  <c r="J574" i="5"/>
  <c r="J571" i="5"/>
  <c r="J527" i="5"/>
  <c r="J524" i="5" s="1"/>
  <c r="J526" i="5"/>
  <c r="J523" i="5" s="1"/>
  <c r="J525" i="5"/>
  <c r="J522" i="5" s="1"/>
  <c r="J517" i="5"/>
  <c r="J514" i="5"/>
  <c r="J507" i="5"/>
  <c r="J494" i="5"/>
  <c r="J487" i="5"/>
  <c r="J483" i="5" s="1"/>
  <c r="J486" i="5"/>
  <c r="J484" i="5"/>
  <c r="J416" i="5"/>
  <c r="J413" i="5"/>
  <c r="J412" i="5"/>
  <c r="J411" i="5"/>
  <c r="J407" i="5"/>
  <c r="J404" i="5"/>
  <c r="J403" i="5"/>
  <c r="J389" i="5"/>
  <c r="J381" i="5"/>
  <c r="J380" i="5"/>
  <c r="J373" i="5"/>
  <c r="J374" i="5"/>
  <c r="J366" i="5"/>
  <c r="J365" i="5"/>
  <c r="J357" i="5"/>
  <c r="J353" i="5"/>
  <c r="J349" i="5"/>
  <c r="J341" i="5"/>
  <c r="J335" i="5"/>
  <c r="J329" i="5"/>
  <c r="J314" i="5"/>
  <c r="J304" i="5"/>
  <c r="J300" i="5"/>
  <c r="J297" i="5"/>
  <c r="J296" i="5"/>
  <c r="J295" i="5"/>
  <c r="J291" i="5"/>
  <c r="J288" i="5"/>
  <c r="J287" i="5"/>
  <c r="J286" i="5"/>
  <c r="J278" i="5"/>
  <c r="J272" i="5"/>
  <c r="J261" i="5"/>
  <c r="J321" i="5" s="1"/>
  <c r="J319" i="5" s="1"/>
  <c r="J257" i="5"/>
  <c r="J252" i="5"/>
  <c r="J248" i="5"/>
  <c r="J240" i="5"/>
  <c r="J236" i="5"/>
  <c r="J231" i="5"/>
  <c r="J227" i="5"/>
  <c r="J215" i="5"/>
  <c r="J203" i="5" s="1"/>
  <c r="J211" i="5"/>
  <c r="J207" i="5"/>
  <c r="J204" i="5"/>
  <c r="J197" i="5"/>
  <c r="J185" i="5" s="1"/>
  <c r="J193" i="5"/>
  <c r="J189" i="5"/>
  <c r="J186" i="5"/>
  <c r="J175" i="5"/>
  <c r="J172" i="5"/>
  <c r="J168" i="5"/>
  <c r="J165" i="5"/>
  <c r="J163" i="5"/>
  <c r="J162" i="5"/>
  <c r="J160" i="5"/>
  <c r="J159" i="5"/>
  <c r="J79" i="5"/>
  <c r="J76" i="5"/>
  <c r="J75" i="5"/>
  <c r="J74" i="5"/>
  <c r="J70" i="5"/>
  <c r="J67" i="5"/>
  <c r="J66" i="5"/>
  <c r="J65" i="5"/>
  <c r="J59" i="5"/>
  <c r="J283" i="5" s="1"/>
  <c r="J271" i="5" s="1"/>
  <c r="J55" i="5"/>
  <c r="J50" i="5"/>
  <c r="J46" i="5"/>
  <c r="J38" i="5"/>
  <c r="J34" i="5"/>
  <c r="J276" i="5" s="1"/>
  <c r="J97" i="2" l="1"/>
  <c r="J47" i="7"/>
  <c r="J57" i="7"/>
  <c r="J1458" i="5"/>
  <c r="J1457" i="5" s="1"/>
  <c r="J1444" i="5" s="1"/>
  <c r="J1406" i="5"/>
  <c r="J1404" i="5"/>
  <c r="J547" i="5"/>
  <c r="J624" i="5"/>
  <c r="J797" i="5"/>
  <c r="J277" i="5"/>
  <c r="J268" i="5" s="1"/>
  <c r="J23" i="5"/>
  <c r="J245" i="5"/>
  <c r="J244" i="5"/>
  <c r="J267" i="5"/>
  <c r="J315" i="5"/>
  <c r="J246" i="5"/>
  <c r="J698" i="5"/>
  <c r="J1503" i="5"/>
  <c r="J364" i="5"/>
  <c r="J634" i="5"/>
  <c r="J629" i="5"/>
  <c r="J628" i="5"/>
  <c r="J630" i="5"/>
  <c r="J626" i="5"/>
  <c r="J633" i="5"/>
  <c r="J632" i="5"/>
  <c r="J165" i="8"/>
  <c r="J1535" i="5"/>
  <c r="J223" i="5"/>
  <c r="J224" i="5"/>
  <c r="J1264" i="5"/>
  <c r="J1265" i="5"/>
  <c r="J225" i="5"/>
  <c r="J1534" i="5"/>
  <c r="J1563" i="5"/>
  <c r="J1590" i="5"/>
  <c r="J479" i="5"/>
  <c r="J478" i="5"/>
  <c r="J481" i="5"/>
  <c r="J499" i="5"/>
  <c r="J568" i="5"/>
  <c r="J914" i="5"/>
  <c r="J962" i="5"/>
  <c r="J966" i="5"/>
  <c r="J1532" i="5"/>
  <c r="J552" i="5"/>
  <c r="J566" i="5"/>
  <c r="J563" i="5"/>
  <c r="J700" i="5"/>
  <c r="J703" i="5"/>
  <c r="J766" i="5"/>
  <c r="J960" i="5"/>
  <c r="J965" i="5"/>
  <c r="J958" i="5"/>
  <c r="J1461" i="5"/>
  <c r="J1506" i="5"/>
  <c r="J482" i="5"/>
  <c r="J480" i="5"/>
  <c r="J313" i="5"/>
  <c r="J221" i="5"/>
  <c r="J220" i="5"/>
  <c r="J222" i="5"/>
  <c r="J553" i="5"/>
  <c r="J161" i="5"/>
  <c r="J192" i="5"/>
  <c r="J183" i="5" s="1"/>
  <c r="J565" i="5"/>
  <c r="J806" i="5"/>
  <c r="J817" i="5"/>
  <c r="J820" i="5"/>
  <c r="J963" i="5"/>
  <c r="J1323" i="5"/>
  <c r="J1465" i="5"/>
  <c r="J1462" i="5"/>
  <c r="J1589" i="5"/>
  <c r="J1592" i="5"/>
  <c r="J1622" i="5"/>
  <c r="J915" i="5"/>
  <c r="J1651" i="5"/>
  <c r="J210" i="5"/>
  <c r="J201" i="5" s="1"/>
  <c r="J816" i="5"/>
  <c r="J910" i="5"/>
  <c r="J1324" i="5"/>
  <c r="J1350" i="5"/>
  <c r="J1353" i="5"/>
  <c r="J767" i="5"/>
  <c r="J770" i="5"/>
  <c r="J818" i="5"/>
  <c r="J821" i="5"/>
  <c r="J909" i="5"/>
  <c r="J913" i="5"/>
  <c r="J45" i="5"/>
  <c r="J328" i="5"/>
  <c r="J325" i="5" s="1"/>
  <c r="J560" i="5"/>
  <c r="J1501" i="5"/>
  <c r="J1502" i="5"/>
  <c r="J911" i="5"/>
  <c r="J33" i="5"/>
  <c r="J73" i="5"/>
  <c r="J184" i="5"/>
  <c r="J202" i="5"/>
  <c r="J362" i="5"/>
  <c r="J379" i="5"/>
  <c r="J401" i="5"/>
  <c r="J410" i="5"/>
  <c r="J699" i="5"/>
  <c r="J746" i="5"/>
  <c r="J768" i="5"/>
  <c r="J771" i="5"/>
  <c r="J959" i="5"/>
  <c r="J964" i="5"/>
  <c r="J1588" i="5"/>
  <c r="J1322" i="5"/>
  <c r="J1561" i="5"/>
  <c r="J1564" i="5"/>
  <c r="J1621" i="5"/>
  <c r="J1618" i="5"/>
  <c r="J908" i="5"/>
  <c r="J912" i="5"/>
  <c r="J916" i="5"/>
  <c r="J1292" i="5"/>
  <c r="J1297" i="5"/>
  <c r="J1463" i="5"/>
  <c r="J1466" i="5"/>
  <c r="J1533" i="5"/>
  <c r="J1531" i="5"/>
  <c r="J1591" i="5"/>
  <c r="J72" i="9"/>
  <c r="J203" i="8"/>
  <c r="J80" i="2"/>
  <c r="J622" i="2"/>
  <c r="J1649" i="5"/>
  <c r="J1650" i="5"/>
  <c r="J1648" i="5"/>
  <c r="J1619" i="5"/>
  <c r="J1620" i="5"/>
  <c r="J1505" i="5"/>
  <c r="J1504" i="5"/>
  <c r="J1351" i="5"/>
  <c r="J1352" i="5"/>
  <c r="J1320" i="5"/>
  <c r="J1319" i="5"/>
  <c r="J1321" i="5"/>
  <c r="J755" i="5"/>
  <c r="J702" i="5"/>
  <c r="J556" i="5"/>
  <c r="J570" i="5"/>
  <c r="J554" i="5"/>
  <c r="J561" i="5"/>
  <c r="J562" i="5"/>
  <c r="J551" i="5"/>
  <c r="J378" i="5"/>
  <c r="J347" i="5"/>
  <c r="J348" i="5"/>
  <c r="J345" i="5" s="1"/>
  <c r="J326" i="5"/>
  <c r="J294" i="5"/>
  <c r="J285" i="5"/>
  <c r="J158" i="5"/>
  <c r="J64" i="5"/>
  <c r="J54" i="5"/>
  <c r="J282" i="5" s="1"/>
  <c r="J43" i="5"/>
  <c r="J559" i="5"/>
  <c r="J558" i="5"/>
  <c r="J1560" i="5"/>
  <c r="J1559" i="5"/>
  <c r="J327" i="5"/>
  <c r="J402" i="5"/>
  <c r="J555" i="5"/>
  <c r="J637" i="5"/>
  <c r="J1349" i="5"/>
  <c r="J1348" i="5"/>
  <c r="J1443" i="5"/>
  <c r="J346" i="5"/>
  <c r="J363" i="5"/>
  <c r="J377" i="5"/>
  <c r="J636" i="5"/>
  <c r="J701" i="5"/>
  <c r="J769" i="5"/>
  <c r="J819" i="5"/>
  <c r="J1464" i="5"/>
  <c r="J1530" i="5"/>
  <c r="J1647" i="5"/>
  <c r="J25" i="5"/>
  <c r="J22" i="5" s="1"/>
  <c r="J44" i="5"/>
  <c r="J569" i="5"/>
  <c r="J1296" i="5"/>
  <c r="J1295" i="5"/>
  <c r="J1562" i="5"/>
  <c r="J1617" i="5"/>
  <c r="J1442" i="5" l="1"/>
  <c r="J275" i="5"/>
  <c r="J266" i="5" s="1"/>
  <c r="J270" i="5"/>
  <c r="J281" i="5"/>
  <c r="J269" i="5" s="1"/>
  <c r="J42" i="5"/>
  <c r="J24" i="5"/>
  <c r="I228" i="5"/>
  <c r="I229" i="5"/>
  <c r="I230" i="5"/>
  <c r="I232" i="5"/>
  <c r="I233" i="5"/>
  <c r="I234" i="5"/>
  <c r="I67" i="5"/>
  <c r="J21" i="5" l="1"/>
  <c r="I72" i="5"/>
  <c r="I70" i="5" s="1"/>
  <c r="I186" i="5" l="1"/>
  <c r="I10" i="3" l="1"/>
  <c r="I275" i="5"/>
  <c r="I266" i="5" s="1"/>
  <c r="I359" i="5" l="1"/>
  <c r="I343" i="5" l="1"/>
  <c r="I344" i="5"/>
  <c r="I328" i="5" l="1"/>
  <c r="I428" i="5"/>
  <c r="I429" i="5"/>
  <c r="I209" i="8" l="1"/>
  <c r="I208" i="8"/>
  <c r="I102" i="8"/>
  <c r="I101" i="8"/>
  <c r="I96" i="8" s="1"/>
  <c r="I100" i="8"/>
  <c r="I99" i="8"/>
  <c r="I103" i="8"/>
  <c r="I95" i="8" l="1"/>
  <c r="I204" i="8"/>
  <c r="I207" i="8"/>
  <c r="I196" i="8"/>
  <c r="I198" i="8"/>
  <c r="I167" i="8"/>
  <c r="I203" i="8" l="1"/>
  <c r="I80" i="8"/>
  <c r="I79" i="8"/>
  <c r="I78" i="8"/>
  <c r="I22" i="2" l="1"/>
  <c r="I21" i="2"/>
  <c r="I442" i="5" l="1"/>
  <c r="I441" i="5"/>
  <c r="I439" i="5"/>
  <c r="I438" i="5"/>
  <c r="I436" i="5"/>
  <c r="I435" i="5"/>
  <c r="I525" i="5" l="1"/>
  <c r="I522" i="5" s="1"/>
  <c r="I526" i="5"/>
  <c r="I523" i="5" s="1"/>
  <c r="I484" i="5" l="1"/>
  <c r="I571" i="5"/>
  <c r="I574" i="5"/>
  <c r="I577" i="5"/>
  <c r="I579" i="5"/>
  <c r="I547" i="5" l="1"/>
  <c r="I660" i="5"/>
  <c r="I891" i="5" l="1"/>
  <c r="I900" i="5"/>
  <c r="I1380" i="5" l="1"/>
  <c r="I1507" i="5"/>
  <c r="I1412" i="5"/>
  <c r="I1512" i="5"/>
  <c r="I64" i="5" l="1"/>
  <c r="I25" i="5" l="1"/>
  <c r="I175" i="5" l="1"/>
  <c r="I172" i="5"/>
  <c r="I168" i="5"/>
  <c r="I165" i="5"/>
  <c r="I158" i="5" l="1"/>
  <c r="I161" i="5"/>
  <c r="I184" i="9"/>
  <c r="I183" i="9"/>
  <c r="I182" i="9"/>
  <c r="I181" i="9"/>
  <c r="I180" i="9"/>
  <c r="I238" i="9"/>
  <c r="I15" i="2" l="1"/>
  <c r="I84" i="7" l="1"/>
  <c r="I114" i="8" l="1"/>
  <c r="I94" i="8"/>
  <c r="I62" i="8"/>
  <c r="I58" i="9" l="1"/>
  <c r="I57" i="9"/>
  <c r="I41" i="9"/>
  <c r="I38" i="9"/>
  <c r="I47" i="9"/>
  <c r="I16" i="9"/>
  <c r="I15" i="9"/>
  <c r="I30" i="7"/>
  <c r="I22" i="7" s="1"/>
  <c r="I25" i="7"/>
  <c r="I17" i="7" s="1"/>
  <c r="I23" i="7"/>
  <c r="I21" i="7"/>
  <c r="I20" i="7"/>
  <c r="I19" i="7"/>
  <c r="I18" i="7"/>
  <c r="I49" i="7"/>
  <c r="I48" i="7"/>
  <c r="I53" i="7"/>
  <c r="I50" i="7"/>
  <c r="H47" i="7"/>
  <c r="G47" i="7"/>
  <c r="F47" i="7"/>
  <c r="E47" i="7"/>
  <c r="I59" i="7"/>
  <c r="I58" i="7"/>
  <c r="I64" i="7"/>
  <c r="I61" i="7"/>
  <c r="I72" i="7"/>
  <c r="I74" i="7"/>
  <c r="I70" i="7" s="1"/>
  <c r="I73" i="7"/>
  <c r="I69" i="7" s="1"/>
  <c r="I79" i="7"/>
  <c r="I78" i="7"/>
  <c r="I98" i="7"/>
  <c r="I97" i="7"/>
  <c r="I96" i="7"/>
  <c r="I120" i="7"/>
  <c r="E130" i="7"/>
  <c r="F130" i="7"/>
  <c r="G130" i="7"/>
  <c r="I127" i="7"/>
  <c r="I136" i="7"/>
  <c r="I135" i="7"/>
  <c r="I145" i="7"/>
  <c r="I123" i="7"/>
  <c r="I112" i="7"/>
  <c r="I111" i="7"/>
  <c r="I110" i="7"/>
  <c r="I42" i="7"/>
  <c r="I34" i="7"/>
  <c r="I33" i="7" s="1"/>
  <c r="I13" i="7"/>
  <c r="I197" i="8"/>
  <c r="I166" i="8"/>
  <c r="I171" i="8"/>
  <c r="I170" i="8"/>
  <c r="I169" i="8"/>
  <c r="I168" i="8"/>
  <c r="I173" i="8"/>
  <c r="I157" i="8"/>
  <c r="I71" i="8"/>
  <c r="I67" i="8"/>
  <c r="I70" i="8"/>
  <c r="I63" i="8"/>
  <c r="H114" i="8"/>
  <c r="I76" i="8" l="1"/>
  <c r="I59" i="8" s="1"/>
  <c r="I75" i="8"/>
  <c r="I54" i="8" s="1"/>
  <c r="I58" i="8"/>
  <c r="I74" i="8"/>
  <c r="I37" i="9"/>
  <c r="I165" i="8"/>
  <c r="I68" i="7"/>
  <c r="I40" i="9"/>
  <c r="I47" i="7"/>
  <c r="I57" i="7"/>
  <c r="I119" i="8"/>
  <c r="I118" i="8"/>
  <c r="I51" i="8" l="1"/>
  <c r="I49" i="8"/>
  <c r="I55" i="8"/>
  <c r="I53" i="8"/>
  <c r="I57" i="8"/>
  <c r="I50" i="8"/>
  <c r="I106" i="8"/>
  <c r="I105" i="8"/>
  <c r="I97" i="8" l="1"/>
  <c r="I40" i="8"/>
  <c r="I39" i="8"/>
  <c r="I11" i="8"/>
  <c r="E11" i="8"/>
  <c r="I34" i="8"/>
  <c r="I160" i="8"/>
  <c r="I152" i="8"/>
  <c r="I89" i="8"/>
  <c r="I12" i="8" l="1"/>
  <c r="I13" i="8"/>
  <c r="I89" i="9"/>
  <c r="I88" i="9"/>
  <c r="I85" i="9"/>
  <c r="I86" i="9" l="1"/>
  <c r="I141" i="9"/>
  <c r="I140" i="9"/>
  <c r="I139" i="9"/>
  <c r="I138" i="9"/>
  <c r="I137" i="9"/>
  <c r="I168" i="9"/>
  <c r="I160" i="9" s="1"/>
  <c r="I161" i="9"/>
  <c r="I159" i="9"/>
  <c r="I158" i="9"/>
  <c r="I157" i="9"/>
  <c r="I156" i="9"/>
  <c r="I186" i="9"/>
  <c r="I187" i="9"/>
  <c r="I188" i="9"/>
  <c r="I189" i="9"/>
  <c r="I190" i="9"/>
  <c r="I191" i="9"/>
  <c r="I230" i="9" l="1"/>
  <c r="I229" i="9"/>
  <c r="I225" i="9" l="1"/>
  <c r="H225" i="9"/>
  <c r="G225" i="9"/>
  <c r="I237" i="9"/>
  <c r="I236" i="9"/>
  <c r="I235" i="9"/>
  <c r="I251" i="9"/>
  <c r="I247" i="9"/>
  <c r="I240" i="9"/>
  <c r="I109" i="9"/>
  <c r="I108" i="9"/>
  <c r="I107" i="9"/>
  <c r="I106" i="9"/>
  <c r="I105" i="9"/>
  <c r="I26" i="9"/>
  <c r="I25" i="9"/>
  <c r="I24" i="9"/>
  <c r="I224" i="9" l="1"/>
  <c r="I801" i="2"/>
  <c r="I786" i="2" s="1"/>
  <c r="I809" i="2"/>
  <c r="I803" i="2" s="1"/>
  <c r="I800" i="2"/>
  <c r="I785" i="2" s="1"/>
  <c r="I767" i="2"/>
  <c r="I766" i="2"/>
  <c r="I742" i="2"/>
  <c r="I741" i="2"/>
  <c r="I406" i="2" l="1"/>
  <c r="I405" i="2"/>
  <c r="I63" i="2"/>
  <c r="I62" i="2"/>
  <c r="I46" i="2"/>
  <c r="I27" i="2" l="1"/>
  <c r="I26" i="2"/>
  <c r="I39" i="2"/>
  <c r="I31" i="2" s="1"/>
  <c r="I38" i="2"/>
  <c r="I30" i="2" s="1"/>
  <c r="I1137" i="5"/>
  <c r="I1136" i="5"/>
  <c r="I1135" i="5"/>
  <c r="I1134" i="5"/>
  <c r="I1133" i="5"/>
  <c r="I1132" i="5"/>
  <c r="I1131" i="5"/>
  <c r="I1130" i="5"/>
  <c r="I1129" i="5"/>
  <c r="I500" i="5"/>
  <c r="I864" i="5" l="1"/>
  <c r="I863" i="5"/>
  <c r="I862" i="5"/>
  <c r="I865" i="5"/>
  <c r="I861" i="5"/>
  <c r="I192" i="2" l="1"/>
  <c r="I191" i="2"/>
  <c r="I194" i="2"/>
  <c r="I198" i="2"/>
  <c r="I197" i="2"/>
  <c r="I195" i="2"/>
  <c r="I188" i="2"/>
  <c r="I185" i="2"/>
  <c r="I181" i="2"/>
  <c r="I187" i="2"/>
  <c r="I184" i="2"/>
  <c r="I261" i="2"/>
  <c r="I265" i="2"/>
  <c r="I262" i="2"/>
  <c r="I287" i="2"/>
  <c r="I291" i="2"/>
  <c r="I310" i="2"/>
  <c r="I335" i="2"/>
  <c r="I309" i="2"/>
  <c r="I334" i="2"/>
  <c r="I368" i="2" l="1"/>
  <c r="I367" i="2"/>
  <c r="I377" i="2"/>
  <c r="I376" i="2"/>
  <c r="I388" i="2" l="1"/>
  <c r="I387" i="2"/>
  <c r="I396" i="2"/>
  <c r="I461" i="2"/>
  <c r="I460" i="2"/>
  <c r="I568" i="2" l="1"/>
  <c r="I567" i="2"/>
  <c r="I629" i="2" l="1"/>
  <c r="I626" i="2"/>
  <c r="I623" i="2"/>
  <c r="I648" i="2" l="1"/>
  <c r="I654" i="2"/>
  <c r="I651" i="2"/>
  <c r="I713" i="2"/>
  <c r="I722" i="2"/>
  <c r="I721" i="2"/>
  <c r="I730" i="2"/>
  <c r="I731" i="2"/>
  <c r="I164" i="2" l="1"/>
  <c r="I161" i="2"/>
  <c r="F158" i="2"/>
  <c r="F159" i="2"/>
  <c r="I243" i="2"/>
  <c r="I242" i="2"/>
  <c r="I230" i="2"/>
  <c r="I231" i="2"/>
  <c r="I246" i="2"/>
  <c r="I245" i="2"/>
  <c r="I290" i="2"/>
  <c r="I288" i="2"/>
  <c r="I278" i="2"/>
  <c r="I277" i="2"/>
  <c r="I136" i="2"/>
  <c r="I133" i="2"/>
  <c r="I105" i="2"/>
  <c r="I104" i="2"/>
  <c r="I93" i="2"/>
  <c r="I84" i="2"/>
  <c r="I87" i="2"/>
  <c r="I173" i="2" l="1"/>
  <c r="I149" i="2"/>
  <c r="I96" i="2"/>
  <c r="I90" i="2" s="1"/>
  <c r="I583" i="2"/>
  <c r="I81" i="2"/>
  <c r="I89" i="2"/>
  <c r="I97" i="2"/>
  <c r="I168" i="2"/>
  <c r="I20" i="2"/>
  <c r="I80" i="2"/>
  <c r="I153" i="2" l="1"/>
  <c r="I159" i="2"/>
  <c r="I171" i="2"/>
  <c r="I572" i="2"/>
  <c r="I571" i="2"/>
  <c r="I573" i="2"/>
  <c r="I137" i="2"/>
  <c r="I131" i="2"/>
  <c r="I134" i="2"/>
  <c r="H112" i="3" l="1"/>
  <c r="H500" i="5" l="1"/>
  <c r="I507" i="5"/>
  <c r="I499" i="5" s="1"/>
  <c r="H507" i="5"/>
  <c r="I613" i="5" l="1"/>
  <c r="I163" i="5" l="1"/>
  <c r="I162" i="5"/>
  <c r="I715" i="5" l="1"/>
  <c r="H489" i="5"/>
  <c r="I174" i="3" l="1"/>
  <c r="I177" i="3"/>
  <c r="I183" i="3"/>
  <c r="I196" i="3"/>
  <c r="I190" i="3" s="1"/>
  <c r="I217" i="3"/>
  <c r="I214" i="3" s="1"/>
  <c r="I242" i="3"/>
  <c r="I228" i="3" s="1"/>
  <c r="I245" i="3"/>
  <c r="I307" i="3"/>
  <c r="I315" i="3"/>
  <c r="I347" i="3"/>
  <c r="I356" i="3" s="1"/>
  <c r="I353" i="3" s="1"/>
  <c r="I379" i="3"/>
  <c r="I382" i="3"/>
  <c r="I388" i="3"/>
  <c r="I404" i="3"/>
  <c r="I398" i="3"/>
  <c r="I426" i="3" l="1"/>
  <c r="I407" i="3"/>
  <c r="I312" i="3"/>
  <c r="I350" i="3"/>
  <c r="I227" i="5" l="1"/>
  <c r="I716" i="2" l="1"/>
  <c r="H716" i="2"/>
  <c r="G722" i="2"/>
  <c r="H722" i="2"/>
  <c r="H16" i="2"/>
  <c r="H329" i="3" l="1"/>
  <c r="H330" i="3"/>
  <c r="H115" i="3"/>
  <c r="H127" i="3"/>
  <c r="H136" i="3"/>
  <c r="H328" i="3" l="1"/>
  <c r="H830" i="2" l="1"/>
  <c r="I856" i="2" l="1"/>
  <c r="I855" i="2"/>
  <c r="H856" i="2"/>
  <c r="H855" i="2"/>
  <c r="H877" i="2"/>
  <c r="H876" i="2"/>
  <c r="H903" i="2"/>
  <c r="H894" i="2"/>
  <c r="I877" i="2"/>
  <c r="I876" i="2"/>
  <c r="I903" i="2" l="1"/>
  <c r="I894" i="2"/>
  <c r="I873" i="2"/>
  <c r="I852" i="2"/>
  <c r="I853" i="2"/>
  <c r="I827" i="2"/>
  <c r="I814" i="2"/>
  <c r="I902" i="2"/>
  <c r="I893" i="2"/>
  <c r="I874" i="2"/>
  <c r="I831" i="2"/>
  <c r="I828" i="2"/>
  <c r="I821" i="2"/>
  <c r="I813" i="2"/>
  <c r="I680" i="2"/>
  <c r="I677" i="2"/>
  <c r="I673" i="2"/>
  <c r="I670" i="2"/>
  <c r="I363" i="2"/>
  <c r="I360" i="2"/>
  <c r="I308" i="2"/>
  <c r="I94" i="2"/>
  <c r="I91" i="2"/>
  <c r="I85" i="2"/>
  <c r="I82" i="2"/>
  <c r="G902" i="2"/>
  <c r="I76" i="3"/>
  <c r="I70" i="3"/>
  <c r="I88" i="3"/>
  <c r="I66" i="3"/>
  <c r="I87" i="3" s="1"/>
  <c r="I60" i="3"/>
  <c r="I63" i="3"/>
  <c r="I52" i="3"/>
  <c r="I44" i="3"/>
  <c r="I20" i="3"/>
  <c r="I255" i="3"/>
  <c r="I254" i="3"/>
  <c r="I253" i="3"/>
  <c r="I270" i="3"/>
  <c r="I260" i="3"/>
  <c r="I261" i="3"/>
  <c r="I81" i="3" l="1"/>
  <c r="I51" i="3"/>
  <c r="I250" i="3"/>
  <c r="I249" i="3"/>
  <c r="I251" i="3"/>
  <c r="I232" i="3"/>
  <c r="I231" i="3"/>
  <c r="I229" i="3"/>
  <c r="H359" i="3"/>
  <c r="I295" i="3"/>
  <c r="I328" i="3"/>
  <c r="I136" i="3" l="1"/>
  <c r="I129" i="3"/>
  <c r="I127" i="3"/>
  <c r="I115" i="3"/>
  <c r="I112" i="3"/>
  <c r="I43" i="3"/>
  <c r="I26" i="3"/>
  <c r="I23" i="3"/>
  <c r="I34" i="3"/>
  <c r="I28" i="3"/>
  <c r="I31" i="3"/>
  <c r="I37" i="3"/>
  <c r="H10" i="3"/>
  <c r="I22" i="3" l="1"/>
  <c r="I25" i="3"/>
  <c r="I19" i="3"/>
  <c r="H23" i="3"/>
  <c r="H25" i="3"/>
  <c r="H22" i="3"/>
  <c r="H19" i="3"/>
  <c r="I41" i="3"/>
  <c r="H44" i="3"/>
  <c r="H41" i="3" s="1"/>
  <c r="I40" i="3"/>
  <c r="H43" i="3"/>
  <c r="H40" i="3" s="1"/>
  <c r="I58" i="3"/>
  <c r="I57" i="3"/>
  <c r="I55" i="3"/>
  <c r="I54" i="3"/>
  <c r="H58" i="3"/>
  <c r="H55" i="3"/>
  <c r="H71" i="3"/>
  <c r="H61" i="3"/>
  <c r="H76" i="3"/>
  <c r="H66" i="3"/>
  <c r="H73" i="3"/>
  <c r="H63" i="3"/>
  <c r="H70" i="3"/>
  <c r="H60" i="3"/>
  <c r="I111" i="3"/>
  <c r="I114" i="3"/>
  <c r="H120" i="3"/>
  <c r="H117" i="3"/>
  <c r="H123" i="3"/>
  <c r="I126" i="3"/>
  <c r="H129" i="3"/>
  <c r="H132" i="3"/>
  <c r="I135" i="3"/>
  <c r="H138" i="3"/>
  <c r="H141" i="3"/>
  <c r="I172" i="3"/>
  <c r="I171" i="3"/>
  <c r="H157" i="3"/>
  <c r="H144" i="3" s="1"/>
  <c r="H172" i="3"/>
  <c r="H174" i="3"/>
  <c r="H177" i="3"/>
  <c r="I374" i="3"/>
  <c r="I306" i="3"/>
  <c r="I305" i="3"/>
  <c r="I293" i="3"/>
  <c r="I292" i="3"/>
  <c r="I269" i="3"/>
  <c r="I206" i="3"/>
  <c r="I205" i="3"/>
  <c r="H186" i="3"/>
  <c r="H183" i="3"/>
  <c r="H180" i="3" l="1"/>
  <c r="H111" i="3"/>
  <c r="H51" i="3"/>
  <c r="H135" i="3"/>
  <c r="H126" i="3"/>
  <c r="H114" i="3"/>
  <c r="H171" i="3"/>
  <c r="H57" i="3"/>
  <c r="H54" i="3"/>
  <c r="H200" i="3"/>
  <c r="H197" i="3"/>
  <c r="H196" i="3"/>
  <c r="H190" i="3" s="1"/>
  <c r="H199" i="3"/>
  <c r="H193" i="3" s="1"/>
  <c r="H206" i="3"/>
  <c r="H205" i="3"/>
  <c r="H221" i="3"/>
  <c r="H220" i="3"/>
  <c r="H219" i="3"/>
  <c r="H218" i="3"/>
  <c r="H217" i="3"/>
  <c r="H216" i="3"/>
  <c r="H385" i="3" s="1"/>
  <c r="H269" i="3"/>
  <c r="I277" i="3"/>
  <c r="I276" i="3"/>
  <c r="H288" i="3"/>
  <c r="H279" i="3"/>
  <c r="H282" i="3"/>
  <c r="H293" i="3"/>
  <c r="H277" i="3"/>
  <c r="H298" i="3"/>
  <c r="H295" i="3"/>
  <c r="H308" i="3"/>
  <c r="H310" i="3"/>
  <c r="H307" i="3"/>
  <c r="H309" i="3"/>
  <c r="H316" i="3"/>
  <c r="H351" i="3" s="1"/>
  <c r="I344" i="3"/>
  <c r="H315" i="3"/>
  <c r="H401" i="3" l="1"/>
  <c r="H420" i="3"/>
  <c r="H350" i="3"/>
  <c r="H305" i="3"/>
  <c r="H306" i="3"/>
  <c r="H214" i="3"/>
  <c r="H292" i="3"/>
  <c r="H276" i="3"/>
  <c r="H326" i="3"/>
  <c r="H325" i="3"/>
  <c r="H327" i="3"/>
  <c r="I335" i="3"/>
  <c r="I334" i="3"/>
  <c r="H335" i="3"/>
  <c r="H334" i="3"/>
  <c r="H363" i="3"/>
  <c r="H348" i="3"/>
  <c r="H357" i="3" s="1"/>
  <c r="H347" i="3"/>
  <c r="I376" i="3"/>
  <c r="I377" i="3"/>
  <c r="H389" i="3"/>
  <c r="H383" i="3"/>
  <c r="H386" i="3"/>
  <c r="H380" i="3"/>
  <c r="H388" i="3"/>
  <c r="H382" i="3"/>
  <c r="I373" i="3"/>
  <c r="H379" i="3"/>
  <c r="H405" i="3"/>
  <c r="H399" i="3"/>
  <c r="H404" i="3"/>
  <c r="H398" i="3"/>
  <c r="H424" i="3"/>
  <c r="H418" i="3"/>
  <c r="H423" i="3"/>
  <c r="H411" i="3"/>
  <c r="I392" i="3"/>
  <c r="I393" i="3"/>
  <c r="I396" i="3"/>
  <c r="I395" i="3"/>
  <c r="I411" i="3"/>
  <c r="I412" i="3"/>
  <c r="I415" i="3"/>
  <c r="I414" i="3"/>
  <c r="H427" i="3" l="1"/>
  <c r="H415" i="3" s="1"/>
  <c r="H408" i="3"/>
  <c r="H344" i="3"/>
  <c r="H356" i="3"/>
  <c r="H353" i="3" s="1"/>
  <c r="H407" i="3"/>
  <c r="H426" i="3"/>
  <c r="H414" i="3" s="1"/>
  <c r="H402" i="3"/>
  <c r="H421" i="3"/>
  <c r="H412" i="3" s="1"/>
  <c r="H374" i="3"/>
  <c r="H373" i="3"/>
  <c r="H392" i="3"/>
  <c r="H377" i="3"/>
  <c r="H376" i="3"/>
  <c r="H393" i="3"/>
  <c r="H396" i="3"/>
  <c r="H324" i="3"/>
  <c r="H312" i="3" s="1"/>
  <c r="H395" i="3"/>
  <c r="I367" i="3"/>
  <c r="I364" i="3"/>
  <c r="I300" i="3"/>
  <c r="I166" i="3"/>
  <c r="I163" i="3"/>
  <c r="I757" i="5" l="1"/>
  <c r="I756" i="5"/>
  <c r="I761" i="5"/>
  <c r="I758" i="5"/>
  <c r="I748" i="5"/>
  <c r="I747" i="5"/>
  <c r="I749" i="5"/>
  <c r="I752" i="5"/>
  <c r="I755" i="5" l="1"/>
  <c r="I746" i="5"/>
  <c r="I808" i="5" l="1"/>
  <c r="I807" i="5"/>
  <c r="I812" i="5"/>
  <c r="I809" i="5"/>
  <c r="I799" i="5"/>
  <c r="I798" i="5"/>
  <c r="I803" i="5"/>
  <c r="I800" i="5"/>
  <c r="I76" i="5"/>
  <c r="I806" i="5" l="1"/>
  <c r="I797" i="5"/>
  <c r="I426" i="5" l="1"/>
  <c r="I425" i="5"/>
  <c r="I423" i="5"/>
  <c r="I422" i="5"/>
  <c r="I408" i="5" l="1"/>
  <c r="I405" i="5"/>
  <c r="I412" i="5" l="1"/>
  <c r="I411" i="5"/>
  <c r="I416" i="5"/>
  <c r="I413" i="5"/>
  <c r="I410" i="5" l="1"/>
  <c r="I407" i="5"/>
  <c r="I404" i="5"/>
  <c r="I403" i="5"/>
  <c r="I402" i="5"/>
  <c r="I401" i="5" l="1"/>
  <c r="I375" i="5"/>
  <c r="I319" i="5" l="1"/>
  <c r="I315" i="5"/>
  <c r="I314" i="5"/>
  <c r="I310" i="5" l="1"/>
  <c r="I313" i="5"/>
  <c r="I304" i="5" l="1"/>
  <c r="I289" i="5"/>
  <c r="I296" i="5" l="1"/>
  <c r="I295" i="5"/>
  <c r="I300" i="5"/>
  <c r="I297" i="5"/>
  <c r="I291" i="5"/>
  <c r="I288" i="5"/>
  <c r="I287" i="5"/>
  <c r="I286" i="5"/>
  <c r="I285" i="5" l="1"/>
  <c r="I294" i="5"/>
  <c r="I236" i="5" l="1"/>
  <c r="I224" i="5" s="1"/>
  <c r="I221" i="5" l="1"/>
  <c r="I231" i="5"/>
  <c r="I240" i="5"/>
  <c r="I225" i="5" l="1"/>
  <c r="I220" i="5"/>
  <c r="I223" i="5"/>
  <c r="I222" i="5"/>
  <c r="I248" i="5"/>
  <c r="I252" i="5"/>
  <c r="I257" i="5"/>
  <c r="I261" i="5"/>
  <c r="I79" i="5"/>
  <c r="I75" i="5"/>
  <c r="I74" i="5"/>
  <c r="I66" i="5"/>
  <c r="I245" i="5" l="1"/>
  <c r="I73" i="5"/>
  <c r="I246" i="5"/>
  <c r="I244" i="5"/>
  <c r="I65" i="5"/>
  <c r="I138" i="5" l="1"/>
  <c r="I137" i="5"/>
  <c r="I136" i="5"/>
  <c r="I134" i="5"/>
  <c r="I133" i="5"/>
  <c r="I132" i="5"/>
  <c r="I1577" i="5" l="1"/>
  <c r="I1032" i="5"/>
  <c r="I650" i="5"/>
  <c r="I645" i="5"/>
  <c r="I601" i="5"/>
  <c r="I46" i="5"/>
  <c r="I1671" i="5"/>
  <c r="I1668" i="5"/>
  <c r="I1666" i="5"/>
  <c r="I1665" i="5"/>
  <c r="I1664" i="5"/>
  <c r="I1663" i="5"/>
  <c r="I1660" i="5"/>
  <c r="I1657" i="5"/>
  <c r="I1655" i="5"/>
  <c r="I1654" i="5"/>
  <c r="I1653" i="5"/>
  <c r="I1652" i="5"/>
  <c r="I1642" i="5"/>
  <c r="I1639" i="5"/>
  <c r="I1637" i="5"/>
  <c r="I1636" i="5"/>
  <c r="I1635" i="5"/>
  <c r="I1634" i="5"/>
  <c r="I1631" i="5"/>
  <c r="I1628" i="5"/>
  <c r="I1626" i="5"/>
  <c r="I1625" i="5"/>
  <c r="I1624" i="5"/>
  <c r="I1623" i="5"/>
  <c r="I1613" i="5"/>
  <c r="I1610" i="5"/>
  <c r="I1607" i="5"/>
  <c r="I1606" i="5"/>
  <c r="I1605" i="5"/>
  <c r="I1602" i="5"/>
  <c r="I1599" i="5"/>
  <c r="I1597" i="5"/>
  <c r="I1593" i="5" s="1"/>
  <c r="I1596" i="5"/>
  <c r="I1595" i="5"/>
  <c r="I1594" i="5"/>
  <c r="I1526" i="5"/>
  <c r="I1523" i="5"/>
  <c r="I1521" i="5"/>
  <c r="I1520" i="5"/>
  <c r="I1519" i="5"/>
  <c r="I1518" i="5"/>
  <c r="I1515" i="5"/>
  <c r="I1510" i="5"/>
  <c r="I1509" i="5"/>
  <c r="I1584" i="5"/>
  <c r="I1581" i="5"/>
  <c r="I1579" i="5"/>
  <c r="I1578" i="5"/>
  <c r="I1576" i="5"/>
  <c r="I1573" i="5"/>
  <c r="I1570" i="5"/>
  <c r="I1568" i="5"/>
  <c r="I1567" i="5"/>
  <c r="I1566" i="5"/>
  <c r="I1565" i="5"/>
  <c r="I1555" i="5"/>
  <c r="I1552" i="5"/>
  <c r="I1550" i="5"/>
  <c r="I1549" i="5"/>
  <c r="I1548" i="5"/>
  <c r="I1547" i="5"/>
  <c r="I1544" i="5"/>
  <c r="I1541" i="5"/>
  <c r="I1539" i="5"/>
  <c r="I1538" i="5"/>
  <c r="I1537" i="5"/>
  <c r="I1536" i="5"/>
  <c r="I1486" i="5"/>
  <c r="I1483" i="5"/>
  <c r="I1481" i="5"/>
  <c r="I1480" i="5"/>
  <c r="I1479" i="5"/>
  <c r="I1478" i="5"/>
  <c r="I1475" i="5"/>
  <c r="I1472" i="5"/>
  <c r="I1470" i="5"/>
  <c r="I1469" i="5"/>
  <c r="I1468" i="5"/>
  <c r="I1467" i="5"/>
  <c r="I1457" i="5"/>
  <c r="I1455" i="5"/>
  <c r="I1450" i="5"/>
  <c r="I1445" i="5"/>
  <c r="I1415" i="5"/>
  <c r="I1411" i="5"/>
  <c r="I1409" i="5"/>
  <c r="I1407" i="5"/>
  <c r="I1384" i="5"/>
  <c r="I1383" i="5"/>
  <c r="I1382" i="5"/>
  <c r="I1381" i="5"/>
  <c r="I1379" i="5"/>
  <c r="I1370" i="5"/>
  <c r="I1368" i="5"/>
  <c r="I1367" i="5"/>
  <c r="I1366" i="5"/>
  <c r="I1365" i="5"/>
  <c r="I1362" i="5"/>
  <c r="I1359" i="5"/>
  <c r="I1357" i="5"/>
  <c r="I1356" i="5"/>
  <c r="I1355" i="5"/>
  <c r="I1354" i="5"/>
  <c r="I1344" i="5"/>
  <c r="I1341" i="5"/>
  <c r="I1339" i="5"/>
  <c r="I1338" i="5"/>
  <c r="I1337" i="5"/>
  <c r="I1336" i="5"/>
  <c r="I1333" i="5"/>
  <c r="I1330" i="5"/>
  <c r="I1328" i="5"/>
  <c r="I1327" i="5"/>
  <c r="I1326" i="5"/>
  <c r="I1325" i="5"/>
  <c r="I1315" i="5"/>
  <c r="I1312" i="5"/>
  <c r="I1311" i="5"/>
  <c r="I1310" i="5"/>
  <c r="I1309" i="5"/>
  <c r="I1308" i="5"/>
  <c r="I1305" i="5"/>
  <c r="I1302" i="5"/>
  <c r="I1301" i="5"/>
  <c r="I1299" i="5"/>
  <c r="I1298" i="5"/>
  <c r="I1286" i="5"/>
  <c r="I1279" i="5" s="1"/>
  <c r="I1281" i="5"/>
  <c r="I1278" i="5" s="1"/>
  <c r="I1270" i="5"/>
  <c r="I1266" i="5" s="1"/>
  <c r="I1269" i="5"/>
  <c r="I1265" i="5" s="1"/>
  <c r="I1268" i="5"/>
  <c r="I1267" i="5"/>
  <c r="I1044" i="5"/>
  <c r="I1043" i="5"/>
  <c r="I1042" i="5"/>
  <c r="I1041" i="5"/>
  <c r="I1040" i="5"/>
  <c r="I1039" i="5"/>
  <c r="I1027" i="5"/>
  <c r="I1022" i="5"/>
  <c r="I1017" i="5"/>
  <c r="I1012" i="5"/>
  <c r="I990" i="5"/>
  <c r="I985" i="5"/>
  <c r="I976" i="5"/>
  <c r="I967" i="5"/>
  <c r="I954" i="5"/>
  <c r="I951" i="5"/>
  <c r="I948" i="5"/>
  <c r="I945" i="5"/>
  <c r="I942" i="5"/>
  <c r="I939" i="5"/>
  <c r="I930" i="5"/>
  <c r="I927" i="5"/>
  <c r="I922" i="5"/>
  <c r="I917" i="5"/>
  <c r="I853" i="5"/>
  <c r="I848" i="5"/>
  <c r="I844" i="5"/>
  <c r="I841" i="5"/>
  <c r="I835" i="5"/>
  <c r="I830" i="5"/>
  <c r="I826" i="5"/>
  <c r="I823" i="5"/>
  <c r="I793" i="5"/>
  <c r="I790" i="5"/>
  <c r="I787" i="5"/>
  <c r="I785" i="5"/>
  <c r="I781" i="5"/>
  <c r="I778" i="5"/>
  <c r="I775" i="5"/>
  <c r="I773" i="5"/>
  <c r="I723" i="5"/>
  <c r="I720" i="5"/>
  <c r="I718" i="5"/>
  <c r="I717" i="5"/>
  <c r="I716" i="5"/>
  <c r="I712" i="5"/>
  <c r="I709" i="5"/>
  <c r="I707" i="5"/>
  <c r="I706" i="5"/>
  <c r="I705" i="5"/>
  <c r="I704" i="5"/>
  <c r="I668" i="5"/>
  <c r="I661" i="5" s="1"/>
  <c r="I655" i="5"/>
  <c r="I652" i="5"/>
  <c r="I651" i="5"/>
  <c r="I649" i="5"/>
  <c r="I630" i="5" s="1"/>
  <c r="I648" i="5"/>
  <c r="I642" i="5"/>
  <c r="I641" i="5"/>
  <c r="I640" i="5"/>
  <c r="I639" i="5"/>
  <c r="I638" i="5"/>
  <c r="I625" i="5" s="1"/>
  <c r="I618" i="5"/>
  <c r="I615" i="5"/>
  <c r="I614" i="5"/>
  <c r="I612" i="5"/>
  <c r="I611" i="5"/>
  <c r="I552" i="5" s="1"/>
  <c r="I604" i="5"/>
  <c r="I600" i="5"/>
  <c r="I599" i="5"/>
  <c r="I597" i="5"/>
  <c r="I594" i="5"/>
  <c r="I591" i="5"/>
  <c r="I590" i="5"/>
  <c r="I589" i="5"/>
  <c r="I587" i="5"/>
  <c r="I584" i="5"/>
  <c r="I581" i="5"/>
  <c r="I580" i="5"/>
  <c r="I555" i="5"/>
  <c r="I527" i="5"/>
  <c r="I524" i="5" s="1"/>
  <c r="I517" i="5"/>
  <c r="I514" i="5"/>
  <c r="I494" i="5"/>
  <c r="I489" i="5"/>
  <c r="I487" i="5"/>
  <c r="I485" i="5"/>
  <c r="I389" i="5"/>
  <c r="I388" i="5"/>
  <c r="I381" i="5"/>
  <c r="I380" i="5"/>
  <c r="I374" i="5"/>
  <c r="I373" i="5"/>
  <c r="I366" i="5"/>
  <c r="I365" i="5"/>
  <c r="I358" i="5"/>
  <c r="I357" i="5"/>
  <c r="I353" i="5"/>
  <c r="I349" i="5"/>
  <c r="I342" i="5"/>
  <c r="I341" i="5"/>
  <c r="I281" i="5"/>
  <c r="I278" i="5"/>
  <c r="I271" i="5"/>
  <c r="I270" i="5"/>
  <c r="I268" i="5"/>
  <c r="I215" i="5"/>
  <c r="I211" i="5"/>
  <c r="I197" i="5"/>
  <c r="I193" i="5"/>
  <c r="I184" i="5" s="1"/>
  <c r="I59" i="5"/>
  <c r="I55" i="5"/>
  <c r="I50" i="5"/>
  <c r="I38" i="5"/>
  <c r="I33" i="5" s="1"/>
  <c r="I29" i="5"/>
  <c r="I24" i="5" s="1"/>
  <c r="I1405" i="5" l="1"/>
  <c r="I635" i="5"/>
  <c r="I1263" i="5"/>
  <c r="I1444" i="5"/>
  <c r="I568" i="5"/>
  <c r="I1262" i="5"/>
  <c r="I1261" i="5"/>
  <c r="I1442" i="5"/>
  <c r="I325" i="5"/>
  <c r="I483" i="5"/>
  <c r="I481" i="5"/>
  <c r="I698" i="5"/>
  <c r="I624" i="5"/>
  <c r="I569" i="5"/>
  <c r="I626" i="5"/>
  <c r="I629" i="5"/>
  <c r="I628" i="5"/>
  <c r="I1404" i="5"/>
  <c r="I1501" i="5"/>
  <c r="I632" i="5"/>
  <c r="I556" i="5"/>
  <c r="I553" i="5"/>
  <c r="I1320" i="5"/>
  <c r="I1323" i="5"/>
  <c r="I1651" i="5"/>
  <c r="I560" i="5"/>
  <c r="I570" i="5"/>
  <c r="I966" i="5"/>
  <c r="I1620" i="5"/>
  <c r="I1650" i="5"/>
  <c r="I1406" i="5"/>
  <c r="I1502" i="5"/>
  <c r="I963" i="5"/>
  <c r="I561" i="5"/>
  <c r="I566" i="5"/>
  <c r="I563" i="5"/>
  <c r="I768" i="5"/>
  <c r="I916" i="5"/>
  <c r="I960" i="5"/>
  <c r="I202" i="5"/>
  <c r="I567" i="5"/>
  <c r="I700" i="5"/>
  <c r="I703" i="5"/>
  <c r="I817" i="5"/>
  <c r="I820" i="5"/>
  <c r="I910" i="5"/>
  <c r="I914" i="5"/>
  <c r="I1559" i="5"/>
  <c r="I1589" i="5"/>
  <c r="I1592" i="5"/>
  <c r="I1621" i="5"/>
  <c r="I1466" i="5"/>
  <c r="I1532" i="5"/>
  <c r="I1505" i="5"/>
  <c r="I1504" i="5"/>
  <c r="I1533" i="5"/>
  <c r="I207" i="5"/>
  <c r="I818" i="5"/>
  <c r="I821" i="5"/>
  <c r="I1264" i="5"/>
  <c r="I1351" i="5"/>
  <c r="I1461" i="5"/>
  <c r="I1590" i="5"/>
  <c r="I1647" i="5"/>
  <c r="I1295" i="5"/>
  <c r="I1646" i="5"/>
  <c r="I766" i="5"/>
  <c r="I770" i="5"/>
  <c r="I1324" i="5"/>
  <c r="I1319" i="5"/>
  <c r="I1462" i="5"/>
  <c r="I1465" i="5"/>
  <c r="I1560" i="5"/>
  <c r="I1563" i="5"/>
  <c r="I378" i="5"/>
  <c r="I379" i="5"/>
  <c r="I346" i="5"/>
  <c r="I210" i="5"/>
  <c r="I192" i="5"/>
  <c r="I44" i="5"/>
  <c r="I45" i="5"/>
  <c r="I1648" i="5"/>
  <c r="I1649" i="5"/>
  <c r="I1619" i="5"/>
  <c r="I1618" i="5"/>
  <c r="I1622" i="5"/>
  <c r="I1591" i="5"/>
  <c r="I1588" i="5"/>
  <c r="I1503" i="5"/>
  <c r="I1506" i="5"/>
  <c r="I1564" i="5"/>
  <c r="I1562" i="5"/>
  <c r="I1531" i="5"/>
  <c r="I1535" i="5"/>
  <c r="I1534" i="5"/>
  <c r="I1464" i="5"/>
  <c r="I1463" i="5"/>
  <c r="I1443" i="5"/>
  <c r="I1350" i="5"/>
  <c r="I1349" i="5"/>
  <c r="I1353" i="5"/>
  <c r="I1352" i="5"/>
  <c r="I1322" i="5"/>
  <c r="I1294" i="5"/>
  <c r="I1293" i="5"/>
  <c r="I1297" i="5"/>
  <c r="I1296" i="5"/>
  <c r="I959" i="5"/>
  <c r="I915" i="5"/>
  <c r="I908" i="5"/>
  <c r="I912" i="5"/>
  <c r="I911" i="5"/>
  <c r="I909" i="5"/>
  <c r="I913" i="5"/>
  <c r="I771" i="5"/>
  <c r="I769" i="5"/>
  <c r="I767" i="5"/>
  <c r="I699" i="5"/>
  <c r="I701" i="5"/>
  <c r="I702" i="5"/>
  <c r="I636" i="5"/>
  <c r="I634" i="5"/>
  <c r="I633" i="5"/>
  <c r="I637" i="5"/>
  <c r="I559" i="5"/>
  <c r="I565" i="5"/>
  <c r="I562" i="5"/>
  <c r="I554" i="5"/>
  <c r="I551" i="5"/>
  <c r="I377" i="5"/>
  <c r="I364" i="5"/>
  <c r="I362" i="5"/>
  <c r="I363" i="5"/>
  <c r="I348" i="5"/>
  <c r="I327" i="5"/>
  <c r="I269" i="5"/>
  <c r="I204" i="5"/>
  <c r="I189" i="5"/>
  <c r="I54" i="5"/>
  <c r="I23" i="5"/>
  <c r="I326" i="5"/>
  <c r="I1292" i="5"/>
  <c r="I1321" i="5"/>
  <c r="I1348" i="5"/>
  <c r="I1530" i="5"/>
  <c r="I1561" i="5"/>
  <c r="I1617" i="5"/>
  <c r="I22" i="5"/>
  <c r="I185" i="5"/>
  <c r="I203" i="5"/>
  <c r="I347" i="5"/>
  <c r="I819" i="5"/>
  <c r="I964" i="5"/>
  <c r="I558" i="5"/>
  <c r="I816" i="5"/>
  <c r="I961" i="5"/>
  <c r="I965" i="5"/>
  <c r="I43" i="5"/>
  <c r="I958" i="5"/>
  <c r="I962" i="5"/>
  <c r="I345" i="5" l="1"/>
  <c r="I183" i="5"/>
  <c r="I201" i="5"/>
  <c r="I42" i="5"/>
  <c r="I21" i="5"/>
  <c r="G814" i="2" l="1"/>
  <c r="F814" i="2"/>
  <c r="F766" i="2"/>
  <c r="H1411" i="5"/>
  <c r="H1032" i="5" l="1"/>
  <c r="H1027" i="5"/>
  <c r="H1022" i="5"/>
  <c r="H1017" i="5"/>
  <c r="H1012" i="5"/>
  <c r="H990" i="5"/>
  <c r="H985" i="5"/>
  <c r="H976" i="5"/>
  <c r="H922" i="5" l="1"/>
  <c r="H917" i="5"/>
  <c r="H951" i="5"/>
  <c r="H954" i="5"/>
  <c r="H948" i="5"/>
  <c r="H945" i="5"/>
  <c r="H942" i="5"/>
  <c r="H930" i="5"/>
  <c r="H927" i="5"/>
  <c r="H915" i="5" l="1"/>
  <c r="H909" i="5"/>
  <c r="H914" i="5"/>
  <c r="H916" i="5"/>
  <c r="H912" i="5"/>
  <c r="H913" i="5"/>
  <c r="H15" i="5" l="1"/>
  <c r="H525" i="5" l="1"/>
  <c r="H522" i="5" s="1"/>
  <c r="H343" i="5" l="1"/>
  <c r="H330" i="5"/>
  <c r="H524" i="5" l="1"/>
  <c r="H523" i="5"/>
  <c r="H485" i="5"/>
  <c r="H480" i="5" l="1"/>
  <c r="H494" i="5"/>
  <c r="E514" i="5"/>
  <c r="F514" i="5"/>
  <c r="G514" i="5"/>
  <c r="E517" i="5"/>
  <c r="F517" i="5"/>
  <c r="G517" i="5"/>
  <c r="H484" i="5"/>
  <c r="H478" i="5" s="1"/>
  <c r="H479" i="5" l="1"/>
  <c r="H517" i="5"/>
  <c r="H514" i="5"/>
  <c r="H823" i="5" l="1"/>
  <c r="G844" i="2" l="1"/>
  <c r="F844" i="2"/>
  <c r="G847" i="2"/>
  <c r="F847" i="2"/>
  <c r="H499" i="5" l="1"/>
  <c r="G481" i="5"/>
  <c r="H967" i="5"/>
  <c r="G1406" i="5"/>
  <c r="G1405" i="5"/>
  <c r="H965" i="5" l="1"/>
  <c r="H962" i="5"/>
  <c r="H964" i="5"/>
  <c r="H966" i="5"/>
  <c r="H963" i="5"/>
  <c r="H958" i="5"/>
  <c r="H959" i="5"/>
  <c r="H939" i="5"/>
  <c r="H911" i="5" s="1"/>
  <c r="H365" i="5"/>
  <c r="H268" i="5" l="1"/>
  <c r="H267" i="5"/>
  <c r="H271" i="5"/>
  <c r="H270" i="5"/>
  <c r="H272" i="5" l="1"/>
  <c r="H275" i="5"/>
  <c r="H278" i="5"/>
  <c r="H281" i="5"/>
  <c r="E481" i="5" l="1"/>
  <c r="F481" i="5"/>
  <c r="H486" i="5"/>
  <c r="H487" i="5"/>
  <c r="H483" i="5" s="1"/>
  <c r="H580" i="5"/>
  <c r="H579" i="5"/>
  <c r="H578" i="5"/>
  <c r="H577" i="5"/>
  <c r="H584" i="5"/>
  <c r="H581" i="5"/>
  <c r="E558" i="5"/>
  <c r="F558" i="5"/>
  <c r="G558" i="5"/>
  <c r="H590" i="5"/>
  <c r="H589" i="5"/>
  <c r="H588" i="5"/>
  <c r="H587" i="5"/>
  <c r="H591" i="5"/>
  <c r="H594" i="5"/>
  <c r="H600" i="5"/>
  <c r="H599" i="5"/>
  <c r="H598" i="5"/>
  <c r="H597" i="5"/>
  <c r="H601" i="5"/>
  <c r="H604" i="5"/>
  <c r="H614" i="5"/>
  <c r="H613" i="5"/>
  <c r="H612" i="5"/>
  <c r="H611" i="5"/>
  <c r="H618" i="5"/>
  <c r="H615" i="5"/>
  <c r="H641" i="5"/>
  <c r="H640" i="5"/>
  <c r="H639" i="5"/>
  <c r="H626" i="5" s="1"/>
  <c r="H638" i="5"/>
  <c r="H642" i="5"/>
  <c r="H645" i="5"/>
  <c r="H655" i="5"/>
  <c r="H630" i="5"/>
  <c r="H629" i="5"/>
  <c r="H663" i="5"/>
  <c r="H660" i="5" s="1"/>
  <c r="H707" i="5"/>
  <c r="H706" i="5"/>
  <c r="H705" i="5"/>
  <c r="H704" i="5"/>
  <c r="H709" i="5"/>
  <c r="H712" i="5"/>
  <c r="H718" i="5"/>
  <c r="H717" i="5"/>
  <c r="H716" i="5"/>
  <c r="H715" i="5"/>
  <c r="H720" i="5"/>
  <c r="H723" i="5"/>
  <c r="H562" i="5" l="1"/>
  <c r="H553" i="5"/>
  <c r="H482" i="5"/>
  <c r="H481" i="5"/>
  <c r="H556" i="5"/>
  <c r="H552" i="5"/>
  <c r="H554" i="5"/>
  <c r="H551" i="5"/>
  <c r="H555" i="5"/>
  <c r="H560" i="5"/>
  <c r="H558" i="5"/>
  <c r="H565" i="5"/>
  <c r="H561" i="5"/>
  <c r="H570" i="5"/>
  <c r="H567" i="5"/>
  <c r="H563" i="5"/>
  <c r="H702" i="5"/>
  <c r="H569" i="5"/>
  <c r="H559" i="5"/>
  <c r="H566" i="5"/>
  <c r="H568" i="5"/>
  <c r="H703" i="5"/>
  <c r="H701" i="5"/>
  <c r="H625" i="5"/>
  <c r="H699" i="5"/>
  <c r="H698" i="5"/>
  <c r="H700" i="5"/>
  <c r="H1270" i="5" l="1"/>
  <c r="H1266" i="5" s="1"/>
  <c r="H1269" i="5"/>
  <c r="H1265" i="5" s="1"/>
  <c r="H1268" i="5"/>
  <c r="H1263" i="5" s="1"/>
  <c r="H1267" i="5"/>
  <c r="H1262" i="5" s="1"/>
  <c r="H1281" i="5"/>
  <c r="H1301" i="5"/>
  <c r="H1300" i="5"/>
  <c r="H1299" i="5"/>
  <c r="H1298" i="5"/>
  <c r="H1302" i="5"/>
  <c r="H1305" i="5"/>
  <c r="H1311" i="5"/>
  <c r="H1310" i="5"/>
  <c r="H1309" i="5"/>
  <c r="H1308" i="5"/>
  <c r="H1312" i="5"/>
  <c r="H1315" i="5"/>
  <c r="H1328" i="5"/>
  <c r="H1327" i="5"/>
  <c r="H1326" i="5"/>
  <c r="H1325" i="5"/>
  <c r="H1330" i="5"/>
  <c r="H1333" i="5"/>
  <c r="H1339" i="5"/>
  <c r="H1338" i="5"/>
  <c r="H1337" i="5"/>
  <c r="H1336" i="5"/>
  <c r="H1341" i="5"/>
  <c r="H1344" i="5"/>
  <c r="E1351" i="5"/>
  <c r="F1351" i="5"/>
  <c r="G1351" i="5"/>
  <c r="H1354" i="5"/>
  <c r="H1357" i="5"/>
  <c r="H1356" i="5"/>
  <c r="H1355" i="5"/>
  <c r="H1359" i="5"/>
  <c r="H1362" i="5"/>
  <c r="H1368" i="5"/>
  <c r="H1367" i="5"/>
  <c r="H1366" i="5"/>
  <c r="H1365" i="5"/>
  <c r="H1373" i="5"/>
  <c r="H1370" i="5"/>
  <c r="H1467" i="5"/>
  <c r="H1468" i="5"/>
  <c r="H1470" i="5"/>
  <c r="H1469" i="5"/>
  <c r="H1472" i="5"/>
  <c r="H1475" i="5"/>
  <c r="H1481" i="5"/>
  <c r="H1480" i="5"/>
  <c r="H1479" i="5"/>
  <c r="H1478" i="5"/>
  <c r="H1483" i="5"/>
  <c r="H1486" i="5"/>
  <c r="H1539" i="5"/>
  <c r="H1538" i="5"/>
  <c r="H1537" i="5"/>
  <c r="H1536" i="5"/>
  <c r="H1541" i="5"/>
  <c r="H1544" i="5"/>
  <c r="H1547" i="5"/>
  <c r="H1550" i="5"/>
  <c r="H1549" i="5"/>
  <c r="H1548" i="5"/>
  <c r="H1555" i="5"/>
  <c r="H1552" i="5"/>
  <c r="H1568" i="5"/>
  <c r="H1567" i="5"/>
  <c r="H1566" i="5"/>
  <c r="H1565" i="5"/>
  <c r="H1570" i="5"/>
  <c r="H1573" i="5"/>
  <c r="H1579" i="5"/>
  <c r="H1578" i="5"/>
  <c r="H1577" i="5"/>
  <c r="H1576" i="5"/>
  <c r="H1584" i="5"/>
  <c r="H1581" i="5"/>
  <c r="H1510" i="5"/>
  <c r="H1509" i="5"/>
  <c r="H1508" i="5"/>
  <c r="H1507" i="5"/>
  <c r="H1521" i="5"/>
  <c r="H1520" i="5"/>
  <c r="H1519" i="5"/>
  <c r="H1518" i="5"/>
  <c r="H1515" i="5"/>
  <c r="H1512" i="5"/>
  <c r="H1526" i="5"/>
  <c r="H1523" i="5"/>
  <c r="H1594" i="5"/>
  <c r="H1595" i="5"/>
  <c r="H1597" i="5"/>
  <c r="H1596" i="5"/>
  <c r="H1608" i="5"/>
  <c r="H1607" i="5"/>
  <c r="H1606" i="5"/>
  <c r="H1605" i="5"/>
  <c r="H1602" i="5"/>
  <c r="H1599" i="5"/>
  <c r="H1613" i="5"/>
  <c r="H1610" i="5"/>
  <c r="H1626" i="5"/>
  <c r="H1625" i="5"/>
  <c r="H1624" i="5"/>
  <c r="H1623" i="5"/>
  <c r="H1637" i="5"/>
  <c r="H1636" i="5"/>
  <c r="H1635" i="5"/>
  <c r="H1634" i="5"/>
  <c r="H1631" i="5"/>
  <c r="H1628" i="5"/>
  <c r="H1642" i="5"/>
  <c r="H1639" i="5"/>
  <c r="H1666" i="5"/>
  <c r="H1665" i="5"/>
  <c r="H1664" i="5"/>
  <c r="H1663" i="5"/>
  <c r="H1668" i="5"/>
  <c r="H1671" i="5"/>
  <c r="H1655" i="5"/>
  <c r="H1654" i="5"/>
  <c r="H1653" i="5"/>
  <c r="H1652" i="5"/>
  <c r="H1660" i="5"/>
  <c r="H1657" i="5"/>
  <c r="H1646" i="5" l="1"/>
  <c r="H1350" i="5"/>
  <c r="H1321" i="5"/>
  <c r="H1297" i="5"/>
  <c r="H1353" i="5"/>
  <c r="H1322" i="5"/>
  <c r="H1320" i="5"/>
  <c r="H1294" i="5"/>
  <c r="H1323" i="5"/>
  <c r="H1295" i="5"/>
  <c r="H1324" i="5"/>
  <c r="H1296" i="5"/>
  <c r="H1349" i="5"/>
  <c r="H1530" i="5"/>
  <c r="H1351" i="5"/>
  <c r="H1293" i="5"/>
  <c r="H1319" i="5"/>
  <c r="H1532" i="5"/>
  <c r="H1352" i="5"/>
  <c r="H1292" i="5"/>
  <c r="H1348" i="5"/>
  <c r="H1619" i="5"/>
  <c r="H1465" i="5"/>
  <c r="H1466" i="5"/>
  <c r="H1589" i="5"/>
  <c r="H1462" i="5"/>
  <c r="H1506" i="5"/>
  <c r="H1464" i="5"/>
  <c r="H1593" i="5"/>
  <c r="H1461" i="5"/>
  <c r="H1463" i="5"/>
  <c r="H1533" i="5"/>
  <c r="H1564" i="5"/>
  <c r="H1534" i="5"/>
  <c r="H1535" i="5"/>
  <c r="H1504" i="5"/>
  <c r="H1531" i="5"/>
  <c r="H1505" i="5"/>
  <c r="H1563" i="5"/>
  <c r="H1592" i="5"/>
  <c r="H1562" i="5"/>
  <c r="H1559" i="5"/>
  <c r="H1502" i="5"/>
  <c r="H1591" i="5"/>
  <c r="H1588" i="5"/>
  <c r="H1560" i="5"/>
  <c r="H1561" i="5"/>
  <c r="H1501" i="5"/>
  <c r="H1503" i="5"/>
  <c r="H1590" i="5"/>
  <c r="H1622" i="5"/>
  <c r="H1618" i="5"/>
  <c r="H1621" i="5"/>
  <c r="H1620" i="5"/>
  <c r="H1617" i="5"/>
  <c r="H1651" i="5"/>
  <c r="H1648" i="5"/>
  <c r="H1650" i="5"/>
  <c r="H1649" i="5"/>
  <c r="H1007" i="5" l="1"/>
  <c r="H961" i="5" s="1"/>
  <c r="H1039" i="5"/>
  <c r="H1040" i="5"/>
  <c r="H1041" i="5"/>
  <c r="H1042" i="5"/>
  <c r="H1043" i="5"/>
  <c r="H1044" i="5"/>
  <c r="H960" i="5" l="1"/>
  <c r="H910" i="5"/>
  <c r="H908" i="5"/>
  <c r="H1286" i="5" l="1"/>
  <c r="H1279" i="5" s="1"/>
  <c r="H1264" i="5" s="1"/>
  <c r="H1278" i="5"/>
  <c r="H1261" i="5" s="1"/>
  <c r="H1415" i="5"/>
  <c r="H1409" i="5"/>
  <c r="H1407" i="5"/>
  <c r="H1405" i="5" s="1"/>
  <c r="H1450" i="5"/>
  <c r="H1455" i="5"/>
  <c r="H1443" i="5" s="1"/>
  <c r="H1457" i="5"/>
  <c r="H1406" i="5" l="1"/>
  <c r="H853" i="5"/>
  <c r="H848" i="5"/>
  <c r="H844" i="5"/>
  <c r="H841" i="5"/>
  <c r="H835" i="5"/>
  <c r="H830" i="5"/>
  <c r="H826" i="5"/>
  <c r="H793" i="5"/>
  <c r="H790" i="5"/>
  <c r="H816" i="5" l="1"/>
  <c r="H818" i="5"/>
  <c r="H817" i="5"/>
  <c r="H1647" i="5"/>
  <c r="H821" i="5"/>
  <c r="H819" i="5"/>
  <c r="H820" i="5"/>
  <c r="H785" i="5" l="1"/>
  <c r="H787" i="5"/>
  <c r="H771" i="5" s="1"/>
  <c r="H770" i="5" l="1"/>
  <c r="H769" i="5"/>
  <c r="H781" i="5" l="1"/>
  <c r="H778" i="5"/>
  <c r="H775" i="5"/>
  <c r="H773" i="5"/>
  <c r="H767" i="5" l="1"/>
  <c r="H768" i="5"/>
  <c r="H766" i="5"/>
  <c r="H637" i="5" l="1"/>
  <c r="H635" i="5"/>
  <c r="H634" i="5"/>
  <c r="H636" i="5"/>
  <c r="H633" i="5"/>
  <c r="H632" i="5"/>
  <c r="H624" i="5"/>
  <c r="H628" i="5"/>
  <c r="H389" i="5"/>
  <c r="H388" i="5"/>
  <c r="H381" i="5"/>
  <c r="H380" i="5"/>
  <c r="H358" i="5" l="1"/>
  <c r="H357" i="5"/>
  <c r="H353" i="5"/>
  <c r="H349" i="5"/>
  <c r="H215" i="5"/>
  <c r="H211" i="5"/>
  <c r="H59" i="5"/>
  <c r="H55" i="5"/>
  <c r="H46" i="5"/>
  <c r="H50" i="5"/>
  <c r="H10" i="5" l="1"/>
  <c r="H374" i="5" l="1"/>
  <c r="H373" i="5"/>
  <c r="H366" i="5"/>
  <c r="H335" i="5" l="1"/>
  <c r="H329" i="5"/>
  <c r="H342" i="5"/>
  <c r="H341" i="5"/>
  <c r="H197" i="5"/>
  <c r="H193" i="5"/>
  <c r="H38" i="5"/>
  <c r="H34" i="5"/>
  <c r="H29" i="5"/>
  <c r="H25" i="5"/>
  <c r="G33" i="5"/>
  <c r="E33" i="5"/>
  <c r="F33" i="5"/>
  <c r="H328" i="5" l="1"/>
  <c r="H325" i="5" s="1"/>
  <c r="H33" i="5"/>
  <c r="H26" i="11" l="1"/>
  <c r="H23" i="11"/>
  <c r="H14" i="11"/>
  <c r="H13" i="11"/>
  <c r="H12" i="11"/>
  <c r="H11" i="11"/>
  <c r="H10" i="11"/>
  <c r="G446" i="2" l="1"/>
  <c r="G449" i="2"/>
  <c r="G308" i="2" l="1"/>
  <c r="H94" i="2" l="1"/>
  <c r="G94" i="2"/>
  <c r="F94" i="2"/>
  <c r="H91" i="2"/>
  <c r="F91" i="2"/>
  <c r="H85" i="2"/>
  <c r="G85" i="2"/>
  <c r="F85" i="2"/>
  <c r="H82" i="2"/>
  <c r="G93" i="2"/>
  <c r="G84" i="2"/>
  <c r="G92" i="2"/>
  <c r="G83" i="2"/>
  <c r="G277" i="3"/>
  <c r="G82" i="2" l="1"/>
  <c r="G91" i="2"/>
  <c r="H251" i="9" l="1"/>
  <c r="H247" i="9"/>
  <c r="H240" i="9"/>
  <c r="H109" i="9"/>
  <c r="H108" i="9"/>
  <c r="H107" i="9"/>
  <c r="H106" i="9"/>
  <c r="H105" i="9"/>
  <c r="H26" i="9"/>
  <c r="H25" i="9"/>
  <c r="H24" i="9"/>
  <c r="H160" i="8"/>
  <c r="H152" i="8"/>
  <c r="H89" i="8"/>
  <c r="H34" i="8"/>
  <c r="H10" i="8"/>
  <c r="H145" i="7"/>
  <c r="H123" i="7"/>
  <c r="H112" i="7"/>
  <c r="H111" i="7"/>
  <c r="H110" i="7"/>
  <c r="H89" i="7"/>
  <c r="H88" i="7"/>
  <c r="H42" i="7"/>
  <c r="H34" i="7"/>
  <c r="H33" i="7" s="1"/>
  <c r="H13" i="7"/>
  <c r="H367" i="3"/>
  <c r="H364" i="3"/>
  <c r="H300" i="3"/>
  <c r="H166" i="3"/>
  <c r="H163" i="3"/>
  <c r="H13" i="3"/>
  <c r="H902" i="2" l="1"/>
  <c r="H893" i="2"/>
  <c r="H874" i="2"/>
  <c r="H853" i="2"/>
  <c r="H831" i="2"/>
  <c r="H828" i="2"/>
  <c r="H821" i="2"/>
  <c r="H813" i="2"/>
  <c r="H680" i="2"/>
  <c r="H677" i="2"/>
  <c r="H673" i="2"/>
  <c r="H670" i="2"/>
  <c r="H363" i="2"/>
  <c r="H360" i="2"/>
  <c r="H308" i="2"/>
  <c r="H20" i="2"/>
  <c r="H1444" i="5"/>
  <c r="H1442" i="5"/>
  <c r="H1404" i="5"/>
  <c r="H1384" i="5"/>
  <c r="H1383" i="5"/>
  <c r="H1382" i="5"/>
  <c r="H1381" i="5"/>
  <c r="H1380" i="5"/>
  <c r="H1379" i="5"/>
  <c r="H379" i="5"/>
  <c r="H378" i="5"/>
  <c r="H377" i="5"/>
  <c r="H364" i="5"/>
  <c r="H363" i="5"/>
  <c r="H362" i="5"/>
  <c r="H348" i="5"/>
  <c r="H345" i="5" s="1"/>
  <c r="H347" i="5"/>
  <c r="H346" i="5"/>
  <c r="H327" i="5"/>
  <c r="H326" i="5"/>
  <c r="H269" i="5"/>
  <c r="H266" i="5"/>
  <c r="H210" i="5"/>
  <c r="H207" i="5"/>
  <c r="H204" i="5"/>
  <c r="H203" i="5"/>
  <c r="H202" i="5"/>
  <c r="H192" i="5"/>
  <c r="H189" i="5"/>
  <c r="H186" i="5"/>
  <c r="H185" i="5"/>
  <c r="H184" i="5"/>
  <c r="H54" i="5"/>
  <c r="H45" i="5"/>
  <c r="H44" i="5"/>
  <c r="H43" i="5"/>
  <c r="H24" i="5"/>
  <c r="H21" i="5" s="1"/>
  <c r="H23" i="5"/>
  <c r="H22" i="5"/>
  <c r="H221" i="5" l="1"/>
  <c r="H222" i="5"/>
  <c r="H245" i="5"/>
  <c r="H246" i="5"/>
  <c r="H201" i="5"/>
  <c r="H42" i="5"/>
  <c r="H183" i="5"/>
  <c r="H220" i="5" s="1"/>
  <c r="H244" i="5" l="1"/>
  <c r="E15" i="5" l="1"/>
  <c r="E14" i="5"/>
  <c r="E11" i="5" l="1"/>
  <c r="E10" i="5" s="1"/>
  <c r="F15" i="5" l="1"/>
  <c r="F11" i="5"/>
  <c r="F10" i="5" l="1"/>
  <c r="G15" i="5"/>
  <c r="G11" i="5" l="1"/>
  <c r="G10" i="5" s="1"/>
  <c r="G251" i="9" l="1"/>
  <c r="G247" i="9"/>
  <c r="G240" i="9"/>
  <c r="G109" i="9"/>
  <c r="G108" i="9"/>
  <c r="G107" i="9"/>
  <c r="G106" i="9"/>
  <c r="G105" i="9"/>
  <c r="G26" i="9"/>
  <c r="G25" i="9"/>
  <c r="G24" i="9"/>
  <c r="G210" i="8"/>
  <c r="G198" i="8"/>
  <c r="G197" i="8"/>
  <c r="G160" i="8"/>
  <c r="G152" i="8"/>
  <c r="G114" i="8"/>
  <c r="G93" i="8"/>
  <c r="G89" i="8"/>
  <c r="G34" i="8"/>
  <c r="G10" i="8"/>
  <c r="G145" i="7"/>
  <c r="G136" i="7"/>
  <c r="G135" i="7"/>
  <c r="G123" i="7"/>
  <c r="G112" i="7"/>
  <c r="G111" i="7"/>
  <c r="G110" i="7"/>
  <c r="G89" i="7"/>
  <c r="G88" i="7"/>
  <c r="G84" i="7"/>
  <c r="G79" i="7"/>
  <c r="G78" i="7"/>
  <c r="G42" i="7"/>
  <c r="G34" i="7"/>
  <c r="G33" i="7" s="1"/>
  <c r="G13" i="7"/>
  <c r="G13" i="3"/>
  <c r="G367" i="3"/>
  <c r="G364" i="3"/>
  <c r="G300" i="3"/>
  <c r="G166" i="3"/>
  <c r="G163" i="3"/>
  <c r="G821" i="2"/>
  <c r="F821" i="2"/>
  <c r="E821" i="2"/>
  <c r="G680" i="2"/>
  <c r="F680" i="2"/>
  <c r="E680" i="2"/>
  <c r="G677" i="2"/>
  <c r="F677" i="2"/>
  <c r="E677" i="2"/>
  <c r="G363" i="2"/>
  <c r="F363" i="2"/>
  <c r="E363" i="2"/>
  <c r="G360" i="2"/>
  <c r="F360" i="2"/>
  <c r="E360" i="2"/>
  <c r="G20" i="2"/>
  <c r="F20" i="2"/>
  <c r="E20" i="2"/>
  <c r="G288" i="2"/>
  <c r="G893" i="2"/>
  <c r="G874" i="2"/>
  <c r="G853" i="2"/>
  <c r="G830" i="2"/>
  <c r="G828" i="2"/>
  <c r="G757" i="2"/>
  <c r="G756" i="2"/>
  <c r="G742" i="2"/>
  <c r="G731" i="2"/>
  <c r="G716" i="2"/>
  <c r="G673" i="2"/>
  <c r="G670" i="2"/>
  <c r="G506" i="2"/>
  <c r="G461" i="2"/>
  <c r="G432" i="2"/>
  <c r="G431" i="2"/>
  <c r="G397" i="2"/>
  <c r="G396" i="2"/>
  <c r="G291" i="2"/>
  <c r="G278" i="2"/>
  <c r="G277" i="2"/>
  <c r="G246" i="2"/>
  <c r="G243" i="2"/>
  <c r="G231" i="2"/>
  <c r="G230" i="2"/>
  <c r="G97" i="2"/>
  <c r="G90" i="2"/>
  <c r="G81" i="2"/>
  <c r="G61" i="2"/>
  <c r="G44" i="2"/>
  <c r="G1442" i="5"/>
  <c r="G1649" i="5"/>
  <c r="G1646" i="5"/>
  <c r="G1620" i="5"/>
  <c r="G1617" i="5"/>
  <c r="G1591" i="5"/>
  <c r="G1588" i="5"/>
  <c r="G1504" i="5"/>
  <c r="G1501" i="5"/>
  <c r="G1562" i="5"/>
  <c r="G1559" i="5"/>
  <c r="G1533" i="5"/>
  <c r="G1530" i="5"/>
  <c r="G1464" i="5"/>
  <c r="G1461" i="5"/>
  <c r="G1444" i="5"/>
  <c r="G1443" i="5"/>
  <c r="G1404" i="5"/>
  <c r="G1384" i="5"/>
  <c r="G1383" i="5"/>
  <c r="G1382" i="5"/>
  <c r="G1381" i="5"/>
  <c r="G1380" i="5"/>
  <c r="G1379" i="5"/>
  <c r="G1348" i="5"/>
  <c r="G1322" i="5"/>
  <c r="G1319" i="5"/>
  <c r="G1295" i="5"/>
  <c r="G1292" i="5"/>
  <c r="G1264" i="5"/>
  <c r="G1261" i="5"/>
  <c r="G821" i="5"/>
  <c r="G820" i="5"/>
  <c r="G819" i="5"/>
  <c r="G818" i="5"/>
  <c r="G817" i="5"/>
  <c r="G816" i="5"/>
  <c r="G771" i="5"/>
  <c r="G770" i="5"/>
  <c r="G769" i="5"/>
  <c r="G768" i="5"/>
  <c r="G767" i="5"/>
  <c r="G766" i="5"/>
  <c r="G701" i="5"/>
  <c r="G698" i="5"/>
  <c r="G635" i="5"/>
  <c r="G628" i="5"/>
  <c r="G632" i="5"/>
  <c r="G624" i="5"/>
  <c r="G568" i="5"/>
  <c r="G565" i="5"/>
  <c r="G561" i="5"/>
  <c r="G554" i="5"/>
  <c r="G551" i="5"/>
  <c r="G499" i="5"/>
  <c r="G478" i="5"/>
  <c r="G379" i="5"/>
  <c r="G378" i="5"/>
  <c r="G377" i="5"/>
  <c r="G364" i="5"/>
  <c r="G363" i="5"/>
  <c r="G362" i="5"/>
  <c r="G348" i="5"/>
  <c r="G345" i="5" s="1"/>
  <c r="G347" i="5"/>
  <c r="G346" i="5"/>
  <c r="G328" i="5"/>
  <c r="G325" i="5" s="1"/>
  <c r="G327" i="5"/>
  <c r="G326" i="5"/>
  <c r="G269" i="5"/>
  <c r="G266" i="5"/>
  <c r="G210" i="5"/>
  <c r="G207" i="5"/>
  <c r="G204" i="5"/>
  <c r="G203" i="5"/>
  <c r="G202" i="5"/>
  <c r="G192" i="5"/>
  <c r="G189" i="5"/>
  <c r="G186" i="5"/>
  <c r="G185" i="5"/>
  <c r="G184" i="5"/>
  <c r="G54" i="5"/>
  <c r="G45" i="5"/>
  <c r="G44" i="5"/>
  <c r="G43" i="5"/>
  <c r="G24" i="5"/>
  <c r="G23" i="5"/>
  <c r="G22" i="5"/>
  <c r="G26" i="11"/>
  <c r="G12" i="11" s="1"/>
  <c r="G23" i="11"/>
  <c r="G14" i="11"/>
  <c r="G13" i="11"/>
  <c r="G11" i="11"/>
  <c r="G10" i="11"/>
  <c r="G221" i="5" l="1"/>
  <c r="G222" i="5"/>
  <c r="G245" i="5"/>
  <c r="G246" i="5"/>
  <c r="G42" i="5"/>
  <c r="G201" i="5"/>
  <c r="G183" i="5"/>
  <c r="G21" i="5"/>
  <c r="G220" i="5" l="1"/>
  <c r="G244" i="5"/>
  <c r="Q853" i="5" l="1"/>
  <c r="P853" i="5"/>
  <c r="Q848" i="5"/>
  <c r="P848" i="5"/>
  <c r="Q844" i="5"/>
  <c r="P844" i="5"/>
  <c r="Q841" i="5"/>
  <c r="P841" i="5"/>
  <c r="Q835" i="5"/>
  <c r="P835" i="5"/>
  <c r="Q830" i="5"/>
  <c r="P830" i="5"/>
  <c r="Q826" i="5"/>
  <c r="P826" i="5"/>
  <c r="Q823" i="5"/>
  <c r="P823" i="5"/>
  <c r="CD821" i="5"/>
  <c r="CC821" i="5"/>
  <c r="CA821" i="5"/>
  <c r="BZ821" i="5"/>
  <c r="BX821" i="5"/>
  <c r="BW821" i="5"/>
  <c r="BU821" i="5"/>
  <c r="BT821" i="5"/>
  <c r="BR821" i="5"/>
  <c r="BQ821" i="5"/>
  <c r="BO821" i="5"/>
  <c r="BN821" i="5"/>
  <c r="BL821" i="5"/>
  <c r="BK821" i="5"/>
  <c r="BI821" i="5"/>
  <c r="BH821" i="5"/>
  <c r="BF821" i="5"/>
  <c r="BE821" i="5"/>
  <c r="BC821" i="5"/>
  <c r="BB821" i="5"/>
  <c r="AZ821" i="5"/>
  <c r="AY821" i="5"/>
  <c r="AW821" i="5"/>
  <c r="AV821" i="5"/>
  <c r="AT821" i="5"/>
  <c r="AS821" i="5"/>
  <c r="AQ821" i="5"/>
  <c r="AP821" i="5"/>
  <c r="AN821" i="5"/>
  <c r="AM821" i="5"/>
  <c r="AK821" i="5"/>
  <c r="AJ821" i="5"/>
  <c r="AH821" i="5"/>
  <c r="AG821" i="5"/>
  <c r="AE821" i="5"/>
  <c r="AD821" i="5"/>
  <c r="AB821" i="5"/>
  <c r="AA821" i="5"/>
  <c r="Y821" i="5"/>
  <c r="X821" i="5"/>
  <c r="V821" i="5"/>
  <c r="U821" i="5"/>
  <c r="S821" i="5"/>
  <c r="R821" i="5"/>
  <c r="CD820" i="5"/>
  <c r="CC820" i="5"/>
  <c r="CA820" i="5"/>
  <c r="BZ820" i="5"/>
  <c r="BX820" i="5"/>
  <c r="BW820" i="5"/>
  <c r="BU820" i="5"/>
  <c r="BT820" i="5"/>
  <c r="BR820" i="5"/>
  <c r="BQ820" i="5"/>
  <c r="BO820" i="5"/>
  <c r="BN820" i="5"/>
  <c r="BL820" i="5"/>
  <c r="BK820" i="5"/>
  <c r="BI820" i="5"/>
  <c r="BH820" i="5"/>
  <c r="BF820" i="5"/>
  <c r="BE820" i="5"/>
  <c r="BC820" i="5"/>
  <c r="BB820" i="5"/>
  <c r="AZ820" i="5"/>
  <c r="AY820" i="5"/>
  <c r="AW820" i="5"/>
  <c r="AV820" i="5"/>
  <c r="AT820" i="5"/>
  <c r="AS820" i="5"/>
  <c r="AQ820" i="5"/>
  <c r="AP820" i="5"/>
  <c r="AN820" i="5"/>
  <c r="AM820" i="5"/>
  <c r="AK820" i="5"/>
  <c r="AJ820" i="5"/>
  <c r="AH820" i="5"/>
  <c r="AG820" i="5"/>
  <c r="AE820" i="5"/>
  <c r="AD820" i="5"/>
  <c r="AB820" i="5"/>
  <c r="AA820" i="5"/>
  <c r="Y820" i="5"/>
  <c r="X820" i="5"/>
  <c r="V820" i="5"/>
  <c r="U820" i="5"/>
  <c r="S820" i="5"/>
  <c r="R820" i="5"/>
  <c r="CD819" i="5"/>
  <c r="CC819" i="5"/>
  <c r="CA819" i="5"/>
  <c r="BZ819" i="5"/>
  <c r="BX819" i="5"/>
  <c r="BW819" i="5"/>
  <c r="BU819" i="5"/>
  <c r="BT819" i="5"/>
  <c r="BR819" i="5"/>
  <c r="BQ819" i="5"/>
  <c r="BO819" i="5"/>
  <c r="BN819" i="5"/>
  <c r="BL819" i="5"/>
  <c r="BK819" i="5"/>
  <c r="BI819" i="5"/>
  <c r="BH819" i="5"/>
  <c r="BF819" i="5"/>
  <c r="BE819" i="5"/>
  <c r="BC819" i="5"/>
  <c r="BB819" i="5"/>
  <c r="AZ819" i="5"/>
  <c r="AY819" i="5"/>
  <c r="AW819" i="5"/>
  <c r="AV819" i="5"/>
  <c r="AT819" i="5"/>
  <c r="AS819" i="5"/>
  <c r="AQ819" i="5"/>
  <c r="AP819" i="5"/>
  <c r="AN819" i="5"/>
  <c r="AM819" i="5"/>
  <c r="AK819" i="5"/>
  <c r="AJ819" i="5"/>
  <c r="AH819" i="5"/>
  <c r="AG819" i="5"/>
  <c r="AE819" i="5"/>
  <c r="AD819" i="5"/>
  <c r="AB819" i="5"/>
  <c r="AA819" i="5"/>
  <c r="Y819" i="5"/>
  <c r="X819" i="5"/>
  <c r="V819" i="5"/>
  <c r="U819" i="5"/>
  <c r="S819" i="5"/>
  <c r="R819" i="5"/>
  <c r="CD818" i="5"/>
  <c r="CC818" i="5"/>
  <c r="CA818" i="5"/>
  <c r="BZ818" i="5"/>
  <c r="BX818" i="5"/>
  <c r="BW818" i="5"/>
  <c r="BU818" i="5"/>
  <c r="BT818" i="5"/>
  <c r="BR818" i="5"/>
  <c r="BQ818" i="5"/>
  <c r="BO818" i="5"/>
  <c r="BN818" i="5"/>
  <c r="BL818" i="5"/>
  <c r="BK818" i="5"/>
  <c r="BI818" i="5"/>
  <c r="BH818" i="5"/>
  <c r="BF818" i="5"/>
  <c r="BE818" i="5"/>
  <c r="BC818" i="5"/>
  <c r="BB818" i="5"/>
  <c r="AZ818" i="5"/>
  <c r="AY818" i="5"/>
  <c r="AW818" i="5"/>
  <c r="AV818" i="5"/>
  <c r="AT818" i="5"/>
  <c r="AS818" i="5"/>
  <c r="AQ818" i="5"/>
  <c r="AP818" i="5"/>
  <c r="AN818" i="5"/>
  <c r="AM818" i="5"/>
  <c r="AK818" i="5"/>
  <c r="AJ818" i="5"/>
  <c r="AH818" i="5"/>
  <c r="AG818" i="5"/>
  <c r="AE818" i="5"/>
  <c r="AD818" i="5"/>
  <c r="AB818" i="5"/>
  <c r="AA818" i="5"/>
  <c r="Y818" i="5"/>
  <c r="X818" i="5"/>
  <c r="V818" i="5"/>
  <c r="U818" i="5"/>
  <c r="S818" i="5"/>
  <c r="R818" i="5"/>
  <c r="CD817" i="5"/>
  <c r="CC817" i="5"/>
  <c r="CA817" i="5"/>
  <c r="BZ817" i="5"/>
  <c r="BX817" i="5"/>
  <c r="BW817" i="5"/>
  <c r="BU817" i="5"/>
  <c r="BT817" i="5"/>
  <c r="BR817" i="5"/>
  <c r="BQ817" i="5"/>
  <c r="BO817" i="5"/>
  <c r="BN817" i="5"/>
  <c r="BL817" i="5"/>
  <c r="BK817" i="5"/>
  <c r="BI817" i="5"/>
  <c r="BH817" i="5"/>
  <c r="BF817" i="5"/>
  <c r="BE817" i="5"/>
  <c r="BC817" i="5"/>
  <c r="BB817" i="5"/>
  <c r="AZ817" i="5"/>
  <c r="AY817" i="5"/>
  <c r="AW817" i="5"/>
  <c r="AV817" i="5"/>
  <c r="AT817" i="5"/>
  <c r="AS817" i="5"/>
  <c r="AQ817" i="5"/>
  <c r="AP817" i="5"/>
  <c r="AN817" i="5"/>
  <c r="AM817" i="5"/>
  <c r="AK817" i="5"/>
  <c r="AJ817" i="5"/>
  <c r="AH817" i="5"/>
  <c r="AG817" i="5"/>
  <c r="AE817" i="5"/>
  <c r="AD817" i="5"/>
  <c r="AB817" i="5"/>
  <c r="AA817" i="5"/>
  <c r="Y817" i="5"/>
  <c r="X817" i="5"/>
  <c r="V817" i="5"/>
  <c r="U817" i="5"/>
  <c r="S817" i="5"/>
  <c r="R817" i="5"/>
  <c r="CD816" i="5"/>
  <c r="CC816" i="5"/>
  <c r="CA816" i="5"/>
  <c r="BZ816" i="5"/>
  <c r="BX816" i="5"/>
  <c r="BW816" i="5"/>
  <c r="BU816" i="5"/>
  <c r="BT816" i="5"/>
  <c r="BR816" i="5"/>
  <c r="BQ816" i="5"/>
  <c r="BO816" i="5"/>
  <c r="BN816" i="5"/>
  <c r="BL816" i="5"/>
  <c r="BK816" i="5"/>
  <c r="BI816" i="5"/>
  <c r="BH816" i="5"/>
  <c r="BF816" i="5"/>
  <c r="BE816" i="5"/>
  <c r="BC816" i="5"/>
  <c r="BB816" i="5"/>
  <c r="AZ816" i="5"/>
  <c r="AY816" i="5"/>
  <c r="AW816" i="5"/>
  <c r="AV816" i="5"/>
  <c r="AT816" i="5"/>
  <c r="AS816" i="5"/>
  <c r="AQ816" i="5"/>
  <c r="AP816" i="5"/>
  <c r="AN816" i="5"/>
  <c r="AM816" i="5"/>
  <c r="AK816" i="5"/>
  <c r="AJ816" i="5"/>
  <c r="AH816" i="5"/>
  <c r="AG816" i="5"/>
  <c r="AE816" i="5"/>
  <c r="AD816" i="5"/>
  <c r="AB816" i="5"/>
  <c r="AA816" i="5"/>
  <c r="Y816" i="5"/>
  <c r="X816" i="5"/>
  <c r="V816" i="5"/>
  <c r="U816" i="5"/>
  <c r="S816" i="5"/>
  <c r="R816" i="5"/>
  <c r="Q793" i="5"/>
  <c r="P793" i="5"/>
  <c r="Q790" i="5"/>
  <c r="P790" i="5"/>
  <c r="Q787" i="5"/>
  <c r="P787" i="5"/>
  <c r="Q785" i="5"/>
  <c r="P785" i="5"/>
  <c r="Q781" i="5"/>
  <c r="P781" i="5"/>
  <c r="Q778" i="5"/>
  <c r="P778" i="5"/>
  <c r="Q775" i="5"/>
  <c r="Q773" i="5"/>
  <c r="P775" i="5"/>
  <c r="P773" i="5"/>
  <c r="R766" i="5"/>
  <c r="R767" i="5"/>
  <c r="R768" i="5"/>
  <c r="R769" i="5"/>
  <c r="R770" i="5"/>
  <c r="R771" i="5"/>
  <c r="CD771" i="5"/>
  <c r="CC771" i="5"/>
  <c r="CD770" i="5"/>
  <c r="CC770" i="5"/>
  <c r="CD769" i="5"/>
  <c r="CC769" i="5"/>
  <c r="CD768" i="5"/>
  <c r="CC768" i="5"/>
  <c r="CD767" i="5"/>
  <c r="CC767" i="5"/>
  <c r="CD766" i="5"/>
  <c r="CC766" i="5"/>
  <c r="CA771" i="5"/>
  <c r="BZ771" i="5"/>
  <c r="CA770" i="5"/>
  <c r="BZ770" i="5"/>
  <c r="CA769" i="5"/>
  <c r="BZ769" i="5"/>
  <c r="CA768" i="5"/>
  <c r="BZ768" i="5"/>
  <c r="CA767" i="5"/>
  <c r="BZ767" i="5"/>
  <c r="CA766" i="5"/>
  <c r="BZ766" i="5"/>
  <c r="BX771" i="5"/>
  <c r="BW771" i="5"/>
  <c r="BX770" i="5"/>
  <c r="BW770" i="5"/>
  <c r="BX769" i="5"/>
  <c r="BW769" i="5"/>
  <c r="BX768" i="5"/>
  <c r="BW768" i="5"/>
  <c r="BX767" i="5"/>
  <c r="BW767" i="5"/>
  <c r="BX766" i="5"/>
  <c r="BW766" i="5"/>
  <c r="BU771" i="5"/>
  <c r="BT771" i="5"/>
  <c r="BU770" i="5"/>
  <c r="BT770" i="5"/>
  <c r="BU769" i="5"/>
  <c r="BT769" i="5"/>
  <c r="BU768" i="5"/>
  <c r="BT768" i="5"/>
  <c r="BU767" i="5"/>
  <c r="BT767" i="5"/>
  <c r="BU766" i="5"/>
  <c r="BT766" i="5"/>
  <c r="BR771" i="5"/>
  <c r="BQ771" i="5"/>
  <c r="BR770" i="5"/>
  <c r="BQ770" i="5"/>
  <c r="BR769" i="5"/>
  <c r="BQ769" i="5"/>
  <c r="BR768" i="5"/>
  <c r="BQ768" i="5"/>
  <c r="BR767" i="5"/>
  <c r="BQ767" i="5"/>
  <c r="BR766" i="5"/>
  <c r="BQ766" i="5"/>
  <c r="BO771" i="5"/>
  <c r="BN771" i="5"/>
  <c r="BO770" i="5"/>
  <c r="BN770" i="5"/>
  <c r="BO769" i="5"/>
  <c r="BN769" i="5"/>
  <c r="BO768" i="5"/>
  <c r="BN768" i="5"/>
  <c r="BO767" i="5"/>
  <c r="BN767" i="5"/>
  <c r="BO766" i="5"/>
  <c r="BN766" i="5"/>
  <c r="BL771" i="5"/>
  <c r="BK771" i="5"/>
  <c r="BL770" i="5"/>
  <c r="BK770" i="5"/>
  <c r="BL769" i="5"/>
  <c r="BK769" i="5"/>
  <c r="BL768" i="5"/>
  <c r="BK768" i="5"/>
  <c r="BL767" i="5"/>
  <c r="BK767" i="5"/>
  <c r="BL766" i="5"/>
  <c r="BK766" i="5"/>
  <c r="BI771" i="5"/>
  <c r="BH771" i="5"/>
  <c r="BI770" i="5"/>
  <c r="BH770" i="5"/>
  <c r="BI769" i="5"/>
  <c r="BH769" i="5"/>
  <c r="BI768" i="5"/>
  <c r="BH768" i="5"/>
  <c r="BI767" i="5"/>
  <c r="BH767" i="5"/>
  <c r="BI766" i="5"/>
  <c r="BH766" i="5"/>
  <c r="BF771" i="5"/>
  <c r="BE771" i="5"/>
  <c r="BF770" i="5"/>
  <c r="BE770" i="5"/>
  <c r="BF769" i="5"/>
  <c r="BE769" i="5"/>
  <c r="BF768" i="5"/>
  <c r="BE768" i="5"/>
  <c r="BF767" i="5"/>
  <c r="BE767" i="5"/>
  <c r="BF766" i="5"/>
  <c r="BE766" i="5"/>
  <c r="BC771" i="5"/>
  <c r="BB771" i="5"/>
  <c r="BC770" i="5"/>
  <c r="BB770" i="5"/>
  <c r="BC769" i="5"/>
  <c r="BB769" i="5"/>
  <c r="BC768" i="5"/>
  <c r="BB768" i="5"/>
  <c r="BC767" i="5"/>
  <c r="BB767" i="5"/>
  <c r="BC766" i="5"/>
  <c r="BB766" i="5"/>
  <c r="AZ771" i="5"/>
  <c r="AY771" i="5"/>
  <c r="AZ770" i="5"/>
  <c r="AY770" i="5"/>
  <c r="AZ769" i="5"/>
  <c r="AY769" i="5"/>
  <c r="AZ768" i="5"/>
  <c r="AY768" i="5"/>
  <c r="AZ767" i="5"/>
  <c r="AY767" i="5"/>
  <c r="AZ766" i="5"/>
  <c r="AY766" i="5"/>
  <c r="AW771" i="5"/>
  <c r="AV771" i="5"/>
  <c r="AW770" i="5"/>
  <c r="AV770" i="5"/>
  <c r="AW769" i="5"/>
  <c r="AV769" i="5"/>
  <c r="AW768" i="5"/>
  <c r="AV768" i="5"/>
  <c r="AW767" i="5"/>
  <c r="AV767" i="5"/>
  <c r="AW766" i="5"/>
  <c r="AV766" i="5"/>
  <c r="AT771" i="5"/>
  <c r="AS771" i="5"/>
  <c r="AT770" i="5"/>
  <c r="AS770" i="5"/>
  <c r="AT769" i="5"/>
  <c r="AS769" i="5"/>
  <c r="AT768" i="5"/>
  <c r="AS768" i="5"/>
  <c r="AT767" i="5"/>
  <c r="AS767" i="5"/>
  <c r="AT766" i="5"/>
  <c r="AS766" i="5"/>
  <c r="AQ771" i="5"/>
  <c r="AP771" i="5"/>
  <c r="AQ770" i="5"/>
  <c r="AP770" i="5"/>
  <c r="AQ769" i="5"/>
  <c r="AP769" i="5"/>
  <c r="AQ768" i="5"/>
  <c r="AP768" i="5"/>
  <c r="AQ767" i="5"/>
  <c r="AP767" i="5"/>
  <c r="AQ766" i="5"/>
  <c r="AP766" i="5"/>
  <c r="AN771" i="5"/>
  <c r="AM771" i="5"/>
  <c r="AN770" i="5"/>
  <c r="AM770" i="5"/>
  <c r="AN769" i="5"/>
  <c r="AM769" i="5"/>
  <c r="AN768" i="5"/>
  <c r="AM768" i="5"/>
  <c r="AN767" i="5"/>
  <c r="AM767" i="5"/>
  <c r="AN766" i="5"/>
  <c r="AM766" i="5"/>
  <c r="AK771" i="5"/>
  <c r="AJ771" i="5"/>
  <c r="AK770" i="5"/>
  <c r="AJ770" i="5"/>
  <c r="AK769" i="5"/>
  <c r="AJ769" i="5"/>
  <c r="AK768" i="5"/>
  <c r="AJ768" i="5"/>
  <c r="AK767" i="5"/>
  <c r="AJ767" i="5"/>
  <c r="AK766" i="5"/>
  <c r="AJ766" i="5"/>
  <c r="AH771" i="5"/>
  <c r="AG771" i="5"/>
  <c r="AH770" i="5"/>
  <c r="AG770" i="5"/>
  <c r="AH769" i="5"/>
  <c r="AG769" i="5"/>
  <c r="AH768" i="5"/>
  <c r="AG768" i="5"/>
  <c r="AH767" i="5"/>
  <c r="AG767" i="5"/>
  <c r="AH766" i="5"/>
  <c r="AG766" i="5"/>
  <c r="AE771" i="5"/>
  <c r="AD771" i="5"/>
  <c r="AE770" i="5"/>
  <c r="AD770" i="5"/>
  <c r="AE769" i="5"/>
  <c r="AD769" i="5"/>
  <c r="AE768" i="5"/>
  <c r="AD768" i="5"/>
  <c r="AE767" i="5"/>
  <c r="AD767" i="5"/>
  <c r="AE766" i="5"/>
  <c r="AD766" i="5"/>
  <c r="AB771" i="5"/>
  <c r="AA771" i="5"/>
  <c r="AB770" i="5"/>
  <c r="AA770" i="5"/>
  <c r="AB769" i="5"/>
  <c r="AA769" i="5"/>
  <c r="AB768" i="5"/>
  <c r="AA768" i="5"/>
  <c r="AB767" i="5"/>
  <c r="AA767" i="5"/>
  <c r="AB766" i="5"/>
  <c r="AA766" i="5"/>
  <c r="Y771" i="5"/>
  <c r="X771" i="5"/>
  <c r="Y770" i="5"/>
  <c r="X770" i="5"/>
  <c r="Y769" i="5"/>
  <c r="X769" i="5"/>
  <c r="Y768" i="5"/>
  <c r="X768" i="5"/>
  <c r="Y767" i="5"/>
  <c r="X767" i="5"/>
  <c r="Y766" i="5"/>
  <c r="X766" i="5"/>
  <c r="V771" i="5"/>
  <c r="U771" i="5"/>
  <c r="V770" i="5"/>
  <c r="U770" i="5"/>
  <c r="V769" i="5"/>
  <c r="U769" i="5"/>
  <c r="V768" i="5"/>
  <c r="U768" i="5"/>
  <c r="V767" i="5"/>
  <c r="U767" i="5"/>
  <c r="V766" i="5"/>
  <c r="U766" i="5"/>
  <c r="S771" i="5"/>
  <c r="S770" i="5"/>
  <c r="S769" i="5"/>
  <c r="S768" i="5"/>
  <c r="S767" i="5"/>
  <c r="S766" i="5"/>
  <c r="Q818" i="5" l="1"/>
  <c r="Q820" i="5"/>
  <c r="P771" i="5"/>
  <c r="Q821" i="5"/>
  <c r="P821" i="5"/>
  <c r="Q771" i="5"/>
  <c r="AU821" i="5"/>
  <c r="BM821" i="5"/>
  <c r="AC770" i="5"/>
  <c r="BG768" i="5"/>
  <c r="BM770" i="5"/>
  <c r="BA821" i="5"/>
  <c r="AC820" i="5"/>
  <c r="CB818" i="5"/>
  <c r="T819" i="5"/>
  <c r="Z819" i="5"/>
  <c r="Z770" i="5"/>
  <c r="BG770" i="5"/>
  <c r="CB768" i="5"/>
  <c r="BM819" i="5"/>
  <c r="AO770" i="5"/>
  <c r="BV770" i="5"/>
  <c r="T770" i="5"/>
  <c r="AC818" i="5"/>
  <c r="BG818" i="5"/>
  <c r="BM818" i="5"/>
  <c r="BY818" i="5"/>
  <c r="BS819" i="5"/>
  <c r="BY819" i="5"/>
  <c r="BP821" i="5"/>
  <c r="BV821" i="5"/>
  <c r="AI820" i="5"/>
  <c r="AO820" i="5"/>
  <c r="BY820" i="5"/>
  <c r="CE818" i="5"/>
  <c r="W819" i="5"/>
  <c r="AC819" i="5"/>
  <c r="AO819" i="5"/>
  <c r="BG821" i="5"/>
  <c r="T769" i="5"/>
  <c r="W770" i="5"/>
  <c r="AF770" i="5"/>
  <c r="AI770" i="5"/>
  <c r="AL770" i="5"/>
  <c r="AR768" i="5"/>
  <c r="AR770" i="5"/>
  <c r="AU768" i="5"/>
  <c r="AU770" i="5"/>
  <c r="AX766" i="5"/>
  <c r="AX768" i="5"/>
  <c r="AX770" i="5"/>
  <c r="BA768" i="5"/>
  <c r="BA770" i="5"/>
  <c r="BD768" i="5"/>
  <c r="BJ768" i="5"/>
  <c r="BJ770" i="5"/>
  <c r="BM768" i="5"/>
  <c r="BP766" i="5"/>
  <c r="BP768" i="5"/>
  <c r="BP770" i="5"/>
  <c r="BS768" i="5"/>
  <c r="BS770" i="5"/>
  <c r="BV768" i="5"/>
  <c r="BY768" i="5"/>
  <c r="BY770" i="5"/>
  <c r="CB770" i="5"/>
  <c r="CE768" i="5"/>
  <c r="CE770" i="5"/>
  <c r="AC816" i="5"/>
  <c r="BA816" i="5"/>
  <c r="BY816" i="5"/>
  <c r="AO817" i="5"/>
  <c r="BA817" i="5"/>
  <c r="BA818" i="5"/>
  <c r="AR819" i="5"/>
  <c r="AX819" i="5"/>
  <c r="T821" i="5"/>
  <c r="Z821" i="5"/>
  <c r="AF821" i="5"/>
  <c r="AL821" i="5"/>
  <c r="AR821" i="5"/>
  <c r="AX821" i="5"/>
  <c r="BS821" i="5"/>
  <c r="BY821" i="5"/>
  <c r="T771" i="5"/>
  <c r="W769" i="5"/>
  <c r="W771" i="5"/>
  <c r="Z769" i="5"/>
  <c r="Z771" i="5"/>
  <c r="AC769" i="5"/>
  <c r="AC771" i="5"/>
  <c r="AF769" i="5"/>
  <c r="AF771" i="5"/>
  <c r="AI769" i="5"/>
  <c r="AI771" i="5"/>
  <c r="AL769" i="5"/>
  <c r="AL771" i="5"/>
  <c r="AO769" i="5"/>
  <c r="AO771" i="5"/>
  <c r="AR769" i="5"/>
  <c r="AR771" i="5"/>
  <c r="AU769" i="5"/>
  <c r="AU771" i="5"/>
  <c r="AX769" i="5"/>
  <c r="AX771" i="5"/>
  <c r="BA769" i="5"/>
  <c r="BA771" i="5"/>
  <c r="BD771" i="5"/>
  <c r="BG769" i="5"/>
  <c r="BG771" i="5"/>
  <c r="BJ769" i="5"/>
  <c r="BJ771" i="5"/>
  <c r="BM769" i="5"/>
  <c r="BM771" i="5"/>
  <c r="BP767" i="5"/>
  <c r="BP769" i="5"/>
  <c r="BP771" i="5"/>
  <c r="BS767" i="5"/>
  <c r="BS769" i="5"/>
  <c r="BS771" i="5"/>
  <c r="BV769" i="5"/>
  <c r="BV771" i="5"/>
  <c r="BY769" i="5"/>
  <c r="BY771" i="5"/>
  <c r="CB769" i="5"/>
  <c r="CB771" i="5"/>
  <c r="CE767" i="5"/>
  <c r="CE769" i="5"/>
  <c r="CE771" i="5"/>
  <c r="T768" i="5"/>
  <c r="BD818" i="5"/>
  <c r="BJ818" i="5"/>
  <c r="AU819" i="5"/>
  <c r="BA819" i="5"/>
  <c r="CE820" i="5"/>
  <c r="AO821" i="5"/>
  <c r="Q817" i="5"/>
  <c r="BJ820" i="5"/>
  <c r="P820" i="5"/>
  <c r="BD820" i="5"/>
  <c r="P819" i="5"/>
  <c r="P818" i="5"/>
  <c r="AL817" i="5"/>
  <c r="Z817" i="5"/>
  <c r="T817" i="5"/>
  <c r="BJ816" i="5"/>
  <c r="Q816" i="5"/>
  <c r="AL816" i="5"/>
  <c r="AL818" i="5"/>
  <c r="AF818" i="5"/>
  <c r="W818" i="5"/>
  <c r="AO816" i="5"/>
  <c r="AI816" i="5"/>
  <c r="AF816" i="5"/>
  <c r="AF817" i="5"/>
  <c r="CE816" i="5"/>
  <c r="AU817" i="5"/>
  <c r="BP817" i="5"/>
  <c r="BM816" i="5"/>
  <c r="BM817" i="5"/>
  <c r="CB817" i="5"/>
  <c r="BG816" i="5"/>
  <c r="BG817" i="5"/>
  <c r="BD816" i="5"/>
  <c r="P816" i="5"/>
  <c r="BV817" i="5"/>
  <c r="P817" i="5"/>
  <c r="Q819" i="5"/>
  <c r="BP816" i="5"/>
  <c r="BP820" i="5"/>
  <c r="BV820" i="5"/>
  <c r="AI818" i="5"/>
  <c r="AO818" i="5"/>
  <c r="BA820" i="5"/>
  <c r="BV816" i="5"/>
  <c r="AR817" i="5"/>
  <c r="AX817" i="5"/>
  <c r="BS817" i="5"/>
  <c r="BY817" i="5"/>
  <c r="BD819" i="5"/>
  <c r="BJ819" i="5"/>
  <c r="CE819" i="5"/>
  <c r="T820" i="5"/>
  <c r="Z820" i="5"/>
  <c r="AU820" i="5"/>
  <c r="CB820" i="5"/>
  <c r="W821" i="5"/>
  <c r="AC821" i="5"/>
  <c r="AC767" i="5"/>
  <c r="AO767" i="5"/>
  <c r="AR767" i="5"/>
  <c r="CB767" i="5"/>
  <c r="T816" i="5"/>
  <c r="Z816" i="5"/>
  <c r="AU816" i="5"/>
  <c r="CB816" i="5"/>
  <c r="W817" i="5"/>
  <c r="AC817" i="5"/>
  <c r="AR818" i="5"/>
  <c r="AX818" i="5"/>
  <c r="BS818" i="5"/>
  <c r="AI819" i="5"/>
  <c r="BP819" i="5"/>
  <c r="BV819" i="5"/>
  <c r="AF820" i="5"/>
  <c r="AL820" i="5"/>
  <c r="BG820" i="5"/>
  <c r="BM820" i="5"/>
  <c r="CB821" i="5"/>
  <c r="W766" i="5"/>
  <c r="W768" i="5"/>
  <c r="Z766" i="5"/>
  <c r="Z768" i="5"/>
  <c r="AC766" i="5"/>
  <c r="AC768" i="5"/>
  <c r="AF766" i="5"/>
  <c r="AF768" i="5"/>
  <c r="AI766" i="5"/>
  <c r="AI768" i="5"/>
  <c r="AL766" i="5"/>
  <c r="AL768" i="5"/>
  <c r="AO766" i="5"/>
  <c r="AO768" i="5"/>
  <c r="AR766" i="5"/>
  <c r="AU766" i="5"/>
  <c r="BA766" i="5"/>
  <c r="BD766" i="5"/>
  <c r="BD770" i="5"/>
  <c r="BG766" i="5"/>
  <c r="BJ766" i="5"/>
  <c r="BM766" i="5"/>
  <c r="BS766" i="5"/>
  <c r="BV766" i="5"/>
  <c r="CE766" i="5"/>
  <c r="W816" i="5"/>
  <c r="AR816" i="5"/>
  <c r="AX816" i="5"/>
  <c r="BS816" i="5"/>
  <c r="AI817" i="5"/>
  <c r="BD817" i="5"/>
  <c r="BJ817" i="5"/>
  <c r="CE817" i="5"/>
  <c r="T818" i="5"/>
  <c r="Z818" i="5"/>
  <c r="AU818" i="5"/>
  <c r="BP818" i="5"/>
  <c r="BV818" i="5"/>
  <c r="AF819" i="5"/>
  <c r="AL819" i="5"/>
  <c r="BG819" i="5"/>
  <c r="CB819" i="5"/>
  <c r="W820" i="5"/>
  <c r="AR820" i="5"/>
  <c r="AX820" i="5"/>
  <c r="BS820" i="5"/>
  <c r="AI821" i="5"/>
  <c r="BD821" i="5"/>
  <c r="BJ821" i="5"/>
  <c r="CE821" i="5"/>
  <c r="BD769" i="5"/>
  <c r="Q768" i="5"/>
  <c r="BY767" i="5"/>
  <c r="BM767" i="5"/>
  <c r="BJ767" i="5"/>
  <c r="BG767" i="5"/>
  <c r="AU767" i="5"/>
  <c r="AI767" i="5"/>
  <c r="AF767" i="5"/>
  <c r="AL767" i="5"/>
  <c r="Z767" i="5"/>
  <c r="W767" i="5"/>
  <c r="T766" i="5"/>
  <c r="T767" i="5"/>
  <c r="CB766" i="5"/>
  <c r="BY766" i="5"/>
  <c r="BD767" i="5"/>
  <c r="BA767" i="5"/>
  <c r="Q767" i="5"/>
  <c r="BV767" i="5"/>
  <c r="P768" i="5"/>
  <c r="AX767" i="5"/>
  <c r="P767" i="5"/>
  <c r="P766" i="5"/>
  <c r="P770" i="5"/>
  <c r="Q769" i="5"/>
  <c r="P769" i="5"/>
  <c r="Q770" i="5"/>
  <c r="Q766" i="5"/>
  <c r="F10" i="11"/>
  <c r="F8" i="11"/>
  <c r="F14" i="11"/>
  <c r="E14" i="11"/>
  <c r="F13" i="11"/>
  <c r="E13" i="11"/>
  <c r="F11" i="11"/>
  <c r="E11" i="11"/>
  <c r="E10" i="11"/>
  <c r="N22" i="11"/>
  <c r="Q22" i="11"/>
  <c r="T22" i="11"/>
  <c r="W22" i="11"/>
  <c r="Z22" i="11"/>
  <c r="AC22" i="11"/>
  <c r="AF22" i="11"/>
  <c r="AI22" i="11"/>
  <c r="AL22" i="11"/>
  <c r="AO22" i="11"/>
  <c r="AR22" i="11"/>
  <c r="AU22" i="11"/>
  <c r="AX22" i="11"/>
  <c r="BA22" i="11"/>
  <c r="BD22" i="11"/>
  <c r="BG22" i="11"/>
  <c r="BJ22" i="11"/>
  <c r="BM22" i="11"/>
  <c r="BP22" i="11"/>
  <c r="BS22" i="11"/>
  <c r="BV22" i="11"/>
  <c r="BY22" i="11"/>
  <c r="N15" i="11"/>
  <c r="Q15" i="11"/>
  <c r="T15" i="11"/>
  <c r="W15" i="11"/>
  <c r="Z15" i="11"/>
  <c r="AC15" i="11"/>
  <c r="AF15" i="11"/>
  <c r="AI15" i="11"/>
  <c r="AL15" i="11"/>
  <c r="AO15" i="11"/>
  <c r="AR15" i="11"/>
  <c r="AU15" i="11"/>
  <c r="AX15" i="11"/>
  <c r="BA15" i="11"/>
  <c r="BD15" i="11"/>
  <c r="BG15" i="11"/>
  <c r="BJ15" i="11"/>
  <c r="BM15" i="11"/>
  <c r="BP15" i="11"/>
  <c r="BS15" i="11"/>
  <c r="BV15" i="11"/>
  <c r="BY15" i="11"/>
  <c r="L16" i="11"/>
  <c r="L15" i="11" s="1"/>
  <c r="O16" i="11"/>
  <c r="O15" i="11" s="1"/>
  <c r="AK9" i="11"/>
  <c r="AH9" i="11"/>
  <c r="AE9" i="11"/>
  <c r="Y9" i="11"/>
  <c r="V9" i="11"/>
  <c r="AQ9" i="11"/>
  <c r="AT9"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BY11" i="11"/>
  <c r="BV11" i="11"/>
  <c r="BS11" i="11"/>
  <c r="BP11" i="11"/>
  <c r="BM11" i="11"/>
  <c r="BJ11" i="11"/>
  <c r="BG11" i="11"/>
  <c r="BD11" i="11"/>
  <c r="BA11" i="11"/>
  <c r="AX11" i="11"/>
  <c r="AU11" i="11"/>
  <c r="AR11" i="11"/>
  <c r="AO11" i="11"/>
  <c r="AL11" i="11"/>
  <c r="AI11" i="11"/>
  <c r="AF11" i="11"/>
  <c r="AC11" i="11"/>
  <c r="Z11" i="11"/>
  <c r="W11" i="11"/>
  <c r="T11" i="11"/>
  <c r="Q11" i="11"/>
  <c r="N11"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BY9" i="11"/>
  <c r="BX9" i="11"/>
  <c r="BW9" i="11"/>
  <c r="BV9" i="11"/>
  <c r="BU9" i="11"/>
  <c r="BT9"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S9" i="11"/>
  <c r="AR9" i="11"/>
  <c r="AP9" i="11"/>
  <c r="AO9" i="11"/>
  <c r="AN9" i="11"/>
  <c r="AM9" i="11"/>
  <c r="AL9" i="11"/>
  <c r="AJ9" i="11"/>
  <c r="AI9" i="11"/>
  <c r="AG9" i="11"/>
  <c r="AF9" i="11"/>
  <c r="AD9" i="11"/>
  <c r="AC9" i="11"/>
  <c r="AB9" i="11"/>
  <c r="AA9" i="11"/>
  <c r="Z9" i="11"/>
  <c r="X9" i="11"/>
  <c r="W9" i="11"/>
  <c r="U9" i="11"/>
  <c r="T9" i="11"/>
  <c r="S9" i="11"/>
  <c r="R9" i="11"/>
  <c r="Q9" i="11"/>
  <c r="P9" i="11"/>
  <c r="O9" i="11"/>
  <c r="N9" i="11"/>
  <c r="M9" i="11"/>
  <c r="L9" i="11"/>
  <c r="BY8" i="11"/>
  <c r="BV8" i="11"/>
  <c r="BS8" i="11"/>
  <c r="BP8" i="11"/>
  <c r="BM8" i="11"/>
  <c r="BJ8" i="11"/>
  <c r="BG8" i="11"/>
  <c r="BD8" i="11"/>
  <c r="BA8" i="11"/>
  <c r="AX8" i="11"/>
  <c r="AU8" i="11"/>
  <c r="AR8" i="11"/>
  <c r="AO8" i="11"/>
  <c r="AL8" i="11"/>
  <c r="AI8" i="11"/>
  <c r="AF8" i="11"/>
  <c r="AC8" i="11"/>
  <c r="Z8" i="11"/>
  <c r="W8" i="11"/>
  <c r="T8" i="11"/>
  <c r="Q8" i="11"/>
  <c r="N8" i="11"/>
  <c r="AT16" i="11" l="1"/>
  <c r="AT15" i="11" s="1"/>
  <c r="AA19" i="11"/>
  <c r="BX26" i="11"/>
  <c r="BW26" i="11"/>
  <c r="BU26" i="11"/>
  <c r="BT26" i="11"/>
  <c r="BR26" i="11"/>
  <c r="BQ26" i="11"/>
  <c r="BO26" i="11"/>
  <c r="BN26" i="11"/>
  <c r="BL26" i="11"/>
  <c r="BK26" i="11"/>
  <c r="BI26" i="11"/>
  <c r="BH26" i="11"/>
  <c r="BF26" i="11"/>
  <c r="BE26" i="11"/>
  <c r="BC26" i="11"/>
  <c r="BB26" i="11"/>
  <c r="AZ26" i="11"/>
  <c r="AY26" i="11"/>
  <c r="AW26" i="11"/>
  <c r="AV26" i="11"/>
  <c r="AT26" i="11"/>
  <c r="AS26" i="11"/>
  <c r="AQ26" i="11"/>
  <c r="AP26" i="11"/>
  <c r="AN26" i="11"/>
  <c r="AM26" i="11"/>
  <c r="AK26" i="11"/>
  <c r="AJ26" i="11"/>
  <c r="AH26" i="11"/>
  <c r="AG26" i="11"/>
  <c r="AE26" i="11"/>
  <c r="AD26" i="11"/>
  <c r="AB26" i="11"/>
  <c r="AA26" i="11"/>
  <c r="Y26" i="11"/>
  <c r="X26" i="11"/>
  <c r="V26" i="11"/>
  <c r="U26" i="11"/>
  <c r="S26" i="11"/>
  <c r="R26" i="11"/>
  <c r="P26" i="11"/>
  <c r="O26" i="11"/>
  <c r="M26" i="11"/>
  <c r="L26" i="11"/>
  <c r="AT23" i="11"/>
  <c r="AT22" i="11" s="1"/>
  <c r="K24" i="11"/>
  <c r="K28" i="11"/>
  <c r="J28" i="11"/>
  <c r="K27" i="11"/>
  <c r="J27" i="11"/>
  <c r="K25" i="11"/>
  <c r="J25" i="11"/>
  <c r="J24" i="11"/>
  <c r="BX23" i="11"/>
  <c r="BX22" i="11" s="1"/>
  <c r="BW23" i="11"/>
  <c r="BW22" i="11" s="1"/>
  <c r="BU23" i="11"/>
  <c r="BU22" i="11" s="1"/>
  <c r="BT23" i="11"/>
  <c r="BT22" i="11" s="1"/>
  <c r="BR23" i="11"/>
  <c r="BR22" i="11" s="1"/>
  <c r="BQ23" i="11"/>
  <c r="BQ22" i="11" s="1"/>
  <c r="BO23" i="11"/>
  <c r="BO22" i="11" s="1"/>
  <c r="BN23" i="11"/>
  <c r="BN22" i="11" s="1"/>
  <c r="BL23" i="11"/>
  <c r="BL22" i="11" s="1"/>
  <c r="BK23" i="11"/>
  <c r="BK22" i="11" s="1"/>
  <c r="BI23" i="11"/>
  <c r="BI22" i="11" s="1"/>
  <c r="BH23" i="11"/>
  <c r="BH22" i="11" s="1"/>
  <c r="BF23" i="11"/>
  <c r="BF22" i="11" s="1"/>
  <c r="BE23" i="11"/>
  <c r="BE22" i="11" s="1"/>
  <c r="BC23" i="11"/>
  <c r="BC22" i="11" s="1"/>
  <c r="BB23" i="11"/>
  <c r="BB22" i="11" s="1"/>
  <c r="AZ23" i="11"/>
  <c r="AZ22" i="11" s="1"/>
  <c r="AY23" i="11"/>
  <c r="AY22" i="11" s="1"/>
  <c r="AW23" i="11"/>
  <c r="AW22" i="11" s="1"/>
  <c r="AV23" i="11"/>
  <c r="AV22" i="11" s="1"/>
  <c r="AS23" i="11"/>
  <c r="AS22" i="11" s="1"/>
  <c r="AQ23" i="11"/>
  <c r="AQ22" i="11" s="1"/>
  <c r="AP23" i="11"/>
  <c r="AP22" i="11" s="1"/>
  <c r="AM23" i="11"/>
  <c r="AM22" i="11" s="1"/>
  <c r="AK23" i="11"/>
  <c r="AK22" i="11" s="1"/>
  <c r="AJ23" i="11"/>
  <c r="AJ22" i="11" s="1"/>
  <c r="AH23" i="11"/>
  <c r="AH22" i="11" s="1"/>
  <c r="AG23" i="11"/>
  <c r="AG22" i="11" s="1"/>
  <c r="AE23" i="11"/>
  <c r="AE22" i="11" s="1"/>
  <c r="AD23" i="11"/>
  <c r="AD22" i="11" s="1"/>
  <c r="AB23" i="11"/>
  <c r="AB22" i="11" s="1"/>
  <c r="AA23" i="11"/>
  <c r="AA22" i="11" s="1"/>
  <c r="Y23" i="11"/>
  <c r="Y22" i="11" s="1"/>
  <c r="X23" i="11"/>
  <c r="X22" i="11" s="1"/>
  <c r="U23" i="11"/>
  <c r="U22" i="11" s="1"/>
  <c r="S23" i="11"/>
  <c r="S22" i="11" s="1"/>
  <c r="R23" i="11"/>
  <c r="R22" i="11" s="1"/>
  <c r="P23" i="11"/>
  <c r="P22" i="11" s="1"/>
  <c r="O23" i="11"/>
  <c r="M23" i="11"/>
  <c r="M22" i="11" s="1"/>
  <c r="L23" i="11"/>
  <c r="L22" i="11" s="1"/>
  <c r="K21" i="11"/>
  <c r="J21" i="11"/>
  <c r="J20" i="11"/>
  <c r="BX19" i="11"/>
  <c r="BW19" i="11"/>
  <c r="BU19" i="11"/>
  <c r="BT19" i="11"/>
  <c r="BR19" i="11"/>
  <c r="BQ19" i="11"/>
  <c r="BO19" i="11"/>
  <c r="BN19" i="11"/>
  <c r="BL19" i="11"/>
  <c r="BK19" i="11"/>
  <c r="BI19" i="11"/>
  <c r="BI11" i="11" s="1"/>
  <c r="BH19" i="11"/>
  <c r="BF19" i="11"/>
  <c r="BE19" i="11"/>
  <c r="BB19" i="11"/>
  <c r="AZ19" i="11"/>
  <c r="AY19" i="11"/>
  <c r="AW19" i="11"/>
  <c r="AV19" i="11"/>
  <c r="AS19" i="11"/>
  <c r="AQ19" i="11"/>
  <c r="AP19" i="11"/>
  <c r="AN19" i="11"/>
  <c r="AM19" i="11"/>
  <c r="AK19" i="11"/>
  <c r="AJ19" i="11"/>
  <c r="AH19" i="11"/>
  <c r="AG19" i="11"/>
  <c r="AE19" i="11"/>
  <c r="AD19" i="11"/>
  <c r="AB19" i="11"/>
  <c r="Y19" i="11"/>
  <c r="X19" i="11"/>
  <c r="V19" i="11"/>
  <c r="U19" i="11"/>
  <c r="S19" i="11"/>
  <c r="R19" i="11"/>
  <c r="P19" i="11"/>
  <c r="O19" i="11"/>
  <c r="M19" i="11"/>
  <c r="L19" i="11"/>
  <c r="K18" i="11"/>
  <c r="J18" i="11"/>
  <c r="AN16" i="11"/>
  <c r="AN15" i="11" s="1"/>
  <c r="J17" i="11"/>
  <c r="BX16" i="11"/>
  <c r="BW16" i="11"/>
  <c r="BU16" i="11"/>
  <c r="BU15" i="11" s="1"/>
  <c r="BT16" i="11"/>
  <c r="BR16" i="11"/>
  <c r="BR15" i="11" s="1"/>
  <c r="BQ16" i="11"/>
  <c r="BQ15" i="11" s="1"/>
  <c r="BO16" i="11"/>
  <c r="BO15" i="11" s="1"/>
  <c r="BN16" i="11"/>
  <c r="BN15" i="11" s="1"/>
  <c r="BL16" i="11"/>
  <c r="BL15" i="11" s="1"/>
  <c r="BK16" i="11"/>
  <c r="BK15" i="11" s="1"/>
  <c r="BI16" i="11"/>
  <c r="BI15" i="11" s="1"/>
  <c r="BH16" i="11"/>
  <c r="BF16" i="11"/>
  <c r="BF15" i="11" s="1"/>
  <c r="BE16" i="11"/>
  <c r="BE15" i="11" s="1"/>
  <c r="BC16" i="11"/>
  <c r="BC15" i="11" s="1"/>
  <c r="BB16" i="11"/>
  <c r="AZ16" i="11"/>
  <c r="AZ15" i="11" s="1"/>
  <c r="AY16" i="11"/>
  <c r="AY15" i="11" s="1"/>
  <c r="AW16" i="11"/>
  <c r="AW15" i="11" s="1"/>
  <c r="AV16" i="11"/>
  <c r="AV15" i="11" s="1"/>
  <c r="AS16" i="11"/>
  <c r="AS15" i="11" s="1"/>
  <c r="AQ16" i="11"/>
  <c r="AQ15" i="11" s="1"/>
  <c r="AP16" i="11"/>
  <c r="AP15" i="11" s="1"/>
  <c r="AM16" i="11"/>
  <c r="AK16" i="11"/>
  <c r="AK15" i="11" s="1"/>
  <c r="AJ16" i="11"/>
  <c r="AJ15" i="11" s="1"/>
  <c r="AH16" i="11"/>
  <c r="AH15" i="11" s="1"/>
  <c r="AG16" i="11"/>
  <c r="AG15" i="11" s="1"/>
  <c r="AE16" i="11"/>
  <c r="AE15" i="11" s="1"/>
  <c r="AD16" i="11"/>
  <c r="AD15" i="11" s="1"/>
  <c r="AB16" i="11"/>
  <c r="AB15" i="11" s="1"/>
  <c r="AA16" i="11"/>
  <c r="AA15" i="11" s="1"/>
  <c r="Y16" i="11"/>
  <c r="Y15" i="11" s="1"/>
  <c r="X16" i="11"/>
  <c r="X15" i="11" s="1"/>
  <c r="U16" i="11"/>
  <c r="U15" i="11" s="1"/>
  <c r="S16" i="11"/>
  <c r="S15" i="11" s="1"/>
  <c r="R16" i="11"/>
  <c r="R15" i="11" s="1"/>
  <c r="P16" i="11"/>
  <c r="P15" i="11" s="1"/>
  <c r="M16" i="11"/>
  <c r="M15" i="11" s="1"/>
  <c r="F26" i="11"/>
  <c r="E26" i="11"/>
  <c r="F23" i="11"/>
  <c r="E23" i="11"/>
  <c r="F19" i="11"/>
  <c r="E19" i="11"/>
  <c r="E12" i="11" s="1"/>
  <c r="F16" i="11"/>
  <c r="E16" i="11"/>
  <c r="E9" i="11" s="1"/>
  <c r="E8" i="11" s="1"/>
  <c r="F12" i="11" l="1"/>
  <c r="AG11" i="11"/>
  <c r="AM11" i="11"/>
  <c r="O11" i="11"/>
  <c r="U11" i="11"/>
  <c r="J26" i="11"/>
  <c r="AA11" i="11"/>
  <c r="BK11" i="11"/>
  <c r="BF11" i="11"/>
  <c r="BR11" i="11"/>
  <c r="BX11" i="11"/>
  <c r="AB11" i="11"/>
  <c r="AH11" i="11"/>
  <c r="AD11" i="11"/>
  <c r="AJ11" i="11"/>
  <c r="AP11" i="11"/>
  <c r="AE11" i="11"/>
  <c r="AK11" i="11"/>
  <c r="AQ11" i="11"/>
  <c r="AZ11" i="11"/>
  <c r="BW8" i="11"/>
  <c r="BW15" i="11"/>
  <c r="BN11" i="11"/>
  <c r="BT11" i="11"/>
  <c r="BX8" i="11"/>
  <c r="BX15" i="11"/>
  <c r="BO11" i="11"/>
  <c r="BU11" i="11"/>
  <c r="AM8" i="11"/>
  <c r="AM15" i="11"/>
  <c r="BB8" i="11"/>
  <c r="BB15" i="11"/>
  <c r="BH8" i="11"/>
  <c r="BH15" i="11"/>
  <c r="BT8" i="11"/>
  <c r="BT15" i="11"/>
  <c r="AS11" i="11"/>
  <c r="AY11" i="11"/>
  <c r="BE11" i="11"/>
  <c r="BQ11" i="11"/>
  <c r="BW11" i="11"/>
  <c r="O8" i="11"/>
  <c r="O22" i="11"/>
  <c r="P11" i="11"/>
  <c r="V11" i="11"/>
  <c r="L11" i="11"/>
  <c r="R11" i="11"/>
  <c r="X11" i="11"/>
  <c r="BL11" i="11"/>
  <c r="K26" i="11"/>
  <c r="BC8" i="11"/>
  <c r="BI8" i="11"/>
  <c r="M11" i="11"/>
  <c r="S11" i="11"/>
  <c r="Y11" i="11"/>
  <c r="BH11" i="11"/>
  <c r="J16" i="11"/>
  <c r="J15" i="11" s="1"/>
  <c r="U8" i="11"/>
  <c r="AB8" i="11"/>
  <c r="AH8" i="11"/>
  <c r="AP8" i="11"/>
  <c r="AW8" i="11"/>
  <c r="BO8" i="11"/>
  <c r="BU8" i="11"/>
  <c r="AT8" i="11"/>
  <c r="J10" i="11"/>
  <c r="P8" i="11"/>
  <c r="X8" i="11"/>
  <c r="AD8" i="11"/>
  <c r="AJ8" i="11"/>
  <c r="AQ8" i="11"/>
  <c r="AY8" i="11"/>
  <c r="BE8" i="11"/>
  <c r="BK8" i="11"/>
  <c r="BQ8" i="11"/>
  <c r="K10" i="11"/>
  <c r="L8" i="11"/>
  <c r="R8" i="11"/>
  <c r="Y8" i="11"/>
  <c r="AE8" i="11"/>
  <c r="AK8" i="11"/>
  <c r="AS8" i="11"/>
  <c r="AZ8" i="11"/>
  <c r="BF8" i="11"/>
  <c r="BL8" i="11"/>
  <c r="BR8" i="11"/>
  <c r="M8" i="11"/>
  <c r="S8" i="11"/>
  <c r="AA8" i="11"/>
  <c r="AG8" i="11"/>
  <c r="AV8" i="11"/>
  <c r="BN8" i="11"/>
  <c r="J9" i="11"/>
  <c r="J13" i="11"/>
  <c r="AN11" i="11"/>
  <c r="AV11" i="11"/>
  <c r="BB11" i="11"/>
  <c r="AW11" i="11"/>
  <c r="K13" i="11"/>
  <c r="J12" i="11"/>
  <c r="J23" i="11"/>
  <c r="J22" i="11" s="1"/>
  <c r="AN23" i="11"/>
  <c r="AN22" i="11" s="1"/>
  <c r="AT19" i="11"/>
  <c r="AT11" i="11" s="1"/>
  <c r="BC19" i="11"/>
  <c r="K20" i="11"/>
  <c r="K12" i="11" s="1"/>
  <c r="K17" i="11"/>
  <c r="K9" i="11" s="1"/>
  <c r="V16" i="11"/>
  <c r="V15" i="11" s="1"/>
  <c r="J19" i="11"/>
  <c r="J11" i="11" s="1"/>
  <c r="V23" i="11"/>
  <c r="V22" i="11" s="1"/>
  <c r="K19" i="11" l="1"/>
  <c r="K11" i="11" s="1"/>
  <c r="AN8" i="11"/>
  <c r="J8" i="11"/>
  <c r="K23" i="11"/>
  <c r="K22" i="11" s="1"/>
  <c r="V8" i="11"/>
  <c r="BC11" i="11"/>
  <c r="K16" i="11"/>
  <c r="K15" i="11" s="1"/>
  <c r="K8" i="11" l="1"/>
  <c r="F741" i="2"/>
  <c r="F506" i="2" l="1"/>
  <c r="F461" i="2"/>
  <c r="F432" i="2"/>
  <c r="F431" i="2"/>
  <c r="F397" i="2"/>
  <c r="F396" i="2"/>
  <c r="F308" i="2"/>
  <c r="F290" i="2"/>
  <c r="F291" i="2"/>
  <c r="F288" i="2"/>
  <c r="F278" i="2"/>
  <c r="F277" i="2"/>
  <c r="F243" i="2"/>
  <c r="F246" i="2"/>
  <c r="F231" i="2"/>
  <c r="F230" i="2"/>
  <c r="F133" i="2"/>
  <c r="F130" i="2"/>
  <c r="F136" i="2"/>
  <c r="F131" i="2"/>
  <c r="F134" i="2"/>
  <c r="F137" i="2"/>
  <c r="F97" i="2"/>
  <c r="F90" i="2" l="1"/>
  <c r="F89" i="2"/>
  <c r="F84" i="2"/>
  <c r="F80" i="2"/>
  <c r="F61" i="2"/>
  <c r="F44" i="2"/>
  <c r="F81" i="2" l="1"/>
  <c r="F82" i="2"/>
  <c r="F24" i="2"/>
  <c r="E731" i="2"/>
  <c r="E730" i="2"/>
  <c r="E722" i="2"/>
  <c r="E721" i="2"/>
  <c r="F731" i="2"/>
  <c r="F730" i="2"/>
  <c r="F722" i="2"/>
  <c r="F757" i="2"/>
  <c r="F756" i="2"/>
  <c r="F742" i="2"/>
  <c r="F767" i="2"/>
  <c r="F784" i="2" l="1"/>
  <c r="F828" i="2"/>
  <c r="F827" i="2"/>
  <c r="F830" i="2"/>
  <c r="F853" i="2" l="1"/>
  <c r="F852" i="2"/>
  <c r="F874" i="2"/>
  <c r="F873" i="2"/>
  <c r="F893" i="2"/>
  <c r="F902" i="2"/>
  <c r="F26" i="3"/>
  <c r="F23" i="3"/>
  <c r="F20" i="3"/>
  <c r="F396" i="3" l="1"/>
  <c r="F395" i="3"/>
  <c r="F393" i="3"/>
  <c r="F414" i="3"/>
  <c r="F415" i="3"/>
  <c r="F412" i="3"/>
  <c r="F367" i="3"/>
  <c r="F364" i="3"/>
  <c r="F300" i="3"/>
  <c r="F166" i="3"/>
  <c r="F163" i="3"/>
  <c r="F13" i="3"/>
  <c r="F145" i="7" l="1"/>
  <c r="F136" i="7"/>
  <c r="F135" i="7"/>
  <c r="F123" i="7"/>
  <c r="F112" i="7"/>
  <c r="F111" i="7"/>
  <c r="F110" i="7"/>
  <c r="F89" i="7"/>
  <c r="F88" i="7"/>
  <c r="F84" i="7"/>
  <c r="F79" i="7"/>
  <c r="F78" i="7"/>
  <c r="F42" i="7"/>
  <c r="F34" i="7"/>
  <c r="F33" i="7" s="1"/>
  <c r="F13" i="7"/>
  <c r="F210" i="8" l="1"/>
  <c r="F198" i="8"/>
  <c r="F197" i="8"/>
  <c r="F160" i="8"/>
  <c r="F152" i="8"/>
  <c r="F114" i="8"/>
  <c r="F93" i="8"/>
  <c r="F89" i="8"/>
  <c r="F34" i="8"/>
  <c r="F10" i="8"/>
  <c r="F251" i="9" l="1"/>
  <c r="F247" i="9"/>
  <c r="F240" i="9"/>
  <c r="F225" i="9"/>
  <c r="F109" i="9"/>
  <c r="F108" i="9"/>
  <c r="F107" i="9"/>
  <c r="F106" i="9"/>
  <c r="F105" i="9"/>
  <c r="F26" i="9"/>
  <c r="F25" i="9"/>
  <c r="F24" i="9"/>
  <c r="F716" i="2"/>
  <c r="F713" i="2"/>
  <c r="F673" i="2"/>
  <c r="F670" i="2"/>
  <c r="F478" i="5" l="1"/>
  <c r="F185" i="5" l="1"/>
  <c r="F222" i="5" s="1"/>
  <c r="F184" i="5"/>
  <c r="F221" i="5" s="1"/>
  <c r="F1444" i="5" l="1"/>
  <c r="F1443" i="5"/>
  <c r="F1442" i="5"/>
  <c r="F1649" i="5"/>
  <c r="F1646" i="5"/>
  <c r="F1620" i="5"/>
  <c r="F1617" i="5"/>
  <c r="F1591" i="5"/>
  <c r="F1588" i="5"/>
  <c r="F1504" i="5"/>
  <c r="F1501" i="5"/>
  <c r="F1562" i="5"/>
  <c r="F1559" i="5"/>
  <c r="F1533" i="5"/>
  <c r="F1530" i="5"/>
  <c r="F1464" i="5"/>
  <c r="F1461" i="5"/>
  <c r="F1406" i="5"/>
  <c r="F1405" i="5"/>
  <c r="F1404" i="5"/>
  <c r="F1384" i="5"/>
  <c r="F1383" i="5"/>
  <c r="F1382" i="5"/>
  <c r="F1381" i="5"/>
  <c r="F1380" i="5"/>
  <c r="F1379" i="5"/>
  <c r="F1348" i="5"/>
  <c r="F1322" i="5"/>
  <c r="F1319" i="5"/>
  <c r="F1295" i="5"/>
  <c r="F1292" i="5"/>
  <c r="F1264" i="5"/>
  <c r="F1261" i="5"/>
  <c r="F821" i="5" l="1"/>
  <c r="F820" i="5"/>
  <c r="F819" i="5"/>
  <c r="F818" i="5"/>
  <c r="F817" i="5"/>
  <c r="F816" i="5"/>
  <c r="F771" i="5"/>
  <c r="F770" i="5"/>
  <c r="F769" i="5"/>
  <c r="F768" i="5"/>
  <c r="F767" i="5"/>
  <c r="F766" i="5"/>
  <c r="F701" i="5"/>
  <c r="F698" i="5"/>
  <c r="F635" i="5"/>
  <c r="F628" i="5"/>
  <c r="F632" i="5"/>
  <c r="F624" i="5"/>
  <c r="F568" i="5"/>
  <c r="F565" i="5"/>
  <c r="F561" i="5"/>
  <c r="F554" i="5"/>
  <c r="F551" i="5"/>
  <c r="F499" i="5"/>
  <c r="F379" i="5"/>
  <c r="F378" i="5"/>
  <c r="F377" i="5"/>
  <c r="F364" i="5"/>
  <c r="F363" i="5"/>
  <c r="F362" i="5"/>
  <c r="F348" i="5"/>
  <c r="F345" i="5" s="1"/>
  <c r="F347" i="5"/>
  <c r="F346" i="5"/>
  <c r="E346" i="5"/>
  <c r="E347" i="5"/>
  <c r="F328" i="5"/>
  <c r="F325" i="5" s="1"/>
  <c r="F327" i="5"/>
  <c r="F326" i="5"/>
  <c r="F269" i="5"/>
  <c r="F266" i="5"/>
  <c r="F210" i="5"/>
  <c r="F207" i="5"/>
  <c r="F204" i="5"/>
  <c r="F203" i="5"/>
  <c r="F202" i="5"/>
  <c r="F192" i="5"/>
  <c r="F189" i="5"/>
  <c r="F186" i="5"/>
  <c r="F54" i="5"/>
  <c r="F45" i="5"/>
  <c r="F44" i="5"/>
  <c r="F43" i="5"/>
  <c r="F24" i="5"/>
  <c r="F23" i="5"/>
  <c r="F22" i="5"/>
  <c r="F245" i="5" l="1"/>
  <c r="F246" i="5"/>
  <c r="F201" i="5"/>
  <c r="F183" i="5"/>
  <c r="F42" i="5"/>
  <c r="F21" i="5"/>
  <c r="F220" i="5" l="1"/>
  <c r="F244" i="5"/>
  <c r="E278" i="5" l="1"/>
  <c r="E272" i="5"/>
  <c r="E1649" i="5" l="1"/>
  <c r="E1620" i="5"/>
  <c r="E1617" i="5"/>
  <c r="E1591" i="5"/>
  <c r="E1588" i="5"/>
  <c r="E1504" i="5"/>
  <c r="E1501" i="5"/>
  <c r="E1562" i="5"/>
  <c r="E1559" i="5"/>
  <c r="E1533" i="5"/>
  <c r="E1530" i="5"/>
  <c r="E1464" i="5"/>
  <c r="E1461" i="5"/>
  <c r="E1444" i="5"/>
  <c r="E1443" i="5"/>
  <c r="E1442" i="5"/>
  <c r="E1406" i="5"/>
  <c r="E1405" i="5"/>
  <c r="E1404" i="5"/>
  <c r="E1384" i="5"/>
  <c r="E1383" i="5"/>
  <c r="E1379" i="5"/>
  <c r="E1380" i="5"/>
  <c r="E1381" i="5"/>
  <c r="E1348" i="5"/>
  <c r="E1322" i="5"/>
  <c r="E1319" i="5"/>
  <c r="E1295" i="5"/>
  <c r="E1292" i="5"/>
  <c r="E1264" i="5"/>
  <c r="E1261" i="5"/>
  <c r="E816" i="5"/>
  <c r="E819" i="5"/>
  <c r="E821" i="5"/>
  <c r="E820" i="5"/>
  <c r="E818" i="5"/>
  <c r="E817" i="5"/>
  <c r="E771" i="5" l="1"/>
  <c r="E770" i="5"/>
  <c r="E769" i="5"/>
  <c r="E766" i="5"/>
  <c r="E767" i="5"/>
  <c r="E768" i="5"/>
  <c r="E701" i="5"/>
  <c r="E698" i="5"/>
  <c r="E635" i="5"/>
  <c r="E628" i="5"/>
  <c r="E632" i="5"/>
  <c r="E624" i="5"/>
  <c r="E568" i="5"/>
  <c r="E565" i="5"/>
  <c r="E561" i="5"/>
  <c r="E554" i="5"/>
  <c r="E551" i="5"/>
  <c r="E478" i="5"/>
  <c r="E499" i="5"/>
  <c r="E364" i="5"/>
  <c r="E363" i="5"/>
  <c r="E362" i="5"/>
  <c r="E379" i="5"/>
  <c r="E378" i="5"/>
  <c r="E377" i="5"/>
  <c r="E348" i="5"/>
  <c r="E327" i="5"/>
  <c r="E326" i="5"/>
  <c r="E328" i="5"/>
  <c r="E325" i="5" s="1"/>
  <c r="E192" i="5"/>
  <c r="E186" i="5"/>
  <c r="E203" i="5"/>
  <c r="E202" i="5"/>
  <c r="E204" i="5"/>
  <c r="E207" i="5"/>
  <c r="E210" i="5"/>
  <c r="E185" i="5"/>
  <c r="E184" i="5"/>
  <c r="E189" i="5"/>
  <c r="E269" i="5"/>
  <c r="E266" i="5"/>
  <c r="E24" i="5"/>
  <c r="E22" i="5"/>
  <c r="E54" i="5"/>
  <c r="E45" i="5"/>
  <c r="E44" i="5"/>
  <c r="E43" i="5"/>
  <c r="E23" i="5"/>
  <c r="E221" i="5" l="1"/>
  <c r="E222" i="5"/>
  <c r="E245" i="5"/>
  <c r="E246" i="5"/>
  <c r="E345" i="5"/>
  <c r="E183" i="5"/>
  <c r="E201" i="5"/>
  <c r="E21" i="5"/>
  <c r="E42" i="5"/>
  <c r="E10" i="8"/>
  <c r="E247" i="9"/>
  <c r="E240" i="9"/>
  <c r="E225" i="9"/>
  <c r="E109" i="9"/>
  <c r="E108" i="9"/>
  <c r="E107" i="9"/>
  <c r="E106" i="9"/>
  <c r="E105" i="9"/>
  <c r="E26" i="9"/>
  <c r="E25" i="9"/>
  <c r="E24" i="9"/>
  <c r="E251" i="9"/>
  <c r="E198" i="8"/>
  <c r="E197" i="8"/>
  <c r="E152" i="8"/>
  <c r="E93" i="8"/>
  <c r="E210" i="8"/>
  <c r="E160" i="8"/>
  <c r="E114" i="8"/>
  <c r="E89" i="8"/>
  <c r="E34" i="8"/>
  <c r="E145" i="7"/>
  <c r="E136" i="7"/>
  <c r="E135" i="7"/>
  <c r="E123" i="7"/>
  <c r="E112" i="7"/>
  <c r="E111" i="7"/>
  <c r="E110" i="7"/>
  <c r="E89" i="7"/>
  <c r="E88" i="7"/>
  <c r="E79" i="7"/>
  <c r="E78" i="7"/>
  <c r="E42" i="7"/>
  <c r="E34" i="7"/>
  <c r="E33" i="7" s="1"/>
  <c r="E13" i="7"/>
  <c r="E84" i="7"/>
  <c r="E367" i="3"/>
  <c r="E364" i="3"/>
  <c r="E300" i="3"/>
  <c r="E166" i="3"/>
  <c r="E163" i="3"/>
  <c r="E13" i="3"/>
  <c r="E716" i="2"/>
  <c r="E713" i="2"/>
  <c r="E673" i="2"/>
  <c r="E670" i="2"/>
  <c r="E348" i="2"/>
  <c r="E244" i="5" l="1"/>
  <c r="E220" i="5"/>
</calcChain>
</file>

<file path=xl/sharedStrings.xml><?xml version="1.0" encoding="utf-8"?>
<sst xmlns="http://schemas.openxmlformats.org/spreadsheetml/2006/main" count="11967" uniqueCount="3013">
  <si>
    <t>Показатели</t>
  </si>
  <si>
    <t>мониторинга системы образования</t>
  </si>
  <si>
    <t>1.1.1.</t>
  </si>
  <si>
    <t>I. Общее образование</t>
  </si>
  <si>
    <t>1. Сведения о развитии дошкольного образования</t>
  </si>
  <si>
    <t>Уровень доступности дошкольного образования и численность населения, получающего дошкольное образование</t>
  </si>
  <si>
    <t>№ п/п</t>
  </si>
  <si>
    <t>1.1.</t>
  </si>
  <si>
    <t>процент</t>
  </si>
  <si>
    <t>Источник информации</t>
  </si>
  <si>
    <t>Единицы измерения</t>
  </si>
  <si>
    <t>численность воспитанников в возрасте 3 - 6 лет (число полных лет) дошкольных образовательных организаций</t>
  </si>
  <si>
    <t>численность детей в возрасте 3 - 6 лет (число полных лет), стоящих на учете для определения в дошкольные образовательные организации</t>
  </si>
  <si>
    <t>Характеристика разреза наблюдения</t>
  </si>
  <si>
    <t>Российская Федерация; субъекты Российской Федерации; города и поселки городского типа, сельская местность</t>
  </si>
  <si>
    <t>1.1.2.</t>
  </si>
  <si>
    <t>численность воспитанников образовательных организаций (включая филиалы), реализующих образовательные программы дошкольного образования</t>
  </si>
  <si>
    <t>85-к раздел 2.1, строка 01, графа 3</t>
  </si>
  <si>
    <t>численность детей в возрасте от 2 месяцев (численность детей в возрасте от 2 месяцев до 1 года принимается как 10/12 численности детей в возрасте до 1 года) до 7 лет включительно (на 1 января следующего за отчетным года)</t>
  </si>
  <si>
    <t>Демографические данные</t>
  </si>
  <si>
    <t>1.1.3.</t>
  </si>
  <si>
    <t>численность воспитанников частных образовательных организаций (включая филиалы), реализующих образовательные программы дошкольного образования</t>
  </si>
  <si>
    <t>численность воспитанников образовательных организаций (включая филиалы), реализующих образовательные программы дошкольного образования, - всего</t>
  </si>
  <si>
    <t>Российская Федерация; субъекты Российской Федерации</t>
  </si>
  <si>
    <t>Содержание образовательной деятельности и организация образовательного процесса по образовательным программам дошкольного образования</t>
  </si>
  <si>
    <t>1.2.</t>
  </si>
  <si>
    <t>1.2.1.</t>
  </si>
  <si>
    <t>численность воспитанников образовательных организаций (включая филиалы), реализующих образовательные программы дошкольного образования, обучающихся в группах кратковременного пребывания</t>
  </si>
  <si>
    <t>85-к раздел 2.1, строка 18, графа 3</t>
  </si>
  <si>
    <t>Российская Федерация; города и поселки городского типа, сельская местность</t>
  </si>
  <si>
    <t>Кадровое обеспечение дошкольных образовательных организаций и оценка уровня заработной платы педагогических работников</t>
  </si>
  <si>
    <t>1.3.</t>
  </si>
  <si>
    <t>Численность воспитанников организаций дошкольного образования в расчете на 1 педагогического работника</t>
  </si>
  <si>
    <t>Удельный вес численности детей, обучающихся в группах кратковременного пребывания, в общей численности воспитанников дошкольных образовательных организаций</t>
  </si>
  <si>
    <t>1.3.1.</t>
  </si>
  <si>
    <t>численность педагогических работников (без внешних совместителей) образовательных организаций (включая филиалы), реализующих образовательные программы дошкольного образования</t>
  </si>
  <si>
    <t>Отношение среднемесячной заработной платы педагогических работников дошкольных образовательных организаций к среднемесячной заработной плате в сфере общего образования в субъекте Российской Федерации (по государственным и муниципальным образовательным организациям)</t>
  </si>
  <si>
    <t>1.3.2.</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</si>
  <si>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дошкольного образования, - всего</t>
  </si>
  <si>
    <t>ЗП-образование строка 04, графа 3</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</si>
  <si>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образования, - всего</t>
  </si>
  <si>
    <t>ЗП-образование строка 05, графа 3</t>
  </si>
  <si>
    <t>средняя численность педагогических работников (без внешних совместителей) государственных и муниципальных образовательных организаций (включая филиалы), реализующих образовательные программы дошкольного образования</t>
  </si>
  <si>
    <t>ЗП-образование строка 04, графа 1</t>
  </si>
  <si>
    <t>средняя численность педагогических работников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</si>
  <si>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ЗП-образование строка 05, графа 1</t>
  </si>
  <si>
    <t>Российская Федерация, субъекты Российской Федерации</t>
  </si>
  <si>
    <t>Материально-техническое и информационное обеспечение дошкольных образовательных организаций</t>
  </si>
  <si>
    <t>1.4.</t>
  </si>
  <si>
    <t>1.4.1.</t>
  </si>
  <si>
    <t>общая площадь помещений, реально используемых непосредственно для нужд дошкольных образовательных организаций (включая филиалы; без учета организаций, деятельность которых приостановлена; без учета площади помещений, сданных в аренду (субаренду))</t>
  </si>
  <si>
    <t>85-к раздел 4.1, строка 02, графа 3</t>
  </si>
  <si>
    <t xml:space="preserve"> 85-к раздел 4.1, строка 02 графа 6</t>
  </si>
  <si>
    <t>численность воспитанников дошкольных образовательных организаций (включая филиалы)</t>
  </si>
  <si>
    <t xml:space="preserve"> (85-к раздел 2.1, строка 01, графа 3)</t>
  </si>
  <si>
    <t>1.4.2.</t>
  </si>
  <si>
    <t>число дошкольных образовательных организаций с учетом находящихся на капитальном ремонте (включая филиалы), имеющих водоснабжение</t>
  </si>
  <si>
    <t>85-к раздел 4.2, строка 05, графа 3</t>
  </si>
  <si>
    <t>число дошкольных образовательных организаций с учетом находящихся на капитальном ремонте (включая филиалы), имеющих центральное отопление</t>
  </si>
  <si>
    <t>число дошкольных образовательных организаций с учетом находящихся на капитальном ремонте (включая филиалы), имеющих канализацию</t>
  </si>
  <si>
    <t>85-к раздел 4.2, строка 06, графа 3</t>
  </si>
  <si>
    <t>число дошкольных образовательных организаций с учетом находящихся на капитальном ремонте (включая филиалы)</t>
  </si>
  <si>
    <t>Российская Федерация, субъекты Российской Федерации; города и поселки городского типа, сельская местность</t>
  </si>
  <si>
    <t>водоснабжение</t>
  </si>
  <si>
    <t>центральное отопление</t>
  </si>
  <si>
    <t xml:space="preserve">канализацию </t>
  </si>
  <si>
    <t>Удельный вес числа организаций, имеющих физкультурные залы, в общем числе дошкольных образовательных организаций</t>
  </si>
  <si>
    <t>1.4.3.</t>
  </si>
  <si>
    <t>число дошкольных образовательных организаций с учетом находящихся на капитальном ремонте (включая филиалы), имеющих физкультурные залы</t>
  </si>
  <si>
    <t>Удельный вес числа организаций, имеющих закрытые плавательные бассейны, в общем числе дошкольных образовательных организаций</t>
  </si>
  <si>
    <t>1.4.4.</t>
  </si>
  <si>
    <t>число дошкольных образовательных организаций (включая филиалы), имеющих закрытые плавательные бассейны</t>
  </si>
  <si>
    <t>число дошкольных образовательных организаций (включая филиалы)</t>
  </si>
  <si>
    <t>Число персональных компьютеров, доступных для использования детьми, в расчете на 100 воспитанников дошкольных образовательных организаций</t>
  </si>
  <si>
    <t>число персональных компьютеров в дошкольных образовательных организациях, с учетом находящихся на капитальном ремонте, доступных для использования детьми (включая филиалы)</t>
  </si>
  <si>
    <t>численность воспитанников дошкольных образовательных организаций (включая филиалы) в возрасте 3 года и старше</t>
  </si>
  <si>
    <t>Условия получения дошкольного образования лицами с ограниченными возможностями здоровья и инвалидами</t>
  </si>
  <si>
    <t>1.5.</t>
  </si>
  <si>
    <t>1.5.1.</t>
  </si>
  <si>
    <t>численность детей с ограниченными возможностями здоровья, обучающихся в образовательных организациях (включая филиалы), реализующих образовательные программы дошкольного образования</t>
  </si>
  <si>
    <t>85-к раздел 2.1, строка 01, графа 5</t>
  </si>
  <si>
    <t>раздел 2.1, строка 01, графа 3</t>
  </si>
  <si>
    <t>Российская Федерация; города и поселки городского типа; сельская местность</t>
  </si>
  <si>
    <t>1.5.2.</t>
  </si>
  <si>
    <t>численность детей-инвалидов, обучающихся в образовательных организациях (включая филиалы), реализующих образовательные программы дошкольного образования</t>
  </si>
  <si>
    <t>Российская Федерация; субъекты Российской Федерации; города и поселки городского типа; сельская местность</t>
  </si>
  <si>
    <t>Состояние здоровья лиц, обучающихся по программам дошкольного образования</t>
  </si>
  <si>
    <t>1.6.</t>
  </si>
  <si>
    <t xml:space="preserve">Пропущено дней по болезни одним ребенком в дошкольной образовательной организации в год </t>
  </si>
  <si>
    <t>1.6.1.</t>
  </si>
  <si>
    <t>число дней, пропущенных воспитанниками образовательных организаций (включая филиалы), реализующих образовательные программы дошкольного образования, по болезни</t>
  </si>
  <si>
    <t>85-к раздел 2.3, строка 03, графа 3</t>
  </si>
  <si>
    <t>среднегодовая численность воспитанников образовательных организаций (включая филиалы), реализующих образовательные программы дошкольного образования</t>
  </si>
  <si>
    <t>85-к раздел 2.5, строка 10</t>
  </si>
  <si>
    <t>Российская Федерация</t>
  </si>
  <si>
    <t>Изменение сети дошкольных образовательных организаций (в том числе ликвидация и реорганизация организаций, осуществляющих образовательную деятельность)</t>
  </si>
  <si>
    <t>1.7.</t>
  </si>
  <si>
    <t>1.7.1.</t>
  </si>
  <si>
    <t>число дошкольных образовательных организаций с учетом находящихся на капитальном ремонте (без учета филиалов) в отчетном году t</t>
  </si>
  <si>
    <t>85-к раздел 1.1, строка 01, графа 3 отчетный год</t>
  </si>
  <si>
    <t>85-к раздел 1.1, строка 01, графа 3 предыдущий год</t>
  </si>
  <si>
    <t>число дошкольных образовательных организаций с учетом находящихся на капитальном ремонте (без учета филиалов) в году t-1, предшествовавшем отчетному году t</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</si>
  <si>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</si>
  <si>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Финансово-экономическая деятельность дошкольных образовательных организаций</t>
  </si>
  <si>
    <t>1.8.</t>
  </si>
  <si>
    <t xml:space="preserve">Общий объем финансовых средств, поступивших в дошкольные образовательные организации, в расчете на одного воспитанника </t>
  </si>
  <si>
    <t>1.8.1.</t>
  </si>
  <si>
    <t>общий объем финансирования дошкольных образовательных организаций (включая филиалы)</t>
  </si>
  <si>
    <t>85-к раздел 5.1, строка 01, графа 3</t>
  </si>
  <si>
    <t>среднегодовая численность воспитанников дошкольных образовательных организаций (включая филиалы)</t>
  </si>
  <si>
    <t>1.8.2.</t>
  </si>
  <si>
    <t>Удельный вес финансовых средств от приносящей доход деятельности в общем объеме финансовых средств дошкольных образовательных организаций</t>
  </si>
  <si>
    <t>объем финансовых средств от приносящей доход деятельности (внебюджетных средств), поступивших в дошкольные образовательные организации (включая филиалы)</t>
  </si>
  <si>
    <t>85-к раздел 5.1, строка 06, графа 3</t>
  </si>
  <si>
    <t>Создание безопасных условий при организации образовательного процесса в дошкольных образовательных организациях</t>
  </si>
  <si>
    <t>1.9.</t>
  </si>
  <si>
    <t>1.9.1.</t>
  </si>
  <si>
    <t>число дошкольных образовательных организаций с учетом находящихся на капитальном ремонте (включая филиалы), здания которых находятся в аварийном состоянии</t>
  </si>
  <si>
    <t>1.9.2.</t>
  </si>
  <si>
    <t>число дошкольных образовательных организаций (включая филиалы), здания которых требуют капитального ремонта</t>
  </si>
  <si>
    <t xml:space="preserve">Российская Федерация; субъекты Российской Федерации; города и поселки городского типа; сельская местность </t>
  </si>
  <si>
    <t>2. Сведения о развитии начального общего образования, основного общего образования и среднего общего образования</t>
  </si>
  <si>
    <t>Уровень доступности начального общего образования, основного общего образования и среднего общего образования и численность населения, получающего начальное общее образование, основное общее образование и среднее общее образование</t>
  </si>
  <si>
    <t>2.1.</t>
  </si>
  <si>
    <t>2.1.1.</t>
  </si>
  <si>
    <t>численность обучающихся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</si>
  <si>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76-РИК раздел 1.2 строка 01, графа 5</t>
  </si>
  <si>
    <t>численность обучающихся вечерних (сменных) общеобразовательных организаций (включая филиалы)</t>
  </si>
  <si>
    <t>СВ-1, раздел 3 строка 8, графа 8</t>
  </si>
  <si>
    <t>численность обучающихся в отделениях на базе основного общего образования образовательных организаций, реализующих образовательные программы среднего профессионального образования</t>
  </si>
  <si>
    <t>профтех-1 раздел 1 строка 04 графа 17</t>
  </si>
  <si>
    <t>численность обучающихся, осваивающих образовательные программы на базе основного общего образования в образовательных организациях, реализующих образовательные программы среднего профессионального образования</t>
  </si>
  <si>
    <t>СПО-1 раздел 2.1.2 строка 01 графа 17</t>
  </si>
  <si>
    <t>численность постоянного населения в возрасте 7 - 17 лет (на 1 января следующего за отчетным года)</t>
  </si>
  <si>
    <t>демографические данные</t>
  </si>
  <si>
    <t>Российская Федерация; субъекты Российской Федерации.</t>
  </si>
  <si>
    <t>2.1.2.</t>
  </si>
  <si>
    <t>численность обучающихся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осваивающих образовательные программы, соответствующие требованиям федеральных государственных образовательных стандартов начального общего, основного общего и среднего общего образования</t>
  </si>
  <si>
    <t>дополнительная информация</t>
  </si>
  <si>
    <t>численность учащихся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</si>
  <si>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</si>
  <si>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2.1.3.</t>
  </si>
  <si>
    <t>Содержание образовательной деятельности и организация образовательного процесса по образовательным программам начального общего образования, основного общего образования и среднего общего образования</t>
  </si>
  <si>
    <t>2.2.</t>
  </si>
  <si>
    <t>Удельный вес численности лиц, занимающихся во вторую и третью смены, в общей численности учащихся общеобразовательных организаций</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</si>
  <si>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занимающихся во вторую смену</t>
  </si>
  <si>
    <t>76-РИК раздел 1.2, срока 21,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</si>
  <si>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занимающихся в третью смену</t>
  </si>
  <si>
    <t>76-РИК раздел 1.2, срока 22,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</si>
  <si>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</si>
  <si>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</si>
  <si>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2.2.1.</t>
  </si>
  <si>
    <t>2.2.2.</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</si>
  <si>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с углубленным изучением отдельных предметов</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</si>
  <si>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t>
  </si>
  <si>
    <t>Кадровое обеспечение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 а также оценка уровня заработной платы педагогических работников</t>
  </si>
  <si>
    <t>численность учащихся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</si>
  <si>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численность педагогических работников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</si>
  <si>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83-РИК (сводная) раздел 1.1, строка 07, графа 3</t>
  </si>
  <si>
    <t>83-РИК (сводная) раздел 2.1, строка 07, графа 3</t>
  </si>
  <si>
    <t>2.3.</t>
  </si>
  <si>
    <t>2.3.1.</t>
  </si>
  <si>
    <t>Россия,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</si>
  <si>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2.3.2.</t>
  </si>
  <si>
    <t>численность учителей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в возрасте до 35 лет</t>
  </si>
  <si>
    <t>83-РИК (сводная) раздел 1.1, строка 08, графа 26, 27</t>
  </si>
  <si>
    <t>83-РИК (сводная) раздел 2.1, строка 08, графа 26, 27</t>
  </si>
  <si>
    <t>общая численность учителей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</si>
  <si>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83-РИК (сводная) раздел 1.1, строка 08, графа 3</t>
  </si>
  <si>
    <t>83-РИК (сводная) раздел 2.1, строка 08, графа 3</t>
  </si>
  <si>
    <t>2.3.3.</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</si>
  <si>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 всего</t>
  </si>
  <si>
    <t>ЗП-образование, строка 05, графа 3</t>
  </si>
  <si>
    <t>фонд начисленной заработной платы учителей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 всего</t>
  </si>
  <si>
    <t>ЗП-образование строка 06, графа 3</t>
  </si>
  <si>
    <t>средняя численность учителей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</si>
  <si>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ЗП-образование строка 06, графа 1</t>
  </si>
  <si>
    <t>среднемесячная номинальная начисленная заработная плата в субъекте Российской Федерации</t>
  </si>
  <si>
    <t>П-4</t>
  </si>
  <si>
    <t>из них учителей</t>
  </si>
  <si>
    <t>всего</t>
  </si>
  <si>
    <t>Материально-техническое и информационное обеспечение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t>
  </si>
  <si>
    <t>2.4.</t>
  </si>
  <si>
    <t>2.4.1.</t>
  </si>
  <si>
    <t>общая площадь помещений общеобразовательных организаций (включая филиалы; без учета находящихся на капитальном ремонте; без вечерних (сменных) общеобразовательных организаций)</t>
  </si>
  <si>
    <t>общая площадь помещений вечерних (сменных) общеобразовательных организаций (включая филиалы)</t>
  </si>
  <si>
    <t>СВ-1 раздел 8, строка 03, графа 3</t>
  </si>
  <si>
    <t>76-РИК, раздел 1.2, строка 01,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</si>
  <si>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занимающихся во вторую смену</t>
  </si>
  <si>
    <t>76-РИК раздел 1.2, строка 21,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</si>
  <si>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занимающихся в третью смену</t>
  </si>
  <si>
    <t>76-РИК раздел 1.2, строка 22, графа 5</t>
  </si>
  <si>
    <t>численность учащихся вечерних (сменных) общеобразовательных организаций (включая филиалы), обучающихся по очной форме обучения</t>
  </si>
  <si>
    <t>СВ-1 раздел 3, строка 08, графа 4</t>
  </si>
  <si>
    <t>численность учащихся вечерних (сменных) общеобразовательных организаций (включая филиалы), обучающихся по заочной форме обучения</t>
  </si>
  <si>
    <t>СВ-1 раздел 3, строка 08, графа 6</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</si>
  <si>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</si>
  <si>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водопровод</t>
  </si>
  <si>
    <t>канализацию</t>
  </si>
  <si>
    <t>число вечерних (сменных) общеобразовательных организаций (включая филиалы), имеющих:</t>
  </si>
  <si>
    <t>СВ-1 раздел 8, строка 36, графа 3</t>
  </si>
  <si>
    <t>СВ-1 раздел 8, строка 37, графа 3</t>
  </si>
  <si>
    <t>СВ-1 раздел 8, строка 38,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</si>
  <si>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t>
  </si>
  <si>
    <t>число вечерних (сменных образовательных организаций (включая филиалы)</t>
  </si>
  <si>
    <t>СВ-1 раздел 8, строка 01, графа 3</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</si>
  <si>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</si>
  <si>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2.4.2.</t>
  </si>
  <si>
    <t>2.4.3.</t>
  </si>
  <si>
    <t>число компьютеров, используемых в учебных целях, в общеобразовательных организациях (включая филиалы; без учета находящихся на капитальном ремонте; без вечерних (сменных) общеобразовательных организаций)</t>
  </si>
  <si>
    <t>число компьютеров, используемых в учебных целях, имеющих доступ к Интернету, в общеобразовательных организациях (включая филиалы; без учета находящихся на капитальном ремонте; без вечерних (сменных) общеобразовательных организаций)</t>
  </si>
  <si>
    <t>число компьютеров, используемых в учебных целях, в вечерних (сменных) общеобразовательных организациях (включая филиалы)</t>
  </si>
  <si>
    <t>СВ-1 раздел 8, строка 51, графа 3</t>
  </si>
  <si>
    <t>число компьютеров, используемых в учебных целях, имеющих доступ к Интернету, в вечерних (сменных) общеобразовательных организациях (включая филиалы)</t>
  </si>
  <si>
    <t>76-РИК раздел 1.2, строка 01, графа 5</t>
  </si>
  <si>
    <t>численность учащихся вечерних (сменных) общеобразовательных организаций (включая филиалы)</t>
  </si>
  <si>
    <t>СВ-1 раздел 3, строка 08, графа 8</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</si>
  <si>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</si>
  <si>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 xml:space="preserve">имеющих доступ к Интернету </t>
  </si>
  <si>
    <t>2.4.4.</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</si>
  <si>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скорость подключения к сети Интернет от 1 Мбит/с и выше</t>
  </si>
  <si>
    <t>число вечерних (сменных) общеобразовательных организаций (включая филиалы), имеющих скорость подключения к сети Интернет от 1 Мбит/с и выше</t>
  </si>
  <si>
    <t>СВ-1 раздел 8, строка 63, 64, графа 3</t>
  </si>
  <si>
    <t>число вечерних (сменных) общеобразовательных организаций (включая филиалы)</t>
  </si>
  <si>
    <t>Условия получения начального общего, основного общего и среднего общего образования лицами с ограниченными возможностями здоровья и инвалидами</t>
  </si>
  <si>
    <t>Удельный вес численности детей с ограниченными возможностями здоровья, обучающихся в классах, не являющихся специальными (коррекционными), общеобразовательных организаций, в общей численности детей с ограниченными возможностями здоровья, обучающихся в общеобразовательных организациях</t>
  </si>
  <si>
    <t>численность обучающихся с ограниченными возможностями здоровья в классах, не являющихся специальными (коррекционными),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Показывается численность обучающихся с ограниченными возможностями здоровья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исключая специальные (коррекционные) образовательные организации и классы для обучающихся, воспитанников с ограниченными возможностями здоровья</t>
  </si>
  <si>
    <t>численность обучающихся с ограниченными возможностями здоровья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</si>
  <si>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2.5.1.</t>
  </si>
  <si>
    <t>2.5.</t>
  </si>
  <si>
    <t>Удельный вес численности детей-инвалидов, обучающихся в классах, не являющихся специальными (коррекционными), общеобразовательных организаций, в общей численности детей-инвалидов, обучающихся в общеобразовательных организациях</t>
  </si>
  <si>
    <t>2.5.2.</t>
  </si>
  <si>
    <t>численность детей-инвалидов, обучающихся в классах, не являющихся специальными (коррекционными),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Показывается численность детей-инвалидов, обучающихся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исключая специальные (коррекционные) образовательные организации и классы для обучающихся, воспитанников с ограниченными возможностями здоровья</t>
  </si>
  <si>
    <t>численность детей-инвалидов, обучающихся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</si>
  <si>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2.6.</t>
  </si>
  <si>
    <t>Результаты аттестации лиц, обучающихся по образовательным программам начального общего образования, основного общего образования и среднего общего образования</t>
  </si>
  <si>
    <t>база данных результатов ЕГЭ</t>
  </si>
  <si>
    <t>2.6.1.</t>
  </si>
  <si>
    <t>2.6.2.</t>
  </si>
  <si>
    <t>среднее значение тестовых баллов, полученных выпускниками, завершившими обучение по образовательным программам среднего общего образования, по результатам ЕГЭ по предмету i</t>
  </si>
  <si>
    <t>русский язык</t>
  </si>
  <si>
    <t>математика</t>
  </si>
  <si>
    <t>2.6.3.</t>
  </si>
  <si>
    <t>2.6.4.</t>
  </si>
  <si>
    <t>среднее значение тестовых баллов, полученных выпускниками, завершившими обучение по образовательным программам основного общего образования, по результатам ГИА по предмету i</t>
  </si>
  <si>
    <t>база данных результатов ГИА</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</si>
  <si>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</si>
  <si>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2.6.5.</t>
  </si>
  <si>
    <t>Состояние здоровья лиц, обучающихся по основным общеобразовательным программам, здоровьесберегающие условия, условия организации физкультурно-оздоровительной и спортивной работы в общеобразовательных организациях, а также в иных организациях, осуществляющих образовательную деятельность в части реализации основных общеобразовательных программ</t>
  </si>
  <si>
    <t>2.7.</t>
  </si>
  <si>
    <t>2.7.1.</t>
  </si>
  <si>
    <t>численность обучающихся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за исключением вечерних (сменных) общеобразовательных организаций), пользующихся горячим питанием</t>
  </si>
  <si>
    <t>численность обучающихся вечерних (сменных) общеобразовательных организаций (включая филиалы), пользующихся горячим питанием</t>
  </si>
  <si>
    <t>СВ-1 раздел 8, строка 23, графа 3</t>
  </si>
  <si>
    <t>численность обучающихся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за исключением вечерних (сменных) общеобразовательных организаций)</t>
  </si>
  <si>
    <t>число общеобразовательных организаций (включая филиалы), имеющих логопедический пункт или логопедический кабинет (без вечерних (сменных)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</si>
  <si>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физкультурные залы</t>
  </si>
  <si>
    <t>число вечерних (сменных) общеобразовательных организаций (включая филиалы), имеющих физкультурные залы</t>
  </si>
  <si>
    <t>СВ-1 раздел 8, строка 11,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</si>
  <si>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плавательные бассейны</t>
  </si>
  <si>
    <t>число вечерних (сменных) общеобразовательных организаций (включая филиалы), имеющих плавательные бассейны</t>
  </si>
  <si>
    <t>СВ-1 раздел 8, строка 12, графа 3</t>
  </si>
  <si>
    <t>Изменение сети организаций, осуществляющих образовательную деятельность по основным общеобразовательным программам (в том числе ликвидация и реорганизация организаций, осуществляющих образовательную деятельность)</t>
  </si>
  <si>
    <t>2.8.</t>
  </si>
  <si>
    <t>2.8.1.</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</si>
  <si>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в отчетном году t</t>
  </si>
  <si>
    <t>число вечерних (сменных) общеобразовательных организаций (включая филиалы) в отчетном году t</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</si>
  <si>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в году t-1, предшествовавшем отчетному году t</t>
  </si>
  <si>
    <t>число вечерних (сменных) общеобразовательных организаций (включая филиалы) в году t-1, предшествовавшем отчетному году t</t>
  </si>
  <si>
    <t>Финансово-экономическая деятельность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t>
  </si>
  <si>
    <t>2.9.</t>
  </si>
  <si>
    <t>объем финансирования государственных и муниципальных общеобразовательных организаций (включая филиалы)</t>
  </si>
  <si>
    <t>ОШ-2 (сводная) раздел 2, строка 01, графа 5</t>
  </si>
  <si>
    <t>объем финансирования частных общеобразовательных организаций (включая филиалы)</t>
  </si>
  <si>
    <t>ОШ-2 (сводная) раздел 2, строка 45, графа 5 - негосударственные</t>
  </si>
  <si>
    <t>среднегодовая численность учащихся государственных и муниципальных общеобразовательных организаций (включая филиалы)</t>
  </si>
  <si>
    <t>ОШ-2 (сводная) раздел 5, строка 01, графа 5</t>
  </si>
  <si>
    <t>среднегодовая численность учащихся частных общеобразовательных организаций (включая филиалы)</t>
  </si>
  <si>
    <t>ОШ-2 (сводная) раздел 5, строка 01, графа 8 - негосударственные</t>
  </si>
  <si>
    <t>2.9.2.</t>
  </si>
  <si>
    <t>2.9.1.</t>
  </si>
  <si>
    <t>Российская Федерация; субъекты Российской Федерации; государственные и муниципальные организации; частные организации</t>
  </si>
  <si>
    <t>объем средств от приносящей доход деятельности (внебюджетных средств), поступивших в государственные и муниципальные общеобразовательные организации (включая филиалы)</t>
  </si>
  <si>
    <t>ОШ-2 (сводная) раздел 2, строка 06, графа 5</t>
  </si>
  <si>
    <t>объем средств от приносящей доход деятельности (внебюджетных средств), поступивших в частные общеобразовательные организации (включая филиалы)</t>
  </si>
  <si>
    <t>ОШ-2 (сводная) раздел 2, строка 50, графа 5 – негосударственные</t>
  </si>
  <si>
    <t>общий объем финансирования государственных и муниципальных общеобразовательных организаций (включая филиалы)</t>
  </si>
  <si>
    <t>общий объем финансирования частных общеобразовательных организаций (включая филиалы)</t>
  </si>
  <si>
    <t>ОШ-2 (сводная) раздел 2, строка 45, графа 5 – негосударственные</t>
  </si>
  <si>
    <t>Создание безопасных условий при организации образовательного процесса в общеобразовательных организациях</t>
  </si>
  <si>
    <t xml:space="preserve">Удельный вес числа организаций, имеющих пожарные краны и рукава, в общем числе общеобразовательных организаций </t>
  </si>
  <si>
    <t>2.10.1.</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</si>
  <si>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пожарные краны и рукава</t>
  </si>
  <si>
    <t>число вечерних (сменных) общеобразовательных организаций (включая филиалы), имеющих пожарные краны и рукава</t>
  </si>
  <si>
    <t>СВ-1 раздел 8, строка 74, графа 3</t>
  </si>
  <si>
    <t>Удельный вес числа организаций, имеющих дымовые извещатели, в общем числе общеобразовательных организаций</t>
  </si>
  <si>
    <t>2.10.2.</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</si>
  <si>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дымовые извещатели</t>
  </si>
  <si>
    <t>число вечерних (сменных) общеобразовательных организаций (включая филиалы), имеющих дымовые извещатели</t>
  </si>
  <si>
    <t>СВ-1 раздел 8, строка 73, графа 3</t>
  </si>
  <si>
    <t>Удельный вес числа организаций, имеющих "тревожную кнопку", в общем числе общеобразовательных организаций</t>
  </si>
  <si>
    <t>2.10.3.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</si>
  <si>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"тревожную кнопку"</t>
  </si>
  <si>
    <t>число вечерних (сменных) общеобразовательных организаций (включая филиалы), имеющих "тревожную кнопку"</t>
  </si>
  <si>
    <t>СВ-1 раздел 8, строка 79, графа 3</t>
  </si>
  <si>
    <t>Удельный вес числа организаций, имеющих охрану, в общем числе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</si>
  <si>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охрану</t>
  </si>
  <si>
    <t>число вечерних (сменных) общеобразовательных организаций (включая филиалы), имеющих охрану</t>
  </si>
  <si>
    <t>СВ-1 раздел 8, строка 76, графа 3</t>
  </si>
  <si>
    <t>2.10.5.</t>
  </si>
  <si>
    <t>Удельный вес числа организаций, имеющих систему видеонаблюдения, в общем числе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</si>
  <si>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систему видеонаблюдения</t>
  </si>
  <si>
    <t>число вечерних (сменных) общеобразовательных организаций (включая филиалы), имеющих систему видеонаблюдения</t>
  </si>
  <si>
    <t>СВ-1 раздел 8, строка 78,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</si>
  <si>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здания которых находятся в аварийном состоянии</t>
  </si>
  <si>
    <t>число вечерних (сменных) общеобразовательных организаций, здания которых находятся в аварийном состоянии (включая филиалы)</t>
  </si>
  <si>
    <t>СВ-1 раздел 8, строка 31,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</si>
  <si>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здания которых требуют капитального ремонта</t>
  </si>
  <si>
    <t>число вечерних (сменных) общеобразовательных организаций (включая филиалы), здания которых требуют капитального ремонта</t>
  </si>
  <si>
    <t>СВ-1 раздел 8, строка 28, графа 3</t>
  </si>
  <si>
    <t>II. Профессиональное образование</t>
  </si>
  <si>
    <t>3. Сведения о развитии среднего профессионального образования</t>
  </si>
  <si>
    <t>3.1.</t>
  </si>
  <si>
    <t>Уровень доступности среднего профессионального образования и численность населения, получающего среднее профессиональное образование</t>
  </si>
  <si>
    <t>3.1.1.</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</si>
  <si>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</si>
  <si>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1, строка 01, графа 17</t>
  </si>
  <si>
    <t>1 (профтех) раздел 2, строка 01, графа 6</t>
  </si>
  <si>
    <t>численность населения в возрасте 15 - 17 лет (на 1 января следующего за отчетным года)</t>
  </si>
  <si>
    <t>3.1.2.</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</si>
  <si>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</si>
  <si>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СПО-1 раздел 2.1.2, строка 03, графа 17 – все формы обучения</t>
  </si>
  <si>
    <t>численность населения в возрасте 15 - 19 лет (на 1 января следующего за отчетным года)</t>
  </si>
  <si>
    <t>3.2.</t>
  </si>
  <si>
    <t>Содержание образовательной деятельности и организация образовательного процесса по образовательным программам среднего профессионального образования</t>
  </si>
  <si>
    <t>Удельный вес численности лиц, освоивших образовательные программы среднего профессионального образования - программы подготовки специалистов среднего звена с использованием дистанционных образовательных технологий, электронного обучения, в общей численности выпускников, получивших среднее профессиональное образование по программам подготовки специалистов среднего звена</t>
  </si>
  <si>
    <t>3.2.1.</t>
  </si>
  <si>
    <t>численность выпускников, освоивших образовательные программы среднего профессионального образования - программы подготовки специалистов среднего звена</t>
  </si>
  <si>
    <t>3.2.2.</t>
  </si>
  <si>
    <t>Удельный вес численности лиц,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на базе среднего общего образования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</si>
  <si>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отделениях на базе основного общего образования (за счет средств учредителя и по договорам, но без учета краткосрочно обученных)</t>
  </si>
  <si>
    <t>1 (профтех) раздел 1, строка 04, графа 17</t>
  </si>
  <si>
    <t>1 (профтех) раздел 2, строка 03, графа 6</t>
  </si>
  <si>
    <t xml:space="preserve">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 (за исключением численности обучающихся в профессиональных училищах уголовно-исполнительной системы и специальных профессиональных училищах) </t>
  </si>
  <si>
    <t>1 (профтех) (раздел 1, строка 09, графа 17</t>
  </si>
  <si>
    <t>1 (профтех) раздел 2, строка 16, графа 6</t>
  </si>
  <si>
    <t>1 (профтех) раздел 1, строка 10, графа 17</t>
  </si>
  <si>
    <t>1 (профтех) раздел 2, строка 17, графа 6</t>
  </si>
  <si>
    <t>на базе среднего общего образования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</si>
  <si>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отделениях на базе среднего общего образования (за счет средств учредителя и по договорам, но без учета краткосрочно обученных)</t>
  </si>
  <si>
    <t>1 (профтех) раздел 1, строка 03, графа 17</t>
  </si>
  <si>
    <t>1 (профтех) раздел 2, строка 02, графа 6</t>
  </si>
  <si>
    <t>Удельный вес численности лиц,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на базе среднего общего образования</t>
  </si>
  <si>
    <t>3.2.3.</t>
  </si>
  <si>
    <t>на базе основного общего образования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</si>
  <si>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</si>
  <si>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среднего общего образования</t>
  </si>
  <si>
    <t>3.3.4.</t>
  </si>
  <si>
    <t>3.2.4.</t>
  </si>
  <si>
    <t>Удельный вес численности студентов очной формы обучения в общей их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</si>
  <si>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(за счет средств учредителя и по договорам, но без учета краткосрочно обученных)</t>
  </si>
  <si>
    <t>1 (профтех) раздел 4, строка 01, графа 8</t>
  </si>
  <si>
    <t>1 (профтех) раздел 4, строка 01, графа 12</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</si>
  <si>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 (за исключением численности обучающихся в профессиональных училищах уголовно-исполнительной системы и специальных профессиональных училищах)</t>
  </si>
  <si>
    <t>1 (профтех) раздел 4, строка 01, графа 3</t>
  </si>
  <si>
    <t>1 (профтех) раздел 4, строка 01, графа 10</t>
  </si>
  <si>
    <t>1 (профтех) раздел 4, строка 01, графа 14</t>
  </si>
  <si>
    <t>1 (профтех) раздел 4, строка 01, графа 15</t>
  </si>
  <si>
    <t>3.2.5.</t>
  </si>
  <si>
    <t xml:space="preserve">Структура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очная форма обучения; очно-заочная форма обучения; заочная форма обучения </t>
  </si>
  <si>
    <t>очная форма обучения;</t>
  </si>
  <si>
    <t>заочная форма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</si>
  <si>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очной форме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</si>
  <si>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очно-заочной форме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</si>
  <si>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заочной форме обучения (включая экстернат)</t>
  </si>
  <si>
    <t>Раздел/подраздел/показатель</t>
  </si>
  <si>
    <t>Удельный вес численности лиц, обучающихся на платной основе,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</si>
  <si>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3.2.6.</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</si>
  <si>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с полным возмещением стоимости обучения</t>
  </si>
  <si>
    <t>3.3.</t>
  </si>
  <si>
    <t>Кадровое обеспечение профессиональных образовательных организаций и образовательных организаций высшего образования в части реализации образовательных программ среднего профессионального образования, а также оценка уровня заработной платы педагогических работников</t>
  </si>
  <si>
    <t>Удельный вес численности лиц, имеющих высшее образование,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</si>
  <si>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преподаватели</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</si>
  <si>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высшее образование</t>
  </si>
  <si>
    <t>3 (профтех) строка 08, графа 14</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</si>
  <si>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</si>
  <si>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 (профтех) строка 08, графа 3</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</si>
  <si>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высшее образование</t>
  </si>
  <si>
    <t>3 (профтех) строка 09, графа 14</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</si>
  <si>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</si>
  <si>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 (профтех) строка 09, графа 3</t>
  </si>
  <si>
    <t>3.3.1.</t>
  </si>
  <si>
    <t>3.3.2.</t>
  </si>
  <si>
    <t>Удельный вес численности лиц, имеющих высшее образование,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всего; преподаватели</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</si>
  <si>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высшее образование</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</si>
  <si>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t>
  </si>
  <si>
    <t>СПО-1 раздел 3.1.1, строка 06, графа 3</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</si>
  <si>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высшее образование</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</si>
  <si>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</si>
  <si>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</si>
  <si>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высшую квалификационную категорию</t>
  </si>
  <si>
    <t>3 (профтех) строка 08, графа 9</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</si>
  <si>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первую квалификационную категорию</t>
  </si>
  <si>
    <t>3 (профтех) строка 08, графа 10</t>
  </si>
  <si>
    <t>3.3.3.</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</si>
  <si>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</si>
  <si>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высшая квалификационная категория</t>
  </si>
  <si>
    <t>первая квалификационная категория</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</si>
  <si>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высшую квалификационную категорию</t>
  </si>
  <si>
    <t>СПО-1 раздел 3.1.1, строка 06, графа 12</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</si>
  <si>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первую квалификационную категорию</t>
  </si>
  <si>
    <t>СПО-1 раздел 3.1.1, строка 06, графа 13</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</si>
  <si>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</si>
  <si>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3.3.5.</t>
  </si>
  <si>
    <t>Численность студентов, обучающихся по образовательным программам среднего профессионального образования, в расчете на 1 работника, замещающего должности преподавателей и (или) мастеров производственного обучения: программы подготовки квалифицированных рабочих, служащих; программы подготовки специалистов среднего звена</t>
  </si>
  <si>
    <t>Программы подготовки квалифицированных рабочих, служащих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</si>
  <si>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за счет средств учредителя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</si>
  <si>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по договорам (но без учета краткосрочно обученных)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</si>
  <si>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профессиональных училищах уголовно-исполнительной системы за счет средств учредителя</t>
  </si>
  <si>
    <t>1 (профтех) раздел 1, строка 09, графа 17</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</si>
  <si>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специальных профессиональных училищах учреждениях за счет средств учредителя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</si>
  <si>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профессиональных училищах уголовно-исполнительной системы по договорам</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</si>
  <si>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специальных профессиональных училищах учреждениях по договорам</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</si>
  <si>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очно-заочной форме обучения и в форме экстерната за счет средств учредителя</t>
  </si>
  <si>
    <t>1 (профтех) раздел 1, строка 08, графа 17</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</si>
  <si>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очно-заочной форме обучения и в форме экстерната по договорам (но без учета краткосрочно обученных)</t>
  </si>
  <si>
    <t>1 (профтех) раздел 2, строка 05, графа 6</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</si>
  <si>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среднего профессионального образования - исключительно программы подготовки квалифицированных рабочих, служащих</t>
  </si>
  <si>
    <t>численность мастеров производственного обучения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среднего профессионального образования - исключительно программы подготовки квалифицированных рабочих, служащих</t>
  </si>
  <si>
    <t>3 (профтех) строка 14, графа 3</t>
  </si>
  <si>
    <t>Программы подготовки специалистов среднего звена</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</si>
  <si>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заочной форме обучения и форме экстерната</t>
  </si>
  <si>
    <t>численность мастеров производственного обучения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подготовки специалистов среднего звена</t>
  </si>
  <si>
    <t>3.3.6.</t>
  </si>
  <si>
    <t xml:space="preserve">Отношение среднемесячной заработной платы преподавателей и мастеров производственного обучения государственных и муниципальных образовательных организаций, реализующих образовательные программы среднего профессионального образования к среднемесячной заработной плате в субъекте Российской Федерации </t>
  </si>
  <si>
    <t>фонд начисленной заработной платы преподавателей и мастеров производственного обучения списочного состава (без фонда заработной платы внешних совместителей) государственных (муниципальных)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 служащих и программы подготовки специалистов среднего звена</t>
  </si>
  <si>
    <t>ЗП-образование строка 09, графа 3</t>
  </si>
  <si>
    <t>ЗП-образование строка 10, графа 3</t>
  </si>
  <si>
    <t>ЗП-образование строка 12, графа 3</t>
  </si>
  <si>
    <t>ЗП-образование строка 13, графа 3</t>
  </si>
  <si>
    <t>средняя численность преподавателей и мастеров производственного обучения списочного состава (без внешних совместителей) государственных (муниципальных)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 служащих и программы подготовки специалистов среднего звена</t>
  </si>
  <si>
    <t>ЗП-образование строка 09, графа 1</t>
  </si>
  <si>
    <t xml:space="preserve">ЗП-образование строка 10, графа </t>
  </si>
  <si>
    <t>ЗП-образование строка 12, графа 1</t>
  </si>
  <si>
    <t>ЗП-образование строка 13, графа 1</t>
  </si>
  <si>
    <t>среднемесячная номинальная начисленная заработная плата в экономике субъекта Российской Федерации</t>
  </si>
  <si>
    <t>3.3.7.</t>
  </si>
  <si>
    <t>3.3.8.</t>
  </si>
  <si>
    <t>3.4.</t>
  </si>
  <si>
    <t>Материально-техническое и информационное обеспечение профессиональных образовательных организаций и образовательных организаций высшего образования, реализующих образовательные программы среднего профессионального образования</t>
  </si>
  <si>
    <t>Обеспеченность студентов профессиональных образовательных организаций, реализующих программы среднего профессионального образования - программы подготовки специалистов среднего звена общежитиями (удельный вес студентов, проживающих в общежитиях, в общей численности студентов, нуждающихся в общежитиях)</t>
  </si>
  <si>
    <t>3.4.1.</t>
  </si>
  <si>
    <t>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проживающих в общежитиях (включая проживающих в общежитиях сторонних организаций)</t>
  </si>
  <si>
    <t>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нуждающихся в общежитиях</t>
  </si>
  <si>
    <t>3.4.2.</t>
  </si>
  <si>
    <t>Обеспеченность студентов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сетью общественного питания</t>
  </si>
  <si>
    <t>число посадочных мест в собственных (без сданных в аренду и субаренду) и арендованных предприятиях (подразделениях) общественного питания, расположенных в учебно-лабораторных зданиях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</si>
  <si>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расчетная 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</si>
  <si>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число персональных компьютеров, используемых в учебных целях, в профессиональных образовательных организациях,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</si>
  <si>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4, строка 03, графа 4</t>
  </si>
  <si>
    <t>число персональных компьютеров, используемых в учебных целях, в профессиональных образовательных организациях,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доступ к Интернету</t>
  </si>
  <si>
    <t>2 (профтех) раздел 4, строка 08, графа 4</t>
  </si>
  <si>
    <t>3.4.4.</t>
  </si>
  <si>
    <t xml:space="preserve">Число персональных компьютеров, используемых в учебных целях, в расчете на 100 студентов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t>
  </si>
  <si>
    <t>Число персональных компьютеров, используемых в учебных целях, в расчете на 100 студентов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</si>
  <si>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число персональных компьютеров, используемых в учебных целях, в профессиональных образовательных организациях (включая филиалы) и филиалах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</si>
  <si>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2.1, строка 01, графа 4</t>
  </si>
  <si>
    <t>число персональных компьютеров, используемых в учебных целях, в профессиональных образовательных организациях (включая филиалы) и филиалах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имеющих доступ к Интернету</t>
  </si>
  <si>
    <t>СПО-2 раздел 2.1, строка 04, графа 4</t>
  </si>
  <si>
    <t>численность студентов, приведенная к очной форме обучения профессиональных образовательных организаций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</si>
  <si>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3.3, справка 6, строка 14, графа 3</t>
  </si>
  <si>
    <t>3.4.5.</t>
  </si>
  <si>
    <t xml:space="preserve">Удельный вес числа организаций, подключенных к Интернету со скоростью передачи данных 2 Мбит/сек и выше, в общем числе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 </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</si>
  <si>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 со скоростью передачи данных 2 Мбит/сек и выше</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</si>
  <si>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t>
  </si>
  <si>
    <t>СПО-2 раздел 2.3, строка 01-05</t>
  </si>
  <si>
    <t>профессиональные образовательные организации, реализующие программы подготовки квалифицированных рабочих, служащих</t>
  </si>
  <si>
    <t>площадь учебно-лабораторных зданий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(без учета площади: сданной в аренду или субаренду, находящейся на капитальном ремонте или реконструкции)</t>
  </si>
  <si>
    <t>2 (профтех) раздел 2, строка 01, графа 11</t>
  </si>
  <si>
    <t>2 (профтех) раздел 2, строка 01, графа 12</t>
  </si>
  <si>
    <t>2 (профтех) раздел 2, строка 01, графа 13</t>
  </si>
  <si>
    <t>Профессиональные образовательные организации, реализующие программы подготовки специалистов среднего звена</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</si>
  <si>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(без учета площади: сданной в аренду или субаренду, находящейся на капитальном ремонте)</t>
  </si>
  <si>
    <t>СПО-2 раздел 1.2, строка 01, графа 09-12</t>
  </si>
  <si>
    <t>СПО-2 раздел 1.2, строка 01, графы 5</t>
  </si>
  <si>
    <t>СПО-2 раздел 1.2, строка 01, графы 4</t>
  </si>
  <si>
    <t>численность студентов, приведенная к очной форме обучения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</si>
  <si>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3.5.</t>
  </si>
  <si>
    <t>Условия получения среднего профессионального образования лицами с ограниченными возможностями здоровья и инвалидами</t>
  </si>
  <si>
    <t xml:space="preserve">Удельный вес числа организаций, обеспечивающих доступность обучения и проживания лиц с ограниченными возможностями здоровья и инвалидов, в общем числе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</si>
  <si>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3.5.1.</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</si>
  <si>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обеспечивающих доступность обучения и проживания лиц с ограниченными возможностями здоровья и инвалидов (учебно-лабораторные здания и общежития, которых доступны для лиц с ограниченными возможностями здоровья, детей-инвалидов и инвалидов)</t>
  </si>
  <si>
    <t>СПО-2 раздел 1.1, строка 07, графы 3</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</si>
  <si>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</si>
  <si>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1.1, строка 01, графы 3</t>
  </si>
  <si>
    <t>СПО-2 раздел 1.1, строка 01, графы 4</t>
  </si>
  <si>
    <t>3.5.2.</t>
  </si>
  <si>
    <t>Удельный вес численности студентов с ограниченными возможностями здоровья в общей численности студентов, обучающихся по образовательным программам среднего профессионального образования:</t>
  </si>
  <si>
    <t>программы подготовки квалифицированных рабочих, служащих</t>
  </si>
  <si>
    <t>численность лиц с ограниченными возможностями здоровья,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</si>
  <si>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9, строка 02, графы 5</t>
  </si>
  <si>
    <t>1 (профтех) раздел 9, строка 02, графы 6</t>
  </si>
  <si>
    <t>1 (профтех) раздел 9, строка 02, графы 11</t>
  </si>
  <si>
    <t>1 (профтех) раздел 9, строка 02, графы 12</t>
  </si>
  <si>
    <t>Удельный вес численности студентов-инвалидов в общей численности студентов, обучающихся по образовательным программам среднего профессионального образования:</t>
  </si>
  <si>
    <t xml:space="preserve">программы подготовки специалистов среднего звена </t>
  </si>
  <si>
    <t>численность детей инвалидов и инвалидов,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</si>
  <si>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9, строка 01, графы 7</t>
  </si>
  <si>
    <t>1 (профтех) раздел 9, строка 01, графы 8</t>
  </si>
  <si>
    <t>1 (профтех) раздел 9, строка 01, графы 13</t>
  </si>
  <si>
    <t>1 (профтех) раздел 9, строка 01, графы 14</t>
  </si>
  <si>
    <t>3.5.3.</t>
  </si>
  <si>
    <t>численность инвалидов, обучающихся по образовательным программам среднего профессионального образования - программам подготовки специалистов среднего звена</t>
  </si>
  <si>
    <t>СПО-1 раздел 2.3, строка 08, графы 4 – все формы обучения</t>
  </si>
  <si>
    <t>СПО-1 раздел 2.3, строка 08, графы 7 – все формы обучения</t>
  </si>
  <si>
    <t>3.6.</t>
  </si>
  <si>
    <t>Учебные и внеучебные достижения обучающихся лиц и профессиональные достижения выпускников организаций, реализующих программы среднего профессионального образования</t>
  </si>
  <si>
    <t>3.6.1.</t>
  </si>
  <si>
    <t>численность студентов очной формы обучения, обучающихся по образовательным программам среднего профессионального образования - программам подготовки специалистов среднего звена, получающих стипендии</t>
  </si>
  <si>
    <t>численность студентов очной формы обучения, обучающихся по образовательным среднего профессионального образования - программам подготовки специалистов среднего звена</t>
  </si>
  <si>
    <t>3.6.2.</t>
  </si>
  <si>
    <t>Уровень безработицы выпускников, завершивших обучение по образовательным программам среднего профессионального образования в течение трех лет, предшествующих отчетному периоду:</t>
  </si>
  <si>
    <t>численность безработных выпускников со средним профессиональным образованием (программы подготовки квалифицированных рабочих, служащих), завершивших обучение в течение трех лет, предшествующих отчетному периоду</t>
  </si>
  <si>
    <t>обследование населения по проблемам занятости</t>
  </si>
  <si>
    <t>численность экономически активных выпускников (занятых и безработных) со средним профессиональным образованием (программы подготовки квалифицированных рабочих, служащих), завершивших обучение в течение трех лет, предшествующих отчетному периоду</t>
  </si>
  <si>
    <t>численность безработных выпускников со средним профессиональным образованием (программы подготовки специалистов среднего звена), завершивших обучение в течение трех лет, предшествующих отчетному периоду</t>
  </si>
  <si>
    <t>численность экономически активных выпускников (занятых и безработных) со средним профессиональным образованием (программы подготовки специалистов среднего звена), завершивших обучение в течение трех лет, предшествующих отчетному периоду</t>
  </si>
  <si>
    <t>3.7.</t>
  </si>
  <si>
    <t>Изменение сети организаций, осуществляющих образовательную деятельность по образовательным программам среднего профессионального образования (в том числе ликвидация и реорганизация организаций, осуществляющих образовательную деятельность)</t>
  </si>
  <si>
    <t>3.7.1.</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</si>
  <si>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квалифицированных рабочих, служащих в отчетном году t</t>
  </si>
  <si>
    <t>1 (профтех) раздел 1, строка 01, графа 19 – отчетный год</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</si>
  <si>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квалифицированных рабочих, служащих в году t-1, предшествовавшем отчетному году t</t>
  </si>
  <si>
    <t>1 (профтех) раздел 1, строка 01, графа 19 – предыдущий год</t>
  </si>
  <si>
    <t>профессиональные образовательные организации</t>
  </si>
  <si>
    <t>организации высшего образования, имеющие в своем составе структурные подразделения, реализующие образовательные программы подготовки квалифицированных рабочих, служащих</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</si>
  <si>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подготовки квалифицированных рабочих, служащих в отчетном году t</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</si>
  <si>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подготовки квалифицированных рабочих, служащих в году t-1, предшествовавшем отчетном году t</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</si>
  <si>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специалистов среднего звена в отчетном году t</t>
  </si>
  <si>
    <t>СПО-1 раздел 1.2, строка 01, графа 3 – отчетный год</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</si>
  <si>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специалистов среднего звена в году t-1, предшествовавшем отчетному году t</t>
  </si>
  <si>
    <t>СПО-1 раздел 1.2, строка 01, графа 3 – предыдущий год</t>
  </si>
  <si>
    <t>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</si>
  <si>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программы подготовки специалистов среднего звена в отчетном году t</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</si>
  <si>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программы подготовки специалистов среднего звена в году t-1, предшествовавшем отчетному году t</t>
  </si>
  <si>
    <t>Российская Федерация, субъекты Российской Федерации, государственные и муниципальные организации, частные организации</t>
  </si>
  <si>
    <t>3.8.</t>
  </si>
  <si>
    <t>Финансово-экономическая деятельность профессиональных образовательных организаций и образовательных организаций высшего образования в части обеспечения реализации образовательных программ среднего профессионального образования</t>
  </si>
  <si>
    <t xml:space="preserve">Удельный вес финансовых средств от приносящей доход деятельности в общем объеме финансовых средств, полученных образовательными организациями от реализации образовательных программ среднего профессионального образования - программ подготовки квалифицированных рабочих, служащих: профессиональные образовательные организации; организации высшего образования </t>
  </si>
  <si>
    <t>3.8.1.</t>
  </si>
  <si>
    <t>объем финансовых средств от приносящей доход деятельности (внебюджетных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</si>
  <si>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5, строка 06, графа 3</t>
  </si>
  <si>
    <t>объем финансовых средств от приносящей доход деятельности (внебюджетных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реализующие образовательные программы среднего профессионального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</si>
  <si>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организации высшего образования</t>
  </si>
  <si>
    <t>объем финансовых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</si>
  <si>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5, строка 01, графа 3</t>
  </si>
  <si>
    <t>объем финансовых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реализующие образовательные программы среднего профессионального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</si>
  <si>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ВПО-2 раздел 3.1, строка 01, графа 5</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</si>
  <si>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</si>
  <si>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ВПО-2 раздел 3.1, строка 06, графа 5</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</si>
  <si>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</si>
  <si>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Российская Федерация; субъекты Российской; государственные и муниципальные организации; частные организации</t>
  </si>
  <si>
    <t>3.8.2.</t>
  </si>
  <si>
    <t>Удельный вес финансовых средств от приносящей доход деятельности в общем объеме финансовых средств, полученных образовательными организациями от реализации образовательных программ среднего профессионального образования - программ подготовки специалистов среднего звена:</t>
  </si>
  <si>
    <t xml:space="preserve">организации высшего образования </t>
  </si>
  <si>
    <t>объем финансовых средств от приносящей доход деятельности (внебюджетных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на реализацию образовательных программ среднего профессионального образования - программ подготовки специалистов среднего звена</t>
  </si>
  <si>
    <t>СПО-2 раздел 3.1, строка 06, графа 6</t>
  </si>
  <si>
    <t>объем финансовых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на реализацию образовательных программ среднего профессионального образования - программ подготовки специалистов среднего звена</t>
  </si>
  <si>
    <t>СПО-2 раздел 3.1, строка 01, графа 6</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</si>
  <si>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на реализацию образовательных программ среднего профессионального образования - программ подготовки специалистов среднего звена</t>
  </si>
  <si>
    <t>ВПО-2 раздел 3.1, строка 06, графа 6</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</si>
  <si>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на реализацию образовательных программ среднего профессионального образования - программ подготовки специалистов среднего звена</t>
  </si>
  <si>
    <t>ВПО-2 раздел 3.1, строка 01, графа 6</t>
  </si>
  <si>
    <t>профессиональные образовательные организации, реализующие образовательные программы среднего профессионального образования - исключительно программы подготовки квалифицированных рабочих, служащих</t>
  </si>
  <si>
    <t>объем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</si>
  <si>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численность обучающихся по образовательным программам подготовки квалифицированных рабочих, служащих по очно-заочной форме обучения и в форме экстерната по договорам (но без учета краткосрочно обученных)</t>
  </si>
  <si>
    <t>объем финансовых средств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</si>
  <si>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численность студентов, приведенная к очной форме обучения,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</si>
  <si>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3.3, справка 6, строка 13, графа 3</t>
  </si>
  <si>
    <t>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</si>
  <si>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государственные и муниципальные организации; частные организации - 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</si>
  <si>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 профессиональные образовательные организации, реализующие образовательные программы среднего профессионального образования - программы подготовки квалифицированных рабочих, служащих</t>
  </si>
  <si>
    <t>Структура профессиональных образовательных организаций и образовательных организаций высшего образования, реализующих образовательные программы среднего профессионального образования (в том числе характеристика филиалов)</t>
  </si>
  <si>
    <t>число профессиональных образовательных организаций (юридических лиц), реализующих образовательные программы среднего профессионального образования - программы подготовки специалистов среднего звена, имеющие филиалы, реализующие эти программы</t>
  </si>
  <si>
    <t>СПО-1 раздел 1.2, строка 01, графа 3 – имеющие филиалы</t>
  </si>
  <si>
    <t>число профессиональных образовательных организаций (юридических лиц), реализующих образовательные программы среднего профессионального образования - программы подготовки специалистов среднего звена</t>
  </si>
  <si>
    <t>СПО-1 раздел 1.2, строка 01, графа 3</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</si>
  <si>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образовательных программ среднего профессионального образования</t>
  </si>
  <si>
    <t>учебно-лабораторные здания</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</si>
  <si>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оборудованная охранно-пожарной сигнализацией</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</si>
  <si>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</si>
  <si>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общежития</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</si>
  <si>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оборудованная охранно-пожарной сигнализацией</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</si>
  <si>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</si>
  <si>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государственные и муниципальные организации; частные организации</t>
  </si>
  <si>
    <t xml:space="preserve">Удельный вес числа организаций, здания которых требуют капитального ремонта, в общем числе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t>
  </si>
  <si>
    <t>3.10.2.</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</si>
  <si>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квалифицированных рабочих, служащих, здания которых требуют капитального ремонта</t>
  </si>
  <si>
    <t>2 (профтех) раздел 3, строка 31, графа 3</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</si>
  <si>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квалифицированных рабочих, служащих</t>
  </si>
  <si>
    <t>1 (профтех) раздел 1, строка 01, графа 19</t>
  </si>
  <si>
    <t>3.9.</t>
  </si>
  <si>
    <t>3.9.1.</t>
  </si>
  <si>
    <t>Удельный вес числа организаций, здания которых находятся в аварийном состоянии, в общем числе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</si>
  <si>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3.10.3.</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</si>
  <si>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</si>
  <si>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здания которых находятся в аварийном состоянии</t>
  </si>
  <si>
    <t>2 (профтех) раздел 3, строка 33, графа 3</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</si>
  <si>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находящаяся в аварийном состоянии</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</si>
  <si>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требующая капитального ремонта</t>
  </si>
  <si>
    <t xml:space="preserve">Удельный вес площади общежитий, находящейся в аварийном состоянии, в общей площади общежитий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</si>
  <si>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находящаяся в аварийном состоянии</t>
  </si>
  <si>
    <t xml:space="preserve">Удельный вес площади общежитий, требующей капитального ремонта, в общей площади общежитий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</si>
  <si>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требующая капитального ремонта</t>
  </si>
  <si>
    <t>очно-заочная форма обучения</t>
  </si>
  <si>
    <t>Структура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</si>
  <si>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4. Сведения о развитии высшего образования</t>
  </si>
  <si>
    <t>Уровень доступности высшего образования и численность населения, получающего высшее образование</t>
  </si>
  <si>
    <t>4.1.</t>
  </si>
  <si>
    <t>Охват молодежи образовательными программами высшего образования (отношение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к численности населения в возрасте 17 - 25 лет)</t>
  </si>
  <si>
    <t>численность лиц, обучающихся по образовательным программам высшего образования - программам бакалавриата, программам специалитета и программам магистратуры</t>
  </si>
  <si>
    <t>ВПО-1 раздел 2.1.2, строка 15, графа 19 – все формы обучения</t>
  </si>
  <si>
    <t>численность населения в возрасте 17 - 25 лет (на 1 января следующего за отчетным года)</t>
  </si>
  <si>
    <t>4.1.1.</t>
  </si>
  <si>
    <t xml:space="preserve">Удельный вес численности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t>
  </si>
  <si>
    <t>численность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по образовательным программам высшего образования - программам бакалавриата, программам специалитета, программам магистратуры</t>
  </si>
  <si>
    <t>ВПО-1 раздел 2.1.2, строка 15, графа 19 – все формы обучения (выборочные сведения)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</si>
  <si>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</si>
  <si>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4.1.2.</t>
  </si>
  <si>
    <t>Содержание образовательной деятельности и организация образовательного процесса по образовательным программам высшего образования</t>
  </si>
  <si>
    <t>4.2.</t>
  </si>
  <si>
    <t>4.2.1.</t>
  </si>
  <si>
    <t>Структура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</si>
  <si>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очная форма обучения</t>
  </si>
  <si>
    <t xml:space="preserve">заочная форма обучения </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</si>
  <si>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очной форме обучения</t>
  </si>
  <si>
    <t>ВПО-1 раздел 2.1.2, строка 15, графа 19 – очная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</si>
  <si>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очно-заочной форме обучения</t>
  </si>
  <si>
    <t>ВПО-1 раздел 2.1.2, строка 15, графа 19 – очно-заочная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</si>
  <si>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заочной форме обучения (включая экстернат) (ВПО-1 раздел 2.1.2, строка 15, графа 19 – очная плюс экстернат)</t>
  </si>
  <si>
    <t>ВПО-1 раздел 2.1.2, строка 15, графа 19 – заочная</t>
  </si>
  <si>
    <t>4.2.2.</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</si>
  <si>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с полным возмещением стоимости обучения</t>
  </si>
  <si>
    <t>ВПО-1 раздел 2.1.2, раздел 15, графа 19 – все формы обучения</t>
  </si>
  <si>
    <t>4.2.3.</t>
  </si>
  <si>
    <t>программы бакалавриата</t>
  </si>
  <si>
    <t>численность студентов, обучающихся по образовательным программам высшего образования - программам бакалавриата</t>
  </si>
  <si>
    <t>программы специалитета</t>
  </si>
  <si>
    <t>программы магистратуры</t>
  </si>
  <si>
    <t>численность студентов, обучающихся по образовательным программам высшего образования - программам специалитета</t>
  </si>
  <si>
    <t>численность студентов, обучающихся по образовательным программам высшего образования - программ магистратуры</t>
  </si>
  <si>
    <t>численность студентов, обучающихся по образовательным программам высшего образования - программам бакалавриата с применением дистанционных образовательных технологий</t>
  </si>
  <si>
    <t>численность студентов, обучающихся по образовательным программам высшего образования - программам специалитета с применением дистанционных образовательных технологий</t>
  </si>
  <si>
    <t>численность студентов, обучающихся по образовательным программам высшего образования - программам магистратуры с применением дистанционных образовательных технологий</t>
  </si>
  <si>
    <t>Кадровое обеспечение образовательных организаций высшего образования и иных организаций, осуществляющих образовательную деятельность в части реализации образовательных программ высшего образования, а также оценка уровня заработной платы педагогических работников</t>
  </si>
  <si>
    <t>4.3.</t>
  </si>
  <si>
    <t>4.3.1.</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</si>
  <si>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имеющих ученую степень доктора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</si>
  <si>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имеющих ученую степень кандидата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</si>
  <si>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t>
  </si>
  <si>
    <t>4.3.2.</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</si>
  <si>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в возрасте до 30 лет</t>
  </si>
  <si>
    <t>4.3.3.</t>
  </si>
  <si>
    <t>численность профессорско-преподавательского состава, работающего на условиях внешнего совместительства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t>
  </si>
  <si>
    <t>4.3.4.</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</si>
  <si>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очно-заочной (вечерней) форме обучения</t>
  </si>
  <si>
    <t>ВПО-1 раздел 2.1.1, строка 15, графа 19 – экстернат</t>
  </si>
  <si>
    <t>4.3.5.</t>
  </si>
  <si>
    <t>фонд начисленной заработной платы профессорско-преподавательского состава (без фонда заработной платы внешних совместителей) государственных (муниципальных) образовательных организаций высшего образования (включая филиалы, реализующие образовательные программы высшего образования)</t>
  </si>
  <si>
    <t>ЗП-образование строка 17, графа 3</t>
  </si>
  <si>
    <t>средняя численность профессорско-преподавательского состава (без внешних совместителей) государственных (муниципальных) образовательных организаций высшего образования (включая филиалы, реализующие образовательные программы высшего образования)</t>
  </si>
  <si>
    <t>ЗП-образование строка 17, графа 1</t>
  </si>
  <si>
    <t>ЗП-образование строка 01, графа 1</t>
  </si>
  <si>
    <t>4.3.6.</t>
  </si>
  <si>
    <t xml:space="preserve">Удельный вес штатных преподавателей образовательных организаций высшего образования, желающих сменить работу, в общей численности штатных преподавателей образовательных организаций высшего образования </t>
  </si>
  <si>
    <t>численность респондентов - штатных преподавателей образовательных организаций высшего образования, выбравших при ответе на вопрос анкеты "Хотели бы вы перейти с работы в данном учебном заведении на какую-либо другую работу, или вообще перестать работать? (отметьте один ответ)" один из вариантов: "Да, уже ищете (нашли) другое место работы", "Хотели бы найти другую работу, но пока не предпринимаете никаких действий", "Хотели бы перейти на другое место работы, но не думаете, что сможете найти его"</t>
  </si>
  <si>
    <t>социологический опрос преподавателей образовательных организаций высшего образования</t>
  </si>
  <si>
    <t>численность респондентов - штатных преподавателей образовательных организаций высшего образования, ответивших на вопрос анкеты "Хотели бы вы перейти с работы в данном учебном заведении на какую-либо другую работу, или вообще перестать работать? (отметьте один ответ)"</t>
  </si>
  <si>
    <t>4.3.7.</t>
  </si>
  <si>
    <t>Распространенность дополнительной занятости преподавателей образовательных организаций высшего образования (удельный вес штатных преподавателей образовательных организаций высшего образования, имеющих дополнительную работу, в общей численности штатных преподавателей образовательных организаций высшего образования)</t>
  </si>
  <si>
    <t>численность респондентов - штатных преподавателей образовательных организаций высшего образования, ответивших утвердительно на вопрос анкеты "Занимались ли Вы в течение последних 12 месяцев помимо вашей работы в данном учебном заведении другими видами оплачиваемой работы (в том числе работа по грантам и т.д.)? Если да, то какими именно? (Отметьте все подходящие ответы)"</t>
  </si>
  <si>
    <t>численность респондентов - штатных преподавателей образовательных организаций высшего образования, ответивших на вопрос анкеты "Занимались ли Вы в течение последних 12 месяцев помимо вашей работы в данном учебном заведении другими видами оплачиваемой работы (в том числе работа по грантам и т.д.)? Если да, то какими именно? (Отметьте все подходящие ответы)"</t>
  </si>
  <si>
    <t>4.4.</t>
  </si>
  <si>
    <t>Материально-техническое и информационное обеспечение образовательных организаций высшего образования и иных организаций, осуществляющих образовательную деятельность в части реализации образовательных программ высшего образования</t>
  </si>
  <si>
    <t>4.4.1.</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</si>
  <si>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проживающих в общежитиях (включая проживающих в общежитиях сторонних организаций)</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</si>
  <si>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нуждающихся в общежитиях</t>
  </si>
  <si>
    <t>4.4.2.</t>
  </si>
  <si>
    <t>число посадочных мест в собственных (без сданных в аренду и субаренду) и арендованных предприятиях (подразделениях) общественного питания, расположенных в учебно-лабораторных зданиях образовательных организаций высшего образования (включая филиалы, реализующие образовательные программы высшего образования)</t>
  </si>
  <si>
    <t>расчетная численность студентов образовательных организаций высшего образования (включая филиалы, реализующие образовательные программы высшего образования)</t>
  </si>
  <si>
    <t>Число персональных компьютеров, используемых в учебных целях, в расчете на 100 студентов образовательных организаций высшего образования: всего; имеющих доступ к Интернету</t>
  </si>
  <si>
    <t>3.4.3.</t>
  </si>
  <si>
    <t>число персональных компьютеров, используемых в учебных целях, в образовательных организациях высшего образования (включая филиалы, реализующие образовательные программы высшего образования)</t>
  </si>
  <si>
    <t>ВПО-2 раздел 2.1, строка 01, графа 4</t>
  </si>
  <si>
    <t>число компьютеров, используемых в учебных целях, в образовательных организациях высшего образования (включая филиалы, реализующие образовательные программы высшего образования), имеющих доступ к Интернету</t>
  </si>
  <si>
    <t>ВПО-2 раздел 2.1, строка 04, графа 4</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</si>
  <si>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приведенная к очной форме обучения</t>
  </si>
  <si>
    <t>число образовательных организаций высшего образования (включая филиалы, реализующие образовательные программы высшего образования), подключенных к Интернету со скоростью передачи данных 2 Мбит/сек и выше</t>
  </si>
  <si>
    <t>ВПО-2 раздел 2.3, строка 05</t>
  </si>
  <si>
    <t>число образовательных организаций высшего образования (включая филиалы, реализующие образовательные программы высшего образования), подключенных к Интернету</t>
  </si>
  <si>
    <t>ВПО-2 раздел 2.3, строки 01-05</t>
  </si>
  <si>
    <t>4.4.5.</t>
  </si>
  <si>
    <t>4.4.4.</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</si>
  <si>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(без учета площади: сданной в аренду или субаренду, находящейся на капитальном ремонте)</t>
  </si>
  <si>
    <t>4.5.</t>
  </si>
  <si>
    <t>Условия получения высшего профессионального образования лицами с ограниченными возможностями здоровья и инвалидами</t>
  </si>
  <si>
    <t xml:space="preserve">Удельный вес числа организаций, обеспечивающих доступность обучения и проживания лиц с ограниченными возможностями здоровья и инвалидов, в общем числе образовательных организаций высшего образования </t>
  </si>
  <si>
    <t>4.5.1.</t>
  </si>
  <si>
    <t>число образовательных организаций высшего образования (включая филиалы, реализующие образовательные программы высшего образования), обеспечивающих доступность обучения и проживания лиц с ограниченными возможностями здоровья и инвалидов (имеющих учебно-лабораторные здания и общежития, доступные для лиц с ограниченными возможностями здоровья, детей-инвалидов и инвалидов)</t>
  </si>
  <si>
    <t>число образовательных организаций высшего образования (включая филиалы, реализующие образовательные программы высшего образования)</t>
  </si>
  <si>
    <t>ВПО-2 раздел 1.1, строка 01, графы 3</t>
  </si>
  <si>
    <t>ВПО-2 раздел 1.1, строка 01, графы 4</t>
  </si>
  <si>
    <t xml:space="preserve">Удельный вес численности студентов-инвалидов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t>
  </si>
  <si>
    <t>4.5.2.</t>
  </si>
  <si>
    <t>численность инвалидов, обучающихся по образовательным программам высшего образования - программам бакалавриата, программам специалитета, программам магистратуры</t>
  </si>
  <si>
    <t>4.6.</t>
  </si>
  <si>
    <t>Учебные и внеучебные достижения обучающихся лиц и профессиональные достижения выпускников организаций, реализующих программы высшего образования</t>
  </si>
  <si>
    <t>4.6.1.</t>
  </si>
  <si>
    <t>численность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 получающих стипендии</t>
  </si>
  <si>
    <t>численность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t>
  </si>
  <si>
    <t xml:space="preserve">Уровень безработицы выпускников, завершивших обучение по образовательным программам высшего образования - программам бакалавриата, программам специалитета, программам магистратуры в течение трех лет, предшествующих отчетному периоду </t>
  </si>
  <si>
    <t>4.6.2.</t>
  </si>
  <si>
    <t>численность безработных выпускников с высшим образованием (с дипломом бакалавра, специалиста или магистра), завершивших обучение в течение трех лет, предшествующих отчетному периоду</t>
  </si>
  <si>
    <t xml:space="preserve">численность экономически активных выпускников (занятых и безработных) с высшим образованием (с дипломом бакалавра, специалиста или магистра), завершивших обучение в течение трех лет, предшествующих отчетному периоду </t>
  </si>
  <si>
    <t>4.7.</t>
  </si>
  <si>
    <t>Финансово-экономическая деятельность образовательных организаций высшего образования в части обеспечения реализации образовательных программ высшего образования</t>
  </si>
  <si>
    <t>Удельный вес финансовых средств от приносящей доход деятельности в общем объеме финансовых средств, полученных образовательными организациями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</si>
  <si>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4.7.1.</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</si>
  <si>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</si>
  <si>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</si>
  <si>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4.7.2.</t>
  </si>
  <si>
    <t>объем финансовых средств образовательных организаций высшего образования (включая филиалы, реализующие образовательные программы высшего образования)</t>
  </si>
  <si>
    <t>4.8.</t>
  </si>
  <si>
    <t>Структура образовательных организаций высшего образования, реализующих образовательные программы высшего образования (в том числе характеристика филиалов)</t>
  </si>
  <si>
    <t>4.8.1.</t>
  </si>
  <si>
    <t>число образовательных организаций высшего образования (юридических лиц), имеющих филиалы, реализующие образовательные программы высшего образования - программы бакалавриата, программы специалитета, программы магистратуры</t>
  </si>
  <si>
    <t>ВПО-1 раздел 1.2, строка 01, графа 3 – филиалы</t>
  </si>
  <si>
    <t>число образовательных организаций высшего образования (юридических лиц)</t>
  </si>
  <si>
    <t>ВПО-1 раздел 1.2, строка 01, графа 3</t>
  </si>
  <si>
    <t>4.9.</t>
  </si>
  <si>
    <t>Научная и творческая деятельность образовательных организаций высшего образования, а также иных организаций, осуществляющих образовательную деятельность, связанная с реализацией образовательных программ высшего образования</t>
  </si>
  <si>
    <t>Удельный вес финансовых средств, полученных от научной деятельности, в общем объеме финансовых средств образовательных организаций высшего образования</t>
  </si>
  <si>
    <t>4.9.1.</t>
  </si>
  <si>
    <t>объем средств образовательных организаций высшего образования (включая филиалы, реализующие образовательные программы высшего образования), полученных от научных исследований и разработок</t>
  </si>
  <si>
    <t>объем средств образовательных организаций высшего образования (включая филиалы, реализующие образовательные программы высшего образования)</t>
  </si>
  <si>
    <t>ВПО-2 раздел 3.1, строка 01, графа 3</t>
  </si>
  <si>
    <t>4.9.2.</t>
  </si>
  <si>
    <t xml:space="preserve">Объем финансовых средств, полученных от научной деятельности, в расчете на 1 научно-педагогического работника </t>
  </si>
  <si>
    <t>объем финансовых средств образовательных организаций высшего образования (включая филиалы, реализующие образовательные программы высшего образования), полученных от научных исследований и разработок, за отчетный год</t>
  </si>
  <si>
    <t>численность профессорско-преподавательского состава образовательных организаций высшего образования (включая филиалы, реализующие образовательные программы высшего образования), на начало учебного года</t>
  </si>
  <si>
    <t>численность научных работников образовательных организаций высшего образования (включая филиалы, реализующие образовательные программы высшего образования), на начало учебного года</t>
  </si>
  <si>
    <t>4.9.3.</t>
  </si>
  <si>
    <t>численность респондентов - штатных преподавателей образовательных организаций высшего образования, ответивших утвердительно на вопрос "Принимали ли Вы за предыдущие 2 года участие в научных исследованиях и разработках (в том числе по грантам), и если да, то в каких формах? (Отметьте все подходящие ответы)"</t>
  </si>
  <si>
    <t>численность респондентов - штатных преподавателей образовательных организаций высшего образования, ответивших на вопрос "Принимали ли Вы за предыдущие 2 года участие в научных исследованиях и разработках (в том числе по грантам), и если да, то в каких формах? (Отметьте все подходящие ответы)"</t>
  </si>
  <si>
    <t>4.9.4.</t>
  </si>
  <si>
    <t>- численность респондентов (студентов старших курсов), ответивших утвердительно на вопрос анкеты "Участвовали ли вы в текущем или прошедшем учебном году в научной работе в Вашем учебном заведении или в другой организации? (отметьте все подходящие ответы)"</t>
  </si>
  <si>
    <t>численность респондентов (студентов старших курсов), ответивших на вопрос анкеты "Участвовали ли Вы в текущем или прошедшем учебном году в научной работе в Вашем учебном заведении или в другой организации? (отметьте все подходящие ответы)"</t>
  </si>
  <si>
    <t>4.10.</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</si>
  <si>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образовательных программ высшего образования</t>
  </si>
  <si>
    <t>4.10.1.</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</si>
  <si>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оборудованная охранно-пожарной сигнализацией</t>
  </si>
  <si>
    <t>площадь общежитий образовательных организаций высшего образования (включая филиалы, реализующие образовательные программы высшего образования), оборудованная охранно-пожарной сигнализацией</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</si>
  <si>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t>
  </si>
  <si>
    <t>площадь общежитий образовательных организаций высшего образования (включая филиалы, реализующие образовательные программы высшего образования)</t>
  </si>
  <si>
    <t>4.10.2.</t>
  </si>
  <si>
    <t>Удельный вес площади зданий, находящейся в аварийном состоянии, в общей площади зданий образовательных организаций высшего образования:</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</si>
  <si>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находящаяся в аварийном состоянии</t>
  </si>
  <si>
    <t>площадь общежитий образовательных организаций высшего образования (включая филиалы, реализующие образовательные программы высшего образования), находящаяся в аварийном состоянии</t>
  </si>
  <si>
    <t>4.10.3.</t>
  </si>
  <si>
    <t>Удельный вес площади зданий, требующей капитального ремонта, в общей площади зданий образовательных организаций высшего образования:</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</si>
  <si>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требующая капитального ремонта</t>
  </si>
  <si>
    <t>площадь общежитий образовательных организаций высшего образования (включая филиалы, реализующие образовательные программы высшего образования), требующая капитального ремонта</t>
  </si>
  <si>
    <t>3.10.6.</t>
  </si>
  <si>
    <t>3.10.7.</t>
  </si>
  <si>
    <t>III. Дополнительное образование</t>
  </si>
  <si>
    <t>Численность населения, обучающегося по дополнительным общеобразовательным программам</t>
  </si>
  <si>
    <t>5.1.</t>
  </si>
  <si>
    <t>5.1.1.</t>
  </si>
  <si>
    <t>численность детей, обучающихся в образовательных организациях дополнительного образования (включая филиалы) (указывается на основе данных о возрастном составе обучающихся)</t>
  </si>
  <si>
    <t>1-ДО (сводная) раздел 6, строка, 01, графы 04</t>
  </si>
  <si>
    <t>1-ДО (сводная) раздел 6, строка, 01, графы 05</t>
  </si>
  <si>
    <t>1-ДО (сводная) раздел 6, строка, 01, графы 06</t>
  </si>
  <si>
    <t>численность детей, обучающихся в образовательных организациях дополнительного образования (включая филиалы) - в музыкальных, художественных, хореографических школах и школах искусств (указывается на основе данных о возрастном составе обучающихся)</t>
  </si>
  <si>
    <t>1-ДМШ раздел 2. Строка 40, графа 3</t>
  </si>
  <si>
    <t>численность детей, обучающихся в образовательных организациях дополнительного образования (включая филиалы) - в детских, юношеских спортивных школах</t>
  </si>
  <si>
    <t>5-ФК раздел 2, строка 112, графа 5</t>
  </si>
  <si>
    <t>численность населения в возрасте 5 - 18 лет на 1 января следующего за отчетным года</t>
  </si>
  <si>
    <t>5.2.</t>
  </si>
  <si>
    <t>Содержание образовательной деятельности и организация образовательного процесса по образовательным программам дополнительным общеобразовательным программам</t>
  </si>
  <si>
    <t>Структура численности обучающихся в организациях дополнительного образования по видам образовательной деятельности (удельный вес численности детей, обучающихся в организациях, реализующих дополнительные общеобразовательные программы различных видов, в общей численности детей, обучающихся в организациях, реализующих дополнительные общеобразовательные программы)</t>
  </si>
  <si>
    <t>5.2.1.</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</si>
  <si>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по видам образовательной деятельности:</t>
  </si>
  <si>
    <t>работающие по всем видам образовательной деятельности</t>
  </si>
  <si>
    <t>1-ДО (сводная), раздел 4, строка 02, графа 5</t>
  </si>
  <si>
    <t>1-ДО (сводная), раздел 4, строка 03, графа 5</t>
  </si>
  <si>
    <t>1-ДО (сводная), раздел 4, строка 04, графа 5</t>
  </si>
  <si>
    <t>1-ДО (сводная), раздел 4, строка 06, графа 5</t>
  </si>
  <si>
    <t>1-ДО (сводная), раздел 4, строка 05, графа 5</t>
  </si>
  <si>
    <t>1-ДО (сводная), раздел 4, строка 07, графа 5</t>
  </si>
  <si>
    <t>1-ДО (сводная), раздел 4, строка 08, графа 5</t>
  </si>
  <si>
    <t>1-ДО (сводная), раздел 4, строка 09, графа 5</t>
  </si>
  <si>
    <t>1-ДО (сводная), раздел 4, строка 10, графа 5</t>
  </si>
  <si>
    <t>художественная</t>
  </si>
  <si>
    <t>эколого-биологическая</t>
  </si>
  <si>
    <t>туристско-краеведческая</t>
  </si>
  <si>
    <t>техническая</t>
  </si>
  <si>
    <t>спортивная</t>
  </si>
  <si>
    <t>военно-патриотическая и спортивно-техническая</t>
  </si>
  <si>
    <t>другие</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</si>
  <si>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 в музыкальных, художественных, хореографических школах и школах искусств</t>
  </si>
  <si>
    <t>1-ДМШ раздел 2, строка 40, графа 3</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</si>
  <si>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 в детских, юношеских спортивных школах</t>
  </si>
  <si>
    <t>образование</t>
  </si>
  <si>
    <t>культура</t>
  </si>
  <si>
    <t>спорт</t>
  </si>
  <si>
    <t>5.3.</t>
  </si>
  <si>
    <t>Кадровое обеспечение организаций, осуществляющих образовательную деятельность в части реализации дополнительных общеобразовательных программ</t>
  </si>
  <si>
    <t xml:space="preserve">Отношение среднемесячной заработной платы педагогических работников государственных и муниципальных образовательных организаций дополнительного образования к среднемесячной заработной плате в субъекте Российской Федерации </t>
  </si>
  <si>
    <t>5.3.1.</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</si>
  <si>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дополнительного образования (включая филиалы), реализующих дополнительные общеобразовательные программы для детей, - всего</t>
  </si>
  <si>
    <t>ЗП-образование строка 07, графа 3</t>
  </si>
  <si>
    <t>средняя численность педагогических работников (без внешних совместителей) государственных и муниципальных образовательных организаций дополнительного образования (включая филиалы), реализующих дополнительные общеобразовательные программы для детей</t>
  </si>
  <si>
    <t>ЗП-образование строка 07, графа 1</t>
  </si>
  <si>
    <t>среднемесячная номинальная начисленная заработная плата в субъекте Российской Федерации.</t>
  </si>
  <si>
    <t>5.4.</t>
  </si>
  <si>
    <t>5.4.1.</t>
  </si>
  <si>
    <t>общая площадь всех помещений образовательных организаций дополнительного образования (включая филиалы), реализующих дополнительные общеобразовательные программы для детей</t>
  </si>
  <si>
    <t>численность детей, обучающихся в образовательных организациях дополнительного образования (включая филиалы)</t>
  </si>
  <si>
    <t>5.4.2.</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</si>
  <si>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t>
  </si>
  <si>
    <t>5.4.3.</t>
  </si>
  <si>
    <t>Число персональных компьютеров, используемых в учебных целях, в расчете на 100 обучающихся организаций дополнительного образования:</t>
  </si>
  <si>
    <t>число персональных компьютеров, используемых в учебных целях, в образовательных организациях дополнительного образования (включая филиалы), реализующих дополнительные общеобразовательные программы для детей</t>
  </si>
  <si>
    <t xml:space="preserve">число персональных компьютеров, используемых в учебных целях, имеющих доступ к Интернету, в образовательных организациях дополнительного образования (включая филиалы), реализующих дополнительные общеобразовательные программы для детей </t>
  </si>
  <si>
    <t>Изменение сети организаций, осуществляющих образовательную деятельность по дополнительным общеобразовательным программам (в том числе ликвидация и реорганизация организаций, осуществляющих образовательную деятельность)</t>
  </si>
  <si>
    <t>5.5.</t>
  </si>
  <si>
    <t>5.5.1.</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</si>
  <si>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системы образования в отчетном году t</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</si>
  <si>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в году t-1, предшествовавшем отчетному году t</t>
  </si>
  <si>
    <t>Российская Федерация, субъекты Российской Федерации; города и поселки городского типа; сельская местность</t>
  </si>
  <si>
    <t>5.6.</t>
  </si>
  <si>
    <t xml:space="preserve">Общий объем финансовых средств, поступивших в образовательные организации дополнительного образования, в расчете на одного обучающегося </t>
  </si>
  <si>
    <t>5.6.1.</t>
  </si>
  <si>
    <t>общий объем финансирования образовательных организаций дополнительного образования (включая филиалы), реализующих дополнительные общеобразовательные программы для детей</t>
  </si>
  <si>
    <t xml:space="preserve">Удельный вес финансовых средств от приносящей доход деятельности в общем объеме финансовых средств образовательных организаций дополнительного образования </t>
  </si>
  <si>
    <t>объем средств от приносящей доход деятельности (внебюджетных средств), поступивших в образовательные организации дополнительного образования (включая филиалы), реализующие дополнительные общеобразовательные программы для детейи</t>
  </si>
  <si>
    <t>Структура организаций, осуществляющих образовательную деятельность, реализующих дополнительные общеобразовательные программы (в том числе характеристика их филиалов)</t>
  </si>
  <si>
    <t>5.7.</t>
  </si>
  <si>
    <t>5.7.1.</t>
  </si>
  <si>
    <t>Удельный вес числа организаций, имеющих филиалы, в общем числе образовательных организаций дополнительного образования</t>
  </si>
  <si>
    <t>число организаций дополнительного образования (включая филиалы), реализующих дополнительные общеобразовательные программы для детей, имеющих филиалы</t>
  </si>
  <si>
    <t>число организаций дополнительного образования (включая филиалы), реализующих дополнительные общеобразовательные программы для детей</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</si>
  <si>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дополнительных общеобразовательных программ</t>
  </si>
  <si>
    <t>5.8.</t>
  </si>
  <si>
    <t xml:space="preserve">Удельный вес числа организаций, имеющих пожарные краны и рукава, в общем числе образовательных организаций дополнительного образования </t>
  </si>
  <si>
    <t>5.8.1.</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</si>
  <si>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имеющих пожарные краны и рукава</t>
  </si>
  <si>
    <t>5.8.2.</t>
  </si>
  <si>
    <t>Удельный вес числа организаций, имеющих дымовые извещатели, в общем числе образовательных организаций дополнительного образования</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</si>
  <si>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имеющих дымовые извещатели</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</si>
  <si>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здания которых находятся в аварийном состоянии</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</si>
  <si>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здания которых требуют капитального ремонта</t>
  </si>
  <si>
    <t>Учебные и внеучебные достижения лиц, обучающихся по программам дополнительного образования детей</t>
  </si>
  <si>
    <t>6. Сведения о развитии дополнительного профессионального образования</t>
  </si>
  <si>
    <t>Численность населения, обучающегося по дополнительным профессиональным программам</t>
  </si>
  <si>
    <t>6.1.</t>
  </si>
  <si>
    <t>Охват населения программами дополнительного профессионального образования (удельный вес численности занятого населения в возрасте 25 - 64 лет, прошедшего повышение квалификации и (или) переподготовку, в общей численности занятого в экономике населения данной возрастной группы)</t>
  </si>
  <si>
    <t>численность занятых в возрасте 25 - 64 лет, прошедших повышение квалификации и (или) переподготовку в отчетном году</t>
  </si>
  <si>
    <t>численность занятых в возрасте 25 - 64 лет</t>
  </si>
  <si>
    <t>6.1.1.</t>
  </si>
  <si>
    <t>6.1.2.</t>
  </si>
  <si>
    <t>численность респондентов (руководителей предприятий и организаций реального сектора экономики), ответивших на вопрос "Какую долю от общей численности работников Вашего предприятия/компании составили работники, прошедшие профподготовку, обучение, повышение квалификации в различных организациях, стажировку"</t>
  </si>
  <si>
    <t>социологический опрос руководителей предприятий и организаций реального сектора экономики</t>
  </si>
  <si>
    <t>внутри предприятия/организации (без привлечения и оплаты сторонних лиц)</t>
  </si>
  <si>
    <t>в образовательной организации, осуществляющей образовательную деятельность по реализации образовательных программ среднего профессионального образования</t>
  </si>
  <si>
    <t>в образовательной организации, осуществляющей образовательную деятельность по реализации образовательных программ высшего образования</t>
  </si>
  <si>
    <t>в образовательной организации, осуществляющей образовательную деятельность по реализации дополнительных общеобразовательных программ</t>
  </si>
  <si>
    <t>в образовательной организации, осуществляющей образовательную деятельность по реализации дополнительных профессиональных программ</t>
  </si>
  <si>
    <t>в других организациях, не являющихся образовательными организациями (компании-партнеры, кадровые агентства, консалтинговые, тренинговые компании, государственные службы занятости и пр.)</t>
  </si>
  <si>
    <t>Удельный вес численности работников предприятий и организаций реального сектора экономики, прошедших в году, предшествующему проведению опроса, профессиональную подготовку, переподготовку, повышение квалификации, стажировку</t>
  </si>
  <si>
    <t>6.1.3.</t>
  </si>
  <si>
    <t>Удельный вес численности работников организаций, получивших дополнительное профессиональное образование, в общей численности штатных работников организаций</t>
  </si>
  <si>
    <t>численность работников списочного состава организаций, получивших дополнительное профессиональное образование в отчетном году</t>
  </si>
  <si>
    <t>1-кадры, раздел 1, строка 02, графа 1</t>
  </si>
  <si>
    <t>численность работников списочного состава организаций</t>
  </si>
  <si>
    <t>1-кадры раздел 1, строка 01, графа 1</t>
  </si>
  <si>
    <t>6.2.</t>
  </si>
  <si>
    <t>Содержание образовательной деятельности и организация образовательного процесса по дополнительным профессиональным программам</t>
  </si>
  <si>
    <t xml:space="preserve">Удельный вес численности лиц, получивших дополнительное профессиональное образование с использованием дистанционных образовательных технологий, в общей численности работников организаций, получивших дополнительное профессиональное образование </t>
  </si>
  <si>
    <t>6.2.1.</t>
  </si>
  <si>
    <t>численность работников списочного состава организаций, получивших дополнительное профессиональное образование с использованием дистанционных образовательных технологий в отчетном году</t>
  </si>
  <si>
    <t>1-кадры раздел 1, строка 02, графа 1</t>
  </si>
  <si>
    <t>6.3.</t>
  </si>
  <si>
    <t>Кадровое обеспечение организаций, осуществляющих образовательную деятельность в части реализации дополнительных образовательных программ</t>
  </si>
  <si>
    <t>6.3.1.</t>
  </si>
  <si>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дополнительных профессиональных программам:</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</si>
  <si>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 имеющих ученую степень доктора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</si>
  <si>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 имеющих ученую степень кандидата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</si>
  <si>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t>
  </si>
  <si>
    <t>6.4.</t>
  </si>
  <si>
    <t>Материально-техническое и информационное обеспечение профессиональных организаций, осуществляющих образовательную деятельность в части реализации дополнительных профессиональных программ</t>
  </si>
  <si>
    <t xml:space="preserve">Удельный вес стоимости дорогостоящих машин и оборудования (стоимостью свыше 1 млн. рублей за ед.) в общей стоимости машин и оборудования образовательных организаций дополнительного профессионального образования </t>
  </si>
  <si>
    <t>6.4.1.</t>
  </si>
  <si>
    <t>стоимость дорогостоящих машин и оборудования (стоимостью свыше 1 млн. рублей за ед.) в организациях дополнительного профессионального образования (включая филиалы, реализующие дополнительные профессиональные программы)</t>
  </si>
  <si>
    <t>стоимость машин и оборудования в организациях дополнительного профессионального образования (включая филиалы, реализующие дополнительные профессиональные программы)</t>
  </si>
  <si>
    <t>Российская Федерация, субъекты Российской Федерации, государственные и муниципальные организации; частные организации (дополнительная информация)</t>
  </si>
  <si>
    <t xml:space="preserve">Число персональных компьютеров, используемых в учебных целях, в расчете на 100 слушателей организаций дополнительного профессионального образования: всего; имеющих доступ к Интернету </t>
  </si>
  <si>
    <t>6.4.2.</t>
  </si>
  <si>
    <t>число персональных компьютеров, используемых в учебных целях, в организациях дополнительного профессионального образования (включая филиалы, реализующие дополнительные профессиональные программы)</t>
  </si>
  <si>
    <t>число персональных компьютеров, используемых в учебных целях, подключенных к Интернету, в организациях дополнительного профессионального образования (включая филиалы, реализующие дополнительные профессиональные программы)</t>
  </si>
  <si>
    <t>численность слушателей организаций дополнительного профессионального образования (включая филиалы, реализующие дополнительные профессиональные программы)</t>
  </si>
  <si>
    <t>6.5.</t>
  </si>
  <si>
    <t>Изменение сети организаций, осуществляющих образовательную деятельность по дополнительным профессиональным программам (в том числе ликвидация и реорганизация организаций, осуществляющих образовательную деятельность)</t>
  </si>
  <si>
    <t xml:space="preserve">Темп роста числа организаций, осуществляющих образовательную деятельность по реализации дополнительных профессиональных программ: организации дополнительного профессионального образования; профессиональные образовательные организации; организации высшего образования </t>
  </si>
  <si>
    <t>6.5.1.</t>
  </si>
  <si>
    <t>организации дополнительного профессионального образования</t>
  </si>
  <si>
    <t>число организаций дополнительного профессионального образования (включая филиалы, реализующие дополнительные профессиональные программы) в отчетном году t</t>
  </si>
  <si>
    <t>число профессиональных образовательных организаций, реализующих дополнительные профессиональные программы (включая филиалы, реализующие дополнительные профессиональные программы) в отчетном году t</t>
  </si>
  <si>
    <t>число организаций высшего образования, реализующих дополнительные профессиональные программы (включая филиалы, реализующие дополнительные профессиональные программы) в отчетном году t</t>
  </si>
  <si>
    <t>число организаций дополнительного профессионального образования (включая филиалы, реализующие дополнительные профессиональные программы) в году t-1, предшествовавшем отчетному году t</t>
  </si>
  <si>
    <t>число профессиональных образовательных организаций, реализующих дополнительные профессиональные программы (включая филиалы, реализующие дополнительные профессиональные программы) в году t-1, предшествовавшем отчетному году t</t>
  </si>
  <si>
    <t>число организаций высшего образования, реализующих дополнительные профессиональные программы (включая их филиалы, реализующие дополнительные профессиональные программы) в году t-1, предшествовавшем отчетному году t</t>
  </si>
  <si>
    <t>6.6.</t>
  </si>
  <si>
    <t>Условия освоения дополнительных профессиональных программ лицами с ограниченными возможностями здоровья и инвалидами</t>
  </si>
  <si>
    <t>Удельный вес численности лиц с ограниченными возможностями здоровья и инвалидов в общей численности работников организаций, прошедших обучение по дополнительным профессиональным программам</t>
  </si>
  <si>
    <t>6.6.1.</t>
  </si>
  <si>
    <t>численность лиц с ограниченными возможностями здоровья и инвалидов, обученных по дополнительным профессиональным программам</t>
  </si>
  <si>
    <t>численность обученных по дополнительным профессиональным программам</t>
  </si>
  <si>
    <t>6.7.</t>
  </si>
  <si>
    <t>Научная деятельность организаций, осуществляющих образовательную деятельность, связанная с реализацией дополнительных образовательных программ</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</si>
  <si>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t>
  </si>
  <si>
    <t>6.7.1.</t>
  </si>
  <si>
    <t xml:space="preserve">объем средств, полученных от научных исследований и разработок, организаций дополнительного профессионального образования (включая филиалы, реализующие дополнительные профессиональные программы) </t>
  </si>
  <si>
    <t>объем средств организаций дополнительного профессионального образования (включая филиалы, реализующие дополнительные профессиональные программы)</t>
  </si>
  <si>
    <t>6.8.</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</si>
  <si>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дополнительных образовательных программ</t>
  </si>
  <si>
    <t>6.8.1.</t>
  </si>
  <si>
    <t>площадь учебно-лабораторных зданий организаций дополнительного профессионального образования (включая филиалы, реализующие дополнительные профессиональные программы), требующая капитального ремонта</t>
  </si>
  <si>
    <t>площадь общежитий организаций дополнительного профессионального образования (включая филиалы, реализующие дополнительные профессиональные программы), требующая капитального ремонта</t>
  </si>
  <si>
    <t>площадь учебно-лабораторных зданий организаций дополнительного профессионального образования (включая филиалы, реализующие дополнительные профессиональные программы)</t>
  </si>
  <si>
    <t>площадь общежитий организаций дополнительного профессионального образования (включая филиалы, реализующие дополнительные профессиональные программы)</t>
  </si>
  <si>
    <t>6.9.</t>
  </si>
  <si>
    <t>Профессиональные достижения выпускников организаций, реализующих программы дополнительного профессионального образования</t>
  </si>
  <si>
    <t>Оценка отношения среднемесячной заработной платы лиц, прошедших обучение по дополнительным профессиональным программам в течение последних 3 лет, и лиц, не обучавшихся по дополнительным образовательным программам в течение последних 3 лет</t>
  </si>
  <si>
    <t>6.9.1.</t>
  </si>
  <si>
    <t>среднемесячная заработная плата лиц, прошедших обучение по дополнительным профессиональным программам в течение последних 3-х лет</t>
  </si>
  <si>
    <t>среднемесячная заработная плата лиц, не обучавшихся по дополнительным профессиональным программам в течение последних 3-х лет</t>
  </si>
  <si>
    <t>IV. Профессиональное обучение</t>
  </si>
  <si>
    <t>7.1.</t>
  </si>
  <si>
    <t>1 (профтех) раздел 3, строка 01, графа 3</t>
  </si>
  <si>
    <t>человек</t>
  </si>
  <si>
    <t xml:space="preserve">Численность работников организаций, прошедших профессиональное обучение: всего; профессиональная подготовка по профессиям рабочих, должностям служащих; переподготовка рабочих, служащих; повышение квалификации рабочих, служащих </t>
  </si>
  <si>
    <t>7.1.1.</t>
  </si>
  <si>
    <t>7.1.2.</t>
  </si>
  <si>
    <t>1-кадры раздел 1, строка 09, графа 1</t>
  </si>
  <si>
    <t>1-кадры раздел 1, строка 10, графа 1</t>
  </si>
  <si>
    <t>1-кадры раздел 1, строка 11, графа 1</t>
  </si>
  <si>
    <t>1-кадры раздел 1, строка 12, графа 1</t>
  </si>
  <si>
    <t xml:space="preserve">Удельный вес численности работников организаций, прошедших профессиональное обучение, в общей численности штатных работников организаций </t>
  </si>
  <si>
    <t>общая численность работников списочного состава организаций, прошедших профессиональное обучение без учета лиц, обученных за счет собственных средств</t>
  </si>
  <si>
    <t>общая численность работников списочного состава организаций</t>
  </si>
  <si>
    <t>7.1.3.</t>
  </si>
  <si>
    <t>7.2.</t>
  </si>
  <si>
    <t>Содержание образовательной деятельности и организация образовательного процесса по основным программам профессионального обучения</t>
  </si>
  <si>
    <t xml:space="preserve">Удельный вес численности лиц, прошедших обучение по образовательным программам профессионального обучения по месту своей работы, в общей численности работников организаций, прошедших обучение по образовательным программам профессионального обучения </t>
  </si>
  <si>
    <t>7.2.1.</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</si>
  <si>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без отрыва от работы, без учета лиц, обученных за счет собственных средств</t>
  </si>
  <si>
    <t>1-кадры раздел 1, справка 2, строка 27</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</si>
  <si>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без учета лиц, обученных за счет собственных средств</t>
  </si>
  <si>
    <t>7.3.</t>
  </si>
  <si>
    <t>Кадровое обеспечение организаций, осуществляющих образовательную деятельность в части реализации основных программ дополнительного обучения</t>
  </si>
  <si>
    <t xml:space="preserve">Удельный вес численности лиц, имеющих высшее образование, в общей численности преподавателей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образовательных программ профессионального обучения </t>
  </si>
  <si>
    <t>7.3.1.</t>
  </si>
  <si>
    <t>численность преподавателей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профессионального обучения, имеющих высшее образование</t>
  </si>
  <si>
    <t>численность преподавателей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профессионального обучения</t>
  </si>
  <si>
    <t>7.4.</t>
  </si>
  <si>
    <t>Материально-техническое и информационное обеспечение организаций, осуществляющих образовательную деятельность в части реализации основных программ профессионального обучения</t>
  </si>
  <si>
    <t>Удельный вес стоимости дорогостоящих машин и оборудования (стоимостью свыше 1 млн. рублей за ед.) в общей стоимости машин и оборудования организаций, осуществляющих образовательную деятельность по реализации образовательных программ профессионального обучения</t>
  </si>
  <si>
    <t>7.4.1.</t>
  </si>
  <si>
    <t>стоимость дорогостоящих машин и оборудования (стоимостью свыше 1 млн. рублей за ед.) в организациях (включая филиалы), осуществляющих образовательную деятельность по реализации образовательных программ профессионального обучения</t>
  </si>
  <si>
    <t>стоимость машин и оборудования в организациях (включая филиалы), осуществляющих образовательную деятельность по реализации образовательных программ профессионального обучения</t>
  </si>
  <si>
    <t>Условия профессионального обучения лиц с ограниченными возможностями здоровья и инвалидов</t>
  </si>
  <si>
    <t>7.5.1.</t>
  </si>
  <si>
    <t>Удельный вес численности лиц с ограниченными возможностями здоровья и инвалидов в общей численности работников организаций, обученных по дополнительным профессиональным программам и программам профессионального обучения</t>
  </si>
  <si>
    <t>численность лиц с ограниченными возможностями здоровья, получивших дополнительное профессиональное образование, прошедших профессиональное обучение в отчетном году</t>
  </si>
  <si>
    <t>начиная с отчета за 2014 год</t>
  </si>
  <si>
    <t>численность инвалидов, получивших дополнительное профессиональное образование, прошедших профессиональное обучение в отчетном году</t>
  </si>
  <si>
    <t>1-кадры раздел 1, справка 2, строка 23</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</si>
  <si>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в отчетном году</t>
  </si>
  <si>
    <t>Трудоустройство (изменение условий профессиональной деятельности) выпускников организаций, осуществляющих образовательную деятельность</t>
  </si>
  <si>
    <t>Удельный вес лиц, трудоустроившихся в течение 1 года после окончания обучения по полученной профессии на рабочие места, требующие высокого уровня квалификации, в общей численности лиц, обученных по образовательным программам профессионального обучения</t>
  </si>
  <si>
    <t>7.6.1.</t>
  </si>
  <si>
    <t>численность лиц, трудоустроившихся в течение 1 года после окончания обучения по полученной профессии на рабочие места, требующие высокого уровня квалификации</t>
  </si>
  <si>
    <t>численность лиц, обученных по образовательным программам профессионального обучения</t>
  </si>
  <si>
    <t>Изменение сети организаций, осуществляющих образовательную деятельность по основным программам профессионального обучения (в том числе ликвидация и реорганизация организаций, осуществляющих образовательную деятельность)</t>
  </si>
  <si>
    <t>7.7.</t>
  </si>
  <si>
    <t>Число организаций, осуществляющих образовательную деятельность по образовательным программам профессионального обучения, в том числе: общеобразовательные организации; профессиональные образовательные организации; образовательные организации высшего образования; организации дополнительного образования; организации дополнительного профессионального образования; учебные центры профессиональной квалификации</t>
  </si>
  <si>
    <t>7.7.1.</t>
  </si>
  <si>
    <t>Финансово-экономическая деятельность организаций, осуществляющих образовательную деятельность в части обеспечения реализации основных программ профессионального обучения</t>
  </si>
  <si>
    <t>7.8.</t>
  </si>
  <si>
    <t xml:space="preserve">Структура финансовых средств, поступивших в организации, осуществляющих образовательную деятельность по реализации образовательных программ профессионального обучения: бюджетные ассигнования; финансовые средства от приносящей доход деятельности </t>
  </si>
  <si>
    <t>7.8.1.</t>
  </si>
  <si>
    <t>бюджетные ассигнования</t>
  </si>
  <si>
    <t xml:space="preserve">объем бюджетных ассигнований,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 </t>
  </si>
  <si>
    <t>объем финансовых средств от приносящей доход деятельности,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t>
  </si>
  <si>
    <t>объем финансовых средств,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t>
  </si>
  <si>
    <t>7.9.</t>
  </si>
  <si>
    <t>Сведения о представителях работодателей, участвующих в учебном процессе</t>
  </si>
  <si>
    <t xml:space="preserve">Удельный вес представителей работодателей, участвующих в учебном процессе, в общей численности преподавателей и мастеров производственного обучения организаций, осуществляющих образовательную деятельность по реализации образовательных программ профессионального обучения </t>
  </si>
  <si>
    <t>7.9.1.</t>
  </si>
  <si>
    <t>численность представителей работодателей организаций, привлеченных к образовательной деятельности по реализации образовательных программ профессионального обучения</t>
  </si>
  <si>
    <t>численность преподавателей и мастеров производственного обучения, осуществляющих образовательную деятельность по реализации образовательных программ профессионального обучения</t>
  </si>
  <si>
    <t>Число организаций, осуществляющих образовательную деятельность по образовательным программам профессионального обучения, в том числе:</t>
  </si>
  <si>
    <t>V. Дополнительная информация о системе образования</t>
  </si>
  <si>
    <t>8. Сведения об интеграции образования и науки, а также образования и сферы труда</t>
  </si>
  <si>
    <t>8.1.</t>
  </si>
  <si>
    <t>Сведения об интеграции образования и науки, а также образования и сферы труда</t>
  </si>
  <si>
    <t>Численность населения, обучающегося по программам профессионального обучения</t>
  </si>
  <si>
    <t xml:space="preserve">Удельный вес сектора организаций высшего образования во внутренних затратах на исследования и разработки </t>
  </si>
  <si>
    <t>8.1.1.</t>
  </si>
  <si>
    <t>внутренние затраты на исследования и разработки сектора высшего образования</t>
  </si>
  <si>
    <t>2-наука раздел 6, строка 606, графа 3</t>
  </si>
  <si>
    <t>внутренние затраты на исследования и разработки – всего</t>
  </si>
  <si>
    <t>2-наука раздел 6, строка 601, графа 3</t>
  </si>
  <si>
    <t>Участие организаций различных отраслей экономики в обеспечении и осуществлении образовательной деятельности</t>
  </si>
  <si>
    <t>исключительно профессиональной подготовки квалифицированных рабочих, служащих</t>
  </si>
  <si>
    <t>Оценка представителями организаций реального сектора экономики распространенности их сотрудничества с образовательными организациями, реализующими профессиональные образовательные программы (оценка удельного веса организаций реального сектора экономики, сотрудничавших с организациями, реализующими профессиональные образовательные программы, в общем числе организаций реального сектора экономики):</t>
  </si>
  <si>
    <t>профессиональной подготовки специалистов среднего звена</t>
  </si>
  <si>
    <t>бакалавриата, подготовки специалистов, магистратуры</t>
  </si>
  <si>
    <t>профессиональных образовательных организаций, реализующих только образовательные программы подготовки квалифицированных рабочих, служащих)</t>
  </si>
  <si>
    <t>профессиональных образовательных организаций, реализующих образовательные программы подготовки специалистов среднего звена</t>
  </si>
  <si>
    <t>образовательных организаций высшего образования</t>
  </si>
  <si>
    <t>Численность респондентов (руководителей предприятий и организаций реального сектора экономики), ответивших утвердительно (и выбравших хотя бы один из предложенных в анкете вариантов сотрудничества) на вопрос о том, сотрудничало ли предприятие или организация с какими-либо образовательными организациями, реализующими программы профессионального образования, с целью привлечения выпускников или студентов профильных специальностей</t>
  </si>
  <si>
    <t xml:space="preserve">Численность респондентов (руководителей предприятий и организаций реального сектора экономики), ответивших на вопрос о том, сотрудничало ли предприятие или организация с какими-либо образовательными организациями, реализующими программы профессионального образования, с целью привлечения выпускников или студентов профильных специальностей </t>
  </si>
  <si>
    <t xml:space="preserve">всего </t>
  </si>
  <si>
    <t>граждане СНГ</t>
  </si>
  <si>
    <t>9.2.</t>
  </si>
  <si>
    <t>Удельный вес численности иностранных студентов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</si>
  <si>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Удельный вес численности иностранных студентов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</si>
  <si>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ВПО-1 раздел 2.10, строка 01, графа 7 кроме граждан Российской Федерации</t>
  </si>
  <si>
    <t>ВПО-1 раздел 2.10, строка 01, графа 7 кроме граждан из стран Балтии, Грузии, Абхазии и Южной Осетии</t>
  </si>
  <si>
    <t>численность студентов, обучающихся по программам высшего образования - программам бакалавриата, программам специалитета, программам магистратуры</t>
  </si>
  <si>
    <t>ВПО-1 раздел 2.10, строка 01, графа 7</t>
  </si>
  <si>
    <t>10. Развитие системы оценки качества образования и информационной прозрачности системы образования</t>
  </si>
  <si>
    <t>10.1.1.</t>
  </si>
  <si>
    <t>Индекс удовлетворенности населения качеством образования, которое предоставляют образовательные организации</t>
  </si>
  <si>
    <t>дошкольное образование</t>
  </si>
  <si>
    <t>начальное общее, основное общее, среднее общее образование</t>
  </si>
  <si>
    <t>численность респондентов (членов домашних хозяйств), удовлетворенных качеством получаемого одним из членом домашнего хозяйства (в возрасте от 4 до 22 лет) образования; по уровням получаемого образования (выбрали при ответе на вопрос анкеты "Если говорить в целом, то Вас удовлетворяет или не удовлетворяет то качество образования, которое получает сегодня Ваш ребенок там, где он (она) обучается? (один ответ.)" варианты ответа "безусловно удовлетворены", "скорее удовлетворены")</t>
  </si>
  <si>
    <t>социологический опрос домашних хозяйств</t>
  </si>
  <si>
    <t>среднее профессиональное образование (подготовка квалифицированных рабочих, служащих);</t>
  </si>
  <si>
    <t>среднее профессиональное образование (подготовка специалистов среднего звена)</t>
  </si>
  <si>
    <t>высшее образование (бакалавриат, специалитет, магистратура)</t>
  </si>
  <si>
    <t>общая численность респондентов (членов домашних хозяйств), ответивших на вопрос анкеты "Если говорить в целом, то Вас удовлетворяет или не удовлетворяет то качество образования, которое получает сегодня Ваш ребенок там, где он (она) обучается? (один ответ.)", в составе домашнего хозяйства которого есть ребенок/молодой человек (девушка) в возрасте от 4 до 22 лет, получающий(-ая) образование; по уровням получаемого образования</t>
  </si>
  <si>
    <t>среднее профессиональное образование (подготовка квалифицированных рабочих, служащих)</t>
  </si>
  <si>
    <t>10.1.2.</t>
  </si>
  <si>
    <t>Индекс удовлетворенности работодателей качеством подготовки в образовательных организациях профессионального образования</t>
  </si>
  <si>
    <t>Результаты участия обучающихся в образовательных организациях в российских и международных тестированиях знаний, конкурсах и олимпиадах</t>
  </si>
  <si>
    <t>Удельный вес численности лиц, достигших базового уровня образовательных достижений в международных сопоставительных исследованиях качества образования (изучение качества чтения и понимания текста (PIRLS), исследование качества математического и естественнонаучного общего образования (TIMSS), оценка образовательных достижений учащихся (PISA)), в общей численности российских учащихся общеобразовательных организаций &lt;*&gt;:</t>
  </si>
  <si>
    <t>естествознание (4 класс);</t>
  </si>
  <si>
    <t>естествознание (8 класс);</t>
  </si>
  <si>
    <t>международное исследование PIRLS</t>
  </si>
  <si>
    <t>международное исследование TIMSS</t>
  </si>
  <si>
    <t>математика (4 класс)</t>
  </si>
  <si>
    <t>математика (8 класс)</t>
  </si>
  <si>
    <t>международное исследование PISA</t>
  </si>
  <si>
    <t>читательская грамотность</t>
  </si>
  <si>
    <t>математическая грамотность</t>
  </si>
  <si>
    <t>10.2.1.</t>
  </si>
  <si>
    <t>10.3.1.</t>
  </si>
  <si>
    <t>10.4.1.</t>
  </si>
  <si>
    <t>10.1.</t>
  </si>
  <si>
    <t>Оценка деятельности системы образования гражданами</t>
  </si>
  <si>
    <t>10.2.</t>
  </si>
  <si>
    <t>10.3.</t>
  </si>
  <si>
    <t>Развитие механизмов государственно-частного управления в системе образования</t>
  </si>
  <si>
    <t>10.4.</t>
  </si>
  <si>
    <t>Развитие региональных систем оценки качества образования</t>
  </si>
  <si>
    <t>Социально-демографические характеристики и социальная интеграция</t>
  </si>
  <si>
    <t>Удельный вес населения в возрасте 5 - 18 лет, охваченного образованием, в общей численности населения в возрасте 5 - 18 лет</t>
  </si>
  <si>
    <t>численность лиц в возрасте 5 - 18 лет, обучающихся по образовательным программам</t>
  </si>
  <si>
    <t>дошкольного образования</t>
  </si>
  <si>
    <t>начального общего, основного общего и среднего общего образования</t>
  </si>
  <si>
    <t>76-РИК раздел 5, строки 01-14, графа 7 плюс СВ-1 раздел 6, строка 01, графы 4, 5</t>
  </si>
  <si>
    <t>среднего профессионального образования - программам подготовки квалифицированных рабочих, служащих. Не учитывается численность краткосрочно обученных по договорам в отчетном году</t>
  </si>
  <si>
    <t>1 (профтех) раздел 4, строки 02-10 графы 3, 10</t>
  </si>
  <si>
    <t>среднего профессионального образования - программам подготовки специалистов среднего звена</t>
  </si>
  <si>
    <t>СПО-1 раздел 2.10, строки 02-07, графа 6 – все формы обучения</t>
  </si>
  <si>
    <t>высшего образования - программам бакалавриата, специалитета, магистратуры</t>
  </si>
  <si>
    <t>ВПО-1 раздел 2.11, строки 02-05, графа 3 – все формы обучения</t>
  </si>
  <si>
    <t>численность постоянного населения в возрасте 5 - 18 лет (на 1 января следующего за отчетным года)</t>
  </si>
  <si>
    <t>Структура подготовки кадров по профессиональным образовательным программам (удельный вес численности выпускников, освоивших профессиональные образовательные программы соответствующего уровня, в общей численности выпускников):</t>
  </si>
  <si>
    <t>1 (профтех) раздел 1, строка 01, графа 6</t>
  </si>
  <si>
    <t>СПО-1 раздел 2.1.2, строка 01, графа 25</t>
  </si>
  <si>
    <t>ВПО-1 раздел 2.1.2, строка 0, графа 23</t>
  </si>
  <si>
    <t>ВПО-1 раздел 2.1.2,строка 06, графа 23</t>
  </si>
  <si>
    <t>ВПО-1 раздел 2.1.2, строка 11, графа 23</t>
  </si>
  <si>
    <t>1-НК раздел 1, строка 101, графа 7</t>
  </si>
  <si>
    <t>Ценностные ориентации молодежи и ее участие в общественных достижениях</t>
  </si>
  <si>
    <t>численность лиц в возрасте 14 - 29 лет, участвующих в деятельности молодежных общественных объединений</t>
  </si>
  <si>
    <t>численность постоянного населения в возрасте 14 - 29 лет</t>
  </si>
  <si>
    <t>11.3.</t>
  </si>
  <si>
    <t>Образование и занятость молодежи</t>
  </si>
  <si>
    <t xml:space="preserve">Оценка удельного веса лиц, совмещающих учебу и работу, в общей численности студентов старших курсов образовательных организаций высшего образования </t>
  </si>
  <si>
    <t>11.3.1.</t>
  </si>
  <si>
    <t>численность респондентов (студентов старших курсов), ответивших утвердительно на вопрос анкеты "Скажите, пожалуйста, за последние 12 месяцев Вы работали (или подрабатывали время от времени) на платной основе - или нет? Если таких работ было несколько, расскажите об одной, самой важной для вас (отметьте один ответ)" (т.е. выбравших один из вариантов ответа: "Да, имели постоянную работу", "Да, работали временно, по договору и т.д.", "Да, были разовые заработки, нерегулярные приработки")</t>
  </si>
  <si>
    <t>социологический опрос студентов старших курсов образовательных организаций высшего образования</t>
  </si>
  <si>
    <t>численность респондентов (студентов старших курсов), ответивших на вопрос анкеты "Скажите, пожалуйста, за последние 12 месяцев Вы работали (или подрабатывали время от времени) на платной основе - или нет? Если таких работ было несколько, расскажите об одной, самой важной для вас (отметьте один ответ)"</t>
  </si>
  <si>
    <t>Деятельность федеральных органов исполнительной власти и органов исполнительной власти субъектов Российской Федерации по созданию условий социализации и самореализации молодежи</t>
  </si>
  <si>
    <t>численность лиц в возрасте 14 - 29 лет, вовлеченных в реализуемые федеральными органами исполнительной власти и органами исполнительной власти субъектов Российской Федерации проекты и программы (разово или на постоянной основе) в сфере поддержки талантливой молодежи</t>
  </si>
  <si>
    <t>численность постоянного населения в возрасте 14 - 29 лет (на 1 января следующего за отчетным года)</t>
  </si>
  <si>
    <t>квадратный метр</t>
  </si>
  <si>
    <t>единица</t>
  </si>
  <si>
    <t>день</t>
  </si>
  <si>
    <t>тысяча рублей</t>
  </si>
  <si>
    <t>педагогических работников - всего</t>
  </si>
  <si>
    <t>балл</t>
  </si>
  <si>
    <t>Удельный вес численности выпускников, освоивших образовательные программы среднего общего образования, получивших количество баллов по ЕГЭ ниже минимального, в общей численности выпускников, освоивших образовательные программы среднего общего образования, сдававших ЕГЭ:</t>
  </si>
  <si>
    <t>численность получивших ниже минимального количества баллов, по результатам ЕГЭ по предмету i</t>
  </si>
  <si>
    <t>Удельный вес численности выпускников, освоивших образовательные программы основного общего образования, получивших количество баллов по ГИА ниже минимального, в общей численности выпускников, освоивших образовательные программы основного общего образования, сдававших ГИА:</t>
  </si>
  <si>
    <t>по русскому языку</t>
  </si>
  <si>
    <t>по математике</t>
  </si>
  <si>
    <t>численость получивших ниже минимального количества баллов по результатам ГИА по предмету i</t>
  </si>
  <si>
    <t>Среднее значение количества баллов по ЕГЭ, полученных выпускниками, освоившими образовательные программы среднего общего образования:</t>
  </si>
  <si>
    <t>общая численность выпускников, освоивших образовательные программы среднего общего образования, сдававших ЕГЭ</t>
  </si>
  <si>
    <t>общая численность выпускников, освоивших образовательные программы основного общего образования, сдававших ГИА</t>
  </si>
  <si>
    <t>высшую квалификационную категорию</t>
  </si>
  <si>
    <t>первую квалификационную категорию</t>
  </si>
  <si>
    <t>программы подготовки специалистов среднего звена</t>
  </si>
  <si>
    <t>Темп роста числа образовательных организаций, реализующих:</t>
  </si>
  <si>
    <t>Программы подготовки специалистов среднего звена:</t>
  </si>
  <si>
    <t>Программы подготовки квалифицированных рабочих, служащих:</t>
  </si>
  <si>
    <t>доктора наук</t>
  </si>
  <si>
    <t>кандидата наук</t>
  </si>
  <si>
    <t>4.4.3.</t>
  </si>
  <si>
    <t>Удельный вес площади зданий, оборудованной охранно-пожарной сигнализацией, в общей площади зданий образовательных организаций высшего образования:</t>
  </si>
  <si>
    <t>приобретение актуальных знаний, практических навыков обучающимися</t>
  </si>
  <si>
    <t>выявление и развитие таланта и способностей обучающихся</t>
  </si>
  <si>
    <t>профессиональная ориентация, освоение значимых для профессиональной деятельности навыков обучающимися</t>
  </si>
  <si>
    <t>Удельный вес площади зданий, требующей капитального ремонта, в общей площади зданий организаций дополнительного профессионального образования:</t>
  </si>
  <si>
    <t>тысяча человек</t>
  </si>
  <si>
    <t>профессиональная подготовка по профессиям рабочих, должностям служащих</t>
  </si>
  <si>
    <t>переподготовка рабочих, служащих</t>
  </si>
  <si>
    <t>повышение квалификации рабочих, служащих</t>
  </si>
  <si>
    <t>организации дополнительного образования</t>
  </si>
  <si>
    <t>образовательные организации высшего образования</t>
  </si>
  <si>
    <t>общеобразовательные организации</t>
  </si>
  <si>
    <t>учебные центры профессиональной квалификации</t>
  </si>
  <si>
    <t>финансовые средства от приносящей доход деятельности</t>
  </si>
  <si>
    <t>8.2.</t>
  </si>
  <si>
    <t>8.2.1.</t>
  </si>
  <si>
    <t>естественнонаучная грамотность</t>
  </si>
  <si>
    <t>образовательные программы среднего профессионального образования - программы подготовки квалифицированных рабочих, служащих</t>
  </si>
  <si>
    <t>образовательные программы среднего профессионального образования - программы подготовки специалистов среднего звена</t>
  </si>
  <si>
    <t>образовательные программы высшего образования - программы бакалавриата</t>
  </si>
  <si>
    <t>программы высшего образования - программы специалитета</t>
  </si>
  <si>
    <t>образовательные программы высшего образования - программы магистратуры</t>
  </si>
  <si>
    <t>образовательные программы высшего образования - программы подготовки кадров высшей квалификации</t>
  </si>
  <si>
    <t>места</t>
  </si>
  <si>
    <t>численность респондентов</t>
  </si>
  <si>
    <t>Российская Федерация (субъекты Российской Федерации; государственные и муниципальные организации; частные организации</t>
  </si>
  <si>
    <r>
      <t xml:space="preserve">СВ-1 раздел 8, строка </t>
    </r>
    <r>
      <rPr>
        <sz val="11"/>
        <color rgb="FFFF0000"/>
        <rFont val="Calibri"/>
        <family val="2"/>
        <charset val="204"/>
        <scheme val="minor"/>
      </rPr>
      <t>66</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</si>
  <si>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51,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</si>
  <si>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t>
    </r>
    <r>
      <rPr>
        <sz val="11"/>
        <color rgb="FFFF0000"/>
        <rFont val="Calibri"/>
        <family val="2"/>
        <charset val="204"/>
        <scheme val="minor"/>
      </rPr>
      <t>66</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</si>
  <si>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3,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</si>
  <si>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</si>
  <si>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16</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</si>
  <si>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</si>
  <si>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74,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</si>
  <si>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</si>
  <si>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73,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</si>
  <si>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</si>
  <si>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28, графа 3</t>
    </r>
  </si>
  <si>
    <t>социологический опрос родителей детей, обучающихся в организациях дополнительного образования</t>
  </si>
  <si>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36,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</si>
  <si>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37,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</si>
  <si>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38,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</si>
  <si>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03, графа 3</t>
    </r>
  </si>
  <si>
    <r>
      <t xml:space="preserve">85-К раздел 2.2, строка 01, графы </t>
    </r>
    <r>
      <rPr>
        <sz val="11"/>
        <color rgb="FFFF0000"/>
        <rFont val="Calibri"/>
        <family val="2"/>
        <charset val="204"/>
        <scheme val="minor"/>
      </rPr>
      <t>9, 10, 11</t>
    </r>
  </si>
  <si>
    <t>5.6.2.</t>
  </si>
  <si>
    <r>
      <t xml:space="preserve">СПО-2 раздел 1.1, строка 07, графы </t>
    </r>
    <r>
      <rPr>
        <sz val="11"/>
        <color rgb="FFFF0000"/>
        <rFont val="Calibri"/>
        <family val="2"/>
        <charset val="204"/>
        <scheme val="minor"/>
      </rPr>
      <t>4</t>
    </r>
  </si>
  <si>
    <r>
      <t xml:space="preserve">Д-9 раздел 5, строки 01, 02, </t>
    </r>
    <r>
      <rPr>
        <sz val="11"/>
        <color rgb="FFFF0000"/>
        <rFont val="Calibri"/>
        <family val="2"/>
        <charset val="204"/>
        <scheme val="minor"/>
      </rPr>
      <t>03</t>
    </r>
    <r>
      <rPr>
        <sz val="11"/>
        <color theme="1"/>
        <rFont val="Calibri"/>
        <family val="2"/>
        <charset val="204"/>
        <scheme val="minor"/>
      </rPr>
      <t xml:space="preserve"> графа 7</t>
    </r>
  </si>
  <si>
    <t>в государственных образовательных организациях</t>
  </si>
  <si>
    <t>в городских поселениях</t>
  </si>
  <si>
    <t>в негосударственных образовательных организациях</t>
  </si>
  <si>
    <t>в сельской местности</t>
  </si>
  <si>
    <r>
      <t xml:space="preserve">Д-8, раздел 2, </t>
    </r>
    <r>
      <rPr>
        <sz val="11"/>
        <color rgb="FFFF0000"/>
        <rFont val="Calibri"/>
        <family val="2"/>
        <charset val="204"/>
        <scheme val="minor"/>
      </rPr>
      <t>3, 4, 5</t>
    </r>
    <r>
      <rPr>
        <sz val="11"/>
        <color theme="1"/>
        <rFont val="Calibri"/>
        <family val="2"/>
        <charset val="204"/>
        <scheme val="minor"/>
      </rPr>
      <t xml:space="preserve"> строка 01, графа 11 - негосудартсвенные</t>
    </r>
  </si>
  <si>
    <t>76-РИК раздел 1.2 строка 01, графа 5 - негосудартсвенные</t>
  </si>
  <si>
    <r>
      <t xml:space="preserve">Д-8, раздел 2, </t>
    </r>
    <r>
      <rPr>
        <sz val="11"/>
        <color rgb="FFFF0000"/>
        <rFont val="Calibri"/>
        <family val="2"/>
        <charset val="204"/>
        <scheme val="minor"/>
      </rPr>
      <t>3, 4, 5</t>
    </r>
    <r>
      <rPr>
        <sz val="11"/>
        <color theme="1"/>
        <rFont val="Calibri"/>
        <family val="2"/>
        <charset val="204"/>
        <scheme val="minor"/>
      </rPr>
      <t xml:space="preserve"> строка 01, графа 11 - государтсвенные</t>
    </r>
  </si>
  <si>
    <t>76-РИК раздел 1.2 строка 01, графа 5 - государтсвенные</t>
  </si>
  <si>
    <t>Д-4, раздел 1, строка 03, графа 3 - государственные</t>
  </si>
  <si>
    <t>Д-4, раздел 2, строка 03, графа 3 - государственные</t>
  </si>
  <si>
    <t>Д-4, раздел 1, строка 03, графа 3 - негосударственные</t>
  </si>
  <si>
    <t>Д-4, раздел 2, строка 03, графа 3 - негосударственные</t>
  </si>
  <si>
    <t>Д-4 раздел 1, строка 36, графа 3 - госудерственные</t>
  </si>
  <si>
    <t>Д-4 раздел 1, строка 36, графа 3 - негосудерственные</t>
  </si>
  <si>
    <t>Д-4 раздел 2, строка 36, графа 3 - государственные</t>
  </si>
  <si>
    <t>Д-4 раздел 2, строка 36, графа 3 - негосударственные</t>
  </si>
  <si>
    <t>Д-4 раздел 1, строка 37, графа 3 - государсвтенные</t>
  </si>
  <si>
    <t>Д-4 раздел 1, строка 37, графа 3 - негосударсвтенные</t>
  </si>
  <si>
    <t>Д-4 раздел 2, строка 37, графа 3 - государственные</t>
  </si>
  <si>
    <t>Д-4 раздел 2, строка 37, графа 3 - негосударственные</t>
  </si>
  <si>
    <t>Д-4 раздел 1, строка 38, графа 3 - государственные</t>
  </si>
  <si>
    <t>Д-4 раздел 1, строка 38, графа 3 - негосударственные</t>
  </si>
  <si>
    <t>Д-4 раздел 2, строка 38, графа 3 - государственные</t>
  </si>
  <si>
    <t>Д-4 раздел 2, строка 38, графа 3 - негосударственные</t>
  </si>
  <si>
    <t>Д-4 раздел 1, строка 01, графа 3 - государственные</t>
  </si>
  <si>
    <t>Д-4 раздел 1, строка 01, графа 3 - негосударственные</t>
  </si>
  <si>
    <t>Д-4 раздел 2, строка 01, графа 3) - государственные</t>
  </si>
  <si>
    <t>Д-4 раздел 2, строка 01, графа 3) - негосударственные</t>
  </si>
  <si>
    <t>сбор с 2015 года</t>
  </si>
  <si>
    <t>численность детей в возрасте 5-7 лет, обучающихся в образовательных организациях, реализующих образовательные программы начального общего образования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t>
  </si>
  <si>
    <t>рублей</t>
  </si>
  <si>
    <t>Д-4 раздел 1, строка 51, графа 3 - государственные</t>
  </si>
  <si>
    <t>Д-4 раздел 2, строка 51, графа 3 - государственные</t>
  </si>
  <si>
    <t>Д-4 раздел 1, строка 51, графа 3 - негосударственные</t>
  </si>
  <si>
    <t>Д-4 раздел 2, строка 51, графа 3 - негосударственные</t>
  </si>
  <si>
    <r>
      <t>Д-4 раздел 1, строка</t>
    </r>
    <r>
      <rPr>
        <sz val="11"/>
        <color rgb="FFFF0000"/>
        <rFont val="Calibri"/>
        <family val="2"/>
        <charset val="204"/>
        <scheme val="minor"/>
      </rPr>
      <t xml:space="preserve"> 66</t>
    </r>
    <r>
      <rPr>
        <sz val="11"/>
        <color theme="1"/>
        <rFont val="Calibri"/>
        <family val="2"/>
        <charset val="204"/>
        <scheme val="minor"/>
      </rPr>
      <t>, графа 3 - негосударственные</t>
    </r>
  </si>
  <si>
    <r>
      <t xml:space="preserve">Д-4 раздел 2, строка </t>
    </r>
    <r>
      <rPr>
        <sz val="11"/>
        <color rgb="FFFF0000"/>
        <rFont val="Calibri"/>
        <family val="2"/>
        <charset val="204"/>
        <scheme val="minor"/>
      </rPr>
      <t>66</t>
    </r>
    <r>
      <rPr>
        <sz val="11"/>
        <color theme="1"/>
        <rFont val="Calibri"/>
        <family val="2"/>
        <charset val="204"/>
        <scheme val="minor"/>
      </rPr>
      <t>, графа 3 - негосударственные</t>
    </r>
  </si>
  <si>
    <r>
      <t>Д-4 раздел 1, строка</t>
    </r>
    <r>
      <rPr>
        <sz val="11"/>
        <color rgb="FFFF0000"/>
        <rFont val="Calibri"/>
        <family val="2"/>
        <charset val="204"/>
        <scheme val="minor"/>
      </rPr>
      <t xml:space="preserve"> 66</t>
    </r>
    <r>
      <rPr>
        <sz val="11"/>
        <color theme="1"/>
        <rFont val="Calibri"/>
        <family val="2"/>
        <charset val="204"/>
        <scheme val="minor"/>
      </rPr>
      <t>, графа 3 - государственные</t>
    </r>
  </si>
  <si>
    <r>
      <t xml:space="preserve">Д-4 раздел 2, строка </t>
    </r>
    <r>
      <rPr>
        <sz val="11"/>
        <color rgb="FFFF0000"/>
        <rFont val="Calibri"/>
        <family val="2"/>
        <charset val="204"/>
        <scheme val="minor"/>
      </rPr>
      <t>66</t>
    </r>
    <r>
      <rPr>
        <sz val="11"/>
        <color theme="1"/>
        <rFont val="Calibri"/>
        <family val="2"/>
        <charset val="204"/>
        <scheme val="minor"/>
      </rPr>
      <t>, графа 3 - государственные</t>
    </r>
  </si>
  <si>
    <t>Д-4 раздел 1, строка 63, 64, графа 3 - государственные</t>
  </si>
  <si>
    <t>Д-4 раздел 2 строка 63, 64, графа 3 - государственные</t>
  </si>
  <si>
    <t>Д-4 раздел 1, строка 63, 64, графа 3 - негосударственные</t>
  </si>
  <si>
    <t>Д-4 раздел 2 строка 63, 64, графа 3 - негосударственные</t>
  </si>
  <si>
    <t>Д-4 раздел 1, строка 01 графа 3 - государственные</t>
  </si>
  <si>
    <t>Д-4 раздел 2, строка 01 графа 3 - государственные</t>
  </si>
  <si>
    <t>Д-4 раздел 1, строка 01 графа 3 - негосударственные</t>
  </si>
  <si>
    <t xml:space="preserve">СВ-1 раздел 8, строка 01 графа 3 </t>
  </si>
  <si>
    <t>Д-4 раздел 2, строка 01 графа 3 - негосударственные</t>
  </si>
  <si>
    <t>76-РИК раздел 1.2, строка 23, графа 3 - государственные</t>
  </si>
  <si>
    <t>76-РИК раздел 1.2, строка 23, графа 4 - государственные</t>
  </si>
  <si>
    <t>76-РИК раздел 13, строка 01, графа 3 - государственные</t>
  </si>
  <si>
    <t>76-РИК раздел 13, строка 01, графа 4 - государственные</t>
  </si>
  <si>
    <t>76-РИК раздел 1.2, строка 23, графа 3 - негосударственные</t>
  </si>
  <si>
    <t>76-РИК раздел 1.2, строка 23, графа 4 - негосударственные</t>
  </si>
  <si>
    <t>76-РИК раздел 13, строка 01, графа 3 - негосударственные</t>
  </si>
  <si>
    <t>76-РИК раздел 13, строка 01, графа 4 - негосударственные</t>
  </si>
  <si>
    <t>76-РИК раздел 14, строка 01, графа 3 - государственные</t>
  </si>
  <si>
    <t>76-РИК раздел 14, строка 01, графа 4 - государственные</t>
  </si>
  <si>
    <t>76-РИК раздел 14, строка 01, графа 3 - негосударственные</t>
  </si>
  <si>
    <t>76-РИК раздел 14, строка 01, графа 4 - негосударственные</t>
  </si>
  <si>
    <t xml:space="preserve">76-РИК раздел 1.2, строка 32 - негосударственные </t>
  </si>
  <si>
    <t xml:space="preserve">76-РИК раздел 1.2, строка 32 - государственные </t>
  </si>
  <si>
    <t>Д-4 раздел 1, строка 23, графа 3 - государственные</t>
  </si>
  <si>
    <t>Д-4 раздел 2, строка 23, графа 3 - государственные</t>
  </si>
  <si>
    <t>Д-4 раздел 1, строка 23, графа 3 - негосударственные</t>
  </si>
  <si>
    <t>Д-4 раздел 2, строка 23, графа 3 - негосударственные</t>
  </si>
  <si>
    <t>76-РИК раздел 1.2, строка 01, графа 5 - государственные</t>
  </si>
  <si>
    <t>76-РИК раздел 1.2, строка 01, графа 5 - негосударственные</t>
  </si>
  <si>
    <t>76-РИК раздел 7, строка 01, графа 3 - государственные</t>
  </si>
  <si>
    <t>76-РИК раздел 7, строка 04, графа 3 - государственные</t>
  </si>
  <si>
    <t>76-РИК раздел 7, строка 01, графа 3 - негосударственные</t>
  </si>
  <si>
    <t>76-РИК раздел 7, строка 04, графа 3 - негосударственные</t>
  </si>
  <si>
    <t>76-РИК раздел 1.1, строка 01, графа 5 - государственные</t>
  </si>
  <si>
    <t>76-РИК раздел 1.1, строка 01, графа 8 - государственные</t>
  </si>
  <si>
    <t>76-РИК раздел 1.1, строка 01, графа 5 - негосударственные</t>
  </si>
  <si>
    <t>76-РИК раздел 1.1, строка 01, графа 8 - негосударственные</t>
  </si>
  <si>
    <t>Д-4 раздел 1, строка 11, графа 3 - государтсвенные</t>
  </si>
  <si>
    <t>Д-4 раздел 2, строка 11, графа 3) - государственные</t>
  </si>
  <si>
    <t>Д-4 раздел 1, строка 11, графа 3 - негосудартсвенные</t>
  </si>
  <si>
    <t>Д-4 раздел 2, строка 11, графа 3) - негосударственные</t>
  </si>
  <si>
    <t>Д-4 раздел 2, строка 01, графа 3 - государственные</t>
  </si>
  <si>
    <t>Д-4 раздел 2, строка 01, графа 3 - негосударственные</t>
  </si>
  <si>
    <t>Д-4 раздел 1, строка 12, графа 3 - государственные</t>
  </si>
  <si>
    <t>Д-4 раздел 2, строка 12, графа 3 - государственные</t>
  </si>
  <si>
    <t>Д-4 раздел 1, строка 12, графа 3 - негосударственные</t>
  </si>
  <si>
    <t>Д-4 раздел 2, строка 12, графа 3 - негосударственные</t>
  </si>
  <si>
    <t>Д-4 раздел 1, строка 74, графа 3 - государственные</t>
  </si>
  <si>
    <t>Д-4 раздел 2, строка 74, графа 3 - государственные</t>
  </si>
  <si>
    <t>Д-4 раздел 1, строка 74, графа 3 - негосударственные</t>
  </si>
  <si>
    <t>Д-4 раздел 2, строка 74, графа 3 - негосударственные</t>
  </si>
  <si>
    <t>Д-4 раздел 1, строка 73 графа 3 - государственные</t>
  </si>
  <si>
    <t>Д-4 раздел 2 строка 73, графа 3 - государственные</t>
  </si>
  <si>
    <t>Д-4 раздел 1, строка 73 графа 3 - негосударственные</t>
  </si>
  <si>
    <t>Д-4 раздел 2 строка 73, графа 3 - негосударственные</t>
  </si>
  <si>
    <t>Д-4 раздел 1, строка 79, графа 3 - государственные</t>
  </si>
  <si>
    <t>Д-4 раздел 2, строка 79, графа 3 - государственные</t>
  </si>
  <si>
    <t>Д-4 раздел 1, строка 79, графа 3 - негосударственные</t>
  </si>
  <si>
    <t>Д-4 раздел 2, строка 79, графа 3 - негосударственные</t>
  </si>
  <si>
    <t>Д-4 раздел 1, строка 76, графа 3 - государственные</t>
  </si>
  <si>
    <t>Д-4 раздел 2, строка 76, графа 3 - государственные</t>
  </si>
  <si>
    <t>Д-4 раздел 1, строка 76, графа 3 - негосударственные</t>
  </si>
  <si>
    <t>Д-4 раздел 2, строка 76, графа 3 - негосударственные</t>
  </si>
  <si>
    <t>Д-4 раздел 1, строка 78, графа 3 - государственные</t>
  </si>
  <si>
    <t>Д-4 раздел 2, строка 78, графа 3 - государственные</t>
  </si>
  <si>
    <t>Д-4 раздел 1, строка 78, графа 3 - негосударственные</t>
  </si>
  <si>
    <t>Д-4 раздел 2, строка 78, графа 3 - негосударственные</t>
  </si>
  <si>
    <t>Д-4 раздел 1, строка 31, графа 3 - государственные</t>
  </si>
  <si>
    <t>Д-4 раздел 2, строка 31, графа 3 - государственные</t>
  </si>
  <si>
    <t>Д-4 раздел 1, строка 31, графа 3 - негосударственные</t>
  </si>
  <si>
    <t>Д-4 раздел 2, строка 31, графа 3 - негосударственные</t>
  </si>
  <si>
    <t>Д-4 раздел 1, строка 28, графа 3 - государственные</t>
  </si>
  <si>
    <t>Д-4 раздел 2, строка 28, графа 3 - государственные</t>
  </si>
  <si>
    <t>Д-4 раздел 1, строка 28, графа 3 - негосударственные</t>
  </si>
  <si>
    <t>Д-4 раздел 2, строка 28, графа 3 - негосударственные</t>
  </si>
  <si>
    <t xml:space="preserve">   в государственных образовательных организациях</t>
  </si>
  <si>
    <t xml:space="preserve">   в негосударственных образовательных организациях</t>
  </si>
  <si>
    <t xml:space="preserve">   водоснабжение</t>
  </si>
  <si>
    <t xml:space="preserve">   центральное отопление</t>
  </si>
  <si>
    <t xml:space="preserve">   канализацию </t>
  </si>
  <si>
    <t xml:space="preserve">      в государственных образовательных организациях</t>
  </si>
  <si>
    <t xml:space="preserve">      в негосударственных образовательных организациях</t>
  </si>
  <si>
    <t xml:space="preserve">         в городских поселениях</t>
  </si>
  <si>
    <t xml:space="preserve">         в сельской местности</t>
  </si>
  <si>
    <t xml:space="preserve">   всего</t>
  </si>
  <si>
    <t xml:space="preserve">   имеющих доступ к Интернету </t>
  </si>
  <si>
    <t xml:space="preserve">      водоснабжение</t>
  </si>
  <si>
    <t xml:space="preserve">      центральное отопление</t>
  </si>
  <si>
    <t xml:space="preserve">      канализацию </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</si>
  <si>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</si>
  <si>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</si>
  <si>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программы подготовки специалистов среднего звена </t>
  </si>
  <si>
    <t xml:space="preserve">   программы подготовки квалифицированных рабочих, служащих *</t>
  </si>
  <si>
    <t xml:space="preserve">   программы подготовки специалистов среднего звена *</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</si>
  <si>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</si>
  <si>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</si>
  <si>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профессиональные образовательные организации</t>
  </si>
  <si>
    <t xml:space="preserve">   организации высшего образования</t>
  </si>
  <si>
    <t xml:space="preserve">   организации высшего образования </t>
  </si>
  <si>
    <t xml:space="preserve">   профессиональные образовательные организации, реализующие образовательные программы среднего профессионального образования - исключительно программы подготовки квалифицированных рабочих, служащих</t>
  </si>
  <si>
    <t xml:space="preserve">   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</si>
  <si>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 xml:space="preserve">   программы бакалавриата</t>
  </si>
  <si>
    <t xml:space="preserve">   программы специалитета</t>
  </si>
  <si>
    <t xml:space="preserve">   программы магистратуры</t>
  </si>
  <si>
    <t>Удельный вес штатных преподавателей образовательных организаций высшего образования, желающих сменить работу, в общей численности штатных преподавателей образовательных организаций высшего образования *</t>
  </si>
  <si>
    <t>Распространенность дополнительной занятости преподавателей образовательных организаций высшего образования (удельный вес штатных преподавателей образовательных организаций высшего образования, имеющих дополнительную работу, в общей численности штатных преподавателей образовательных организаций высшего образования) *</t>
  </si>
  <si>
    <t>Уровень безработицы выпускников, завершивших обучение по образовательным программам высшего образования - программам бакалавриата, программам специалитета, программам магистратуры в течение трех лет, предшествующих отчетному периоду *</t>
  </si>
  <si>
    <t>Удельный вес стоимости дорогостоящих машин и оборудования (стоимостью свыше 1 млн. рублей за ед.) в общей стоимости машин и оборудования образовательных организаций дополнительного профессионального образования  **</t>
  </si>
  <si>
    <t>организации дополнительного профессионального образования ****</t>
  </si>
  <si>
    <t>профессиональные образовательные организации ****</t>
  </si>
  <si>
    <t>организации высшего образования ****</t>
  </si>
  <si>
    <t>Удельный вес численности лиц с ограниченными возможностями здоровья и инвалидов в общей численности работников организаций, прошедших обучение по дополнительным профессиональным программам **</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</si>
  <si>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 **</t>
  </si>
  <si>
    <t>Оценка отношения среднемесячной заработной платы лиц, прошедших обучение по дополнительным профессиональным программам в течение последних 3 лет, и лиц, не обучавшихся по дополнительным образовательным программам в течение последних 3 лет * (****)</t>
  </si>
  <si>
    <t>Удельный вес численности лиц, имеющих высшее образование, в общей численности преподавателей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образовательных программ профессионального обучения ****</t>
  </si>
  <si>
    <t>Удельный вес лиц, трудоустроившихся в течение 1 года после окончания обучения по полученной профессии на рабочие места, требующие высокого уровня квалификации, в общей численности лиц, обученных по образовательным программам профессионального обучения **</t>
  </si>
  <si>
    <t>общеобразовательные организации ****</t>
  </si>
  <si>
    <t>образовательные организации высшего образования ****</t>
  </si>
  <si>
    <t>организации дополнительного образования ****</t>
  </si>
  <si>
    <t>учебные центры профессиональной квалификации ****</t>
  </si>
  <si>
    <t>бюджетные ассигнования * (****)</t>
  </si>
  <si>
    <t>финансовые средства от приносящей доход деятельности * (****)</t>
  </si>
  <si>
    <t>Удельный вес представителей работодателей, участвующих в учебном процессе, в общей численности преподавателей и мастеров производственного обучения организаций, осуществляющих образовательную деятельность по реализации образовательных программ профессионального обучения * (****)</t>
  </si>
  <si>
    <t>исключительно профессиональной подготовки квалифицированных рабочих, служащих *</t>
  </si>
  <si>
    <t>профессиональной подготовки специалистов среднего звена *</t>
  </si>
  <si>
    <t>бакалавриата, подготовки специалистов, магистратуры *</t>
  </si>
  <si>
    <t xml:space="preserve">   всего </t>
  </si>
  <si>
    <t xml:space="preserve">   граждане СНГ</t>
  </si>
  <si>
    <t xml:space="preserve">   работающие по всем видам образовательной деятельности</t>
  </si>
  <si>
    <t xml:space="preserve">   художественная</t>
  </si>
  <si>
    <t xml:space="preserve">   эколого-биологическая</t>
  </si>
  <si>
    <t xml:space="preserve">   туристско-краеведческая</t>
  </si>
  <si>
    <t xml:space="preserve">   техническая</t>
  </si>
  <si>
    <t xml:space="preserve">   спортивная</t>
  </si>
  <si>
    <t xml:space="preserve">   военно-патриотическая и спортивно-техническая</t>
  </si>
  <si>
    <t xml:space="preserve">   другие</t>
  </si>
  <si>
    <t>Индекс удовлетворенности населения качеством образования, которое предоставляют образовательные организации *</t>
  </si>
  <si>
    <t>Индекс удовлетворенности работодателей качеством подготовки в образовательных организациях профессионального образования *</t>
  </si>
  <si>
    <t>международное исследование PIRLS *</t>
  </si>
  <si>
    <t>Оценка удельного веса лиц, совмещающих учебу и работу, в общей численности студентов старших курсов образовательных организаций высшего образования *</t>
  </si>
  <si>
    <t>1.5.3.</t>
  </si>
  <si>
    <t>Структура численности детей с ограниченными возможностями здоровья, обучающихся в группах компенсирующей, оздоровительной и комбинированной направленности дошкольных образовательных организаций (за исключением детей-инвалидов), по видам групп:</t>
  </si>
  <si>
    <t xml:space="preserve">     группы компенсирующей направленности, в том числе для воспитанников: &lt;****&gt;</t>
  </si>
  <si>
    <t xml:space="preserve">          с нарушениями слуха: глухие, слабослышащие, позднооглохшие; &lt;****&gt;</t>
  </si>
  <si>
    <t xml:space="preserve">          с тяжелыми нарушениями речи; &lt;****&gt;</t>
  </si>
  <si>
    <t xml:space="preserve">          с нарушениями зрения: слепые, слабовидящие; &lt;****&gt;</t>
  </si>
  <si>
    <t xml:space="preserve">          с умственной отсталостью (интеллектуальными нарушениями); &lt;****&gt;</t>
  </si>
  <si>
    <t xml:space="preserve">          с задержкой психического развития; &lt;****&gt;</t>
  </si>
  <si>
    <t xml:space="preserve">          с нарушениями опорно-двигательного аппарата; &lt;****&gt;</t>
  </si>
  <si>
    <t xml:space="preserve">          с расстройствами аутистического спектра; &lt;****&gt;</t>
  </si>
  <si>
    <t xml:space="preserve">          со сложными дефектами (множественными нарушениями); &lt;****&gt;</t>
  </si>
  <si>
    <t xml:space="preserve">          с другими ограниченными возможностями здоровья. &lt;****&gt;</t>
  </si>
  <si>
    <t xml:space="preserve">     группы оздоровительной направленности, в том числе для воспитанников: &lt;****&gt;</t>
  </si>
  <si>
    <t xml:space="preserve">          с туберкулезной интоксикацией; &lt;****&gt;</t>
  </si>
  <si>
    <t xml:space="preserve">          часто болеющих; &lt;****&gt;</t>
  </si>
  <si>
    <t xml:space="preserve">         других категорий, нуждающихся в длительном лечении и проведении специальных лечебно-оздоровительных мероприятий. &lt;****&gt;</t>
  </si>
  <si>
    <t xml:space="preserve">     группы комбинированной направленности. &lt;****&gt;</t>
  </si>
  <si>
    <t>1.5.4.</t>
  </si>
  <si>
    <t>Структура численности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t>
  </si>
  <si>
    <t>1.5.5.</t>
  </si>
  <si>
    <t>Удельный вес числа организаций, имеющих в своем составе лекотеку, службу ранней помощи, консультативный пункт, в общем числе дошкольных образовательных организаций. &lt;****&gt;</t>
  </si>
  <si>
    <t>2.5.3.</t>
  </si>
  <si>
    <t>Структура численности лиц с ограниченными возможностями здоровья, обучающихся в отдельных классах общеобразовательных организаций и в отдельных общеобразовательных организациях, осуществляющих обучение по адаптированным основным общеобразовательным программам (за исключением детей-инвалидов):</t>
  </si>
  <si>
    <t>2.5.4.</t>
  </si>
  <si>
    <t>Структура численности лиц с инвалидностью, обучающихся в отдельных классах общеобразовательных организаций и в отдельных общеобразовательных организациях, осуществляющих обучение по адаптированным основным общеобразовательным программам:</t>
  </si>
  <si>
    <t>2.5.5.</t>
  </si>
  <si>
    <t>Укомплектованность отдельных общеобразовательных организаций, осуществляющих обучение по адаптированным основным общеобразовательным программам педагогическими работниками:</t>
  </si>
  <si>
    <t xml:space="preserve">          всего; &lt;****&gt;</t>
  </si>
  <si>
    <t xml:space="preserve">          педагоги-психологи; &lt;****&gt;</t>
  </si>
  <si>
    <t xml:space="preserve">          учителя-логопеды; &lt;****&gt;</t>
  </si>
  <si>
    <t xml:space="preserve">          социальные педагоги; &lt;****&gt;</t>
  </si>
  <si>
    <t xml:space="preserve">          тьюторы. &lt;****&gt;</t>
  </si>
  <si>
    <t xml:space="preserve">          учителя-дефектологи; &lt;****&gt;</t>
  </si>
  <si>
    <t>5.2.2.</t>
  </si>
  <si>
    <t>5.2.3.</t>
  </si>
  <si>
    <t>Табл. Sh4a1</t>
  </si>
  <si>
    <t>Табл. Tab29b</t>
  </si>
  <si>
    <t>tab24m</t>
  </si>
  <si>
    <t>сбор с 2016 года</t>
  </si>
  <si>
    <t>Табл. Sh31</t>
  </si>
  <si>
    <t>Значение показателя за 2013 год</t>
  </si>
  <si>
    <t>табл. Sh13_11</t>
  </si>
  <si>
    <t>табл. Sh171</t>
  </si>
  <si>
    <t>табл. Sh18_11</t>
  </si>
  <si>
    <t>табл. Sh19p1</t>
  </si>
  <si>
    <t>Значение показателя за 2014 год</t>
  </si>
  <si>
    <t>Удельный вес численности лиц, достигших базового уровня образовательных достижений в международных сопоставительных исследованиях качества образования (изучение качества чтения и понимания текста (PIRLS), исследование качества математического и естественнонаучного общего образования (TIMSS), оценка образовательных достижений учащихся (PISA)), в общей численности российских учащихся общеобразовательных организаций:</t>
  </si>
  <si>
    <r>
      <t xml:space="preserve">1-ДО </t>
    </r>
    <r>
      <rPr>
        <sz val="11"/>
        <color rgb="FFFF0000"/>
        <rFont val="Calibri"/>
        <family val="2"/>
        <charset val="204"/>
        <scheme val="minor"/>
      </rPr>
      <t>(сводная)</t>
    </r>
    <r>
      <rPr>
        <sz val="11"/>
        <color theme="1"/>
        <rFont val="Calibri"/>
        <family val="2"/>
        <charset val="204"/>
        <scheme val="minor"/>
      </rPr>
      <t xml:space="preserve"> раздел 4, строка 01, графа 5</t>
    </r>
  </si>
  <si>
    <t>музыкальные, художественные, хореографические школы и школы искусств</t>
  </si>
  <si>
    <t>детские, юношеские спортивные школы</t>
  </si>
  <si>
    <t>образовательные организации системы образования</t>
  </si>
  <si>
    <t>-</t>
  </si>
  <si>
    <t xml:space="preserve">      негосударственные профессиональные образовательные организации</t>
  </si>
  <si>
    <t xml:space="preserve">      государственные профессиональные образовательные организации</t>
  </si>
  <si>
    <t xml:space="preserve">      организации высшего образования, имеющие в своем составе структурные подразделения, реализующие образовательные программы подготовки квалифицированных рабочих, служащих</t>
  </si>
  <si>
    <t xml:space="preserve">      профессиональные образовательные организации</t>
  </si>
  <si>
    <t xml:space="preserve">      государственные 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</si>
  <si>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 xml:space="preserve">      негосударственные 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</si>
  <si>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Пропущено дней по болезни одним ребенком в дошкольной образовательной организации в год</t>
  </si>
  <si>
    <t>Общий объем финансовых средств, поступивших в дошкольные образовательные организации, в расчете на одного воспитанника</t>
  </si>
  <si>
    <t>Белоярский район</t>
  </si>
  <si>
    <t>Березовский район</t>
  </si>
  <si>
    <t>Кондинский район</t>
  </si>
  <si>
    <t>Нефтеюганский район</t>
  </si>
  <si>
    <t>Нижневартовский район</t>
  </si>
  <si>
    <t>Октябрьский район</t>
  </si>
  <si>
    <t>Советский район</t>
  </si>
  <si>
    <t>Сургутский район</t>
  </si>
  <si>
    <t>Ханты-Мансийский район</t>
  </si>
  <si>
    <t>Ханты-Мансийск</t>
  </si>
  <si>
    <t>Лангепас</t>
  </si>
  <si>
    <t>Мегион</t>
  </si>
  <si>
    <t>Нефтеюганск</t>
  </si>
  <si>
    <t>Нижневартовск</t>
  </si>
  <si>
    <t>Сургут</t>
  </si>
  <si>
    <t>Радужный</t>
  </si>
  <si>
    <t>Урай</t>
  </si>
  <si>
    <t>Нягань</t>
  </si>
  <si>
    <t>Когалым</t>
  </si>
  <si>
    <t>Покачи</t>
  </si>
  <si>
    <t>Пыть-Ях</t>
  </si>
  <si>
    <t>Югорск</t>
  </si>
  <si>
    <t>динамика</t>
  </si>
  <si>
    <t>численность детей в возрасте от 0 до 3 лет состоящих в очереди на получение места в детском саду</t>
  </si>
  <si>
    <t>Значение показателя за 2012 год</t>
  </si>
  <si>
    <t>Значение показателя за 2015 год</t>
  </si>
  <si>
    <t>выпускники, успешно сдавших единый государственный экзамен</t>
  </si>
  <si>
    <t>общая численность выпускников общеобразовательных организаций, сдавших ЕГЭ по данным предметам</t>
  </si>
  <si>
    <t>по математике &lt;*&gt;</t>
  </si>
  <si>
    <t>по русскому языку &lt;*&gt;</t>
  </si>
  <si>
    <t>3.1.3.</t>
  </si>
  <si>
    <t>Численность бюджетных мест</t>
  </si>
  <si>
    <t>Удельный вес штатных преподавателей профессиональных образовательных организаций, желающих сменить работу, в общей численности штатных преподавателей профессиональных образовательных организаций &lt;*&gt;</t>
  </si>
  <si>
    <t>Распространенность дополнительной занятости преподавателей профессиональных образовательных организаций (удельный вес штатных преподавателей профессиональных образовательных организаций, имеющих дополнительную работу, в общей численности штатных преподавателей профессиональных образовательных организаций) &lt;*&gt;</t>
  </si>
  <si>
    <t>3.3.9.</t>
  </si>
  <si>
    <t>Удельный вес численности педагогических работников, освоивших дополнительные профессиональные программы в форме стажировки на предприятиях и (или) в организациях реального сектора экономики в течение последних 3-х лет, в общей численности педагогических работников образовательных организаций, реализующих образовательные программы среднего профессионального образования. &lt;****&gt;</t>
  </si>
  <si>
    <t>численность педагогических работников, освоивших дополнительные профессиональные программы в форме стажировки на предприятиях и (или) в организациях реального сектора экономики в течение последних 3-х лет</t>
  </si>
  <si>
    <t xml:space="preserve"> в общей численности педагогических работников образовательных организаций, реализующих образовательные программы среднего профессионального образования</t>
  </si>
  <si>
    <t>3.3.10.</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</si>
  <si>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образовательных организаций, реализующих образовательные программы среднего профессионального образования. &lt;****&gt;</t>
  </si>
  <si>
    <t>численность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t>
  </si>
  <si>
    <t>общая численность преподавателей и мастеров производственного обучения образовательных организаций, реализующих образовательные программы среднего профессионального образования</t>
  </si>
  <si>
    <t>3.5.4.</t>
  </si>
  <si>
    <t>Численность студентов-инвалидов и студентов с ограниченными возможностями здоровья, обучающихся по образовательным программам среднего профессионального образования по формам обучения:</t>
  </si>
  <si>
    <t>очная форма обучения &lt;****&gt;</t>
  </si>
  <si>
    <t>очно-заочная форма обучения &lt;****&gt;</t>
  </si>
  <si>
    <t>заочная форма обучения &lt;****&gt;</t>
  </si>
  <si>
    <t>Удельный вес численности студентов-инвалидов и студентов с ограниченными возможностями здоровья, обучающихся по адаптированным образовательным программам, в общей численности студентов-инвалидов и студентов с ограниченными возможностями здоровья, обучающихся по образовательным программам среднего профессионального образования: &lt;****&gt;</t>
  </si>
  <si>
    <t>общая численность студентов-инвалидов и студентов с ограниченными возможностями здоровья, обучающихся по образовательным программам подготовки квалифицированных рабочих, служащих</t>
  </si>
  <si>
    <t>численность студентов-инвалидов и студентов с ограниченными возможностями здоровья, обучающихся по адаптированным образовательным программам подготовки квалифицированных рабочих, служащих</t>
  </si>
  <si>
    <t>численность студентов-инвалидов и студентов с ограниченными возможностями здоровья, обучающихся по адаптированным образовательным программам подготовки специалистов среднего звена</t>
  </si>
  <si>
    <t>общая численность студентов-инвалидов и студентов с ограниченными возможностями здоровья, обучающихся по образовательным программам подготовки специалистов среднего звена</t>
  </si>
  <si>
    <t>3.6.3.</t>
  </si>
  <si>
    <t>Удельный вес численности выпускников, завершивших обучение по образовательным программам среднего профессионального образования, трудоустроившихся в течение одного года после завершения обучения, в общей численности выпускников, завершивших обучение по образовательным программам среднего профессионального образования:</t>
  </si>
  <si>
    <t>программы подготовки квалифицированных рабочих, служащих &lt;*&gt;</t>
  </si>
  <si>
    <t>численность выпускников, завершивших обучение по образовательным программам подготовки квалифицированных рабочих, служащи, трудоустроившихся в течение одного года после завершения обучения</t>
  </si>
  <si>
    <t>общая численность выпускников, завершивших обучение по образовательным программам подготовки квалифицированных рабочих, служащи</t>
  </si>
  <si>
    <t>программы подготовки специалистов среднего звена &lt;*&gt;</t>
  </si>
  <si>
    <t>численность выпускников, завершивших обучение по образовательным программам подготовки специалистов среднего звена, трудоустроившихся в течение одного года после завершения обучения</t>
  </si>
  <si>
    <t>общая численность выпускников, завершивших обучение по образовательным программам подготовки специалистов среднего звена</t>
  </si>
  <si>
    <t>3.9.2.</t>
  </si>
  <si>
    <t>профессиональные образовательные организаций, создавших кафедры и иные структурные подразделения, обеспечивающие практическую подготовку студентов, обучающихся по образовательным программам среднего профессионального образования, на базе организаций реального сектора экономики, осуществляющих деятельность по профилю соответствующей образовательной программы</t>
  </si>
  <si>
    <t>количество профессиональных образовательных организаций</t>
  </si>
  <si>
    <t xml:space="preserve">Удельный вес численности лиц, прошедших обучение по программам повышения квалификации, профессиональной переподготовки в образовательных организациях, реализующих дополнительные профессиональные программы, в общей численности занятых в организациях реального сектора экономики
</t>
  </si>
  <si>
    <t>Д-9</t>
  </si>
  <si>
    <t>Значение показателя за 2016 год</t>
  </si>
  <si>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t>
    </r>
    <r>
      <rPr>
        <sz val="11"/>
        <color rgb="FFFF0000"/>
        <rFont val="Calibri"/>
        <family val="2"/>
        <charset val="204"/>
        <scheme val="minor"/>
      </rPr>
      <t>01</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</si>
  <si>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03, графа 3</t>
    </r>
  </si>
  <si>
    <t>форма № ОО-1, подраздел 2.1.1. стр. 10 гр. 3</t>
  </si>
  <si>
    <t>форма № ОО-1, подраздел 2.1.2. стр. 24 графа 3</t>
  </si>
  <si>
    <t>форма № ОО-1, подраздел 2.1.3. стр. 10 гр. 3</t>
  </si>
  <si>
    <t>форма № ОО-1, подраздел 2.9. сумма стр. 01–03 по гр. 4</t>
  </si>
  <si>
    <t>форма № ОО-1, подраздел 2.9. сумма стр. 01–03 по гр. 5</t>
  </si>
  <si>
    <t>форма № ОО-1, подраздел 2.1.1. стр. 10 гр. 3 по классам очного обучения</t>
  </si>
  <si>
    <t>форма № ОО-1, подраздел 3.5 стр. 07 гр. 4</t>
  </si>
  <si>
    <t>форма № ОО-1, подраздел 3.5 стр. 07 гр. 6</t>
  </si>
  <si>
    <t>форма № ОО-1, подраздел 3.5 стр. 07 гр. 8</t>
  </si>
  <si>
    <t>форма № ОО-1, подраздел 3.5 стр. 07 гр. 3</t>
  </si>
  <si>
    <t>форма № ОО-2, подраздел 3.4., строка 01, графа 3</t>
  </si>
  <si>
    <t>форма № ОО-2, подраздел 1.1.,  число  отчитавшихся организаций (включая обособленные подразделения (в том числе филиалы)), указавших по  графе 3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</si>
  <si>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5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</si>
  <si>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4  хотя бы по одной из  заполненных  строк  код  «1»</t>
  </si>
  <si>
    <t>форма № ОО-2, подраздел 2.1., строка 01 графа 4</t>
  </si>
  <si>
    <t>форма № ОО-2, подраздел 2.1., строка 05 графа 4</t>
  </si>
  <si>
    <t>форма № ОО-2, подраздел 3.4., строка 06, графа 3</t>
  </si>
  <si>
    <t>форма № ОО-1, подраздел 2.1.1. стр. 17 гр. 3</t>
  </si>
  <si>
    <t>форма № ОО-1, подраздел 2.1.2. стр. 27 гр. 3</t>
  </si>
  <si>
    <t>форма № ОО-1, подраздел 2.1.3. стр. 13 гр. 3</t>
  </si>
  <si>
    <t>форма № ОО-1, подраздел 2.1.1. сумма стр. 19 по гр. 3</t>
  </si>
  <si>
    <t>форма № ОО-1, подраздел 2.1.1. сумма стр. 21 по гр. 3</t>
  </si>
  <si>
    <t>форма № ОО-1, подраздел 2.1.2. сумма стр. 29 по гр. 3</t>
  </si>
  <si>
    <t>форма № ОО-1, подраздел 2.1.2. сумма стр. 31 по гр. 3</t>
  </si>
  <si>
    <t>форма № ОО-1, подраздел 2.1.3. сумма стр. 15 по гр. 3</t>
  </si>
  <si>
    <t>форма № ОО-1, подраздел 2.1.3. сумма стр. 17 по гр. 3</t>
  </si>
  <si>
    <t>число  отчитавшихся организаций (включая обособленные подразделения (в том числе филиалы)) по форме № ОО-2 (включая обособленные подразделения (в том числе филиалы))</t>
  </si>
  <si>
    <t>форма № ОО-2, подраздел 1.1.,  число  отчитавшихся организаций (включая обособленные подразделения (в том числе филиалы)), указавших по  графе 6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</si>
  <si>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14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</si>
  <si>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12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</si>
  <si>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13  хотя бы по одной из  заполненных строк  код  «1»</t>
  </si>
  <si>
    <t>форма № ОО-2, подраздел 3.1.,  строка 01 графа 3</t>
  </si>
  <si>
    <t>форма № ОО-2, подраздел 3.4., строка 01, графа 4</t>
  </si>
  <si>
    <t>форма № ОО-2, подраздел 3.4., строка 06, графа 4</t>
  </si>
  <si>
    <t>форма № ОО-2, подраздел 1.2., число  отчитавшихся организаций (включая обособленные подразделения (в том числе филиалы)), указавших по строке 03 графе 3 код «1»,  или  указавших по строке 03 графе 3 код «0», но по  строке 02 графе 4 код «1»</t>
  </si>
  <si>
    <t>форма № ОО-2, подраздел 1.4.,  строка 04 графа 3</t>
  </si>
  <si>
    <t>форма № ОО-2, подраздел 3.4.,  строка 01 графа 3</t>
  </si>
  <si>
    <t>форма № ОО-2, подраздел 3.4.,  строка 06 графа 3</t>
  </si>
  <si>
    <t>всего - стр. 06 гр.4;</t>
  </si>
  <si>
    <t>учителя-дефектологи - стр. 29 гр.4;</t>
  </si>
  <si>
    <t>педагоги-психологи - стр. 35 гр.4;</t>
  </si>
  <si>
    <t>учителя-логопеды - стр. 28 гр.4;</t>
  </si>
  <si>
    <t>социальные педагоги - стр. 33 гр.4;</t>
  </si>
  <si>
    <t>тьюторы - стр. 38 гр.4;</t>
  </si>
  <si>
    <t>подраздел 2.1.2 сумма строк 28 по графе 3</t>
  </si>
  <si>
    <t>подраздел 2.1.2 сумма строк 29 по графе 3</t>
  </si>
  <si>
    <t>подраздел 2.1.2 сумма строк 30 по графе 3</t>
  </si>
  <si>
    <t>подраздел 2.1.2 сумма строк 31 по графе 3</t>
  </si>
  <si>
    <t>подраздел 2.1.3. сумма строк 14 по гр. 3</t>
  </si>
  <si>
    <t>подраздел 2.1.3. сумма строк 15 по гр. 3</t>
  </si>
  <si>
    <t>подраздел 2.1.3. сумма строк 16 по гр. 3</t>
  </si>
  <si>
    <t>подраздел 2.1.3. сумма строк 17 по гр. 3</t>
  </si>
  <si>
    <t>по строке 12</t>
  </si>
  <si>
    <t>форма № ОО-1 подраздел 2.1.3 сумма строк 14 по графе 3</t>
  </si>
  <si>
    <t>форма № ОО-1 подраздел 2.1.3 сумма строк 15 по графе 3</t>
  </si>
  <si>
    <t>форма № ОО-1 подраздел 2.1.3 сумма строк 16 по графе 3</t>
  </si>
  <si>
    <t>форма № ОО-1 подраздел 2.1.3 сумма строк 17 по графе 3</t>
  </si>
  <si>
    <t>подраздел 2.1.2 по сумме строк 02</t>
  </si>
  <si>
    <t>подраздел 2.1.2 по сумме строк 04</t>
  </si>
  <si>
    <t>подраздел 2.1.2 по сумме строк 06</t>
  </si>
  <si>
    <t>подраздел 2.1.2 по сумме строк 07</t>
  </si>
  <si>
    <t>подраздел 2.1.2 по сумме строк 09</t>
  </si>
  <si>
    <t>подраздел 2.1.2 по сумме строк 10</t>
  </si>
  <si>
    <t>подраздел 2.1.2 по строке 16</t>
  </si>
  <si>
    <t>подраздел 2.1.2 по строке 14</t>
  </si>
  <si>
    <t>подраздел 2.1.2 по строке 18</t>
  </si>
  <si>
    <t>подраздел 2.1.2 по строке 20</t>
  </si>
  <si>
    <t>подраздел 2.1.2 по строке 22</t>
  </si>
  <si>
    <t>подраздел 2.1.2 сумма строк 27 по графе 3</t>
  </si>
  <si>
    <t>подраздел 2.1.3. разность строк 13 по гр. 3</t>
  </si>
  <si>
    <t>подраздел 2.1.3. разность строк 15 по гр. 3</t>
  </si>
  <si>
    <t>форма № ОО-1 подраздел 2.1.3 сумма строк 13 по графе 3</t>
  </si>
  <si>
    <t>1-ДО (сводная), раздел 3, строка 10, графа 3</t>
  </si>
  <si>
    <t>1-ДО (сводная), раздел 3, строка 1, графа 3</t>
  </si>
  <si>
    <t>1-ДО (сводная), раздел 3, строка 12, графа 3</t>
  </si>
  <si>
    <t>Форма № 85-К подраздел 2.1. стр. 03 гр. 6</t>
  </si>
  <si>
    <t>Форма № 85-К подраздел 2.1. стр. 04 гр. 6</t>
  </si>
  <si>
    <t>Форма № 85-К подраздел 2.1. стр. 05 гр. 6</t>
  </si>
  <si>
    <t>Форма № 85-К подраздел 2.1. стр. 06 гр. 6</t>
  </si>
  <si>
    <t>Форма № 85-К подраздел 2.1. стр. 07 гр. 6</t>
  </si>
  <si>
    <t>Форма № 85-К подраздел 2.1. стр. 08 гр. 6</t>
  </si>
  <si>
    <t>Форма № 85-К подраздел 2.1. стр. 09 гр. 6</t>
  </si>
  <si>
    <t>Форма № 85-К подраздел 2.1. стр. 10 гр. 6</t>
  </si>
  <si>
    <t>Форма № 85-К подраздел 2.1. стр. 12 гр. 6</t>
  </si>
  <si>
    <t>Форма № 85-К подраздел 2.1. стр. 13 гр. 6</t>
  </si>
  <si>
    <t>Форма № 85-К подраздел 2.1. стр. 14 гр. 6</t>
  </si>
  <si>
    <t>Форма № 85-К подраздел 2.1. стр. 15 гр. 6</t>
  </si>
  <si>
    <t>Форма № 85-К подраздел 2.1. стр. 05 гр. 5</t>
  </si>
  <si>
    <t>Форма № 85-К подраздел 2.1. стр. 06 гр. 5</t>
  </si>
  <si>
    <t>Форма № 85-К подраздел 2.1. стр. 07 гр. 5</t>
  </si>
  <si>
    <t>Форма № 85-К подраздел 2.1. стр. 08 гр. 5</t>
  </si>
  <si>
    <t>Форма № 85-К подраздел 2.1. стр. 09 гр. 5</t>
  </si>
  <si>
    <t>Форма № 85-К подраздел 2.1. стр. 10 гр. 5</t>
  </si>
  <si>
    <t>Форма № 85-К подраздел 2.1. стр. 12 гр. 5</t>
  </si>
  <si>
    <t>Форма № 85-К подраздел 2.1. стр. 13 гр. 5</t>
  </si>
  <si>
    <t>Форма № 85-К подраздел 2.1. стр. 14 гр. 5</t>
  </si>
  <si>
    <t>Форма № 85-К подраздел 2.1. стр. 15 гр. 5</t>
  </si>
  <si>
    <t>СПО-2 раздел 1.3, строка 09, графа 3</t>
  </si>
  <si>
    <t>СПО-2 раздел 1.3, строка 09, графа 6</t>
  </si>
  <si>
    <t>СПО-2 раздел 1.3, строка 09, графа 7</t>
  </si>
  <si>
    <t>СПО-2 раздел 1.3, строка 02, графа 6</t>
  </si>
  <si>
    <t>СПО-2 раздел 1.3, строка 02, графа 3</t>
  </si>
  <si>
    <t>СПО-2 раздел 1.3, строка 02, графа 8</t>
  </si>
  <si>
    <t>форма № ОО-2, подраздел 3.4., строка 05, графа 3</t>
  </si>
  <si>
    <t>форма № ОО-1, подраздел 2.1.1., строка 10 графа 3 - очное</t>
  </si>
  <si>
    <t>форма № ОО-1, подраздел 2.1.2., строка 24 графа 3  - очное</t>
  </si>
  <si>
    <t>форма № ОО-1, подраздел 2.1.3., строка 10 графа 3  - очное</t>
  </si>
  <si>
    <t>форма № ОО-1, подраздел 2.1.2., строка 10 графа 3 - очное-заочное</t>
  </si>
  <si>
    <t>форма № ОО-1, подраздел 2.1.2., строка 10 графа 3 - заочное</t>
  </si>
  <si>
    <t xml:space="preserve">                                        </t>
  </si>
  <si>
    <t>Значение показателя за 2017 год</t>
  </si>
  <si>
    <t>Доступность дошкольного образования (отношение численности детей определенной возрастной группы, посещающих в текущем году организации, осуществляющие образовательную деятельность по образовательным программам дошкольного образования, присмотр и уход за детьми, к сумме указанной численности и численности детей соответствующей возрастной группы, находящихся в очереди на получение в текущем году мест в организациях, осуществляющих образовательную деятельность по образовательным программам дошкольного образования, присмотр и уход за детьми):</t>
  </si>
  <si>
    <t>в возрасте от 3 до 7 лет</t>
  </si>
  <si>
    <t>в возрасте от 2 месяце до 3 лет</t>
  </si>
  <si>
    <t>Всего (в возрасте от 2 месяце до 7 лет)</t>
  </si>
  <si>
    <t>Охват детей дошкольным образованием (отношение численности детей определенной возрастной группы, посещающих организации, осуществляющие образовательную деятельность по образовательным программам дошкольного образования, присмотр и уход за детьми, к общей численности детей соответствующей возрастной группы):</t>
  </si>
  <si>
    <t>Удельный вес численности детей, посещающих частные организации, осуществляющие образовательную деятельность по образовательным программам дошкольного образования, присмотр и уход за детьми, в общей численности детей, посещающих организации, реализующие образовательные программы дошкольного образования, присмотр и уход за детьми</t>
  </si>
  <si>
    <t>1.1.4.</t>
  </si>
  <si>
    <t>Наполняемость групп в организациях, осуществляющих образовательную деятельность по образовательным программам дошкольного образования, присмотр и уход за детьми:</t>
  </si>
  <si>
    <t>группы компенсирующей направленности;</t>
  </si>
  <si>
    <t>группы общеразвивающей направленности;</t>
  </si>
  <si>
    <t>группы оздоровительной направленности;</t>
  </si>
  <si>
    <t>группы комбинированной направленности;</t>
  </si>
  <si>
    <t>1.1.5.</t>
  </si>
  <si>
    <t>Наполняемость групп, функционирующих в режиме кратковременного и круглосуточного пребывания в организациях, осуществляющих образовательную деятельность по образовательным программам дошкольного образования, присмотр и уход за детьми:</t>
  </si>
  <si>
    <t>в режиме кратковременного пребывания;</t>
  </si>
  <si>
    <t>в режиме круглосуточного пребывания.</t>
  </si>
  <si>
    <t>Удельный вес численности детей, посещающих группы различной направленности,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</si>
  <si>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группы по присмотру и уходу за детьми.</t>
  </si>
  <si>
    <t>Численность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 в расчете на 1 педагогического работника</t>
  </si>
  <si>
    <t>Состав педагогических работников (без внешних совместителей и работавших по договорам гражданско-правового характера) организаций, осуществляющих образовательную деятельность по образовательным программам дошкольного образования, присмотр и уход за детьми, по должностям:</t>
  </si>
  <si>
    <t>воспитатели;</t>
  </si>
  <si>
    <t>старшие воспитатели;</t>
  </si>
  <si>
    <t>музыкальные руководители;</t>
  </si>
  <si>
    <t>инструкторы по физической культуре;</t>
  </si>
  <si>
    <t>учителя-логопеды;</t>
  </si>
  <si>
    <t>учителя-дефектологи;</t>
  </si>
  <si>
    <t>педагоги-психологи;</t>
  </si>
  <si>
    <t>социальные педагоги;</t>
  </si>
  <si>
    <t>педагоги-организаторы;</t>
  </si>
  <si>
    <t>педагоги дополнительного образования.</t>
  </si>
  <si>
    <t>Площадь помещений, используемых непосредственно для нужд дошкольных образовательных организаций, в расчете на 1 ребенка</t>
  </si>
  <si>
    <t>Удельный вес числа организаций, имеющих все виды благоустройства (водопровод, центральное отопление, канализацию), в общем числе дошкольных образовательных организаций:</t>
  </si>
  <si>
    <t>Число персональных компьютеров, доступных для использования детьми, в расчете на 100 детей, посещающих дошкольные образовательные организации</t>
  </si>
  <si>
    <t>Удельный вес численности детей с ограниченными возможностями здоровья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</si>
  <si>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Удельный вес численности детей-инвалидов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</si>
  <si>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Структура численности детей с ограниченными возможностями здоровья, обучающихся по образовательным программам дошкольного образования в группах компенсирующей, оздоровительной и комбинированной направленности, по группам:</t>
  </si>
  <si>
    <t>Удельный вес численности детей, охваченных летними оздоровительными мероприятиями,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</si>
  <si>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Темп роста числа организаций (обособленных подразделений (филиалов), осуществляющих образовательную деятельность по образовательным программам дошкольного образования, присмотр и уход за детьми:</t>
  </si>
  <si>
    <t>дошкольные образовательные организации;</t>
  </si>
  <si>
    <t>обособленные подразделения (филиалы) дошкольных образовательных организаций;</t>
  </si>
  <si>
    <t>обособленные подразделения (филиалы) общеобразовательных организаций;</t>
  </si>
  <si>
    <t>общеобразовательные организации, имеющие подразделения (группы), которые осуществляют образовательную деятельность по образовательным программам дошкольного образования, присмотр и уход за детьми;</t>
  </si>
  <si>
    <t>обособленные подразделения (филиалы) профессиональных образовательных организаций и образовательных организаций высшего образования;</t>
  </si>
  <si>
    <t>иные организации, имеющие подразделения (группы), которые осуществляют образовательную деятельность по образовательным программам дошкольного образования, присмотр и уход за детьми.</t>
  </si>
  <si>
    <t>Расходы консолидированного бюджета субъекта Российской Федерации на дошкольное образование в расчете на 1 ребенка, посещающего организацию, осуществляющую образовательную деятельность по образовательным программам дошкольного образования, присмотр и уход за детьми.</t>
  </si>
  <si>
    <t>Удельный вес числа зданий дошкольных образовательных организаций, находящихся в аварийном состоянии, в общем числе зданий дошкольных образовательных организаций</t>
  </si>
  <si>
    <t>Удельный вес числа зданий дошкольных образовательных организаций, требующих капитального ремонта, в общем числе зданий дошкольных образовательных организаций</t>
  </si>
  <si>
    <t>Охват детей начальным общим, основным общим и средним общим образованием (отношение численности обучающихся по образовательным программам начального общего, основного общего, среднего общего образования, к численности детей в возрасте 7 - 17 лет)</t>
  </si>
  <si>
    <t>Удельный вес численности обучающихся по образовательным программам, соответствующим федеральным государственным образовательным стандартам начального общего, основного общего, среднего общего образования, в общей численности обучающихся по образовательным программам начального общего, основного общего, среднего общего образования</t>
  </si>
  <si>
    <t>Удельный вес численности обучающихся, продолживших обучение по образовательным программам среднего общего образования, в общей численности обучающихся, получивших аттестат об основном общем образовании по итогам учебного года, предшествующего отчетному.</t>
  </si>
  <si>
    <t>Наполняемость классов по уровням общего образования:</t>
  </si>
  <si>
    <t>начальное общее образование (1 - 4 классы);</t>
  </si>
  <si>
    <t>основное общее образование (5 - 9 классы);</t>
  </si>
  <si>
    <t>среднее общее образование (10 - 11 (12) классы).</t>
  </si>
  <si>
    <t>Удельный вес численности обучающихся, охваченных подвозом, в общей численности обучающихся, нуждающихся в подвозе в образовательные организации, реализующие образовательные программы начального общего, основного общего, среднего общего образования</t>
  </si>
  <si>
    <t>2.1.4.</t>
  </si>
  <si>
    <t>2.1.5.</t>
  </si>
  <si>
    <t>2.1.6.</t>
  </si>
  <si>
    <t>Оценка родителями обучающихся общеобразовательных организаций возможности выбора общеобразовательной организации (удельный вес численности родителей обучающихся, отдавших своих детей в конкретную общеобразовательную организацию по причине отсутствия других вариантов для выбора, в общей численности родителей обучающихся общеобразовательных организаций) *</t>
  </si>
  <si>
    <t>Удельный вес численности обучающихся в первую смену в общей численности обучающихся по образовательным программам начального общего, основного общего, среднего общего образования по очной форме обучения</t>
  </si>
  <si>
    <t>Удельный вес численности обучающихся, углубленно изучающих отдельные учебные предметы, в общей численности обучающихся по образовательным программам начального общего, основного общего, среднего общего образования</t>
  </si>
  <si>
    <t>2.2.3.</t>
  </si>
  <si>
    <t>Удельный вес численности обучающихся в классах (группах) профильного обучения в общей численности обучающихся в 10 - 11 (12) классах по образовательным программам среднего общего образования</t>
  </si>
  <si>
    <t>2.2.4.</t>
  </si>
  <si>
    <t>Удельный вес численности обучающихся с использованием дистанционных образовательных технологий в общей численности обучающихся по образовательным программам начального общего, основного общего, среднего общего образования</t>
  </si>
  <si>
    <t>2.2.5.</t>
  </si>
  <si>
    <t>Доля несовершеннолетних, состоящих на различных видах учета, обучающихся по образовательным программам начального общего образования, основного общего образования и среднего общего образования. &lt;****&gt;</t>
  </si>
  <si>
    <t>Численность обучающихся по образовательным программам начального общего, основного общего, среднего общего образования в расчете на 1 педагогического работника</t>
  </si>
  <si>
    <t>Удельный вес численности учителей в возрасте до 35 лет в общей численности учителей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</si>
  <si>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Отношение среднемесячной заработной платы педагогических работников государственных и муниципальных общеобразовательных организаций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</si>
  <si>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2.3.4.</t>
  </si>
  <si>
    <t>Удельный вес численности педагогических работников в общей численности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</si>
  <si>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2.3.5.</t>
  </si>
  <si>
    <t>Удельный вес числа организаций, имеющих в составе педагогических работников социальных педагогов, педагогов-психологов, учителей-логопедов,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</si>
  <si>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социальных педагогов:</t>
  </si>
  <si>
    <t>всего;</t>
  </si>
  <si>
    <t>из них в штате;</t>
  </si>
  <si>
    <t>педагогов-психологов:</t>
  </si>
  <si>
    <t>учителей-логопедов:</t>
  </si>
  <si>
    <t>из них в штате</t>
  </si>
  <si>
    <t>Учебная площадь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в расчете на 1 обучающегося</t>
  </si>
  <si>
    <t>Удельный вес числа зданий, имеющих все виды благоустройства (водопровод, центральное отопление, канализацию), в общем числе зданий организаций, осуществляющих образовательные программы начального общего, основного общего, среднего общего образования</t>
  </si>
  <si>
    <t>Число персональных компьютеров, используемых в учебных целях, в расчете на 100 обучающихся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</si>
  <si>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   имеющих доступ к сети "Интернет"</t>
  </si>
  <si>
    <t xml:space="preserve">   всего;</t>
  </si>
  <si>
    <t>Удельный вес числа организаций, реализующих образовательные программы начального общего, основного общего, среднего общего образования, имеющих доступ к сети "Интернет" с максимальной скоростью передачи данных 1 Мбит/сек и выше,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подключенных к сети "Интернет"</t>
  </si>
  <si>
    <t>2.4.5.</t>
  </si>
  <si>
    <t>Удельный вес числа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использующих электронный журнал, электронный дневник, в общем числе организаций, реализующих образовательные программы начального общего, основного общего, среднего общего образования</t>
  </si>
  <si>
    <t>Удельный вес числа зданий, в которых созданы условия для беспрепятственного доступа инвалидов,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</si>
  <si>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обучающихся в отдельных организациях и классах, получающих инклюзивное образование, в общей численности лиц с ограниченными возможностями здоровья, обучающихся по образовательным программам начального общего, основного общего, среднего общего образования</t>
  </si>
  <si>
    <t>Удельный вес численности обучающихся в соответствии с федеральным государственным образовательным стандартом начального общего образования обучающихся с ограниченными возможностями здоровья в общей численности обучающихся по адаптированным основным общеобразовательным программам</t>
  </si>
  <si>
    <t>Удельный вес численности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 в общей численности обучающихся по адаптированным основным общеобразовательным программам</t>
  </si>
  <si>
    <t>для глухих;</t>
  </si>
  <si>
    <t>для слабослышащих и позднооглохших;</t>
  </si>
  <si>
    <t>для слепых;</t>
  </si>
  <si>
    <t>для слабовидящих;</t>
  </si>
  <si>
    <t>с тяжелыми нарушениями речи;</t>
  </si>
  <si>
    <t>с нарушениями опорно-двигательного аппарата;</t>
  </si>
  <si>
    <t>с задержкой психического развития;</t>
  </si>
  <si>
    <t>с расстройствами аутистического спектра;</t>
  </si>
  <si>
    <t>с умственной отсталостью (интеллектуальными нарушениями).</t>
  </si>
  <si>
    <t>2.5.6.</t>
  </si>
  <si>
    <t>Численность обучающихся по образовательным программам начального общего, основного общего, среднего общего образования в расчете на 1 работника:</t>
  </si>
  <si>
    <t>учителя-дефектолога;</t>
  </si>
  <si>
    <t>учителя-логопеда;</t>
  </si>
  <si>
    <t>педагога-психолога;</t>
  </si>
  <si>
    <t>тьютора, ассистента (помощника).</t>
  </si>
  <si>
    <t>Доля выпускников общеобразовательных организаций, успешно сдавших единый государственный экзамен (далее - ЕГЭ) по русскому языку и математике, в общей численности выпускников общеобразовательных организаций, сдавших ЕГЭ по данным предметам &lt;*&gt;</t>
  </si>
  <si>
    <t>Среднее значение количества баллов по государственной итоговой аттестации, полученных выпускниками, освоившими образовательные программы основного общего образования:</t>
  </si>
  <si>
    <t>Удельный вес численности обучающихся, получивших на государственной итоговой аттестации неудовлетворительные результаты, в общей численности обучающихся, участвовавших в государственной итоговой аттестации по образовательным программам:</t>
  </si>
  <si>
    <t>основного общего образования;</t>
  </si>
  <si>
    <t>среднего общего образования.</t>
  </si>
  <si>
    <t>Удельный вес численности лиц, обеспеченных горячим питанием, в общей численности обучающихся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</si>
  <si>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логопедический пункт или логопедический кабинет,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</si>
  <si>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спортивные залы,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</si>
  <si>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закрытые плавательные бассейны,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</si>
  <si>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Темп роста числа организаций (филиалов), осуществляющих образовательную деятельность по образовательным программам начального общего, основного общего, среднего общего образования</t>
  </si>
  <si>
    <t>Финансово-экономическая деятельность общеобразовательных организаций, иных организаций, а также иных организаций, осуществляющих образовательную деятельность в части реализации основных общеобразовательных программ</t>
  </si>
  <si>
    <t>Общий объем финансовых средств, поступивших в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 в расчете на 1 обучающегося</t>
  </si>
  <si>
    <t>Удельный вес финансовых средств от приносящей доход деятельности в общем объеме финансовых средств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</si>
  <si>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находящихся в аварийном состоянии,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</si>
  <si>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требующих капитального ремонта,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</si>
  <si>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Охват молодежи образовательными программами среднего профессионального образования - программами подготовки квалифицированных рабочих, служащих (отношение численности студентов, обучающихся по программам подготовки квалифицированных рабочих, служащих, к численности населения в возрасте 15 - 17 лет)</t>
  </si>
  <si>
    <t>Охват молодежи образовательными программами среднего профессионального образования - программами подготовки специалистов среднего звена (отношение численности студентов, обучающихся по программам подготовки специалистов среднего звена к численности населения в возрасте 15 - 19 лет)</t>
  </si>
  <si>
    <t>программы подготовки квалифицированных рабочих, служащих:</t>
  </si>
  <si>
    <t>с использованием электронного обучения;</t>
  </si>
  <si>
    <t>с использованием дистанционных образовательных технологий.</t>
  </si>
  <si>
    <t>программы подготовки специалистов среднего звена:</t>
  </si>
  <si>
    <t>Удельный вес численности лиц,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</si>
  <si>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Удельный вес численности лиц,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</si>
  <si>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Удельный вес численности лиц, обучающихся по договорам об оказании платных услуг, в общей численности студентов, обучающихся по образовательным программам среднего профессионального образования</t>
  </si>
  <si>
    <t>программы подготовки квалифицированных рабочих, служащих;</t>
  </si>
  <si>
    <t>программы подготовки специалистов среднего звена.</t>
  </si>
  <si>
    <t>3.2.7.</t>
  </si>
  <si>
    <t>Удельный вес числа образовательных организаций, в которых осуществляется подготовка кадров по 50 наиболее перспективным и востребованным на рынке труда профессиям и специальностям, требующим среднего профессионального образования, в общем числе организаций, осуществляющих образовательную деятельность по образовательным программам среднего профессионального образования. &lt;**&gt;</t>
  </si>
  <si>
    <t>3.2.8.</t>
  </si>
  <si>
    <t>Доля несовершеннолетних, состоящих на различных видах учета, обучающихся по образовательным программам среднего профессионального образования. &lt;****&gt;</t>
  </si>
  <si>
    <t>Удельный вес численности лиц, имеющих высшее образование или среднее профессиональное образование по программам подготовки специалистов среднего звена,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среднего профессионального образования:</t>
  </si>
  <si>
    <t>высшее образование</t>
  </si>
  <si>
    <t>мастера производственного обучения</t>
  </si>
  <si>
    <t>среднее профессиональное образование по программам подготовки специалистов среднего звена:</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</si>
  <si>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образовательныую деятельность по образовательным программам среднего профессионального образования:</t>
  </si>
  <si>
    <t>Численность студентов, обучающихся по образовательным программам среднего профессионального образования, в расчете на 1 преподавателя и мастера производственного обучения в организациях, осуществляющих образовательную деятельность по образовательным программам среднего профессионального образования:</t>
  </si>
  <si>
    <t>Отношение среднемесячной заработной платы преподавателей и мастеров производственного обучения государственных и муниципальных организаций, осуществляющих образовательную деятельность по образовательным программам среднего профессионального образования,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</si>
  <si>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Удельный вес численности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 в общей численности педагогических работников образовательных организаций, осуществлюящих образовательную деятельность по образовательным программам среднего профессионального образования</t>
  </si>
  <si>
    <t>всего (в возрасте от 2 месяцев до 7 лет)</t>
  </si>
  <si>
    <t>в возрасте от 2 месяцев до 3 лет</t>
  </si>
  <si>
    <t>численность детей в возрасте 2 месяцев до 7 лет (число полных лет), стоящих на учете для определения в дошкольные образовательные организации</t>
  </si>
  <si>
    <t>численность детей в возрасте 2 месяцев до 3 лет (число полных лет), стоящих на учете для определения в дошкольные образовательные организации</t>
  </si>
  <si>
    <t>85-к раздел 2.2, строка 01, графы 4-10</t>
  </si>
  <si>
    <t>85-к раздел 2.2, строка 01, графы 4-6</t>
  </si>
  <si>
    <t>85-к раздел 2.2, строка 01, графы 7-10</t>
  </si>
  <si>
    <t>численность детей в возрасте от 2 месяцев (численность детей в возрасте от 2 месяцев до 1 года принимается как 10/12 численности детей в возрасте до 1 года) до 3 лет (на 1 января следующего за отчетным года)</t>
  </si>
  <si>
    <t>численность детей в возрасте от 3 до 7 лет включительно (на 1 января следующего за отчетным года)</t>
  </si>
  <si>
    <t>численность воспитанников в возрасте до 3 лет образовательных организаций (включая филиалы), реализующих образовательные программы дошкольного образования</t>
  </si>
  <si>
    <t>численность воспитанников в возрасте от 3 до 7 лет включительно образовательных организаций (включая филиалы), реализующих образовательные программы дошкольного образования</t>
  </si>
  <si>
    <t>Численность воспитанников</t>
  </si>
  <si>
    <t>Число групп</t>
  </si>
  <si>
    <t>группы компенсирующей направленности</t>
  </si>
  <si>
    <t>группы общеразвивающей направленности</t>
  </si>
  <si>
    <t>группы оздоровительной направленности</t>
  </si>
  <si>
    <t>группы комбинированной направленности</t>
  </si>
  <si>
    <t>семейные дошкольные группы</t>
  </si>
  <si>
    <t>единиц</t>
  </si>
  <si>
    <t>в режиме кратковременного пребывания</t>
  </si>
  <si>
    <t>в режиме круглосуточного пребывания</t>
  </si>
  <si>
    <t>85-к раздел 2.1, строка 02, графа 3</t>
  </si>
  <si>
    <t>85-к раздел 2.1, строка 11, графа 3</t>
  </si>
  <si>
    <t>85-к раздел 2.1, строка 12, графа 3</t>
  </si>
  <si>
    <t>85-к раздел 2.1, строка 15, графа 3</t>
  </si>
  <si>
    <t>85-к раздел 2.1, строка 02, графа 7</t>
  </si>
  <si>
    <t>85-к раздел 2.1, строка 11, графа 7</t>
  </si>
  <si>
    <t>85-к раздел 2.1, строка 12, графа 7</t>
  </si>
  <si>
    <t>85-к раздел 2.1, строка 15, графа 7</t>
  </si>
  <si>
    <t>85-к раздел 2.1, строка 21, графа 3</t>
  </si>
  <si>
    <t>85-к раздел 2.1, строка 22, графа 3</t>
  </si>
  <si>
    <t>85-к раздел 2.1, строка 21, графа 7</t>
  </si>
  <si>
    <t>85-к раздел 2.1, строка 22, графа 7</t>
  </si>
  <si>
    <t>Общая численность воспитанников</t>
  </si>
  <si>
    <t>группы по присмотру и уходу за детьми</t>
  </si>
  <si>
    <t>85-к раздел 2.1, строка 17, графа 3</t>
  </si>
  <si>
    <t>воспитатели</t>
  </si>
  <si>
    <t>старшие воспитатели</t>
  </si>
  <si>
    <t>музыкальные руководители</t>
  </si>
  <si>
    <t>инструкторы по физической культуре</t>
  </si>
  <si>
    <t>учителя-логопеды</t>
  </si>
  <si>
    <t>учителя-дефектологи</t>
  </si>
  <si>
    <t>педагоги-психологи</t>
  </si>
  <si>
    <t>социальные педагоги</t>
  </si>
  <si>
    <t>педагоги-организаторы</t>
  </si>
  <si>
    <t>педагоги дополнительного образования</t>
  </si>
  <si>
    <t>Общая численность педигогических работников</t>
  </si>
  <si>
    <t>челокек</t>
  </si>
  <si>
    <t>1.3.3.</t>
  </si>
  <si>
    <t>85-к раздел 3.1, строка 01 графа 3</t>
  </si>
  <si>
    <t>85-к раздел 3.1, строка 02 графа 3</t>
  </si>
  <si>
    <t>85-к раздел 3.1, строка 03 графа 3</t>
  </si>
  <si>
    <t>85-к раздел 3.1, строка 04 графа 3</t>
  </si>
  <si>
    <t>85-к раздел 3.1, строка 05 графа 3</t>
  </si>
  <si>
    <t>85-к раздел 3.1, строка 06 графа 3</t>
  </si>
  <si>
    <t>85-к раздел 3.1, строка 07 графа 3</t>
  </si>
  <si>
    <t>85-к раздел 3.1, строка 08 графа 3</t>
  </si>
  <si>
    <t>85-к раздел 3.1, строка 09 графа 3</t>
  </si>
  <si>
    <t>85-к раздел 3.1, строка 10 графа 3</t>
  </si>
  <si>
    <t>85-к раздел 3.1, строка 11 графа 3</t>
  </si>
  <si>
    <t>85-к раздел 4.2, строка 01, графа 3</t>
  </si>
  <si>
    <t>85-к раздел 1.2, строка 01-02, графа 3</t>
  </si>
  <si>
    <t>85-к раздел 4.2, строка 03, графа 3</t>
  </si>
  <si>
    <t>85-к раздел 2.2, строка 01, графы 7-11</t>
  </si>
  <si>
    <t>85-к раздел 4.4, строка 02, графа 3</t>
  </si>
  <si>
    <t>85-к раздел 4.3, строка 04, графа 3</t>
  </si>
  <si>
    <t>85-к раздел 2.1, строка 01, графа 6</t>
  </si>
  <si>
    <t>Форма № 85-К подраздел 2.1. стр. 02 гр. 5</t>
  </si>
  <si>
    <t>Форма № 85-К подраздел 2.1. стр. 03 гр. 5</t>
  </si>
  <si>
    <t>Форма № 85-К подраздел 2.1. стр. 04 гр. 5</t>
  </si>
  <si>
    <t>Форма № 85-К подраздел 2.1. стр. 02 гр. 6</t>
  </si>
  <si>
    <t>Численность воспитанников охваченных летними оздоровительными мероприятиями</t>
  </si>
  <si>
    <t>Форма № 85-К подраздел 2.3. стр. 01 гр.3</t>
  </si>
  <si>
    <t>Форма № 85-К подраздел 2.1. стр. 01 гр.3</t>
  </si>
  <si>
    <t>число дошкольных образовательных организаций с учетом находящихся на капитальном ремонте (без учета филиалов) в предыдущем году t</t>
  </si>
  <si>
    <t>Форма № 85-К подраздел 1.1. стр. 01 гр.3</t>
  </si>
  <si>
    <t>Форма № 85-К подраздел 1.1. стр. 02 гр.3</t>
  </si>
  <si>
    <t>Форма № 85-К подраздел 1.1. стр. 03 гр.3</t>
  </si>
  <si>
    <t>Форма № 85-К подраздел 1.1. стр. 05 гр.3</t>
  </si>
  <si>
    <t>Форма № 85-К подраздел 1.1. стр. 08-09 гр.3</t>
  </si>
  <si>
    <t>85-к раздел 4.3, строка 02, графа 3</t>
  </si>
  <si>
    <t>85-к раздел 4.3, строка 01</t>
  </si>
  <si>
    <t>численности обучающихся, продолживших обучение по образовательным программам среднего общего образования</t>
  </si>
  <si>
    <t>численности обучающихся, получивших аттестат об основном общем образовании по итогам учебного года, предшествующего отчетному</t>
  </si>
  <si>
    <t>Численность обучающихся</t>
  </si>
  <si>
    <t>Количество классов</t>
  </si>
  <si>
    <t>Численности обучающихся в первую смену</t>
  </si>
  <si>
    <t>форма № ОО-1, подраздел 2.9. стр. 01 гр. 3</t>
  </si>
  <si>
    <t>форма № ОО-1, подраздел 2.9. стр. 02 гр. 3</t>
  </si>
  <si>
    <t>форма № ОО-1, подраздел 2.9. стр. 03 гр. 3</t>
  </si>
  <si>
    <t>Общая численности обучающихся</t>
  </si>
  <si>
    <t>численности обучающихся в классах (группах) профильного обучения</t>
  </si>
  <si>
    <t>общая численность обучающихся в 10 - 11 (12) классах</t>
  </si>
  <si>
    <t>форма № ОО-1, подраздел 2.12 стр. 01 гр. 4 по классам очного обучения</t>
  </si>
  <si>
    <t>численность обучающихся с использованием дистанционных образовательных технологий</t>
  </si>
  <si>
    <t>общая численность обучающихся</t>
  </si>
  <si>
    <t>численность педагогических работников</t>
  </si>
  <si>
    <t>общая численность работников (без внешних совместителей и работающих по договорам гражданско-правового характера)</t>
  </si>
  <si>
    <t>форма № ОО-1, подраздел 3.1 стр. 06 гр. 3</t>
  </si>
  <si>
    <t>форма № ОО-1, подраздел 3.1 стр. 01 гр. 3</t>
  </si>
  <si>
    <t>число организаций, имеющих в составе педагогических работников</t>
  </si>
  <si>
    <t>общее число организаций</t>
  </si>
  <si>
    <t>форма № ОО-1, подраздел 1.1 стр. 01 гр. 3</t>
  </si>
  <si>
    <t>численность обучающихся</t>
  </si>
  <si>
    <t>учителей-дефектологов</t>
  </si>
  <si>
    <t>учителей-логопедов</t>
  </si>
  <si>
    <t>педагогов-психологов</t>
  </si>
  <si>
    <t>тьюторов, ассистентов (помощников)</t>
  </si>
  <si>
    <t>число зданий, в которых созданы условия для беспрепятственного доступа инвалидов</t>
  </si>
  <si>
    <t>общее число зданий организаций</t>
  </si>
  <si>
    <t>общая численность лиц с ограниченными возможностями здоровья</t>
  </si>
  <si>
    <t>численность обучающихся в соответствии с федеральным государственным образовательным стандартом с ограниченными возможностями здоровья</t>
  </si>
  <si>
    <t>общая численность обучающихся по адаптированным основным общеобразовательным программам</t>
  </si>
  <si>
    <t>численность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t>
  </si>
  <si>
    <t xml:space="preserve"> число организаций использующих электронный журнал, электронный дневник</t>
  </si>
  <si>
    <t>форма № ОО-2, подраздел 2.2.,  строка 07 графа 3</t>
  </si>
  <si>
    <t>5.1.2.</t>
  </si>
  <si>
    <t>Структура численности детей, обучающихся по дополнительным общеобразовательным программам, по направлениям &lt;*&gt;:</t>
  </si>
  <si>
    <t>в области искусств:</t>
  </si>
  <si>
    <t>в области физической культуры и спорта:</t>
  </si>
  <si>
    <t>Охват детей дополнительными общеобразовательными программами (отношение численности обучающихся по дополнительным общеобразовательным программам к численности детей в возрасте от 5 до 18 лет)</t>
  </si>
  <si>
    <t>5.1.4.</t>
  </si>
  <si>
    <t>Удельный вес численности обучающихся (занимающихся) с использованием дистанционных образовательных технологий, электронного обучения в общей численности обучающихся по дополнительным общеобразовательным программам или занимающихся по программам спортивной подготовки в физкультурно-спортивных организациях</t>
  </si>
  <si>
    <t>5.1.5.</t>
  </si>
  <si>
    <t>Отношение численности детей, обучающихся по дополнительным общеобразовательным программам по договорам об оказании платных образовательных услуг, услуг по спортивной подготовке, к численности детей, обучающихся за счет бюджетных ассигнований, в том числе за счет средств федерального бюджета, бюджета субъекта Российской Федерации и местного бюджета</t>
  </si>
  <si>
    <t>Удельный вес численности детей с ограниченными возможностями здоровья в общей численности обучающихся в организациях дополнительного образования</t>
  </si>
  <si>
    <t>Удельный вес численности детей-инвалидов в общей численности обучающихся в организациях дополнительного образования</t>
  </si>
  <si>
    <t>5.3.2.</t>
  </si>
  <si>
    <t>Удельный вес численности педагогических работников в общей численности работников организаций дополнительного образования:</t>
  </si>
  <si>
    <t>внешние совместители.</t>
  </si>
  <si>
    <t>Удельный вес численности педагогов дополнительного образования, получивших образование по укрупненным группам специальностей и направлений подготовки высшего образования "Образование и педагогические науки" и укрупненной группе специальностей среднего профессионального образования "Образование и педагогические науки", в общей численности педагогов дополнительного образования (без внешних совместителей и работающих по договорам гражданско-правового характера):</t>
  </si>
  <si>
    <t xml:space="preserve">   в области искусств:</t>
  </si>
  <si>
    <t xml:space="preserve">     техническое;</t>
  </si>
  <si>
    <t xml:space="preserve">     естественнонаучное;</t>
  </si>
  <si>
    <t xml:space="preserve">     туристско-краеведческое;</t>
  </si>
  <si>
    <t xml:space="preserve">     социально-педагогическое;</t>
  </si>
  <si>
    <t xml:space="preserve">     по общеразвивающим программам;</t>
  </si>
  <si>
    <t xml:space="preserve">     по предпрофессиональным программам;</t>
  </si>
  <si>
    <t xml:space="preserve">   в области физической культуры и спорта:</t>
  </si>
  <si>
    <t xml:space="preserve">     по предпрофессиональным программам.</t>
  </si>
  <si>
    <t>Удельный вес численности педагогических работников в возрасте моложе 35 лет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дополнительным общеобразовательным программам для детей и/или программам спортивной подготовки</t>
  </si>
  <si>
    <t>Материально-техническое и информационное обеспечение организаций, осуществляющих образовательную деятельность в части реализации дополнительных общеобразовательных программ</t>
  </si>
  <si>
    <t xml:space="preserve">Общая площадь всех помещений организаций дополнительного образования в расчете на 1 обучающегося </t>
  </si>
  <si>
    <t>Удельный вес числа организаций, имеющих следующие виды благоустройства, в общем числе организаций дополнительного образования:</t>
  </si>
  <si>
    <t xml:space="preserve">Темп роста числа образовательных организаций (филиалов) дополнительного образования </t>
  </si>
  <si>
    <t>Финансово-экономическая деятельность организаций, осуществляющих образовательную деятельность в части обеспечения реализации дополнительных общеобразовательных программ</t>
  </si>
  <si>
    <t>Удельный вес числа организаций, осуществляющих образовательную деятельность по дополнительным общеобразовательным программам, здания которых находятся в аварийном состоянии, в общем числе организаций дополнительного образования</t>
  </si>
  <si>
    <t>Удельный вес числа организаций, осуществляющих образовательную деятельность по дополнительным общеобразовательным программам, здания которых требуют капитального ремонта, в общем числе организаций дополнительного образования</t>
  </si>
  <si>
    <t>Результаты занятий детей в организациях дополнительного образования (удельный вес родителей детей, обучающихся в организациях дополнительного образования, отметивших различные результаты обучения их детей, в общей численности родителей детей, обучающихся в организациях дополнительного образования):</t>
  </si>
  <si>
    <t>улучшение знаний в рамках основной общеобразовательной программы обучающимися *</t>
  </si>
  <si>
    <t>по общеразвивающим программам</t>
  </si>
  <si>
    <t>по предпрофессиональным программам</t>
  </si>
  <si>
    <t>социально-педагогическое</t>
  </si>
  <si>
    <t>туристско-краеведческое</t>
  </si>
  <si>
    <t>естественнонаучное</t>
  </si>
  <si>
    <t>техническое</t>
  </si>
  <si>
    <t>Численность обучающихся всего, в том числе</t>
  </si>
  <si>
    <t>1-ДОП раздел 1, строка 01, графа 3</t>
  </si>
  <si>
    <t>1-ДОП раздел 1, строка 02, графа 3</t>
  </si>
  <si>
    <t>1-ДОП раздел 1, строка 03, графа 3</t>
  </si>
  <si>
    <t>1-ДОП раздел 1, строка 04, графа 3</t>
  </si>
  <si>
    <t>1-ДОП раздел 1, строка 05, графа 3</t>
  </si>
  <si>
    <t>1-ДОП раздел 1, строка 06, графа 3</t>
  </si>
  <si>
    <t>1-ДОП раздел 1, строка 07, графа 3</t>
  </si>
  <si>
    <t>1-ДОП раздел 1, строка 08, графа 3</t>
  </si>
  <si>
    <t>общая численности обучающихся</t>
  </si>
  <si>
    <t>1-ДОП раздел 1, строка 10, графа 3</t>
  </si>
  <si>
    <t>численности обучающихся (занимающихся) с использованием дистанционных образовательных технологий, электронного обучения</t>
  </si>
  <si>
    <t>1-ДОП раздел 1, строка 11, графа 3</t>
  </si>
  <si>
    <t>обучающиеся по дополнительным общеобразовательным программам по договорам об оказании платных образовательных услуг, услуг по спортивной подготовке</t>
  </si>
  <si>
    <t>1-ДОП раздел 2, строки 01-09, графа 6</t>
  </si>
  <si>
    <t>1-ДОП раздел 1, строки 01-08, графа 3</t>
  </si>
  <si>
    <t>численность детей, обучающихся за счет бюджетных ассигнований, в том числе за счет средств федерального бюджета, бюджета субъекта Российской Федерации и местного бюджета</t>
  </si>
  <si>
    <t>1-ДОП раздел 2, строки 01-09, графы 3-5</t>
  </si>
  <si>
    <t>общая численность работников</t>
  </si>
  <si>
    <t>численность педагогических работников в возрасте моложе 35 лет</t>
  </si>
  <si>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72,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</si>
  <si>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73, графа 3</t>
    </r>
  </si>
  <si>
    <t>пожарную сигнализацию</t>
  </si>
  <si>
    <t>дымовые извещатели</t>
  </si>
  <si>
    <t>пожарные краны и рукава</t>
  </si>
  <si>
    <t>системы видеонаблюдения</t>
  </si>
  <si>
    <t>"тревожную кнопку"</t>
  </si>
  <si>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74,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</si>
  <si>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78,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</si>
  <si>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79, графа 3</t>
    </r>
  </si>
  <si>
    <t>Удельный вес численности лиц, обучающихся по договорам об оказании платных образовательных услуг,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</si>
  <si>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лиц, обучающихся с применением электронного обучения, дистанционных образовательных технологий, в общей численности студентов, обучающихся по образовательным программам высшего образования:</t>
  </si>
  <si>
    <t>с применением электронного обучения:</t>
  </si>
  <si>
    <t>с применением дистанционных образовательных технологий:</t>
  </si>
  <si>
    <t>4.2.4.</t>
  </si>
  <si>
    <t>Доля несовершеннолетних, состоящих на различных видах учета, обучающихся по образовательным программам высшего образования ****</t>
  </si>
  <si>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</si>
  <si>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лиц в возрасте до 30 лет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</si>
  <si>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Соотношение численности штатного профессорско-преподавательского состава и профессорско-преподавательского состава, работающего на условиях внешнего совместительства,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 (на 100 работников штатного состава приходится внешних совместителей)</t>
  </si>
  <si>
    <t xml:space="preserve">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в расчете на 1 работника профессорско-преподавательского состава </t>
  </si>
  <si>
    <t>Отношение среднемесячной заработной платы профессорско-преподавательского состава государственных и муниципальных образовательных организаций высшего образования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</si>
  <si>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Обеспеченность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общежитиями (удельный вес численности студентов, проживающих в общежитиях, в общей численности студентов, нуждающихся в общежитиях)</t>
  </si>
  <si>
    <t>Обеспеченность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сетью общественного питания</t>
  </si>
  <si>
    <t>Число персональных компьютеров, используемых в учебных целях, в расчете на 100 студентов образовательных организаций высшего образования:</t>
  </si>
  <si>
    <t>Удельный вес числа образовательных организаций, имеющих доступ к сети "Интернет" с максимальной скоростью передачи данных 2 Мбит/сек и выше, в общем числе образовательных организаций высшего образования, подключенных к сети "Интернет"</t>
  </si>
  <si>
    <t>Площадь учебно-лабораторных зданий (корпусов) образовательных организаций высшего образования в расчете на 1 студента</t>
  </si>
  <si>
    <t>Удельный вес числа зданий, доступных для маломобильных групп населения, в общем числе зданий образовательных организаций высшего образования:</t>
  </si>
  <si>
    <t>учебно-лабораторные здания (корпуса)</t>
  </si>
  <si>
    <t>здания общежитий</t>
  </si>
  <si>
    <t>Удельный вес численности студентов с ограниченными возможностями здоровья и студентов, имеющих инвалидность,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</si>
  <si>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студентов, получающих государственные академические стипендии, в общей численности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 за счет бюджетных ассигнований.</t>
  </si>
  <si>
    <t>Объем финансовых средств, поступивших в образовательные организации высшего образования от реализации образовательных программ высшего образования - программ бакалавриата, программ специалитета, программ магистратуры, в расчете на 1 студента, обучающегося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</si>
  <si>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числа организаций, имеющих филиалы, которые реализуют образовательные программы высшего образования - программы бакалавриата, программы специалитета, программы магистратуры, в общем числе образовательных организаций высшего образования</t>
  </si>
  <si>
    <t>Распространенность участия в исследованиях и разработках преподавателей образовательных организаций высшего образования (удельный вес штатных преподавателей, занимающихся научной работой, в общей численности штатных преподавателей образовательных организаций высшего образования) *</t>
  </si>
  <si>
    <t>Распространенность участия в научной работе студентов, обучающихся по образовательным программам высшего образования - программам бакалавриата и программам специалитета на 4 курсе и старше, по программам магистратуры (удельный вес лиц, занимающихся научной работой, в общей численности студентов, обучающихся по образовательным программам высшего образования - программам бакалавриата и программам специалитета на 4 курсе и старше, по программам магистратуры) *</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</si>
  <si>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организаций, осуществляющих образовательную деятельность по образовательным программам среднего профессионального образования **</t>
  </si>
  <si>
    <t>Распространенность дополнительной занятости штатных преподавателей профессиональных образовательных организаций (удельный вес штатных преподавателей профессиональных образовательных организаций, имеющих дополнительную работу, в общей численности штатных преподавателей профессиональных образовательных организаций) *; ***</t>
  </si>
  <si>
    <t>Обеспеченность студентов, обучающихся по образовательным программам среднего профессионального образования, общежитиями (удельный вес численности студентов, проживающих в общежитиях, в общей численности студентов, нуждающихся в общежитиях):</t>
  </si>
  <si>
    <t xml:space="preserve">   программы подготовки квалифицированных рабочих, служащих;</t>
  </si>
  <si>
    <t xml:space="preserve">   программы подготовки специалистов среднего звена.</t>
  </si>
  <si>
    <t>Обеспеченность студентов, обучающихся по образовательным программам среднего профессионального образования, сетью общественного питания</t>
  </si>
  <si>
    <t>имеющих доступ к сети "Интернет"</t>
  </si>
  <si>
    <t>Число персональных компьютеров, используемых в учебных целях, в расчете на 100 студентов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</si>
  <si>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числа организаций, имеющих доступ к сети "Интернет" с максимальной скоростью передачи данных 2 Мбит/сек и выше, в общем числе организаций, осуществляющих образовательную деятельность по образовательным программам среднего профессионального образования, подключенных к сети "Интернет"</t>
  </si>
  <si>
    <t>Площадь учебно-лабораторных зданий (корпусов) организаций, осуществляющих образовательную деятельность по образовательным программам среднего профессионального образования, в расчете на 1 студента</t>
  </si>
  <si>
    <t>Удельный вес числа зданий, доступных для маломобильных групп населения, в общем числе зданий организаций, осуществляющих образовательную деятельность по образовательным программам среднего профессионального образования:</t>
  </si>
  <si>
    <t xml:space="preserve"> </t>
  </si>
  <si>
    <t>Удельный вес численности студентов с ограниченными возможностями здоровья и студентов, имеющих инвалидность, в общей численности студентов, обучающихся по образовательным программам среднего профессионального образования:</t>
  </si>
  <si>
    <t xml:space="preserve">   студенты, имеющие инвалидность (кроме студентов с ограниченными возможностями здоровья).</t>
  </si>
  <si>
    <t>ВПО-2 раздел 1.3, строка 02, графа 6</t>
  </si>
  <si>
    <t>ВПО-2 раздел 1.3, строка 02, графа 3</t>
  </si>
  <si>
    <t>ВПО-2 раздел 1.3, строка 09, графа 6</t>
  </si>
  <si>
    <t>ВПО-2 раздел 1.3, строка 09, графа 3</t>
  </si>
  <si>
    <t>ВПО-2 раздел 1.3, строка 02, графа 7</t>
  </si>
  <si>
    <t>ВПО-2 раздел 1.3, строка 09, графа 7</t>
  </si>
  <si>
    <t>ВПО-2 раздел 1.3, строка 02, графа 8</t>
  </si>
  <si>
    <t>ВПО-1 раздел 2.13</t>
  </si>
  <si>
    <t>ВПО-2 раздел 3.1, строка 01, графы 7, 8</t>
  </si>
  <si>
    <t>ВПО-2 раздел 3.1. строка 06-08, графы 7, 8</t>
  </si>
  <si>
    <t xml:space="preserve">             из них инвалиды и дети-инвалиды</t>
  </si>
  <si>
    <t xml:space="preserve">     студенты, имеющие инвалидность (кроме студентов с ограниченными возможностями здоровья)</t>
  </si>
  <si>
    <r>
      <t>ВПО-</t>
    </r>
    <r>
      <rPr>
        <sz val="11"/>
        <color rgb="FFFF0000"/>
        <rFont val="Calibri"/>
        <family val="2"/>
        <charset val="204"/>
        <scheme val="minor"/>
      </rPr>
      <t>1</t>
    </r>
    <r>
      <rPr>
        <sz val="11"/>
        <color theme="1"/>
        <rFont val="Calibri"/>
        <family val="2"/>
        <charset val="204"/>
        <scheme val="minor"/>
      </rPr>
      <t xml:space="preserve"> раздел 2.5, строка 03, графы 4, 7, 10</t>
    </r>
  </si>
  <si>
    <r>
      <t>ВПО-</t>
    </r>
    <r>
      <rPr>
        <sz val="11"/>
        <color rgb="FFFF0000"/>
        <rFont val="Calibri"/>
        <family val="2"/>
        <charset val="204"/>
        <scheme val="minor"/>
      </rPr>
      <t>1</t>
    </r>
    <r>
      <rPr>
        <sz val="11"/>
        <color theme="1"/>
        <rFont val="Calibri"/>
        <family val="2"/>
        <charset val="204"/>
        <scheme val="minor"/>
      </rPr>
      <t xml:space="preserve"> раздел 2.13 -</t>
    </r>
    <r>
      <rPr>
        <sz val="11"/>
        <color rgb="FFFF0000"/>
        <rFont val="Calibri"/>
        <family val="2"/>
        <charset val="204"/>
        <scheme val="minor"/>
      </rPr>
      <t>все формы обучения</t>
    </r>
  </si>
  <si>
    <t>ВПО-2 раздел 1.2, графа 5</t>
  </si>
  <si>
    <t>ВПО-2 раздел 1.3, строка 02, графа 4 ГОУ</t>
  </si>
  <si>
    <t>ВПО-2 раздел 1.2, строка 02, графа 5 ГОУ</t>
  </si>
  <si>
    <t>ВПО-2 раздел 1.3, строка 02, графа 4 НОУ</t>
  </si>
  <si>
    <t>ВПО-2 раздел 1.2, строка 02, графа 5 НОУ</t>
  </si>
  <si>
    <t>ВПО-2 раздел 1.5, строка 03, графа 3</t>
  </si>
  <si>
    <t>ВПО-2 раздел 3.5. строка 01, графа 5</t>
  </si>
  <si>
    <t>численность лиц, обучающихся по образовательным программам высшего образования - программам бакалавриата, программам специалитета, программам магистратуры по заочной форме обучения (включая экстернат)</t>
  </si>
  <si>
    <t>ВПО-1 раздел 2.13 – очное</t>
  </si>
  <si>
    <t>ВПО-1 раздел 2.13 – очно-заочное</t>
  </si>
  <si>
    <t>ВПО-1 раздел 2.13 – заочное</t>
  </si>
  <si>
    <t>ВПО-1 раздел 1.2 строка 01 графа 5</t>
  </si>
  <si>
    <t>ВПО-1 раздел 1.2 строка 02 графа 5</t>
  </si>
  <si>
    <t>ВПО-1 раздел 1.2 строка 03 графа 5</t>
  </si>
  <si>
    <t>число зданий, доступных для маломобильных групп населения</t>
  </si>
  <si>
    <t>общее число зданий образовательных организаций высшего образования</t>
  </si>
  <si>
    <t>ВПО-2 раздел 1.2, строка 1</t>
  </si>
  <si>
    <t>ВПО-2 раздел 1.2, строка 2</t>
  </si>
  <si>
    <t>студенты с ограниченными возможностями здоровья</t>
  </si>
  <si>
    <t>из них инвалиды и дети-инвалиды</t>
  </si>
  <si>
    <t>студенты, имеющие инвалидность (кроме студентов с ограниченными возможностями здоровья)</t>
  </si>
  <si>
    <t>численности студентов с ограниченными возможностями здоровья и студентов, имеющих инвалидность</t>
  </si>
  <si>
    <t>общая численность студентов, обучающихся по образовательным программам высшего образования</t>
  </si>
  <si>
    <t>ВПО-1 раздел 2.5, строки 02, 03, графы 5, 7, 10</t>
  </si>
  <si>
    <t>ВПО-1 раздел 2.5, строка 01, графы 5, 7, 10</t>
  </si>
  <si>
    <t>ВПО-1 раздел 2.5, строки 04, 05, графы 5, 7, 10</t>
  </si>
  <si>
    <t>численность студентов, обучающихся по образовательным программам высшего образования - программам бакалавриата с применением электронного обучения</t>
  </si>
  <si>
    <t>численность студентов, обучающихся по образовательным программам высшего образования - программам специалитетас применением электронного обучения</t>
  </si>
  <si>
    <t>численность студентов, обучающихся по образовательным программам высшего образования - программам магистратуры с применением электронного обучения</t>
  </si>
  <si>
    <t>Удельный вес площади зданий, требующей капитального ремонта,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</si>
  <si>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находящейся в аварийном состоянии,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</si>
  <si>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оборудованной охранно-пожарной сигнализацией,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</si>
  <si>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числа образовательных организаций, создавших кафедры и иные структурные подразделения, обеспечивающие практическую подготовку студентов, обучающихся по образовательным программам среднего профессионального образования, на базе организаций реального сектора экономики, осуществляющих деятельность по профилю соответствующей образовательной программы, в общем числе организаций, реализующих образовательные программы среднего профессионального образования **</t>
  </si>
  <si>
    <t>Удельный вес числа организаций, имеющих филиалы, которые реализуют образовательные программы среднего профессионального образования, в общем числе профессиональных образовательных организаций, реализующих образовательные программы среднего профессионального образования</t>
  </si>
  <si>
    <t>Объем финансовых средств, поступивших в образовательные организации, реализующие образовательные программы среднего профессионального образования, от реализации программ среднего профессионального образования в расчете на 1 студента, обучающегося по образовательным программам среднего профессионального образования.</t>
  </si>
  <si>
    <t>Удельный вес финансовых средств от приносящей доход деятельности в общем объеме финансовых средств, полученных организациями, реализующими образовательные программы среднего профессионального образования, от реализации образовательных программ среднего профессионального образования.</t>
  </si>
  <si>
    <t>Темп роста числа организаций (филиалов), осуществляющих образовательную деятельность по образовательным программам среднего профессионального образования</t>
  </si>
  <si>
    <t>3.6.5.</t>
  </si>
  <si>
    <t>3.6.4.</t>
  </si>
  <si>
    <t xml:space="preserve">      всего</t>
  </si>
  <si>
    <t>Удельный вес численности студентов, получающих государственные академические стипендии, в общей численности студентов очной формы обучения, обучающихся по образовательным программам среднего профессионального образования за счет бюджетных ассигнований</t>
  </si>
  <si>
    <t>Удельный вес численности студентов с ограниченными возможностями здоровья и студентов, имеющих инвалидность, обучающихся по адаптированным образовательным программам, в общей численности студентов с ограниченными возможностями здоровья и студентов, имеющих, инвалидность, обучающихся по образовательным программам среднего профессионального образования</t>
  </si>
  <si>
    <t>Структура численности студентов с ограниченными возможностями здоровья и студентов, имеющих инвалидность, обучающихся по образовательным программам среднего профессионального образования, по формам обучения</t>
  </si>
  <si>
    <t>Удельный вес площади зданий, требующей капитального ремонта,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</si>
  <si>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находящейся в аварийном состоянии,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</si>
  <si>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оборудованной охранно-пожарной сигнализацией,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</si>
  <si>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ВПО-2, раздел 1.3, строка 09, графа 3</t>
  </si>
  <si>
    <t>ВПО-2 раздел 1.3, строка 09, графа 8</t>
  </si>
  <si>
    <t>ВПО-2 раздел 3.1, строка 01, графа 12</t>
  </si>
  <si>
    <t>Численности обучающихся, охваченных подвозом</t>
  </si>
  <si>
    <t xml:space="preserve">Общая численность обучающихся, нуждающихся в подвозе </t>
  </si>
  <si>
    <r>
      <t xml:space="preserve">76-РИК раздел 5, строки 01, 02, </t>
    </r>
    <r>
      <rPr>
        <sz val="11"/>
        <color rgb="FFFF0000"/>
        <rFont val="Calibri"/>
        <family val="2"/>
        <charset val="204"/>
        <scheme val="minor"/>
      </rPr>
      <t>03</t>
    </r>
    <r>
      <rPr>
        <sz val="11"/>
        <color theme="1"/>
        <rFont val="Calibri"/>
        <family val="2"/>
        <charset val="204"/>
        <scheme val="minor"/>
      </rPr>
      <t xml:space="preserve"> графа 7
ОО-1 раздел 2.14. строки 02, 03
ОО-1 подраздел 2.14.1. сумма стр. 02–04 по гр. 3 плюс подраздел 2.14.2. сумма стр. 02–04 по сумме гр. 3, 12 по сумме классов всех форм обучения</t>
    </r>
  </si>
  <si>
    <t>Удельный вес численности детей, охваченных летними оздоровительными мероприятиями,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</si>
  <si>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Удельный вес численности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 в общей численности обучающихся по адаптированным образовательным программам для обучающихся с умственной отсталостью (интеллектуальными нарушениями)</t>
  </si>
  <si>
    <t>СПО-1 раздел 2.1.1. стр.07 гр.4 – все формы обучения</t>
  </si>
  <si>
    <t>СПО-1 раздел 2.1.1. стр.07 гр.10, 12, 14 – все формы обучения</t>
  </si>
  <si>
    <t>СПО-1 раздел 2.1.2, стр.04 гр.46 – все формы обучения</t>
  </si>
  <si>
    <t>СПО-1 раздел 2.1.2, стр.06 гр.46 – все формы обучения</t>
  </si>
  <si>
    <t>СПО-1 раздел 2.1.2, стр.05 гр.46 – все формы обучения</t>
  </si>
  <si>
    <t>СПО-1 раздел 2.1.2. стр.06 гр.46 - все формы обучения</t>
  </si>
  <si>
    <t>СПО-1 раздел 2.1.2. стр.03 гр.46 – все формы обучения</t>
  </si>
  <si>
    <t>СПО-1 раздел 2.1.2, стр.03 гр.46 – все формы обучения</t>
  </si>
  <si>
    <t>СПО-1 раздел 2.1.2, стр.01 гр.46 – все формы обучения</t>
  </si>
  <si>
    <t>СПО-1 раздел 2.1.2, стр.02 гр.46 – все формы обучения</t>
  </si>
  <si>
    <t>СПО-1 раздел 2.1.2, стр.06 гр.46 – очная форма обучения</t>
  </si>
  <si>
    <t>СПО-1 раздел 2.1.2, стр.03 гр.46 – очная форма обучения</t>
  </si>
  <si>
    <t>СПО-1 раздел 2.1.2, стр.03 гр.46 – очно-заочная форма обучения</t>
  </si>
  <si>
    <t>СПО-1 раздел 2.1.2, стр.03 гр.46 – заочная форма обучения</t>
  </si>
  <si>
    <t>СПО-1 раздел 2.1.2, стр.03 гр.55 – все формы обучения</t>
  </si>
  <si>
    <t>СПО-1 раздел 3.1. стр.23 гр.3</t>
  </si>
  <si>
    <t>СПО-1 раздел 3.1. стр.23 гр.15</t>
  </si>
  <si>
    <t>СПО-1 раздел 3.1. стр.23 гр.14</t>
  </si>
  <si>
    <t>СПО-1 раздел 3.1. стр.24 гр.14</t>
  </si>
  <si>
    <t>СПО-1 раздел 3.1. стр.24 гр.15</t>
  </si>
  <si>
    <t>СПО-1 раздел 3.1. стр.24 гр.3</t>
  </si>
  <si>
    <t>СПО-1 раздел 3.1. стр.23, гр.3</t>
  </si>
  <si>
    <t>СПО-1 раздел 3.1. стр.23, гр.4</t>
  </si>
  <si>
    <t>СПО-1 раздел 3.1. стр.6, гр.4</t>
  </si>
  <si>
    <t>СПО-1 раздел 3.1. стр.6, гр.3</t>
  </si>
  <si>
    <t>СПО-1 раздел 2.1.2, стр.06 гр.46 – заочная форма обучения</t>
  </si>
  <si>
    <t>СПО-1 раздел 2.1.2, стр.06 гр.46 – очно-заочная форма обучения</t>
  </si>
  <si>
    <t>СПО-1 раздел 2.1.2, стр.06 гр.55 – все формы обучения</t>
  </si>
  <si>
    <t xml:space="preserve">         программы подготовки квалифицированных рабочих, служащих</t>
  </si>
  <si>
    <t xml:space="preserve">         программы подготовки специалистов среднего звена</t>
  </si>
  <si>
    <t>численность студентов очной формы обучения, обучающихся по образовательным программам среднего профессионального образования - программам подготовки квалифицированных рабочих, служащих, получающих стипендии</t>
  </si>
  <si>
    <t>численность студентов очной формы обучения, обучающихся по образовательным среднего профессионального образования - программам подготовки квалифицированных рабочих, служащих</t>
  </si>
  <si>
    <t>численность студентов-инвалидов и студентов с ограниченными возможностями здоровья</t>
  </si>
  <si>
    <t>обучающиеся по образовательным программам среднего профессионального образования</t>
  </si>
  <si>
    <t>СПО-1 раздел 2.6, стр.01, гр.3 – очная форма обучения</t>
  </si>
  <si>
    <t>СПО-1 раздел 2.6, стр.01, гр.6 – очная форма обучения</t>
  </si>
  <si>
    <t>СПО-1 раздел 2.5, стр.01,04,05, гр.4, 9 – все формы обучения</t>
  </si>
  <si>
    <t>СПО-1 раздел 2.5, стр.06,09,10, гр.4, 9 – все формы обучения</t>
  </si>
  <si>
    <t>СПО-1 раздел 2.5, стр.01,04,05, гр.14, 16 – все формы обучения</t>
  </si>
  <si>
    <t>СПО-1 раздел 2.5, стр.06,09,10, гр.14, 16 – все формы обучения</t>
  </si>
  <si>
    <t xml:space="preserve">      студенты с ограниченными возможностями здоровья</t>
  </si>
  <si>
    <t>студенты, имеющие инвалидность (кроме студентов с ограниченными возможностями здоровья).</t>
  </si>
  <si>
    <t>Количество зданий, доступных для маломобильных групп населения</t>
  </si>
  <si>
    <t>Общее количество зданий</t>
  </si>
  <si>
    <t>число персональных компьютеров, используемых в учебных целях</t>
  </si>
  <si>
    <t>число персональных компьютеров, имеющих доступ к сети "Интернет"</t>
  </si>
  <si>
    <t>численность обучающихся по образовательным программам среднего профессионального образования</t>
  </si>
  <si>
    <t>общая численности преподавателей и мастеров производственного обучения</t>
  </si>
  <si>
    <t>численность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t>
  </si>
  <si>
    <t xml:space="preserve">общая численность педагогических работников </t>
  </si>
  <si>
    <t>численности лиц, имеющих квалификационную категорию</t>
  </si>
  <si>
    <t>общая численности педагогических работников (без внешних совместителей и работающих по договорам гражданско-правового характера)</t>
  </si>
  <si>
    <t xml:space="preserve">         в негосударственных образовательных организациях</t>
  </si>
  <si>
    <t xml:space="preserve">      преподаватели</t>
  </si>
  <si>
    <t xml:space="preserve">   среднее профессиональное образование по программам подготовки специалистов среднего звена:</t>
  </si>
  <si>
    <t xml:space="preserve">      мастера производственного обучения</t>
  </si>
  <si>
    <t>имеющие высшее образование</t>
  </si>
  <si>
    <t>общая численность педагогических работников</t>
  </si>
  <si>
    <t>в отдельных классах (кроме организованных в отдельных организациях), осуществляющих образовательную деятельность по адаптированным образовательным программам – всего;</t>
  </si>
  <si>
    <t>из них инвалидов, детей-инвалидов.</t>
  </si>
  <si>
    <t>в формате инклюзии – всего;</t>
  </si>
  <si>
    <t>общая численность обучающихся по адаптированным образовательным программам</t>
  </si>
  <si>
    <t>с использованием электронного обучения</t>
  </si>
  <si>
    <t>с использованием дистанционных образовательных технологий</t>
  </si>
  <si>
    <t>численность выпускников, освоивших образовательные программы среднего профессионального образования - программы подготовки квлифицированных рабочих, служащих с использованием дистанционных образовательных технологий</t>
  </si>
  <si>
    <t>численность выпускников, освоивших образовательные программы среднего профессионального образования - программы подготовки квлифицированных рабочих, служащих</t>
  </si>
  <si>
    <t xml:space="preserve">   программы подготовки квалифицированных рабочих, служащих:</t>
  </si>
  <si>
    <t xml:space="preserve">      с использованием электронного обучения;</t>
  </si>
  <si>
    <t xml:space="preserve">   программы подготовки специалистов среднего звена:</t>
  </si>
  <si>
    <t>Площадь учебно-лабораторных зданий (корпусов) организаций, осуществляющих образовательную деятельность по образовательным программам среднего профессионального образования</t>
  </si>
  <si>
    <t>Численность обучающихся приведенная к очной форме обучения</t>
  </si>
  <si>
    <t>СПО-2 раздел 1.3, стр.02 гр.3</t>
  </si>
  <si>
    <t>СПО-2 раздел 1.3, стр.02 гр.4</t>
  </si>
  <si>
    <t>СПО-2 раздел 1.3, стр.02 гр.5</t>
  </si>
  <si>
    <t>СПО-2 раздел 3.5, стр.01 гр.4</t>
  </si>
  <si>
    <t>СПО-2 раздел 3.5, стр.01, гр.5</t>
  </si>
  <si>
    <t>СПО-2 раздел 3.1, стр.06-09, гр.5</t>
  </si>
  <si>
    <t>СПО-2 раздел 3.1, стр.01, гр.5</t>
  </si>
  <si>
    <t>СПО-2 раздел 3.5, стр.02, графа 5</t>
  </si>
  <si>
    <t>10.4.2.</t>
  </si>
  <si>
    <t>Удельный вес числа организаций, имеющих на веб-сайте в сети "Интернет" информацию о нормативно закрепленном перечне сведений о деятельности организации, в общем числе следующих организаций:</t>
  </si>
  <si>
    <t xml:space="preserve">   образовательные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t>
  </si>
  <si>
    <t xml:space="preserve">   образовательные организации, осуществляющие образовательную деятельность по образовательным программам среднего профессионального образования;</t>
  </si>
  <si>
    <t xml:space="preserve">   образовательные организации высшего образования;</t>
  </si>
  <si>
    <t xml:space="preserve">   организации, осуществляющие образовательную деятельность по дополнительным профессиональным программам.</t>
  </si>
  <si>
    <t>образовательные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t>
  </si>
  <si>
    <t>образовательные организации, осуществляющие образовательную деятельность по образовательным программам среднего профессионального образования;</t>
  </si>
  <si>
    <t>образовательные организации высшего образования;</t>
  </si>
  <si>
    <t>организации дополнительного образования;</t>
  </si>
  <si>
    <t>организации, осуществляющие образовательную деятельность по дополнительным профессиональным программам.</t>
  </si>
  <si>
    <t>число организаций, имеющих на веб-сайте в сети "Интернет" информацию о нормативно закрепленном перечне сведений о деятельности организации</t>
  </si>
  <si>
    <t>Удельный вес числа организаций, имеющих веб-сайт в сети "Интернет", в общем числе организаций:</t>
  </si>
  <si>
    <t>Удельный вес числа образовательных организаций, в которых созданы коллегиальные органы управления, в общем числе образовательных организаций:</t>
  </si>
  <si>
    <t xml:space="preserve">   образовательные организации, осуществляющие образовательную деятельность по образовательным программам профессионального обучения;</t>
  </si>
  <si>
    <t>числа образовательных организаций, в которых созданы коллегиальные органы управления</t>
  </si>
  <si>
    <t>общее число образовательных организаций:</t>
  </si>
  <si>
    <t>образовательные организации, осуществляющие образовательную деятельность по образовательным программам профессионального обучения;</t>
  </si>
  <si>
    <t>программы профессиональной подготовки по профессиям рабочих, должностям служащих;</t>
  </si>
  <si>
    <t>программы переподготовки рабочих, служащих;</t>
  </si>
  <si>
    <t>программы повышения квалификации рабочих, служащих.</t>
  </si>
  <si>
    <t>Структура численности слушателей, завершивших обучение по программам профессионального обучения:</t>
  </si>
  <si>
    <t>общая численность</t>
  </si>
  <si>
    <t>Охват населения программами профессионального обучения по возрастным группам (отношение численности слушателей определенной возрастной группы, завершивших обучение по программам профессионального обучения, к численности населения соответствующей возрастной группы):</t>
  </si>
  <si>
    <t>18 - 64 лет;</t>
  </si>
  <si>
    <t>18 - 34 лет;</t>
  </si>
  <si>
    <t>35 - 64 лет.</t>
  </si>
  <si>
    <t>с применением электронного обучения;</t>
  </si>
  <si>
    <t>с применением дистанционных образовательных технологий.</t>
  </si>
  <si>
    <t>численности слушателей, завершивших обучение:</t>
  </si>
  <si>
    <t>Структура численности слушателей, завершивших обучение по программам профессионального обучения, по программам и источникам финансирования:</t>
  </si>
  <si>
    <t>программы профессиональной подготовки по профессиям рабочих, должностям служащих:</t>
  </si>
  <si>
    <t>за счет бюджетных ассигнований;</t>
  </si>
  <si>
    <t>по договорам об оказании платных образовательных услуг за счет средств физических лиц;</t>
  </si>
  <si>
    <t>по договорам об оказании платных образовательных услуг за счет средств юридических лиц;</t>
  </si>
  <si>
    <t>программы переподготовки рабочих, служащих:</t>
  </si>
  <si>
    <t>программы повышения квалификации рабочих, служащих:</t>
  </si>
  <si>
    <t>высшее образование;</t>
  </si>
  <si>
    <t>из них соответствующее профилю обучения;</t>
  </si>
  <si>
    <t>среднее профессиональное образование по программам подготовки специалистов среднего звена;</t>
  </si>
  <si>
    <t>Удельный вес численности лиц, завершивших обучение по дополнительным профессиональным программам в форме стажировки в организациях (предприятиях) реального сектора экономики в течение последних 3-х лет, в общей численности преподавателей и мастеров производственного обучения (без внешних совместителей и работающих по договорам гражданско-правового характера) в организациях, осуществляющих образовательную деятельность по программам профессионального обучения:</t>
  </si>
  <si>
    <t>преподаватели;</t>
  </si>
  <si>
    <t>мастера производственного обучения.</t>
  </si>
  <si>
    <t>завершившие обучение по дополнительным профессиональным программам в форме стажировки в организациях (предприятиях) реального сектора экономики в течение последних 3-х лет</t>
  </si>
  <si>
    <t>7.4.2.</t>
  </si>
  <si>
    <t>Число персональных компьютеров, используемых в учебных целях, в расчете на 100 слушателей организаций, осуществляющих образовательную деятельность по образовательным программам профессионального обучения:</t>
  </si>
  <si>
    <t>имеющих доступ к сети "Интернет".</t>
  </si>
  <si>
    <t>общая численность слушателей</t>
  </si>
  <si>
    <t>Удельный вес численности слушателей с ограниченными возможностями здоровья и слушателей, имеющих инвалидность, в общей численности слушателей, завершивших обучение по программам профессионального обучения:</t>
  </si>
  <si>
    <t xml:space="preserve">   слушатели, имеющие инвалидность (кроме слушателей с ограниченными возможностями здоровья).</t>
  </si>
  <si>
    <t>слушатели с ограниченными возможностями здоровья;</t>
  </si>
  <si>
    <t>из них инвалидов, детей-инвалидов;</t>
  </si>
  <si>
    <t>слушатели, имеющие инвалидность (кроме слушателей с ограниченными возможностями здоровья).</t>
  </si>
  <si>
    <t>общая численность слушателей, завершивших обучение</t>
  </si>
  <si>
    <t>Удельный вес работников организаций, завершивших обучение за счет средств работодателя, в общей численности слушателей, завершивших обучение по программам профессионального обучения.</t>
  </si>
  <si>
    <t>работники организаций, завершивших обучение за счет средств работодателя, в общей численности слушателей</t>
  </si>
  <si>
    <t xml:space="preserve">   программы профессиональной подготовки по профессиям рабочих, должностям служащих;</t>
  </si>
  <si>
    <t xml:space="preserve">   программы переподготовки рабочих, служащих;</t>
  </si>
  <si>
    <t xml:space="preserve">   программы повышения квалификации рабочих, служащих.</t>
  </si>
  <si>
    <t xml:space="preserve">   18 - 64 лет;</t>
  </si>
  <si>
    <t xml:space="preserve">   18 - 34 лет;</t>
  </si>
  <si>
    <t xml:space="preserve">   35 - 64 лет.</t>
  </si>
  <si>
    <t xml:space="preserve">   с применением электронного обучения;</t>
  </si>
  <si>
    <t xml:space="preserve">   программы профессиональной подготовки по профессиям рабочих, должностям служащих:</t>
  </si>
  <si>
    <t xml:space="preserve">      за счет бюджетных ассигнований;</t>
  </si>
  <si>
    <t xml:space="preserve">   программы переподготовки рабочих, служащих:</t>
  </si>
  <si>
    <t xml:space="preserve">      по договорам об оказании платных образовательных услуг за счет средств физических лиц;</t>
  </si>
  <si>
    <t xml:space="preserve">      по договорам об оказании платных образовательных услуг за счет средств юридических лиц;</t>
  </si>
  <si>
    <t xml:space="preserve">   программы повышения квалификации рабочих, служащих:</t>
  </si>
  <si>
    <t xml:space="preserve">   высшее образование;</t>
  </si>
  <si>
    <t xml:space="preserve">      из них соответствующее профилю обучения;</t>
  </si>
  <si>
    <t xml:space="preserve">   среднее профессиональное образование по программам подготовки специалистов среднего звена;</t>
  </si>
  <si>
    <t xml:space="preserve">      из них соответствующее профилю обучения.</t>
  </si>
  <si>
    <t xml:space="preserve">   преподаватели;</t>
  </si>
  <si>
    <t xml:space="preserve">   мастера производственного обучения.</t>
  </si>
  <si>
    <t>Темп роста числа организаций (обособленных подразделений (филиалов), осуществляющих образовательную деятельность по образовательным программам профессионального обучения:</t>
  </si>
  <si>
    <t xml:space="preserve">   всего; &lt;**&gt;</t>
  </si>
  <si>
    <t>иные организации. &lt;**&gt;</t>
  </si>
  <si>
    <t>отчетный год</t>
  </si>
  <si>
    <t>всего; &lt;**&gt;</t>
  </si>
  <si>
    <t>общеобразовательные организации; &lt;**&gt;</t>
  </si>
  <si>
    <t>профессиональные образовательные организации; &lt;**&gt;</t>
  </si>
  <si>
    <t>образовательные организации высшего образования; &lt;**&gt;</t>
  </si>
  <si>
    <t>организации дополнительного образования; &lt;**&gt;</t>
  </si>
  <si>
    <t>организации дополнительного профессионального образования; &lt;**&gt;</t>
  </si>
  <si>
    <t>предыдущий год</t>
  </si>
  <si>
    <t>Удельный вес численности преподавателей и мастеров производственного обучения из числа работников организаций и предприятий, работающих на условиях внешнего совместительства, привлеченных к образовательной деятельности, в общей численности преподавателей и мастеров производственного обучения в организациях, осуществляющих образовательную деятельность по образовательным программам профессионального обучения.</t>
  </si>
  <si>
    <t>численности преподавателей и мастеров производственного обучения из числа работников организаций и предприятий, работающих на условиях внешнего совместительства, привлеченных к образовательной деятельности</t>
  </si>
  <si>
    <t>общая численность преподавателей и мастеров производственного обучения в организациях</t>
  </si>
  <si>
    <t>Удельный вес численности лиц, прошедших обучение по программам повышения квалификации, профессиональной переподготовки в образовательных организациях, реализующих дополнительные профессиональные программы, в общей численности занятых в организациях реального сектора экономики</t>
  </si>
  <si>
    <t>Удельный вес слушателей, завершивших обучение по программам профессиональной переподготовки с присвоением новой квалификации, в общей численности слушателей, завершивших обучение по программам профессиональной переподготовки.</t>
  </si>
  <si>
    <t>слушатели, завершивших обучение по программам профессиональной переподготовки с присвоением новой квалификации</t>
  </si>
  <si>
    <t>общая численность слушателей, завершивших обучение по программам профессиональной переподготовки</t>
  </si>
  <si>
    <t xml:space="preserve">      слушатели с ограниченными возможностями здоровья;</t>
  </si>
  <si>
    <t xml:space="preserve">         из них инвалидов, детей-инвалидов;</t>
  </si>
  <si>
    <t xml:space="preserve">          образовательные организации высшего образования;</t>
  </si>
  <si>
    <t xml:space="preserve">          дошкольные образовательные организации;</t>
  </si>
  <si>
    <t xml:space="preserve">          организации дополнительного образования;</t>
  </si>
  <si>
    <t xml:space="preserve">    организации, осуществляющие образовательную деятельность по дополнительным профессиональным программам.</t>
  </si>
  <si>
    <t xml:space="preserve">   образовательные программы среднего профессионального образования - программы подготовки квалифицированных рабочих, служащих</t>
  </si>
  <si>
    <t xml:space="preserve">   образовательные программы среднего профессионального образования - программы подготовки специалистов среднего звена</t>
  </si>
  <si>
    <t xml:space="preserve">   образовательные программы высшего образования - программы бакалавриата</t>
  </si>
  <si>
    <t xml:space="preserve">   программы высшего образования - программы специалитета</t>
  </si>
  <si>
    <t xml:space="preserve">   образовательные программы высшего образования - программы магистратуры</t>
  </si>
  <si>
    <t xml:space="preserve">   образовательные программы высшего образования - программы подготовки кадров высшей квалификации</t>
  </si>
  <si>
    <t xml:space="preserve">   математика (4 класс) *</t>
  </si>
  <si>
    <t xml:space="preserve">   математика (8 класс) *</t>
  </si>
  <si>
    <t xml:space="preserve">   естествознание (4 класс) *</t>
  </si>
  <si>
    <t xml:space="preserve">   естествознание (8 класс) *</t>
  </si>
  <si>
    <t xml:space="preserve">   читательская грамотность *</t>
  </si>
  <si>
    <t xml:space="preserve">   математическая грамотность *</t>
  </si>
  <si>
    <t xml:space="preserve">   естественнонаучная грамотность *</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</si>
  <si>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t>
  </si>
  <si>
    <t>финансовые средства, полученные от научной деятельности</t>
  </si>
  <si>
    <t>общем объеме финансовых средств</t>
  </si>
  <si>
    <t>Удельный вес численности лиц с инвалидностью в общей численности слушателей, завершивших обучение по дополнительным профессиональным программам.</t>
  </si>
  <si>
    <t>численность лиц с инвалидностью</t>
  </si>
  <si>
    <t>Темп роста числа организаций, осуществляющих образовательную деятельность по дополнительным профессиональным программам:</t>
  </si>
  <si>
    <t xml:space="preserve">      организации дополнительного профессионального образования;</t>
  </si>
  <si>
    <t xml:space="preserve">      профессиональные образовательные организации;</t>
  </si>
  <si>
    <t xml:space="preserve">      образовательные организации высшего образования.</t>
  </si>
  <si>
    <t>организации дополнительного профессионального образования;</t>
  </si>
  <si>
    <t>профессиональные образовательные организации;</t>
  </si>
  <si>
    <t>образовательные организации высшего образования.</t>
  </si>
  <si>
    <t>Структура численности слушателей, завершивших обучение по дополнительным профессиональным программам, по источникам финансирования:</t>
  </si>
  <si>
    <t xml:space="preserve">   за счет бюджетных ассигнований;</t>
  </si>
  <si>
    <t xml:space="preserve">   по договорам об оказании платных образовательных услуг за счет физических лиц;</t>
  </si>
  <si>
    <t xml:space="preserve">   по договорам об оказании платных образовательных услуг за счет юридических лиц.</t>
  </si>
  <si>
    <t>6.2.3.</t>
  </si>
  <si>
    <t>численность слушателей, завершивших обучение по дополнительным профессиональным программам</t>
  </si>
  <si>
    <t>по договорам об оказании платных образовательных услуг за счет физических лиц;</t>
  </si>
  <si>
    <t>по договорам об оказании платных образовательных услуг за счет юридических лиц.</t>
  </si>
  <si>
    <t xml:space="preserve">   учебно-лабораторные здания **</t>
  </si>
  <si>
    <t xml:space="preserve">   общежития **</t>
  </si>
  <si>
    <t xml:space="preserve">   всего ****</t>
  </si>
  <si>
    <t xml:space="preserve">   имеющих доступ к Интернету ****</t>
  </si>
  <si>
    <t xml:space="preserve">   доктора наук **</t>
  </si>
  <si>
    <t xml:space="preserve">   кандидата наук **</t>
  </si>
  <si>
    <t>6.2.2.</t>
  </si>
  <si>
    <t>Удельный вес числа дополнительных профессиональных образовательных программ, прошедших профессионально-общественную аккредитацию работодателями и их объединениями, в общем числе дополнительных профессиональных образовательных программ:</t>
  </si>
  <si>
    <t xml:space="preserve">      программы повышения квалификации; &lt;**&gt;</t>
  </si>
  <si>
    <t xml:space="preserve">      программы профессиональной переподготовки. &lt;**&gt;</t>
  </si>
  <si>
    <t>программы повышения квалификации; &lt;**&gt;</t>
  </si>
  <si>
    <t>программы профессиональной переподготовки. &lt;**&gt;</t>
  </si>
  <si>
    <t>общее число дополнительных профессиональных образовательных программ</t>
  </si>
  <si>
    <t>число дополнительных профессиональных образовательных программ, прошедших профессионально-общественную аккредитацию работодателями и их объединениями</t>
  </si>
  <si>
    <t xml:space="preserve">      программы повышения квалификации;</t>
  </si>
  <si>
    <t xml:space="preserve">      программы профессиональной переподготовки.</t>
  </si>
  <si>
    <t>программы повышения квалификации;</t>
  </si>
  <si>
    <t>программы профессиональной переподготовки.</t>
  </si>
  <si>
    <t>Структура численности слушателей, завершивших обучение по дополнительным профессиональным программам, по категориям (удельный вес численности слушателей соответствующей категории в общей численности слушателей, завершивших обучение по дополнительным профессиональным программам):</t>
  </si>
  <si>
    <t>работники организаций и предприятий;</t>
  </si>
  <si>
    <t>лица, замещающие государственные должности и должности государственной гражданской службы;</t>
  </si>
  <si>
    <t>лица, замещающие муниципальные должности и должности муниципальной службы;</t>
  </si>
  <si>
    <t>лица, уволенные с военной службы;</t>
  </si>
  <si>
    <t>лица по направлению службы занятости;</t>
  </si>
  <si>
    <t>студенты, обучающиеся по образовательным программам среднего профессионального образования и высшего образования;</t>
  </si>
  <si>
    <t>другие.</t>
  </si>
  <si>
    <t>численность слушателей, завершивших обучение по дополнительным профессиональным программам, по категориям</t>
  </si>
  <si>
    <t>общая численность слушателей, завершивших обучение по дополнительным профессиональным программам</t>
  </si>
  <si>
    <t>Доля занятого населения, прошедшего повышение квалификации и (или) профессиональную подготовку, в общей численности занятого в области экономики населения.</t>
  </si>
  <si>
    <t>общая численность занятого в области экономики населения</t>
  </si>
  <si>
    <t>Удельный вес численности студентов, обучающихся по договорам о целевом приеме или целевом обучении,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</si>
  <si>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численность студентов, обучающихся по договорам о целевом приеме или целевом обучении</t>
  </si>
  <si>
    <t>общая численность студентов</t>
  </si>
  <si>
    <t>8.2.2.</t>
  </si>
  <si>
    <t>Удельный вес численности студентов, обучающихся по договорам о целевом обучении, в общей численности студентов, обучающихся по образовательным программам среднего профессионального образования:</t>
  </si>
  <si>
    <t>численность студентов, обучающихся по договорам о целевом обучении</t>
  </si>
  <si>
    <t>общая численность студентов, обучающихся по образовательным программам среднего профессионального образования</t>
  </si>
  <si>
    <t>8.2.3.</t>
  </si>
  <si>
    <t>Удельный вес числа организаций, имеющих структурные подразделения, обеспечивающие практическую подготовку слушателей на базе предприятий/организаций, осуществляющих деятельность по профилю реализуемых образовательных программ, в общем числе организаций, осуществляющих образовательную деятельность по образовательным программам профессионального обучения:</t>
  </si>
  <si>
    <t xml:space="preserve">   на базе предприятий/организаций реального сектора экономики.</t>
  </si>
  <si>
    <t>на базе предприятий/организаций реального сектора экономики.</t>
  </si>
  <si>
    <t>число организаций, имеющих структурные подразделения, обеспечивающие практическую подготовку слушателей на базе предприятий/организаций</t>
  </si>
  <si>
    <t>общее число организаций, осуществляющих образовательную деятельность по образовательным программам профессионального обучения</t>
  </si>
  <si>
    <t>8.2.4.</t>
  </si>
  <si>
    <t>Распространенность сотрудничества организаций реального сектора экономики с образовательными организациями, осуществляющими образовательную деятельность по профессиональным образовательным программам (удельный вес организаций реального сектора экономики, сотрудничавших с образовательными организациями, реализующими профессиональные образовательные программы, в общем числе организаций реального сектора экономики):</t>
  </si>
  <si>
    <t xml:space="preserve">   среднего профессионального образования; &lt;*&gt;; &lt;***&gt;</t>
  </si>
  <si>
    <t xml:space="preserve">   высшего образования (бакалавриата, специалитета, магистратуры). &lt;*&gt;; &lt;***&gt;</t>
  </si>
  <si>
    <t>среднего профессионального образования; &lt;*&gt;; &lt;***&gt;</t>
  </si>
  <si>
    <t>высшего образования (бакалавриата, специалитета, магистратуры). &lt;*&gt;; &lt;***&gt;</t>
  </si>
  <si>
    <t>общая численность населения</t>
  </si>
  <si>
    <t>численность детей в возрасте от 0 до 3 лет получающих услуги дошкольного образования</t>
  </si>
  <si>
    <t xml:space="preserve">      в городских поселениях</t>
  </si>
  <si>
    <t xml:space="preserve">      в сельской местности</t>
  </si>
  <si>
    <t>имеющих все виды благоустройства (водопровод, центральное отопление, канализацию)</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</si>
  <si>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все виды благоустройства:</t>
  </si>
  <si>
    <t xml:space="preserve">      в городских поселениях и сельской местности</t>
  </si>
  <si>
    <t xml:space="preserve">         в городских поселениях и сельской местности</t>
  </si>
  <si>
    <t xml:space="preserve">            начальное общее образование (1 - 4 классы);</t>
  </si>
  <si>
    <t xml:space="preserve">            основное общее образование (5 - 9 классы);</t>
  </si>
  <si>
    <t xml:space="preserve">            среднее общее образование (10 - 11 (12) классы).</t>
  </si>
  <si>
    <t xml:space="preserve">      социальных педагогов:</t>
  </si>
  <si>
    <t xml:space="preserve">         всего;</t>
  </si>
  <si>
    <t xml:space="preserve">         из них в штате;</t>
  </si>
  <si>
    <t xml:space="preserve">      педагогов-психологов:</t>
  </si>
  <si>
    <t xml:space="preserve">      учителей-логопедов:</t>
  </si>
  <si>
    <t xml:space="preserve">        всего;</t>
  </si>
  <si>
    <t xml:space="preserve">        из них в штате</t>
  </si>
  <si>
    <t xml:space="preserve">      всего;</t>
  </si>
  <si>
    <t xml:space="preserve">            в городских поселениях</t>
  </si>
  <si>
    <t xml:space="preserve">            в сельской местности</t>
  </si>
  <si>
    <t xml:space="preserve">      имеющих доступ к сети "Интернет"</t>
  </si>
  <si>
    <t>Удельный вес численности детей, обучающихся по дополнительным общеобразовательным программам по договорам об оказании платных образовательных услуг, в общей численности детей, обучающихся по дополнительным общеобразовательным программам:</t>
  </si>
  <si>
    <t>Численность обучающихся  по договорам об оказании платных образовательных услуг, в том числе</t>
  </si>
  <si>
    <t xml:space="preserve">        внешние совместители.</t>
  </si>
  <si>
    <t xml:space="preserve">      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</si>
  <si>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         в организациях дополнительного образования.</t>
  </si>
  <si>
    <t>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t>
  </si>
  <si>
    <t>в организациях дополнительного образования.</t>
  </si>
  <si>
    <r>
      <t xml:space="preserve">1-ДОП </t>
    </r>
    <r>
      <rPr>
        <sz val="11"/>
        <color rgb="FFFF0000"/>
        <rFont val="Calibri"/>
        <family val="2"/>
        <charset val="204"/>
        <scheme val="minor"/>
      </rPr>
      <t/>
    </r>
  </si>
  <si>
    <r>
      <t>1-ДОП</t>
    </r>
    <r>
      <rPr>
        <sz val="11"/>
        <color rgb="FFFF0000"/>
        <rFont val="Calibri"/>
        <family val="2"/>
        <charset val="204"/>
        <scheme val="minor"/>
      </rPr>
      <t/>
    </r>
  </si>
  <si>
    <t xml:space="preserve">         водопровод</t>
  </si>
  <si>
    <t xml:space="preserve">         центральное отопление</t>
  </si>
  <si>
    <t xml:space="preserve">         канализацию </t>
  </si>
  <si>
    <t xml:space="preserve">         пожарную сигнализацию</t>
  </si>
  <si>
    <t xml:space="preserve">         дымовые извещатели</t>
  </si>
  <si>
    <t xml:space="preserve">         пожарные краны и рукава</t>
  </si>
  <si>
    <t xml:space="preserve">         системы видеонаблюдения</t>
  </si>
  <si>
    <t xml:space="preserve">         "тревожную кнопку"</t>
  </si>
  <si>
    <t>Общая площадь всех помещений организаций дополнительного образования в расчете на 1 обучающегося:</t>
  </si>
  <si>
    <t xml:space="preserve">         всего</t>
  </si>
  <si>
    <t xml:space="preserve">         имеющих доступ к Интернету </t>
  </si>
  <si>
    <t>Темп роста числа организаций (филиалов) дополнительного образования:</t>
  </si>
  <si>
    <t>Общий объем финансовых средств, поступивших в организации дополнительного образования, в расчете на 1 обучающегося:</t>
  </si>
  <si>
    <t>Удельный вес финансовых средств от приносящей доход деятельности в общем объеме финансовых средств организаций дополнительного образования:</t>
  </si>
  <si>
    <t>Удельный вес числа организаций, имеющих филиалы, в общем числе организаций дополнительного образования:</t>
  </si>
  <si>
    <t>Удельный вес числа организаций, здания которых находятся в аварийном состоянии, в общем числе организаций дополнительного образования:</t>
  </si>
  <si>
    <t>Удельный вес числа организаций, здания которых требуют капитального ремонта, в общем числе организаций дополнительного образования:</t>
  </si>
  <si>
    <t>Удельный вес числа программ профессионального обучения, прошедших профессионально-общественную аккредитацию работодателями и их объединениями, в общем числе программ профессионального обучения:</t>
  </si>
  <si>
    <t>число программ профессионального обучения, прошедших профессионально-общественную аккредитацию работодателями и их объединениями</t>
  </si>
  <si>
    <t>общее число программ</t>
  </si>
  <si>
    <t>Удельный вес численности лиц, имеющих высшее образование или среднее профессиональное образование по программам подготовки специалистов среднего звена, в общей численности преподавателей и мастеров производственного обучения (без внешних совместителей и работающих по договорам гражданско-правового характера) в организациях, осуществляющих образовательную деятельность по образовательным программам профессионального обучения:</t>
  </si>
  <si>
    <t>Удельный вес стоимости дорогостоящих машин и оборудования (стоимостью свыше 1 миллиона рублей за единицу) в общей стоимости машин и оборудования организаций, осуществляющих образовательную деятельность по образовательным программам профессионального обучения.</t>
  </si>
  <si>
    <t xml:space="preserve">      имеющих доступ к сети "Интернет".</t>
  </si>
  <si>
    <t xml:space="preserve">   в государственных и негосударственных образовательных организациях:</t>
  </si>
  <si>
    <t xml:space="preserve">   в государственных образовательных организациях:</t>
  </si>
  <si>
    <t xml:space="preserve">   в негосударственных образовательных организациях:</t>
  </si>
  <si>
    <t xml:space="preserve">      общеобразовательные организации; &lt;**&gt;</t>
  </si>
  <si>
    <t xml:space="preserve">      профессиональные образовательные организации; &lt;**&gt;</t>
  </si>
  <si>
    <t xml:space="preserve">      образовательные организации высшего образования; &lt;**&gt;</t>
  </si>
  <si>
    <t xml:space="preserve">      организации дополнительного образования; &lt;**&gt;</t>
  </si>
  <si>
    <t xml:space="preserve">      организации дополнительного профессионального образования; &lt;**&gt;</t>
  </si>
  <si>
    <t xml:space="preserve">      иные организации. &lt;**&gt;</t>
  </si>
  <si>
    <t>Удельный вес финансовых средств от приносящей доход деятельности в общем объеме финансовых средств, полученных организациями, осуществляющими образовательную деятельность по образовательным программам профессионального обучения.</t>
  </si>
  <si>
    <t xml:space="preserve">   в городских поселениях и сельской местности:</t>
  </si>
  <si>
    <t xml:space="preserve">      всего (в возрасте от 2 месяце до 7 лет)</t>
  </si>
  <si>
    <t xml:space="preserve">      в возрасте от 2 месяце до 3 лет</t>
  </si>
  <si>
    <t xml:space="preserve">      в возрасте от 3 до 7 лет</t>
  </si>
  <si>
    <t xml:space="preserve">   в городских поселениях:</t>
  </si>
  <si>
    <t xml:space="preserve">   в сельской местности:</t>
  </si>
  <si>
    <t>Охват молодежи образовательными программами высшего образования (отношение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к численности населения в возрасте 17 - 25 лет).</t>
  </si>
  <si>
    <t>Удельный вес численности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</si>
  <si>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 xml:space="preserve">         очная форма обучения</t>
  </si>
  <si>
    <t xml:space="preserve">         очно-заочная форма обучения</t>
  </si>
  <si>
    <t xml:space="preserve">         заочная форма обучения </t>
  </si>
  <si>
    <t xml:space="preserve">         с применением электронного обучения:</t>
  </si>
  <si>
    <t xml:space="preserve">            программы бакалавриата</t>
  </si>
  <si>
    <t xml:space="preserve">            программы специалитета</t>
  </si>
  <si>
    <t xml:space="preserve">            программы магистратуры</t>
  </si>
  <si>
    <t xml:space="preserve">   с применением дистанционных образовательных технологий:</t>
  </si>
  <si>
    <t xml:space="preserve">         доктора наук</t>
  </si>
  <si>
    <t xml:space="preserve">        кандидата наук</t>
  </si>
  <si>
    <t xml:space="preserve">         студенты с ограниченными возможностями здоровья</t>
  </si>
  <si>
    <t xml:space="preserve">         учебно-лабораторные здания (корпуса)</t>
  </si>
  <si>
    <t xml:space="preserve">         здания общежитий</t>
  </si>
  <si>
    <t>МИНОБР</t>
  </si>
  <si>
    <t>Значение показателя за 2018 год</t>
  </si>
  <si>
    <t>численность педагогов (внешние совместители), из них:</t>
  </si>
  <si>
    <t>форма № ОО-1, подраздел 2.1.1.-2.1.3. стр. 10 гр. 13 минус стр. 16 гр. 13</t>
  </si>
  <si>
    <t>форма № ОО-1, подраздел 2.1.1. стр. 4, 6, 8 гр. 3 по классам очного обучения</t>
  </si>
  <si>
    <t>форма № ОО-1, подраздел 2.1.1. стр. 10 гр. 3 - очное обучение</t>
  </si>
  <si>
    <t>форма № ОО-1, подраздел 2.1.2. стр. 24 графа 3 - очное обучение</t>
  </si>
  <si>
    <t>форма № ОО-1, подраздел 2.1.3. стр. 10 гр. 3 - очное обучение</t>
  </si>
  <si>
    <t>форма № ОО-1, подраздел 2.1.1. стр. 10 гр. 3 - очно-заочное обучение</t>
  </si>
  <si>
    <t>форма № ОО-1, подраздел 2.1.1. стр. 10 гр. 3 - заочное обучение</t>
  </si>
  <si>
    <t>форма № ОО-1, подраздел 3.1. строка 06 гр.16</t>
  </si>
  <si>
    <t>в городских поселениях и сельской местности</t>
  </si>
  <si>
    <t>численность педагогов (без внешних совместителей), из них:</t>
  </si>
  <si>
    <t xml:space="preserve">            основного общего образования;</t>
  </si>
  <si>
    <t xml:space="preserve">            среднего общего образования.</t>
  </si>
  <si>
    <t xml:space="preserve">      в государственных образовательных организациях:</t>
  </si>
  <si>
    <t xml:space="preserve">         в городских поселениях и сельской местности:</t>
  </si>
  <si>
    <t xml:space="preserve">         в городских поселениях:</t>
  </si>
  <si>
    <t xml:space="preserve">         в сельской местности:</t>
  </si>
  <si>
    <t xml:space="preserve">      в негосударственных образовательных организациях:</t>
  </si>
  <si>
    <t>Численность обучающихся, получивших на государственной итоговой аттестации неудовлетворительные результаты</t>
  </si>
  <si>
    <t>форма № ОО-1, подраздел 2.6., строка 04 графа 18-19</t>
  </si>
  <si>
    <t>Общая численность обучающихся, участвовавших в государственной итоговой аттестации</t>
  </si>
  <si>
    <t>форма № ОО-1, подраздел 2.6., строка 11 графа 18-19</t>
  </si>
  <si>
    <t>форма № ОО-1, подраздел 2.6., строка 01 графа 18-19</t>
  </si>
  <si>
    <t>форма № ОО-1, подраздел 2.6., строка 16 графа 18-19</t>
  </si>
  <si>
    <t>в государственных образовательных организациях:</t>
  </si>
  <si>
    <t>в городских поселениях и сельской местности:</t>
  </si>
  <si>
    <t>в городских поселениях:</t>
  </si>
  <si>
    <t>в сельской местности:</t>
  </si>
  <si>
    <t>в негосударственных образовательных организациях:</t>
  </si>
  <si>
    <t xml:space="preserve">         учителя-дефектолога;</t>
  </si>
  <si>
    <t xml:space="preserve">         учителя-логопеда;</t>
  </si>
  <si>
    <t xml:space="preserve">         педагога-психолога;</t>
  </si>
  <si>
    <t xml:space="preserve">         тьютора, ассистента (помощника).</t>
  </si>
  <si>
    <t>форма № ОО-1, подраздел 1.3., строка 04, 14, 24 графа 3</t>
  </si>
  <si>
    <t>форма № ОО-1, подраздел 1.3., строка 05, 15, 25 графа 3</t>
  </si>
  <si>
    <t>форма № ОО-1, подраздел 1.3., строка 06, 16, 26 графа 3</t>
  </si>
  <si>
    <t>форма № ОО-1, подраздел 1.3., строка 07, 17, 27 графа 3</t>
  </si>
  <si>
    <t>форма № ОО-1, подраздел 1.3., строка 08, 18, 28 графа 3</t>
  </si>
  <si>
    <t>форма № ОО-1, подраздел 1.3., строка 09, 19, 29 графа 3</t>
  </si>
  <si>
    <t>форма № ОО-1, подраздел 1.3., строка 10, 20, 30 графа 3</t>
  </si>
  <si>
    <t>форма № ОО-1, подраздел 1.3., строка 31 графа 3</t>
  </si>
  <si>
    <t xml:space="preserve">         для глухих;</t>
  </si>
  <si>
    <t xml:space="preserve">         для слабослышащих и позднооглохших;</t>
  </si>
  <si>
    <t xml:space="preserve">         для слепых;</t>
  </si>
  <si>
    <t xml:space="preserve">         для слабовидящих;</t>
  </si>
  <si>
    <t xml:space="preserve">         с тяжелыми нарушениями речи;</t>
  </si>
  <si>
    <t xml:space="preserve">         с нарушениями опорно-двигательного аппарата;</t>
  </si>
  <si>
    <t xml:space="preserve">         с задержкой психического развития;</t>
  </si>
  <si>
    <t xml:space="preserve">         с расстройствами аутистического спектра;</t>
  </si>
  <si>
    <t xml:space="preserve">         с умственной отсталостью (интеллектуальными нарушениями).</t>
  </si>
  <si>
    <t>Подведы</t>
  </si>
  <si>
    <t>ДМиВ</t>
  </si>
  <si>
    <t>форма № ОО-2, подраздел 1.5., строка 02, графа 3</t>
  </si>
  <si>
    <t>форма № ОО-2, подраздел 1.5., строка 02, графа 4</t>
  </si>
  <si>
    <t>форма № ОО-1, подраздел 2.1.1. стр. 10 гр. 13-16 по всем формам обучения</t>
  </si>
  <si>
    <t>форма № ОО-1, подраздел 2.1.3., строка 24 графа 3 - очное-заочное</t>
  </si>
  <si>
    <t>форма № ОО-1, подраздел 2.1.3., строка 24 графа 3 - заочное</t>
  </si>
  <si>
    <t>форма № ОО-1, подраздел 2.1.1., строка 10 графа 3 - очное-заочное</t>
  </si>
  <si>
    <t>форма № ОО-1, подраздел 2.1.1., строка 10 графа 3 - заочное</t>
  </si>
  <si>
    <t>форма № ОО-1, подраздел 1.3., строка 03, 13, 23 графа 3</t>
  </si>
  <si>
    <t>форма № ОО-1, подраздел 2.1.3., строка 10 графа 3</t>
  </si>
  <si>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3,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</si>
  <si>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3,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</si>
  <si>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14</t>
    </r>
  </si>
  <si>
    <r>
      <t>1-ДО</t>
    </r>
    <r>
      <rPr>
        <sz val="11"/>
        <color rgb="FFFF0000"/>
        <rFont val="Calibri"/>
        <family val="2"/>
        <charset val="204"/>
        <scheme val="minor"/>
      </rPr>
      <t xml:space="preserve"> (сводная)</t>
    </r>
    <r>
      <rPr>
        <sz val="11"/>
        <color theme="1"/>
        <rFont val="Calibri"/>
        <family val="2"/>
        <charset val="204"/>
        <scheme val="minor"/>
      </rPr>
      <t xml:space="preserve"> раздел 1, строка 01, графа 3, 17 – отчетный год</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</si>
  <si>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3, 17 – предыдущий год</t>
    </r>
  </si>
  <si>
    <t>85-к раздел 2.1, строка 01, графа 4, 5, 6</t>
  </si>
  <si>
    <t>ВПО-1 раздел 3.7.1., строка 08, графа 4, 6</t>
  </si>
  <si>
    <t>ВПО-1 раздел 3.1, строка 08, графа 3</t>
  </si>
  <si>
    <t>ВПО-1 раздел 3.1, строка 08, графа 5</t>
  </si>
  <si>
    <t>ВПО-1 раздел 3.1, строка 08, графа 6</t>
  </si>
  <si>
    <t>ВПО-1, раздел 3.1, строка 08, графа 3</t>
  </si>
  <si>
    <t>ВПО-1 раздел 3.3,1, строка 04, графа 3</t>
  </si>
  <si>
    <t>ВПО-2, раздел 3.5 строка 01, 05 графа 4</t>
  </si>
  <si>
    <t>ВПО-1 раздел 2.5, строка 01, графы 4, 7, 10</t>
  </si>
  <si>
    <t>ВПО-1 раздел 2.5, строки 02, 03, графы 4, 7, 10</t>
  </si>
  <si>
    <t>ВПО-1 раздел 2.5, строки 04, 05, графы 4, 7, 10</t>
  </si>
  <si>
    <t>ВПО-1 раздел 2.1.2 - все формы обучения</t>
  </si>
  <si>
    <t>ВПО-1 раздел 2.6, строк 01, графа 3 - очная форма обучения</t>
  </si>
  <si>
    <t>ВПО-2 раздел 3.3, строка 03, графа 3</t>
  </si>
  <si>
    <t>ВПО-2 раздел 3.3, строка 04, графа 3</t>
  </si>
  <si>
    <t>тыс.человек</t>
  </si>
  <si>
    <t>1-ПК раздел 2.1 строка 01 графа 3</t>
  </si>
  <si>
    <t>1-ПК раздел 2.1 строка 01 графа 4</t>
  </si>
  <si>
    <t>1-ПК раздел 2.1 строка 01 графа 7</t>
  </si>
  <si>
    <t>1-ПК раздел 2.1 строка 02+04 графа 3</t>
  </si>
  <si>
    <t>1-ПК раздел 2.1 строка 01 графа 23</t>
  </si>
  <si>
    <t>1-ПК раздел 2.1 строка 01 графа 27</t>
  </si>
  <si>
    <t>1-ПК раздел 1.3 строка 01 графа 3</t>
  </si>
  <si>
    <t>1-ПК раздел 1.3 строка 04 графа 3</t>
  </si>
  <si>
    <t>1-ПК раздел 1.3 строка 01 графа 4</t>
  </si>
  <si>
    <t>1-ПК раздел 1.3 строка 04 графа 4</t>
  </si>
  <si>
    <t>1-ПК раздел 3.1 строка 06 графа 3</t>
  </si>
  <si>
    <t>1-ПК раздел 3.1 строка 06 графа 5</t>
  </si>
  <si>
    <t>1-ПК раздел 3.1 строка 06 графа 6</t>
  </si>
  <si>
    <t>1-ПК раздел 5.1 строка 01 графа 4</t>
  </si>
  <si>
    <t>1-ПК раздел 1.1 строка 01 графа 3</t>
  </si>
  <si>
    <t>1-ПК раздел 1.1 строка 02 графа 3</t>
  </si>
  <si>
    <t>1-ПК раздел 1.1 строка 03 графа 3</t>
  </si>
  <si>
    <t>1-ПК раздел 1.1 строки 01-05 графа 3</t>
  </si>
  <si>
    <t>1-ПК раздел 6.1 строка 01 графа 8</t>
  </si>
  <si>
    <t>1-ПК раздел 6.1 строка 01 графа 3</t>
  </si>
  <si>
    <t xml:space="preserve">      группы компенсирующей направленности;</t>
  </si>
  <si>
    <t xml:space="preserve">      группы общеразвивающей направленности;</t>
  </si>
  <si>
    <t xml:space="preserve">      группы оздоровительной направленности;</t>
  </si>
  <si>
    <t xml:space="preserve">      группы комбинированной направленности;</t>
  </si>
  <si>
    <t xml:space="preserve">      семейные дошкольные группы.</t>
  </si>
  <si>
    <t xml:space="preserve">      в режиме кратковременного пребывания;</t>
  </si>
  <si>
    <t xml:space="preserve">      в режиме круглосуточного пребывания.</t>
  </si>
  <si>
    <t xml:space="preserve">      группы по присмотру и уходу за детьми.</t>
  </si>
  <si>
    <t xml:space="preserve">     группы компенсирующей направленности, в том числе для детей:</t>
  </si>
  <si>
    <t xml:space="preserve">          с нарушениями слуха;</t>
  </si>
  <si>
    <t xml:space="preserve">          с нарушениями речи;</t>
  </si>
  <si>
    <t xml:space="preserve">          с нарушениями зрения;</t>
  </si>
  <si>
    <t xml:space="preserve">          с нарушением интеллекта;</t>
  </si>
  <si>
    <t xml:space="preserve">          с задержкой психического развития;</t>
  </si>
  <si>
    <t xml:space="preserve">          с нарушениями опорно-двигательного аппарата;</t>
  </si>
  <si>
    <t xml:space="preserve">          со сложным дефектом;</t>
  </si>
  <si>
    <t xml:space="preserve">          другого профиля.</t>
  </si>
  <si>
    <t xml:space="preserve">     группы оздоровительной направленности, в том числе для детей:</t>
  </si>
  <si>
    <t xml:space="preserve">          с туберкулезной интоксикацией;</t>
  </si>
  <si>
    <t xml:space="preserve">     группы комбинированной направленности.</t>
  </si>
  <si>
    <t>Структура численности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 &lt;*&gt;</t>
  </si>
  <si>
    <t xml:space="preserve">          часто болеющих.</t>
  </si>
  <si>
    <t>Темп роста числа организаций (обособленных подразделений (филиалов)), осуществляющих образовательную деятельность по образовательным программам дошкольного образования, присмотр и уход за детьми:</t>
  </si>
  <si>
    <t>Расходы консолидированного бюджета субъекта Российской Федерации на дошкольное образование в расчете на 1 ребенка, посещающего организацию, осуществляющую образовательную деятельность по образовательным программам дошкольного образования, присмотр и уход за детьми. &lt;*&gt;</t>
  </si>
  <si>
    <t>Охват детей общим образованием (отношение численности обучающихся по образовательным программам начального общего, основного общего, среднего общего образования и образования обучающихся с умственно отсталосьтью (интеллектуальными нарушениями), к численности детей в возрасте 7 - 18 лет)</t>
  </si>
  <si>
    <t>Удельный вес численности обучающихся, охваченных подвозом, в общей численности обучающихся, нуждающихся в подвозе в образовательные организации</t>
  </si>
  <si>
    <t>Оценка родителями обучающихся общеобразовательных организаций возможности выбора общеобразовательной организации (удельный вес численности родителей обучающихся, отдавших своих детей в конкретную общеобразовательную организацию по причине отсутствия других вариантов для выбора, в общей численности родителей обучающихся общеобразовательных организаций). &lt;*&gt;</t>
  </si>
  <si>
    <t>Удельный вес численности обучающихся в классах (группах) профильного обучения в общей численности обучающихся в 10-11 (12) классах по образовательным программам среднего общего образования</t>
  </si>
  <si>
    <t>Численность обучающихся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 в расчете на 1 педагогического работника</t>
  </si>
  <si>
    <t>Удельный вес численности обучающихся с использованием дистанционных образовательных технологий в общей численности обучающихся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</si>
  <si>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Удельный вес численности учителей в возрасте до 35 лет в общей численности учителей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(интелектуальными нарушениями)</t>
  </si>
  <si>
    <t>Удельный вес числа организаций, имеющих в составе педагогических работников социальных педагогов, педагогов-психологов, учителей-логопедов,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</si>
  <si>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Удельный вес численности педагогических работников в общей численности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</si>
  <si>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 xml:space="preserve">      учителей-дефектологов:</t>
  </si>
  <si>
    <t>учителей-дефектологов:</t>
  </si>
  <si>
    <t>Учебная площадь общеобразовательных организаций в расчете на 1 обучающегося</t>
  </si>
  <si>
    <t>Удельный вес числа зданий, имеющих все виды благоустройства (водопровод, центральное отопление, канализацию), в общем числе зданий общеобразовательных организаций</t>
  </si>
  <si>
    <t>Число персональных компьютеров, используемых в учебных целях, в расчете на 100 обучающихся общеобрзовательных организаций:</t>
  </si>
  <si>
    <t>Удельный вес числа общеобразовательных организаций, использующих электронный журнал, электронный дневник, в общем числе общеобразовательных организаций</t>
  </si>
  <si>
    <t>Удельный вес числа зданий, в которых созданы условия для беспрепятственного доступа инвалидов, в общем числе зданий общеобразовательных организаций</t>
  </si>
  <si>
    <t>Распределение численности обучающихся с ограниченными возможностями здоровья и инвалидностью по реализации образовательных программ в формах: совместного обучения (инклюзии) в отделных классах или отдельных образовательных организациях, осуществляющих реализацию адаптированных основных общеобразовательных программ:</t>
  </si>
  <si>
    <t xml:space="preserve">      учителя-дефектологи;</t>
  </si>
  <si>
    <t xml:space="preserve">      педагоги-психологи;</t>
  </si>
  <si>
    <t xml:space="preserve">      учителя-логопеды;</t>
  </si>
  <si>
    <t xml:space="preserve">      социальные педагоги;</t>
  </si>
  <si>
    <t xml:space="preserve">      тьюторы.</t>
  </si>
  <si>
    <t>Укомплектованность отдельных общеобразовательных организаций, осуществляющих обучение по адаптированным основным общеобразовательным программам, педагогическими работниками: &lt;*&gt;</t>
  </si>
  <si>
    <t>Численность обучающихся по адаптированным основным общеобразовательным программам в расчете на 1 работника:</t>
  </si>
  <si>
    <t>2.5.7.</t>
  </si>
  <si>
    <t>Распределение численности детей, обучающихся по адаптированным основным общеобразовательным программам, по видам программ: &lt;*&gt;</t>
  </si>
  <si>
    <t xml:space="preserve">         со сложными дефектами</t>
  </si>
  <si>
    <t>для обучающихся с ограниченными возможностями здоровья</t>
  </si>
  <si>
    <t xml:space="preserve">         для обучающихся с ограниченными возможностями здоровья</t>
  </si>
  <si>
    <t>со сложными дефектами</t>
  </si>
  <si>
    <t>Удельный вес численности лиц, обеспеченных горячим питанием, в общей численности обучающихся общеобразовательных организаций</t>
  </si>
  <si>
    <t>Удельный вес числа организаций, имеющих логопедический пункт или логопедический кабинет, в общем числе общеобразовательных организаций</t>
  </si>
  <si>
    <t>Удельный вес числа организаций, имеющих спортивные залы, в общем числе общеобразовательных организаций</t>
  </si>
  <si>
    <t>Удельный вес числа организаций, имеющих закрытые плавательные бассейны, в общем числе общеобразовательных организаций</t>
  </si>
  <si>
    <t>Темп роста числа организаций (филиалов),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</si>
  <si>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Общий объем финансовых средств, поступивших в общеобразовательные организации, в расчете на 1 обучающегося</t>
  </si>
  <si>
    <t>2.8.2.</t>
  </si>
  <si>
    <t>Удельный вес финансовых средств от приносящей доход деятельности в общем объеме финансовых средств общеобразовательных организаций</t>
  </si>
  <si>
    <t>Удельный вес числа зданий общеобразовательных организаций, имеющих охрану, в общем числе зданий общеобразовательных организаций</t>
  </si>
  <si>
    <t>Удельный вес числа зданий общеобразовательных организаций, находящихся в аварийном состоянии, в общем числе зданий общеобразовательных организаций</t>
  </si>
  <si>
    <t>2.9.3.</t>
  </si>
  <si>
    <t>Удельный вес числа зданий общеобразовательных организаций, требующих капитального ремонта, в общем числе зданий общеобразовательных организаций</t>
  </si>
  <si>
    <t>II. Среднее профессиональное образование</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</si>
  <si>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 в расчете на 100 бюджетных мест</t>
  </si>
  <si>
    <r>
      <t xml:space="preserve">Удельный вес численности лиц, освоивших образовательные программы среднего профессионального образования с использованием электронного обучения, дистанционных образовательных технологий, </t>
    </r>
    <r>
      <rPr>
        <sz val="11"/>
        <color rgb="FFFF0000"/>
        <rFont val="Calibri"/>
        <family val="2"/>
        <charset val="204"/>
        <scheme val="minor"/>
      </rPr>
      <t>сетевой формы реализации образовтельных программ,</t>
    </r>
    <r>
      <rPr>
        <sz val="11"/>
        <color theme="1"/>
        <rFont val="Calibri"/>
        <family val="2"/>
        <charset val="204"/>
        <scheme val="minor"/>
      </rPr>
      <t xml:space="preserve"> в общей численности выпускников, получивших среднее профессиональное образование:</t>
    </r>
  </si>
  <si>
    <t xml:space="preserve">      с использованием сетевой формы реализации образовательных программ.</t>
  </si>
  <si>
    <t xml:space="preserve">      с использованием дистанционных образовательных технологий;</t>
  </si>
  <si>
    <t>с использованием сетевой формы реализации образовательных программ.</t>
  </si>
  <si>
    <t>Удельный вес числа образовательных организаций, в которых осуществляется подготовка кадров по 50 наиболее перспективным и востребованным на рынке труда профессиям и специальностям, требующим среднего профессионального образования, в общем числе организаций, осуществляющих образовательную деятельность по образовательным программам среднего профессионального образования.</t>
  </si>
  <si>
    <t>Кадровое обеспечение профессиональных образовательных организаций в части реализации образовательных программ среднего профессионального образования, а также оценка уровня заработной платы педагогических работников</t>
  </si>
  <si>
    <t>Удельный вес численности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 в общей численности педагогических работников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</si>
  <si>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организаций, осуществляющих образовательную деятельность по образовательным программам среднего профессионального образования</t>
  </si>
  <si>
    <t xml:space="preserve">         из них инвалиды и дети-инвалиды</t>
  </si>
  <si>
    <t xml:space="preserve">      очная форма обучения</t>
  </si>
  <si>
    <t xml:space="preserve">      очно-заочная форма обучения</t>
  </si>
  <si>
    <t xml:space="preserve">      заочная форма обучения</t>
  </si>
  <si>
    <t>Удельный вес численности лиц, обучающихся по 50 наиболее перспективным и востребованным на рынке труда профессиям и специальностям, требующим среднего профессионального образования, в общей численности студентов, обучающихся по образовательным программам среднего профессионального образования</t>
  </si>
  <si>
    <t>Удельный вес численности лиц, участвующих в региональных чемпионатах "Молодые профессионалы" (WorldSkills Russia), региональных этапах всероссийских олимпиад профессионального мастерства и отраслевых чемпионатах, в общей численности студентов, обучающихся по образовательным программам среднего профессионального образования</t>
  </si>
  <si>
    <t>Удельный вес числа субъектов Российской Федерации, чьи команды участвуют в национальных чемпионатах профессионального мастерства, в том числе в финале Национального чемпионата "Молодые профессионалы" (WorldSkills Russia), в общем числе субъектов Российской Федерации</t>
  </si>
  <si>
    <t>Удельный вес численности лиц, участвующих в национальных чемпионатах "Молодые профессионалы" (WorldSkills Russia), всероссийской олимпиаде профессионального мастерства, в общей численности студентов, обучающихся по образовательным программам среднего профессионального образования</t>
  </si>
  <si>
    <t>Структура профессиональных образовательных организаций, реализующих образовательные программы среднего профессионального образования (в том числе характеристика филиалов)</t>
  </si>
  <si>
    <t>3.9.3.</t>
  </si>
  <si>
    <t>4. Сведения о развитии дополнительного образования детей и взрослых</t>
  </si>
  <si>
    <t>Охват детей дополнительными общеобразовательными программами (отношение численности обучающихся по дополнительным общеобразовательным программам к численности детей в возрасте от 5 до 18 лет) &lt;*&gt;</t>
  </si>
  <si>
    <t>4.1.3.</t>
  </si>
  <si>
    <t>Содержание образовательной деятельности и организация образовательного процесса по дополнительным общеобразовательным программам</t>
  </si>
  <si>
    <t>Удельный вес численности детей с ограниченными возможностями здоровья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</si>
  <si>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 с ограниченными возможностями здоровья (заисключением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</si>
  <si>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t>
  </si>
  <si>
    <t xml:space="preserve">Отношение среднемесячной заработной платы педагогических работников государственных и муниципальных организаций дополнительного образования к среднемесячной заработной плате учителей в субъекте Российской Федерации </t>
  </si>
  <si>
    <t>Удельный вес численности педагогов дополнительного образования в общей численности педагогических работников организаций, осуществляющих образовательную деятельность по дополнительным общеобразовательным программам:</t>
  </si>
  <si>
    <t>Удельный вес численности педагогов дополнительного образования в возрасте моложе 35 лет в общей численности педагогов дополнительного образования (без внешних совместителей и работающих по договорам гражданско-правового характера) организаций, реализующих дополнительные общеобразовательные программы для детей.</t>
  </si>
  <si>
    <t>Результаты занятий детей в организациях дополнительного образования (удельный вес родителей детей, обучающихся в организациях дополнительного образования, отметивших различные результаты обучения их детей, в общей численности родителей детей, обучающихся в организациях дополнительного образования): &lt;**&gt;</t>
  </si>
  <si>
    <t xml:space="preserve">     приобретение актуальных знаний, практических навыков обучающимися;</t>
  </si>
  <si>
    <t xml:space="preserve">     выявление и развитие таланта и способностей обучающихся;</t>
  </si>
  <si>
    <t xml:space="preserve">   профессиональная ориентация, освоение значимых для профессиональной деятельности навыков обучающимися;</t>
  </si>
  <si>
    <t xml:space="preserve">  улучшение знаний в рамках основной общеобразовательной программы обучающимися.</t>
  </si>
  <si>
    <t>5. Сведения о развитии профессионального обучения</t>
  </si>
  <si>
    <r>
      <t xml:space="preserve">Удельный вес численности слушателей, завершивших обучение с применением электронного обучения, дистанционных образовательных технологий, </t>
    </r>
    <r>
      <rPr>
        <sz val="11"/>
        <color rgb="FFFF0000"/>
        <rFont val="Calibri"/>
        <family val="2"/>
        <charset val="204"/>
        <scheme val="minor"/>
      </rPr>
      <t>сетевой формы реализации образовательных программ</t>
    </r>
    <r>
      <rPr>
        <sz val="11"/>
        <color theme="1"/>
        <rFont val="Calibri"/>
        <family val="2"/>
        <charset val="204"/>
        <scheme val="minor"/>
      </rPr>
      <t>, в общей численности слушателей, завершивших обучение по программам профессионального обучения:</t>
    </r>
  </si>
  <si>
    <t xml:space="preserve">   с применением сетевой формы реализации образовательных программ.</t>
  </si>
  <si>
    <t xml:space="preserve">   с применением дистанционных образовательных технологий;</t>
  </si>
  <si>
    <t>с применением сетевой формы реализации образовательных программ.</t>
  </si>
  <si>
    <t>6. Сведения об интеграции образования и науки, а также образования и сферы труда</t>
  </si>
  <si>
    <t>6. Сведения об интеграции российского образования с мировым образовательным пространством</t>
  </si>
  <si>
    <t>7. Сведения о создании условий социализации и самореализации молодежи (в том числе лиц, обучающихся по уровням и видам образования)</t>
  </si>
  <si>
    <t>7. Сведения о создании условий социализации и самореализации молодежи (в том числе  лиц, обучающихся по уровням и видам образования) &lt;**&gt;</t>
  </si>
  <si>
    <t>Охват образованием детей в возрасте от 5 до 18 лет (отношение численности обучающихся в возрасте от 5 до 18 лет к численности детей в возрасте от 5 до 18 лет</t>
  </si>
  <si>
    <t>Ценностные ориентации молодежи и ее участие в общественных достижениях &lt;*&gt;</t>
  </si>
  <si>
    <t>Удельный вес численности молодых людей в возрасте 14-30 лет, состоящих в молодежных и детских общественных объединениях (региональных и местных), в общей численности населения 14-30 лет:</t>
  </si>
  <si>
    <t xml:space="preserve">      общественные объединения, включенные в реестр детских и молодежных объединений, пользующихся государственной поддежкой</t>
  </si>
  <si>
    <t xml:space="preserve">      объединения, включенные в перечень партнеров органа исполнительной власти, реализующего государственную молодежную политики / работаюего с молодежью</t>
  </si>
  <si>
    <t xml:space="preserve">       политические молодежные общественные объединения</t>
  </si>
  <si>
    <t>Деятельность федеральных органов исполнительной власти и органов исполнительной власти субъектов Российской Федерации по созданию условий социализации и самореализации молодежи &lt;*&gt;</t>
  </si>
  <si>
    <t>Удельный вес численности молодых людей в возрасте 14-30 лет, в общей численности населения в возрасте 14-30 лет участвующих:</t>
  </si>
  <si>
    <t>в инновационной деятельности и научно-техническом творчестве;</t>
  </si>
  <si>
    <t xml:space="preserve">      в инновационной деятельности и научно-техническом творчестве;</t>
  </si>
  <si>
    <t>в работе в средствах массовой информации (молодежные медиа);</t>
  </si>
  <si>
    <t xml:space="preserve">      в работе в средствах массовой информации (молодежные медиа);</t>
  </si>
  <si>
    <t>в содейтсвие подготовке и переподготовке специалистов в сфере государственной молодежной политики;</t>
  </si>
  <si>
    <t xml:space="preserve"> в содейтсвие подготовке и переподготовке специалистов в сфере государственной молодежной политики;</t>
  </si>
  <si>
    <t>в международном и межрегиональном молодежном сотрудничестве;</t>
  </si>
  <si>
    <t xml:space="preserve">      в международном и межрегиональном молодежном сотрудничестве;</t>
  </si>
  <si>
    <t xml:space="preserve">      в занатиях творческой деятельностью</t>
  </si>
  <si>
    <t xml:space="preserve">      в профориентации и карьерных устремлениях;</t>
  </si>
  <si>
    <t xml:space="preserve">      в поддежке взаимодействия с общественными организациями и движениями;</t>
  </si>
  <si>
    <t xml:space="preserve">      в формировании семейных ценностей;</t>
  </si>
  <si>
    <t xml:space="preserve">      в патриотическом воспитании;</t>
  </si>
  <si>
    <t xml:space="preserve">   в формировании российской единтичности, единства российской нации, содействии межкультурному и межконфессиональному диалогу;</t>
  </si>
  <si>
    <t xml:space="preserve">      в волонтерской деятельности;</t>
  </si>
  <si>
    <t xml:space="preserve">     в спортивных занатиях, популяризации культуры безопасности в молодежной среде;</t>
  </si>
  <si>
    <t xml:space="preserve">      в развитии молодежного самоуправления.</t>
  </si>
  <si>
    <t>в занатиях творческой деятельностью</t>
  </si>
  <si>
    <t>в профориентации и карьерных устремлениях;</t>
  </si>
  <si>
    <t>в поддежке взаимодействия с общественными организациями и движениями;</t>
  </si>
  <si>
    <t>в формировании семейных ценностей;</t>
  </si>
  <si>
    <t>в патриотическом воспитании;</t>
  </si>
  <si>
    <t>в формировании российской единтичности, единства российской нации, содействии межкультурному и межконфессиональному диалогу;</t>
  </si>
  <si>
    <t>в волонтерской деятельности;</t>
  </si>
  <si>
    <t>в спортивных занатиях, популяризации культуры безопасности в молодежной среде;</t>
  </si>
  <si>
    <t>в развитии молодежного самоуправления.</t>
  </si>
  <si>
    <t>&lt;*&gt; - сбор данных осуществляется в целом по Российской Федерации без детализации по субъектам Российской Федерации;</t>
  </si>
  <si>
    <t xml:space="preserve">      всего </t>
  </si>
  <si>
    <t xml:space="preserve">      граждане СНГ</t>
  </si>
  <si>
    <t>СПО-1 раздел 2.9, строка 01, графа 7 и 24</t>
  </si>
  <si>
    <t>СПО-1 раздел 2.9, строка 02 и 05, графа 7 и 24</t>
  </si>
  <si>
    <t>в государственных и негосударственных образовательных организациях:</t>
  </si>
  <si>
    <t>ПО раздел 2.1, строка 04, графа 5</t>
  </si>
  <si>
    <t>ПО раздел 1.3, строки 01-03, графа 14</t>
  </si>
  <si>
    <t>ПО раздел 1.3, строки 01-03, графа 17</t>
  </si>
  <si>
    <t>ПО раздел 1.3, строки 01-03, графа 7</t>
  </si>
  <si>
    <t>демография</t>
  </si>
  <si>
    <t>ПО раздел 2.3, строка 01, графа 3</t>
  </si>
  <si>
    <t>ПО раздел 2.3, строка 02-03, графа 3</t>
  </si>
  <si>
    <t>ПО раздел 2.3, строка 04-05, графа 3</t>
  </si>
  <si>
    <t>ПО раздел 3.1, строки 20, 23, графа 3</t>
  </si>
  <si>
    <t>ПО раздел 3.1, строки 19, 22, графа 3</t>
  </si>
  <si>
    <t>ПО раздел 3.1, строки 07, 09, графа 3</t>
  </si>
  <si>
    <t>ПО раздел 3.1, строки 07, 09, графа 11</t>
  </si>
  <si>
    <t>ПО раздел 3.1, строки 07, 09, графа 4</t>
  </si>
  <si>
    <t>ПО раздел 2.2, строка 05, графа 3</t>
  </si>
  <si>
    <t>ПО раздел 1.3, строка 01, графа 3</t>
  </si>
  <si>
    <t>ПО раздел 1.3, строка 02, графа 3</t>
  </si>
  <si>
    <t>ПО раздел 1.3, строка 03, графа 3</t>
  </si>
  <si>
    <t>ПО раздел 1.3, строка 01, графа 4</t>
  </si>
  <si>
    <t>ПО раздел 1.3, строка 02, графа 4</t>
  </si>
  <si>
    <t>ПО раздел 1.3, строка 03, графа 4</t>
  </si>
  <si>
    <t>ПО раздел 2.6, строки 06-24, графы 3, 5, 7</t>
  </si>
  <si>
    <t>ПО раздел 2.6, строки 06-18, графы 3, 5, 7</t>
  </si>
  <si>
    <t>ПО раздел 2.6, строки 19-24, графы 3, 5, 7</t>
  </si>
  <si>
    <t>численность обучающихся в организациях, осуществляющих образовательную деятельность по дополнительным общеобразовательным программам</t>
  </si>
  <si>
    <t>по программам спортивной подготовки в физкультурно-спортивной организации</t>
  </si>
  <si>
    <t>в отдельных организациях, осуществляющих образовательную деятельность по адаптированным основным общеобразовательным программам – всего;</t>
  </si>
  <si>
    <t xml:space="preserve">         в отдельных организациях, осуществляющих образовательную деятельность по адаптированным основным общеобразовательным программам – всего;</t>
  </si>
  <si>
    <t xml:space="preserve">       в отдельных классах, осуществляющих образовательную деятельность по адаптированным основным общеобразовательным программам – всего;</t>
  </si>
  <si>
    <t xml:space="preserve">            из них инвалидов, детей-инвалидов.</t>
  </si>
  <si>
    <t xml:space="preserve">           из них инвалидов, детей-инвалидов.</t>
  </si>
  <si>
    <t xml:space="preserve">        в формате совместного обучения (инклюзии) – всего;</t>
  </si>
  <si>
    <t xml:space="preserve">          из них инвалидов, детей-инвалидов.</t>
  </si>
  <si>
    <t>форма № ОО-1, подраздел 2.1.3., строка 24 графа 8-19</t>
  </si>
  <si>
    <t>форма № ОО-1, подраздел 2.1.1., строка 17 графа 4-7</t>
  </si>
  <si>
    <t>тьюторы.</t>
  </si>
  <si>
    <t>Число занятых должностей педагогических работников в соответствии со штатным расписанием</t>
  </si>
  <si>
    <t>Число ставок должностей педагогических работников</t>
  </si>
  <si>
    <t>форма № ОО-1, подраздел 2.1.2 стр. 24 гр. 4-19</t>
  </si>
  <si>
    <t>форма № ОО-1, подраздел 2.1.1-2.1.3 стр. 10 гр. 4-7</t>
  </si>
  <si>
    <t>форма № ОО-1, подраздел 2.1.1-2.1.3 стр. 10 гр. 8-12</t>
  </si>
  <si>
    <t>форма № ОО-1, подраздел 2.1.1-2.1.3 стр. 10 гр. 13-16</t>
  </si>
  <si>
    <t>форма № ОО-1, подраздел 2.1.1-2.1.3 стр. 9 гр. 4-7</t>
  </si>
  <si>
    <t>форма № ОО-1, подраздел 2.1.1-2.1.3 стр. 9 гр. 8-12</t>
  </si>
  <si>
    <t>форма № ОО-1, подраздел 2.1.1-2.1.3 стр. 9 гр. 13-16</t>
  </si>
  <si>
    <t>форма № ОО-1, подраздел 2.1.2 стр. 23 гр. 4-19</t>
  </si>
  <si>
    <t xml:space="preserve">      на базе основного общего образования</t>
  </si>
  <si>
    <t xml:space="preserve">      на базе среднего общего образования</t>
  </si>
  <si>
    <t xml:space="preserve">      очная форма обучения;</t>
  </si>
  <si>
    <t xml:space="preserve">      очно-заочная форма обучения;</t>
  </si>
  <si>
    <t xml:space="preserve">      заочная форма обучения.</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</si>
  <si>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</si>
  <si>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</si>
  <si>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высшее образование</t>
  </si>
  <si>
    <t xml:space="preserve">         преподаватели</t>
  </si>
  <si>
    <t xml:space="preserve">         мастера производственного обучения</t>
  </si>
  <si>
    <t>СПО-1 раздел 3.1., стр.06 гр.3</t>
  </si>
  <si>
    <t>СПО-1 раздел 3.1., стр.07 гр.3</t>
  </si>
  <si>
    <t>СПО-1 раздел 3.1., стр.12 гр.3</t>
  </si>
  <si>
    <t>СПО-1 раздел 3.1., стр.06 гр.4</t>
  </si>
  <si>
    <t>СПО-1 раздел 3.1., стр.07 гр.4</t>
  </si>
  <si>
    <t>СПО-1 раздел 3.1., стр.12 гр.4</t>
  </si>
  <si>
    <t>СПО-1 раздел 3.1., стр.06 гр.11</t>
  </si>
  <si>
    <t>СПО-1 раздел 3.1., стр.07 гр.11</t>
  </si>
  <si>
    <t>СПО-1 раздел 3.1., стр.12 гр.11</t>
  </si>
  <si>
    <t xml:space="preserve">      высшую квалификационную категорию</t>
  </si>
  <si>
    <t xml:space="preserve">      первую квалификационную категорию</t>
  </si>
  <si>
    <t xml:space="preserve">      программы подготовки квалифицированных рабочих, служащих</t>
  </si>
  <si>
    <t xml:space="preserve">      программы подготовки специалистов среднего звена</t>
  </si>
  <si>
    <t>СПО-1 раздел 3.4., строка 05, графа 8</t>
  </si>
  <si>
    <t xml:space="preserve">      учебно-лабораторные здания (корпуса)</t>
  </si>
  <si>
    <t xml:space="preserve">      здания общежитий</t>
  </si>
  <si>
    <t>СПО-1 раздел 2.1.2, стр.06, гр.46 – все формы обучения</t>
  </si>
  <si>
    <t>СПО-1 раздел 2.1.2, стр.07, гр.46 – все формы обучения</t>
  </si>
  <si>
    <t>СПО-2 раздел 3.5, строка 01, графа 4</t>
  </si>
  <si>
    <t>СПО-2 раздел 1.5, стр.01, гр.3</t>
  </si>
  <si>
    <t>Удельный иностранных педагогических и научных работников по программам среднего профессионального образования</t>
  </si>
  <si>
    <t>Численность иностранных педагогических и научных работников по программам среднего профессионального образования</t>
  </si>
  <si>
    <t>Общая численность педагогических и научных работников по программам среднего профессионального образования</t>
  </si>
  <si>
    <t>число зданий общеобразовательных организаций</t>
  </si>
  <si>
    <t>Всего</t>
  </si>
  <si>
    <t>город</t>
  </si>
  <si>
    <t>село</t>
  </si>
  <si>
    <t>форма № ОО-2, подраздел 3.4., строка 05, графа 4</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</si>
  <si>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 в расчете на 100 бюджетных мест &lt;****&gt;</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</si>
  <si>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t>
  </si>
  <si>
    <t>с использованием сетевой формы реализации образовательных программ</t>
  </si>
  <si>
    <t>Значение показателя за 2019 год</t>
  </si>
  <si>
    <t>85-к раздел 4.3, строка 07, графа 3</t>
  </si>
  <si>
    <t>форма № ОО-1, подраздел 2.1.2 стр. 24 гр. 20-39</t>
  </si>
  <si>
    <t>форма № ОО-1, подраздел 2.1.2 стр. 24 гр. 40-47</t>
  </si>
  <si>
    <t>форма № ОО-1, подраздел 3.1. строка 06 гр.16 + 3.3.1 стр.03 гр.5</t>
  </si>
  <si>
    <t>форма № ОО-1, подраздел 3.4., строка 6 графа 4</t>
  </si>
  <si>
    <t>форма № ОО-1, подраздел 3.4., строка 29 графа 4</t>
  </si>
  <si>
    <t>форма № ОО-1, подраздел 3.4., строка 29 графа 3</t>
  </si>
  <si>
    <t>форма № ОО-1, подраздел 3.4., строка 35 графа 4</t>
  </si>
  <si>
    <t>форма № ОО-1, подраздел 3.4., строка 35 графа 3</t>
  </si>
  <si>
    <t>форма № ОО-1, подраздел 3.4., строка 6 графа 3</t>
  </si>
  <si>
    <t>форма № ОО-1, подраздел 3.4., строка 28 графа 4</t>
  </si>
  <si>
    <t>форма № ОО-1, подраздел 3.4., строка 28 графа 3</t>
  </si>
  <si>
    <t>форма № ОО-1, подраздел 3.4., строка 33 графа 4</t>
  </si>
  <si>
    <t>форма № ОО-1, подраздел 3.4., строка 33 графа 3</t>
  </si>
  <si>
    <t>форма № ОО-1, подраздел 3.4., строка 38 графа 4</t>
  </si>
  <si>
    <t>форма № ОО-1, подраздел 3.4., строка 38 графа 3</t>
  </si>
  <si>
    <t>форма № ОО-1, подраздел 2.1.2. стр. 10 графа 3</t>
  </si>
  <si>
    <t>85-к раздел 2.1, строка 18, графа 7</t>
  </si>
  <si>
    <t>форма № ОО-1, подраздел 2.1.2 стр. 23 гр. 20-39</t>
  </si>
  <si>
    <t>форма № ОО-1, подраздел 2.1.2 стр. 23 гр. 40-47</t>
  </si>
  <si>
    <r>
      <t xml:space="preserve">Структура численности детей с ограниченными возможностями здоровья </t>
    </r>
    <r>
      <rPr>
        <sz val="11"/>
        <color theme="1"/>
        <rFont val="Calibri"/>
        <family val="2"/>
        <charset val="204"/>
        <scheme val="minor"/>
      </rPr>
      <t>(за исключением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 &lt;*&gt;</t>
    </r>
  </si>
  <si>
    <t>Материально-техническое и информационное обеспечение общеобразовательных организаций, а также иных организаций, осуществляющих образовательную деятельность в части реализации основных общеобразовательных программ</t>
  </si>
  <si>
    <r>
      <t xml:space="preserve">Удельный вес численности обучающихся в соответствии с федеральным государственным образовательным стандартом начального общего образования обучающихся с ограниченными возможностями здоровья в общей численности обучающихся по адаптированным основным общеобразовательным программам </t>
    </r>
    <r>
      <rPr>
        <sz val="11"/>
        <color theme="1"/>
        <rFont val="Calibri"/>
        <family val="2"/>
        <charset val="204"/>
        <scheme val="minor"/>
      </rPr>
      <t>начального общего образования</t>
    </r>
  </si>
  <si>
    <t>форма № ОО-1, подраздел 3.1., строка 38+42 графа 16</t>
  </si>
  <si>
    <t>форма № ОО-1, подраздел 3.1., строка 29 графа 16</t>
  </si>
  <si>
    <t>форма № ОО-1, подраздел 3.1., строка 35 графа 16</t>
  </si>
  <si>
    <t>форма № ОО-1, подраздел 3.1., строка 28 графа 16</t>
  </si>
  <si>
    <t>форма № ОО-1, подраздел 1.2., строка 2, 12, 22, 31 графа 3</t>
  </si>
  <si>
    <t>ОО-2 подраздел 1.3. строка 4, графа 3</t>
  </si>
  <si>
    <t>форма № ОО-2, подраздел 1.6.,  строка 01 + 40 графа 3</t>
  </si>
  <si>
    <t>форма № ОО-2, подраздел 2.3., указавших по строке 01 графе 3 один из кодов: «4», «5», «6», «7», «8»</t>
  </si>
  <si>
    <t>форма № ОО-2, подраздел 1.1., указавших по  графе 15 хотя бы по одной из заполненных строк   код  «1»</t>
  </si>
  <si>
    <t>форма № ОО-2, подраздел 1.1., указавших по  графе 16 хотя бы по одной из заполненных строк   код  «1»</t>
  </si>
  <si>
    <t>форма № ОО-2, указавших в подразделе 1.2., по строке 19 графе 3 код 1,  или  указавших по строке 19 графе 3 код «0», но по строке 19 графе 4 код «1»</t>
  </si>
  <si>
    <t>форма № ОО-2, подраздел 1.2., указавших по строке 02 графе 3 код «1»,  или  указавших по строке 02 графе 3 код «0», но по  строке 02 графе 4 код «1»</t>
  </si>
  <si>
    <t>форма № ОО-2, подраздел 1.2., указавших по строке 03 графе 3 код «1»,  или  указавших по строке 03 графе 3 код «0», но по  строке 02 графе 4 код «1»</t>
  </si>
  <si>
    <t>форма № ОО-2, подраздел 3.1., строка 06 графа 3</t>
  </si>
  <si>
    <t>форма № ОО-2, подраздел 3.1., строка 07 графа 3</t>
  </si>
  <si>
    <t>форма № ОО-2, подраздел 3.1., строка 08 графа 3</t>
  </si>
  <si>
    <t>форма № ОО-2, подраздел 3.1., строка 09 графа 3</t>
  </si>
  <si>
    <t>форма № ОО-2, подраздел 1.1., указавших по  графе 10  хотя бы по одной из  заполненных строк  код  «1»</t>
  </si>
  <si>
    <t>форма № ОО-2, подраздел 1.1., указавших по  графе 8 хотя бы по одной из заполненных строк   код  «1»</t>
  </si>
  <si>
    <t>форма № ОО-2, подраздел 1.1., указавших по  графе 7 хотя бы по одной из заполненных строк   код  «1»</t>
  </si>
  <si>
    <t>форма № ОО-2, подраздел 1.1., указавших по  графе 16  хотя бы по одной из  заполненных  строк  код  «1»</t>
  </si>
  <si>
    <t>форма № ОО-2, подраздел 1.1., указавших по  графе 3, 4, 5  хотя бы по одной из  заполненных  строк  код  «1»</t>
  </si>
  <si>
    <t>1-ДО (сводная) раздел 7.1, строка 07, графа 3</t>
  </si>
  <si>
    <t>1-ДО (сводная) раздел 7.1, строка 07, графа 14</t>
  </si>
  <si>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</si>
  <si>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</si>
  <si>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3</t>
    </r>
  </si>
  <si>
    <t>форма № ОО-1, подраздел 1.3. стр. 01, 11, 12, 31 гр. 8</t>
  </si>
  <si>
    <t>форма № ОО-1, подраздел 1.3. стр. 01, 11, 12, 31 гр. 3</t>
  </si>
  <si>
    <t>форма № ОО-1, подраздел 1.3., строка 2, 12, 22, 31 графа 3</t>
  </si>
  <si>
    <t>форма № ОО-1, подраздел 3.1 стр. 33 гр. 3</t>
  </si>
  <si>
    <t>форма № ОО-1, подраздел 3.1 стр. 35 гр. 3</t>
  </si>
  <si>
    <t>форма № ОО-1, подраздел 3.1 стр. 28 гр. 3</t>
  </si>
  <si>
    <t>форма № ОО-1, подраздел 3.1 стр. 29 гр. 3</t>
  </si>
  <si>
    <t>форма № ОО-1, подраздел 3.1 стр. 29 гр. 3 + подраздел 3.3.1 стр. 26 гр. 3</t>
  </si>
  <si>
    <t>форма № ОО-1, подраздел 3.1 стр. 28 гр. 3 + подраздел 3.3.1 стр. 25 гр. 3</t>
  </si>
  <si>
    <t>форма № ОО-1, подраздел 3.1 стр. 35 гр. 3 + подраздел 3.3.1 стр. 32 гр. 3</t>
  </si>
  <si>
    <t>форма № ОО-1, подраздел 3.1 стр. 33 гр. 3 + подраздел 3.3.1 стр. 30 гр. 3</t>
  </si>
  <si>
    <t>Доля образовательных организаций, реализующих программы общего образования, обеспеченных Интернет-соединением со скоростью соединения не менее 100 Мб/с - для образовательных организаций, расположенных в городах, 50 мб/с - для образовательных организаций, расположенных в сельской местности и поселках городского типа, а также гарантированным Интернет-трафиком &lt;**&gt;</t>
  </si>
  <si>
    <t>Общее число муниципальных (государственных) общеобразоваттельных организаций</t>
  </si>
  <si>
    <t>в городских поселениях (не менее 100 Мб/с)</t>
  </si>
  <si>
    <t>в сельской местности (не менее 50 мб/с)</t>
  </si>
  <si>
    <t>Образовательные организации, реализующих программы общего образования, обеспеченных Интернет-соединением</t>
  </si>
  <si>
    <t>Удельный иностранных педагогических и научных работников по программам среднего профессионального образования &lt;**&gt;</t>
  </si>
  <si>
    <t>СПО-1 раздел 3.1., стр.06 гр.14</t>
  </si>
  <si>
    <t>СПО-1 раздел 3.1., стр.06 гр.15</t>
  </si>
  <si>
    <t>СПО-1 раздел 2.1.2, строка 01, графа 46 – очное</t>
  </si>
  <si>
    <t>СПО-1 раздел 2.1.2, строка 01, графа 46 – очно-заочное</t>
  </si>
  <si>
    <t>СПО-1 раздел 2.1.2, строка 01, графа 46 – заочное</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</si>
  <si>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t>
  </si>
  <si>
    <t>численность мастеров производственного обучения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</si>
  <si>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заочной форме обучения и форме экстерната</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</si>
  <si>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очно-заочной форме обучения</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</si>
  <si>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очной форме обучения</t>
  </si>
  <si>
    <t>СПО-1 раздел 2.1.2, строка 03, графа 46 – очное</t>
  </si>
  <si>
    <t>СПО-1 раздел 2.1.2, строка 03, графа 46 – очно-заочное</t>
  </si>
  <si>
    <t>СПО-1 раздел 2.1.2, строка 03, графа 46 – заочное</t>
  </si>
  <si>
    <t>СПО-2 раздел 1.4., стр.02 гр.3</t>
  </si>
  <si>
    <t>СПО-2 раздел 1.4., стр.01 гр.3</t>
  </si>
  <si>
    <t>СПО-2 раздел 1.2, стр.01 гр.5</t>
  </si>
  <si>
    <t>СПО-1 раздел 2.5, стр.01 гр.4,10,14, 19 – все формы обучения</t>
  </si>
  <si>
    <t>СПО-1 раздел 2.5, стр.02,03 гр.4,10,14, 19 – все формы обучения</t>
  </si>
  <si>
    <t>СПО-1 раздел 2.5, стр.04,05 гр.4,10,14, 19 – все формы обучения</t>
  </si>
  <si>
    <t xml:space="preserve">         государственные и муниципальные организации</t>
  </si>
  <si>
    <t xml:space="preserve">         негосударственные организации</t>
  </si>
  <si>
    <t xml:space="preserve">   сельская местность - не менее 50 Мб/с и выше</t>
  </si>
  <si>
    <t xml:space="preserve">   города и поселки городского типа - не менее 100 Мб/с</t>
  </si>
  <si>
    <r>
      <t>Структура численности слушателей, завершивших обучение по дополнительным профессиональным программам, по категориям (удельный вес численности слушателей соответствующей категории в общей численности слушателей, завершивших обучение по дополнительным профессиональным программам):</t>
    </r>
    <r>
      <rPr>
        <vertAlign val="superscript"/>
        <sz val="11"/>
        <rFont val="Calibri"/>
        <family val="2"/>
        <charset val="204"/>
        <scheme val="minor"/>
      </rPr>
      <t>2</t>
    </r>
  </si>
  <si>
    <r>
      <t>Удельный вес числа дополнительных профессиональных образовательных программ, прошедших профессионально-общественную аккредитацию работодателями и их объединениями, в общем числе дополнительных профессиональных образовательных программ:</t>
    </r>
    <r>
      <rPr>
        <vertAlign val="superscript"/>
        <sz val="11"/>
        <color theme="1"/>
        <rFont val="Calibri"/>
        <family val="2"/>
        <charset val="204"/>
        <scheme val="minor"/>
      </rPr>
      <t>2</t>
    </r>
  </si>
  <si>
    <r>
      <t>Удельный вес численности лиц, получивших дополнительное профессиональное образование с использованием дистанционных образовательных технологий, в общей численности работников организаций, получивших дополнительное профессиональное образование</t>
    </r>
    <r>
      <rPr>
        <vertAlign val="superscript"/>
        <sz val="11"/>
        <color theme="1"/>
        <rFont val="Calibri"/>
        <family val="2"/>
        <charset val="204"/>
        <scheme val="minor"/>
      </rPr>
      <t>2</t>
    </r>
  </si>
  <si>
    <r>
      <t>Структура численности слушателей, завершивших обучение по дополнительным профессиональным программам, по источникам финансирования:</t>
    </r>
    <r>
      <rPr>
        <vertAlign val="superscript"/>
        <sz val="11"/>
        <color theme="1"/>
        <rFont val="Calibri"/>
        <family val="2"/>
        <charset val="204"/>
        <scheme val="minor"/>
      </rPr>
      <t>2</t>
    </r>
  </si>
  <si>
    <r>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дополнительных профессиональных программам:</t>
    </r>
    <r>
      <rPr>
        <vertAlign val="superscript"/>
        <sz val="11"/>
        <rFont val="Calibri"/>
        <family val="2"/>
        <charset val="204"/>
        <scheme val="minor"/>
      </rPr>
      <t>2</t>
    </r>
  </si>
  <si>
    <r>
      <t>Число персональных компьютеров, используемых в учебных целях, в расчете на 100 слушателей организаций дополнительного профессионального образования</t>
    </r>
    <r>
      <rPr>
        <vertAlign val="superscript"/>
        <sz val="11"/>
        <rFont val="Calibri"/>
        <family val="2"/>
        <charset val="204"/>
        <scheme val="minor"/>
      </rPr>
      <t>2</t>
    </r>
  </si>
  <si>
    <t>1.10.3.</t>
  </si>
  <si>
    <t>1.10.2.</t>
  </si>
  <si>
    <t>1.10.1.</t>
  </si>
  <si>
    <t>1.10.</t>
  </si>
  <si>
    <t>1.7.2.</t>
  </si>
  <si>
    <t>1.4.5.</t>
  </si>
  <si>
    <t>1.3.5.</t>
  </si>
  <si>
    <t>1.3.4.</t>
  </si>
  <si>
    <t>1.2.3.</t>
  </si>
  <si>
    <t>1.2.4.</t>
  </si>
  <si>
    <t xml:space="preserve">Удельный вес численности лиц, обучающихся с применением дистанционных образовательных технологий, в общей численности студентов, обучающихся по образовательным программам высшего образования: программы бакалавриата; программы специалитета; программы магистратуры </t>
  </si>
  <si>
    <t xml:space="preserve">Удельный вес численности лиц, обучающихся с применением электронного обучения, в общей численности студентов, обучающихся по образовательным программам высшего образования: программы бакалавриата; программы специалитета; программы магистратуры </t>
  </si>
  <si>
    <t>1.2.2.</t>
  </si>
  <si>
    <t>III. Дополнительная информация о системе образования</t>
  </si>
  <si>
    <t>Интеграция образования и науки</t>
  </si>
  <si>
    <t>Удельный вес сектора организаций высшего образования во внутренних затратах на исследования и разработки</t>
  </si>
  <si>
    <t>Удельный вес численности студентов, обучающихся по договорам о целевой приеме или целевом обучении, в общей численности студентов, обучающихся по образовательным программам высшего образования - программ бакалавриата, программам специалитета, программ магистратуры</t>
  </si>
  <si>
    <t>государственные и муниципальные организации</t>
  </si>
  <si>
    <t>частные организации</t>
  </si>
  <si>
    <t xml:space="preserve">Удельный вес числености иностранных студентов в общей численности студентов, </t>
  </si>
  <si>
    <t>3. Сведения об интеграции образования и науки, а также образования и сфыеры труда</t>
  </si>
  <si>
    <t>4. Сведения об интеграции российского образования с мировым образовательным пространством</t>
  </si>
  <si>
    <t>ВПО-1 раздел 2.13 все формы обучения</t>
  </si>
  <si>
    <t>1-ПК раздел 2.1 строка 32 графа 3</t>
  </si>
  <si>
    <t>ВПО-1 раздел 2.1.2 - очная форма обучения за счет бюджетных средств</t>
  </si>
  <si>
    <t>Значение показателя за 2020 год</t>
  </si>
  <si>
    <t>ВПО-1 раздел 1.2 строка 01 графы 17</t>
  </si>
  <si>
    <t>ВПО-1 раздел 1.2 строка 02 графы 17</t>
  </si>
  <si>
    <t>ВПО-1 раздел 1.2 строка 03 графы 17</t>
  </si>
  <si>
    <t>ВПО-1 раздел 1.2 строка 01 графы 14</t>
  </si>
  <si>
    <t>ВПО-1 раздел 1.2 строка 02 графы 14</t>
  </si>
  <si>
    <t>ВПО-1 раздел 1.2 строка 03 графы 14</t>
  </si>
  <si>
    <t>ВПО-1 раздел 2.1.2, строка 04, графа 61 – все формы обучения</t>
  </si>
  <si>
    <t>ВПО-1 раздел 2.1.2 строка 60 графа 4</t>
  </si>
  <si>
    <t>ВПО-1 раздел 2.12, строка 03 и 06</t>
  </si>
  <si>
    <t>ВПО-1 раздел 2.12, строка 02 и 06</t>
  </si>
  <si>
    <t>Форма № 85-К подраздел 1.1. стр. 06 гр.3</t>
  </si>
  <si>
    <t>форма № ОО-1, подраздел 2.6 стр. 02 гр. 18, 19</t>
  </si>
  <si>
    <t>форма № ОО-1, подраздел 2.1.3., строка 10 графа 4-11</t>
  </si>
  <si>
    <t>форма № ОО-1, подраздел 2.1.1., строка 17 графа 4-7,
подраздел 2.1.2., строка 27 графа 4-19</t>
  </si>
  <si>
    <t>форма № ОО-1, подраздел 3.3.1., строка 26 графа 5</t>
  </si>
  <si>
    <t>форма № ОО-1, подраздел 3.3.1., строка 25 графа 5</t>
  </si>
  <si>
    <t>форма № ОО-1, подраздел 3.3.1., строка 32 графа 5</t>
  </si>
  <si>
    <t>форма № ОО-1, подраздел 3.3.1., строка 35+39 графа 5</t>
  </si>
  <si>
    <t>форма № ОО-1, подраздел 1.2.,  строка 01 + 40 графа 3</t>
  </si>
  <si>
    <t>форма № ОО-1, подраздел 2.1.1., строка 17 графа 3</t>
  </si>
  <si>
    <t>форма № ОО-1, подраздел 2.1.1., строка 18, 19 графа 3</t>
  </si>
  <si>
    <t>форма № ОО-1, подраздел 2.1.2., строка 27 графа 3</t>
  </si>
  <si>
    <t>форма № ОО-1, подраздел 2.1.2., строка 28, 29 графа 3</t>
  </si>
  <si>
    <t>форма № ОО-1, подраздел 2.1.3., строка 13 графа 3</t>
  </si>
  <si>
    <t>форма № ОО-1, подраздел 2.1.3., строка 14, 15 графа 3</t>
  </si>
  <si>
    <t>форма № ОО-1, подраздел 2.1.1. стр. 10 по сумме гр. 4–11(12)</t>
  </si>
  <si>
    <t>форма № ОО-1, подраздел 2.1.2. стр. 24 по сумме гр. 4–11(12)</t>
  </si>
  <si>
    <t>форма № ОО-1, подраздел 2.1.3. стр. 10 по сумме гр. 4–11(12)</t>
  </si>
  <si>
    <t>Удельный вес численности детей с ограниченными возможностями здоровья (за исключением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</si>
  <si>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</si>
  <si>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численность детей-инвалидов</t>
  </si>
  <si>
    <t>численность детей с ограниченными возможностями здоровья (за исключением детей-инвалидов)</t>
  </si>
  <si>
    <t>1-ДОП раздел 1, строки 01-08, графа 5</t>
  </si>
  <si>
    <r>
      <t xml:space="preserve">Удельный вес численности педагогов дополнительного образования, получивших образование по укрупненным группам специальностей и направлений подготовки высшего образования "Образование и педагогические науки" и укрупненной группе специальностей среднего профессионального образования "Образование и педагогические науки", в общей численности педагогов дополнительного образования (без внешних совместителей и работающих по договорам гражданско-правового характера) </t>
    </r>
    <r>
      <rPr>
        <sz val="11"/>
        <color rgb="FFFF0000"/>
        <rFont val="Calibri"/>
        <family val="2"/>
        <charset val="204"/>
        <scheme val="minor"/>
      </rPr>
      <t>организаций, реализующих дополнительные общеобразовательные программы для детей</t>
    </r>
  </si>
  <si>
    <t>ПО раздел 2.1.1, строка 01, графа 5</t>
  </si>
  <si>
    <t>ПО раздел 2.1.2, строка 01, графа 5</t>
  </si>
  <si>
    <t>ПО раздел 2.1.3, строка 03, графа 5</t>
  </si>
  <si>
    <t>ПО раздел 2.1.1, строка 01, графа 12</t>
  </si>
  <si>
    <t>ПО раздел 2.1.1, строка 01, графа 6-8</t>
  </si>
  <si>
    <t>ПО раздел 2.1.1, строка 01, графа 10-11</t>
  </si>
  <si>
    <t>ПО раздел 2.1.2, строка 02, графа 6-8</t>
  </si>
  <si>
    <t>ПО раздел 2.1.2, строка 02, графа 10-11</t>
  </si>
  <si>
    <t>ПО раздел 2.1.2, строка 02, графа 12</t>
  </si>
  <si>
    <t>ПО раздел 2.1.3, строка 03, графа 6-8</t>
  </si>
  <si>
    <t>ПО раздел 2.1.3, строка 03, графа 10-11</t>
  </si>
  <si>
    <t>ПО раздел 2.1.3, строка 02, графа 12</t>
  </si>
  <si>
    <t>ПО раздел 2.1.2, строка 02, графа 5</t>
  </si>
  <si>
    <t>1-ПК раздел 2.1 строка 01 графа 21</t>
  </si>
  <si>
    <t>1-ПК раздел 2.1 строка 01 графа 19</t>
  </si>
  <si>
    <t>1-ПК раздел 2.1 строка 01 графа 22</t>
  </si>
  <si>
    <t>1-ПК раздел 2.1 строка 25+26 графа 3</t>
  </si>
  <si>
    <t>1-ПК раздел 1.3 строка 01 графа 15</t>
  </si>
  <si>
    <t>1-ПК раздел 1.3 строка 04 графа 15</t>
  </si>
  <si>
    <t>1-ПК раздел 2.1 строка 01 графа 5</t>
  </si>
  <si>
    <t>1-ПК раздел 2.2 строка 01 графы 4-6+12-14</t>
  </si>
  <si>
    <t>1-ПК раздел 2.2 строка 01 графы 8+16</t>
  </si>
  <si>
    <t>1-ПК раздел 2.2 строка 01 графы 9+17</t>
  </si>
  <si>
    <t>1-ПК раздел 4.1 строка 9 графа 3</t>
  </si>
  <si>
    <t>1-ПК раздел 4.1 строка 03 графа 3</t>
  </si>
  <si>
    <t>1-ПК раздел 5.1 строка 05 графа 4</t>
  </si>
  <si>
    <t>1-ПК раздел 1.1 строка 01+02 графа 3</t>
  </si>
  <si>
    <t>1-ПК раздел 1.1 строка 03+04 графа 3</t>
  </si>
  <si>
    <t>1-ПК раздел 1.1 строка 05+06 графа 3</t>
  </si>
  <si>
    <t>1-ПК раздел 4.3 строка 02 графа 6</t>
  </si>
  <si>
    <t>1-ПК раздел 4.3 строка 09 графа 6</t>
  </si>
  <si>
    <t>1-ПК раздел 4.3 строка 02 графа 3</t>
  </si>
  <si>
    <t>1-ПК раздел 4.3 строка 09 графа 3</t>
  </si>
  <si>
    <t>1-ПК раздел 2.1 строка 01 графа 6</t>
  </si>
  <si>
    <t>1-ПК раздел 2.5 строки 02-03 графа 3</t>
  </si>
  <si>
    <t>ВПО-2 раздел 1.3, строка 02, графа 3 ГОУ</t>
  </si>
  <si>
    <t>ВПО-2 раздел 1.3, строка 02, графа 3 НОУ</t>
  </si>
  <si>
    <t>ВПО-2 раздел 1.4, строка 02, графа 3</t>
  </si>
  <si>
    <t>ВПО-2 раздел 1.4, строка 01, графа 3</t>
  </si>
  <si>
    <t>число зданий</t>
  </si>
  <si>
    <t>СПО-1 раздел 3.4., строка 06-07, графа 8</t>
  </si>
  <si>
    <t>СПО-1 раздел 2.5, стр.01,04,05, гр.4,10,14, 16 – очная форма обучения</t>
  </si>
  <si>
    <t>СПО-1 раздел 2.5, стр.01,04,05, гр.4,10,14, 16 – очно-заочная форма обучения</t>
  </si>
  <si>
    <t>СПО-1 раздел 2.5, стр.01,04,05, гр.4,10,14, 16 – заочная форма обучения</t>
  </si>
  <si>
    <t>СГУ</t>
  </si>
  <si>
    <t>СГПУ</t>
  </si>
  <si>
    <t>ХМГМА</t>
  </si>
  <si>
    <t>ВПО-1 раздел 3.1., строка 08, графа 13, раздел 3.3.1., строка 5 графа 13 в пересчете на полную занятость</t>
  </si>
  <si>
    <t>НОУ</t>
  </si>
  <si>
    <t>ЮКИОР</t>
  </si>
  <si>
    <t>ХМТПК</t>
  </si>
  <si>
    <t>НефтПК</t>
  </si>
  <si>
    <t>СурПК</t>
  </si>
  <si>
    <t>ЦИОДС</t>
  </si>
  <si>
    <t>Знаменка</t>
  </si>
  <si>
    <t>СурМузК</t>
  </si>
  <si>
    <t>УрайПК</t>
  </si>
  <si>
    <t>ЛанПК</t>
  </si>
  <si>
    <t>ИгримПК</t>
  </si>
  <si>
    <t>НижнПК</t>
  </si>
  <si>
    <t>НижнСГК</t>
  </si>
  <si>
    <t>НижнСК</t>
  </si>
  <si>
    <t>ЮгПК</t>
  </si>
  <si>
    <t>МегПК</t>
  </si>
  <si>
    <t>МеждАК</t>
  </si>
  <si>
    <t>РадПК</t>
  </si>
  <si>
    <t>КогПК</t>
  </si>
  <si>
    <t>БелПК</t>
  </si>
  <si>
    <t>НягТК</t>
  </si>
  <si>
    <t>НижнМК</t>
  </si>
  <si>
    <t>СовПК</t>
  </si>
  <si>
    <t>филиал ЛанПК</t>
  </si>
  <si>
    <t>НИК</t>
  </si>
  <si>
    <t>ННТ</t>
  </si>
  <si>
    <t>ЛНТ</t>
  </si>
  <si>
    <t>СПО-2 раздел 1.3, строка 09, графа 8</t>
  </si>
  <si>
    <t>№ 254</t>
  </si>
  <si>
    <t>№ 255</t>
  </si>
  <si>
    <t>СНТ</t>
  </si>
  <si>
    <t>Сданная в аренду или субаренду</t>
  </si>
  <si>
    <t>Находящаяся на капитальном ремонте</t>
  </si>
  <si>
    <t>Доля образовательных организаций, реализующих программы среднего профессионального образования, обеспеченных Интернет-соединением со скоростью соединения не менее 100 Мб/с - для образовательных организаций, расположенных в городах, 50 мб/с - для образовательных организаций, расположенных в сельской местности и поселках городского типа, а также гарантированным Интернет-трафиком &lt;**&gt;</t>
  </si>
  <si>
    <t>города и поселки городского типа - не менее 100 мб/с</t>
  </si>
  <si>
    <t>сельская местность - не менее 50 мб/с</t>
  </si>
  <si>
    <t>Общее количество образовательныъ организаций</t>
  </si>
  <si>
    <t>государственных образовательных организаций</t>
  </si>
  <si>
    <t>городская местность</t>
  </si>
  <si>
    <t>сельская местность</t>
  </si>
  <si>
    <t>негосударственных образовательных организаций</t>
  </si>
  <si>
    <t>Образовательные организаций, обеспеченные Интернет-соединением со скоростью соединения не менее 100 Мб/с</t>
  </si>
  <si>
    <t>Образовательные организаций, обеспеченные Интернет-соединением со скоростью соединения не менее 50 Мб/с</t>
  </si>
  <si>
    <t>графа 14</t>
  </si>
  <si>
    <t>графа 17</t>
  </si>
  <si>
    <t>графа 7</t>
  </si>
  <si>
    <t>СПО-1 раздел 1.2, стр.01 гр.5 – все формы обучения</t>
  </si>
  <si>
    <t>СПО-1 раздел 1.2, стр.02 гр.5 – все формы обучения</t>
  </si>
  <si>
    <t>СПО-1 раздел 1.2., стр.01 – все формы обучения</t>
  </si>
  <si>
    <t>СПО-1 раздел 1.2., стр. 02 – все формы обучения</t>
  </si>
  <si>
    <t>СПО-2 раздел 2.1, строка 05, графа 4</t>
  </si>
  <si>
    <t>Число образовательных организаций на начало прошлого года</t>
  </si>
  <si>
    <t>в государственных образовательных организаций</t>
  </si>
  <si>
    <t>в негосударственных образовательных организаций</t>
  </si>
  <si>
    <t>Число образовательных организаций на конец года</t>
  </si>
  <si>
    <t>СПО-1 раздел 3.1., строка 23, графа 17 + раздел 3.3.1. строка 16 графа 15</t>
  </si>
  <si>
    <t>СПО-1 раздел 3.1., строка 25, графа 17  + раздел 3.3.1. строка 18 графа 15</t>
  </si>
  <si>
    <t>СПО-1 раздел 3.1., строка 24, графа 17 + раздел 3.3.1. строка 17 графа 15</t>
  </si>
  <si>
    <t>СПО-1 раздел 3.1., строка 26, графа 17 + раздел 3.3.1. строка 19 графа 15</t>
  </si>
  <si>
    <t>СПО-1 раздел 2.5, стр.06,09,10, гр.14, 19 – все формы обучения</t>
  </si>
  <si>
    <t>СПО-1 раздел 2.5, стр.01,04,05, гр.14, 19 – все формы обучения</t>
  </si>
  <si>
    <t>СПО-1 раздел 2.1.2, стр.06, гр.46 – очная форма обучения обучающиеся за счет средств бюджета</t>
  </si>
  <si>
    <t>СПО-2 раздел 1.4., стр.02 гр.4</t>
  </si>
  <si>
    <t>СПО-2 раздел 1.4., стр.01 гр.4</t>
  </si>
  <si>
    <t>СПО-2 раздел 2.3, строка 01</t>
  </si>
  <si>
    <t>СПО-2 раздел 1.3, строка 02, графа 7</t>
  </si>
  <si>
    <t>ПО раздел 3.4, строка 05, графа 8</t>
  </si>
  <si>
    <t>ПО раздел 3.1, строка 05, графа 3</t>
  </si>
  <si>
    <t>ПО раздел 3.4, строка 07, графа 8</t>
  </si>
  <si>
    <t>ПО раздел 3.1, строка 07, графа 3</t>
  </si>
  <si>
    <t>Содержание образовательной деятельности и организация образовательного процесса по образовательным программам начального общего образования, основного общего образования, среднего общего образования и образования с умственной отсталостью (интлектуальными нарушениями)</t>
  </si>
  <si>
    <t>Охват молодежи образовательными программами среднего профессионального образования - программами подготовки специалистов среднего звена (отношение численности студентов, обучающихся по программам подготовки специалистов среднего звена, к численности населения в возрасте 15 - 19 лет)</t>
  </si>
  <si>
    <t>Структура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</si>
  <si>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 xml:space="preserve">      общественные объединения, включенные в реестр детских и молодежных объединений, пользующихся государственной поддежкой;</t>
  </si>
  <si>
    <t xml:space="preserve">      объединения, включенные в перечень партнеров органа исполнительной власти, реализующего государственную молодежную политики / работающего с молодежью;</t>
  </si>
  <si>
    <t xml:space="preserve">       политические молодежные общественные объединения.</t>
  </si>
  <si>
    <t>&lt;**&gt; - сбор данных начинается с итогов за 2021 год.</t>
  </si>
  <si>
    <t>Значение показателя за 2021 год</t>
  </si>
  <si>
    <t>Темп роста числа организаций (филиалов), осуществляющих образовательную деятельность по дополнительным общеобразовательным программам.</t>
  </si>
  <si>
    <t>4.6.3.</t>
  </si>
  <si>
    <t>Удельный вес источников финансирования дополнительных общеобразовательных программ:</t>
  </si>
  <si>
    <t>средства федерального бюджета, бюджета субъекта Российской Федерации и местного бюджета</t>
  </si>
  <si>
    <t>средства, поступившие от иной приносящей доход деятельности</t>
  </si>
  <si>
    <t>4.8.2.</t>
  </si>
  <si>
    <t>Значение показателя за 2022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</si>
</sst>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0.000"/>
    <numFmt numFmtId="167" formatCode="0.000"/>
    <numFmt numFmtId="168" formatCode="[=0]&quot; - &quot;;General"/>
    <numFmt numFmtId="169" formatCode="#,##0\ _₽"/>
  </numFmts>
  <fonts count="34" x14ac:knownFonts="1">
    <font>
      <sz val="11"/>
      <color theme="1"/>
      <name val="Calibri"/>
      <family val="2"/>
      <charset val="204"/>
      <scheme val="minor"/>
    </font>
    <font>
      <b/>
      <sz val="11"/>
      <color theme="1"/>
      <name val="Calibri"/>
      <family val="2"/>
      <charset val="204"/>
      <scheme val="minor"/>
    </font>
    <font>
      <b/>
      <sz val="14"/>
      <color theme="1"/>
      <name val="Calibri"/>
      <family val="2"/>
      <charset val="204"/>
      <scheme val="minor"/>
    </font>
    <font>
      <sz val="11"/>
      <color rgb="FFFF0000"/>
      <name val="Calibri"/>
      <family val="2"/>
      <charset val="204"/>
      <scheme val="minor"/>
    </font>
    <font>
      <sz val="11"/>
      <name val="Calibri"/>
      <family val="2"/>
      <charset val="204"/>
      <scheme val="minor"/>
    </font>
    <font>
      <b/>
      <sz val="11"/>
      <color rgb="FFFF0000"/>
      <name val="Calibri"/>
      <family val="2"/>
      <charset val="204"/>
      <scheme val="minor"/>
    </font>
    <font>
      <sz val="10"/>
      <name val="Arial Cyr"/>
      <charset val="204"/>
    </font>
    <font>
      <b/>
      <sz val="1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4"/>
      <name val="Calibri"/>
      <family val="2"/>
      <charset val="204"/>
    </font>
    <font>
      <b/>
      <sz val="13"/>
      <color indexed="54"/>
      <name val="Calibri"/>
      <family val="2"/>
      <charset val="204"/>
    </font>
    <font>
      <b/>
      <sz val="11"/>
      <color indexed="54"/>
      <name val="Calibri"/>
      <family val="2"/>
      <charset val="204"/>
    </font>
    <font>
      <b/>
      <sz val="11"/>
      <color indexed="8"/>
      <name val="Calibri"/>
      <family val="2"/>
      <charset val="204"/>
    </font>
    <font>
      <b/>
      <sz val="11"/>
      <color indexed="9"/>
      <name val="Calibri"/>
      <family val="2"/>
      <charset val="204"/>
    </font>
    <font>
      <sz val="18"/>
      <color indexed="54"/>
      <name val="Calibri Light"/>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1"/>
      <color theme="1"/>
      <name val="Calibri"/>
      <family val="2"/>
      <scheme val="minor"/>
    </font>
    <font>
      <i/>
      <sz val="11"/>
      <color theme="1"/>
      <name val="Calibri"/>
      <family val="2"/>
      <charset val="204"/>
      <scheme val="minor"/>
    </font>
    <font>
      <i/>
      <sz val="11"/>
      <name val="Calibri"/>
      <family val="2"/>
      <charset val="204"/>
      <scheme val="minor"/>
    </font>
    <font>
      <sz val="14"/>
      <color theme="1"/>
      <name val="Calibri"/>
      <family val="2"/>
      <charset val="204"/>
      <scheme val="minor"/>
    </font>
    <font>
      <sz val="10"/>
      <name val="Arial"/>
      <family val="2"/>
      <charset val="204"/>
    </font>
    <font>
      <vertAlign val="superscript"/>
      <sz val="11"/>
      <name val="Calibri"/>
      <family val="2"/>
      <charset val="204"/>
      <scheme val="minor"/>
    </font>
    <font>
      <vertAlign val="superscript"/>
      <sz val="11"/>
      <color theme="1"/>
      <name val="Calibri"/>
      <family val="2"/>
      <charset val="204"/>
      <scheme val="minor"/>
    </font>
    <font>
      <sz val="11"/>
      <color rgb="FFFFC000"/>
      <name val="Calibri"/>
      <family val="2"/>
      <charset val="204"/>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rgb="FFC00000"/>
        <bgColor indexed="64"/>
      </patternFill>
    </fill>
    <fill>
      <patternFill patternType="solid">
        <fgColor rgb="FF92D050"/>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6">
    <xf numFmtId="0" fontId="0" fillId="0" borderId="0"/>
    <xf numFmtId="0" fontId="6" fillId="0" borderId="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10" fillId="7" borderId="5" applyNumberFormat="0" applyAlignment="0" applyProtection="0"/>
    <xf numFmtId="0" fontId="11" fillId="13" borderId="6" applyNumberFormat="0" applyAlignment="0" applyProtection="0"/>
    <xf numFmtId="0" fontId="12" fillId="13" borderId="5" applyNumberFormat="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18" borderId="11" applyNumberFormat="0" applyAlignment="0" applyProtection="0"/>
    <xf numFmtId="0" fontId="18" fillId="0" borderId="0" applyNumberFormat="0" applyFill="0" applyBorder="0" applyAlignment="0" applyProtection="0"/>
    <xf numFmtId="0" fontId="19" fillId="14" borderId="0" applyNumberFormat="0" applyBorder="0" applyAlignment="0" applyProtection="0"/>
    <xf numFmtId="0" fontId="20" fillId="21" borderId="0" applyNumberFormat="0" applyBorder="0" applyAlignment="0" applyProtection="0"/>
    <xf numFmtId="0" fontId="21" fillId="0" borderId="0" applyNumberFormat="0" applyFill="0" applyBorder="0" applyAlignment="0" applyProtection="0"/>
    <xf numFmtId="0" fontId="8" fillId="9" borderId="12" applyNumberFormat="0" applyFont="0" applyAlignment="0" applyProtection="0"/>
    <xf numFmtId="0" fontId="22" fillId="0" borderId="13"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6" fillId="0" borderId="0"/>
    <xf numFmtId="0" fontId="25" fillId="0" borderId="0"/>
    <xf numFmtId="0" fontId="30" fillId="0" borderId="0"/>
  </cellStyleXfs>
  <cellXfs count="451">
    <xf numFmtId="0" fontId="0" fillId="0" borderId="0" xfId="0"/>
    <xf numFmtId="0" fontId="1"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vertical="top"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top" wrapText="1"/>
    </xf>
    <xf numFmtId="0" fontId="0" fillId="0" borderId="1" xfId="0" applyBorder="1"/>
    <xf numFmtId="164" fontId="0" fillId="0" borderId="1" xfId="0" applyNumberForma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1" fontId="0" fillId="0" borderId="1" xfId="0" applyNumberFormat="1" applyBorder="1" applyAlignment="1">
      <alignment horizontal="center" vertical="top" wrapText="1"/>
    </xf>
    <xf numFmtId="0" fontId="0" fillId="0" borderId="1" xfId="0" applyFill="1" applyBorder="1" applyAlignment="1">
      <alignment horizontal="center" vertical="top" wrapText="1"/>
    </xf>
    <xf numFmtId="0" fontId="2" fillId="0" borderId="0" xfId="0" applyFont="1" applyAlignment="1"/>
    <xf numFmtId="0" fontId="2" fillId="0" borderId="0" xfId="0" applyFont="1" applyAlignment="1">
      <alignment horizontal="center"/>
    </xf>
    <xf numFmtId="0" fontId="0" fillId="2" borderId="1" xfId="0" applyFill="1" applyBorder="1" applyAlignment="1">
      <alignment vertical="top" wrapText="1"/>
    </xf>
    <xf numFmtId="0" fontId="1" fillId="0" borderId="1" xfId="0" applyFont="1" applyFill="1" applyBorder="1" applyAlignment="1">
      <alignment vertical="top" wrapText="1"/>
    </xf>
    <xf numFmtId="0" fontId="0" fillId="2" borderId="3" xfId="0" applyFill="1" applyBorder="1" applyAlignment="1">
      <alignment horizontal="left" vertical="top" wrapText="1"/>
    </xf>
    <xf numFmtId="0" fontId="0" fillId="0" borderId="3" xfId="0" applyBorder="1" applyAlignment="1">
      <alignment horizontal="center" vertical="top" wrapText="1"/>
    </xf>
    <xf numFmtId="1" fontId="0" fillId="0" borderId="0" xfId="0" applyNumberFormat="1"/>
    <xf numFmtId="0" fontId="0" fillId="0" borderId="1" xfId="0" applyFill="1" applyBorder="1" applyAlignment="1">
      <alignment vertical="top" wrapText="1"/>
    </xf>
    <xf numFmtId="0" fontId="0" fillId="0" borderId="3" xfId="0" applyFill="1" applyBorder="1" applyAlignment="1">
      <alignment horizontal="left" vertical="top" wrapText="1"/>
    </xf>
    <xf numFmtId="0" fontId="0" fillId="0" borderId="2" xfId="0" applyBorder="1" applyAlignment="1">
      <alignment horizontal="center" vertical="top" wrapText="1"/>
    </xf>
    <xf numFmtId="0" fontId="2" fillId="0" borderId="0" xfId="0" applyFont="1" applyAlignment="1">
      <alignment horizontal="center"/>
    </xf>
    <xf numFmtId="0" fontId="0" fillId="0" borderId="3"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3" xfId="0" applyFill="1" applyBorder="1" applyAlignment="1">
      <alignment horizontal="center" vertical="top" wrapText="1"/>
    </xf>
    <xf numFmtId="0" fontId="0" fillId="0" borderId="1" xfId="0" applyFill="1" applyBorder="1" applyAlignment="1">
      <alignment horizontal="left" vertical="top" wrapText="1"/>
    </xf>
    <xf numFmtId="0" fontId="0" fillId="0" borderId="3" xfId="0" applyBorder="1"/>
    <xf numFmtId="0" fontId="0" fillId="0" borderId="1" xfId="0" applyFont="1" applyFill="1" applyBorder="1" applyAlignment="1">
      <alignment vertical="top" wrapText="1"/>
    </xf>
    <xf numFmtId="0" fontId="0" fillId="0" borderId="1" xfId="0" applyBorder="1" applyAlignment="1">
      <alignment horizontal="center"/>
    </xf>
    <xf numFmtId="0" fontId="1" fillId="0" borderId="1" xfId="0" applyFont="1" applyBorder="1" applyAlignment="1">
      <alignment horizontal="justify" vertical="top" wrapText="1"/>
    </xf>
    <xf numFmtId="0" fontId="0" fillId="0" borderId="1" xfId="0" applyBorder="1" applyAlignment="1">
      <alignment horizontal="justify" vertical="top" wrapText="1"/>
    </xf>
    <xf numFmtId="3" fontId="0" fillId="0" borderId="1" xfId="0" applyNumberFormat="1" applyBorder="1" applyAlignment="1">
      <alignment horizontal="center" vertical="top" wrapText="1"/>
    </xf>
    <xf numFmtId="3" fontId="0" fillId="0" borderId="0" xfId="0" applyNumberFormat="1"/>
    <xf numFmtId="0" fontId="3" fillId="0" borderId="1" xfId="0" applyFont="1" applyBorder="1" applyAlignment="1">
      <alignment horizontal="center" vertical="top" wrapText="1"/>
    </xf>
    <xf numFmtId="1" fontId="3" fillId="0" borderId="1" xfId="0" applyNumberFormat="1" applyFont="1" applyBorder="1" applyAlignment="1">
      <alignment horizontal="center" vertical="top" wrapText="1"/>
    </xf>
    <xf numFmtId="1" fontId="4" fillId="0" borderId="1" xfId="0" applyNumberFormat="1" applyFont="1" applyBorder="1" applyAlignment="1">
      <alignment horizontal="center" vertical="top" wrapText="1"/>
    </xf>
    <xf numFmtId="2" fontId="0" fillId="0" borderId="1" xfId="0" applyNumberFormat="1" applyBorder="1" applyAlignment="1">
      <alignment horizontal="center" vertical="top" wrapText="1"/>
    </xf>
    <xf numFmtId="164" fontId="3" fillId="0" borderId="1" xfId="0" applyNumberFormat="1" applyFont="1" applyBorder="1" applyAlignment="1">
      <alignment horizontal="center" vertical="top" wrapText="1"/>
    </xf>
    <xf numFmtId="0" fontId="0" fillId="3" borderId="1" xfId="0" applyFill="1" applyBorder="1" applyAlignment="1">
      <alignment horizontal="center" vertical="top" wrapText="1"/>
    </xf>
    <xf numFmtId="0" fontId="0" fillId="3" borderId="1" xfId="0" applyFill="1" applyBorder="1" applyAlignment="1">
      <alignment vertical="top" wrapText="1"/>
    </xf>
    <xf numFmtId="0" fontId="0" fillId="3" borderId="1" xfId="0" applyFill="1" applyBorder="1"/>
    <xf numFmtId="2" fontId="0" fillId="3" borderId="1" xfId="0" applyNumberFormat="1" applyFill="1" applyBorder="1" applyAlignment="1">
      <alignment horizontal="center" vertical="top" wrapText="1"/>
    </xf>
    <xf numFmtId="0" fontId="0" fillId="3" borderId="1" xfId="0" applyFill="1" applyBorder="1" applyAlignment="1">
      <alignment horizontal="justify"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vertical="top" wrapText="1"/>
    </xf>
    <xf numFmtId="1" fontId="0" fillId="3" borderId="1" xfId="0" applyNumberFormat="1" applyFill="1" applyBorder="1" applyAlignment="1">
      <alignment horizontal="center" vertical="top" wrapText="1"/>
    </xf>
    <xf numFmtId="164" fontId="0" fillId="3" borderId="1" xfId="0" applyNumberFormat="1" applyFill="1" applyBorder="1" applyAlignment="1">
      <alignment horizontal="center" vertical="top" wrapText="1"/>
    </xf>
    <xf numFmtId="0" fontId="0" fillId="4" borderId="1" xfId="0" applyFill="1" applyBorder="1" applyAlignment="1">
      <alignment vertical="top" wrapText="1"/>
    </xf>
    <xf numFmtId="164" fontId="3" fillId="3" borderId="1" xfId="0" applyNumberFormat="1" applyFont="1" applyFill="1" applyBorder="1" applyAlignment="1">
      <alignment horizontal="center" vertical="top" wrapText="1"/>
    </xf>
    <xf numFmtId="0" fontId="0" fillId="0" borderId="2" xfId="0" applyBorder="1"/>
    <xf numFmtId="0" fontId="0" fillId="3" borderId="2" xfId="0" applyFill="1" applyBorder="1" applyAlignment="1">
      <alignment horizontal="center" vertical="top" wrapText="1"/>
    </xf>
    <xf numFmtId="0" fontId="0" fillId="3" borderId="3" xfId="0" applyFill="1" applyBorder="1" applyAlignment="1">
      <alignment horizontal="center" vertical="top" wrapText="1"/>
    </xf>
    <xf numFmtId="0" fontId="0" fillId="3" borderId="1" xfId="0" applyFont="1" applyFill="1" applyBorder="1" applyAlignment="1">
      <alignment vertical="top" wrapText="1"/>
    </xf>
    <xf numFmtId="0" fontId="5" fillId="3" borderId="1" xfId="0" applyFont="1" applyFill="1" applyBorder="1" applyAlignment="1">
      <alignment horizontal="center" vertical="top" wrapText="1"/>
    </xf>
    <xf numFmtId="0" fontId="5" fillId="3" borderId="1" xfId="0" applyFont="1" applyFill="1" applyBorder="1" applyAlignment="1">
      <alignment vertical="top" wrapText="1"/>
    </xf>
    <xf numFmtId="0" fontId="3" fillId="3" borderId="1" xfId="0" applyFont="1" applyFill="1" applyBorder="1"/>
    <xf numFmtId="0" fontId="3" fillId="3" borderId="1" xfId="0" applyFont="1" applyFill="1" applyBorder="1" applyAlignment="1">
      <alignment horizontal="center" vertical="top" wrapText="1"/>
    </xf>
    <xf numFmtId="0" fontId="3" fillId="3" borderId="1" xfId="0" applyFont="1" applyFill="1" applyBorder="1" applyAlignment="1">
      <alignmen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Border="1"/>
    <xf numFmtId="2" fontId="0" fillId="0" borderId="0" xfId="0" applyNumberFormat="1"/>
    <xf numFmtId="0" fontId="0" fillId="3" borderId="2" xfId="0" applyFill="1" applyBorder="1" applyAlignment="1">
      <alignment vertical="top" wrapText="1"/>
    </xf>
    <xf numFmtId="0" fontId="0" fillId="3" borderId="1" xfId="0" applyFill="1" applyBorder="1" applyAlignment="1">
      <alignment horizontal="center"/>
    </xf>
    <xf numFmtId="0" fontId="0" fillId="0" borderId="2" xfId="0" applyFill="1" applyBorder="1" applyAlignment="1">
      <alignment vertical="top" wrapText="1"/>
    </xf>
    <xf numFmtId="3" fontId="4" fillId="0" borderId="1" xfId="0" applyNumberFormat="1" applyFont="1" applyBorder="1" applyAlignment="1">
      <alignment horizontal="center" vertical="top" wrapText="1"/>
    </xf>
    <xf numFmtId="0" fontId="0" fillId="0" borderId="1" xfId="0" applyFill="1" applyBorder="1" applyAlignment="1">
      <alignment horizontal="justify" vertical="top" wrapText="1"/>
    </xf>
    <xf numFmtId="2" fontId="0" fillId="0" borderId="0" xfId="0" applyNumberFormat="1" applyAlignment="1">
      <alignment horizontal="center" vertical="top" wrapText="1"/>
    </xf>
    <xf numFmtId="0" fontId="0" fillId="3" borderId="3" xfId="0" applyFill="1" applyBorder="1" applyAlignment="1">
      <alignment horizontal="left" vertical="top" wrapText="1"/>
    </xf>
    <xf numFmtId="0" fontId="3" fillId="2" borderId="3" xfId="0" applyFont="1" applyFill="1" applyBorder="1" applyAlignment="1">
      <alignment horizontal="left" vertical="top" wrapText="1"/>
    </xf>
    <xf numFmtId="1" fontId="3" fillId="3" borderId="1" xfId="0" applyNumberFormat="1" applyFont="1" applyFill="1" applyBorder="1" applyAlignment="1">
      <alignment horizontal="center" vertical="top" wrapText="1"/>
    </xf>
    <xf numFmtId="0" fontId="5" fillId="0" borderId="1" xfId="0" applyFont="1" applyFill="1" applyBorder="1" applyAlignment="1">
      <alignment vertical="top" wrapText="1"/>
    </xf>
    <xf numFmtId="0" fontId="4" fillId="0" borderId="1" xfId="0" applyFont="1" applyBorder="1" applyAlignment="1">
      <alignment horizontal="center" vertical="top" wrapText="1"/>
    </xf>
    <xf numFmtId="0" fontId="4" fillId="0" borderId="1" xfId="0" applyFont="1" applyFill="1" applyBorder="1" applyAlignment="1">
      <alignment horizontal="center" vertical="top" wrapText="1"/>
    </xf>
    <xf numFmtId="2" fontId="4" fillId="3" borderId="1" xfId="0" applyNumberFormat="1" applyFont="1" applyFill="1" applyBorder="1" applyAlignment="1">
      <alignment horizontal="center" vertical="top" wrapText="1"/>
    </xf>
    <xf numFmtId="0" fontId="4" fillId="3" borderId="1" xfId="0" applyFont="1" applyFill="1" applyBorder="1" applyAlignment="1">
      <alignment horizontal="center" vertical="top" wrapText="1"/>
    </xf>
    <xf numFmtId="0" fontId="4" fillId="0" borderId="1" xfId="0" applyFont="1" applyFill="1" applyBorder="1" applyAlignment="1">
      <alignmen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0" borderId="1" xfId="0" applyFill="1" applyBorder="1"/>
    <xf numFmtId="0" fontId="0" fillId="0" borderId="0" xfId="0" applyFill="1" applyAlignment="1">
      <alignment horizontal="center" vertical="top" wrapText="1"/>
    </xf>
    <xf numFmtId="0" fontId="0" fillId="0" borderId="0" xfId="0" applyFill="1"/>
    <xf numFmtId="164" fontId="0" fillId="0" borderId="1" xfId="0" applyNumberFormat="1" applyFill="1" applyBorder="1" applyAlignment="1" applyProtection="1">
      <alignment horizontal="center" vertical="top" wrapText="1"/>
      <protection hidden="1"/>
    </xf>
    <xf numFmtId="0" fontId="4" fillId="2" borderId="1" xfId="0" applyFont="1" applyFill="1" applyBorder="1" applyAlignment="1">
      <alignment vertical="top" wrapText="1"/>
    </xf>
    <xf numFmtId="0" fontId="4" fillId="0" borderId="1" xfId="0" applyFont="1" applyBorder="1"/>
    <xf numFmtId="2" fontId="0" fillId="0" borderId="1" xfId="0" applyNumberFormat="1" applyFill="1" applyBorder="1" applyAlignment="1" applyProtection="1">
      <alignment horizontal="center" vertical="top" wrapText="1"/>
      <protection hidden="1"/>
    </xf>
    <xf numFmtId="0" fontId="0" fillId="5" borderId="1" xfId="0" applyFill="1" applyBorder="1" applyAlignment="1">
      <alignment horizontal="justify" vertical="top" wrapText="1"/>
    </xf>
    <xf numFmtId="0" fontId="0" fillId="2" borderId="1" xfId="0" applyFill="1" applyBorder="1" applyAlignment="1">
      <alignment horizontal="center" vertical="top" wrapText="1"/>
    </xf>
    <xf numFmtId="0" fontId="0" fillId="2" borderId="1" xfId="0" applyFill="1" applyBorder="1" applyAlignment="1">
      <alignment horizontal="justify" vertical="top" wrapText="1"/>
    </xf>
    <xf numFmtId="0" fontId="4" fillId="3" borderId="1" xfId="0" applyFont="1" applyFill="1" applyBorder="1" applyAlignment="1">
      <alignment vertical="top" wrapText="1"/>
    </xf>
    <xf numFmtId="165" fontId="4" fillId="0" borderId="1" xfId="0" applyNumberFormat="1" applyFont="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justify" vertical="top" wrapText="1"/>
    </xf>
    <xf numFmtId="0" fontId="4" fillId="2" borderId="1" xfId="0" applyFont="1" applyFill="1" applyBorder="1" applyAlignment="1">
      <alignment horizontal="center" vertical="top" wrapText="1"/>
    </xf>
    <xf numFmtId="0" fontId="4" fillId="2" borderId="1" xfId="0" applyFont="1" applyFill="1" applyBorder="1"/>
    <xf numFmtId="3" fontId="4" fillId="2" borderId="1" xfId="0" applyNumberFormat="1" applyFont="1" applyFill="1" applyBorder="1" applyAlignment="1">
      <alignment horizontal="center" vertical="top" wrapText="1"/>
    </xf>
    <xf numFmtId="2" fontId="4" fillId="0" borderId="1" xfId="0" applyNumberFormat="1" applyFont="1" applyFill="1" applyBorder="1" applyAlignment="1" applyProtection="1">
      <alignment horizontal="center" vertical="top" wrapText="1"/>
      <protection hidden="1"/>
    </xf>
    <xf numFmtId="0" fontId="1" fillId="2" borderId="1" xfId="0" applyFont="1" applyFill="1" applyBorder="1" applyAlignment="1">
      <alignment horizontal="center" vertical="top" wrapText="1"/>
    </xf>
    <xf numFmtId="0" fontId="1" fillId="2" borderId="1" xfId="0" applyFont="1" applyFill="1" applyBorder="1" applyAlignment="1">
      <alignment horizontal="justify" vertical="top" wrapText="1"/>
    </xf>
    <xf numFmtId="0" fontId="0" fillId="2" borderId="1" xfId="0" applyFill="1" applyBorder="1"/>
    <xf numFmtId="2" fontId="4" fillId="2" borderId="1" xfId="0" applyNumberFormat="1" applyFont="1" applyFill="1" applyBorder="1" applyAlignment="1" applyProtection="1">
      <alignment horizontal="center" vertical="top" wrapText="1"/>
      <protection hidden="1"/>
    </xf>
    <xf numFmtId="164" fontId="0" fillId="0" borderId="1" xfId="0" applyNumberFormat="1" applyFill="1" applyBorder="1" applyAlignment="1">
      <alignment horizontal="center" vertical="top" wrapText="1"/>
    </xf>
    <xf numFmtId="0" fontId="4" fillId="0" borderId="1" xfId="0" applyFont="1" applyFill="1" applyBorder="1" applyAlignment="1">
      <alignment horizontal="justify" vertical="top" wrapText="1"/>
    </xf>
    <xf numFmtId="1" fontId="0" fillId="0" borderId="1" xfId="0" applyNumberFormat="1" applyFill="1" applyBorder="1" applyAlignment="1">
      <alignment horizontal="center" vertical="top" wrapText="1"/>
    </xf>
    <xf numFmtId="0" fontId="4" fillId="3" borderId="1" xfId="0" applyFont="1" applyFill="1" applyBorder="1" applyAlignment="1">
      <alignment horizontal="justify" vertical="top" wrapText="1"/>
    </xf>
    <xf numFmtId="0" fontId="4" fillId="3" borderId="1" xfId="0" applyFont="1" applyFill="1" applyBorder="1"/>
    <xf numFmtId="164" fontId="4"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wrapText="1"/>
    </xf>
    <xf numFmtId="0" fontId="7" fillId="3" borderId="1" xfId="0" applyFont="1" applyFill="1" applyBorder="1" applyAlignment="1">
      <alignment vertical="top" wrapText="1"/>
    </xf>
    <xf numFmtId="2" fontId="0" fillId="3" borderId="1" xfId="0" applyNumberFormat="1" applyFill="1" applyBorder="1" applyAlignment="1">
      <alignment horizontal="center"/>
    </xf>
    <xf numFmtId="0" fontId="0" fillId="0" borderId="0" xfId="0" applyAlignment="1">
      <alignment horizontal="center"/>
    </xf>
    <xf numFmtId="0" fontId="0" fillId="0" borderId="0" xfId="0" applyNumberFormat="1" applyAlignment="1">
      <alignment horizontal="center" wrapText="1"/>
    </xf>
    <xf numFmtId="0" fontId="0" fillId="0" borderId="0" xfId="0" applyNumberFormat="1" applyAlignment="1">
      <alignment horizontal="center" vertical="center" wrapText="1"/>
    </xf>
    <xf numFmtId="0" fontId="0" fillId="2" borderId="3" xfId="0" applyFill="1" applyBorder="1" applyAlignment="1">
      <alignment horizontal="left" vertical="top" wrapText="1"/>
    </xf>
    <xf numFmtId="2" fontId="0" fillId="0" borderId="1" xfId="0" applyNumberFormat="1" applyFill="1" applyBorder="1" applyAlignment="1">
      <alignment horizontal="center" vertical="top" wrapText="1"/>
    </xf>
    <xf numFmtId="0" fontId="4" fillId="5" borderId="1" xfId="0" applyFont="1" applyFill="1" applyBorder="1" applyAlignment="1">
      <alignment horizontal="center" vertical="top" wrapText="1"/>
    </xf>
    <xf numFmtId="0" fontId="0" fillId="0" borderId="1" xfId="0"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0" fontId="0" fillId="2" borderId="2" xfId="0" applyFill="1" applyBorder="1" applyAlignment="1">
      <alignment horizontal="left" vertical="top" wrapText="1"/>
    </xf>
    <xf numFmtId="0" fontId="0" fillId="2" borderId="4" xfId="0" applyFill="1" applyBorder="1" applyAlignment="1">
      <alignment horizontal="left" vertical="top" wrapText="1"/>
    </xf>
    <xf numFmtId="0" fontId="0" fillId="0" borderId="4" xfId="0" applyFill="1" applyBorder="1" applyAlignment="1">
      <alignment vertical="top" wrapText="1"/>
    </xf>
    <xf numFmtId="1" fontId="4" fillId="3" borderId="1" xfId="0" applyNumberFormat="1" applyFont="1" applyFill="1" applyBorder="1" applyAlignment="1">
      <alignment horizontal="center" vertical="top" wrapText="1"/>
    </xf>
    <xf numFmtId="165" fontId="0" fillId="0" borderId="1" xfId="0" applyNumberFormat="1" applyBorder="1" applyAlignment="1">
      <alignment horizontal="center" vertical="top" wrapText="1"/>
    </xf>
    <xf numFmtId="0" fontId="0" fillId="3" borderId="1" xfId="0" applyFont="1" applyFill="1" applyBorder="1" applyAlignment="1">
      <alignment horizontal="center" vertical="top" wrapText="1"/>
    </xf>
    <xf numFmtId="0" fontId="0" fillId="3" borderId="1" xfId="0" applyFont="1" applyFill="1" applyBorder="1"/>
    <xf numFmtId="0" fontId="0" fillId="0" borderId="1" xfId="0" applyFont="1" applyBorder="1" applyAlignment="1">
      <alignment horizontal="center" vertical="top" wrapText="1"/>
    </xf>
    <xf numFmtId="2" fontId="4" fillId="0" borderId="1" xfId="0" applyNumberFormat="1" applyFont="1" applyBorder="1" applyAlignment="1">
      <alignment horizontal="center" vertical="top" wrapText="1"/>
    </xf>
    <xf numFmtId="0" fontId="0" fillId="4" borderId="1" xfId="0" applyFill="1" applyBorder="1" applyAlignment="1">
      <alignment horizontal="justify" vertical="top" wrapText="1"/>
    </xf>
    <xf numFmtId="164" fontId="3" fillId="0" borderId="1" xfId="0" applyNumberFormat="1" applyFont="1" applyFill="1" applyBorder="1" applyAlignment="1" applyProtection="1">
      <alignment horizontal="center" vertical="top" wrapText="1"/>
      <protection hidden="1"/>
    </xf>
    <xf numFmtId="0" fontId="0" fillId="0" borderId="1" xfId="0" applyFill="1" applyBorder="1" applyAlignment="1">
      <alignment horizontal="center"/>
    </xf>
    <xf numFmtId="0" fontId="28" fillId="2" borderId="1" xfId="0" applyFont="1" applyFill="1" applyBorder="1" applyAlignment="1">
      <alignment vertical="top" wrapText="1"/>
    </xf>
    <xf numFmtId="0" fontId="4" fillId="3" borderId="1" xfId="0" applyFont="1" applyFill="1" applyBorder="1" applyAlignment="1">
      <alignment horizontal="center"/>
    </xf>
    <xf numFmtId="3" fontId="0" fillId="0" borderId="1" xfId="0" applyNumberFormat="1" applyFill="1" applyBorder="1" applyAlignment="1">
      <alignment horizontal="center" vertical="top" wrapText="1"/>
    </xf>
    <xf numFmtId="0" fontId="0" fillId="22" borderId="1" xfId="0" applyFill="1" applyBorder="1" applyAlignment="1">
      <alignment vertical="top" wrapText="1"/>
    </xf>
    <xf numFmtId="0" fontId="3" fillId="3" borderId="1" xfId="0" applyFont="1" applyFill="1" applyBorder="1" applyAlignment="1">
      <alignment horizontal="justify" vertical="top" wrapText="1"/>
    </xf>
    <xf numFmtId="0" fontId="0" fillId="0" borderId="3" xfId="0" applyFill="1" applyBorder="1" applyAlignment="1">
      <alignment horizontal="center"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2" borderId="3" xfId="0" applyFill="1" applyBorder="1" applyAlignment="1">
      <alignment horizontal="left" vertical="top" wrapText="1"/>
    </xf>
    <xf numFmtId="164" fontId="0" fillId="0" borderId="0" xfId="0" applyNumberFormat="1"/>
    <xf numFmtId="0" fontId="0" fillId="0" borderId="4" xfId="0" applyBorder="1" applyAlignment="1">
      <alignment horizontal="center" vertical="top" wrapText="1"/>
    </xf>
    <xf numFmtId="2" fontId="4" fillId="4" borderId="1" xfId="0" applyNumberFormat="1" applyFont="1" applyFill="1" applyBorder="1" applyAlignment="1" applyProtection="1">
      <alignment horizontal="center" vertical="top" wrapText="1"/>
      <protection hidden="1"/>
    </xf>
    <xf numFmtId="0" fontId="0" fillId="4" borderId="1" xfId="0"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0" borderId="3" xfId="0" applyFill="1" applyBorder="1" applyAlignment="1">
      <alignment horizontal="left" vertical="top" wrapText="1"/>
    </xf>
    <xf numFmtId="164" fontId="0" fillId="3" borderId="1" xfId="0" applyNumberFormat="1" applyFill="1" applyBorder="1" applyAlignment="1" applyProtection="1">
      <alignment horizontal="center" vertical="top" wrapText="1"/>
      <protection hidden="1"/>
    </xf>
    <xf numFmtId="0" fontId="0" fillId="4" borderId="3" xfId="0" applyFill="1" applyBorder="1" applyAlignment="1">
      <alignment horizontal="center" vertical="top" wrapText="1"/>
    </xf>
    <xf numFmtId="0" fontId="0" fillId="4" borderId="1" xfId="0" applyFill="1" applyBorder="1"/>
    <xf numFmtId="164" fontId="0" fillId="4" borderId="1" xfId="0" applyNumberFormat="1" applyFill="1" applyBorder="1" applyAlignment="1">
      <alignment horizontal="center" vertical="top" wrapText="1"/>
    </xf>
    <xf numFmtId="0" fontId="0" fillId="0" borderId="3" xfId="0" applyFill="1" applyBorder="1" applyAlignment="1">
      <alignment horizontal="center" vertical="top" wrapText="1"/>
    </xf>
    <xf numFmtId="0" fontId="0" fillId="0" borderId="3" xfId="0" applyFill="1" applyBorder="1" applyAlignment="1">
      <alignment horizontal="left" vertical="top" wrapText="1"/>
    </xf>
    <xf numFmtId="0" fontId="0" fillId="2" borderId="3" xfId="0" applyFill="1" applyBorder="1" applyAlignment="1">
      <alignment horizontal="left" vertical="top" wrapText="1"/>
    </xf>
    <xf numFmtId="0" fontId="0" fillId="4" borderId="3" xfId="0" applyFill="1" applyBorder="1" applyAlignment="1">
      <alignment horizontal="left" vertical="top" wrapText="1"/>
    </xf>
    <xf numFmtId="2" fontId="0" fillId="4" borderId="1" xfId="0" applyNumberFormat="1" applyFill="1" applyBorder="1" applyAlignment="1">
      <alignment horizontal="center" vertical="top" wrapText="1"/>
    </xf>
    <xf numFmtId="0" fontId="0" fillId="4" borderId="4" xfId="0" applyFill="1" applyBorder="1" applyAlignment="1">
      <alignment horizontal="left" vertical="top" wrapText="1"/>
    </xf>
    <xf numFmtId="0" fontId="0" fillId="0" borderId="2" xfId="0"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4" borderId="2" xfId="0" applyFill="1" applyBorder="1" applyAlignment="1">
      <alignment horizontal="center" vertical="top" wrapText="1"/>
    </xf>
    <xf numFmtId="0" fontId="0" fillId="4" borderId="2" xfId="0" applyFill="1" applyBorder="1"/>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1" fontId="4" fillId="4" borderId="1" xfId="0" applyNumberFormat="1" applyFont="1" applyFill="1" applyBorder="1" applyAlignment="1">
      <alignment horizontal="center" vertical="top" wrapText="1"/>
    </xf>
    <xf numFmtId="0" fontId="4" fillId="0" borderId="3" xfId="0" applyFont="1" applyFill="1" applyBorder="1" applyAlignment="1">
      <alignment horizontal="center" vertical="top" wrapText="1"/>
    </xf>
    <xf numFmtId="0" fontId="0" fillId="2" borderId="3" xfId="0" applyFill="1" applyBorder="1" applyAlignment="1">
      <alignment horizontal="left" vertical="top" wrapText="1"/>
    </xf>
    <xf numFmtId="0" fontId="0" fillId="3" borderId="2" xfId="0" applyFill="1" applyBorder="1"/>
    <xf numFmtId="0" fontId="0" fillId="3" borderId="1" xfId="0" applyFill="1" applyBorder="1" applyAlignment="1">
      <alignment horizontal="center" wrapText="1"/>
    </xf>
    <xf numFmtId="0" fontId="0" fillId="0" borderId="1" xfId="0" applyFill="1" applyBorder="1" applyAlignment="1">
      <alignment horizontal="center" wrapText="1"/>
    </xf>
    <xf numFmtId="168" fontId="0" fillId="0" borderId="1" xfId="0" applyNumberFormat="1" applyBorder="1" applyAlignment="1">
      <alignment horizontal="center" vertical="top" wrapText="1"/>
    </xf>
    <xf numFmtId="1" fontId="3" fillId="0" borderId="1" xfId="0" applyNumberFormat="1" applyFont="1" applyFill="1" applyBorder="1" applyAlignment="1">
      <alignment horizontal="center" vertical="top" wrapText="1"/>
    </xf>
    <xf numFmtId="1" fontId="0" fillId="0" borderId="0" xfId="0" applyNumberFormat="1" applyFill="1"/>
    <xf numFmtId="0" fontId="27" fillId="0" borderId="1" xfId="0" applyFont="1" applyFill="1" applyBorder="1" applyAlignment="1">
      <alignment vertical="top" wrapText="1"/>
    </xf>
    <xf numFmtId="1" fontId="0" fillId="0" borderId="1" xfId="0" applyNumberFormat="1" applyFont="1" applyFill="1" applyBorder="1" applyAlignment="1">
      <alignment horizontal="center" vertical="top" wrapText="1"/>
    </xf>
    <xf numFmtId="1" fontId="0" fillId="0" borderId="1" xfId="0" applyNumberFormat="1" applyFont="1" applyBorder="1" applyAlignment="1">
      <alignment horizontal="center" vertical="top" wrapText="1"/>
    </xf>
    <xf numFmtId="1" fontId="0" fillId="3" borderId="1" xfId="0" applyNumberFormat="1" applyFont="1" applyFill="1" applyBorder="1" applyAlignment="1">
      <alignment horizontal="center" vertical="top" wrapText="1"/>
    </xf>
    <xf numFmtId="164" fontId="0" fillId="3" borderId="1" xfId="0" applyNumberFormat="1" applyFont="1" applyFill="1" applyBorder="1" applyAlignment="1">
      <alignment horizontal="center" vertical="top" wrapText="1"/>
    </xf>
    <xf numFmtId="2" fontId="0" fillId="3" borderId="1" xfId="0" applyNumberFormat="1" applyFont="1" applyFill="1" applyBorder="1" applyAlignment="1">
      <alignment horizontal="center" vertical="top" wrapText="1"/>
    </xf>
    <xf numFmtId="0" fontId="0" fillId="0" borderId="0" xfId="0" applyFont="1"/>
    <xf numFmtId="164" fontId="0" fillId="0" borderId="1" xfId="0" applyNumberFormat="1" applyFont="1" applyFill="1" applyBorder="1" applyAlignment="1">
      <alignment horizontal="center" vertical="top" wrapText="1"/>
    </xf>
    <xf numFmtId="0" fontId="0" fillId="0" borderId="1" xfId="0" applyFont="1" applyFill="1" applyBorder="1"/>
    <xf numFmtId="2" fontId="0" fillId="0" borderId="1" xfId="0" applyNumberFormat="1" applyFont="1" applyFill="1" applyBorder="1" applyAlignment="1">
      <alignment horizontal="center" vertical="top" wrapText="1"/>
    </xf>
    <xf numFmtId="0" fontId="0" fillId="0" borderId="0" xfId="0" applyFont="1" applyAlignment="1">
      <alignment horizontal="center" vertical="top" wrapText="1"/>
    </xf>
    <xf numFmtId="0" fontId="0" fillId="4" borderId="1" xfId="0" applyFont="1" applyFill="1" applyBorder="1" applyAlignment="1">
      <alignment horizontal="center" vertical="top" wrapText="1"/>
    </xf>
    <xf numFmtId="0" fontId="0" fillId="4" borderId="1" xfId="0" applyFont="1" applyFill="1" applyBorder="1" applyAlignment="1">
      <alignment vertical="top" wrapText="1"/>
    </xf>
    <xf numFmtId="164" fontId="0" fillId="4" borderId="1" xfId="0" applyNumberFormat="1" applyFont="1" applyFill="1" applyBorder="1" applyAlignment="1">
      <alignment horizontal="center" vertical="top" wrapText="1"/>
    </xf>
    <xf numFmtId="0" fontId="4" fillId="4" borderId="1" xfId="0" applyFont="1" applyFill="1" applyBorder="1" applyAlignment="1">
      <alignment horizontal="justify" vertical="top" wrapText="1"/>
    </xf>
    <xf numFmtId="164" fontId="4" fillId="4" borderId="1" xfId="0" applyNumberFormat="1" applyFont="1" applyFill="1" applyBorder="1" applyAlignment="1">
      <alignment horizontal="center" vertical="top" wrapText="1"/>
    </xf>
    <xf numFmtId="1" fontId="0" fillId="4" borderId="1" xfId="0" applyNumberFormat="1" applyFill="1" applyBorder="1" applyAlignment="1">
      <alignment horizontal="center" vertical="top" wrapText="1"/>
    </xf>
    <xf numFmtId="1" fontId="4" fillId="0" borderId="1" xfId="0" applyNumberFormat="1" applyFont="1" applyFill="1" applyBorder="1" applyAlignment="1">
      <alignment horizontal="center" vertical="top" wrapText="1"/>
    </xf>
    <xf numFmtId="0" fontId="4" fillId="0" borderId="1" xfId="0" applyFont="1" applyFill="1" applyBorder="1"/>
    <xf numFmtId="2" fontId="4" fillId="0" borderId="1" xfId="0" applyNumberFormat="1" applyFont="1" applyFill="1" applyBorder="1" applyAlignment="1">
      <alignment horizontal="center" vertical="top" wrapText="1"/>
    </xf>
    <xf numFmtId="2" fontId="4" fillId="4"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3" fillId="0" borderId="1" xfId="0" applyFont="1" applyFill="1" applyBorder="1"/>
    <xf numFmtId="0" fontId="7" fillId="0" borderId="1" xfId="0" applyFont="1" applyFill="1" applyBorder="1" applyAlignment="1">
      <alignment horizontal="center" vertical="top" wrapText="1"/>
    </xf>
    <xf numFmtId="0" fontId="4" fillId="4" borderId="1" xfId="0" applyFont="1" applyFill="1" applyBorder="1"/>
    <xf numFmtId="0" fontId="4" fillId="0" borderId="1" xfId="0" applyFont="1" applyFill="1" applyBorder="1" applyAlignment="1">
      <alignment horizontal="center"/>
    </xf>
    <xf numFmtId="2" fontId="0" fillId="0" borderId="0" xfId="0" applyNumberFormat="1" applyAlignment="1">
      <alignment horizontal="left"/>
    </xf>
    <xf numFmtId="0" fontId="0" fillId="0" borderId="0" xfId="0" applyFill="1" applyBorder="1"/>
    <xf numFmtId="164" fontId="0" fillId="0" borderId="0" xfId="0" applyNumberFormat="1" applyAlignment="1">
      <alignment horizontal="center" vertical="top" wrapText="1"/>
    </xf>
    <xf numFmtId="0" fontId="0" fillId="23" borderId="1" xfId="0" applyFill="1" applyBorder="1" applyAlignment="1">
      <alignment horizontal="justify" vertical="top" wrapText="1"/>
    </xf>
    <xf numFmtId="0" fontId="0" fillId="23" borderId="1" xfId="0" applyFill="1" applyBorder="1" applyAlignment="1">
      <alignment horizontal="center" vertical="top" wrapText="1"/>
    </xf>
    <xf numFmtId="0" fontId="0" fillId="23" borderId="1" xfId="0" applyFont="1" applyFill="1" applyBorder="1" applyAlignment="1">
      <alignment horizontal="center" vertical="top" wrapText="1"/>
    </xf>
    <xf numFmtId="1" fontId="0" fillId="23" borderId="1" xfId="0" applyNumberFormat="1" applyFill="1" applyBorder="1" applyAlignment="1">
      <alignment horizontal="center" vertical="top" wrapText="1"/>
    </xf>
    <xf numFmtId="0" fontId="1" fillId="4" borderId="1" xfId="0" applyFont="1" applyFill="1" applyBorder="1" applyAlignment="1">
      <alignment vertical="top" wrapText="1"/>
    </xf>
    <xf numFmtId="0" fontId="0" fillId="23" borderId="1" xfId="0" applyFill="1" applyBorder="1"/>
    <xf numFmtId="2" fontId="0" fillId="23" borderId="1" xfId="0" applyNumberFormat="1" applyFill="1" applyBorder="1" applyAlignment="1">
      <alignment horizontal="center" vertical="top" wrapText="1"/>
    </xf>
    <xf numFmtId="0" fontId="0" fillId="24" borderId="1" xfId="0" applyFill="1" applyBorder="1" applyAlignment="1">
      <alignment horizontal="justify" vertical="top" wrapText="1"/>
    </xf>
    <xf numFmtId="0" fontId="0" fillId="23" borderId="1" xfId="0" applyFill="1" applyBorder="1" applyAlignment="1">
      <alignment vertical="top" wrapText="1"/>
    </xf>
    <xf numFmtId="0" fontId="0" fillId="23" borderId="3" xfId="0" applyFill="1" applyBorder="1" applyAlignment="1">
      <alignment horizontal="center" vertical="top" wrapText="1"/>
    </xf>
    <xf numFmtId="0" fontId="7" fillId="4" borderId="1" xfId="0" applyFont="1" applyFill="1" applyBorder="1" applyAlignment="1">
      <alignment vertical="top" wrapText="1"/>
    </xf>
    <xf numFmtId="0" fontId="0" fillId="4" borderId="0" xfId="0" applyFill="1"/>
    <xf numFmtId="0" fontId="7" fillId="4"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7" fillId="24" borderId="1" xfId="0" applyFont="1" applyFill="1" applyBorder="1" applyAlignment="1">
      <alignment horizontal="center" vertical="top" wrapText="1"/>
    </xf>
    <xf numFmtId="0" fontId="7" fillId="24" borderId="1" xfId="0" applyFont="1" applyFill="1" applyBorder="1" applyAlignment="1">
      <alignment vertical="top" wrapText="1"/>
    </xf>
    <xf numFmtId="0" fontId="4" fillId="24" borderId="1" xfId="0" applyFont="1" applyFill="1" applyBorder="1"/>
    <xf numFmtId="0" fontId="4" fillId="24" borderId="1" xfId="0" applyFont="1" applyFill="1" applyBorder="1" applyAlignment="1">
      <alignment horizontal="center" vertical="top" wrapText="1"/>
    </xf>
    <xf numFmtId="0" fontId="4" fillId="24" borderId="1" xfId="0" applyFont="1" applyFill="1" applyBorder="1" applyAlignment="1">
      <alignment vertical="top" wrapText="1"/>
    </xf>
    <xf numFmtId="164" fontId="4" fillId="24" borderId="1" xfId="0" applyNumberFormat="1" applyFont="1" applyFill="1" applyBorder="1" applyAlignment="1">
      <alignment horizontal="center" vertical="top" wrapText="1"/>
    </xf>
    <xf numFmtId="0" fontId="3" fillId="24" borderId="1" xfId="0" applyFont="1" applyFill="1" applyBorder="1" applyAlignment="1">
      <alignment horizontal="center" vertical="top" wrapText="1"/>
    </xf>
    <xf numFmtId="0" fontId="3" fillId="24" borderId="1" xfId="0" applyFont="1" applyFill="1" applyBorder="1"/>
    <xf numFmtId="164" fontId="3" fillId="24" borderId="1" xfId="0" applyNumberFormat="1" applyFont="1" applyFill="1" applyBorder="1" applyAlignment="1">
      <alignment horizontal="center" vertical="top" wrapText="1"/>
    </xf>
    <xf numFmtId="165" fontId="4" fillId="0" borderId="1" xfId="0" applyNumberFormat="1"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3" fillId="4" borderId="1" xfId="0" applyFont="1" applyFill="1" applyBorder="1" applyAlignment="1">
      <alignment horizontal="center" vertical="top" wrapText="1"/>
    </xf>
    <xf numFmtId="0" fontId="3" fillId="4" borderId="1" xfId="0" applyFont="1" applyFill="1" applyBorder="1"/>
    <xf numFmtId="1" fontId="3" fillId="4" borderId="1" xfId="0" applyNumberFormat="1" applyFont="1" applyFill="1" applyBorder="1" applyAlignment="1">
      <alignment horizontal="center" vertical="top" wrapText="1"/>
    </xf>
    <xf numFmtId="164" fontId="3" fillId="4" borderId="1" xfId="0" applyNumberFormat="1" applyFont="1" applyFill="1" applyBorder="1" applyAlignment="1">
      <alignment horizontal="center" vertical="top" wrapText="1"/>
    </xf>
    <xf numFmtId="0" fontId="1" fillId="4" borderId="1" xfId="0" applyFont="1" applyFill="1" applyBorder="1" applyAlignment="1">
      <alignment horizontal="center" vertical="top" wrapText="1"/>
    </xf>
    <xf numFmtId="0" fontId="0" fillId="0" borderId="0" xfId="0"/>
    <xf numFmtId="0" fontId="0" fillId="0" borderId="1" xfId="0" applyFont="1" applyFill="1" applyBorder="1" applyAlignment="1">
      <alignment horizontal="justify" vertical="top" wrapText="1"/>
    </xf>
    <xf numFmtId="0" fontId="1" fillId="4" borderId="1" xfId="0" applyFont="1" applyFill="1" applyBorder="1" applyAlignment="1">
      <alignment horizontal="center"/>
    </xf>
    <xf numFmtId="0" fontId="2" fillId="0" borderId="0" xfId="0" applyFont="1" applyAlignment="1">
      <alignment horizontal="center"/>
    </xf>
    <xf numFmtId="0" fontId="29" fillId="0" borderId="0" xfId="0" applyFont="1" applyAlignment="1">
      <alignment horizontal="center"/>
    </xf>
    <xf numFmtId="0" fontId="1" fillId="4" borderId="0" xfId="0" applyFont="1" applyFill="1" applyBorder="1" applyAlignment="1">
      <alignment horizontal="center"/>
    </xf>
    <xf numFmtId="0" fontId="0" fillId="2" borderId="2" xfId="0" applyFill="1" applyBorder="1" applyAlignment="1">
      <alignment horizontal="left" vertical="top" wrapText="1"/>
    </xf>
    <xf numFmtId="0" fontId="0" fillId="2" borderId="1" xfId="0" applyFill="1" applyBorder="1" applyAlignment="1">
      <alignment horizontal="left" vertical="top" wrapText="1"/>
    </xf>
    <xf numFmtId="0" fontId="2" fillId="0" borderId="0" xfId="0" applyFont="1" applyAlignment="1">
      <alignment horizontal="center"/>
    </xf>
    <xf numFmtId="0" fontId="2" fillId="0" borderId="0" xfId="0" applyFont="1" applyAlignment="1">
      <alignment horizontal="center"/>
    </xf>
    <xf numFmtId="167" fontId="4" fillId="0" borderId="1" xfId="0" applyNumberFormat="1" applyFont="1" applyBorder="1" applyAlignment="1">
      <alignment horizontal="center" vertical="top" wrapText="1"/>
    </xf>
    <xf numFmtId="3" fontId="0" fillId="0" borderId="1" xfId="0" applyNumberFormat="1" applyBorder="1"/>
    <xf numFmtId="0" fontId="2" fillId="0" borderId="0" xfId="0" applyFont="1" applyAlignment="1">
      <alignment horizontal="center"/>
    </xf>
    <xf numFmtId="0" fontId="0" fillId="0" borderId="0" xfId="0" applyNumberFormat="1" applyAlignment="1">
      <alignment horizontal="center" wrapText="1"/>
    </xf>
    <xf numFmtId="0" fontId="0" fillId="0" borderId="0" xfId="0" applyNumberFormat="1" applyAlignment="1">
      <alignment horizontal="center" wrapText="1"/>
    </xf>
    <xf numFmtId="3" fontId="0" fillId="0" borderId="1" xfId="0" applyNumberFormat="1" applyFill="1" applyBorder="1" applyAlignment="1">
      <alignment horizontal="center"/>
    </xf>
    <xf numFmtId="3" fontId="0" fillId="0" borderId="1" xfId="0" applyNumberFormat="1" applyFill="1" applyBorder="1"/>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4" fontId="0" fillId="23" borderId="1" xfId="0" applyNumberFormat="1"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2" fillId="2" borderId="0" xfId="0" applyFont="1" applyFill="1" applyAlignment="1"/>
    <xf numFmtId="0" fontId="0" fillId="2" borderId="0" xfId="0" applyFill="1"/>
    <xf numFmtId="0" fontId="2" fillId="2" borderId="0" xfId="0" applyFont="1" applyFill="1" applyAlignment="1">
      <alignment horizontal="center"/>
    </xf>
    <xf numFmtId="0" fontId="1" fillId="2" borderId="0" xfId="0" applyFont="1" applyFill="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0" fillId="2" borderId="0" xfId="0" applyNumberFormat="1" applyFill="1" applyAlignment="1">
      <alignment horizontal="center" wrapText="1"/>
    </xf>
    <xf numFmtId="0" fontId="1" fillId="2" borderId="3" xfId="0" applyFont="1" applyFill="1" applyBorder="1" applyAlignment="1">
      <alignment horizontal="center" vertical="top"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2" borderId="3" xfId="0" applyFill="1" applyBorder="1"/>
    <xf numFmtId="0" fontId="0" fillId="2" borderId="0" xfId="0" applyFill="1" applyAlignment="1">
      <alignment horizontal="center"/>
    </xf>
    <xf numFmtId="2" fontId="0" fillId="2" borderId="1" xfId="0" applyNumberFormat="1" applyFill="1" applyBorder="1" applyAlignment="1">
      <alignment horizontal="center" vertical="top" wrapText="1"/>
    </xf>
    <xf numFmtId="164" fontId="0" fillId="2" borderId="1" xfId="0" applyNumberFormat="1" applyFill="1" applyBorder="1" applyAlignment="1">
      <alignment horizontal="center" vertical="top" wrapText="1"/>
    </xf>
    <xf numFmtId="0" fontId="0" fillId="2" borderId="0" xfId="0" applyFill="1" applyAlignment="1">
      <alignment horizontal="center" vertical="top" wrapText="1"/>
    </xf>
    <xf numFmtId="3" fontId="0" fillId="2" borderId="1" xfId="0" applyNumberFormat="1" applyFill="1" applyBorder="1" applyAlignment="1">
      <alignment horizontal="center" vertical="top" wrapText="1"/>
    </xf>
    <xf numFmtId="1" fontId="0" fillId="2" borderId="0" xfId="0" applyNumberFormat="1" applyFill="1"/>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3" fontId="0" fillId="2" borderId="0" xfId="0" applyNumberFormat="1" applyFill="1"/>
    <xf numFmtId="4" fontId="0" fillId="2" borderId="1" xfId="0" applyNumberFormat="1" applyFill="1" applyBorder="1" applyAlignment="1">
      <alignment horizontal="center" vertical="top" wrapText="1"/>
    </xf>
    <xf numFmtId="2" fontId="0" fillId="2" borderId="0" xfId="0" applyNumberFormat="1" applyFill="1" applyAlignment="1">
      <alignment horizontal="center"/>
    </xf>
    <xf numFmtId="1" fontId="0" fillId="2" borderId="0" xfId="0" applyNumberFormat="1" applyFill="1" applyAlignment="1">
      <alignment horizontal="center"/>
    </xf>
    <xf numFmtId="0" fontId="1" fillId="2" borderId="1" xfId="0" applyFont="1" applyFill="1" applyBorder="1" applyAlignment="1">
      <alignment vertical="top" wrapText="1"/>
    </xf>
    <xf numFmtId="1" fontId="0" fillId="2" borderId="1" xfId="0" applyNumberFormat="1" applyFill="1" applyBorder="1" applyAlignment="1">
      <alignment horizontal="center" vertical="top" wrapText="1"/>
    </xf>
    <xf numFmtId="1" fontId="4" fillId="2" borderId="1" xfId="0" applyNumberFormat="1" applyFont="1" applyFill="1" applyBorder="1" applyAlignment="1">
      <alignment horizontal="center" vertical="top" wrapText="1"/>
    </xf>
    <xf numFmtId="2" fontId="4" fillId="2" borderId="1" xfId="0" applyNumberFormat="1" applyFont="1" applyFill="1" applyBorder="1" applyAlignment="1">
      <alignment horizontal="center" vertical="top" wrapText="1"/>
    </xf>
    <xf numFmtId="0" fontId="0" fillId="2" borderId="1" xfId="0" applyFill="1" applyBorder="1" applyAlignment="1">
      <alignment horizontal="left" vertical="center" wrapText="1"/>
    </xf>
    <xf numFmtId="4" fontId="0" fillId="2" borderId="0" xfId="0" applyNumberFormat="1" applyFill="1"/>
    <xf numFmtId="2" fontId="0" fillId="2" borderId="0" xfId="0" applyNumberFormat="1" applyFill="1"/>
    <xf numFmtId="0" fontId="0" fillId="2" borderId="1" xfId="0" applyFont="1" applyFill="1" applyBorder="1" applyAlignment="1">
      <alignment horizontal="justify" vertical="top" wrapText="1"/>
    </xf>
    <xf numFmtId="0" fontId="3" fillId="2" borderId="1" xfId="0" applyFont="1" applyFill="1" applyBorder="1" applyAlignment="1">
      <alignment horizontal="justify" vertical="top" wrapText="1"/>
    </xf>
    <xf numFmtId="165" fontId="0" fillId="2" borderId="0" xfId="0" applyNumberFormat="1" applyFill="1"/>
    <xf numFmtId="0" fontId="4" fillId="2" borderId="1" xfId="0" applyFont="1" applyFill="1" applyBorder="1" applyAlignment="1">
      <alignment horizontal="justify" vertical="top" wrapText="1"/>
    </xf>
    <xf numFmtId="3" fontId="0" fillId="2" borderId="0" xfId="0" applyNumberFormat="1" applyFill="1" applyAlignment="1">
      <alignment horizontal="center" vertical="top" wrapText="1"/>
    </xf>
    <xf numFmtId="3" fontId="0" fillId="2" borderId="0" xfId="0" applyNumberFormat="1" applyFill="1" applyBorder="1"/>
    <xf numFmtId="1" fontId="0" fillId="2" borderId="0" xfId="0" applyNumberFormat="1" applyFill="1" applyAlignment="1">
      <alignment horizontal="center" vertical="top" wrapText="1"/>
    </xf>
    <xf numFmtId="0" fontId="0" fillId="2" borderId="0" xfId="0" applyFill="1" applyBorder="1"/>
    <xf numFmtId="3" fontId="0" fillId="2" borderId="0" xfId="0" applyNumberFormat="1" applyFill="1" applyBorder="1" applyAlignment="1">
      <alignment horizontal="center" vertical="top" wrapText="1"/>
    </xf>
    <xf numFmtId="0" fontId="5" fillId="2" borderId="1" xfId="0" applyFont="1" applyFill="1" applyBorder="1" applyAlignment="1">
      <alignment horizontal="center" vertical="top" wrapText="1"/>
    </xf>
    <xf numFmtId="0" fontId="5" fillId="2" borderId="1" xfId="0" applyFont="1" applyFill="1" applyBorder="1" applyAlignment="1">
      <alignment vertical="top" wrapText="1"/>
    </xf>
    <xf numFmtId="0" fontId="3" fillId="2" borderId="1" xfId="0" applyFont="1" applyFill="1" applyBorder="1"/>
    <xf numFmtId="164" fontId="3" fillId="2" borderId="1" xfId="0" applyNumberFormat="1" applyFont="1" applyFill="1" applyBorder="1" applyAlignment="1">
      <alignment horizontal="center" vertical="top" wrapText="1"/>
    </xf>
    <xf numFmtId="1" fontId="3" fillId="2" borderId="1" xfId="0" applyNumberFormat="1" applyFont="1" applyFill="1" applyBorder="1" applyAlignment="1">
      <alignment horizontal="center" vertical="top" wrapText="1"/>
    </xf>
    <xf numFmtId="0" fontId="0" fillId="2" borderId="2" xfId="0" applyFill="1" applyBorder="1" applyAlignment="1">
      <alignment vertical="top" wrapText="1"/>
    </xf>
    <xf numFmtId="0" fontId="0" fillId="2" borderId="1" xfId="0" applyFill="1" applyBorder="1" applyAlignment="1">
      <alignment horizontal="center" vertical="center" wrapText="1"/>
    </xf>
    <xf numFmtId="2" fontId="0" fillId="2" borderId="0" xfId="0" applyNumberFormat="1" applyFill="1" applyAlignment="1">
      <alignment horizontal="center" vertical="top" wrapText="1"/>
    </xf>
    <xf numFmtId="3" fontId="3" fillId="2" borderId="0" xfId="0" applyNumberFormat="1" applyFont="1" applyFill="1"/>
    <xf numFmtId="4" fontId="0" fillId="2" borderId="0" xfId="0" applyNumberFormat="1" applyFill="1" applyAlignment="1">
      <alignment horizontal="center" vertical="top" wrapText="1"/>
    </xf>
    <xf numFmtId="3" fontId="0" fillId="2" borderId="0" xfId="0" applyNumberFormat="1" applyFill="1" applyAlignment="1"/>
    <xf numFmtId="2" fontId="3" fillId="2" borderId="1" xfId="0" applyNumberFormat="1" applyFont="1" applyFill="1" applyBorder="1" applyAlignment="1">
      <alignment horizontal="center" vertical="top" wrapText="1"/>
    </xf>
    <xf numFmtId="0" fontId="0" fillId="2" borderId="0" xfId="0" applyNumberFormat="1" applyFill="1" applyBorder="1" applyAlignment="1">
      <alignment horizontal="center" wrapText="1"/>
    </xf>
    <xf numFmtId="0" fontId="0" fillId="2" borderId="0" xfId="0" applyFill="1" applyBorder="1" applyAlignment="1">
      <alignment horizontal="center"/>
    </xf>
    <xf numFmtId="2" fontId="0" fillId="2" borderId="0" xfId="0" applyNumberFormat="1" applyFill="1" applyBorder="1" applyAlignment="1">
      <alignment horizontal="center" vertical="top" wrapText="1"/>
    </xf>
    <xf numFmtId="0" fontId="0" fillId="2" borderId="2" xfId="0" applyFill="1" applyBorder="1"/>
    <xf numFmtId="165" fontId="0" fillId="2" borderId="1" xfId="0" applyNumberFormat="1" applyFill="1" applyBorder="1" applyAlignment="1">
      <alignment horizontal="center" vertical="top" wrapText="1"/>
    </xf>
    <xf numFmtId="164" fontId="0" fillId="2" borderId="1" xfId="0" applyNumberFormat="1" applyFill="1" applyBorder="1" applyAlignment="1">
      <alignment horizontal="center"/>
    </xf>
    <xf numFmtId="0" fontId="0" fillId="2" borderId="2" xfId="0" applyFill="1" applyBorder="1" applyAlignment="1">
      <alignment horizontal="center" vertical="center" wrapText="1"/>
    </xf>
    <xf numFmtId="2" fontId="0" fillId="2" borderId="0" xfId="0" applyNumberFormat="1" applyFill="1" applyBorder="1"/>
    <xf numFmtId="165" fontId="0" fillId="2" borderId="0" xfId="0" applyNumberFormat="1" applyFill="1" applyBorder="1"/>
    <xf numFmtId="0" fontId="0" fillId="2" borderId="0" xfId="0" applyNumberFormat="1" applyFill="1"/>
    <xf numFmtId="0" fontId="4" fillId="2" borderId="3" xfId="0" applyFont="1" applyFill="1" applyBorder="1" applyAlignment="1">
      <alignment horizontal="center" vertical="top" wrapText="1"/>
    </xf>
    <xf numFmtId="0" fontId="0" fillId="2" borderId="1" xfId="0" applyFont="1" applyFill="1" applyBorder="1" applyAlignment="1">
      <alignment horizontal="center" vertical="top" wrapText="1"/>
    </xf>
    <xf numFmtId="2" fontId="0" fillId="2" borderId="0" xfId="0" applyNumberFormat="1" applyFill="1" applyAlignment="1">
      <alignment horizontal="left"/>
    </xf>
    <xf numFmtId="166" fontId="0" fillId="2" borderId="1" xfId="0" applyNumberFormat="1" applyFill="1" applyBorder="1" applyAlignment="1">
      <alignment horizontal="center" vertical="top" wrapText="1"/>
    </xf>
    <xf numFmtId="0" fontId="0" fillId="2" borderId="2" xfId="0" applyFill="1" applyBorder="1" applyAlignment="1">
      <alignment horizontal="left" vertical="center" wrapText="1"/>
    </xf>
    <xf numFmtId="3" fontId="0" fillId="2" borderId="4" xfId="0" applyNumberFormat="1" applyFill="1" applyBorder="1" applyAlignment="1">
      <alignment horizontal="center" vertical="top" wrapText="1"/>
    </xf>
    <xf numFmtId="0" fontId="0" fillId="2" borderId="2" xfId="0" applyFill="1" applyBorder="1" applyAlignment="1">
      <alignment horizontal="justify" vertical="top" wrapText="1"/>
    </xf>
    <xf numFmtId="2" fontId="0" fillId="2" borderId="1" xfId="0" applyNumberFormat="1" applyFill="1" applyBorder="1" applyAlignment="1">
      <alignment horizontal="center"/>
    </xf>
    <xf numFmtId="0" fontId="3" fillId="2" borderId="0" xfId="0" applyFont="1" applyFill="1"/>
    <xf numFmtId="3" fontId="3" fillId="2" borderId="1" xfId="0" applyNumberFormat="1" applyFont="1" applyFill="1" applyBorder="1" applyAlignment="1">
      <alignment horizontal="center" vertical="top" wrapText="1"/>
    </xf>
    <xf numFmtId="0" fontId="0" fillId="2" borderId="1" xfId="0" applyFill="1" applyBorder="1" applyAlignment="1">
      <alignment horizontal="center"/>
    </xf>
    <xf numFmtId="4" fontId="0" fillId="2" borderId="1" xfId="0" applyNumberFormat="1" applyFill="1" applyBorder="1" applyAlignment="1">
      <alignment horizontal="center"/>
    </xf>
    <xf numFmtId="2" fontId="0" fillId="2" borderId="14" xfId="0" applyNumberFormat="1" applyFill="1" applyBorder="1" applyAlignment="1">
      <alignment horizontal="center"/>
    </xf>
    <xf numFmtId="2" fontId="0" fillId="2" borderId="1" xfId="0" applyNumberFormat="1" applyFill="1" applyBorder="1" applyAlignment="1">
      <alignment horizontal="center" wrapText="1"/>
    </xf>
    <xf numFmtId="4" fontId="4" fillId="2" borderId="1" xfId="0" applyNumberFormat="1" applyFont="1" applyFill="1" applyBorder="1" applyAlignment="1">
      <alignment horizontal="center" vertical="top" wrapText="1"/>
    </xf>
    <xf numFmtId="4" fontId="0" fillId="2" borderId="0" xfId="0" applyNumberFormat="1" applyFill="1" applyAlignment="1">
      <alignment horizontal="center"/>
    </xf>
    <xf numFmtId="0" fontId="0" fillId="2" borderId="1" xfId="0" applyFill="1" applyBorder="1" applyAlignment="1">
      <alignment horizontal="center" vertical="top"/>
    </xf>
    <xf numFmtId="165" fontId="4" fillId="2" borderId="1" xfId="0" applyNumberFormat="1" applyFont="1" applyFill="1" applyBorder="1" applyAlignment="1">
      <alignment horizontal="center" vertical="top" wrapText="1"/>
    </xf>
    <xf numFmtId="164" fontId="0" fillId="2" borderId="0" xfId="0" applyNumberFormat="1" applyFill="1"/>
    <xf numFmtId="4" fontId="3" fillId="2" borderId="0" xfId="0" applyNumberFormat="1" applyFont="1" applyFill="1"/>
    <xf numFmtId="4" fontId="4" fillId="2" borderId="0" xfId="0" applyNumberFormat="1" applyFont="1" applyFill="1" applyBorder="1" applyAlignment="1">
      <alignment horizontal="center" vertical="top" wrapText="1"/>
    </xf>
    <xf numFmtId="3" fontId="4" fillId="2" borderId="0" xfId="0" applyNumberFormat="1" applyFont="1" applyFill="1" applyBorder="1" applyAlignment="1">
      <alignment horizontal="center" vertical="top" wrapText="1"/>
    </xf>
    <xf numFmtId="3" fontId="3" fillId="2" borderId="0" xfId="0" applyNumberFormat="1" applyFont="1" applyFill="1" applyBorder="1" applyAlignment="1">
      <alignment horizontal="center" vertical="top" wrapText="1"/>
    </xf>
    <xf numFmtId="165" fontId="0" fillId="2" borderId="0" xfId="0" applyNumberFormat="1" applyFill="1" applyAlignment="1">
      <alignment horizontal="center" vertical="top" wrapText="1"/>
    </xf>
    <xf numFmtId="0" fontId="27" fillId="2" borderId="1" xfId="0" applyFont="1" applyFill="1" applyBorder="1" applyAlignment="1">
      <alignment vertical="top" wrapText="1"/>
    </xf>
    <xf numFmtId="167" fontId="0" fillId="2" borderId="0" xfId="0" applyNumberFormat="1" applyFill="1" applyAlignment="1">
      <alignment horizontal="center" vertical="top" wrapText="1"/>
    </xf>
    <xf numFmtId="0" fontId="27" fillId="2" borderId="1" xfId="0" applyFont="1" applyFill="1" applyBorder="1" applyAlignment="1">
      <alignment horizontal="justify" vertical="top" wrapText="1"/>
    </xf>
    <xf numFmtId="0" fontId="27" fillId="2" borderId="2" xfId="0" applyFont="1" applyFill="1" applyBorder="1" applyAlignment="1">
      <alignment horizontal="left" vertical="top" wrapText="1"/>
    </xf>
    <xf numFmtId="2" fontId="4" fillId="2" borderId="0" xfId="0" applyNumberFormat="1" applyFont="1" applyFill="1" applyBorder="1" applyAlignment="1" applyProtection="1">
      <alignment horizontal="center" vertical="top" wrapText="1"/>
      <protection hidden="1"/>
    </xf>
    <xf numFmtId="3" fontId="4" fillId="2" borderId="1" xfId="0" applyNumberFormat="1" applyFont="1" applyFill="1" applyBorder="1" applyAlignment="1" applyProtection="1">
      <alignment horizontal="center" vertical="top" wrapText="1"/>
      <protection hidden="1"/>
    </xf>
    <xf numFmtId="3" fontId="0" fillId="2" borderId="0" xfId="0" applyNumberFormat="1" applyFont="1" applyFill="1"/>
    <xf numFmtId="1" fontId="4" fillId="2" borderId="1" xfId="0" applyNumberFormat="1" applyFont="1" applyFill="1" applyBorder="1" applyAlignment="1" applyProtection="1">
      <alignment horizontal="center" vertical="top" wrapText="1"/>
      <protection hidden="1"/>
    </xf>
    <xf numFmtId="2" fontId="4" fillId="2" borderId="0" xfId="0" applyNumberFormat="1" applyFont="1" applyFill="1" applyBorder="1" applyAlignment="1">
      <alignment horizontal="center" vertical="top" wrapText="1"/>
    </xf>
    <xf numFmtId="0" fontId="0" fillId="2" borderId="0" xfId="0" applyFont="1" applyFill="1" applyBorder="1"/>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4" fillId="2" borderId="3" xfId="0" applyFont="1" applyFill="1" applyBorder="1" applyAlignment="1">
      <alignment horizontal="center"/>
    </xf>
    <xf numFmtId="1" fontId="4" fillId="2" borderId="4" xfId="0" applyNumberFormat="1" applyFont="1" applyFill="1" applyBorder="1" applyAlignment="1">
      <alignment horizontal="center" vertical="top" wrapText="1"/>
    </xf>
    <xf numFmtId="4" fontId="0" fillId="2" borderId="15" xfId="0" applyNumberFormat="1" applyFill="1" applyBorder="1" applyAlignment="1">
      <alignment horizontal="center" vertical="top" wrapText="1"/>
    </xf>
    <xf numFmtId="3" fontId="0" fillId="2" borderId="1" xfId="0" applyNumberFormat="1" applyFont="1" applyFill="1" applyBorder="1" applyAlignment="1">
      <alignment horizontal="center" vertical="top" wrapText="1"/>
    </xf>
    <xf numFmtId="0" fontId="0" fillId="2" borderId="1" xfId="0" applyFont="1" applyFill="1" applyBorder="1"/>
    <xf numFmtId="4" fontId="0" fillId="2" borderId="1" xfId="0" applyNumberFormat="1" applyFont="1" applyFill="1" applyBorder="1" applyAlignment="1">
      <alignment horizontal="center" vertical="top" wrapText="1"/>
    </xf>
    <xf numFmtId="0" fontId="26" fillId="2" borderId="1" xfId="43" applyFill="1" applyBorder="1" applyAlignment="1">
      <alignment horizontal="center" vertical="center" wrapText="1"/>
    </xf>
    <xf numFmtId="0" fontId="4" fillId="2" borderId="1" xfId="0" applyFont="1" applyFill="1" applyBorder="1" applyAlignment="1">
      <alignment horizontal="center"/>
    </xf>
    <xf numFmtId="0" fontId="4" fillId="2" borderId="1" xfId="0" applyFont="1" applyFill="1" applyBorder="1" applyAlignment="1">
      <alignment horizontal="left" vertical="top" wrapText="1"/>
    </xf>
    <xf numFmtId="0" fontId="0" fillId="2" borderId="0" xfId="0" applyNumberFormat="1" applyFill="1" applyAlignment="1">
      <alignment vertical="center" wrapText="1"/>
    </xf>
    <xf numFmtId="0" fontId="0" fillId="2" borderId="0" xfId="0" applyNumberFormat="1" applyFill="1" applyAlignment="1">
      <alignment horizontal="center" vertical="center" wrapText="1"/>
    </xf>
    <xf numFmtId="0" fontId="1" fillId="2" borderId="0" xfId="0" applyFont="1" applyFill="1" applyBorder="1" applyAlignment="1">
      <alignment horizontal="center"/>
    </xf>
    <xf numFmtId="0" fontId="1" fillId="0" borderId="0" xfId="0" applyFont="1" applyBorder="1" applyAlignment="1">
      <alignment horizontal="center"/>
    </xf>
    <xf numFmtId="0" fontId="1" fillId="0" borderId="1" xfId="0" applyFont="1" applyBorder="1" applyAlignment="1">
      <alignment horizontal="center"/>
    </xf>
    <xf numFmtId="0" fontId="0" fillId="2" borderId="0" xfId="0" applyNumberFormat="1" applyFill="1" applyAlignment="1">
      <alignment horizontal="center" wrapText="1"/>
    </xf>
    <xf numFmtId="0" fontId="0" fillId="2" borderId="0" xfId="0" applyNumberFormat="1" applyFill="1" applyBorder="1" applyAlignment="1">
      <alignment horizontal="center" wrapText="1"/>
    </xf>
    <xf numFmtId="0" fontId="2" fillId="2" borderId="0" xfId="0" applyFont="1" applyFill="1" applyAlignment="1">
      <alignment horizontal="center"/>
    </xf>
    <xf numFmtId="0" fontId="0" fillId="2" borderId="3" xfId="0" applyFill="1" applyBorder="1" applyAlignment="1">
      <alignment horizontal="center"/>
    </xf>
    <xf numFmtId="0" fontId="2" fillId="2" borderId="0" xfId="0" applyFont="1" applyFill="1"/>
    <xf numFmtId="0" fontId="1" fillId="2" borderId="0" xfId="0" applyFont="1" applyFill="1" applyAlignment="1">
      <alignment horizontal="center"/>
    </xf>
    <xf numFmtId="169" fontId="0" fillId="2" borderId="1" xfId="0" applyNumberFormat="1" applyFill="1" applyBorder="1" applyAlignment="1">
      <alignment horizontal="center" vertical="top" wrapText="1"/>
    </xf>
    <xf numFmtId="0" fontId="2" fillId="2" borderId="0" xfId="0" applyFont="1" applyFill="1" applyAlignment="1">
      <alignment horizontal="center"/>
    </xf>
    <xf numFmtId="0" fontId="1" fillId="2" borderId="0" xfId="0" applyFont="1" applyFill="1" applyAlignment="1">
      <alignment horizontal="center"/>
    </xf>
    <xf numFmtId="0" fontId="2" fillId="2" borderId="0" xfId="0" applyFont="1" applyFill="1" applyAlignment="1">
      <alignment horizontal="center"/>
    </xf>
    <xf numFmtId="0" fontId="0" fillId="2" borderId="2" xfId="0" applyFill="1" applyBorder="1" applyAlignment="1">
      <alignment horizontal="center" vertical="top" wrapText="1"/>
    </xf>
    <xf numFmtId="0" fontId="0" fillId="2" borderId="2" xfId="0" applyFill="1" applyBorder="1" applyAlignment="1">
      <alignment horizontal="left" vertical="top" wrapText="1"/>
    </xf>
    <xf numFmtId="0" fontId="0" fillId="2" borderId="0" xfId="0" applyFill="1" applyAlignment="1">
      <alignment horizontal="center" wrapText="1"/>
    </xf>
    <xf numFmtId="0" fontId="1" fillId="2" borderId="0" xfId="0" applyFont="1" applyFill="1" applyAlignment="1">
      <alignment horizontal="center"/>
    </xf>
    <xf numFmtId="0" fontId="2" fillId="2" borderId="0" xfId="0" applyFont="1" applyFill="1" applyAlignment="1">
      <alignment horizontal="center"/>
    </xf>
    <xf numFmtId="0" fontId="1" fillId="2" borderId="0" xfId="0" applyFont="1" applyFill="1" applyAlignment="1">
      <alignment horizontal="center"/>
    </xf>
    <xf numFmtId="0" fontId="0" fillId="0" borderId="3" xfId="0" applyFill="1" applyBorder="1" applyAlignment="1">
      <alignment horizontal="left" vertical="top" wrapText="1"/>
    </xf>
    <xf numFmtId="0" fontId="0" fillId="0" borderId="2" xfId="0" applyFill="1" applyBorder="1" applyAlignment="1">
      <alignment horizontal="center" vertical="top" wrapText="1"/>
    </xf>
    <xf numFmtId="0" fontId="0" fillId="0" borderId="3" xfId="0" applyFill="1" applyBorder="1" applyAlignment="1">
      <alignment horizontal="center" vertical="top" wrapText="1"/>
    </xf>
    <xf numFmtId="0" fontId="1" fillId="4" borderId="1" xfId="0" applyFont="1" applyFill="1" applyBorder="1" applyAlignment="1">
      <alignment horizontal="center"/>
    </xf>
    <xf numFmtId="0" fontId="1" fillId="0" borderId="1" xfId="0" applyFont="1" applyBorder="1" applyAlignment="1">
      <alignment horizontal="center"/>
    </xf>
    <xf numFmtId="0" fontId="0" fillId="0" borderId="0" xfId="0" applyFill="1" applyBorder="1" applyAlignment="1" applyProtection="1">
      <alignment horizontal="left" vertical="top" wrapText="1"/>
      <protection hidden="1"/>
    </xf>
    <xf numFmtId="0" fontId="1" fillId="0" borderId="1" xfId="0" applyFont="1" applyBorder="1" applyAlignment="1">
      <alignment horizontal="center" wrapText="1"/>
    </xf>
    <xf numFmtId="0" fontId="2" fillId="0" borderId="0" xfId="0" applyFont="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1" fillId="0" borderId="16" xfId="0" applyFont="1" applyBorder="1" applyAlignment="1">
      <alignment horizontal="center"/>
    </xf>
    <xf numFmtId="0" fontId="0" fillId="2" borderId="0" xfId="0" applyNumberFormat="1" applyFill="1" applyAlignment="1">
      <alignment horizontal="center" wrapText="1"/>
    </xf>
    <xf numFmtId="0" fontId="0" fillId="2" borderId="0" xfId="0" applyNumberFormat="1" applyFill="1" applyBorder="1" applyAlignment="1">
      <alignment horizontal="center" wrapText="1"/>
    </xf>
    <xf numFmtId="0" fontId="2" fillId="2" borderId="0" xfId="0" applyFont="1" applyFill="1" applyAlignment="1">
      <alignment horizontal="center"/>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2" xfId="0" applyFont="1" applyFill="1" applyBorder="1" applyAlignment="1">
      <alignment horizontal="center"/>
    </xf>
    <xf numFmtId="0" fontId="1" fillId="2" borderId="21" xfId="0" applyFont="1" applyFill="1" applyBorder="1" applyAlignment="1">
      <alignment horizontal="center"/>
    </xf>
    <xf numFmtId="0" fontId="1" fillId="2" borderId="16" xfId="0" applyFont="1" applyFill="1" applyBorder="1" applyAlignment="1">
      <alignment horizontal="center"/>
    </xf>
    <xf numFmtId="0" fontId="1" fillId="2" borderId="23" xfId="0" applyFont="1" applyFill="1" applyBorder="1" applyAlignment="1">
      <alignment horizontal="center"/>
    </xf>
    <xf numFmtId="0" fontId="0" fillId="0" borderId="0" xfId="0" applyNumberFormat="1" applyAlignment="1">
      <alignment horizontal="center" vertical="center"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2" borderId="2" xfId="0" applyFill="1" applyBorder="1" applyAlignment="1">
      <alignment horizontal="left" vertical="top" wrapText="1"/>
    </xf>
    <xf numFmtId="0" fontId="0" fillId="2" borderId="4" xfId="0" applyFill="1" applyBorder="1" applyAlignment="1">
      <alignment horizontal="left" vertical="top" wrapText="1"/>
    </xf>
    <xf numFmtId="0" fontId="0" fillId="2" borderId="3" xfId="0" applyFill="1" applyBorder="1" applyAlignment="1">
      <alignment horizontal="left" vertical="top" wrapText="1"/>
    </xf>
    <xf numFmtId="0" fontId="0" fillId="2" borderId="2" xfId="0" applyFill="1" applyBorder="1" applyAlignment="1">
      <alignment horizontal="center"/>
    </xf>
    <xf numFmtId="0" fontId="0" fillId="2" borderId="3" xfId="0" applyFill="1" applyBorder="1" applyAlignment="1">
      <alignment horizontal="center"/>
    </xf>
    <xf numFmtId="0" fontId="0" fillId="0" borderId="0" xfId="0" applyNumberFormat="1" applyAlignment="1">
      <alignment horizontal="center" wrapText="1"/>
    </xf>
    <xf numFmtId="0" fontId="33" fillId="0" borderId="0" xfId="0" applyNumberFormat="1" applyFont="1" applyAlignment="1">
      <alignment horizontal="center" wrapText="1"/>
    </xf>
    <xf numFmtId="0" fontId="3" fillId="0" borderId="0" xfId="0" applyNumberFormat="1" applyFont="1" applyAlignment="1">
      <alignment horizontal="center" wrapText="1"/>
    </xf>
    <xf numFmtId="0" fontId="0" fillId="0" borderId="2" xfId="0" applyFill="1" applyBorder="1" applyAlignment="1">
      <alignment horizontal="center" vertical="top" wrapText="1"/>
    </xf>
    <xf numFmtId="0" fontId="0" fillId="0" borderId="3" xfId="0" applyFill="1" applyBorder="1" applyAlignment="1">
      <alignment horizontal="center"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center" vertical="top" wrapText="1"/>
    </xf>
    <xf numFmtId="0" fontId="0" fillId="0" borderId="4" xfId="0" applyFill="1" applyBorder="1" applyAlignment="1">
      <alignment horizontal="left" vertical="top" wrapText="1"/>
    </xf>
    <xf numFmtId="0" fontId="1" fillId="2" borderId="15" xfId="0" applyFont="1" applyFill="1" applyBorder="1" applyAlignment="1">
      <alignment horizontal="center"/>
    </xf>
    <xf numFmtId="0" fontId="1" fillId="2" borderId="0" xfId="0" applyFont="1" applyFill="1" applyAlignment="1">
      <alignment horizontal="center"/>
    </xf>
    <xf numFmtId="0" fontId="0" fillId="2" borderId="0" xfId="0" applyFill="1" applyAlignment="1">
      <alignment horizontal="center" wrapText="1"/>
    </xf>
    <xf numFmtId="0" fontId="29" fillId="0" borderId="0" xfId="0" applyFont="1" applyAlignment="1">
      <alignment horizontal="center"/>
    </xf>
    <xf numFmtId="0" fontId="1" fillId="0" borderId="14" xfId="0" applyFont="1" applyFill="1" applyBorder="1" applyAlignment="1">
      <alignment horizontal="center"/>
    </xf>
    <xf numFmtId="0" fontId="1" fillId="0" borderId="17" xfId="0" applyFont="1" applyFill="1" applyBorder="1" applyAlignment="1">
      <alignment horizontal="center"/>
    </xf>
    <xf numFmtId="0" fontId="1" fillId="0" borderId="18" xfId="0" applyFont="1" applyFill="1" applyBorder="1" applyAlignment="1">
      <alignment horizontal="center"/>
    </xf>
    <xf numFmtId="0" fontId="1" fillId="0" borderId="0" xfId="0" applyFont="1" applyFill="1" applyBorder="1" applyAlignment="1">
      <alignment horizontal="center"/>
    </xf>
    <xf numFmtId="2" fontId="0" fillId="0" borderId="0" xfId="0" applyNumberFormat="1" applyFill="1"/>
    <xf numFmtId="164" fontId="4" fillId="0" borderId="1" xfId="0" applyNumberFormat="1" applyFont="1" applyFill="1" applyBorder="1" applyAlignment="1" applyProtection="1">
      <alignment horizontal="center" vertical="top" wrapText="1"/>
      <protection hidden="1"/>
    </xf>
    <xf numFmtId="0" fontId="1" fillId="0" borderId="1" xfId="0" applyFont="1" applyFill="1" applyBorder="1" applyAlignment="1">
      <alignment horizontal="center"/>
    </xf>
    <xf numFmtId="164" fontId="0" fillId="0" borderId="2" xfId="0" applyNumberFormat="1" applyFill="1" applyBorder="1" applyAlignment="1" applyProtection="1">
      <alignment horizontal="center" vertical="top" wrapText="1"/>
      <protection hidden="1"/>
    </xf>
    <xf numFmtId="0" fontId="1" fillId="0" borderId="3" xfId="0" applyFont="1" applyFill="1" applyBorder="1" applyAlignment="1">
      <alignment horizontal="center" vertical="top" wrapText="1"/>
    </xf>
    <xf numFmtId="0" fontId="0" fillId="0" borderId="3" xfId="0" applyFill="1" applyBorder="1"/>
    <xf numFmtId="2" fontId="3" fillId="0" borderId="1" xfId="0" applyNumberFormat="1" applyFont="1" applyFill="1" applyBorder="1" applyAlignment="1" applyProtection="1">
      <alignment horizontal="center" vertical="top" wrapText="1"/>
      <protection hidden="1"/>
    </xf>
    <xf numFmtId="0" fontId="0" fillId="0" borderId="0" xfId="0" applyFont="1" applyFill="1"/>
    <xf numFmtId="0" fontId="1" fillId="0" borderId="1" xfId="0" applyFont="1" applyFill="1" applyBorder="1" applyAlignment="1">
      <alignment horizontal="center" wrapText="1"/>
    </xf>
    <xf numFmtId="0" fontId="1" fillId="0" borderId="0" xfId="0" applyFont="1" applyFill="1" applyBorder="1" applyAlignment="1">
      <alignment horizontal="center" wrapText="1"/>
    </xf>
  </cellXfs>
  <cellStyles count="46">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Normal" xfId="45"/>
    <cellStyle name="Акцент1 2" xfId="20"/>
    <cellStyle name="Акцент2 2" xfId="21"/>
    <cellStyle name="Акцент3 2" xfId="22"/>
    <cellStyle name="Акцент4 2" xfId="23"/>
    <cellStyle name="Акцент5 2" xfId="24"/>
    <cellStyle name="Акцент6 2" xfId="25"/>
    <cellStyle name="Ввод  2" xfId="26"/>
    <cellStyle name="Вывод 2" xfId="27"/>
    <cellStyle name="Вычисление 2" xfId="28"/>
    <cellStyle name="Заголовок 1 2" xfId="29"/>
    <cellStyle name="Заголовок 2 2" xfId="30"/>
    <cellStyle name="Заголовок 3 2" xfId="31"/>
    <cellStyle name="Заголовок 4 2" xfId="32"/>
    <cellStyle name="Итог 2" xfId="33"/>
    <cellStyle name="Контрольная ячейка 2" xfId="34"/>
    <cellStyle name="Название 2" xfId="35"/>
    <cellStyle name="Нейтральный 2" xfId="36"/>
    <cellStyle name="Обычный" xfId="0" builtinId="0"/>
    <cellStyle name="Обычный 2" xfId="1"/>
    <cellStyle name="Обычный 3" xfId="43"/>
    <cellStyle name="Обычный 4" xfId="44"/>
    <cellStyle name="Плохой 2" xfId="37"/>
    <cellStyle name="Пояснение 2" xfId="38"/>
    <cellStyle name="Примечание 2" xfId="39"/>
    <cellStyle name="Связанная ячейка 2" xfId="40"/>
    <cellStyle name="Текст предупреждения 2" xfId="41"/>
    <cellStyle name="Хороший 2" xfId="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rontsovaMU/AppData/Local/Microsoft/Windows/INetCache/Content.Outlook/97CIGEY6/&#1052;&#1086;&#1085;&#1080;&#1090;&#1086;&#1088;&#1080;&#1085;&#1075;%20&#1086;&#1073;&#1088;&#1072;&#1079;&#1086;&#1074;&#1072;&#1085;&#1080;&#1103;%20&#1061;&#1052;&#1040;&#1054;%202013-2021%20&#1089;&#1082;&#1088;&#1099;&#1090;&#1072;&#110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Дошкольное +"/>
      <sheetName val="Дети до 3 лет"/>
      <sheetName val="Общее+"/>
      <sheetName val="Профессиональное"/>
      <sheetName val="Высшее (исключен) +"/>
      <sheetName val="Дополнительное+"/>
      <sheetName val="Проф обучение+"/>
      <sheetName val="Дополнительная информация"/>
      <sheetName val="Доп профобраз (исключен) +"/>
    </sheetNames>
    <sheetDataSet>
      <sheetData sheetId="0"/>
      <sheetData sheetId="1">
        <row r="10">
          <cell r="E10">
            <v>87.940360769213129</v>
          </cell>
          <cell r="F10">
            <v>94.365088166796056</v>
          </cell>
          <cell r="G10">
            <v>100</v>
          </cell>
          <cell r="H10">
            <v>100</v>
          </cell>
        </row>
        <row r="11">
          <cell r="I11">
            <v>94.921128107074566</v>
          </cell>
          <cell r="J11">
            <v>99.343323648843807</v>
          </cell>
          <cell r="K11">
            <v>99.618346916622158</v>
          </cell>
          <cell r="L11">
            <v>100</v>
          </cell>
          <cell r="M11">
            <v>100</v>
          </cell>
          <cell r="N11">
            <v>100</v>
          </cell>
        </row>
        <row r="12">
          <cell r="I12">
            <v>0</v>
          </cell>
          <cell r="J12">
            <v>0</v>
          </cell>
          <cell r="K12">
            <v>0</v>
          </cell>
          <cell r="L12">
            <v>0</v>
          </cell>
          <cell r="N12">
            <v>0</v>
          </cell>
        </row>
        <row r="13">
          <cell r="I13">
            <v>0</v>
          </cell>
          <cell r="J13">
            <v>0</v>
          </cell>
          <cell r="K13">
            <v>0</v>
          </cell>
          <cell r="L13">
            <v>0</v>
          </cell>
          <cell r="N13">
            <v>0</v>
          </cell>
        </row>
        <row r="14">
          <cell r="I14">
            <v>73.529411764705884</v>
          </cell>
          <cell r="J14">
            <v>96.257135765698692</v>
          </cell>
          <cell r="K14">
            <v>97.934545454545457</v>
          </cell>
          <cell r="L14">
            <v>100</v>
          </cell>
          <cell r="M14">
            <v>100</v>
          </cell>
          <cell r="N14">
            <v>100</v>
          </cell>
        </row>
        <row r="15">
          <cell r="I15">
            <v>0</v>
          </cell>
          <cell r="J15">
            <v>0</v>
          </cell>
          <cell r="K15">
            <v>0</v>
          </cell>
          <cell r="L15">
            <v>0</v>
          </cell>
          <cell r="N15">
            <v>0</v>
          </cell>
        </row>
        <row r="16">
          <cell r="I16">
            <v>0</v>
          </cell>
          <cell r="J16">
            <v>0</v>
          </cell>
          <cell r="K16">
            <v>0</v>
          </cell>
          <cell r="L16">
            <v>0</v>
          </cell>
          <cell r="N16">
            <v>0</v>
          </cell>
        </row>
        <row r="17">
          <cell r="I17">
            <v>100</v>
          </cell>
          <cell r="J17">
            <v>100</v>
          </cell>
          <cell r="K17">
            <v>100</v>
          </cell>
          <cell r="L17">
            <v>100</v>
          </cell>
          <cell r="N17">
            <v>100</v>
          </cell>
        </row>
        <row r="18">
          <cell r="E18">
            <v>88.172793064361429</v>
          </cell>
          <cell r="F18">
            <v>94.68</v>
          </cell>
          <cell r="G18">
            <v>100</v>
          </cell>
          <cell r="H18">
            <v>100</v>
          </cell>
          <cell r="I18">
            <v>100</v>
          </cell>
          <cell r="J18">
            <v>100</v>
          </cell>
          <cell r="K18">
            <v>100</v>
          </cell>
          <cell r="L18">
            <v>100</v>
          </cell>
          <cell r="N18">
            <v>0</v>
          </cell>
        </row>
        <row r="19">
          <cell r="E19">
            <v>85.26587358463523</v>
          </cell>
          <cell r="F19">
            <v>90.55</v>
          </cell>
          <cell r="G19">
            <v>100</v>
          </cell>
          <cell r="H19">
            <v>100</v>
          </cell>
          <cell r="I19">
            <v>100</v>
          </cell>
          <cell r="J19">
            <v>100</v>
          </cell>
          <cell r="K19">
            <v>100</v>
          </cell>
          <cell r="L19">
            <v>100</v>
          </cell>
          <cell r="N19">
            <v>0</v>
          </cell>
        </row>
        <row r="38">
          <cell r="E38">
            <v>50.054233729881034</v>
          </cell>
          <cell r="F38">
            <v>55.505400885835662</v>
          </cell>
          <cell r="G38">
            <v>58.441368433353787</v>
          </cell>
          <cell r="H38">
            <v>59.207269852100964</v>
          </cell>
        </row>
        <row r="40">
          <cell r="I40">
            <v>61.585984324573538</v>
          </cell>
          <cell r="J40">
            <v>65.442601885392094</v>
          </cell>
          <cell r="K40">
            <v>66.808853256586843</v>
          </cell>
        </row>
        <row r="41">
          <cell r="I41">
            <v>21.92172200493745</v>
          </cell>
          <cell r="J41">
            <v>28.389259779807919</v>
          </cell>
          <cell r="K41">
            <v>31.007168843927975</v>
          </cell>
          <cell r="L41">
            <v>33.013435700575819</v>
          </cell>
        </row>
        <row r="42">
          <cell r="I42">
            <v>87.56854101709493</v>
          </cell>
          <cell r="J42">
            <v>87.992017248445322</v>
          </cell>
          <cell r="K42">
            <v>88.014984678893242</v>
          </cell>
          <cell r="L42">
            <v>-6.040404861590992</v>
          </cell>
        </row>
        <row r="44">
          <cell r="E44">
            <v>50.031469931910507</v>
          </cell>
          <cell r="F44">
            <v>55.686308194468303</v>
          </cell>
          <cell r="G44">
            <v>58.706628573482114</v>
          </cell>
          <cell r="H44">
            <v>59.592088273271514</v>
          </cell>
          <cell r="I44">
            <v>62.205113425830625</v>
          </cell>
          <cell r="J44">
            <v>66.057941675001942</v>
          </cell>
          <cell r="K44">
            <v>66.808458323088274</v>
          </cell>
          <cell r="L44">
            <v>-4.6914012878356477</v>
          </cell>
        </row>
        <row r="45">
          <cell r="I45">
            <v>21.762411879406031</v>
          </cell>
          <cell r="J45">
            <v>28.41937116467388</v>
          </cell>
          <cell r="K45">
            <v>31.061469116845807</v>
          </cell>
          <cell r="L45">
            <v>35.111876075731494</v>
          </cell>
        </row>
        <row r="46">
          <cell r="I46">
            <v>88.838585935294176</v>
          </cell>
          <cell r="J46">
            <v>88.987111141102631</v>
          </cell>
          <cell r="K46">
            <v>88.011320791671977</v>
          </cell>
          <cell r="L46">
            <v>-3.7035454933788978</v>
          </cell>
          <cell r="N46">
            <v>101.32231404958678</v>
          </cell>
        </row>
        <row r="48">
          <cell r="E48">
            <v>50.306618735462038</v>
          </cell>
          <cell r="F48">
            <v>53.40228245363766</v>
          </cell>
          <cell r="G48">
            <v>55.315444610443841</v>
          </cell>
          <cell r="H48">
            <v>54.613606109437399</v>
          </cell>
          <cell r="I48">
            <v>54.246269697392279</v>
          </cell>
          <cell r="J48">
            <v>57.880014722119988</v>
          </cell>
          <cell r="K48">
            <v>66.814017039061241</v>
          </cell>
          <cell r="L48">
            <v>-103.97260273972601</v>
          </cell>
        </row>
        <row r="49">
          <cell r="I49">
            <v>23.877025036818853</v>
          </cell>
          <cell r="J49">
            <v>28.01418439716312</v>
          </cell>
          <cell r="K49">
            <v>30.288461538461537</v>
          </cell>
          <cell r="L49">
            <v>30.368763557483732</v>
          </cell>
        </row>
        <row r="50">
          <cell r="I50">
            <v>72.913155825188184</v>
          </cell>
          <cell r="J50">
            <v>75.860853214243747</v>
          </cell>
          <cell r="K50">
            <v>88.062547673531654</v>
          </cell>
          <cell r="L50">
            <v>-51.973131821998322</v>
          </cell>
          <cell r="N50">
            <v>0</v>
          </cell>
        </row>
        <row r="75">
          <cell r="E75">
            <v>0.1165053068167255</v>
          </cell>
          <cell r="F75">
            <v>0.34504167981353501</v>
          </cell>
          <cell r="G75">
            <v>0.11889147850045764</v>
          </cell>
          <cell r="H75">
            <v>8.9638518952144003E-2</v>
          </cell>
          <cell r="I75">
            <v>0.62267158697585945</v>
          </cell>
          <cell r="J75">
            <v>0.54420502056637943</v>
          </cell>
          <cell r="K75">
            <v>0.73249741446361871</v>
          </cell>
          <cell r="L75">
            <v>0.54644808743169404</v>
          </cell>
        </row>
        <row r="80">
          <cell r="I80">
            <v>12.167130919220055</v>
          </cell>
          <cell r="J80">
            <v>11.650753768844222</v>
          </cell>
          <cell r="K80">
            <v>11.061068702290076</v>
          </cell>
          <cell r="L80">
            <v>9.5</v>
          </cell>
        </row>
        <row r="81">
          <cell r="I81">
            <v>25.903384011770477</v>
          </cell>
          <cell r="J81">
            <v>27.142857142857142</v>
          </cell>
          <cell r="K81">
            <v>26.988400789733465</v>
          </cell>
          <cell r="L81">
            <v>21.024390243902438</v>
          </cell>
          <cell r="M81">
            <v>20.21311475409836</v>
          </cell>
        </row>
        <row r="82">
          <cell r="I82">
            <v>23.923076923076923</v>
          </cell>
          <cell r="J82">
            <v>25</v>
          </cell>
          <cell r="K82">
            <v>27.708333333333332</v>
          </cell>
          <cell r="L82" t="e">
            <v>#DIV/0!</v>
          </cell>
          <cell r="M82" t="e">
            <v>#DIV/0!</v>
          </cell>
        </row>
        <row r="83">
          <cell r="I83">
            <v>20.701923076923077</v>
          </cell>
          <cell r="J83">
            <v>15.890909090909091</v>
          </cell>
          <cell r="K83">
            <v>15.708955223880597</v>
          </cell>
          <cell r="L83">
            <v>17.399999999999999</v>
          </cell>
          <cell r="M83">
            <v>16.333333333333332</v>
          </cell>
        </row>
        <row r="84">
          <cell r="I84">
            <v>12</v>
          </cell>
          <cell r="J84">
            <v>16</v>
          </cell>
          <cell r="K84">
            <v>16</v>
          </cell>
          <cell r="L84" t="e">
            <v>#DIV/0!</v>
          </cell>
          <cell r="M84" t="e">
            <v>#DIV/0!</v>
          </cell>
        </row>
        <row r="86">
          <cell r="J86">
            <v>11.687817258883248</v>
          </cell>
          <cell r="K86">
            <v>11.095115681233933</v>
          </cell>
          <cell r="L86">
            <v>9.5</v>
          </cell>
          <cell r="M86">
            <v>6.75</v>
          </cell>
        </row>
        <row r="87">
          <cell r="J87">
            <v>27.732262382864793</v>
          </cell>
          <cell r="K87">
            <v>27.591143710948113</v>
          </cell>
          <cell r="L87">
            <v>23.536585365853657</v>
          </cell>
          <cell r="M87">
            <v>22.035714285714285</v>
          </cell>
        </row>
        <row r="88">
          <cell r="J88">
            <v>25</v>
          </cell>
          <cell r="K88">
            <v>29.75</v>
          </cell>
          <cell r="L88" t="e">
            <v>#DIV/0!</v>
          </cell>
          <cell r="M88" t="e">
            <v>#DIV/0!</v>
          </cell>
        </row>
        <row r="89">
          <cell r="J89">
            <v>15.826530612244898</v>
          </cell>
          <cell r="K89">
            <v>15.271929824561404</v>
          </cell>
          <cell r="L89">
            <v>17.399999999999999</v>
          </cell>
          <cell r="M89">
            <v>16.333333333333332</v>
          </cell>
        </row>
        <row r="90">
          <cell r="J90" t="e">
            <v>#DIV/0!</v>
          </cell>
          <cell r="K90" t="e">
            <v>#DIV/0!</v>
          </cell>
          <cell r="L90" t="e">
            <v>#DIV/0!</v>
          </cell>
          <cell r="M90" t="e">
            <v>#DIV/0!</v>
          </cell>
        </row>
        <row r="92">
          <cell r="J92">
            <v>8</v>
          </cell>
          <cell r="K92">
            <v>7.75</v>
          </cell>
        </row>
        <row r="93">
          <cell r="J93">
            <v>21.027777777777779</v>
          </cell>
          <cell r="K93">
            <v>21.008086253369271</v>
          </cell>
        </row>
        <row r="94">
          <cell r="J94" t="e">
            <v>#DIV/0!</v>
          </cell>
          <cell r="K94">
            <v>17.5</v>
          </cell>
        </row>
        <row r="95">
          <cell r="J95">
            <v>16.416666666666668</v>
          </cell>
          <cell r="K95">
            <v>18.2</v>
          </cell>
        </row>
        <row r="96">
          <cell r="J96">
            <v>16</v>
          </cell>
          <cell r="K96">
            <v>16</v>
          </cell>
        </row>
        <row r="125">
          <cell r="I125">
            <v>12.607142857142858</v>
          </cell>
          <cell r="J125">
            <v>12.21301775147929</v>
          </cell>
          <cell r="K125">
            <v>13.363636363636363</v>
          </cell>
          <cell r="L125" t="e">
            <v>#DIV/0!</v>
          </cell>
          <cell r="M125" t="e">
            <v>#DIV/0!</v>
          </cell>
        </row>
        <row r="126">
          <cell r="I126">
            <v>10.444444444444445</v>
          </cell>
          <cell r="J126">
            <v>10.333333333333334</v>
          </cell>
          <cell r="K126">
            <v>1</v>
          </cell>
          <cell r="L126" t="e">
            <v>#DIV/0!</v>
          </cell>
          <cell r="M126" t="e">
            <v>#DIV/0!</v>
          </cell>
        </row>
        <row r="128">
          <cell r="J128">
            <v>12.193548387096774</v>
          </cell>
          <cell r="K128">
            <v>13.645669291338583</v>
          </cell>
          <cell r="L128" t="e">
            <v>#DIV/0!</v>
          </cell>
          <cell r="M128" t="e">
            <v>#DIV/0!</v>
          </cell>
        </row>
        <row r="129">
          <cell r="J129">
            <v>10.333333333333334</v>
          </cell>
          <cell r="K129">
            <v>1</v>
          </cell>
          <cell r="L129" t="e">
            <v>#DIV/0!</v>
          </cell>
          <cell r="M129" t="e">
            <v>#DIV/0!</v>
          </cell>
        </row>
        <row r="131">
          <cell r="J131">
            <v>12.428571428571429</v>
          </cell>
          <cell r="K131">
            <v>11.125</v>
          </cell>
          <cell r="L131" t="e">
            <v>#DIV/0!</v>
          </cell>
          <cell r="M131" t="e">
            <v>#DIV/0!</v>
          </cell>
        </row>
        <row r="132">
          <cell r="J132" t="e">
            <v>#DIV/0!</v>
          </cell>
          <cell r="K132" t="e">
            <v>#DIV/0!</v>
          </cell>
          <cell r="L132" t="e">
            <v>#DIV/0!</v>
          </cell>
          <cell r="M132" t="e">
            <v>#DIV/0!</v>
          </cell>
        </row>
        <row r="149">
          <cell r="E149" t="e">
            <v>#DIV/0!</v>
          </cell>
          <cell r="F149">
            <v>2.5100155342980952</v>
          </cell>
          <cell r="G149">
            <v>1.6163925443775804</v>
          </cell>
          <cell r="H149">
            <v>1.6176874485031585</v>
          </cell>
          <cell r="I149">
            <v>1.883453531697687</v>
          </cell>
          <cell r="J149">
            <v>1.7564313128132687</v>
          </cell>
          <cell r="K149">
            <v>1.7564313128132687</v>
          </cell>
          <cell r="L149">
            <v>1.7564313128132687</v>
          </cell>
          <cell r="N149">
            <v>0</v>
          </cell>
        </row>
        <row r="150">
          <cell r="E150" t="e">
            <v>#DIV/0!</v>
          </cell>
          <cell r="F150">
            <v>2.55013946075176</v>
          </cell>
          <cell r="G150">
            <v>1.6578925889650671</v>
          </cell>
          <cell r="H150">
            <v>1.6306008774091785</v>
          </cell>
          <cell r="I150">
            <v>1.8810963667803542</v>
          </cell>
          <cell r="J150">
            <v>1.723697650663943</v>
          </cell>
          <cell r="K150">
            <v>1.723697650663943</v>
          </cell>
          <cell r="L150">
            <v>1.723697650663943</v>
          </cell>
          <cell r="N150">
            <v>0</v>
          </cell>
        </row>
        <row r="151">
          <cell r="E151" t="e">
            <v>#DIV/0!</v>
          </cell>
          <cell r="F151">
            <v>2.0266666666666664</v>
          </cell>
          <cell r="G151">
            <v>1.0973586831695801</v>
          </cell>
          <cell r="H151">
            <v>1.4496472097498396</v>
          </cell>
          <cell r="I151">
            <v>1.9151670951156812</v>
          </cell>
          <cell r="J151">
            <v>2.2128958412819535</v>
          </cell>
          <cell r="K151">
            <v>2.2128958412819535</v>
          </cell>
          <cell r="L151">
            <v>2.2128958412819535</v>
          </cell>
          <cell r="N151">
            <v>0</v>
          </cell>
        </row>
        <row r="152">
          <cell r="E152" t="e">
            <v>#DIV/0!</v>
          </cell>
          <cell r="F152">
            <v>0</v>
          </cell>
          <cell r="G152">
            <v>0</v>
          </cell>
          <cell r="H152">
            <v>0</v>
          </cell>
          <cell r="I152">
            <v>0</v>
          </cell>
          <cell r="J152">
            <v>0</v>
          </cell>
          <cell r="K152">
            <v>0</v>
          </cell>
          <cell r="L152">
            <v>0</v>
          </cell>
          <cell r="N152">
            <v>0</v>
          </cell>
        </row>
        <row r="153">
          <cell r="E153" t="e">
            <v>#DIV/0!</v>
          </cell>
          <cell r="F153">
            <v>0</v>
          </cell>
          <cell r="G153">
            <v>0</v>
          </cell>
          <cell r="H153">
            <v>0</v>
          </cell>
          <cell r="I153">
            <v>0</v>
          </cell>
          <cell r="J153">
            <v>0</v>
          </cell>
          <cell r="K153">
            <v>0</v>
          </cell>
          <cell r="L153">
            <v>0</v>
          </cell>
          <cell r="N153">
            <v>0</v>
          </cell>
        </row>
        <row r="154">
          <cell r="E154" t="e">
            <v>#DIV/0!</v>
          </cell>
          <cell r="F154" t="e">
            <v>#DIV/0!</v>
          </cell>
          <cell r="G154" t="e">
            <v>#DIV/0!</v>
          </cell>
          <cell r="H154" t="e">
            <v>#DIV/0!</v>
          </cell>
          <cell r="I154" t="e">
            <v>#DIV/0!</v>
          </cell>
          <cell r="J154" t="e">
            <v>#DIV/0!</v>
          </cell>
          <cell r="K154" t="e">
            <v>#DIV/0!</v>
          </cell>
          <cell r="L154" t="e">
            <v>#DIV/0!</v>
          </cell>
          <cell r="N154">
            <v>0</v>
          </cell>
        </row>
        <row r="156">
          <cell r="I156">
            <v>3.8470006957716461</v>
          </cell>
          <cell r="J156">
            <v>3.9245391607563009</v>
          </cell>
        </row>
        <row r="157">
          <cell r="I157">
            <v>93.034357027733989</v>
          </cell>
          <cell r="J157">
            <v>94.0856847842646</v>
          </cell>
        </row>
        <row r="158">
          <cell r="I158">
            <v>0.27390504038117713</v>
          </cell>
          <cell r="J158">
            <v>0.19042943954500061</v>
          </cell>
        </row>
        <row r="159">
          <cell r="I159">
            <v>1.8961979162079565</v>
          </cell>
          <cell r="J159">
            <v>1.4794251569984935</v>
          </cell>
        </row>
        <row r="160">
          <cell r="I160">
            <v>1.0568683230141884E-2</v>
          </cell>
          <cell r="J160">
            <v>1.4388002098955599E-2</v>
          </cell>
        </row>
        <row r="162">
          <cell r="J162">
            <v>4.1753180223227648</v>
          </cell>
        </row>
        <row r="163">
          <cell r="J163">
            <v>93.91518800264754</v>
          </cell>
        </row>
        <row r="164">
          <cell r="J164">
            <v>0.20400576656300151</v>
          </cell>
        </row>
        <row r="165">
          <cell r="J165">
            <v>1.4062797508409572</v>
          </cell>
        </row>
        <row r="166">
          <cell r="J166">
            <v>1.5413769029204558E-2</v>
          </cell>
        </row>
        <row r="168">
          <cell r="J168">
            <v>0.40696935012081903</v>
          </cell>
        </row>
        <row r="169">
          <cell r="J169">
            <v>96.477171563016668</v>
          </cell>
        </row>
        <row r="170">
          <cell r="J170">
            <v>0</v>
          </cell>
        </row>
        <row r="171">
          <cell r="J171">
            <v>2.5054050616812922</v>
          </cell>
        </row>
        <row r="172">
          <cell r="J172">
            <v>0</v>
          </cell>
        </row>
        <row r="207">
          <cell r="I207">
            <v>9.8401295064753231</v>
          </cell>
          <cell r="J207">
            <v>10.087647008326895</v>
          </cell>
          <cell r="K207">
            <v>9.8968896463570513</v>
          </cell>
          <cell r="L207">
            <v>8.387096774193548</v>
          </cell>
          <cell r="M207">
            <v>7.6681614349775788</v>
          </cell>
          <cell r="N207">
            <v>0</v>
          </cell>
        </row>
        <row r="208">
          <cell r="I208">
            <v>9.9774092078924799</v>
          </cell>
          <cell r="J208">
            <v>10.259941985589968</v>
          </cell>
          <cell r="K208">
            <v>10.076348004859359</v>
          </cell>
          <cell r="L208">
            <v>8.4206349206349209</v>
          </cell>
          <cell r="N208">
            <v>0</v>
          </cell>
        </row>
        <row r="209">
          <cell r="I209">
            <v>8.3030949839914623</v>
          </cell>
          <cell r="J209">
            <v>8.1735966735966734</v>
          </cell>
          <cell r="K209">
            <v>8.0396518375241772</v>
          </cell>
          <cell r="L209">
            <v>8.3406593406593412</v>
          </cell>
          <cell r="N209">
            <v>0</v>
          </cell>
        </row>
        <row r="210">
          <cell r="I210">
            <v>16.268656716417912</v>
          </cell>
          <cell r="J210">
            <v>12.132075471698114</v>
          </cell>
          <cell r="K210">
            <v>12.420289855072463</v>
          </cell>
          <cell r="L210">
            <v>5</v>
          </cell>
          <cell r="N210">
            <v>0</v>
          </cell>
        </row>
        <row r="211">
          <cell r="I211">
            <v>16.268656716417912</v>
          </cell>
          <cell r="J211">
            <v>12.132075471698114</v>
          </cell>
          <cell r="K211">
            <v>12.420289855072463</v>
          </cell>
          <cell r="L211">
            <v>5</v>
          </cell>
          <cell r="N211">
            <v>0</v>
          </cell>
        </row>
        <row r="212">
          <cell r="I212" t="e">
            <v>#DIV/0!</v>
          </cell>
          <cell r="J212" t="e">
            <v>#DIV/0!</v>
          </cell>
          <cell r="K212" t="e">
            <v>#DIV/0!</v>
          </cell>
          <cell r="L212" t="e">
            <v>#DIV/0!</v>
          </cell>
          <cell r="N212">
            <v>0</v>
          </cell>
        </row>
        <row r="228">
          <cell r="I228">
            <v>76.77250978686385</v>
          </cell>
          <cell r="J228">
            <v>76.03828405400786</v>
          </cell>
          <cell r="K228">
            <v>75.32192477126398</v>
          </cell>
          <cell r="L228">
            <v>79.908675799086765</v>
          </cell>
          <cell r="M228">
            <v>78.666666666666657</v>
          </cell>
        </row>
        <row r="229">
          <cell r="I229">
            <v>2.2879512831665942</v>
          </cell>
          <cell r="J229">
            <v>2.3243889933344728</v>
          </cell>
          <cell r="K229">
            <v>2.3466621484242629</v>
          </cell>
          <cell r="L229">
            <v>0.91324200913242004</v>
          </cell>
          <cell r="M229">
            <v>1.3333333333333335</v>
          </cell>
        </row>
        <row r="230">
          <cell r="I230">
            <v>5.6198347107438016</v>
          </cell>
          <cell r="J230">
            <v>4.5035036745855415</v>
          </cell>
          <cell r="K230">
            <v>4.4561165706540153</v>
          </cell>
          <cell r="L230">
            <v>6.8493150684931505</v>
          </cell>
          <cell r="M230">
            <v>6.2222222222222223</v>
          </cell>
        </row>
        <row r="231">
          <cell r="I231">
            <v>4.5846020008699435</v>
          </cell>
          <cell r="J231">
            <v>3.6404033498547252</v>
          </cell>
          <cell r="K231">
            <v>3.6682480515079634</v>
          </cell>
          <cell r="L231">
            <v>4.5662100456620998</v>
          </cell>
          <cell r="M231">
            <v>4.8888888888888893</v>
          </cell>
        </row>
        <row r="232">
          <cell r="I232">
            <v>4.9412788168769035</v>
          </cell>
          <cell r="J232">
            <v>5.3238762604682961</v>
          </cell>
          <cell r="K232">
            <v>5.5743815655709925</v>
          </cell>
          <cell r="L232">
            <v>3.6529680365296802</v>
          </cell>
          <cell r="M232">
            <v>3.5555555555555554</v>
          </cell>
        </row>
        <row r="233">
          <cell r="I233">
            <v>0.93083949543279687</v>
          </cell>
          <cell r="J233">
            <v>0.98273799350538371</v>
          </cell>
          <cell r="K233">
            <v>1.0250762453405626</v>
          </cell>
          <cell r="L233">
            <v>0</v>
          </cell>
          <cell r="M233">
            <v>0</v>
          </cell>
        </row>
        <row r="234">
          <cell r="I234">
            <v>3.0709003914745541</v>
          </cell>
          <cell r="J234">
            <v>3.2814903435310203</v>
          </cell>
          <cell r="K234">
            <v>3.4988139613690272</v>
          </cell>
          <cell r="L234">
            <v>2.2831050228310499</v>
          </cell>
          <cell r="M234">
            <v>2.666666666666667</v>
          </cell>
        </row>
        <row r="235">
          <cell r="I235">
            <v>0.25228360156589819</v>
          </cell>
          <cell r="J235">
            <v>0.24782088531874893</v>
          </cell>
          <cell r="K235">
            <v>0.30498136225008471</v>
          </cell>
          <cell r="L235">
            <v>0</v>
          </cell>
          <cell r="M235">
            <v>0</v>
          </cell>
        </row>
        <row r="236">
          <cell r="I236">
            <v>0.19138755980861244</v>
          </cell>
          <cell r="J236">
            <v>0.23927533754913691</v>
          </cell>
          <cell r="K236">
            <v>0.26262283971535072</v>
          </cell>
          <cell r="L236">
            <v>0</v>
          </cell>
          <cell r="M236">
            <v>0</v>
          </cell>
        </row>
        <row r="237">
          <cell r="I237">
            <v>4.3497172683775558E-2</v>
          </cell>
          <cell r="J237">
            <v>0.15381985985301658</v>
          </cell>
          <cell r="K237">
            <v>0.22873602168756355</v>
          </cell>
          <cell r="L237">
            <v>0.45662100456621002</v>
          </cell>
          <cell r="M237">
            <v>1.3333333333333335</v>
          </cell>
        </row>
        <row r="249">
          <cell r="E249">
            <v>96.9</v>
          </cell>
          <cell r="F249">
            <v>99</v>
          </cell>
          <cell r="G249">
            <v>100.29</v>
          </cell>
          <cell r="H249">
            <v>99.84</v>
          </cell>
          <cell r="I249">
            <v>100.3</v>
          </cell>
          <cell r="J249">
            <v>99.07</v>
          </cell>
          <cell r="K249">
            <v>99.88</v>
          </cell>
          <cell r="L249">
            <v>98.87</v>
          </cell>
          <cell r="M249">
            <v>92.4</v>
          </cell>
        </row>
        <row r="256">
          <cell r="E256" t="e">
            <v>#DIV/0!</v>
          </cell>
          <cell r="F256">
            <v>10.14</v>
          </cell>
          <cell r="G256">
            <v>9.17</v>
          </cell>
          <cell r="H256">
            <v>10.118893325040627</v>
          </cell>
          <cell r="I256">
            <v>9.8765809154626254</v>
          </cell>
          <cell r="J256">
            <v>9.5869805246017243</v>
          </cell>
          <cell r="K256">
            <v>9.7452957619646181</v>
          </cell>
          <cell r="L256">
            <v>7.9767582417582412</v>
          </cell>
          <cell r="N256">
            <v>0</v>
          </cell>
        </row>
        <row r="257">
          <cell r="E257" t="e">
            <v>#DIV/0!</v>
          </cell>
          <cell r="F257">
            <v>10</v>
          </cell>
          <cell r="G257">
            <v>9.2200000000000006</v>
          </cell>
          <cell r="H257">
            <v>10.015639158662303</v>
          </cell>
          <cell r="I257">
            <v>9.7540341386064728</v>
          </cell>
          <cell r="J257">
            <v>9.4169430178527751</v>
          </cell>
          <cell r="K257">
            <v>9.6511540029633167</v>
          </cell>
          <cell r="L257">
            <v>9.2156456173421297</v>
          </cell>
          <cell r="N257">
            <v>0</v>
          </cell>
        </row>
        <row r="258">
          <cell r="E258" t="e">
            <v>#DIV/0!</v>
          </cell>
          <cell r="F258">
            <v>12.11</v>
          </cell>
          <cell r="G258">
            <v>8.64</v>
          </cell>
          <cell r="H258">
            <v>11.765255821859595</v>
          </cell>
          <cell r="I258">
            <v>11.963119816481383</v>
          </cell>
          <cell r="J258">
            <v>12.717759365994237</v>
          </cell>
          <cell r="K258">
            <v>11.311931160019858</v>
          </cell>
          <cell r="L258">
            <v>6.2449275362318835</v>
          </cell>
          <cell r="N258">
            <v>0</v>
          </cell>
        </row>
        <row r="259">
          <cell r="E259" t="e">
            <v>#DIV/0!</v>
          </cell>
          <cell r="F259">
            <v>5.84</v>
          </cell>
          <cell r="G259">
            <v>7.1190476190476186</v>
          </cell>
          <cell r="H259">
            <v>3.4591836734693877</v>
          </cell>
          <cell r="I259">
            <v>4.2522935779816518</v>
          </cell>
          <cell r="J259">
            <v>7.5309033280507132</v>
          </cell>
          <cell r="K259">
            <v>6.8401400233372227</v>
          </cell>
          <cell r="L259">
            <v>9.379999999999999</v>
          </cell>
          <cell r="N259">
            <v>0</v>
          </cell>
        </row>
        <row r="260">
          <cell r="E260" t="e">
            <v>#DIV/0!</v>
          </cell>
          <cell r="F260">
            <v>5.84</v>
          </cell>
          <cell r="G260">
            <v>7.1190476190476186</v>
          </cell>
          <cell r="H260">
            <v>3.4591836734693877</v>
          </cell>
          <cell r="I260">
            <v>4.2522935779816518</v>
          </cell>
          <cell r="J260">
            <v>7.5309033280507132</v>
          </cell>
          <cell r="K260">
            <v>6.8401400233372227</v>
          </cell>
          <cell r="L260">
            <v>9.379999999999999</v>
          </cell>
          <cell r="N260">
            <v>0</v>
          </cell>
        </row>
        <row r="261">
          <cell r="E261" t="e">
            <v>#DIV/0!</v>
          </cell>
          <cell r="F261" t="e">
            <v>#DIV/0!</v>
          </cell>
          <cell r="G261" t="e">
            <v>#DIV/0!</v>
          </cell>
          <cell r="H261" t="e">
            <v>#DIV/0!</v>
          </cell>
          <cell r="I261" t="e">
            <v>#DIV/0!</v>
          </cell>
          <cell r="J261" t="e">
            <v>#DIV/0!</v>
          </cell>
          <cell r="K261" t="e">
            <v>#DIV/0!</v>
          </cell>
          <cell r="L261" t="e">
            <v>#DIV/0!</v>
          </cell>
          <cell r="N261">
            <v>0</v>
          </cell>
        </row>
        <row r="282">
          <cell r="I282">
            <v>94.134897360703818</v>
          </cell>
          <cell r="J282">
            <v>98.68421052631578</v>
          </cell>
          <cell r="L282">
            <v>100</v>
          </cell>
          <cell r="M282">
            <v>100</v>
          </cell>
        </row>
        <row r="283">
          <cell r="E283">
            <v>95.399515738498792</v>
          </cell>
          <cell r="F283">
            <v>96.7</v>
          </cell>
          <cell r="G283">
            <v>96.143250688705237</v>
          </cell>
          <cell r="H283">
            <v>95.977011494252878</v>
          </cell>
          <cell r="I283">
            <v>98.240469208211152</v>
          </cell>
          <cell r="J283">
            <v>99.342105263157904</v>
          </cell>
          <cell r="K283">
            <v>99.661016949152554</v>
          </cell>
          <cell r="L283">
            <v>100</v>
          </cell>
          <cell r="N283">
            <v>0</v>
          </cell>
        </row>
        <row r="284">
          <cell r="E284">
            <v>96.960486322188459</v>
          </cell>
          <cell r="F284">
            <v>100</v>
          </cell>
          <cell r="G284">
            <v>98.993288590604024</v>
          </cell>
          <cell r="H284">
            <v>98.943661971830991</v>
          </cell>
          <cell r="I284">
            <v>100</v>
          </cell>
          <cell r="J284">
            <v>100</v>
          </cell>
          <cell r="K284">
            <v>99.601593625498012</v>
          </cell>
          <cell r="L284">
            <v>100</v>
          </cell>
          <cell r="N284">
            <v>0</v>
          </cell>
        </row>
        <row r="285">
          <cell r="E285">
            <v>89.285714285714292</v>
          </cell>
          <cell r="F285">
            <v>83.1</v>
          </cell>
          <cell r="G285">
            <v>83.07692307692308</v>
          </cell>
          <cell r="H285">
            <v>82.8125</v>
          </cell>
          <cell r="I285">
            <v>89.65517241379311</v>
          </cell>
          <cell r="J285">
            <v>95.555555555555557</v>
          </cell>
          <cell r="K285">
            <v>100</v>
          </cell>
          <cell r="L285">
            <v>100</v>
          </cell>
          <cell r="N285">
            <v>0</v>
          </cell>
        </row>
        <row r="286">
          <cell r="E286">
            <v>96.610169491525426</v>
          </cell>
          <cell r="F286">
            <v>98</v>
          </cell>
          <cell r="G286">
            <v>96.694214876033058</v>
          </cell>
          <cell r="H286">
            <v>96.264367816091962</v>
          </cell>
          <cell r="I286">
            <v>98.533724340175951</v>
          </cell>
          <cell r="J286">
            <v>99.671052631578945</v>
          </cell>
          <cell r="K286">
            <v>99.322033898305079</v>
          </cell>
          <cell r="L286">
            <v>100</v>
          </cell>
          <cell r="N286">
            <v>0</v>
          </cell>
        </row>
        <row r="287">
          <cell r="E287">
            <v>96.960486322188459</v>
          </cell>
          <cell r="F287">
            <v>100</v>
          </cell>
          <cell r="G287">
            <v>98.65771812080537</v>
          </cell>
          <cell r="H287">
            <v>98.943661971830991</v>
          </cell>
          <cell r="I287">
            <v>100</v>
          </cell>
          <cell r="J287">
            <v>100</v>
          </cell>
          <cell r="K287">
            <v>99.601593625498012</v>
          </cell>
          <cell r="L287">
            <v>100</v>
          </cell>
          <cell r="N287">
            <v>0</v>
          </cell>
        </row>
        <row r="288">
          <cell r="E288">
            <v>95.238095238095227</v>
          </cell>
          <cell r="F288">
            <v>89.6</v>
          </cell>
          <cell r="G288">
            <v>87.692307692307693</v>
          </cell>
          <cell r="H288">
            <v>84.375</v>
          </cell>
          <cell r="I288">
            <v>91.379310344827587</v>
          </cell>
          <cell r="J288">
            <v>97.777777777777771</v>
          </cell>
          <cell r="K288">
            <v>97.727272727272734</v>
          </cell>
          <cell r="L288">
            <v>100</v>
          </cell>
          <cell r="N288">
            <v>0</v>
          </cell>
        </row>
        <row r="289">
          <cell r="E289">
            <v>95.157384987893465</v>
          </cell>
          <cell r="F289">
            <v>97</v>
          </cell>
          <cell r="G289">
            <v>96.143250688705237</v>
          </cell>
          <cell r="H289">
            <v>95.977011494252878</v>
          </cell>
          <cell r="I289">
            <v>98.533724340175951</v>
          </cell>
          <cell r="J289">
            <v>99.01315789473685</v>
          </cell>
          <cell r="K289">
            <v>99.661016949152554</v>
          </cell>
          <cell r="L289">
            <v>100</v>
          </cell>
          <cell r="N289">
            <v>0</v>
          </cell>
        </row>
        <row r="290">
          <cell r="E290">
            <v>96.656534954407292</v>
          </cell>
          <cell r="F290">
            <v>100</v>
          </cell>
          <cell r="G290">
            <v>98.993288590604024</v>
          </cell>
          <cell r="H290">
            <v>98.943661971830991</v>
          </cell>
          <cell r="I290">
            <v>100</v>
          </cell>
          <cell r="J290">
            <v>99.613899613899619</v>
          </cell>
          <cell r="K290">
            <v>99.601593625498012</v>
          </cell>
          <cell r="L290">
            <v>100</v>
          </cell>
          <cell r="N290">
            <v>0</v>
          </cell>
        </row>
        <row r="291">
          <cell r="E291">
            <v>89.285714285714292</v>
          </cell>
          <cell r="F291">
            <v>84.4</v>
          </cell>
          <cell r="G291">
            <v>83.07692307692308</v>
          </cell>
          <cell r="H291">
            <v>82.8125</v>
          </cell>
          <cell r="I291">
            <v>91.379310344827587</v>
          </cell>
          <cell r="J291">
            <v>95.555555555555557</v>
          </cell>
          <cell r="K291">
            <v>100</v>
          </cell>
          <cell r="L291">
            <v>100</v>
          </cell>
          <cell r="N291">
            <v>0</v>
          </cell>
        </row>
        <row r="305">
          <cell r="E305" t="e">
            <v>#DIV/0!</v>
          </cell>
          <cell r="F305">
            <v>80.8</v>
          </cell>
          <cell r="G305">
            <v>81.818181818181827</v>
          </cell>
          <cell r="H305">
            <v>84.482758620689651</v>
          </cell>
          <cell r="I305">
            <v>85.043988269794724</v>
          </cell>
          <cell r="J305">
            <v>89.320388349514573</v>
          </cell>
          <cell r="L305">
            <v>40.909090909090914</v>
          </cell>
          <cell r="M305">
            <v>42.857142857142854</v>
          </cell>
        </row>
        <row r="306">
          <cell r="H306">
            <v>91.549295774647888</v>
          </cell>
          <cell r="I306">
            <v>90.812720848056543</v>
          </cell>
          <cell r="J306">
            <v>92.337164750957854</v>
          </cell>
          <cell r="K306">
            <v>93.975903614457835</v>
          </cell>
          <cell r="L306">
            <v>71.428571428571431</v>
          </cell>
          <cell r="N306">
            <v>0</v>
          </cell>
        </row>
        <row r="307">
          <cell r="H307">
            <v>53.125</v>
          </cell>
          <cell r="I307">
            <v>56.896551724137936</v>
          </cell>
          <cell r="J307">
            <v>72.916666666666657</v>
          </cell>
          <cell r="K307">
            <v>78.723404255319153</v>
          </cell>
          <cell r="L307">
            <v>26.666666666666668</v>
          </cell>
          <cell r="N307">
            <v>0</v>
          </cell>
        </row>
        <row r="314">
          <cell r="E314" t="e">
            <v>#DIV/0!</v>
          </cell>
          <cell r="F314">
            <v>30.1</v>
          </cell>
          <cell r="G314">
            <v>34.986225895316799</v>
          </cell>
          <cell r="H314">
            <v>37.356321839080458</v>
          </cell>
          <cell r="I314">
            <v>38.69047619047619</v>
          </cell>
          <cell r="J314">
            <v>38.69047619047619</v>
          </cell>
          <cell r="K314">
            <v>38.69047619047619</v>
          </cell>
          <cell r="L314">
            <v>38.69047619047619</v>
          </cell>
          <cell r="N314" t="str">
            <v>Российская Федерация; города и поселки городского типа, сельская местность</v>
          </cell>
        </row>
        <row r="315">
          <cell r="H315">
            <v>44.718309859154928</v>
          </cell>
          <cell r="I315">
            <v>44.876325088339222</v>
          </cell>
          <cell r="J315">
            <v>44.876325088339222</v>
          </cell>
          <cell r="K315">
            <v>44.876325088339222</v>
          </cell>
          <cell r="L315">
            <v>44.876325088339222</v>
          </cell>
          <cell r="N315">
            <v>0</v>
          </cell>
        </row>
        <row r="316">
          <cell r="H316">
            <v>4.6875</v>
          </cell>
          <cell r="I316">
            <v>5.6603773584905666</v>
          </cell>
          <cell r="J316">
            <v>5.6603773584905666</v>
          </cell>
          <cell r="K316">
            <v>5.6603773584905666</v>
          </cell>
          <cell r="L316">
            <v>5.6603773584905666</v>
          </cell>
          <cell r="N316">
            <v>0</v>
          </cell>
        </row>
        <row r="324">
          <cell r="E324">
            <v>0.8323347892749926</v>
          </cell>
          <cell r="F324">
            <v>0.95368638702707731</v>
          </cell>
          <cell r="G324">
            <v>1.1686471165376648</v>
          </cell>
          <cell r="H324">
            <v>1.430339705680099</v>
          </cell>
          <cell r="I324">
            <v>1.6069892252857554</v>
          </cell>
          <cell r="J324">
            <v>1.7508642801382848</v>
          </cell>
          <cell r="K324">
            <v>2.2284324380272214</v>
          </cell>
          <cell r="L324">
            <v>5.4945054945054944E-2</v>
          </cell>
          <cell r="M324">
            <v>14.136125654450263</v>
          </cell>
          <cell r="N324">
            <v>0</v>
          </cell>
        </row>
        <row r="325">
          <cell r="E325">
            <v>0.86581295647195178</v>
          </cell>
          <cell r="F325">
            <v>1.0022647931030169</v>
          </cell>
          <cell r="G325">
            <v>1.1997839919231763</v>
          </cell>
          <cell r="H325">
            <v>1.465243071331213</v>
          </cell>
          <cell r="I325">
            <v>1.6368084429475718</v>
          </cell>
          <cell r="J325">
            <v>1.8055676192130634</v>
          </cell>
          <cell r="K325">
            <v>2.2901614485772903</v>
          </cell>
          <cell r="L325">
            <v>0</v>
          </cell>
          <cell r="N325">
            <v>0</v>
          </cell>
        </row>
        <row r="326">
          <cell r="E326">
            <v>0.43304463690872752</v>
          </cell>
          <cell r="F326">
            <v>0.32425421530479898</v>
          </cell>
          <cell r="G326">
            <v>0.7635919364691508</v>
          </cell>
          <cell r="H326">
            <v>0.95634737004473247</v>
          </cell>
          <cell r="I326">
            <v>1.1877217337652322</v>
          </cell>
          <cell r="J326">
            <v>0.97964181846012555</v>
          </cell>
          <cell r="K326">
            <v>1.429190125595496</v>
          </cell>
          <cell r="L326">
            <v>0.13175230566534915</v>
          </cell>
          <cell r="N326">
            <v>0</v>
          </cell>
        </row>
        <row r="327">
          <cell r="E327" t="e">
            <v>#DIV/0!</v>
          </cell>
          <cell r="F327">
            <v>0</v>
          </cell>
          <cell r="G327">
            <v>6.666666666666667</v>
          </cell>
          <cell r="H327">
            <v>0</v>
          </cell>
          <cell r="I327">
            <v>24.752475247524753</v>
          </cell>
          <cell r="J327">
            <v>19.685039370078741</v>
          </cell>
          <cell r="K327">
            <v>13.661202185792352</v>
          </cell>
          <cell r="L327">
            <v>0</v>
          </cell>
          <cell r="N327">
            <v>0</v>
          </cell>
        </row>
        <row r="328">
          <cell r="E328" t="e">
            <v>#DIV/0!</v>
          </cell>
          <cell r="F328">
            <v>0</v>
          </cell>
          <cell r="G328">
            <v>6.666666666666667</v>
          </cell>
          <cell r="H328">
            <v>0</v>
          </cell>
          <cell r="I328">
            <v>24.752475247524753</v>
          </cell>
          <cell r="J328">
            <v>19.685039370078741</v>
          </cell>
          <cell r="K328">
            <v>13.661202185792352</v>
          </cell>
          <cell r="L328">
            <v>0</v>
          </cell>
          <cell r="N328">
            <v>0</v>
          </cell>
        </row>
        <row r="329">
          <cell r="E329" t="e">
            <v>#DIV/0!</v>
          </cell>
          <cell r="F329" t="e">
            <v>#DIV/0!</v>
          </cell>
          <cell r="G329" t="e">
            <v>#DIV/0!</v>
          </cell>
          <cell r="H329" t="e">
            <v>#DIV/0!</v>
          </cell>
          <cell r="I329" t="e">
            <v>#DIV/0!</v>
          </cell>
          <cell r="J329" t="e">
            <v>#DIV/0!</v>
          </cell>
          <cell r="K329" t="e">
            <v>#DIV/0!</v>
          </cell>
          <cell r="L329" t="e">
            <v>#DIV/0!</v>
          </cell>
          <cell r="N329">
            <v>0</v>
          </cell>
        </row>
        <row r="345">
          <cell r="E345" t="e">
            <v>#DIV/0!</v>
          </cell>
          <cell r="F345">
            <v>16.53</v>
          </cell>
          <cell r="G345">
            <v>3.5516470244104967</v>
          </cell>
          <cell r="H345">
            <v>4.711510317576467</v>
          </cell>
          <cell r="I345">
            <v>6.0860981921336021</v>
          </cell>
          <cell r="J345">
            <v>5.9794844017130186</v>
          </cell>
          <cell r="K345">
            <v>7.0509729636645426</v>
          </cell>
          <cell r="L345">
            <v>3.7912087912087911</v>
          </cell>
          <cell r="M345">
            <v>3.9181286549707601</v>
          </cell>
        </row>
        <row r="346">
          <cell r="E346" t="e">
            <v>#DIV/0!</v>
          </cell>
          <cell r="F346">
            <v>19.57</v>
          </cell>
          <cell r="G346">
            <v>3.7455931201728112</v>
          </cell>
          <cell r="H346">
            <v>4.9402657264140721</v>
          </cell>
          <cell r="I346">
            <v>6.4152169136262458</v>
          </cell>
          <cell r="J346">
            <v>6.2135623033611083</v>
          </cell>
          <cell r="K346">
            <v>7.4155823680525286</v>
          </cell>
          <cell r="L346">
            <v>4.8067860508953819</v>
          </cell>
          <cell r="N346">
            <v>0</v>
          </cell>
          <cell r="O346">
            <v>0</v>
          </cell>
        </row>
        <row r="347">
          <cell r="E347" t="e">
            <v>#DIV/0!</v>
          </cell>
          <cell r="F347">
            <v>1.1499999999999999</v>
          </cell>
          <cell r="G347">
            <v>1.1228786525456169</v>
          </cell>
          <cell r="H347">
            <v>1.7318794098781269</v>
          </cell>
          <cell r="I347">
            <v>1.6580976863753212</v>
          </cell>
          <cell r="J347">
            <v>2.696171944550426</v>
          </cell>
          <cell r="K347">
            <v>2.321664862263924</v>
          </cell>
          <cell r="L347">
            <v>2.3715415019762842</v>
          </cell>
          <cell r="N347">
            <v>0</v>
          </cell>
          <cell r="O347">
            <v>0</v>
          </cell>
        </row>
        <row r="354">
          <cell r="E354">
            <v>0.620973285333147</v>
          </cell>
          <cell r="F354">
            <v>2.0499999999999998</v>
          </cell>
          <cell r="G354">
            <v>0.74920503118542348</v>
          </cell>
          <cell r="H354">
            <v>0.85796868139909266</v>
          </cell>
          <cell r="I354">
            <v>0.92838785981699012</v>
          </cell>
          <cell r="J354">
            <v>0.93778454782956489</v>
          </cell>
          <cell r="K354">
            <v>0.93593938350266925</v>
          </cell>
          <cell r="L354">
            <v>1.0439560439560438</v>
          </cell>
          <cell r="M354">
            <v>1.0526315789473684</v>
          </cell>
        </row>
        <row r="355">
          <cell r="E355">
            <v>0.64170987089559828</v>
          </cell>
          <cell r="F355">
            <v>2.31</v>
          </cell>
          <cell r="G355">
            <v>0.77133133622709948</v>
          </cell>
          <cell r="H355">
            <v>0.86572838387519324</v>
          </cell>
          <cell r="I355">
            <v>0.94198121769701826</v>
          </cell>
          <cell r="J355">
            <v>0.94757770319568069</v>
          </cell>
          <cell r="K355">
            <v>0.94503232029083617</v>
          </cell>
          <cell r="L355">
            <v>1.1310084825636193</v>
          </cell>
          <cell r="N355">
            <v>0</v>
          </cell>
        </row>
        <row r="356">
          <cell r="E356">
            <v>0.39232170379711362</v>
          </cell>
          <cell r="F356">
            <v>0.75</v>
          </cell>
          <cell r="G356">
            <v>0.47211943345667984</v>
          </cell>
          <cell r="H356">
            <v>0.75689544579858881</v>
          </cell>
          <cell r="I356">
            <v>0.74550128534704374</v>
          </cell>
          <cell r="J356">
            <v>0.80122090805036239</v>
          </cell>
          <cell r="K356">
            <v>0.81799591002045002</v>
          </cell>
          <cell r="L356">
            <v>0.92226613965744397</v>
          </cell>
          <cell r="N356">
            <v>0</v>
          </cell>
        </row>
        <row r="365">
          <cell r="H365">
            <v>1.0955902492467817</v>
          </cell>
          <cell r="I365">
            <v>0.7951454279137895</v>
          </cell>
          <cell r="J365">
            <v>0.70117550010311402</v>
          </cell>
          <cell r="K365">
            <v>0.68252326783867634</v>
          </cell>
          <cell r="L365">
            <v>0</v>
          </cell>
          <cell r="M365">
            <v>0</v>
          </cell>
          <cell r="N365">
            <v>0</v>
          </cell>
        </row>
        <row r="366">
          <cell r="H366">
            <v>60.668310052040539</v>
          </cell>
          <cell r="I366">
            <v>52.354048964218457</v>
          </cell>
          <cell r="J366">
            <v>53.144978346050728</v>
          </cell>
          <cell r="K366">
            <v>58.552223371251287</v>
          </cell>
        </row>
        <row r="367">
          <cell r="H367">
            <v>8.4086551629690494</v>
          </cell>
          <cell r="I367">
            <v>5.2521448001673994</v>
          </cell>
          <cell r="J367">
            <v>5.6506496184780364</v>
          </cell>
          <cell r="K367">
            <v>4.9638055842812818</v>
          </cell>
          <cell r="L367">
            <v>0</v>
          </cell>
        </row>
        <row r="368">
          <cell r="H368">
            <v>1.9720624486442069</v>
          </cell>
          <cell r="I368">
            <v>1.987863569784474</v>
          </cell>
          <cell r="J368">
            <v>2.2685089709218396</v>
          </cell>
          <cell r="K368">
            <v>2.2130299896587382</v>
          </cell>
          <cell r="L368">
            <v>0</v>
          </cell>
        </row>
        <row r="369">
          <cell r="H369">
            <v>10.052040536839222</v>
          </cell>
          <cell r="I369">
            <v>14.64741577735928</v>
          </cell>
          <cell r="J369">
            <v>14.209115281501342</v>
          </cell>
          <cell r="K369">
            <v>13.11271975180972</v>
          </cell>
          <cell r="L369">
            <v>0</v>
          </cell>
        </row>
        <row r="370">
          <cell r="H370">
            <v>2.9854834291974801</v>
          </cell>
          <cell r="I370">
            <v>4.7917974471646785</v>
          </cell>
          <cell r="J370">
            <v>4.0420705300061863</v>
          </cell>
          <cell r="K370">
            <v>2.1096173733195447</v>
          </cell>
          <cell r="L370">
            <v>0</v>
          </cell>
        </row>
        <row r="371">
          <cell r="H371">
            <v>1.9446726924130373</v>
          </cell>
          <cell r="I371">
            <v>0</v>
          </cell>
          <cell r="J371">
            <v>0</v>
          </cell>
          <cell r="K371">
            <v>0</v>
          </cell>
          <cell r="L371">
            <v>0</v>
          </cell>
        </row>
        <row r="372">
          <cell r="H372">
            <v>5.9435771021637906</v>
          </cell>
          <cell r="I372">
            <v>2.0924879681941828</v>
          </cell>
          <cell r="J372">
            <v>2.0210352650030932</v>
          </cell>
          <cell r="K372">
            <v>1.6752843846949326</v>
          </cell>
          <cell r="L372">
            <v>0</v>
          </cell>
        </row>
        <row r="373">
          <cell r="H373">
            <v>0.10955902492467817</v>
          </cell>
          <cell r="I373">
            <v>8.7884494664155675</v>
          </cell>
          <cell r="J373">
            <v>6.9705093833780163</v>
          </cell>
          <cell r="K373">
            <v>4.4881075491209925</v>
          </cell>
          <cell r="L373">
            <v>0</v>
          </cell>
        </row>
        <row r="374">
          <cell r="H374">
            <v>0.10955902492467817</v>
          </cell>
          <cell r="I374">
            <v>0</v>
          </cell>
          <cell r="J374">
            <v>0</v>
          </cell>
          <cell r="K374">
            <v>1.4270941054808686</v>
          </cell>
          <cell r="L374">
            <v>0</v>
          </cell>
        </row>
        <row r="375">
          <cell r="H375">
            <v>0</v>
          </cell>
          <cell r="I375">
            <v>0</v>
          </cell>
          <cell r="J375">
            <v>0</v>
          </cell>
          <cell r="K375">
            <v>0</v>
          </cell>
          <cell r="L375">
            <v>0</v>
          </cell>
        </row>
        <row r="376">
          <cell r="H376">
            <v>0.10955902492467817</v>
          </cell>
          <cell r="I376">
            <v>0</v>
          </cell>
          <cell r="J376">
            <v>0</v>
          </cell>
          <cell r="K376">
            <v>0</v>
          </cell>
          <cell r="L376">
            <v>0</v>
          </cell>
        </row>
        <row r="377">
          <cell r="H377">
            <v>0</v>
          </cell>
          <cell r="I377">
            <v>0</v>
          </cell>
          <cell r="J377">
            <v>0</v>
          </cell>
          <cell r="K377">
            <v>0</v>
          </cell>
          <cell r="L377">
            <v>0</v>
          </cell>
        </row>
        <row r="378">
          <cell r="H378">
            <v>6.7104902766365377</v>
          </cell>
          <cell r="I378">
            <v>9.2906465787821713</v>
          </cell>
          <cell r="J378">
            <v>10.991957104557642</v>
          </cell>
          <cell r="K378">
            <v>10.775594622543951</v>
          </cell>
          <cell r="L378">
            <v>82.075471698113205</v>
          </cell>
        </row>
        <row r="397">
          <cell r="H397">
            <v>9.2378752886836022</v>
          </cell>
          <cell r="I397">
            <v>6.4748201438848918</v>
          </cell>
          <cell r="J397">
            <v>4.778761061946903</v>
          </cell>
          <cell r="K397">
            <v>6.557377049180328</v>
          </cell>
          <cell r="L397">
            <v>0</v>
          </cell>
          <cell r="M397">
            <v>0</v>
          </cell>
        </row>
        <row r="398">
          <cell r="H398">
            <v>23.094688221709006</v>
          </cell>
          <cell r="I398">
            <v>18.165467625899282</v>
          </cell>
          <cell r="J398">
            <v>22.123893805309734</v>
          </cell>
          <cell r="K398">
            <v>20.765027322404372</v>
          </cell>
          <cell r="L398">
            <v>33.333333333333329</v>
          </cell>
          <cell r="M398">
            <v>45.454545454545453</v>
          </cell>
        </row>
        <row r="399">
          <cell r="H399">
            <v>4.3879907621247112</v>
          </cell>
          <cell r="I399">
            <v>3.7769784172661871</v>
          </cell>
          <cell r="J399">
            <v>3.0088495575221237</v>
          </cell>
          <cell r="K399">
            <v>3.8251366120218582</v>
          </cell>
          <cell r="L399">
            <v>0</v>
          </cell>
          <cell r="M399">
            <v>0</v>
          </cell>
        </row>
        <row r="400">
          <cell r="H400">
            <v>14.549653579676674</v>
          </cell>
          <cell r="I400">
            <v>11.151079136690647</v>
          </cell>
          <cell r="J400">
            <v>12.035398230088495</v>
          </cell>
          <cell r="K400">
            <v>14.389799635701275</v>
          </cell>
          <cell r="L400">
            <v>0</v>
          </cell>
          <cell r="M400">
            <v>0</v>
          </cell>
        </row>
        <row r="401">
          <cell r="H401">
            <v>15.935334872979215</v>
          </cell>
          <cell r="I401">
            <v>16.546762589928058</v>
          </cell>
          <cell r="J401">
            <v>15.752212389380531</v>
          </cell>
          <cell r="K401">
            <v>18.397085610200364</v>
          </cell>
          <cell r="L401">
            <v>0</v>
          </cell>
          <cell r="M401">
            <v>0</v>
          </cell>
        </row>
        <row r="402">
          <cell r="H402">
            <v>5.3117782909930717</v>
          </cell>
          <cell r="I402">
            <v>3.9568345323741005</v>
          </cell>
          <cell r="J402">
            <v>3.8938053097345131</v>
          </cell>
          <cell r="K402">
            <v>1.8214936247723135</v>
          </cell>
          <cell r="L402">
            <v>0</v>
          </cell>
          <cell r="M402">
            <v>0</v>
          </cell>
        </row>
        <row r="403">
          <cell r="H403">
            <v>0</v>
          </cell>
          <cell r="I403">
            <v>0</v>
          </cell>
          <cell r="J403">
            <v>0</v>
          </cell>
          <cell r="K403">
            <v>0</v>
          </cell>
          <cell r="L403">
            <v>0</v>
          </cell>
          <cell r="M403">
            <v>0</v>
          </cell>
        </row>
        <row r="404">
          <cell r="H404">
            <v>10.392609699769054</v>
          </cell>
          <cell r="I404">
            <v>0</v>
          </cell>
          <cell r="J404">
            <v>14.159292035398231</v>
          </cell>
          <cell r="K404">
            <v>11.839708561020036</v>
          </cell>
          <cell r="L404">
            <v>0</v>
          </cell>
          <cell r="M404">
            <v>0</v>
          </cell>
        </row>
        <row r="405">
          <cell r="H405">
            <v>2.3094688221709005</v>
          </cell>
          <cell r="I405">
            <v>13.669064748201439</v>
          </cell>
          <cell r="J405">
            <v>5.4867256637168138</v>
          </cell>
          <cell r="K405">
            <v>2.0036429872495445</v>
          </cell>
          <cell r="L405">
            <v>0</v>
          </cell>
          <cell r="M405">
            <v>0</v>
          </cell>
        </row>
        <row r="406">
          <cell r="H406">
            <v>0</v>
          </cell>
          <cell r="I406">
            <v>0</v>
          </cell>
          <cell r="J406">
            <v>0.17699115044247787</v>
          </cell>
          <cell r="K406">
            <v>0</v>
          </cell>
          <cell r="L406">
            <v>0</v>
          </cell>
          <cell r="M406">
            <v>0</v>
          </cell>
        </row>
        <row r="407">
          <cell r="H407">
            <v>0</v>
          </cell>
          <cell r="I407">
            <v>0</v>
          </cell>
          <cell r="J407">
            <v>0</v>
          </cell>
          <cell r="K407">
            <v>0</v>
          </cell>
          <cell r="L407">
            <v>0</v>
          </cell>
          <cell r="M407">
            <v>0</v>
          </cell>
        </row>
        <row r="408">
          <cell r="H408">
            <v>0</v>
          </cell>
          <cell r="I408">
            <v>0</v>
          </cell>
          <cell r="J408">
            <v>0.17699115044247787</v>
          </cell>
          <cell r="K408">
            <v>0</v>
          </cell>
          <cell r="L408">
            <v>0</v>
          </cell>
          <cell r="M408">
            <v>0</v>
          </cell>
        </row>
        <row r="409">
          <cell r="H409">
            <v>0</v>
          </cell>
          <cell r="I409">
            <v>0</v>
          </cell>
          <cell r="J409">
            <v>0</v>
          </cell>
          <cell r="K409">
            <v>0</v>
          </cell>
          <cell r="L409">
            <v>0</v>
          </cell>
          <cell r="M409">
            <v>0</v>
          </cell>
        </row>
        <row r="410">
          <cell r="H410">
            <v>14.780600461893764</v>
          </cell>
          <cell r="I410">
            <v>18.345323741007196</v>
          </cell>
          <cell r="J410">
            <v>18.584070796460178</v>
          </cell>
          <cell r="K410">
            <v>20.400728597449909</v>
          </cell>
          <cell r="L410">
            <v>66.666666666666657</v>
          </cell>
          <cell r="M410">
            <v>54.54545454545454</v>
          </cell>
        </row>
        <row r="429">
          <cell r="E429" t="e">
            <v>#DIV/0!</v>
          </cell>
          <cell r="F429">
            <v>20.61</v>
          </cell>
          <cell r="G429">
            <v>21.39</v>
          </cell>
          <cell r="H429" t="e">
            <v>#DIV/0!</v>
          </cell>
          <cell r="I429" t="e">
            <v>#DIV/0!</v>
          </cell>
          <cell r="J429" t="e">
            <v>#DIV/0!</v>
          </cell>
          <cell r="K429" t="e">
            <v>#DIV/0!</v>
          </cell>
          <cell r="L429" t="e">
            <v>#DIV/0!</v>
          </cell>
          <cell r="N429" t="str">
            <v>Российская Федерация</v>
          </cell>
          <cell r="O429" t="str">
            <v>Российская Федерация</v>
          </cell>
        </row>
        <row r="430">
          <cell r="E430" t="e">
            <v>#DIV/0!</v>
          </cell>
          <cell r="F430">
            <v>19.899828941229948</v>
          </cell>
          <cell r="G430">
            <v>20.71</v>
          </cell>
          <cell r="H430" t="e">
            <v>#DIV/0!</v>
          </cell>
          <cell r="I430" t="e">
            <v>#DIV/0!</v>
          </cell>
          <cell r="J430" t="e">
            <v>#DIV/0!</v>
          </cell>
          <cell r="K430" t="e">
            <v>#DIV/0!</v>
          </cell>
          <cell r="L430" t="e">
            <v>#DIV/0!</v>
          </cell>
          <cell r="N430">
            <v>0</v>
          </cell>
          <cell r="O430">
            <v>0</v>
          </cell>
        </row>
        <row r="431">
          <cell r="E431" t="e">
            <v>#DIV/0!</v>
          </cell>
          <cell r="F431">
            <v>29.010340370529946</v>
          </cell>
          <cell r="G431">
            <v>29.796072101156845</v>
          </cell>
          <cell r="H431" t="e">
            <v>#DIV/0!</v>
          </cell>
          <cell r="I431" t="e">
            <v>#DIV/0!</v>
          </cell>
          <cell r="J431" t="e">
            <v>#DIV/0!</v>
          </cell>
          <cell r="K431" t="e">
            <v>#DIV/0!</v>
          </cell>
          <cell r="L431" t="e">
            <v>#DIV/0!</v>
          </cell>
          <cell r="N431">
            <v>0</v>
          </cell>
          <cell r="O431">
            <v>0</v>
          </cell>
        </row>
        <row r="438">
          <cell r="I438">
            <v>57.160723250222375</v>
          </cell>
          <cell r="J438">
            <v>58.433908289181915</v>
          </cell>
          <cell r="K438">
            <v>62.539210407104449</v>
          </cell>
          <cell r="L438">
            <v>71.366120218579226</v>
          </cell>
          <cell r="M438">
            <v>72.74840209180708</v>
          </cell>
        </row>
        <row r="439">
          <cell r="I439">
            <v>58.430642096007112</v>
          </cell>
          <cell r="J439">
            <v>59.105457380928641</v>
          </cell>
          <cell r="K439">
            <v>63.180412940267196</v>
          </cell>
          <cell r="L439">
            <v>85.620915032679733</v>
          </cell>
        </row>
        <row r="440">
          <cell r="I440">
            <v>39.897172236503856</v>
          </cell>
          <cell r="J440">
            <v>49.014371105176139</v>
          </cell>
          <cell r="K440">
            <v>54.15614098400097</v>
          </cell>
          <cell r="L440">
            <v>51.251646903820813</v>
          </cell>
        </row>
        <row r="449">
          <cell r="E449">
            <v>97.572815533980588</v>
          </cell>
          <cell r="F449">
            <v>96.019900497512438</v>
          </cell>
          <cell r="G449">
            <v>90.673575129533674</v>
          </cell>
          <cell r="H449">
            <v>95.142857142857139</v>
          </cell>
          <cell r="I449">
            <v>100.90090090090089</v>
          </cell>
          <cell r="J449">
            <v>100.90090090090089</v>
          </cell>
          <cell r="K449">
            <v>100.90090090090089</v>
          </cell>
          <cell r="L449">
            <v>100.90090090090089</v>
          </cell>
          <cell r="N449">
            <v>0</v>
          </cell>
          <cell r="O449">
            <v>0</v>
          </cell>
        </row>
        <row r="450">
          <cell r="H450">
            <v>95.189003436426106</v>
          </cell>
          <cell r="I450">
            <v>102.88808664259928</v>
          </cell>
          <cell r="J450">
            <v>102.88808664259928</v>
          </cell>
          <cell r="K450">
            <v>102.88808664259928</v>
          </cell>
          <cell r="L450">
            <v>102.88808664259928</v>
          </cell>
          <cell r="N450">
            <v>0</v>
          </cell>
          <cell r="O450">
            <v>0</v>
          </cell>
        </row>
        <row r="451">
          <cell r="H451">
            <v>94.915254237288138</v>
          </cell>
          <cell r="I451">
            <v>91.071428571428569</v>
          </cell>
          <cell r="J451">
            <v>91.071428571428569</v>
          </cell>
          <cell r="K451">
            <v>91.071428571428569</v>
          </cell>
          <cell r="L451">
            <v>91.071428571428569</v>
          </cell>
          <cell r="N451">
            <v>0</v>
          </cell>
          <cell r="O451">
            <v>0</v>
          </cell>
        </row>
        <row r="452">
          <cell r="E452">
            <v>100</v>
          </cell>
          <cell r="F452">
            <v>400</v>
          </cell>
          <cell r="G452">
            <v>75</v>
          </cell>
          <cell r="H452">
            <v>100</v>
          </cell>
          <cell r="I452">
            <v>300</v>
          </cell>
          <cell r="J452">
            <v>300</v>
          </cell>
          <cell r="K452">
            <v>300</v>
          </cell>
          <cell r="L452">
            <v>300</v>
          </cell>
          <cell r="N452">
            <v>0</v>
          </cell>
          <cell r="O452">
            <v>0</v>
          </cell>
        </row>
        <row r="453">
          <cell r="H453">
            <v>100</v>
          </cell>
          <cell r="I453">
            <v>300</v>
          </cell>
          <cell r="J453">
            <v>300</v>
          </cell>
          <cell r="K453">
            <v>300</v>
          </cell>
          <cell r="L453">
            <v>300</v>
          </cell>
          <cell r="N453">
            <v>0</v>
          </cell>
          <cell r="O453">
            <v>0</v>
          </cell>
        </row>
        <row r="454">
          <cell r="H454" t="e">
            <v>#DIV/0!</v>
          </cell>
          <cell r="I454" t="e">
            <v>#DIV/0!</v>
          </cell>
          <cell r="J454" t="e">
            <v>#DIV/0!</v>
          </cell>
          <cell r="K454" t="e">
            <v>#DIV/0!</v>
          </cell>
          <cell r="L454" t="e">
            <v>#DIV/0!</v>
          </cell>
          <cell r="N454">
            <v>0</v>
          </cell>
          <cell r="O454">
            <v>0</v>
          </cell>
        </row>
        <row r="455">
          <cell r="I455">
            <v>97.916666666666657</v>
          </cell>
          <cell r="J455">
            <v>92.401215805471125</v>
          </cell>
          <cell r="L455">
            <v>3.7800687285223367</v>
          </cell>
          <cell r="M455">
            <v>81.818181818181827</v>
          </cell>
        </row>
        <row r="456">
          <cell r="I456">
            <v>140</v>
          </cell>
          <cell r="J456">
            <v>128.57142857142858</v>
          </cell>
          <cell r="K456">
            <v>55.555555555555557</v>
          </cell>
          <cell r="L456">
            <v>0</v>
          </cell>
          <cell r="M456" t="e">
            <v>#DIV/0!</v>
          </cell>
          <cell r="N456" t="e">
            <v>#DIV/0!</v>
          </cell>
        </row>
        <row r="457">
          <cell r="I457">
            <v>71.428571428571431</v>
          </cell>
          <cell r="J457">
            <v>100</v>
          </cell>
          <cell r="K457">
            <v>120</v>
          </cell>
          <cell r="L457">
            <v>0</v>
          </cell>
          <cell r="M457" t="e">
            <v>#DIV/0!</v>
          </cell>
          <cell r="N457" t="e">
            <v>#DIV/0!</v>
          </cell>
        </row>
        <row r="458">
          <cell r="I458">
            <v>105.0632911392405</v>
          </cell>
          <cell r="J458">
            <v>101.20481927710843</v>
          </cell>
          <cell r="K458">
            <v>105.95238095238095</v>
          </cell>
          <cell r="L458">
            <v>12.359550561797752</v>
          </cell>
          <cell r="M458">
            <v>109.09090909090908</v>
          </cell>
        </row>
        <row r="459">
          <cell r="I459" t="e">
            <v>#DIV/0!</v>
          </cell>
          <cell r="J459" t="e">
            <v>#DIV/0!</v>
          </cell>
          <cell r="K459">
            <v>0</v>
          </cell>
          <cell r="L459" t="e">
            <v>#DIV/0!</v>
          </cell>
          <cell r="M459" t="e">
            <v>#DIV/0!</v>
          </cell>
          <cell r="N459" t="e">
            <v>#DIV/0!</v>
          </cell>
        </row>
        <row r="460">
          <cell r="I460">
            <v>200</v>
          </cell>
          <cell r="J460">
            <v>100</v>
          </cell>
          <cell r="K460">
            <v>0</v>
          </cell>
          <cell r="L460">
            <v>0</v>
          </cell>
          <cell r="M460">
            <v>0</v>
          </cell>
          <cell r="N460">
            <v>0</v>
          </cell>
        </row>
        <row r="491">
          <cell r="E491" t="e">
            <v>#DIV/0!</v>
          </cell>
          <cell r="F491">
            <v>198.21999632044808</v>
          </cell>
          <cell r="G491">
            <v>196.18</v>
          </cell>
          <cell r="H491">
            <v>207.01932007225892</v>
          </cell>
          <cell r="I491" t="e">
            <v>#DIV/0!</v>
          </cell>
          <cell r="J491" t="e">
            <v>#DIV/0!</v>
          </cell>
          <cell r="K491" t="e">
            <v>#DIV/0!</v>
          </cell>
          <cell r="L491" t="e">
            <v>#DIV/0!</v>
          </cell>
          <cell r="N491">
            <v>0</v>
          </cell>
          <cell r="O491">
            <v>0</v>
          </cell>
        </row>
        <row r="492">
          <cell r="E492" t="e">
            <v>#DIV/0!</v>
          </cell>
          <cell r="F492">
            <v>91.130536130536129</v>
          </cell>
          <cell r="G492">
            <v>167.58196721311475</v>
          </cell>
          <cell r="H492" t="e">
            <v>#DIV/0!</v>
          </cell>
          <cell r="I492" t="e">
            <v>#DIV/0!</v>
          </cell>
          <cell r="J492" t="e">
            <v>#DIV/0!</v>
          </cell>
          <cell r="K492" t="e">
            <v>#DIV/0!</v>
          </cell>
          <cell r="L492" t="e">
            <v>#DIV/0!</v>
          </cell>
          <cell r="N492">
            <v>0</v>
          </cell>
          <cell r="O492">
            <v>0</v>
          </cell>
        </row>
        <row r="500">
          <cell r="E500" t="e">
            <v>#DIV/0!</v>
          </cell>
          <cell r="F500">
            <v>9.2899999776905879</v>
          </cell>
          <cell r="G500">
            <v>11.070957707491516</v>
          </cell>
          <cell r="H500" t="e">
            <v>#DIV/0!</v>
          </cell>
          <cell r="I500" t="e">
            <v>#DIV/0!</v>
          </cell>
          <cell r="J500" t="e">
            <v>#DIV/0!</v>
          </cell>
          <cell r="K500" t="e">
            <v>#DIV/0!</v>
          </cell>
          <cell r="L500" t="e">
            <v>#DIV/0!</v>
          </cell>
          <cell r="N500">
            <v>0</v>
          </cell>
          <cell r="O500">
            <v>0</v>
          </cell>
        </row>
        <row r="501">
          <cell r="E501" t="e">
            <v>#DIV/0!</v>
          </cell>
          <cell r="F501">
            <v>84.649925377976771</v>
          </cell>
          <cell r="G501">
            <v>29.806798728295426</v>
          </cell>
          <cell r="H501" t="e">
            <v>#DIV/0!</v>
          </cell>
          <cell r="I501" t="e">
            <v>#DIV/0!</v>
          </cell>
          <cell r="J501" t="e">
            <v>#DIV/0!</v>
          </cell>
          <cell r="K501" t="e">
            <v>#DIV/0!</v>
          </cell>
          <cell r="L501" t="e">
            <v>#DIV/0!</v>
          </cell>
          <cell r="N501">
            <v>0</v>
          </cell>
          <cell r="O501">
            <v>0</v>
          </cell>
        </row>
        <row r="508">
          <cell r="I508">
            <v>179.07</v>
          </cell>
          <cell r="J508">
            <v>0</v>
          </cell>
          <cell r="K508">
            <v>0</v>
          </cell>
          <cell r="L508">
            <v>0</v>
          </cell>
          <cell r="M508">
            <v>0</v>
          </cell>
          <cell r="N508">
            <v>0</v>
          </cell>
        </row>
        <row r="509">
          <cell r="I509">
            <v>0</v>
          </cell>
          <cell r="J509">
            <v>0</v>
          </cell>
          <cell r="K509">
            <v>0</v>
          </cell>
          <cell r="L509">
            <v>0</v>
          </cell>
        </row>
        <row r="510">
          <cell r="I510">
            <v>0</v>
          </cell>
          <cell r="J510">
            <v>0</v>
          </cell>
          <cell r="K510">
            <v>0</v>
          </cell>
          <cell r="L510">
            <v>0</v>
          </cell>
        </row>
        <row r="517">
          <cell r="E517">
            <v>0</v>
          </cell>
          <cell r="F517">
            <v>0</v>
          </cell>
          <cell r="G517">
            <v>0</v>
          </cell>
          <cell r="H517">
            <v>0</v>
          </cell>
          <cell r="I517">
            <v>0</v>
          </cell>
          <cell r="J517">
            <v>0</v>
          </cell>
          <cell r="K517">
            <v>0.21276595744680851</v>
          </cell>
          <cell r="L517">
            <v>0</v>
          </cell>
          <cell r="M517">
            <v>0</v>
          </cell>
          <cell r="N517">
            <v>0</v>
          </cell>
        </row>
        <row r="518">
          <cell r="E518">
            <v>0</v>
          </cell>
          <cell r="F518">
            <v>0</v>
          </cell>
          <cell r="G518">
            <v>0</v>
          </cell>
          <cell r="H518">
            <v>0</v>
          </cell>
          <cell r="I518">
            <v>0</v>
          </cell>
          <cell r="J518">
            <v>0</v>
          </cell>
          <cell r="K518">
            <v>0.25380710659898476</v>
          </cell>
          <cell r="L518">
            <v>0</v>
          </cell>
          <cell r="N518">
            <v>0</v>
          </cell>
          <cell r="O518">
            <v>0</v>
          </cell>
        </row>
        <row r="519">
          <cell r="E519">
            <v>0</v>
          </cell>
          <cell r="F519">
            <v>0</v>
          </cell>
          <cell r="G519">
            <v>0</v>
          </cell>
          <cell r="H519">
            <v>0</v>
          </cell>
          <cell r="I519">
            <v>0</v>
          </cell>
          <cell r="J519">
            <v>0</v>
          </cell>
          <cell r="K519">
            <v>0</v>
          </cell>
          <cell r="L519">
            <v>0</v>
          </cell>
          <cell r="N519">
            <v>0</v>
          </cell>
          <cell r="O519">
            <v>0</v>
          </cell>
        </row>
        <row r="526">
          <cell r="E526">
            <v>8.4745762711864394</v>
          </cell>
          <cell r="F526">
            <v>6.2972292191435768</v>
          </cell>
          <cell r="G526">
            <v>6.8493150684931505</v>
          </cell>
          <cell r="H526">
            <v>5.7471264367816088</v>
          </cell>
          <cell r="I526">
            <v>4.3298969072164946</v>
          </cell>
          <cell r="J526">
            <v>3.7344398340248963</v>
          </cell>
          <cell r="K526">
            <v>2.7659574468085104</v>
          </cell>
          <cell r="L526">
            <v>0</v>
          </cell>
          <cell r="M526">
            <v>0</v>
          </cell>
          <cell r="N526">
            <v>0</v>
          </cell>
        </row>
        <row r="527">
          <cell r="E527">
            <v>7.2948328267477196</v>
          </cell>
          <cell r="F527">
            <v>5</v>
          </cell>
          <cell r="G527">
            <v>6</v>
          </cell>
          <cell r="H527">
            <v>4.929577464788732</v>
          </cell>
          <cell r="I527">
            <v>3.7313432835820892</v>
          </cell>
          <cell r="J527">
            <v>3.25</v>
          </cell>
          <cell r="K527">
            <v>2.7918781725888326</v>
          </cell>
          <cell r="L527">
            <v>0</v>
          </cell>
          <cell r="N527">
            <v>0</v>
          </cell>
          <cell r="O527">
            <v>0</v>
          </cell>
        </row>
        <row r="528">
          <cell r="E528">
            <v>13.095238095238097</v>
          </cell>
          <cell r="F528">
            <v>11.7</v>
          </cell>
          <cell r="G528">
            <v>10.76923076923077</v>
          </cell>
          <cell r="H528">
            <v>9.375</v>
          </cell>
          <cell r="I528">
            <v>7.2289156626506017</v>
          </cell>
          <cell r="J528">
            <v>6.0975609756097562</v>
          </cell>
          <cell r="K528">
            <v>2.6315789473684208</v>
          </cell>
          <cell r="L528">
            <v>0</v>
          </cell>
          <cell r="N528">
            <v>0</v>
          </cell>
          <cell r="O528">
            <v>0</v>
          </cell>
        </row>
      </sheetData>
      <sheetData sheetId="2"/>
      <sheetData sheetId="3">
        <row r="10">
          <cell r="E10">
            <v>89.781056776154216</v>
          </cell>
          <cell r="F10">
            <v>91.394405196042271</v>
          </cell>
          <cell r="G10">
            <v>91.345015982408015</v>
          </cell>
          <cell r="H10">
            <v>93.900220664990016</v>
          </cell>
          <cell r="I10">
            <v>92.984120262544991</v>
          </cell>
          <cell r="J10">
            <v>92.911257644155782</v>
          </cell>
          <cell r="K10">
            <v>88.148277545964532</v>
          </cell>
          <cell r="L10">
            <v>99.61840628507295</v>
          </cell>
          <cell r="M10">
            <v>95.958279009126471</v>
          </cell>
          <cell r="N10">
            <v>92.060131272496292</v>
          </cell>
        </row>
        <row r="21">
          <cell r="E21">
            <v>32.983729852514429</v>
          </cell>
          <cell r="F21">
            <v>43.420453944235753</v>
          </cell>
          <cell r="G21">
            <v>52.607485307763689</v>
          </cell>
          <cell r="H21">
            <v>63.241585036080139</v>
          </cell>
          <cell r="I21">
            <v>72.052920196382786</v>
          </cell>
          <cell r="J21">
            <v>80.971290531500998</v>
          </cell>
          <cell r="K21">
            <v>81.054144793345912</v>
          </cell>
          <cell r="L21">
            <v>100</v>
          </cell>
          <cell r="M21">
            <v>100</v>
          </cell>
          <cell r="N21">
            <v>100</v>
          </cell>
        </row>
        <row r="22">
          <cell r="E22">
            <v>33.01984685479831</v>
          </cell>
          <cell r="F22">
            <v>43.470096269206024</v>
          </cell>
          <cell r="G22">
            <v>53.530035774339524</v>
          </cell>
          <cell r="H22">
            <v>63.329471846497739</v>
          </cell>
          <cell r="I22">
            <v>72.090134564853898</v>
          </cell>
          <cell r="J22">
            <v>80.985353548353885</v>
          </cell>
          <cell r="K22">
            <v>81.073894476372914</v>
          </cell>
          <cell r="L22">
            <v>100</v>
          </cell>
          <cell r="M22">
            <v>100</v>
          </cell>
          <cell r="N22">
            <v>100</v>
          </cell>
        </row>
        <row r="23">
          <cell r="E23">
            <v>32.612954573282721</v>
          </cell>
          <cell r="F23">
            <v>42.900503854792696</v>
          </cell>
          <cell r="G23">
            <v>42.851175557942476</v>
          </cell>
          <cell r="H23">
            <v>62.287435049598486</v>
          </cell>
          <cell r="I23">
            <v>71.643707681531637</v>
          </cell>
          <cell r="J23">
            <v>80.81328088847755</v>
          </cell>
          <cell r="K23">
            <v>80.825088236995896</v>
          </cell>
          <cell r="L23">
            <v>100</v>
          </cell>
          <cell r="M23">
            <v>100</v>
          </cell>
          <cell r="N23">
            <v>100</v>
          </cell>
        </row>
        <row r="42">
          <cell r="E42">
            <v>38.175270108043222</v>
          </cell>
          <cell r="F42">
            <v>48.018120045300108</v>
          </cell>
          <cell r="G42">
            <v>58.544303797468359</v>
          </cell>
          <cell r="H42">
            <v>69.20289855072464</v>
          </cell>
          <cell r="I42">
            <v>75.946547884187083</v>
          </cell>
          <cell r="J42">
            <v>83.888292158968852</v>
          </cell>
          <cell r="K42">
            <v>81.437768240343345</v>
          </cell>
          <cell r="L42" t="e">
            <v>#DIV/0!</v>
          </cell>
          <cell r="M42" t="e">
            <v>#DIV/0!</v>
          </cell>
          <cell r="N42" t="e">
            <v>#DIV/0!</v>
          </cell>
        </row>
        <row r="43">
          <cell r="E43">
            <v>38.175270108043222</v>
          </cell>
          <cell r="F43">
            <v>48.018120045300108</v>
          </cell>
          <cell r="G43">
            <v>58.544303797468359</v>
          </cell>
          <cell r="H43">
            <v>69.20289855072464</v>
          </cell>
          <cell r="I43">
            <v>75.946547884187083</v>
          </cell>
          <cell r="J43">
            <v>83.888292158968852</v>
          </cell>
          <cell r="K43">
            <v>81.437768240343345</v>
          </cell>
          <cell r="L43" t="e">
            <v>#DIV/0!</v>
          </cell>
          <cell r="M43" t="e">
            <v>#DIV/0!</v>
          </cell>
          <cell r="N43" t="e">
            <v>#DIV/0!</v>
          </cell>
        </row>
        <row r="44">
          <cell r="E44" t="e">
            <v>#DIV/0!</v>
          </cell>
          <cell r="F44" t="e">
            <v>#DIV/0!</v>
          </cell>
          <cell r="G44" t="e">
            <v>#DIV/0!</v>
          </cell>
          <cell r="H44" t="e">
            <v>#DIV/0!</v>
          </cell>
          <cell r="I44" t="e">
            <v>#DIV/0!</v>
          </cell>
          <cell r="J44" t="e">
            <v>#DIV/0!</v>
          </cell>
          <cell r="K44" t="e">
            <v>#DIV/0!</v>
          </cell>
          <cell r="L44" t="e">
            <v>#DIV/0!</v>
          </cell>
          <cell r="M44" t="e">
            <v>#DIV/0!</v>
          </cell>
          <cell r="N44" t="e">
            <v>#DIV/0!</v>
          </cell>
        </row>
        <row r="64">
          <cell r="I64">
            <v>63.408491244902855</v>
          </cell>
          <cell r="J64">
            <v>63.029567519858787</v>
          </cell>
          <cell r="K64">
            <v>62.18071519795658</v>
          </cell>
          <cell r="L64">
            <v>59.168704156479215</v>
          </cell>
          <cell r="M64">
            <v>59.047619047619051</v>
          </cell>
          <cell r="N64">
            <v>57.242990654205606</v>
          </cell>
        </row>
        <row r="65">
          <cell r="I65">
            <v>64.06332453825857</v>
          </cell>
          <cell r="J65">
            <v>63.468880673898553</v>
          </cell>
          <cell r="K65">
            <v>62.803422783631177</v>
          </cell>
          <cell r="L65">
            <v>61.53846153846154</v>
          </cell>
          <cell r="M65">
            <v>61.135371179039296</v>
          </cell>
          <cell r="N65">
            <v>65.714285714285708</v>
          </cell>
        </row>
        <row r="66">
          <cell r="I66">
            <v>56.860158311345643</v>
          </cell>
          <cell r="J66">
            <v>58.574062692071294</v>
          </cell>
          <cell r="K66">
            <v>55.548667079975203</v>
          </cell>
          <cell r="L66">
            <v>56.38297872340425</v>
          </cell>
          <cell r="M66">
            <v>56.544502617801051</v>
          </cell>
          <cell r="N66">
            <v>49.082568807339449</v>
          </cell>
        </row>
        <row r="73">
          <cell r="I73">
            <v>68.518518518518519</v>
          </cell>
          <cell r="J73">
            <v>51.724137931034484</v>
          </cell>
          <cell r="K73">
            <v>63.855421686746979</v>
          </cell>
          <cell r="L73" t="e">
            <v>#DIV/0!</v>
          </cell>
          <cell r="M73" t="e">
            <v>#DIV/0!</v>
          </cell>
          <cell r="N73" t="e">
            <v>#DIV/0!</v>
          </cell>
        </row>
        <row r="74">
          <cell r="I74">
            <v>68.518518518518519</v>
          </cell>
          <cell r="J74">
            <v>51.724137931034484</v>
          </cell>
          <cell r="K74">
            <v>63.855421686746979</v>
          </cell>
          <cell r="L74" t="e">
            <v>#DIV/0!</v>
          </cell>
          <cell r="M74" t="e">
            <v>#DIV/0!</v>
          </cell>
          <cell r="N74" t="e">
            <v>#DIV/0!</v>
          </cell>
        </row>
        <row r="75">
          <cell r="I75" t="e">
            <v>#DIV/0!</v>
          </cell>
          <cell r="J75" t="e">
            <v>#DIV/0!</v>
          </cell>
          <cell r="K75" t="e">
            <v>#DIV/0!</v>
          </cell>
          <cell r="L75" t="e">
            <v>#DIV/0!</v>
          </cell>
          <cell r="M75" t="e">
            <v>#DIV/0!</v>
          </cell>
          <cell r="N75" t="e">
            <v>#DIV/0!</v>
          </cell>
        </row>
        <row r="85">
          <cell r="I85">
            <v>23.181187355435622</v>
          </cell>
          <cell r="J85">
            <v>23.448440643863179</v>
          </cell>
          <cell r="K85">
            <v>23.681415929203538</v>
          </cell>
          <cell r="L85">
            <v>14.467213114754099</v>
          </cell>
          <cell r="M85">
            <v>14.139344262295081</v>
          </cell>
          <cell r="N85">
            <v>14.376068376068377</v>
          </cell>
        </row>
        <row r="86">
          <cell r="I86">
            <v>22.609932385171369</v>
          </cell>
          <cell r="J86">
            <v>22.775449101796408</v>
          </cell>
          <cell r="K86">
            <v>22.982284805814217</v>
          </cell>
          <cell r="L86">
            <v>14.075949367088608</v>
          </cell>
          <cell r="M86">
            <v>14.403846153846153</v>
          </cell>
          <cell r="N86">
            <v>14.171974522292993</v>
          </cell>
        </row>
        <row r="87">
          <cell r="I87">
            <v>19.946215139442231</v>
          </cell>
          <cell r="J87">
            <v>20.721789883268482</v>
          </cell>
          <cell r="K87">
            <v>20.782363977485929</v>
          </cell>
          <cell r="L87">
            <v>12.054054054054054</v>
          </cell>
          <cell r="M87">
            <v>12</v>
          </cell>
          <cell r="N87">
            <v>11.307692307692308</v>
          </cell>
        </row>
        <row r="89">
          <cell r="I89">
            <v>24.723017292784736</v>
          </cell>
          <cell r="J89">
            <v>24.995055264688773</v>
          </cell>
          <cell r="K89">
            <v>25.198302687411598</v>
          </cell>
          <cell r="L89">
            <v>20.122448979591837</v>
          </cell>
          <cell r="M89">
            <v>19.156862745098039</v>
          </cell>
          <cell r="N89">
            <v>19.775510204081634</v>
          </cell>
        </row>
        <row r="90">
          <cell r="I90">
            <v>24.190125477359519</v>
          </cell>
          <cell r="J90">
            <v>24.260042849491164</v>
          </cell>
          <cell r="K90">
            <v>24.520073956682513</v>
          </cell>
          <cell r="L90">
            <v>20.716666666666665</v>
          </cell>
          <cell r="M90">
            <v>20.508196721311474</v>
          </cell>
          <cell r="N90">
            <v>20.483870967741936</v>
          </cell>
        </row>
        <row r="91">
          <cell r="I91">
            <v>22.655214723926381</v>
          </cell>
          <cell r="J91">
            <v>23.214201183431953</v>
          </cell>
          <cell r="K91">
            <v>23.277272727272727</v>
          </cell>
          <cell r="L91">
            <v>18.615384615384617</v>
          </cell>
          <cell r="M91">
            <v>17.642857142857142</v>
          </cell>
          <cell r="N91">
            <v>15.533333333333333</v>
          </cell>
        </row>
        <row r="93">
          <cell r="I93">
            <v>13.551210428305401</v>
          </cell>
          <cell r="J93">
            <v>13.565055762081784</v>
          </cell>
          <cell r="K93">
            <v>13.621013133208255</v>
          </cell>
          <cell r="L93">
            <v>10.671232876712329</v>
          </cell>
          <cell r="M93">
            <v>10.535211267605634</v>
          </cell>
          <cell r="N93">
            <v>10.485294117647058</v>
          </cell>
        </row>
        <row r="94">
          <cell r="I94">
            <v>13.31139646869984</v>
          </cell>
          <cell r="J94">
            <v>13.657894736842104</v>
          </cell>
          <cell r="K94">
            <v>13.546191247974068</v>
          </cell>
          <cell r="L94">
            <v>10.010204081632653</v>
          </cell>
          <cell r="M94">
            <v>10.48421052631579</v>
          </cell>
          <cell r="N94">
            <v>10.052631578947368</v>
          </cell>
        </row>
        <row r="95">
          <cell r="I95">
            <v>8.2645502645502642</v>
          </cell>
          <cell r="J95">
            <v>9.2131147540983598</v>
          </cell>
          <cell r="K95">
            <v>8.978494623655914</v>
          </cell>
          <cell r="L95">
            <v>8.5</v>
          </cell>
          <cell r="M95">
            <v>8.5652173913043477</v>
          </cell>
          <cell r="N95">
            <v>8.6666666666666661</v>
          </cell>
        </row>
        <row r="132">
          <cell r="I132">
            <v>20.19047619047619</v>
          </cell>
          <cell r="J132">
            <v>18.454545454545453</v>
          </cell>
          <cell r="K132">
            <v>19.600000000000001</v>
          </cell>
          <cell r="L132" t="e">
            <v>#DIV/0!</v>
          </cell>
          <cell r="M132" t="e">
            <v>#DIV/0!</v>
          </cell>
          <cell r="N132" t="e">
            <v>#DIV/0!</v>
          </cell>
        </row>
        <row r="133">
          <cell r="I133">
            <v>17.652173913043477</v>
          </cell>
          <cell r="J133">
            <v>18.399999999999999</v>
          </cell>
          <cell r="K133">
            <v>18.239999999999998</v>
          </cell>
          <cell r="L133" t="e">
            <v>#DIV/0!</v>
          </cell>
          <cell r="M133" t="e">
            <v>#DIV/0!</v>
          </cell>
          <cell r="N133" t="e">
            <v>#DIV/0!</v>
          </cell>
        </row>
        <row r="134">
          <cell r="I134">
            <v>13.6</v>
          </cell>
          <cell r="J134">
            <v>13</v>
          </cell>
          <cell r="K134">
            <v>14</v>
          </cell>
          <cell r="L134" t="e">
            <v>#DIV/0!</v>
          </cell>
          <cell r="M134" t="e">
            <v>#DIV/0!</v>
          </cell>
          <cell r="N134" t="e">
            <v>#DIV/0!</v>
          </cell>
        </row>
        <row r="136">
          <cell r="I136" t="e">
            <v>#DIV/0!</v>
          </cell>
          <cell r="J136" t="e">
            <v>#DIV/0!</v>
          </cell>
          <cell r="K136" t="e">
            <v>#DIV/0!</v>
          </cell>
          <cell r="L136" t="e">
            <v>#DIV/0!</v>
          </cell>
          <cell r="M136" t="e">
            <v>#DIV/0!</v>
          </cell>
          <cell r="N136" t="e">
            <v>#DIV/0!</v>
          </cell>
        </row>
        <row r="137">
          <cell r="I137" t="e">
            <v>#DIV/0!</v>
          </cell>
          <cell r="J137" t="e">
            <v>#DIV/0!</v>
          </cell>
          <cell r="K137" t="e">
            <v>#DIV/0!</v>
          </cell>
          <cell r="L137" t="e">
            <v>#DIV/0!</v>
          </cell>
          <cell r="M137" t="e">
            <v>#DIV/0!</v>
          </cell>
          <cell r="N137" t="e">
            <v>#DIV/0!</v>
          </cell>
        </row>
        <row r="138">
          <cell r="I138" t="e">
            <v>#DIV/0!</v>
          </cell>
          <cell r="J138" t="e">
            <v>#DIV/0!</v>
          </cell>
          <cell r="K138" t="e">
            <v>#DIV/0!</v>
          </cell>
          <cell r="L138" t="e">
            <v>#DIV/0!</v>
          </cell>
          <cell r="M138" t="e">
            <v>#DIV/0!</v>
          </cell>
          <cell r="N138" t="e">
            <v>#DIV/0!</v>
          </cell>
        </row>
        <row r="158">
          <cell r="I158">
            <v>91.353237689026756</v>
          </cell>
          <cell r="J158">
            <v>91.0826359832636</v>
          </cell>
          <cell r="K158">
            <v>91.916451919164516</v>
          </cell>
          <cell r="L158">
            <v>100</v>
          </cell>
          <cell r="M158">
            <v>100</v>
          </cell>
          <cell r="N158">
            <v>100</v>
          </cell>
        </row>
        <row r="159">
          <cell r="I159">
            <v>89.609070908783224</v>
          </cell>
          <cell r="J159">
            <v>89.547826086956519</v>
          </cell>
          <cell r="K159">
            <v>89.95248988210453</v>
          </cell>
          <cell r="L159">
            <v>100</v>
          </cell>
          <cell r="M159">
            <v>100</v>
          </cell>
          <cell r="N159">
            <v>100</v>
          </cell>
        </row>
        <row r="160">
          <cell r="I160">
            <v>96.991247264770237</v>
          </cell>
          <cell r="J160">
            <v>95.732349841938884</v>
          </cell>
          <cell r="K160">
            <v>98.520710059171606</v>
          </cell>
          <cell r="L160">
            <v>100</v>
          </cell>
          <cell r="M160">
            <v>100</v>
          </cell>
          <cell r="N160">
            <v>100</v>
          </cell>
        </row>
        <row r="161">
          <cell r="I161" t="e">
            <v>#DIV/0!</v>
          </cell>
          <cell r="J161" t="e">
            <v>#DIV/0!</v>
          </cell>
          <cell r="K161" t="e">
            <v>#DIV/0!</v>
          </cell>
          <cell r="L161" t="e">
            <v>#DIV/0!</v>
          </cell>
          <cell r="M161" t="e">
            <v>#DIV/0!</v>
          </cell>
          <cell r="N161" t="e">
            <v>#DIV/0!</v>
          </cell>
        </row>
        <row r="162">
          <cell r="I162" t="e">
            <v>#DIV/0!</v>
          </cell>
          <cell r="J162" t="e">
            <v>#DIV/0!</v>
          </cell>
          <cell r="K162" t="e">
            <v>#DIV/0!</v>
          </cell>
          <cell r="L162" t="e">
            <v>#DIV/0!</v>
          </cell>
          <cell r="M162" t="e">
            <v>#DIV/0!</v>
          </cell>
          <cell r="N162" t="e">
            <v>#DIV/0!</v>
          </cell>
        </row>
        <row r="163">
          <cell r="I163" t="e">
            <v>#DIV/0!</v>
          </cell>
          <cell r="J163" t="e">
            <v>#DIV/0!</v>
          </cell>
          <cell r="K163" t="e">
            <v>#DIV/0!</v>
          </cell>
          <cell r="L163" t="e">
            <v>#DIV/0!</v>
          </cell>
          <cell r="M163" t="e">
            <v>#DIV/0!</v>
          </cell>
          <cell r="N163" t="e">
            <v>#DIV/0!</v>
          </cell>
        </row>
        <row r="183">
          <cell r="E183">
            <v>25.376321881555064</v>
          </cell>
          <cell r="F183">
            <v>24.333633141103643</v>
          </cell>
          <cell r="G183">
            <v>24.956696566656355</v>
          </cell>
          <cell r="H183">
            <v>20.460849688500669</v>
          </cell>
          <cell r="I183">
            <v>20.197845090075621</v>
          </cell>
          <cell r="J183">
            <v>20.197845090075621</v>
          </cell>
          <cell r="K183">
            <v>20.197845090075621</v>
          </cell>
          <cell r="L183">
            <v>20.197845090075621</v>
          </cell>
          <cell r="M183">
            <v>20.197845090075621</v>
          </cell>
          <cell r="N183">
            <v>20.197845090075621</v>
          </cell>
        </row>
        <row r="184">
          <cell r="E184">
            <v>26.770592304572887</v>
          </cell>
          <cell r="F184">
            <v>25.585816375617981</v>
          </cell>
          <cell r="G184">
            <v>26.236020358646218</v>
          </cell>
          <cell r="H184">
            <v>21.30996861862107</v>
          </cell>
          <cell r="I184">
            <v>21.072155455216109</v>
          </cell>
          <cell r="J184">
            <v>21.072155455216109</v>
          </cell>
          <cell r="K184">
            <v>21.072155455216109</v>
          </cell>
          <cell r="L184">
            <v>21.072155455216109</v>
          </cell>
          <cell r="M184">
            <v>21.072155455216109</v>
          </cell>
          <cell r="N184">
            <v>21.072155455216109</v>
          </cell>
        </row>
        <row r="185">
          <cell r="E185">
            <v>11.062813762703563</v>
          </cell>
          <cell r="F185">
            <v>11.218357311965034</v>
          </cell>
          <cell r="G185">
            <v>11.427377968731351</v>
          </cell>
          <cell r="H185">
            <v>11.242324043457723</v>
          </cell>
          <cell r="I185">
            <v>10.60397290159605</v>
          </cell>
          <cell r="J185">
            <v>10.60397290159605</v>
          </cell>
          <cell r="K185">
            <v>10.60397290159605</v>
          </cell>
          <cell r="L185">
            <v>10.60397290159605</v>
          </cell>
          <cell r="M185">
            <v>10.60397290159605</v>
          </cell>
          <cell r="N185">
            <v>10.60397290159605</v>
          </cell>
        </row>
        <row r="201">
          <cell r="E201">
            <v>5.6422569027611047</v>
          </cell>
          <cell r="F201">
            <v>6.2287655719139305</v>
          </cell>
          <cell r="G201">
            <v>5.2742616033755274</v>
          </cell>
          <cell r="H201">
            <v>6.1594202898550732</v>
          </cell>
          <cell r="I201">
            <v>6.4587973273942101</v>
          </cell>
          <cell r="J201">
            <v>6.4587973273942101</v>
          </cell>
          <cell r="K201">
            <v>6.4587973273942101</v>
          </cell>
          <cell r="L201">
            <v>6.4587973273942101</v>
          </cell>
          <cell r="M201">
            <v>6.4587973273942101</v>
          </cell>
          <cell r="N201">
            <v>6.4587973273942101</v>
          </cell>
        </row>
        <row r="202">
          <cell r="E202">
            <v>5.6422569027611047</v>
          </cell>
          <cell r="F202">
            <v>6.2287655719139305</v>
          </cell>
          <cell r="G202">
            <v>5.2742616033755274</v>
          </cell>
          <cell r="H202">
            <v>6.1594202898550732</v>
          </cell>
          <cell r="I202">
            <v>6.4587973273942101</v>
          </cell>
          <cell r="J202">
            <v>6.4587973273942101</v>
          </cell>
          <cell r="K202">
            <v>6.4587973273942101</v>
          </cell>
          <cell r="L202">
            <v>6.4587973273942101</v>
          </cell>
          <cell r="M202">
            <v>6.4587973273942101</v>
          </cell>
          <cell r="N202">
            <v>6.4587973273942101</v>
          </cell>
        </row>
        <row r="203">
          <cell r="E203" t="e">
            <v>#DIV/0!</v>
          </cell>
          <cell r="F203" t="e">
            <v>#DIV/0!</v>
          </cell>
          <cell r="G203" t="e">
            <v>#DIV/0!</v>
          </cell>
          <cell r="H203" t="e">
            <v>#DIV/0!</v>
          </cell>
          <cell r="I203" t="e">
            <v>#DIV/0!</v>
          </cell>
          <cell r="J203" t="e">
            <v>#DIV/0!</v>
          </cell>
          <cell r="K203" t="e">
            <v>#DIV/0!</v>
          </cell>
          <cell r="L203" t="e">
            <v>#DIV/0!</v>
          </cell>
          <cell r="M203" t="e">
            <v>#DIV/0!</v>
          </cell>
          <cell r="N203" t="e">
            <v>#DIV/0!</v>
          </cell>
        </row>
        <row r="220">
          <cell r="E220">
            <v>74.623678118444928</v>
          </cell>
          <cell r="F220">
            <v>75.666366858896353</v>
          </cell>
          <cell r="G220">
            <v>75.043303433343652</v>
          </cell>
          <cell r="H220">
            <v>79.539150311499327</v>
          </cell>
          <cell r="I220">
            <v>79.802154909924383</v>
          </cell>
          <cell r="J220">
            <v>79.324684507002942</v>
          </cell>
          <cell r="K220">
            <v>78.625350687369831</v>
          </cell>
          <cell r="L220">
            <v>93.735917079765656</v>
          </cell>
          <cell r="M220">
            <v>93.161231884057969</v>
          </cell>
          <cell r="N220">
            <v>94.75620975160993</v>
          </cell>
        </row>
        <row r="221">
          <cell r="E221">
            <v>73.229407695427113</v>
          </cell>
          <cell r="F221">
            <v>74.414183624382019</v>
          </cell>
          <cell r="G221">
            <v>73.763979641353785</v>
          </cell>
          <cell r="H221">
            <v>78.69003138137893</v>
          </cell>
          <cell r="I221">
            <v>78.927844544783881</v>
          </cell>
          <cell r="J221">
            <v>78.324711318737556</v>
          </cell>
          <cell r="K221">
            <v>77.679000952315505</v>
          </cell>
          <cell r="L221">
            <v>94.098625707356504</v>
          </cell>
          <cell r="M221">
            <v>92.404040404040401</v>
          </cell>
          <cell r="N221">
            <v>92.354368932038838</v>
          </cell>
        </row>
        <row r="222">
          <cell r="E222">
            <v>88.93718623729643</v>
          </cell>
          <cell r="F222">
            <v>88.781642688034964</v>
          </cell>
          <cell r="G222">
            <v>88.572622031268651</v>
          </cell>
          <cell r="H222">
            <v>88.757675956542272</v>
          </cell>
          <cell r="I222">
            <v>89.396027098403948</v>
          </cell>
          <cell r="J222">
            <v>90.526734022022936</v>
          </cell>
          <cell r="K222">
            <v>89.55604694675965</v>
          </cell>
          <cell r="L222">
            <v>93.279022403258665</v>
          </cell>
          <cell r="M222">
            <v>94.126738794435866</v>
          </cell>
          <cell r="N222">
            <v>97.921108742004265</v>
          </cell>
        </row>
        <row r="244">
          <cell r="E244">
            <v>94.357743097238895</v>
          </cell>
          <cell r="F244">
            <v>93.771234428086075</v>
          </cell>
          <cell r="G244">
            <v>94.725738396624479</v>
          </cell>
          <cell r="H244">
            <v>93.840579710144922</v>
          </cell>
          <cell r="I244">
            <v>93.541202672605792</v>
          </cell>
          <cell r="J244">
            <v>93.233082706766908</v>
          </cell>
          <cell r="K244">
            <v>93.669527896995703</v>
          </cell>
          <cell r="L244" t="e">
            <v>#DIV/0!</v>
          </cell>
          <cell r="M244" t="e">
            <v>#DIV/0!</v>
          </cell>
          <cell r="N244" t="e">
            <v>#DIV/0!</v>
          </cell>
        </row>
        <row r="245">
          <cell r="E245">
            <v>94.357743097238895</v>
          </cell>
          <cell r="F245">
            <v>93.771234428086075</v>
          </cell>
          <cell r="G245">
            <v>94.725738396624479</v>
          </cell>
          <cell r="H245">
            <v>93.840579710144922</v>
          </cell>
          <cell r="I245">
            <v>93.541202672605792</v>
          </cell>
          <cell r="J245">
            <v>93.233082706766908</v>
          </cell>
          <cell r="K245">
            <v>93.669527896995703</v>
          </cell>
          <cell r="L245" t="e">
            <v>#DIV/0!</v>
          </cell>
          <cell r="M245" t="e">
            <v>#DIV/0!</v>
          </cell>
          <cell r="N245" t="e">
            <v>#DIV/0!</v>
          </cell>
        </row>
        <row r="246">
          <cell r="E246" t="e">
            <v>#DIV/0!</v>
          </cell>
          <cell r="F246" t="e">
            <v>#DIV/0!</v>
          </cell>
          <cell r="G246" t="e">
            <v>#DIV/0!</v>
          </cell>
          <cell r="H246" t="e">
            <v>#DIV/0!</v>
          </cell>
          <cell r="I246" t="e">
            <v>#DIV/0!</v>
          </cell>
          <cell r="J246" t="e">
            <v>#DIV/0!</v>
          </cell>
          <cell r="K246" t="e">
            <v>#DIV/0!</v>
          </cell>
          <cell r="L246" t="e">
            <v>#DIV/0!</v>
          </cell>
          <cell r="M246" t="e">
            <v>#DIV/0!</v>
          </cell>
          <cell r="N246" t="e">
            <v>#DIV/0!</v>
          </cell>
        </row>
        <row r="266">
          <cell r="E266">
            <v>11.90581560283688</v>
          </cell>
          <cell r="F266">
            <v>10.240198931273477</v>
          </cell>
          <cell r="G266">
            <v>15.46035673780802</v>
          </cell>
          <cell r="H266">
            <v>9.3648757586051303</v>
          </cell>
          <cell r="I266">
            <v>11.589795491370545</v>
          </cell>
          <cell r="J266">
            <v>11.961254272383034</v>
          </cell>
          <cell r="K266">
            <v>11.813659974923185</v>
          </cell>
          <cell r="L266" t="e">
            <v>#DIV/0!</v>
          </cell>
          <cell r="M266" t="e">
            <v>#DIV/0!</v>
          </cell>
          <cell r="N266" t="e">
            <v>#DIV/0!</v>
          </cell>
        </row>
        <row r="267">
          <cell r="H267">
            <v>10.209895634148641</v>
          </cell>
          <cell r="I267">
            <v>12.643787987366299</v>
          </cell>
          <cell r="J267">
            <v>13.016036448814642</v>
          </cell>
          <cell r="K267">
            <v>12.825271392081735</v>
          </cell>
          <cell r="L267" t="e">
            <v>#DIV/0!</v>
          </cell>
          <cell r="M267" t="e">
            <v>#DIV/0!</v>
          </cell>
          <cell r="N267" t="e">
            <v>#DIV/0!</v>
          </cell>
        </row>
        <row r="268">
          <cell r="H268">
            <v>0.29737123825383605</v>
          </cell>
          <cell r="I268">
            <v>0</v>
          </cell>
          <cell r="J268">
            <v>0.1099028227672374</v>
          </cell>
          <cell r="K268">
            <v>8.1004455245038479E-2</v>
          </cell>
          <cell r="L268" t="e">
            <v>#DIV/0!</v>
          </cell>
          <cell r="M268" t="e">
            <v>#DIV/0!</v>
          </cell>
          <cell r="N268" t="e">
            <v>#DIV/0!</v>
          </cell>
        </row>
        <row r="269">
          <cell r="E269">
            <v>88.235294117647058</v>
          </cell>
          <cell r="F269">
            <v>72.819932049830129</v>
          </cell>
          <cell r="G269">
            <v>83.649789029535867</v>
          </cell>
          <cell r="H269">
            <v>56.400966183574873</v>
          </cell>
          <cell r="I269">
            <v>69.265033407572389</v>
          </cell>
          <cell r="J269">
            <v>94.629430719656284</v>
          </cell>
          <cell r="K269">
            <v>93.991416309012877</v>
          </cell>
          <cell r="L269" t="e">
            <v>#DIV/0!</v>
          </cell>
          <cell r="M269" t="e">
            <v>#DIV/0!</v>
          </cell>
          <cell r="N269" t="e">
            <v>#DIV/0!</v>
          </cell>
        </row>
        <row r="270">
          <cell r="H270">
            <v>56.400966183574873</v>
          </cell>
          <cell r="I270">
            <v>69.265033407572389</v>
          </cell>
          <cell r="J270">
            <v>94.629430719656284</v>
          </cell>
          <cell r="K270">
            <v>93.991416309012877</v>
          </cell>
          <cell r="L270" t="e">
            <v>#DIV/0!</v>
          </cell>
          <cell r="M270" t="e">
            <v>#DIV/0!</v>
          </cell>
          <cell r="N270" t="e">
            <v>#DIV/0!</v>
          </cell>
        </row>
        <row r="271">
          <cell r="H271" t="e">
            <v>#DIV/0!</v>
          </cell>
          <cell r="I271" t="e">
            <v>#DIV/0!</v>
          </cell>
          <cell r="J271" t="e">
            <v>#DIV/0!</v>
          </cell>
          <cell r="K271" t="e">
            <v>#DIV/0!</v>
          </cell>
          <cell r="L271" t="e">
            <v>#DIV/0!</v>
          </cell>
          <cell r="M271" t="e">
            <v>#DIV/0!</v>
          </cell>
          <cell r="N271" t="e">
            <v>#DIV/0!</v>
          </cell>
        </row>
        <row r="285">
          <cell r="I285">
            <v>42.296932760515539</v>
          </cell>
          <cell r="J285">
            <v>42.238707859892948</v>
          </cell>
          <cell r="K285">
            <v>40.677200902934537</v>
          </cell>
          <cell r="L285">
            <v>34.529147982062781</v>
          </cell>
          <cell r="M285">
            <v>31.981981981981981</v>
          </cell>
          <cell r="N285">
            <v>39.455782312925166</v>
          </cell>
        </row>
        <row r="286">
          <cell r="I286">
            <v>44.690073688773296</v>
          </cell>
          <cell r="J286">
            <v>44.533958800734247</v>
          </cell>
          <cell r="K286">
            <v>42.705078125</v>
          </cell>
          <cell r="L286">
            <v>36.363636363636367</v>
          </cell>
          <cell r="M286">
            <v>25.101214574898783</v>
          </cell>
          <cell r="N286">
            <v>48.497854077253216</v>
          </cell>
        </row>
        <row r="287">
          <cell r="I287">
            <v>14.020486555697822</v>
          </cell>
          <cell r="J287">
            <v>15.539739027283511</v>
          </cell>
          <cell r="K287">
            <v>15.808383233532936</v>
          </cell>
          <cell r="L287">
            <v>32.352941176470587</v>
          </cell>
          <cell r="M287">
            <v>40.609137055837564</v>
          </cell>
          <cell r="N287">
            <v>29.326923076923077</v>
          </cell>
        </row>
        <row r="294">
          <cell r="I294">
            <v>47.058823529411761</v>
          </cell>
          <cell r="J294">
            <v>78.461538461538467</v>
          </cell>
          <cell r="K294">
            <v>0</v>
          </cell>
          <cell r="L294" t="e">
            <v>#DIV/0!</v>
          </cell>
          <cell r="M294" t="e">
            <v>#DIV/0!</v>
          </cell>
          <cell r="N294" t="e">
            <v>#DIV/0!</v>
          </cell>
        </row>
        <row r="295">
          <cell r="I295">
            <v>47.058823529411761</v>
          </cell>
          <cell r="J295">
            <v>78.461538461538467</v>
          </cell>
          <cell r="K295">
            <v>0</v>
          </cell>
          <cell r="L295" t="e">
            <v>#DIV/0!</v>
          </cell>
          <cell r="M295" t="e">
            <v>#DIV/0!</v>
          </cell>
          <cell r="N295" t="e">
            <v>#DIV/0!</v>
          </cell>
        </row>
        <row r="296">
          <cell r="I296" t="e">
            <v>#DIV/0!</v>
          </cell>
          <cell r="J296" t="e">
            <v>#DIV/0!</v>
          </cell>
          <cell r="K296" t="e">
            <v>#DIV/0!</v>
          </cell>
          <cell r="L296" t="e">
            <v>#DIV/0!</v>
          </cell>
          <cell r="M296" t="e">
            <v>#DIV/0!</v>
          </cell>
          <cell r="N296" t="e">
            <v>#DIV/0!</v>
          </cell>
        </row>
        <row r="304">
          <cell r="I304">
            <v>0.17831930391960488</v>
          </cell>
          <cell r="J304">
            <v>21.145456147102053</v>
          </cell>
          <cell r="K304">
            <v>27.875932823217337</v>
          </cell>
          <cell r="L304">
            <v>0</v>
          </cell>
          <cell r="M304">
            <v>0</v>
          </cell>
          <cell r="N304">
            <v>0</v>
          </cell>
        </row>
        <row r="305">
          <cell r="I305">
            <v>7.6766018242591272E-2</v>
          </cell>
          <cell r="J305">
            <v>19.575183528390099</v>
          </cell>
          <cell r="K305">
            <v>26.983761992592846</v>
          </cell>
          <cell r="L305">
            <v>0</v>
          </cell>
          <cell r="M305">
            <v>0</v>
          </cell>
          <cell r="N305">
            <v>0</v>
          </cell>
        </row>
        <row r="306">
          <cell r="I306">
            <v>1.2919443470127441</v>
          </cell>
          <cell r="J306">
            <v>38.791489361702126</v>
          </cell>
          <cell r="K306">
            <v>38.211289956925867</v>
          </cell>
          <cell r="L306">
            <v>0</v>
          </cell>
          <cell r="M306">
            <v>0</v>
          </cell>
          <cell r="N306">
            <v>0</v>
          </cell>
        </row>
        <row r="313">
          <cell r="I313">
            <v>0</v>
          </cell>
          <cell r="J313">
            <v>0</v>
          </cell>
          <cell r="K313">
            <v>18.562231759656651</v>
          </cell>
          <cell r="L313" t="e">
            <v>#DIV/0!</v>
          </cell>
          <cell r="M313" t="e">
            <v>#DIV/0!</v>
          </cell>
          <cell r="N313" t="e">
            <v>#DIV/0!</v>
          </cell>
        </row>
        <row r="314">
          <cell r="I314">
            <v>0</v>
          </cell>
          <cell r="J314">
            <v>0</v>
          </cell>
          <cell r="K314">
            <v>18.562231759656651</v>
          </cell>
          <cell r="L314" t="e">
            <v>#DIV/0!</v>
          </cell>
          <cell r="M314" t="e">
            <v>#DIV/0!</v>
          </cell>
          <cell r="N314" t="e">
            <v>#DIV/0!</v>
          </cell>
        </row>
        <row r="315">
          <cell r="I315" t="e">
            <v>#DIV/0!</v>
          </cell>
          <cell r="J315" t="e">
            <v>#DIV/0!</v>
          </cell>
          <cell r="K315" t="e">
            <v>#DIV/0!</v>
          </cell>
          <cell r="L315" t="e">
            <v>#DIV/0!</v>
          </cell>
          <cell r="M315" t="e">
            <v>#DIV/0!</v>
          </cell>
          <cell r="N315" t="e">
            <v>#DIV/0!</v>
          </cell>
        </row>
        <row r="325">
          <cell r="E325">
            <v>11.887467700258398</v>
          </cell>
          <cell r="F325">
            <v>12.091223132036847</v>
          </cell>
          <cell r="G325">
            <v>12.229998108568186</v>
          </cell>
          <cell r="H325">
            <v>12.36590923086397</v>
          </cell>
          <cell r="I325">
            <v>11.278729141449075</v>
          </cell>
          <cell r="J325">
            <v>12.030975084589357</v>
          </cell>
          <cell r="K325">
            <v>12.793028360191764</v>
          </cell>
          <cell r="L325">
            <v>8.2033271719038812</v>
          </cell>
          <cell r="M325">
            <v>8.117647058823529</v>
          </cell>
          <cell r="N325">
            <v>8.0221402214022142</v>
          </cell>
        </row>
        <row r="326">
          <cell r="E326">
            <v>12.980647159002942</v>
          </cell>
          <cell r="F326">
            <v>13.195946462715105</v>
          </cell>
          <cell r="G326">
            <v>13.356093149446078</v>
          </cell>
          <cell r="H326">
            <v>13.405803441236513</v>
          </cell>
          <cell r="I326">
            <v>12.181766369066571</v>
          </cell>
          <cell r="J326">
            <v>12.918720033490539</v>
          </cell>
          <cell r="K326">
            <v>13.912578487578488</v>
          </cell>
          <cell r="L326">
            <v>4.5730129390018481</v>
          </cell>
          <cell r="M326">
            <v>4.5496323529411766</v>
          </cell>
          <cell r="N326">
            <v>4.560885608856089</v>
          </cell>
        </row>
        <row r="327">
          <cell r="E327">
            <v>6.3754879000780642</v>
          </cell>
          <cell r="F327">
            <v>6.4423152131403993</v>
          </cell>
          <cell r="G327">
            <v>6.4652777777777777</v>
          </cell>
          <cell r="H327">
            <v>6.7126436781609193</v>
          </cell>
          <cell r="I327">
            <v>6.2181500249803729</v>
          </cell>
          <cell r="J327">
            <v>6.7961698680860918</v>
          </cell>
          <cell r="K327">
            <v>6.6285606914693718</v>
          </cell>
          <cell r="L327" t="e">
            <v>#DIV/0!</v>
          </cell>
          <cell r="M327" t="e">
            <v>#DIV/0!</v>
          </cell>
          <cell r="N327" t="e">
            <v>#DIV/0!</v>
          </cell>
        </row>
        <row r="345">
          <cell r="E345">
            <v>8.956989247311828</v>
          </cell>
          <cell r="F345">
            <v>9.5978260869565215</v>
          </cell>
          <cell r="G345">
            <v>9.875</v>
          </cell>
          <cell r="H345">
            <v>11.828571428571429</v>
          </cell>
          <cell r="I345">
            <v>10.369515011547344</v>
          </cell>
          <cell r="J345">
            <v>10.603644646924828</v>
          </cell>
          <cell r="K345">
            <v>11.029585798816568</v>
          </cell>
          <cell r="L345" t="e">
            <v>#DIV/0!</v>
          </cell>
          <cell r="M345" t="e">
            <v>#DIV/0!</v>
          </cell>
          <cell r="N345" t="e">
            <v>#DIV/0!</v>
          </cell>
        </row>
        <row r="346">
          <cell r="E346">
            <v>8.956989247311828</v>
          </cell>
          <cell r="F346">
            <v>9.5978260869565215</v>
          </cell>
          <cell r="G346">
            <v>9.875</v>
          </cell>
          <cell r="H346">
            <v>11.828571428571429</v>
          </cell>
          <cell r="I346">
            <v>10.369515011547344</v>
          </cell>
          <cell r="J346">
            <v>10.603644646924828</v>
          </cell>
          <cell r="K346">
            <v>11.029585798816568</v>
          </cell>
          <cell r="L346" t="e">
            <v>#DIV/0!</v>
          </cell>
          <cell r="M346" t="e">
            <v>#DIV/0!</v>
          </cell>
          <cell r="N346" t="e">
            <v>#DIV/0!</v>
          </cell>
        </row>
        <row r="347">
          <cell r="E347" t="e">
            <v>#DIV/0!</v>
          </cell>
          <cell r="F347" t="e">
            <v>#DIV/0!</v>
          </cell>
          <cell r="G347" t="e">
            <v>#DIV/0!</v>
          </cell>
          <cell r="H347" t="e">
            <v>#DIV/0!</v>
          </cell>
          <cell r="I347" t="e">
            <v>#DIV/0!</v>
          </cell>
          <cell r="J347" t="e">
            <v>#DIV/0!</v>
          </cell>
          <cell r="K347" t="e">
            <v>#DIV/0!</v>
          </cell>
          <cell r="L347" t="e">
            <v>#DIV/0!</v>
          </cell>
          <cell r="M347" t="e">
            <v>#DIV/0!</v>
          </cell>
          <cell r="N347" t="e">
            <v>#DIV/0!</v>
          </cell>
        </row>
        <row r="362">
          <cell r="E362">
            <v>21.128246753246753</v>
          </cell>
          <cell r="F362">
            <v>21.817890349470982</v>
          </cell>
          <cell r="G362">
            <v>22.460487649908664</v>
          </cell>
          <cell r="H362">
            <v>22.654176424668229</v>
          </cell>
          <cell r="I362">
            <v>23.163013275702376</v>
          </cell>
          <cell r="J362">
            <v>24.034302193215453</v>
          </cell>
          <cell r="K362">
            <v>24.574355883682387</v>
          </cell>
          <cell r="L362">
            <v>20.59496567505721</v>
          </cell>
          <cell r="M362">
            <v>21.088435374149661</v>
          </cell>
          <cell r="N362">
            <v>19.908466819221967</v>
          </cell>
        </row>
        <row r="363">
          <cell r="E363">
            <v>20.955493607613189</v>
          </cell>
          <cell r="F363">
            <v>21.722243273967411</v>
          </cell>
          <cell r="G363">
            <v>22.561032644280235</v>
          </cell>
          <cell r="H363">
            <v>23.024336888159695</v>
          </cell>
          <cell r="I363">
            <v>23.715984862137322</v>
          </cell>
          <cell r="J363">
            <v>24.688961440042352</v>
          </cell>
          <cell r="K363">
            <v>25.345944999124193</v>
          </cell>
          <cell r="L363">
            <v>47.872340425531917</v>
          </cell>
          <cell r="M363">
            <v>49.732620320855617</v>
          </cell>
          <cell r="N363">
            <v>46.276595744680847</v>
          </cell>
        </row>
        <row r="364">
          <cell r="E364">
            <v>22.065727699530516</v>
          </cell>
          <cell r="F364">
            <v>22.34375</v>
          </cell>
          <cell r="G364">
            <v>21.894736842105264</v>
          </cell>
          <cell r="H364">
            <v>20.44589450788472</v>
          </cell>
          <cell r="I364">
            <v>19.860064585575888</v>
          </cell>
          <cell r="J364">
            <v>20.010845986984815</v>
          </cell>
          <cell r="K364">
            <v>19.827586206896552</v>
          </cell>
          <cell r="L364">
            <v>0</v>
          </cell>
          <cell r="M364">
            <v>0</v>
          </cell>
          <cell r="N364">
            <v>0</v>
          </cell>
        </row>
        <row r="377">
          <cell r="E377">
            <v>20.689655172413794</v>
          </cell>
          <cell r="F377">
            <v>16.470588235294116</v>
          </cell>
          <cell r="G377">
            <v>11.111111111111111</v>
          </cell>
          <cell r="H377">
            <v>14.0625</v>
          </cell>
          <cell r="I377">
            <v>20</v>
          </cell>
          <cell r="J377">
            <v>20.547945205479451</v>
          </cell>
          <cell r="K377">
            <v>13.23529411764706</v>
          </cell>
          <cell r="L377" t="e">
            <v>#DIV/0!</v>
          </cell>
          <cell r="M377" t="e">
            <v>#DIV/0!</v>
          </cell>
          <cell r="N377" t="e">
            <v>#DIV/0!</v>
          </cell>
        </row>
        <row r="378">
          <cell r="E378">
            <v>20.689655172413794</v>
          </cell>
          <cell r="F378">
            <v>16.470588235294116</v>
          </cell>
          <cell r="G378">
            <v>11.111111111111111</v>
          </cell>
          <cell r="H378">
            <v>14.0625</v>
          </cell>
          <cell r="I378">
            <v>20</v>
          </cell>
          <cell r="J378">
            <v>20.547945205479451</v>
          </cell>
          <cell r="K378">
            <v>13.23529411764706</v>
          </cell>
          <cell r="L378" t="e">
            <v>#DIV/0!</v>
          </cell>
          <cell r="M378" t="e">
            <v>#DIV/0!</v>
          </cell>
          <cell r="N378" t="e">
            <v>#DIV/0!</v>
          </cell>
        </row>
        <row r="379">
          <cell r="E379" t="e">
            <v>#DIV/0!</v>
          </cell>
          <cell r="F379" t="e">
            <v>#DIV/0!</v>
          </cell>
          <cell r="G379" t="e">
            <v>#DIV/0!</v>
          </cell>
          <cell r="H379" t="e">
            <v>#DIV/0!</v>
          </cell>
          <cell r="I379" t="e">
            <v>#DIV/0!</v>
          </cell>
          <cell r="J379" t="e">
            <v>#DIV/0!</v>
          </cell>
          <cell r="K379" t="e">
            <v>#DIV/0!</v>
          </cell>
          <cell r="L379" t="e">
            <v>#DIV/0!</v>
          </cell>
          <cell r="M379" t="e">
            <v>#DIV/0!</v>
          </cell>
          <cell r="N379" t="e">
            <v>#DIV/0!</v>
          </cell>
        </row>
        <row r="393">
          <cell r="E393">
            <v>105.6</v>
          </cell>
          <cell r="F393">
            <v>105.07</v>
          </cell>
          <cell r="G393">
            <v>111.46</v>
          </cell>
          <cell r="H393">
            <v>106.74</v>
          </cell>
          <cell r="I393">
            <v>102.91</v>
          </cell>
          <cell r="J393">
            <v>101.21</v>
          </cell>
          <cell r="K393">
            <v>103.81</v>
          </cell>
          <cell r="L393">
            <v>0</v>
          </cell>
          <cell r="M393">
            <v>0</v>
          </cell>
          <cell r="N393">
            <v>0</v>
          </cell>
        </row>
        <row r="394">
          <cell r="E394">
            <v>111.33</v>
          </cell>
          <cell r="F394" t="str">
            <v>-</v>
          </cell>
          <cell r="G394" t="str">
            <v>-</v>
          </cell>
          <cell r="H394" t="str">
            <v>-</v>
          </cell>
          <cell r="I394" t="str">
            <v>-</v>
          </cell>
          <cell r="J394" t="str">
            <v>-</v>
          </cell>
          <cell r="K394" t="str">
            <v>-</v>
          </cell>
          <cell r="L394" t="str">
            <v>-</v>
          </cell>
          <cell r="M394" t="str">
            <v>-</v>
          </cell>
          <cell r="N394" t="str">
            <v>-</v>
          </cell>
        </row>
        <row r="401">
          <cell r="I401">
            <v>55.518146926132914</v>
          </cell>
          <cell r="J401">
            <v>55.34578761820039</v>
          </cell>
          <cell r="K401">
            <v>55.42873865964296</v>
          </cell>
          <cell r="L401">
            <v>46.527777777777779</v>
          </cell>
          <cell r="M401">
            <v>46.655376799322603</v>
          </cell>
          <cell r="N401">
            <v>46.010186757215621</v>
          </cell>
        </row>
        <row r="402">
          <cell r="I402">
            <v>58.150332538587023</v>
          </cell>
          <cell r="J402">
            <v>57.968705315193858</v>
          </cell>
          <cell r="K402">
            <v>57.910375843238036</v>
          </cell>
          <cell r="L402">
            <v>52.028639618138428</v>
          </cell>
          <cell r="M402">
            <v>50.881057268722465</v>
          </cell>
          <cell r="N402">
            <v>50</v>
          </cell>
        </row>
        <row r="403">
          <cell r="I403">
            <v>44.659188955996548</v>
          </cell>
          <cell r="J403">
            <v>44.416070820565203</v>
          </cell>
          <cell r="K403">
            <v>44.862369635835186</v>
          </cell>
          <cell r="L403">
            <v>43.383356070941339</v>
          </cell>
          <cell r="M403">
            <v>44.016506189821179</v>
          </cell>
          <cell r="N403">
            <v>43.435754189944134</v>
          </cell>
        </row>
        <row r="410">
          <cell r="I410">
            <v>60.629921259842526</v>
          </cell>
          <cell r="J410">
            <v>61.65413533834586</v>
          </cell>
          <cell r="K410">
            <v>61.417322834645674</v>
          </cell>
          <cell r="L410" t="e">
            <v>#DIV/0!</v>
          </cell>
          <cell r="M410" t="e">
            <v>#DIV/0!</v>
          </cell>
          <cell r="N410" t="e">
            <v>#DIV/0!</v>
          </cell>
        </row>
        <row r="411">
          <cell r="I411">
            <v>60.629921259842526</v>
          </cell>
          <cell r="J411">
            <v>61.65413533834586</v>
          </cell>
          <cell r="K411">
            <v>61.417322834645674</v>
          </cell>
          <cell r="L411" t="e">
            <v>#DIV/0!</v>
          </cell>
          <cell r="M411" t="e">
            <v>#DIV/0!</v>
          </cell>
          <cell r="N411" t="e">
            <v>#DIV/0!</v>
          </cell>
        </row>
        <row r="412">
          <cell r="I412" t="e">
            <v>#DIV/0!</v>
          </cell>
          <cell r="J412" t="e">
            <v>#DIV/0!</v>
          </cell>
          <cell r="K412" t="e">
            <v>#DIV/0!</v>
          </cell>
          <cell r="L412" t="e">
            <v>#DIV/0!</v>
          </cell>
          <cell r="M412" t="e">
            <v>#DIV/0!</v>
          </cell>
          <cell r="N412" t="e">
            <v>#DIV/0!</v>
          </cell>
        </row>
        <row r="422">
          <cell r="I422">
            <v>73.556231003039514</v>
          </cell>
          <cell r="J422">
            <v>72.615384615384613</v>
          </cell>
          <cell r="K422">
            <v>72.8125</v>
          </cell>
          <cell r="L422">
            <v>38.888888888888893</v>
          </cell>
          <cell r="M422">
            <v>38.888888888888893</v>
          </cell>
          <cell r="N422">
            <v>50</v>
          </cell>
        </row>
        <row r="423">
          <cell r="I423">
            <v>73.556231003039514</v>
          </cell>
          <cell r="J423">
            <v>72.615384615384613</v>
          </cell>
          <cell r="K423">
            <v>72.5</v>
          </cell>
          <cell r="L423">
            <v>38.888888888888893</v>
          </cell>
          <cell r="M423">
            <v>38.888888888888893</v>
          </cell>
          <cell r="N423">
            <v>50</v>
          </cell>
        </row>
        <row r="425">
          <cell r="I425">
            <v>82.066869300911847</v>
          </cell>
          <cell r="J425">
            <v>82.461538461538467</v>
          </cell>
          <cell r="K425">
            <v>83.125</v>
          </cell>
          <cell r="L425">
            <v>66.666666666666657</v>
          </cell>
          <cell r="M425">
            <v>61.111111111111114</v>
          </cell>
          <cell r="N425">
            <v>50</v>
          </cell>
        </row>
        <row r="426">
          <cell r="I426">
            <v>81.155015197568389</v>
          </cell>
          <cell r="J426">
            <v>82.15384615384616</v>
          </cell>
          <cell r="K426">
            <v>83.125</v>
          </cell>
          <cell r="L426">
            <v>66.666666666666657</v>
          </cell>
          <cell r="M426">
            <v>61.111111111111114</v>
          </cell>
          <cell r="N426">
            <v>50</v>
          </cell>
        </row>
        <row r="428">
          <cell r="I428">
            <v>60.182370820668694</v>
          </cell>
          <cell r="J428">
            <v>62.769230769230766</v>
          </cell>
          <cell r="K428">
            <v>65</v>
          </cell>
          <cell r="L428">
            <v>33.333333333333329</v>
          </cell>
          <cell r="M428">
            <v>33.333333333333329</v>
          </cell>
          <cell r="N428">
            <v>38.888888888888893</v>
          </cell>
        </row>
        <row r="429">
          <cell r="I429">
            <v>58.054711246200611</v>
          </cell>
          <cell r="J429">
            <v>60.615384615384613</v>
          </cell>
          <cell r="K429">
            <v>63.125</v>
          </cell>
          <cell r="L429">
            <v>27.777777777777779</v>
          </cell>
          <cell r="M429">
            <v>33.333333333333329</v>
          </cell>
          <cell r="N429">
            <v>38.888888888888893</v>
          </cell>
        </row>
        <row r="431">
          <cell r="J431">
            <v>16.307692307692307</v>
          </cell>
          <cell r="K431">
            <v>22.8125</v>
          </cell>
          <cell r="L431">
            <v>5.5555555555555554</v>
          </cell>
          <cell r="M431">
            <v>5.5555555555555554</v>
          </cell>
          <cell r="N431">
            <v>5.5555555555555554</v>
          </cell>
        </row>
        <row r="432">
          <cell r="J432">
            <v>15.692307692307692</v>
          </cell>
          <cell r="K432">
            <v>22.1875</v>
          </cell>
          <cell r="L432">
            <v>5.5555555555555554</v>
          </cell>
          <cell r="M432">
            <v>5.5555555555555554</v>
          </cell>
          <cell r="N432">
            <v>5.5555555555555554</v>
          </cell>
        </row>
        <row r="435">
          <cell r="I435">
            <v>25</v>
          </cell>
          <cell r="J435">
            <v>0</v>
          </cell>
          <cell r="K435">
            <v>25</v>
          </cell>
          <cell r="L435" t="e">
            <v>#DIV/0!</v>
          </cell>
          <cell r="M435" t="e">
            <v>#DIV/0!</v>
          </cell>
          <cell r="N435" t="e">
            <v>#DIV/0!</v>
          </cell>
        </row>
        <row r="436">
          <cell r="I436">
            <v>25</v>
          </cell>
          <cell r="J436">
            <v>0</v>
          </cell>
          <cell r="K436">
            <v>25</v>
          </cell>
          <cell r="L436" t="e">
            <v>#DIV/0!</v>
          </cell>
          <cell r="M436" t="e">
            <v>#DIV/0!</v>
          </cell>
          <cell r="N436" t="e">
            <v>#DIV/0!</v>
          </cell>
        </row>
        <row r="438">
          <cell r="I438">
            <v>25</v>
          </cell>
          <cell r="J438">
            <v>25</v>
          </cell>
          <cell r="K438">
            <v>25</v>
          </cell>
          <cell r="L438" t="e">
            <v>#DIV/0!</v>
          </cell>
          <cell r="M438" t="e">
            <v>#DIV/0!</v>
          </cell>
          <cell r="N438" t="e">
            <v>#DIV/0!</v>
          </cell>
        </row>
        <row r="439">
          <cell r="I439">
            <v>0</v>
          </cell>
          <cell r="J439">
            <v>0</v>
          </cell>
          <cell r="K439">
            <v>0</v>
          </cell>
          <cell r="L439" t="e">
            <v>#DIV/0!</v>
          </cell>
          <cell r="M439" t="e">
            <v>#DIV/0!</v>
          </cell>
          <cell r="N439" t="e">
            <v>#DIV/0!</v>
          </cell>
        </row>
        <row r="441">
          <cell r="I441">
            <v>0</v>
          </cell>
          <cell r="J441">
            <v>0</v>
          </cell>
          <cell r="K441">
            <v>0</v>
          </cell>
          <cell r="L441" t="e">
            <v>#DIV/0!</v>
          </cell>
          <cell r="M441" t="e">
            <v>#DIV/0!</v>
          </cell>
          <cell r="N441" t="e">
            <v>#DIV/0!</v>
          </cell>
        </row>
        <row r="442">
          <cell r="I442">
            <v>0</v>
          </cell>
          <cell r="J442">
            <v>0</v>
          </cell>
          <cell r="K442">
            <v>0</v>
          </cell>
          <cell r="L442" t="e">
            <v>#DIV/0!</v>
          </cell>
          <cell r="M442" t="e">
            <v>#DIV/0!</v>
          </cell>
          <cell r="N442" t="e">
            <v>#DIV/0!</v>
          </cell>
        </row>
        <row r="478">
          <cell r="I478">
            <v>3.67</v>
          </cell>
          <cell r="J478">
            <v>3.559485111213808</v>
          </cell>
          <cell r="K478">
            <v>3.4898947517155214</v>
          </cell>
          <cell r="L478">
            <v>6.6190277488003337</v>
          </cell>
          <cell r="M478">
            <v>6.7306815827636211</v>
          </cell>
          <cell r="N478">
            <v>6.6269093952709772</v>
          </cell>
        </row>
        <row r="479">
          <cell r="I479">
            <v>3.43</v>
          </cell>
          <cell r="J479">
            <v>3.325223864955281</v>
          </cell>
          <cell r="K479">
            <v>3.2220174920721236</v>
          </cell>
          <cell r="L479">
            <v>12.802663438256658</v>
          </cell>
          <cell r="M479">
            <v>12.646555079797587</v>
          </cell>
          <cell r="N479">
            <v>5.8257341576506958</v>
          </cell>
        </row>
        <row r="480">
          <cell r="I480">
            <v>6.17</v>
          </cell>
          <cell r="J480">
            <v>5.9449418917063879</v>
          </cell>
          <cell r="K480">
            <v>6.3122903913186965</v>
          </cell>
          <cell r="L480">
            <v>0</v>
          </cell>
          <cell r="M480">
            <v>0</v>
          </cell>
          <cell r="N480">
            <v>7.573254221816522</v>
          </cell>
        </row>
        <row r="481">
          <cell r="I481">
            <v>5.174725274725275</v>
          </cell>
          <cell r="J481">
            <v>5.1018418201516793</v>
          </cell>
          <cell r="K481">
            <v>5.0743534482758621</v>
          </cell>
          <cell r="L481" t="e">
            <v>#DIV/0!</v>
          </cell>
          <cell r="M481" t="e">
            <v>#DIV/0!</v>
          </cell>
          <cell r="N481" t="e">
            <v>#DIV/0!</v>
          </cell>
        </row>
        <row r="482">
          <cell r="I482">
            <v>5.174725274725275</v>
          </cell>
          <cell r="J482">
            <v>5.1018418201516793</v>
          </cell>
          <cell r="K482">
            <v>5.0743534482758621</v>
          </cell>
          <cell r="L482" t="e">
            <v>#DIV/0!</v>
          </cell>
          <cell r="M482" t="e">
            <v>#DIV/0!</v>
          </cell>
          <cell r="N482" t="e">
            <v>#DIV/0!</v>
          </cell>
        </row>
        <row r="483">
          <cell r="I483" t="e">
            <v>#DIV/0!</v>
          </cell>
          <cell r="J483" t="e">
            <v>#DIV/0!</v>
          </cell>
          <cell r="K483" t="e">
            <v>#DIV/0!</v>
          </cell>
          <cell r="L483" t="e">
            <v>#DIV/0!</v>
          </cell>
          <cell r="M483" t="e">
            <v>#DIV/0!</v>
          </cell>
          <cell r="N483" t="e">
            <v>#DIV/0!</v>
          </cell>
        </row>
        <row r="547">
          <cell r="I547">
            <v>96.868475991649277</v>
          </cell>
          <cell r="J547">
            <v>98.290598290598282</v>
          </cell>
          <cell r="K547">
            <v>98.290598290598282</v>
          </cell>
          <cell r="L547">
            <v>58.064516129032263</v>
          </cell>
          <cell r="M547">
            <v>52.941176470588239</v>
          </cell>
          <cell r="N547">
            <v>54.54545454545454</v>
          </cell>
        </row>
        <row r="548">
          <cell r="I548">
            <v>99.6875</v>
          </cell>
          <cell r="J548">
            <v>99.685534591194966</v>
          </cell>
          <cell r="K548">
            <v>99.367088607594937</v>
          </cell>
          <cell r="L548">
            <v>55.555555555555557</v>
          </cell>
          <cell r="M548">
            <v>38.461538461538467</v>
          </cell>
          <cell r="N548">
            <v>38.461538461538467</v>
          </cell>
        </row>
        <row r="549">
          <cell r="I549">
            <v>91.19496855345912</v>
          </cell>
          <cell r="J549">
            <v>95.333333333333343</v>
          </cell>
          <cell r="K549">
            <v>96.05263157894737</v>
          </cell>
          <cell r="L549">
            <v>59.090909090909093</v>
          </cell>
          <cell r="M549">
            <v>61.904761904761905</v>
          </cell>
          <cell r="N549">
            <v>65</v>
          </cell>
        </row>
        <row r="551">
          <cell r="E551">
            <v>95.626822157434404</v>
          </cell>
          <cell r="F551">
            <v>95.87020648967551</v>
          </cell>
          <cell r="G551">
            <v>96.060606060606062</v>
          </cell>
          <cell r="H551">
            <v>98.136645962732914</v>
          </cell>
          <cell r="I551">
            <v>96.833773087071236</v>
          </cell>
          <cell r="J551" t="e">
            <v>#DIV/0!</v>
          </cell>
          <cell r="K551" t="e">
            <v>#DIV/0!</v>
          </cell>
          <cell r="L551" t="e">
            <v>#DIV/0!</v>
          </cell>
          <cell r="M551" t="e">
            <v>#DIV/0!</v>
          </cell>
          <cell r="N551" t="e">
            <v>#DIV/0!</v>
          </cell>
        </row>
        <row r="552">
          <cell r="H552">
            <v>100</v>
          </cell>
          <cell r="I552">
            <v>100</v>
          </cell>
          <cell r="J552" t="e">
            <v>#DIV/0!</v>
          </cell>
          <cell r="K552" t="e">
            <v>#DIV/0!</v>
          </cell>
          <cell r="L552" t="e">
            <v>#DIV/0!</v>
          </cell>
          <cell r="M552" t="e">
            <v>#DIV/0!</v>
          </cell>
          <cell r="N552" t="e">
            <v>#DIV/0!</v>
          </cell>
        </row>
        <row r="553">
          <cell r="H553">
            <v>94</v>
          </cell>
          <cell r="I553">
            <v>92.452830188679243</v>
          </cell>
          <cell r="J553" t="e">
            <v>#DIV/0!</v>
          </cell>
          <cell r="K553" t="e">
            <v>#DIV/0!</v>
          </cell>
          <cell r="L553" t="e">
            <v>#DIV/0!</v>
          </cell>
          <cell r="M553" t="e">
            <v>#DIV/0!</v>
          </cell>
          <cell r="N553" t="e">
            <v>#DIV/0!</v>
          </cell>
        </row>
        <row r="554">
          <cell r="E554">
            <v>100</v>
          </cell>
          <cell r="F554">
            <v>100</v>
          </cell>
          <cell r="G554">
            <v>100</v>
          </cell>
          <cell r="H554">
            <v>100</v>
          </cell>
          <cell r="I554">
            <v>150</v>
          </cell>
          <cell r="J554">
            <v>0</v>
          </cell>
          <cell r="K554">
            <v>0</v>
          </cell>
          <cell r="L554" t="e">
            <v>#DIV/0!</v>
          </cell>
          <cell r="M554" t="e">
            <v>#DIV/0!</v>
          </cell>
          <cell r="N554" t="e">
            <v>#DIV/0!</v>
          </cell>
        </row>
        <row r="555">
          <cell r="H555">
            <v>100</v>
          </cell>
          <cell r="I555">
            <v>150</v>
          </cell>
          <cell r="J555">
            <v>0</v>
          </cell>
          <cell r="K555">
            <v>0</v>
          </cell>
          <cell r="L555" t="e">
            <v>#DIV/0!</v>
          </cell>
          <cell r="M555" t="e">
            <v>#DIV/0!</v>
          </cell>
          <cell r="N555" t="e">
            <v>#DIV/0!</v>
          </cell>
        </row>
        <row r="556">
          <cell r="H556" t="e">
            <v>#DIV/0!</v>
          </cell>
          <cell r="I556" t="e">
            <v>#DIV/0!</v>
          </cell>
          <cell r="J556" t="e">
            <v>#DIV/0!</v>
          </cell>
          <cell r="K556" t="e">
            <v>#DIV/0!</v>
          </cell>
          <cell r="L556" t="e">
            <v>#DIV/0!</v>
          </cell>
          <cell r="M556" t="e">
            <v>#DIV/0!</v>
          </cell>
          <cell r="N556" t="e">
            <v>#DIV/0!</v>
          </cell>
        </row>
        <row r="558">
          <cell r="E558">
            <v>98.250728862973759</v>
          </cell>
          <cell r="F558">
            <v>98.525073746312685</v>
          </cell>
          <cell r="G558">
            <v>98.787878787878796</v>
          </cell>
          <cell r="H558">
            <v>99.378881987577643</v>
          </cell>
          <cell r="I558">
            <v>99.47229551451187</v>
          </cell>
          <cell r="J558" t="e">
            <v>#DIV/0!</v>
          </cell>
          <cell r="K558" t="e">
            <v>#DIV/0!</v>
          </cell>
          <cell r="L558" t="e">
            <v>#DIV/0!</v>
          </cell>
          <cell r="M558" t="e">
            <v>#DIV/0!</v>
          </cell>
          <cell r="N558" t="e">
            <v>#DIV/0!</v>
          </cell>
        </row>
        <row r="559">
          <cell r="H559">
            <v>100</v>
          </cell>
          <cell r="I559">
            <v>100</v>
          </cell>
          <cell r="J559" t="e">
            <v>#DIV/0!</v>
          </cell>
          <cell r="K559" t="e">
            <v>#DIV/0!</v>
          </cell>
          <cell r="L559" t="e">
            <v>#DIV/0!</v>
          </cell>
          <cell r="M559" t="e">
            <v>#DIV/0!</v>
          </cell>
          <cell r="N559" t="e">
            <v>#DIV/0!</v>
          </cell>
        </row>
        <row r="560">
          <cell r="H560">
            <v>98</v>
          </cell>
          <cell r="I560">
            <v>98.742138364779876</v>
          </cell>
          <cell r="J560" t="e">
            <v>#DIV/0!</v>
          </cell>
          <cell r="K560" t="e">
            <v>#DIV/0!</v>
          </cell>
          <cell r="L560" t="e">
            <v>#DIV/0!</v>
          </cell>
          <cell r="M560" t="e">
            <v>#DIV/0!</v>
          </cell>
          <cell r="N560" t="e">
            <v>#DIV/0!</v>
          </cell>
        </row>
        <row r="561">
          <cell r="E561">
            <v>100</v>
          </cell>
          <cell r="F561">
            <v>100</v>
          </cell>
          <cell r="G561">
            <v>100</v>
          </cell>
          <cell r="H561">
            <v>100</v>
          </cell>
          <cell r="I561">
            <v>150</v>
          </cell>
          <cell r="J561">
            <v>0</v>
          </cell>
          <cell r="K561">
            <v>0</v>
          </cell>
          <cell r="L561" t="e">
            <v>#DIV/0!</v>
          </cell>
          <cell r="M561" t="e">
            <v>#DIV/0!</v>
          </cell>
          <cell r="N561" t="e">
            <v>#DIV/0!</v>
          </cell>
        </row>
        <row r="562">
          <cell r="H562">
            <v>100</v>
          </cell>
          <cell r="I562">
            <v>150</v>
          </cell>
          <cell r="J562">
            <v>0</v>
          </cell>
          <cell r="K562">
            <v>0</v>
          </cell>
          <cell r="L562" t="e">
            <v>#DIV/0!</v>
          </cell>
          <cell r="M562" t="e">
            <v>#DIV/0!</v>
          </cell>
          <cell r="N562" t="e">
            <v>#DIV/0!</v>
          </cell>
        </row>
        <row r="563">
          <cell r="H563" t="e">
            <v>#DIV/0!</v>
          </cell>
          <cell r="I563" t="e">
            <v>#DIV/0!</v>
          </cell>
          <cell r="J563" t="e">
            <v>#DIV/0!</v>
          </cell>
          <cell r="K563" t="e">
            <v>#DIV/0!</v>
          </cell>
          <cell r="L563" t="e">
            <v>#DIV/0!</v>
          </cell>
          <cell r="M563" t="e">
            <v>#DIV/0!</v>
          </cell>
          <cell r="N563" t="e">
            <v>#DIV/0!</v>
          </cell>
        </row>
        <row r="565">
          <cell r="E565">
            <v>95.626822157434404</v>
          </cell>
          <cell r="F565">
            <v>97.345132743362825</v>
          </cell>
          <cell r="G565">
            <v>96.969696969696969</v>
          </cell>
          <cell r="H565">
            <v>97.826086956521735</v>
          </cell>
          <cell r="I565">
            <v>96.569920844327171</v>
          </cell>
          <cell r="J565" t="e">
            <v>#DIV/0!</v>
          </cell>
          <cell r="K565" t="e">
            <v>#DIV/0!</v>
          </cell>
          <cell r="L565" t="e">
            <v>#DIV/0!</v>
          </cell>
          <cell r="M565" t="e">
            <v>#DIV/0!</v>
          </cell>
          <cell r="N565" t="e">
            <v>#DIV/0!</v>
          </cell>
        </row>
        <row r="566">
          <cell r="H566">
            <v>100</v>
          </cell>
          <cell r="I566">
            <v>100</v>
          </cell>
          <cell r="J566" t="e">
            <v>#DIV/0!</v>
          </cell>
          <cell r="K566" t="e">
            <v>#DIV/0!</v>
          </cell>
          <cell r="L566" t="e">
            <v>#DIV/0!</v>
          </cell>
          <cell r="M566" t="e">
            <v>#DIV/0!</v>
          </cell>
          <cell r="N566" t="e">
            <v>#DIV/0!</v>
          </cell>
        </row>
        <row r="567">
          <cell r="H567">
            <v>93</v>
          </cell>
          <cell r="I567">
            <v>91.823899371069189</v>
          </cell>
          <cell r="J567" t="e">
            <v>#DIV/0!</v>
          </cell>
          <cell r="K567" t="e">
            <v>#DIV/0!</v>
          </cell>
          <cell r="L567" t="e">
            <v>#DIV/0!</v>
          </cell>
          <cell r="M567" t="e">
            <v>#DIV/0!</v>
          </cell>
          <cell r="N567" t="e">
            <v>#DIV/0!</v>
          </cell>
        </row>
        <row r="568">
          <cell r="E568">
            <v>100</v>
          </cell>
          <cell r="F568">
            <v>100</v>
          </cell>
          <cell r="G568">
            <v>100</v>
          </cell>
          <cell r="H568">
            <v>100</v>
          </cell>
          <cell r="I568">
            <v>100</v>
          </cell>
          <cell r="J568">
            <v>100</v>
          </cell>
          <cell r="K568">
            <v>100</v>
          </cell>
          <cell r="L568" t="e">
            <v>#DIV/0!</v>
          </cell>
          <cell r="M568" t="e">
            <v>#DIV/0!</v>
          </cell>
          <cell r="N568" t="e">
            <v>#DIV/0!</v>
          </cell>
        </row>
        <row r="569">
          <cell r="H569">
            <v>100</v>
          </cell>
          <cell r="I569">
            <v>100</v>
          </cell>
          <cell r="J569">
            <v>100</v>
          </cell>
          <cell r="K569">
            <v>100</v>
          </cell>
          <cell r="L569" t="e">
            <v>#DIV/0!</v>
          </cell>
          <cell r="M569" t="e">
            <v>#DIV/0!</v>
          </cell>
          <cell r="N569" t="e">
            <v>#DIV/0!</v>
          </cell>
        </row>
        <row r="570">
          <cell r="H570" t="e">
            <v>#DIV/0!</v>
          </cell>
          <cell r="I570" t="e">
            <v>#DIV/0!</v>
          </cell>
          <cell r="J570" t="e">
            <v>#DIV/0!</v>
          </cell>
          <cell r="K570" t="e">
            <v>#DIV/0!</v>
          </cell>
          <cell r="L570" t="e">
            <v>#DIV/0!</v>
          </cell>
          <cell r="M570" t="e">
            <v>#DIV/0!</v>
          </cell>
          <cell r="N570" t="e">
            <v>#DIV/0!</v>
          </cell>
        </row>
        <row r="624">
          <cell r="E624">
            <v>15.763097949886104</v>
          </cell>
          <cell r="F624">
            <v>18.061856535215849</v>
          </cell>
          <cell r="G624">
            <v>18.782929264483755</v>
          </cell>
          <cell r="H624">
            <v>19.572854707989844</v>
          </cell>
          <cell r="I624">
            <v>19.714141738054881</v>
          </cell>
          <cell r="J624">
            <v>19.708071074038195</v>
          </cell>
          <cell r="K624">
            <v>19.607091238999651</v>
          </cell>
          <cell r="L624">
            <v>19.799707907364908</v>
          </cell>
          <cell r="M624">
            <v>29.397141081417029</v>
          </cell>
          <cell r="N624">
            <v>28.750784682988073</v>
          </cell>
        </row>
        <row r="625">
          <cell r="H625">
            <v>17.240218489037538</v>
          </cell>
          <cell r="I625">
            <v>17.569762588444732</v>
          </cell>
          <cell r="J625">
            <v>17.680138935210955</v>
          </cell>
          <cell r="K625">
            <v>17.589526793360339</v>
          </cell>
          <cell r="L625">
            <v>10.008071025020177</v>
          </cell>
          <cell r="M625">
            <v>15.570260801868432</v>
          </cell>
          <cell r="N625">
            <v>15.340030911901081</v>
          </cell>
        </row>
        <row r="626">
          <cell r="H626">
            <v>44.741929814283203</v>
          </cell>
          <cell r="I626">
            <v>41.652518392756086</v>
          </cell>
          <cell r="J626">
            <v>40.33341135276067</v>
          </cell>
          <cell r="K626">
            <v>40.840870700894705</v>
          </cell>
          <cell r="L626">
            <v>30.280777537796975</v>
          </cell>
          <cell r="M626">
            <v>45.128432240921171</v>
          </cell>
          <cell r="N626">
            <v>44.591510725696033</v>
          </cell>
        </row>
        <row r="628">
          <cell r="E628">
            <v>9.4315958729733342</v>
          </cell>
          <cell r="F628">
            <v>11.182323107826734</v>
          </cell>
          <cell r="G628">
            <v>12.139986175469138</v>
          </cell>
          <cell r="H628">
            <v>13.257107079500901</v>
          </cell>
          <cell r="I628">
            <v>13.641027990288149</v>
          </cell>
          <cell r="J628">
            <v>13.670079920250593</v>
          </cell>
          <cell r="K628">
            <v>13.626150593336975</v>
          </cell>
          <cell r="L628">
            <v>0</v>
          </cell>
          <cell r="M628">
            <v>0</v>
          </cell>
          <cell r="N628">
            <v>15.56811048336472</v>
          </cell>
        </row>
        <row r="629">
          <cell r="H629">
            <v>12.388284991366859</v>
          </cell>
          <cell r="I629">
            <v>12.943229420727874</v>
          </cell>
          <cell r="J629">
            <v>13.084618342411664</v>
          </cell>
          <cell r="K629">
            <v>13.033965897238236</v>
          </cell>
          <cell r="L629">
            <v>0</v>
          </cell>
          <cell r="M629">
            <v>0</v>
          </cell>
          <cell r="N629">
            <v>8.7326120556414217</v>
          </cell>
        </row>
        <row r="630">
          <cell r="H630">
            <v>22.631671451168785</v>
          </cell>
          <cell r="I630">
            <v>20.77995575448886</v>
          </cell>
          <cell r="J630">
            <v>19.614364375787936</v>
          </cell>
          <cell r="K630">
            <v>19.849024051981225</v>
          </cell>
          <cell r="L630">
            <v>0</v>
          </cell>
          <cell r="M630">
            <v>0</v>
          </cell>
          <cell r="N630">
            <v>23.642172523961662</v>
          </cell>
        </row>
        <row r="632">
          <cell r="E632">
            <v>13.325330132052821</v>
          </cell>
          <cell r="F632">
            <v>11.325028312570781</v>
          </cell>
          <cell r="G632">
            <v>10.654008438818567</v>
          </cell>
          <cell r="H632">
            <v>15.012106537530268</v>
          </cell>
          <cell r="I632">
            <v>14.175824175824175</v>
          </cell>
          <cell r="J632">
            <v>16.468039003250272</v>
          </cell>
          <cell r="K632">
            <v>17.241379310344829</v>
          </cell>
          <cell r="L632" t="e">
            <v>#DIV/0!</v>
          </cell>
          <cell r="M632" t="e">
            <v>#DIV/0!</v>
          </cell>
          <cell r="N632" t="e">
            <v>#DIV/0!</v>
          </cell>
        </row>
        <row r="633">
          <cell r="H633">
            <v>15.012106537530268</v>
          </cell>
          <cell r="I633">
            <v>14.175824175824175</v>
          </cell>
          <cell r="J633">
            <v>16.468039003250272</v>
          </cell>
          <cell r="K633">
            <v>17.241379310344829</v>
          </cell>
          <cell r="L633" t="e">
            <v>#DIV/0!</v>
          </cell>
          <cell r="M633" t="e">
            <v>#DIV/0!</v>
          </cell>
          <cell r="N633" t="e">
            <v>#DIV/0!</v>
          </cell>
        </row>
        <row r="634">
          <cell r="H634">
            <v>0</v>
          </cell>
          <cell r="I634">
            <v>0</v>
          </cell>
          <cell r="J634">
            <v>0</v>
          </cell>
          <cell r="K634">
            <v>0</v>
          </cell>
          <cell r="L634" t="e">
            <v>#DIV/0!</v>
          </cell>
          <cell r="M634" t="e">
            <v>#DIV/0!</v>
          </cell>
          <cell r="N634" t="e">
            <v>#DIV/0!</v>
          </cell>
        </row>
        <row r="635">
          <cell r="E635">
            <v>12.12484993997599</v>
          </cell>
          <cell r="F635">
            <v>9.1732729331823339</v>
          </cell>
          <cell r="G635">
            <v>9.1772151898734187</v>
          </cell>
          <cell r="H635">
            <v>12.832929782082324</v>
          </cell>
          <cell r="I635">
            <v>12.197802197802197</v>
          </cell>
          <cell r="J635">
            <v>16.468039003250272</v>
          </cell>
          <cell r="K635">
            <v>17.241379310344829</v>
          </cell>
          <cell r="L635" t="e">
            <v>#DIV/0!</v>
          </cell>
          <cell r="M635" t="e">
            <v>#DIV/0!</v>
          </cell>
          <cell r="N635" t="e">
            <v>#DIV/0!</v>
          </cell>
        </row>
        <row r="636">
          <cell r="H636">
            <v>12.832929782082324</v>
          </cell>
          <cell r="I636">
            <v>12.197802197802197</v>
          </cell>
          <cell r="J636">
            <v>16.468039003250272</v>
          </cell>
          <cell r="K636">
            <v>17.241379310344829</v>
          </cell>
          <cell r="L636" t="e">
            <v>#DIV/0!</v>
          </cell>
          <cell r="M636" t="e">
            <v>#DIV/0!</v>
          </cell>
          <cell r="N636" t="e">
            <v>#DIV/0!</v>
          </cell>
        </row>
        <row r="637">
          <cell r="H637">
            <v>0</v>
          </cell>
          <cell r="I637">
            <v>0</v>
          </cell>
          <cell r="J637">
            <v>0</v>
          </cell>
          <cell r="K637">
            <v>0</v>
          </cell>
          <cell r="L637" t="e">
            <v>#DIV/0!</v>
          </cell>
          <cell r="M637" t="e">
            <v>#DIV/0!</v>
          </cell>
          <cell r="N637" t="e">
            <v>#DIV/0!</v>
          </cell>
        </row>
        <row r="698">
          <cell r="E698">
            <v>52.478134110787167</v>
          </cell>
          <cell r="F698">
            <v>69.616519174041301</v>
          </cell>
          <cell r="G698">
            <v>71.818181818181813</v>
          </cell>
          <cell r="H698">
            <v>83.850931677018636</v>
          </cell>
          <cell r="I698">
            <v>86.477987421383645</v>
          </cell>
          <cell r="J698">
            <v>90.322580645161281</v>
          </cell>
          <cell r="K698">
            <v>95.765472312703579</v>
          </cell>
          <cell r="L698">
            <v>0</v>
          </cell>
          <cell r="M698">
            <v>0</v>
          </cell>
          <cell r="N698">
            <v>0</v>
          </cell>
        </row>
        <row r="699">
          <cell r="H699">
            <v>96.396396396396398</v>
          </cell>
          <cell r="I699">
            <v>97.727272727272734</v>
          </cell>
          <cell r="J699">
            <v>100</v>
          </cell>
          <cell r="K699">
            <v>99.53051643192488</v>
          </cell>
          <cell r="L699">
            <v>0</v>
          </cell>
          <cell r="M699">
            <v>0</v>
          </cell>
          <cell r="N699">
            <v>0</v>
          </cell>
        </row>
        <row r="700">
          <cell r="H700">
            <v>56.000000000000007</v>
          </cell>
          <cell r="I700">
            <v>61.224489795918366</v>
          </cell>
          <cell r="J700">
            <v>68.421052631578945</v>
          </cell>
          <cell r="K700">
            <v>87.2340425531915</v>
          </cell>
          <cell r="L700">
            <v>0</v>
          </cell>
          <cell r="M700">
            <v>0</v>
          </cell>
          <cell r="N700">
            <v>0</v>
          </cell>
        </row>
        <row r="701">
          <cell r="E701">
            <v>40</v>
          </cell>
          <cell r="F701">
            <v>80</v>
          </cell>
          <cell r="G701">
            <v>100</v>
          </cell>
          <cell r="H701">
            <v>100</v>
          </cell>
          <cell r="I701">
            <v>100</v>
          </cell>
          <cell r="J701">
            <v>100</v>
          </cell>
          <cell r="K701">
            <v>100</v>
          </cell>
          <cell r="L701" t="e">
            <v>#DIV/0!</v>
          </cell>
          <cell r="M701" t="e">
            <v>#DIV/0!</v>
          </cell>
          <cell r="N701" t="e">
            <v>#DIV/0!</v>
          </cell>
        </row>
        <row r="702">
          <cell r="H702">
            <v>100</v>
          </cell>
          <cell r="I702">
            <v>100</v>
          </cell>
          <cell r="J702">
            <v>100</v>
          </cell>
          <cell r="K702">
            <v>100</v>
          </cell>
          <cell r="L702" t="e">
            <v>#DIV/0!</v>
          </cell>
          <cell r="M702" t="e">
            <v>#DIV/0!</v>
          </cell>
          <cell r="N702" t="e">
            <v>#DIV/0!</v>
          </cell>
        </row>
        <row r="703">
          <cell r="H703" t="e">
            <v>#DIV/0!</v>
          </cell>
          <cell r="I703" t="e">
            <v>#DIV/0!</v>
          </cell>
          <cell r="J703" t="e">
            <v>#DIV/0!</v>
          </cell>
          <cell r="K703" t="e">
            <v>#DIV/0!</v>
          </cell>
          <cell r="L703" t="e">
            <v>#DIV/0!</v>
          </cell>
          <cell r="M703" t="e">
            <v>#DIV/0!</v>
          </cell>
          <cell r="N703" t="e">
            <v>#DIV/0!</v>
          </cell>
        </row>
        <row r="726">
          <cell r="K726">
            <v>55.700325732899024</v>
          </cell>
          <cell r="L726">
            <v>100</v>
          </cell>
          <cell r="M726">
            <v>100</v>
          </cell>
          <cell r="N726">
            <v>100</v>
          </cell>
        </row>
        <row r="728">
          <cell r="K728">
            <v>69.014084507042256</v>
          </cell>
          <cell r="L728">
            <v>100</v>
          </cell>
          <cell r="M728">
            <v>100</v>
          </cell>
          <cell r="N728">
            <v>100</v>
          </cell>
        </row>
        <row r="729">
          <cell r="K729">
            <v>25.531914893617021</v>
          </cell>
          <cell r="L729">
            <v>100</v>
          </cell>
          <cell r="M729">
            <v>100</v>
          </cell>
          <cell r="N729">
            <v>100</v>
          </cell>
        </row>
        <row r="731">
          <cell r="K731">
            <v>50</v>
          </cell>
          <cell r="L731" t="e">
            <v>#DIV/0!</v>
          </cell>
          <cell r="M731" t="e">
            <v>#DIV/0!</v>
          </cell>
          <cell r="N731" t="e">
            <v>#DIV/0!</v>
          </cell>
        </row>
        <row r="732">
          <cell r="K732" t="e">
            <v>#DIV/0!</v>
          </cell>
          <cell r="L732" t="e">
            <v>#DIV/0!</v>
          </cell>
          <cell r="M732" t="e">
            <v>#DIV/0!</v>
          </cell>
          <cell r="N732" t="e">
            <v>#DIV/0!</v>
          </cell>
        </row>
        <row r="746">
          <cell r="I746">
            <v>99.371069182389931</v>
          </cell>
          <cell r="J746">
            <v>99.354838709677423</v>
          </cell>
          <cell r="K746">
            <v>99.674267100977204</v>
          </cell>
          <cell r="L746">
            <v>100</v>
          </cell>
          <cell r="M746">
            <v>100</v>
          </cell>
          <cell r="N746">
            <v>100</v>
          </cell>
        </row>
        <row r="747">
          <cell r="I747">
            <v>99.090909090909093</v>
          </cell>
          <cell r="J747">
            <v>99.069767441860463</v>
          </cell>
          <cell r="K747">
            <v>99.53051643192488</v>
          </cell>
          <cell r="L747">
            <v>100</v>
          </cell>
          <cell r="M747">
            <v>100</v>
          </cell>
          <cell r="N747">
            <v>100</v>
          </cell>
        </row>
        <row r="748">
          <cell r="I748">
            <v>100</v>
          </cell>
          <cell r="J748">
            <v>100</v>
          </cell>
          <cell r="K748">
            <v>100</v>
          </cell>
          <cell r="L748">
            <v>100</v>
          </cell>
          <cell r="M748">
            <v>100</v>
          </cell>
          <cell r="N748">
            <v>100</v>
          </cell>
        </row>
        <row r="755">
          <cell r="I755">
            <v>75</v>
          </cell>
          <cell r="J755">
            <v>75</v>
          </cell>
          <cell r="K755">
            <v>75</v>
          </cell>
          <cell r="L755" t="e">
            <v>#DIV/0!</v>
          </cell>
          <cell r="M755" t="e">
            <v>#DIV/0!</v>
          </cell>
          <cell r="N755" t="e">
            <v>#DIV/0!</v>
          </cell>
        </row>
        <row r="756">
          <cell r="I756">
            <v>75</v>
          </cell>
          <cell r="J756">
            <v>75</v>
          </cell>
          <cell r="K756">
            <v>75</v>
          </cell>
          <cell r="L756" t="e">
            <v>#DIV/0!</v>
          </cell>
          <cell r="M756" t="e">
            <v>#DIV/0!</v>
          </cell>
          <cell r="N756" t="e">
            <v>#DIV/0!</v>
          </cell>
        </row>
        <row r="757">
          <cell r="I757" t="e">
            <v>#DIV/0!</v>
          </cell>
          <cell r="J757" t="e">
            <v>#DIV/0!</v>
          </cell>
          <cell r="K757" t="e">
            <v>#DIV/0!</v>
          </cell>
          <cell r="L757" t="e">
            <v>#DIV/0!</v>
          </cell>
          <cell r="M757" t="e">
            <v>#DIV/0!</v>
          </cell>
          <cell r="N757" t="e">
            <v>#DIV/0!</v>
          </cell>
        </row>
        <row r="766">
          <cell r="E766">
            <v>29.277899343544856</v>
          </cell>
          <cell r="F766">
            <v>26.364417705199827</v>
          </cell>
          <cell r="G766">
            <v>29.990069513406159</v>
          </cell>
          <cell r="H766">
            <v>41.154225583689573</v>
          </cell>
          <cell r="I766" t="e">
            <v>#DIV/0!</v>
          </cell>
          <cell r="J766" t="e">
            <v>#DIV/0!</v>
          </cell>
          <cell r="K766" t="e">
            <v>#DIV/0!</v>
          </cell>
          <cell r="L766" t="e">
            <v>#DIV/0!</v>
          </cell>
          <cell r="M766" t="e">
            <v>#DIV/0!</v>
          </cell>
          <cell r="N766" t="e">
            <v>#DIV/0!</v>
          </cell>
        </row>
        <row r="767">
          <cell r="E767">
            <v>23.638709677419357</v>
          </cell>
          <cell r="F767">
            <v>21.149539686489177</v>
          </cell>
          <cell r="G767">
            <v>24.851122308749428</v>
          </cell>
          <cell r="H767">
            <v>35.153903903903903</v>
          </cell>
          <cell r="I767" t="e">
            <v>#DIV/0!</v>
          </cell>
          <cell r="J767" t="e">
            <v>#DIV/0!</v>
          </cell>
          <cell r="K767" t="e">
            <v>#DIV/0!</v>
          </cell>
          <cell r="L767" t="e">
            <v>#DIV/0!</v>
          </cell>
          <cell r="M767" t="e">
            <v>#DIV/0!</v>
          </cell>
          <cell r="N767" t="e">
            <v>#DIV/0!</v>
          </cell>
        </row>
        <row r="768">
          <cell r="E768">
            <v>60.719424460431661</v>
          </cell>
          <cell r="F768">
            <v>59.370078740157481</v>
          </cell>
          <cell r="G768">
            <v>63.527653213751869</v>
          </cell>
          <cell r="H768">
            <v>83.554376657824932</v>
          </cell>
          <cell r="I768" t="e">
            <v>#DIV/0!</v>
          </cell>
          <cell r="J768" t="e">
            <v>#DIV/0!</v>
          </cell>
          <cell r="K768" t="e">
            <v>#DIV/0!</v>
          </cell>
          <cell r="L768" t="e">
            <v>#DIV/0!</v>
          </cell>
          <cell r="M768" t="e">
            <v>#DIV/0!</v>
          </cell>
          <cell r="N768" t="e">
            <v>#DIV/0!</v>
          </cell>
        </row>
        <row r="769">
          <cell r="E769">
            <v>100</v>
          </cell>
          <cell r="F769">
            <v>100</v>
          </cell>
          <cell r="G769">
            <v>100</v>
          </cell>
          <cell r="H769">
            <v>100</v>
          </cell>
          <cell r="I769" t="e">
            <v>#DIV/0!</v>
          </cell>
          <cell r="J769" t="e">
            <v>#DIV/0!</v>
          </cell>
          <cell r="K769" t="e">
            <v>#DIV/0!</v>
          </cell>
          <cell r="L769" t="e">
            <v>#DIV/0!</v>
          </cell>
          <cell r="M769" t="e">
            <v>#DIV/0!</v>
          </cell>
          <cell r="N769" t="e">
            <v>#DIV/0!</v>
          </cell>
        </row>
        <row r="770">
          <cell r="E770">
            <v>100</v>
          </cell>
          <cell r="F770">
            <v>100</v>
          </cell>
          <cell r="G770">
            <v>100</v>
          </cell>
          <cell r="H770">
            <v>100</v>
          </cell>
          <cell r="I770" t="e">
            <v>#DIV/0!</v>
          </cell>
          <cell r="J770" t="e">
            <v>#DIV/0!</v>
          </cell>
          <cell r="K770" t="e">
            <v>#DIV/0!</v>
          </cell>
          <cell r="L770" t="e">
            <v>#DIV/0!</v>
          </cell>
          <cell r="M770" t="e">
            <v>#DIV/0!</v>
          </cell>
          <cell r="N770" t="e">
            <v>#DIV/0!</v>
          </cell>
        </row>
        <row r="771">
          <cell r="E771" t="e">
            <v>#DIV/0!</v>
          </cell>
          <cell r="F771" t="e">
            <v>#DIV/0!</v>
          </cell>
          <cell r="G771" t="e">
            <v>#DIV/0!</v>
          </cell>
          <cell r="H771" t="e">
            <v>#DIV/0!</v>
          </cell>
          <cell r="I771" t="e">
            <v>#DIV/0!</v>
          </cell>
          <cell r="J771" t="e">
            <v>#DIV/0!</v>
          </cell>
          <cell r="K771" t="e">
            <v>#DIV/0!</v>
          </cell>
          <cell r="L771" t="e">
            <v>#DIV/0!</v>
          </cell>
          <cell r="M771" t="e">
            <v>#DIV/0!</v>
          </cell>
          <cell r="N771" t="e">
            <v>#DIV/0!</v>
          </cell>
        </row>
        <row r="797">
          <cell r="I797">
            <v>60.334029227557409</v>
          </cell>
          <cell r="J797">
            <v>75.854700854700852</v>
          </cell>
          <cell r="K797">
            <v>82.478632478632477</v>
          </cell>
          <cell r="L797">
            <v>100</v>
          </cell>
          <cell r="M797">
            <v>100</v>
          </cell>
          <cell r="N797">
            <v>100</v>
          </cell>
        </row>
        <row r="798">
          <cell r="I798">
            <v>57.8125</v>
          </cell>
          <cell r="J798">
            <v>71.698113207547166</v>
          </cell>
          <cell r="K798">
            <v>80.379746835443029</v>
          </cell>
          <cell r="L798">
            <v>100</v>
          </cell>
          <cell r="M798">
            <v>100</v>
          </cell>
          <cell r="N798">
            <v>100</v>
          </cell>
        </row>
        <row r="799">
          <cell r="I799">
            <v>65.408805031446533</v>
          </cell>
          <cell r="J799">
            <v>84.666666666666671</v>
          </cell>
          <cell r="K799">
            <v>86.842105263157904</v>
          </cell>
          <cell r="L799">
            <v>100</v>
          </cell>
          <cell r="M799">
            <v>100</v>
          </cell>
          <cell r="N799">
            <v>100</v>
          </cell>
        </row>
        <row r="806">
          <cell r="I806">
            <v>33.333333333333329</v>
          </cell>
          <cell r="J806">
            <v>33.333333333333329</v>
          </cell>
          <cell r="K806">
            <v>83.333333333333343</v>
          </cell>
          <cell r="L806" t="e">
            <v>#DIV/0!</v>
          </cell>
          <cell r="M806" t="e">
            <v>#DIV/0!</v>
          </cell>
          <cell r="N806" t="e">
            <v>#DIV/0!</v>
          </cell>
        </row>
        <row r="807">
          <cell r="I807">
            <v>33.333333333333329</v>
          </cell>
          <cell r="J807">
            <v>33.333333333333329</v>
          </cell>
          <cell r="K807">
            <v>83.333333333333343</v>
          </cell>
          <cell r="L807" t="e">
            <v>#DIV/0!</v>
          </cell>
          <cell r="M807" t="e">
            <v>#DIV/0!</v>
          </cell>
          <cell r="N807" t="e">
            <v>#DIV/0!</v>
          </cell>
        </row>
        <row r="808">
          <cell r="I808" t="e">
            <v>#DIV/0!</v>
          </cell>
          <cell r="J808" t="e">
            <v>#DIV/0!</v>
          </cell>
          <cell r="K808" t="e">
            <v>#DIV/0!</v>
          </cell>
          <cell r="L808" t="e">
            <v>#DIV/0!</v>
          </cell>
          <cell r="M808" t="e">
            <v>#DIV/0!</v>
          </cell>
          <cell r="N808" t="e">
            <v>#DIV/0!</v>
          </cell>
        </row>
        <row r="816">
          <cell r="E816">
            <v>58.223684210526315</v>
          </cell>
          <cell r="F816">
            <v>55.158730158730165</v>
          </cell>
          <cell r="G816">
            <v>54.661190965092402</v>
          </cell>
          <cell r="H816">
            <v>58.173251177963024</v>
          </cell>
          <cell r="I816" t="e">
            <v>#DIV/0!</v>
          </cell>
          <cell r="J816" t="e">
            <v>#DIV/0!</v>
          </cell>
          <cell r="K816" t="e">
            <v>#DIV/0!</v>
          </cell>
          <cell r="L816" t="e">
            <v>#DIV/0!</v>
          </cell>
          <cell r="M816" t="e">
            <v>#DIV/0!</v>
          </cell>
          <cell r="N816" t="e">
            <v>#DIV/0!</v>
          </cell>
        </row>
        <row r="817">
          <cell r="E817">
            <v>57.639243740419012</v>
          </cell>
          <cell r="F817">
            <v>54.186717998075075</v>
          </cell>
          <cell r="G817">
            <v>53.657448706512042</v>
          </cell>
          <cell r="H817">
            <v>56.396255850234013</v>
          </cell>
          <cell r="I817" t="e">
            <v>#DIV/0!</v>
          </cell>
          <cell r="J817" t="e">
            <v>#DIV/0!</v>
          </cell>
          <cell r="K817" t="e">
            <v>#DIV/0!</v>
          </cell>
          <cell r="L817" t="e">
            <v>#DIV/0!</v>
          </cell>
          <cell r="M817" t="e">
            <v>#DIV/0!</v>
          </cell>
          <cell r="N817" t="e">
            <v>#DIV/0!</v>
          </cell>
        </row>
        <row r="818">
          <cell r="E818">
            <v>64.912280701754383</v>
          </cell>
          <cell r="F818">
            <v>65.789473684210535</v>
          </cell>
          <cell r="G818">
            <v>66.32124352331607</v>
          </cell>
          <cell r="H818">
            <v>81.538461538461533</v>
          </cell>
          <cell r="I818" t="e">
            <v>#DIV/0!</v>
          </cell>
          <cell r="J818" t="e">
            <v>#DIV/0!</v>
          </cell>
          <cell r="K818" t="e">
            <v>#DIV/0!</v>
          </cell>
          <cell r="L818" t="e">
            <v>#DIV/0!</v>
          </cell>
          <cell r="M818" t="e">
            <v>#DIV/0!</v>
          </cell>
          <cell r="N818" t="e">
            <v>#DIV/0!</v>
          </cell>
        </row>
        <row r="819">
          <cell r="E819">
            <v>100</v>
          </cell>
          <cell r="F819">
            <v>100</v>
          </cell>
          <cell r="G819">
            <v>100</v>
          </cell>
          <cell r="H819">
            <v>100</v>
          </cell>
          <cell r="I819" t="e">
            <v>#DIV/0!</v>
          </cell>
          <cell r="J819" t="e">
            <v>#DIV/0!</v>
          </cell>
          <cell r="K819" t="e">
            <v>#DIV/0!</v>
          </cell>
          <cell r="L819" t="e">
            <v>#DIV/0!</v>
          </cell>
          <cell r="M819" t="e">
            <v>#DIV/0!</v>
          </cell>
          <cell r="N819" t="e">
            <v>#DIV/0!</v>
          </cell>
        </row>
        <row r="820">
          <cell r="E820">
            <v>100</v>
          </cell>
          <cell r="F820">
            <v>100</v>
          </cell>
          <cell r="G820">
            <v>100</v>
          </cell>
          <cell r="H820">
            <v>100</v>
          </cell>
          <cell r="I820" t="e">
            <v>#DIV/0!</v>
          </cell>
          <cell r="J820" t="e">
            <v>#DIV/0!</v>
          </cell>
          <cell r="K820" t="e">
            <v>#DIV/0!</v>
          </cell>
          <cell r="L820" t="e">
            <v>#DIV/0!</v>
          </cell>
          <cell r="M820" t="e">
            <v>#DIV/0!</v>
          </cell>
          <cell r="N820" t="e">
            <v>#DIV/0!</v>
          </cell>
        </row>
        <row r="821">
          <cell r="E821" t="e">
            <v>#DIV/0!</v>
          </cell>
          <cell r="F821" t="e">
            <v>#DIV/0!</v>
          </cell>
          <cell r="G821" t="e">
            <v>#DIV/0!</v>
          </cell>
          <cell r="H821" t="e">
            <v>#DIV/0!</v>
          </cell>
          <cell r="I821" t="e">
            <v>#DIV/0!</v>
          </cell>
          <cell r="J821" t="e">
            <v>#DIV/0!</v>
          </cell>
          <cell r="K821" t="e">
            <v>#DIV/0!</v>
          </cell>
          <cell r="L821" t="e">
            <v>#DIV/0!</v>
          </cell>
          <cell r="M821" t="e">
            <v>#DIV/0!</v>
          </cell>
          <cell r="N821" t="e">
            <v>#DIV/0!</v>
          </cell>
        </row>
        <row r="860">
          <cell r="I860">
            <v>30.800268997982517</v>
          </cell>
          <cell r="J860">
            <v>25.854795737122561</v>
          </cell>
          <cell r="L860" t="e">
            <v>#DIV/0!</v>
          </cell>
          <cell r="M860" t="e">
            <v>#DIV/0!</v>
          </cell>
          <cell r="N860">
            <v>0</v>
          </cell>
        </row>
        <row r="861">
          <cell r="I861">
            <v>14.606590450571622</v>
          </cell>
          <cell r="J861">
            <v>13.432504440497336</v>
          </cell>
          <cell r="L861" t="e">
            <v>#DIV/0!</v>
          </cell>
          <cell r="M861" t="e">
            <v>#DIV/0!</v>
          </cell>
          <cell r="N861">
            <v>0</v>
          </cell>
        </row>
        <row r="862">
          <cell r="I862">
            <v>21.869535978480162</v>
          </cell>
          <cell r="J862">
            <v>20.259769094138544</v>
          </cell>
          <cell r="L862" t="e">
            <v>#DIV/0!</v>
          </cell>
          <cell r="M862" t="e">
            <v>#DIV/0!</v>
          </cell>
          <cell r="N862">
            <v>0</v>
          </cell>
        </row>
        <row r="863">
          <cell r="I863">
            <v>3.3221250840618692</v>
          </cell>
          <cell r="J863">
            <v>3.1638543516873887</v>
          </cell>
          <cell r="L863" t="e">
            <v>#DIV/0!</v>
          </cell>
          <cell r="M863" t="e">
            <v>#DIV/0!</v>
          </cell>
          <cell r="N863">
            <v>0</v>
          </cell>
        </row>
        <row r="864">
          <cell r="I864">
            <v>47.330195023537328</v>
          </cell>
          <cell r="J864">
            <v>53.885435168738894</v>
          </cell>
          <cell r="K864">
            <v>57.882352941176471</v>
          </cell>
          <cell r="L864" t="e">
            <v>#DIV/0!</v>
          </cell>
          <cell r="M864" t="e">
            <v>#DIV/0!</v>
          </cell>
          <cell r="N864">
            <v>112.72084805653711</v>
          </cell>
        </row>
        <row r="865">
          <cell r="I865">
            <v>12.575655682582381</v>
          </cell>
          <cell r="J865">
            <v>12.27797513321492</v>
          </cell>
          <cell r="K865">
            <v>11.470588235294118</v>
          </cell>
          <cell r="L865" t="e">
            <v>#DIV/0!</v>
          </cell>
          <cell r="M865" t="e">
            <v>#DIV/0!</v>
          </cell>
          <cell r="N865">
            <v>25.795053003533567</v>
          </cell>
        </row>
        <row r="867">
          <cell r="I867">
            <v>0</v>
          </cell>
          <cell r="J867">
            <v>0</v>
          </cell>
          <cell r="K867">
            <v>0</v>
          </cell>
          <cell r="L867" t="e">
            <v>#DIV/0!</v>
          </cell>
          <cell r="M867" t="e">
            <v>#DIV/0!</v>
          </cell>
          <cell r="N867" t="e">
            <v>#DIV/0!</v>
          </cell>
        </row>
        <row r="868">
          <cell r="I868">
            <v>0</v>
          </cell>
          <cell r="J868">
            <v>0</v>
          </cell>
          <cell r="K868">
            <v>0</v>
          </cell>
          <cell r="L868" t="e">
            <v>#DIV/0!</v>
          </cell>
          <cell r="M868" t="e">
            <v>#DIV/0!</v>
          </cell>
          <cell r="N868" t="e">
            <v>#DIV/0!</v>
          </cell>
        </row>
        <row r="869">
          <cell r="I869">
            <v>0</v>
          </cell>
          <cell r="J869">
            <v>0</v>
          </cell>
          <cell r="K869">
            <v>0</v>
          </cell>
          <cell r="L869" t="e">
            <v>#DIV/0!</v>
          </cell>
          <cell r="M869" t="e">
            <v>#DIV/0!</v>
          </cell>
          <cell r="N869" t="e">
            <v>#DIV/0!</v>
          </cell>
        </row>
        <row r="870">
          <cell r="I870">
            <v>0</v>
          </cell>
          <cell r="J870">
            <v>0</v>
          </cell>
          <cell r="K870">
            <v>0</v>
          </cell>
          <cell r="L870" t="e">
            <v>#DIV/0!</v>
          </cell>
          <cell r="M870" t="e">
            <v>#DIV/0!</v>
          </cell>
          <cell r="N870" t="e">
            <v>#DIV/0!</v>
          </cell>
        </row>
        <row r="871">
          <cell r="I871">
            <v>100</v>
          </cell>
          <cell r="J871">
            <v>100</v>
          </cell>
          <cell r="K871">
            <v>100</v>
          </cell>
          <cell r="L871" t="e">
            <v>#DIV/0!</v>
          </cell>
          <cell r="M871" t="e">
            <v>#DIV/0!</v>
          </cell>
          <cell r="N871" t="e">
            <v>#DIV/0!</v>
          </cell>
        </row>
        <row r="872">
          <cell r="I872">
            <v>75</v>
          </cell>
          <cell r="J872">
            <v>66.666666666666657</v>
          </cell>
          <cell r="K872">
            <v>50</v>
          </cell>
          <cell r="L872" t="e">
            <v>#DIV/0!</v>
          </cell>
          <cell r="M872" t="e">
            <v>#DIV/0!</v>
          </cell>
          <cell r="N872" t="e">
            <v>#DIV/0!</v>
          </cell>
        </row>
        <row r="890">
          <cell r="I890">
            <v>50.585313941113874</v>
          </cell>
          <cell r="J890">
            <v>78.065031982942429</v>
          </cell>
          <cell r="K890">
            <v>100</v>
          </cell>
          <cell r="L890">
            <v>100</v>
          </cell>
          <cell r="M890">
            <v>100</v>
          </cell>
          <cell r="N890">
            <v>100</v>
          </cell>
        </row>
        <row r="891">
          <cell r="I891">
            <v>50</v>
          </cell>
          <cell r="J891">
            <v>100</v>
          </cell>
          <cell r="K891">
            <v>100</v>
          </cell>
          <cell r="L891" t="e">
            <v>#DIV/0!</v>
          </cell>
          <cell r="M891" t="e">
            <v>#DIV/0!</v>
          </cell>
          <cell r="N891" t="e">
            <v>#DIV/0!</v>
          </cell>
        </row>
        <row r="899">
          <cell r="I899">
            <v>19.522278364722094</v>
          </cell>
          <cell r="J899">
            <v>29.032258064516132</v>
          </cell>
          <cell r="K899">
            <v>40.042372881355931</v>
          </cell>
          <cell r="L899" t="e">
            <v>#DIV/0!</v>
          </cell>
          <cell r="M899" t="e">
            <v>#DIV/0!</v>
          </cell>
          <cell r="N899" t="e">
            <v>#DIV/0!</v>
          </cell>
        </row>
        <row r="900">
          <cell r="I900" t="e">
            <v>#DIV/0!</v>
          </cell>
          <cell r="J900" t="e">
            <v>#DIV/0!</v>
          </cell>
          <cell r="K900" t="e">
            <v>#DIV/0!</v>
          </cell>
          <cell r="L900" t="e">
            <v>#DIV/0!</v>
          </cell>
          <cell r="M900" t="e">
            <v>#DIV/0!</v>
          </cell>
          <cell r="N900" t="e">
            <v>#DIV/0!</v>
          </cell>
        </row>
        <row r="908">
          <cell r="H908">
            <v>1.5</v>
          </cell>
          <cell r="I908" t="e">
            <v>#DIV/0!</v>
          </cell>
          <cell r="J908" t="e">
            <v>#DIV/0!</v>
          </cell>
          <cell r="K908" t="e">
            <v>#DIV/0!</v>
          </cell>
          <cell r="L908" t="e">
            <v>#DIV/0!</v>
          </cell>
          <cell r="M908" t="e">
            <v>#DIV/0!</v>
          </cell>
          <cell r="N908" t="e">
            <v>#DIV/0!</v>
          </cell>
        </row>
        <row r="909">
          <cell r="H909">
            <v>4.07</v>
          </cell>
          <cell r="I909" t="e">
            <v>#DIV/0!</v>
          </cell>
          <cell r="J909" t="e">
            <v>#DIV/0!</v>
          </cell>
          <cell r="K909" t="e">
            <v>#DIV/0!</v>
          </cell>
          <cell r="L909" t="e">
            <v>#DIV/0!</v>
          </cell>
          <cell r="M909" t="e">
            <v>#DIV/0!</v>
          </cell>
          <cell r="N909" t="e">
            <v>#DIV/0!</v>
          </cell>
        </row>
        <row r="910">
          <cell r="H910">
            <v>1.27</v>
          </cell>
          <cell r="I910" t="e">
            <v>#DIV/0!</v>
          </cell>
          <cell r="J910" t="e">
            <v>#DIV/0!</v>
          </cell>
          <cell r="K910" t="e">
            <v>#DIV/0!</v>
          </cell>
          <cell r="L910" t="e">
            <v>#DIV/0!</v>
          </cell>
          <cell r="M910" t="e">
            <v>#DIV/0!</v>
          </cell>
          <cell r="N910" t="e">
            <v>#DIV/0!</v>
          </cell>
        </row>
        <row r="911">
          <cell r="H911">
            <v>44.96</v>
          </cell>
          <cell r="I911" t="e">
            <v>#DIV/0!</v>
          </cell>
          <cell r="J911" t="e">
            <v>#DIV/0!</v>
          </cell>
          <cell r="K911" t="e">
            <v>#DIV/0!</v>
          </cell>
          <cell r="L911" t="e">
            <v>#DIV/0!</v>
          </cell>
          <cell r="M911" t="e">
            <v>#DIV/0!</v>
          </cell>
          <cell r="N911" t="e">
            <v>#DIV/0!</v>
          </cell>
        </row>
        <row r="912">
          <cell r="H912">
            <v>37.409999999999997</v>
          </cell>
          <cell r="I912" t="e">
            <v>#DIV/0!</v>
          </cell>
          <cell r="J912" t="e">
            <v>#DIV/0!</v>
          </cell>
          <cell r="K912" t="e">
            <v>#DIV/0!</v>
          </cell>
          <cell r="L912" t="e">
            <v>#DIV/0!</v>
          </cell>
          <cell r="M912" t="e">
            <v>#DIV/0!</v>
          </cell>
          <cell r="N912" t="e">
            <v>#DIV/0!</v>
          </cell>
        </row>
        <row r="913">
          <cell r="H913">
            <v>0</v>
          </cell>
          <cell r="I913" t="e">
            <v>#DIV/0!</v>
          </cell>
          <cell r="J913" t="e">
            <v>#DIV/0!</v>
          </cell>
          <cell r="K913" t="e">
            <v>#DIV/0!</v>
          </cell>
          <cell r="L913" t="e">
            <v>#DIV/0!</v>
          </cell>
          <cell r="M913" t="e">
            <v>#DIV/0!</v>
          </cell>
          <cell r="N913" t="e">
            <v>#DIV/0!</v>
          </cell>
        </row>
        <row r="914">
          <cell r="H914">
            <v>0</v>
          </cell>
          <cell r="I914" t="e">
            <v>#DIV/0!</v>
          </cell>
          <cell r="J914" t="e">
            <v>#DIV/0!</v>
          </cell>
          <cell r="K914" t="e">
            <v>#DIV/0!</v>
          </cell>
          <cell r="L914" t="e">
            <v>#DIV/0!</v>
          </cell>
          <cell r="M914" t="e">
            <v>#DIV/0!</v>
          </cell>
          <cell r="N914" t="e">
            <v>#DIV/0!</v>
          </cell>
        </row>
        <row r="915">
          <cell r="H915">
            <v>0</v>
          </cell>
          <cell r="I915" t="e">
            <v>#DIV/0!</v>
          </cell>
          <cell r="J915" t="e">
            <v>#DIV/0!</v>
          </cell>
          <cell r="K915" t="e">
            <v>#DIV/0!</v>
          </cell>
          <cell r="L915" t="e">
            <v>#DIV/0!</v>
          </cell>
          <cell r="M915" t="e">
            <v>#DIV/0!</v>
          </cell>
          <cell r="N915" t="e">
            <v>#DIV/0!</v>
          </cell>
        </row>
        <row r="916">
          <cell r="H916">
            <v>0</v>
          </cell>
          <cell r="I916" t="e">
            <v>#DIV/0!</v>
          </cell>
          <cell r="J916" t="e">
            <v>#DIV/0!</v>
          </cell>
          <cell r="K916" t="e">
            <v>#DIV/0!</v>
          </cell>
          <cell r="L916" t="e">
            <v>#DIV/0!</v>
          </cell>
          <cell r="M916" t="e">
            <v>#DIV/0!</v>
          </cell>
          <cell r="N916" t="e">
            <v>#DIV/0!</v>
          </cell>
        </row>
        <row r="958">
          <cell r="H958">
            <v>7.68</v>
          </cell>
          <cell r="I958" t="e">
            <v>#DIV/0!</v>
          </cell>
          <cell r="J958" t="e">
            <v>#DIV/0!</v>
          </cell>
          <cell r="K958" t="e">
            <v>#DIV/0!</v>
          </cell>
          <cell r="L958" t="e">
            <v>#DIV/0!</v>
          </cell>
          <cell r="M958" t="e">
            <v>#DIV/0!</v>
          </cell>
          <cell r="N958" t="e">
            <v>#DIV/0!</v>
          </cell>
        </row>
        <row r="959">
          <cell r="H959">
            <v>1.17</v>
          </cell>
          <cell r="I959" t="e">
            <v>#DIV/0!</v>
          </cell>
          <cell r="J959" t="e">
            <v>#DIV/0!</v>
          </cell>
          <cell r="K959" t="e">
            <v>#DIV/0!</v>
          </cell>
          <cell r="L959" t="e">
            <v>#DIV/0!</v>
          </cell>
          <cell r="M959" t="e">
            <v>#DIV/0!</v>
          </cell>
          <cell r="N959" t="e">
            <v>#DIV/0!</v>
          </cell>
        </row>
        <row r="960">
          <cell r="H960">
            <v>1.0900000000000001</v>
          </cell>
          <cell r="I960" t="e">
            <v>#DIV/0!</v>
          </cell>
          <cell r="J960" t="e">
            <v>#DIV/0!</v>
          </cell>
          <cell r="K960" t="e">
            <v>#DIV/0!</v>
          </cell>
          <cell r="L960" t="e">
            <v>#DIV/0!</v>
          </cell>
          <cell r="M960" t="e">
            <v>#DIV/0!</v>
          </cell>
          <cell r="N960" t="e">
            <v>#DIV/0!</v>
          </cell>
        </row>
        <row r="961">
          <cell r="H961">
            <v>77.05</v>
          </cell>
          <cell r="I961" t="e">
            <v>#DIV/0!</v>
          </cell>
          <cell r="J961" t="e">
            <v>#DIV/0!</v>
          </cell>
          <cell r="K961" t="e">
            <v>#DIV/0!</v>
          </cell>
          <cell r="L961" t="e">
            <v>#DIV/0!</v>
          </cell>
          <cell r="M961" t="e">
            <v>#DIV/0!</v>
          </cell>
          <cell r="N961" t="e">
            <v>#DIV/0!</v>
          </cell>
        </row>
        <row r="962">
          <cell r="H962">
            <v>4.84</v>
          </cell>
          <cell r="I962" t="e">
            <v>#DIV/0!</v>
          </cell>
          <cell r="J962" t="e">
            <v>#DIV/0!</v>
          </cell>
          <cell r="K962" t="e">
            <v>#DIV/0!</v>
          </cell>
          <cell r="L962" t="e">
            <v>#DIV/0!</v>
          </cell>
          <cell r="M962" t="e">
            <v>#DIV/0!</v>
          </cell>
          <cell r="N962" t="e">
            <v>#DIV/0!</v>
          </cell>
        </row>
        <row r="963">
          <cell r="H963">
            <v>1.84</v>
          </cell>
          <cell r="I963" t="e">
            <v>#DIV/0!</v>
          </cell>
          <cell r="J963" t="e">
            <v>#DIV/0!</v>
          </cell>
          <cell r="K963" t="e">
            <v>#DIV/0!</v>
          </cell>
          <cell r="L963" t="e">
            <v>#DIV/0!</v>
          </cell>
          <cell r="M963" t="e">
            <v>#DIV/0!</v>
          </cell>
          <cell r="N963" t="e">
            <v>#DIV/0!</v>
          </cell>
        </row>
        <row r="964">
          <cell r="H964">
            <v>0.92</v>
          </cell>
          <cell r="I964" t="e">
            <v>#DIV/0!</v>
          </cell>
          <cell r="J964" t="e">
            <v>#DIV/0!</v>
          </cell>
          <cell r="K964" t="e">
            <v>#DIV/0!</v>
          </cell>
          <cell r="L964" t="e">
            <v>#DIV/0!</v>
          </cell>
          <cell r="M964" t="e">
            <v>#DIV/0!</v>
          </cell>
          <cell r="N964" t="e">
            <v>#DIV/0!</v>
          </cell>
        </row>
        <row r="965">
          <cell r="H965">
            <v>0</v>
          </cell>
          <cell r="I965" t="e">
            <v>#DIV/0!</v>
          </cell>
          <cell r="J965" t="e">
            <v>#DIV/0!</v>
          </cell>
          <cell r="K965" t="e">
            <v>#DIV/0!</v>
          </cell>
          <cell r="L965" t="e">
            <v>#DIV/0!</v>
          </cell>
          <cell r="M965" t="e">
            <v>#DIV/0!</v>
          </cell>
          <cell r="N965" t="e">
            <v>#DIV/0!</v>
          </cell>
        </row>
        <row r="966">
          <cell r="H966">
            <v>0</v>
          </cell>
          <cell r="I966" t="e">
            <v>#DIV/0!</v>
          </cell>
          <cell r="J966" t="e">
            <v>#DIV/0!</v>
          </cell>
          <cell r="K966" t="e">
            <v>#DIV/0!</v>
          </cell>
          <cell r="L966" t="e">
            <v>#DIV/0!</v>
          </cell>
          <cell r="M966" t="e">
            <v>#DIV/0!</v>
          </cell>
          <cell r="N966" t="e">
            <v>#DIV/0!</v>
          </cell>
        </row>
        <row r="1039">
          <cell r="H1039">
            <v>85.19</v>
          </cell>
          <cell r="I1039" t="e">
            <v>#DIV/0!</v>
          </cell>
          <cell r="J1039" t="e">
            <v>#DIV/0!</v>
          </cell>
          <cell r="K1039" t="e">
            <v>#DIV/0!</v>
          </cell>
          <cell r="L1039" t="e">
            <v>#DIV/0!</v>
          </cell>
          <cell r="M1039" t="e">
            <v>#DIV/0!</v>
          </cell>
          <cell r="N1039" t="e">
            <v>#DIV/0!</v>
          </cell>
        </row>
        <row r="1040">
          <cell r="H1040">
            <v>84.39</v>
          </cell>
          <cell r="I1040" t="e">
            <v>#DIV/0!</v>
          </cell>
          <cell r="J1040" t="e">
            <v>#DIV/0!</v>
          </cell>
          <cell r="K1040" t="e">
            <v>#DIV/0!</v>
          </cell>
          <cell r="L1040" t="e">
            <v>#DIV/0!</v>
          </cell>
          <cell r="M1040" t="e">
            <v>#DIV/0!</v>
          </cell>
          <cell r="N1040" t="e">
            <v>#DIV/0!</v>
          </cell>
        </row>
        <row r="1041">
          <cell r="H1041">
            <v>85.64</v>
          </cell>
          <cell r="I1041" t="e">
            <v>#DIV/0!</v>
          </cell>
          <cell r="J1041" t="e">
            <v>#DIV/0!</v>
          </cell>
          <cell r="K1041" t="e">
            <v>#DIV/0!</v>
          </cell>
          <cell r="L1041" t="e">
            <v>#DIV/0!</v>
          </cell>
          <cell r="M1041" t="e">
            <v>#DIV/0!</v>
          </cell>
          <cell r="N1041" t="e">
            <v>#DIV/0!</v>
          </cell>
        </row>
        <row r="1042">
          <cell r="H1042">
            <v>83.35</v>
          </cell>
          <cell r="I1042" t="e">
            <v>#DIV/0!</v>
          </cell>
          <cell r="J1042" t="e">
            <v>#DIV/0!</v>
          </cell>
          <cell r="K1042" t="e">
            <v>#DIV/0!</v>
          </cell>
          <cell r="L1042" t="e">
            <v>#DIV/0!</v>
          </cell>
          <cell r="M1042" t="e">
            <v>#DIV/0!</v>
          </cell>
          <cell r="N1042" t="e">
            <v>#DIV/0!</v>
          </cell>
        </row>
        <row r="1043">
          <cell r="H1043">
            <v>94.12</v>
          </cell>
          <cell r="I1043" t="e">
            <v>#DIV/0!</v>
          </cell>
          <cell r="J1043" t="e">
            <v>#DIV/0!</v>
          </cell>
          <cell r="K1043" t="e">
            <v>#DIV/0!</v>
          </cell>
          <cell r="L1043" t="e">
            <v>#DIV/0!</v>
          </cell>
          <cell r="M1043" t="e">
            <v>#DIV/0!</v>
          </cell>
          <cell r="N1043" t="e">
            <v>#DIV/0!</v>
          </cell>
        </row>
        <row r="1044">
          <cell r="H1044">
            <v>100</v>
          </cell>
          <cell r="I1044" t="e">
            <v>#DIV/0!</v>
          </cell>
          <cell r="J1044" t="e">
            <v>#DIV/0!</v>
          </cell>
          <cell r="K1044" t="e">
            <v>#DIV/0!</v>
          </cell>
          <cell r="L1044" t="e">
            <v>#DIV/0!</v>
          </cell>
          <cell r="M1044" t="e">
            <v>#DIV/0!</v>
          </cell>
          <cell r="N1044" t="e">
            <v>#DIV/0!</v>
          </cell>
        </row>
        <row r="1070">
          <cell r="I1070">
            <v>95.513404857069403</v>
          </cell>
          <cell r="J1070">
            <v>97.326516105679858</v>
          </cell>
          <cell r="K1070">
            <v>98.541939971856849</v>
          </cell>
          <cell r="L1070">
            <v>97.313794413832412</v>
          </cell>
          <cell r="M1070">
            <v>95.138396836643736</v>
          </cell>
          <cell r="N1070">
            <v>99.323318446339144</v>
          </cell>
        </row>
        <row r="1071">
          <cell r="I1071">
            <v>91.463414634146346</v>
          </cell>
          <cell r="J1071">
            <v>85.842111224374236</v>
          </cell>
          <cell r="K1071">
            <v>87.422503627489775</v>
          </cell>
          <cell r="L1071">
            <v>81.481481481481495</v>
          </cell>
          <cell r="M1071">
            <v>100</v>
          </cell>
          <cell r="N1071">
            <v>100</v>
          </cell>
        </row>
        <row r="1072">
          <cell r="I1072">
            <v>93.685773227678482</v>
          </cell>
          <cell r="J1072">
            <v>94.608867862251074</v>
          </cell>
          <cell r="K1072">
            <v>92.119797388014149</v>
          </cell>
          <cell r="L1072">
            <v>98.181818181818187</v>
          </cell>
          <cell r="M1072">
            <v>93.103448275862064</v>
          </cell>
          <cell r="N1072">
            <v>92.72727272727272</v>
          </cell>
        </row>
        <row r="1073">
          <cell r="I1073">
            <v>95.248700816629551</v>
          </cell>
          <cell r="J1073">
            <v>93.379679995754501</v>
          </cell>
          <cell r="K1073">
            <v>95.259374852224894</v>
          </cell>
          <cell r="L1073">
            <v>89.235737351991389</v>
          </cell>
          <cell r="M1073">
            <v>100</v>
          </cell>
          <cell r="N1073">
            <v>100</v>
          </cell>
        </row>
        <row r="1074">
          <cell r="I1074">
            <v>95.633778564927553</v>
          </cell>
          <cell r="J1074">
            <v>95.125161479026005</v>
          </cell>
          <cell r="K1074">
            <v>97.107847766550194</v>
          </cell>
          <cell r="L1074">
            <v>100</v>
          </cell>
          <cell r="M1074">
            <v>100</v>
          </cell>
          <cell r="N1074">
            <v>100</v>
          </cell>
        </row>
        <row r="1075">
          <cell r="I1075">
            <v>79.869149471565166</v>
          </cell>
          <cell r="J1075">
            <v>79.442508710801391</v>
          </cell>
          <cell r="K1075">
            <v>88.02123802123802</v>
          </cell>
          <cell r="L1075">
            <v>69.230769230769226</v>
          </cell>
          <cell r="M1075">
            <v>76.470588235294116</v>
          </cell>
          <cell r="N1075">
            <v>69.230769230769226</v>
          </cell>
        </row>
        <row r="1092">
          <cell r="I1092">
            <v>110.96930533117933</v>
          </cell>
          <cell r="J1092">
            <v>89.632738719832105</v>
          </cell>
          <cell r="K1092">
            <v>78.439490445859875</v>
          </cell>
          <cell r="L1092">
            <v>227</v>
          </cell>
          <cell r="M1092">
            <v>227</v>
          </cell>
          <cell r="N1092">
            <v>227</v>
          </cell>
        </row>
        <row r="1093">
          <cell r="I1093">
            <v>22.294709509899381</v>
          </cell>
          <cell r="J1093">
            <v>25.377302436125969</v>
          </cell>
          <cell r="K1093">
            <v>26.962233169129721</v>
          </cell>
          <cell r="L1093">
            <v>37.833333333333336</v>
          </cell>
          <cell r="M1093">
            <v>37.833333333333336</v>
          </cell>
          <cell r="N1093">
            <v>37.833333333333336</v>
          </cell>
        </row>
        <row r="1094">
          <cell r="I1094">
            <v>14.636692946942254</v>
          </cell>
          <cell r="J1094">
            <v>16.941689805632684</v>
          </cell>
          <cell r="K1094">
            <v>18.560663149962323</v>
          </cell>
          <cell r="L1094">
            <v>18.916666666666668</v>
          </cell>
          <cell r="M1094">
            <v>20.636363636363637</v>
          </cell>
          <cell r="N1094">
            <v>20.636363636363637</v>
          </cell>
        </row>
        <row r="1095">
          <cell r="I1095">
            <v>199.68023255813955</v>
          </cell>
          <cell r="J1095">
            <v>151.9928825622776</v>
          </cell>
          <cell r="K1095">
            <v>118.6987951807229</v>
          </cell>
          <cell r="L1095">
            <v>227</v>
          </cell>
          <cell r="M1095">
            <v>113.5</v>
          </cell>
          <cell r="N1095">
            <v>227</v>
          </cell>
        </row>
        <row r="1097">
          <cell r="I1097" t="e">
            <v>#DIV/0!</v>
          </cell>
          <cell r="J1097" t="e">
            <v>#DIV/0!</v>
          </cell>
          <cell r="K1097" t="e">
            <v>#DIV/0!</v>
          </cell>
          <cell r="L1097" t="e">
            <v>#DIV/0!</v>
          </cell>
          <cell r="M1097" t="e">
            <v>#DIV/0!</v>
          </cell>
          <cell r="N1097" t="e">
            <v>#DIV/0!</v>
          </cell>
        </row>
        <row r="1098">
          <cell r="I1098" t="e">
            <v>#DIV/0!</v>
          </cell>
          <cell r="J1098" t="e">
            <v>#DIV/0!</v>
          </cell>
          <cell r="K1098" t="e">
            <v>#DIV/0!</v>
          </cell>
          <cell r="L1098" t="e">
            <v>#DIV/0!</v>
          </cell>
          <cell r="M1098" t="e">
            <v>#DIV/0!</v>
          </cell>
          <cell r="N1098" t="e">
            <v>#DIV/0!</v>
          </cell>
        </row>
        <row r="1099">
          <cell r="I1099">
            <v>2</v>
          </cell>
          <cell r="J1099">
            <v>4</v>
          </cell>
          <cell r="K1099">
            <v>10</v>
          </cell>
          <cell r="L1099" t="e">
            <v>#DIV/0!</v>
          </cell>
          <cell r="M1099" t="e">
            <v>#DIV/0!</v>
          </cell>
          <cell r="N1099" t="e">
            <v>#DIV/0!</v>
          </cell>
        </row>
        <row r="1100">
          <cell r="I1100" t="e">
            <v>#DIV/0!</v>
          </cell>
          <cell r="J1100" t="e">
            <v>#DIV/0!</v>
          </cell>
          <cell r="K1100" t="e">
            <v>#DIV/0!</v>
          </cell>
          <cell r="L1100" t="e">
            <v>#DIV/0!</v>
          </cell>
          <cell r="M1100" t="e">
            <v>#DIV/0!</v>
          </cell>
          <cell r="N1100" t="e">
            <v>#DIV/0!</v>
          </cell>
        </row>
        <row r="1129">
          <cell r="I1129">
            <v>1.0045130295530644</v>
          </cell>
          <cell r="J1129">
            <v>0.65558417232498245</v>
          </cell>
          <cell r="K1129">
            <v>0.50751116524563544</v>
          </cell>
          <cell r="L1129">
            <v>0</v>
          </cell>
          <cell r="M1129">
            <v>0</v>
          </cell>
          <cell r="N1129">
            <v>0</v>
          </cell>
        </row>
        <row r="1130">
          <cell r="I1130">
            <v>1.3975833454651332</v>
          </cell>
          <cell r="J1130">
            <v>1.5921329899321002</v>
          </cell>
          <cell r="K1130">
            <v>1.4920828258221681</v>
          </cell>
          <cell r="L1130">
            <v>1.3215859030837005</v>
          </cell>
          <cell r="M1130">
            <v>1.1673151750972763</v>
          </cell>
          <cell r="N1130">
            <v>1.1673151750972763</v>
          </cell>
        </row>
        <row r="1131">
          <cell r="I1131">
            <v>0.3493958363662833</v>
          </cell>
          <cell r="J1131">
            <v>0.28096464528213533</v>
          </cell>
          <cell r="K1131">
            <v>0.25375558262281772</v>
          </cell>
          <cell r="L1131">
            <v>0.44052863436123352</v>
          </cell>
          <cell r="M1131">
            <v>0.38910505836575876</v>
          </cell>
          <cell r="N1131">
            <v>0.38910505836575876</v>
          </cell>
        </row>
        <row r="1132">
          <cell r="I1132">
            <v>1.6741883825884409</v>
          </cell>
          <cell r="J1132">
            <v>1.8730976352142357</v>
          </cell>
          <cell r="K1132">
            <v>2.0401948842874544</v>
          </cell>
          <cell r="L1132">
            <v>4.4052863436123353</v>
          </cell>
          <cell r="M1132">
            <v>3.1128404669260701</v>
          </cell>
          <cell r="N1132">
            <v>2.7237354085603114</v>
          </cell>
        </row>
        <row r="1133">
          <cell r="I1133">
            <v>10.321735332653953</v>
          </cell>
          <cell r="J1133">
            <v>14.797471318192459</v>
          </cell>
          <cell r="K1133">
            <v>15.966301258627691</v>
          </cell>
          <cell r="L1133">
            <v>29.515418502202646</v>
          </cell>
          <cell r="M1133">
            <v>31.1284046692607</v>
          </cell>
          <cell r="N1133">
            <v>37.354085603112843</v>
          </cell>
        </row>
        <row r="1134">
          <cell r="I1134">
            <v>2.4166545348667929</v>
          </cell>
          <cell r="J1134">
            <v>2.5872161086396628</v>
          </cell>
          <cell r="K1134">
            <v>2.4766544863987008</v>
          </cell>
          <cell r="L1134">
            <v>9.6916299559471373</v>
          </cell>
          <cell r="M1134">
            <v>10.505836575875486</v>
          </cell>
          <cell r="N1134">
            <v>7.782101167315175</v>
          </cell>
        </row>
        <row r="1135">
          <cell r="I1135">
            <v>44.664434415489886</v>
          </cell>
          <cell r="J1135">
            <v>46.24209786935144</v>
          </cell>
          <cell r="K1135">
            <v>46.579374746244419</v>
          </cell>
          <cell r="L1135">
            <v>43.171806167400881</v>
          </cell>
          <cell r="M1135">
            <v>47.470817120622563</v>
          </cell>
          <cell r="N1135">
            <v>57.198443579766533</v>
          </cell>
        </row>
        <row r="1136">
          <cell r="I1136">
            <v>1.0045130295530644</v>
          </cell>
          <cell r="J1136">
            <v>1.0770311402481854</v>
          </cell>
          <cell r="K1136">
            <v>1.3702801461632157</v>
          </cell>
          <cell r="L1136">
            <v>2.643171806167401</v>
          </cell>
          <cell r="M1136">
            <v>1.9455252918287937</v>
          </cell>
          <cell r="N1136">
            <v>2.7237354085603114</v>
          </cell>
        </row>
        <row r="1137">
          <cell r="I1137">
            <v>37.166982093463389</v>
          </cell>
          <cell r="J1137">
            <v>38.418983840442564</v>
          </cell>
          <cell r="K1137">
            <v>42.043965642742762</v>
          </cell>
          <cell r="L1137">
            <v>0.29116319697190274</v>
          </cell>
          <cell r="M1137">
            <v>0.16013975833454652</v>
          </cell>
          <cell r="N1137">
            <v>0.3785121560634736</v>
          </cell>
        </row>
        <row r="1141">
          <cell r="I1141">
            <v>0</v>
          </cell>
          <cell r="J1141">
            <v>0</v>
          </cell>
          <cell r="K1141">
            <v>0</v>
          </cell>
          <cell r="L1141" t="e">
            <v>#DIV/0!</v>
          </cell>
          <cell r="M1141" t="e">
            <v>#DIV/0!</v>
          </cell>
          <cell r="N1141" t="e">
            <v>#DIV/0!</v>
          </cell>
        </row>
        <row r="1142">
          <cell r="I1142">
            <v>0</v>
          </cell>
          <cell r="J1142">
            <v>0</v>
          </cell>
          <cell r="K1142">
            <v>0</v>
          </cell>
          <cell r="L1142" t="e">
            <v>#DIV/0!</v>
          </cell>
          <cell r="M1142" t="e">
            <v>#DIV/0!</v>
          </cell>
          <cell r="N1142" t="e">
            <v>#DIV/0!</v>
          </cell>
        </row>
        <row r="1143">
          <cell r="I1143">
            <v>0</v>
          </cell>
          <cell r="J1143">
            <v>0</v>
          </cell>
          <cell r="K1143">
            <v>0</v>
          </cell>
          <cell r="L1143" t="e">
            <v>#DIV/0!</v>
          </cell>
          <cell r="M1143" t="e">
            <v>#DIV/0!</v>
          </cell>
          <cell r="N1143" t="e">
            <v>#DIV/0!</v>
          </cell>
        </row>
        <row r="1144">
          <cell r="I1144">
            <v>16.666666666666664</v>
          </cell>
          <cell r="J1144">
            <v>25</v>
          </cell>
          <cell r="K1144">
            <v>0</v>
          </cell>
          <cell r="L1144" t="e">
            <v>#DIV/0!</v>
          </cell>
          <cell r="M1144" t="e">
            <v>#DIV/0!</v>
          </cell>
          <cell r="N1144" t="e">
            <v>#DIV/0!</v>
          </cell>
        </row>
        <row r="1145">
          <cell r="I1145">
            <v>0</v>
          </cell>
          <cell r="J1145">
            <v>0</v>
          </cell>
          <cell r="K1145">
            <v>0</v>
          </cell>
          <cell r="L1145" t="e">
            <v>#DIV/0!</v>
          </cell>
          <cell r="M1145" t="e">
            <v>#DIV/0!</v>
          </cell>
          <cell r="N1145" t="e">
            <v>#DIV/0!</v>
          </cell>
        </row>
        <row r="1146">
          <cell r="I1146">
            <v>50</v>
          </cell>
          <cell r="J1146">
            <v>50</v>
          </cell>
          <cell r="K1146">
            <v>40</v>
          </cell>
          <cell r="L1146" t="e">
            <v>#DIV/0!</v>
          </cell>
          <cell r="M1146" t="e">
            <v>#DIV/0!</v>
          </cell>
          <cell r="N1146" t="e">
            <v>#DIV/0!</v>
          </cell>
        </row>
        <row r="1147">
          <cell r="I1147">
            <v>33.333333333333329</v>
          </cell>
          <cell r="J1147">
            <v>25</v>
          </cell>
          <cell r="K1147">
            <v>60</v>
          </cell>
          <cell r="L1147" t="e">
            <v>#DIV/0!</v>
          </cell>
          <cell r="M1147" t="e">
            <v>#DIV/0!</v>
          </cell>
          <cell r="N1147" t="e">
            <v>#DIV/0!</v>
          </cell>
        </row>
        <row r="1148">
          <cell r="I1148">
            <v>0</v>
          </cell>
          <cell r="J1148">
            <v>0</v>
          </cell>
          <cell r="K1148">
            <v>0</v>
          </cell>
          <cell r="L1148" t="e">
            <v>#DIV/0!</v>
          </cell>
          <cell r="M1148" t="e">
            <v>#DIV/0!</v>
          </cell>
          <cell r="N1148" t="e">
            <v>#DIV/0!</v>
          </cell>
        </row>
        <row r="1149">
          <cell r="I1149">
            <v>0</v>
          </cell>
          <cell r="J1149">
            <v>0</v>
          </cell>
          <cell r="K1149">
            <v>0</v>
          </cell>
          <cell r="L1149">
            <v>0</v>
          </cell>
          <cell r="M1149">
            <v>0</v>
          </cell>
          <cell r="N1149">
            <v>0</v>
          </cell>
        </row>
        <row r="1179">
          <cell r="G1179">
            <v>0</v>
          </cell>
          <cell r="H1179">
            <v>0</v>
          </cell>
          <cell r="I1179">
            <v>0</v>
          </cell>
          <cell r="J1179">
            <v>0</v>
          </cell>
          <cell r="K1179">
            <v>0</v>
          </cell>
          <cell r="L1179">
            <v>0</v>
          </cell>
          <cell r="M1179">
            <v>0</v>
          </cell>
          <cell r="N1179">
            <v>0</v>
          </cell>
        </row>
        <row r="1184">
          <cell r="E1184">
            <v>42.39</v>
          </cell>
          <cell r="F1184">
            <v>0</v>
          </cell>
          <cell r="G1184">
            <v>0</v>
          </cell>
          <cell r="H1184">
            <v>0</v>
          </cell>
          <cell r="I1184">
            <v>0</v>
          </cell>
          <cell r="J1184">
            <v>0</v>
          </cell>
          <cell r="K1184">
            <v>0</v>
          </cell>
          <cell r="L1184">
            <v>0</v>
          </cell>
          <cell r="M1184">
            <v>0</v>
          </cell>
          <cell r="N1184">
            <v>0</v>
          </cell>
        </row>
        <row r="1185">
          <cell r="E1185">
            <v>63.44</v>
          </cell>
          <cell r="F1185">
            <v>0</v>
          </cell>
          <cell r="G1185">
            <v>0</v>
          </cell>
          <cell r="H1185">
            <v>0</v>
          </cell>
          <cell r="I1185">
            <v>0</v>
          </cell>
          <cell r="J1185">
            <v>0</v>
          </cell>
          <cell r="K1185">
            <v>0</v>
          </cell>
          <cell r="L1185">
            <v>0</v>
          </cell>
          <cell r="M1185">
            <v>0</v>
          </cell>
          <cell r="N1185">
            <v>0</v>
          </cell>
        </row>
        <row r="1188">
          <cell r="E1188">
            <v>30.22</v>
          </cell>
          <cell r="F1188">
            <v>0</v>
          </cell>
          <cell r="G1188">
            <v>0</v>
          </cell>
          <cell r="H1188">
            <v>4.22</v>
          </cell>
          <cell r="I1188">
            <v>0</v>
          </cell>
          <cell r="J1188">
            <v>0</v>
          </cell>
          <cell r="K1188">
            <v>0</v>
          </cell>
          <cell r="L1188">
            <v>0</v>
          </cell>
          <cell r="M1188">
            <v>0</v>
          </cell>
          <cell r="N1188">
            <v>0</v>
          </cell>
        </row>
        <row r="1189">
          <cell r="E1189">
            <v>12.32</v>
          </cell>
          <cell r="F1189">
            <v>0</v>
          </cell>
          <cell r="G1189">
            <v>0</v>
          </cell>
          <cell r="H1189">
            <v>3.62</v>
          </cell>
          <cell r="I1189">
            <v>0</v>
          </cell>
          <cell r="J1189">
            <v>0</v>
          </cell>
          <cell r="K1189">
            <v>0</v>
          </cell>
          <cell r="L1189">
            <v>0</v>
          </cell>
          <cell r="M1189">
            <v>0</v>
          </cell>
          <cell r="N1189">
            <v>0</v>
          </cell>
        </row>
        <row r="1191">
          <cell r="E1191">
            <v>0.17</v>
          </cell>
          <cell r="F1191">
            <v>0</v>
          </cell>
          <cell r="G1191">
            <v>0</v>
          </cell>
          <cell r="H1191">
            <v>0</v>
          </cell>
          <cell r="I1191">
            <v>0</v>
          </cell>
          <cell r="J1191">
            <v>0</v>
          </cell>
          <cell r="K1191">
            <v>0</v>
          </cell>
          <cell r="L1191">
            <v>0</v>
          </cell>
          <cell r="M1191">
            <v>0</v>
          </cell>
          <cell r="N1191">
            <v>0</v>
          </cell>
        </row>
        <row r="1192">
          <cell r="E1192">
            <v>0.08</v>
          </cell>
          <cell r="F1192">
            <v>0</v>
          </cell>
          <cell r="G1192">
            <v>0</v>
          </cell>
          <cell r="H1192">
            <v>0</v>
          </cell>
          <cell r="I1192">
            <v>0</v>
          </cell>
          <cell r="J1192">
            <v>0</v>
          </cell>
          <cell r="K1192">
            <v>0</v>
          </cell>
          <cell r="L1192">
            <v>0</v>
          </cell>
          <cell r="M1192">
            <v>0</v>
          </cell>
          <cell r="N1192">
            <v>0</v>
          </cell>
        </row>
        <row r="1202">
          <cell r="I1202">
            <v>0.35215470932314669</v>
          </cell>
          <cell r="J1202">
            <v>9.9037138927097659E-2</v>
          </cell>
          <cell r="K1202">
            <v>9.9037138927097659E-2</v>
          </cell>
          <cell r="L1202">
            <v>9.9037138927097659E-2</v>
          </cell>
          <cell r="M1202">
            <v>9.9037138927097659E-2</v>
          </cell>
          <cell r="N1202">
            <v>9.9037138927097659E-2</v>
          </cell>
        </row>
        <row r="1203">
          <cell r="I1203">
            <v>0.58053500284575987</v>
          </cell>
          <cell r="J1203">
            <v>0.56434657519088194</v>
          </cell>
          <cell r="K1203">
            <v>0.56434657519088194</v>
          </cell>
          <cell r="L1203">
            <v>0.56434657519088194</v>
          </cell>
          <cell r="M1203">
            <v>0.56434657519088194</v>
          </cell>
          <cell r="N1203">
            <v>0.56434657519088194</v>
          </cell>
        </row>
        <row r="1205">
          <cell r="I1205">
            <v>0.34145380524000263</v>
          </cell>
          <cell r="J1205">
            <v>0.10880077369439071</v>
          </cell>
          <cell r="K1205">
            <v>0.10880077369439071</v>
          </cell>
          <cell r="L1205">
            <v>0.10880077369439071</v>
          </cell>
          <cell r="M1205">
            <v>0.10880077369439071</v>
          </cell>
          <cell r="N1205">
            <v>0.10880077369439071</v>
          </cell>
        </row>
        <row r="1206">
          <cell r="I1206">
            <v>0.58125154588177097</v>
          </cell>
          <cell r="J1206">
            <v>0.58563403848452245</v>
          </cell>
          <cell r="K1206">
            <v>0.58563403848452245</v>
          </cell>
          <cell r="L1206">
            <v>0.58563403848452245</v>
          </cell>
          <cell r="M1206">
            <v>0.58563403848452245</v>
          </cell>
          <cell r="N1206">
            <v>0.58563403848452245</v>
          </cell>
        </row>
        <row r="1208">
          <cell r="I1208">
            <v>0.45901639344262296</v>
          </cell>
          <cell r="J1208">
            <v>0</v>
          </cell>
          <cell r="K1208">
            <v>0</v>
          </cell>
          <cell r="L1208">
            <v>0</v>
          </cell>
          <cell r="M1208">
            <v>0</v>
          </cell>
          <cell r="N1208">
            <v>0</v>
          </cell>
        </row>
        <row r="1209">
          <cell r="I1209">
            <v>0.57224606580829751</v>
          </cell>
          <cell r="J1209">
            <v>0.29850746268656719</v>
          </cell>
          <cell r="K1209">
            <v>0.29850746268656719</v>
          </cell>
          <cell r="L1209">
            <v>0.29850746268656719</v>
          </cell>
          <cell r="M1209">
            <v>0.29850746268656719</v>
          </cell>
          <cell r="N1209">
            <v>0.29850746268656719</v>
          </cell>
        </row>
        <row r="1212">
          <cell r="I1212">
            <v>0</v>
          </cell>
          <cell r="J1212">
            <v>0</v>
          </cell>
          <cell r="K1212">
            <v>0</v>
          </cell>
          <cell r="L1212">
            <v>0</v>
          </cell>
          <cell r="M1212">
            <v>0</v>
          </cell>
          <cell r="N1212">
            <v>0</v>
          </cell>
        </row>
        <row r="1213">
          <cell r="I1213">
            <v>0</v>
          </cell>
          <cell r="J1213">
            <v>0</v>
          </cell>
          <cell r="K1213">
            <v>0</v>
          </cell>
          <cell r="L1213">
            <v>0</v>
          </cell>
          <cell r="M1213">
            <v>0</v>
          </cell>
          <cell r="N1213">
            <v>0</v>
          </cell>
        </row>
        <row r="1215">
          <cell r="I1215">
            <v>0</v>
          </cell>
          <cell r="J1215">
            <v>0</v>
          </cell>
          <cell r="K1215">
            <v>0</v>
          </cell>
          <cell r="L1215">
            <v>0</v>
          </cell>
          <cell r="M1215">
            <v>0</v>
          </cell>
          <cell r="N1215">
            <v>0</v>
          </cell>
        </row>
        <row r="1216">
          <cell r="I1216">
            <v>0</v>
          </cell>
          <cell r="J1216">
            <v>0</v>
          </cell>
          <cell r="K1216">
            <v>0</v>
          </cell>
          <cell r="L1216">
            <v>0</v>
          </cell>
          <cell r="M1216">
            <v>0</v>
          </cell>
          <cell r="N1216">
            <v>0</v>
          </cell>
        </row>
        <row r="1218">
          <cell r="I1218" t="e">
            <v>#DIV/0!</v>
          </cell>
          <cell r="J1218" t="e">
            <v>#DIV/0!</v>
          </cell>
          <cell r="K1218" t="e">
            <v>#DIV/0!</v>
          </cell>
          <cell r="L1218" t="e">
            <v>#DIV/0!</v>
          </cell>
          <cell r="M1218" t="e">
            <v>#DIV/0!</v>
          </cell>
          <cell r="N1218" t="e">
            <v>#DIV/0!</v>
          </cell>
        </row>
        <row r="1219">
          <cell r="I1219" t="e">
            <v>#DIV/0!</v>
          </cell>
          <cell r="J1219" t="e">
            <v>#DIV/0!</v>
          </cell>
          <cell r="K1219" t="e">
            <v>#DIV/0!</v>
          </cell>
          <cell r="L1219" t="e">
            <v>#DIV/0!</v>
          </cell>
          <cell r="M1219" t="e">
            <v>#DIV/0!</v>
          </cell>
          <cell r="N1219" t="e">
            <v>#DIV/0!</v>
          </cell>
        </row>
        <row r="1251">
          <cell r="E1251">
            <v>0.06</v>
          </cell>
          <cell r="F1251">
            <v>0</v>
          </cell>
          <cell r="G1251">
            <v>0</v>
          </cell>
          <cell r="H1251">
            <v>0.02</v>
          </cell>
          <cell r="I1251">
            <v>0</v>
          </cell>
          <cell r="J1251">
            <v>0</v>
          </cell>
          <cell r="K1251">
            <v>0</v>
          </cell>
          <cell r="L1251">
            <v>0</v>
          </cell>
          <cell r="M1251">
            <v>0</v>
          </cell>
          <cell r="N1251">
            <v>0</v>
          </cell>
        </row>
        <row r="1252">
          <cell r="E1252">
            <v>0.08</v>
          </cell>
          <cell r="F1252">
            <v>0</v>
          </cell>
          <cell r="G1252">
            <v>0</v>
          </cell>
          <cell r="H1252">
            <v>0.01</v>
          </cell>
          <cell r="I1252">
            <v>0</v>
          </cell>
          <cell r="J1252">
            <v>0</v>
          </cell>
          <cell r="K1252">
            <v>0</v>
          </cell>
          <cell r="L1252">
            <v>0</v>
          </cell>
          <cell r="M1252">
            <v>0</v>
          </cell>
          <cell r="N1252">
            <v>0</v>
          </cell>
        </row>
        <row r="1261">
          <cell r="E1261">
            <v>98.58930724909554</v>
          </cell>
          <cell r="F1261">
            <v>98.779547588203513</v>
          </cell>
          <cell r="G1261">
            <v>99.106013670924966</v>
          </cell>
          <cell r="H1261">
            <v>99.153262473725789</v>
          </cell>
          <cell r="I1261">
            <v>99.37461273542084</v>
          </cell>
          <cell r="J1261">
            <v>99.370093414401197</v>
          </cell>
          <cell r="K1261">
            <v>95.604957257225564</v>
          </cell>
          <cell r="L1261">
            <v>99.414941494149417</v>
          </cell>
          <cell r="M1261">
            <v>99.634619776204616</v>
          </cell>
          <cell r="N1261">
            <v>99.378309924015667</v>
          </cell>
        </row>
        <row r="1262">
          <cell r="H1262">
            <v>99.163291235462111</v>
          </cell>
          <cell r="I1262">
            <v>99.349672740230673</v>
          </cell>
          <cell r="J1262">
            <v>99.357353881765292</v>
          </cell>
          <cell r="K1262">
            <v>95.269247404844293</v>
          </cell>
          <cell r="L1262">
            <v>99.312575818843513</v>
          </cell>
          <cell r="M1262">
            <v>99.713701431492836</v>
          </cell>
          <cell r="N1262">
            <v>99.432048681541588</v>
          </cell>
        </row>
        <row r="1263">
          <cell r="H1263">
            <v>99.045052434237505</v>
          </cell>
          <cell r="I1263">
            <v>99.648698456576824</v>
          </cell>
          <cell r="J1263">
            <v>99.51238872824176</v>
          </cell>
          <cell r="K1263">
            <v>99.478280594306455</v>
          </cell>
          <cell r="L1263">
            <v>99.543378995433784</v>
          </cell>
          <cell r="M1263">
            <v>99.534643226473634</v>
          </cell>
          <cell r="N1263">
            <v>99.30777422790203</v>
          </cell>
        </row>
        <row r="1264">
          <cell r="E1264">
            <v>99.639855942376954</v>
          </cell>
          <cell r="F1264">
            <v>100</v>
          </cell>
          <cell r="G1264">
            <v>99.578059071729967</v>
          </cell>
          <cell r="H1264">
            <v>100</v>
          </cell>
          <cell r="I1264">
            <v>99.890109890109898</v>
          </cell>
          <cell r="J1264">
            <v>100</v>
          </cell>
          <cell r="K1264">
            <v>100</v>
          </cell>
          <cell r="L1264" t="e">
            <v>#DIV/0!</v>
          </cell>
          <cell r="M1264" t="e">
            <v>#DIV/0!</v>
          </cell>
          <cell r="N1264" t="e">
            <v>#DIV/0!</v>
          </cell>
        </row>
        <row r="1265">
          <cell r="H1265">
            <v>100</v>
          </cell>
          <cell r="I1265">
            <v>99.890109890109898</v>
          </cell>
          <cell r="J1265">
            <v>100</v>
          </cell>
          <cell r="K1265">
            <v>100</v>
          </cell>
          <cell r="L1265" t="e">
            <v>#DIV/0!</v>
          </cell>
          <cell r="M1265" t="e">
            <v>#DIV/0!</v>
          </cell>
          <cell r="N1265" t="e">
            <v>#DIV/0!</v>
          </cell>
        </row>
        <row r="1266">
          <cell r="H1266" t="e">
            <v>#DIV/0!</v>
          </cell>
          <cell r="I1266" t="e">
            <v>#DIV/0!</v>
          </cell>
          <cell r="J1266" t="e">
            <v>#DIV/0!</v>
          </cell>
          <cell r="K1266" t="e">
            <v>#DIV/0!</v>
          </cell>
          <cell r="L1266" t="e">
            <v>#DIV/0!</v>
          </cell>
          <cell r="M1266" t="e">
            <v>#DIV/0!</v>
          </cell>
          <cell r="N1266" t="e">
            <v>#DIV/0!</v>
          </cell>
        </row>
        <row r="1292">
          <cell r="E1292">
            <v>63.988095238095234</v>
          </cell>
          <cell r="F1292">
            <v>65.269461077844312</v>
          </cell>
          <cell r="G1292">
            <v>70.245398773006144</v>
          </cell>
          <cell r="H1292">
            <v>68.338557993730404</v>
          </cell>
          <cell r="I1292">
            <v>69.496855345911939</v>
          </cell>
          <cell r="J1292">
            <v>70.967741935483872</v>
          </cell>
          <cell r="K1292">
            <v>73.289902280130292</v>
          </cell>
          <cell r="L1292">
            <v>44.444444444444443</v>
          </cell>
          <cell r="M1292">
            <v>44.444444444444443</v>
          </cell>
          <cell r="N1292">
            <v>44.444444444444443</v>
          </cell>
        </row>
        <row r="1293">
          <cell r="H1293">
            <v>80.365296803652967</v>
          </cell>
          <cell r="I1293">
            <v>80.454545454545453</v>
          </cell>
          <cell r="J1293">
            <v>78.604651162790702</v>
          </cell>
          <cell r="K1293">
            <v>81.690140845070431</v>
          </cell>
          <cell r="L1293">
            <v>80</v>
          </cell>
          <cell r="M1293">
            <v>80</v>
          </cell>
          <cell r="N1293">
            <v>80</v>
          </cell>
        </row>
        <row r="1294">
          <cell r="H1294">
            <v>42</v>
          </cell>
          <cell r="I1294">
            <v>44.897959183673471</v>
          </cell>
          <cell r="J1294">
            <v>53.684210526315788</v>
          </cell>
          <cell r="K1294">
            <v>54.255319148936167</v>
          </cell>
          <cell r="L1294">
            <v>30.76923076923077</v>
          </cell>
          <cell r="M1294">
            <v>30.76923076923077</v>
          </cell>
          <cell r="N1294">
            <v>30.76923076923077</v>
          </cell>
        </row>
        <row r="1295">
          <cell r="E1295">
            <v>40</v>
          </cell>
          <cell r="F1295">
            <v>20</v>
          </cell>
          <cell r="G1295">
            <v>20</v>
          </cell>
          <cell r="H1295">
            <v>0</v>
          </cell>
          <cell r="I1295">
            <v>0</v>
          </cell>
          <cell r="J1295">
            <v>0</v>
          </cell>
          <cell r="K1295">
            <v>0</v>
          </cell>
          <cell r="L1295" t="e">
            <v>#DIV/0!</v>
          </cell>
          <cell r="M1295" t="e">
            <v>#DIV/0!</v>
          </cell>
          <cell r="N1295" t="e">
            <v>#DIV/0!</v>
          </cell>
        </row>
        <row r="1296">
          <cell r="H1296">
            <v>0</v>
          </cell>
          <cell r="I1296">
            <v>0</v>
          </cell>
          <cell r="J1296">
            <v>0</v>
          </cell>
          <cell r="K1296">
            <v>0</v>
          </cell>
          <cell r="L1296" t="e">
            <v>#DIV/0!</v>
          </cell>
          <cell r="M1296" t="e">
            <v>#DIV/0!</v>
          </cell>
          <cell r="N1296" t="e">
            <v>#DIV/0!</v>
          </cell>
        </row>
        <row r="1297">
          <cell r="H1297" t="e">
            <v>#DIV/0!</v>
          </cell>
          <cell r="I1297" t="e">
            <v>#DIV/0!</v>
          </cell>
          <cell r="J1297" t="e">
            <v>#DIV/0!</v>
          </cell>
          <cell r="K1297" t="e">
            <v>#DIV/0!</v>
          </cell>
          <cell r="L1297" t="e">
            <v>#DIV/0!</v>
          </cell>
          <cell r="M1297" t="e">
            <v>#DIV/0!</v>
          </cell>
          <cell r="N1297" t="e">
            <v>#DIV/0!</v>
          </cell>
        </row>
        <row r="1319">
          <cell r="E1319">
            <v>95.043731778425652</v>
          </cell>
          <cell r="F1319">
            <v>95.575221238938056</v>
          </cell>
          <cell r="G1319">
            <v>96.060606060606062</v>
          </cell>
          <cell r="H1319">
            <v>98.447204968944106</v>
          </cell>
          <cell r="I1319">
            <v>98.742138364779876</v>
          </cell>
          <cell r="J1319">
            <v>99.032258064516128</v>
          </cell>
          <cell r="K1319">
            <v>99.348534201954394</v>
          </cell>
          <cell r="L1319" t="e">
            <v>#DIV/0!</v>
          </cell>
          <cell r="M1319" t="e">
            <v>#DIV/0!</v>
          </cell>
          <cell r="N1319" t="e">
            <v>#DIV/0!</v>
          </cell>
        </row>
        <row r="1320">
          <cell r="H1320">
            <v>98.198198198198199</v>
          </cell>
          <cell r="I1320">
            <v>98.636363636363626</v>
          </cell>
          <cell r="J1320">
            <v>99.069767441860463</v>
          </cell>
          <cell r="K1320">
            <v>99.53051643192488</v>
          </cell>
          <cell r="L1320" t="e">
            <v>#DIV/0!</v>
          </cell>
          <cell r="M1320" t="e">
            <v>#DIV/0!</v>
          </cell>
          <cell r="N1320" t="e">
            <v>#DIV/0!</v>
          </cell>
        </row>
        <row r="1321">
          <cell r="H1321">
            <v>99</v>
          </cell>
          <cell r="I1321">
            <v>98.979591836734699</v>
          </cell>
          <cell r="J1321">
            <v>98.94736842105263</v>
          </cell>
          <cell r="K1321">
            <v>98.936170212765958</v>
          </cell>
          <cell r="L1321" t="e">
            <v>#DIV/0!</v>
          </cell>
          <cell r="M1321" t="e">
            <v>#DIV/0!</v>
          </cell>
          <cell r="N1321" t="e">
            <v>#DIV/0!</v>
          </cell>
        </row>
        <row r="1322">
          <cell r="E1322">
            <v>80</v>
          </cell>
          <cell r="F1322">
            <v>80</v>
          </cell>
          <cell r="G1322">
            <v>80</v>
          </cell>
          <cell r="H1322">
            <v>100</v>
          </cell>
          <cell r="I1322">
            <v>100</v>
          </cell>
          <cell r="J1322">
            <v>100</v>
          </cell>
          <cell r="K1322">
            <v>100</v>
          </cell>
          <cell r="L1322" t="e">
            <v>#DIV/0!</v>
          </cell>
          <cell r="M1322" t="e">
            <v>#DIV/0!</v>
          </cell>
          <cell r="N1322" t="e">
            <v>#DIV/0!</v>
          </cell>
        </row>
        <row r="1323">
          <cell r="H1323">
            <v>100</v>
          </cell>
          <cell r="I1323">
            <v>100</v>
          </cell>
          <cell r="J1323">
            <v>100</v>
          </cell>
          <cell r="K1323">
            <v>100</v>
          </cell>
          <cell r="L1323" t="e">
            <v>#DIV/0!</v>
          </cell>
          <cell r="M1323" t="e">
            <v>#DIV/0!</v>
          </cell>
          <cell r="N1323" t="e">
            <v>#DIV/0!</v>
          </cell>
        </row>
        <row r="1324">
          <cell r="H1324" t="e">
            <v>#DIV/0!</v>
          </cell>
          <cell r="I1324" t="e">
            <v>#DIV/0!</v>
          </cell>
          <cell r="J1324" t="e">
            <v>#DIV/0!</v>
          </cell>
          <cell r="K1324" t="e">
            <v>#DIV/0!</v>
          </cell>
          <cell r="L1324" t="e">
            <v>#DIV/0!</v>
          </cell>
          <cell r="M1324" t="e">
            <v>#DIV/0!</v>
          </cell>
          <cell r="N1324" t="e">
            <v>#DIV/0!</v>
          </cell>
        </row>
        <row r="1348">
          <cell r="E1348">
            <v>11.078717201166182</v>
          </cell>
          <cell r="F1348">
            <v>12.684365781710916</v>
          </cell>
          <cell r="G1348">
            <v>13.030303030303031</v>
          </cell>
          <cell r="H1348">
            <v>13.975155279503104</v>
          </cell>
          <cell r="I1348">
            <v>14.779874213836477</v>
          </cell>
          <cell r="J1348">
            <v>14.838709677419354</v>
          </cell>
          <cell r="K1348">
            <v>14.983713355048861</v>
          </cell>
          <cell r="L1348" t="e">
            <v>#DIV/0!</v>
          </cell>
          <cell r="M1348" t="e">
            <v>#DIV/0!</v>
          </cell>
          <cell r="N1348" t="e">
            <v>#DIV/0!</v>
          </cell>
        </row>
        <row r="1349">
          <cell r="H1349">
            <v>18.468468468468469</v>
          </cell>
          <cell r="I1349">
            <v>19.545454545454547</v>
          </cell>
          <cell r="J1349">
            <v>19.069767441860467</v>
          </cell>
          <cell r="K1349">
            <v>20.187793427230048</v>
          </cell>
          <cell r="L1349" t="e">
            <v>#DIV/0!</v>
          </cell>
          <cell r="M1349" t="e">
            <v>#DIV/0!</v>
          </cell>
          <cell r="N1349" t="e">
            <v>#DIV/0!</v>
          </cell>
        </row>
        <row r="1350">
          <cell r="H1350">
            <v>4</v>
          </cell>
          <cell r="I1350">
            <v>4.0816326530612246</v>
          </cell>
          <cell r="J1350">
            <v>5.2631578947368416</v>
          </cell>
          <cell r="K1350">
            <v>3.1914893617021276</v>
          </cell>
          <cell r="L1350" t="e">
            <v>#DIV/0!</v>
          </cell>
          <cell r="M1350" t="e">
            <v>#DIV/0!</v>
          </cell>
          <cell r="N1350" t="e">
            <v>#DIV/0!</v>
          </cell>
        </row>
        <row r="1351">
          <cell r="E1351">
            <v>0</v>
          </cell>
          <cell r="F1351">
            <v>0</v>
          </cell>
          <cell r="G1351">
            <v>0</v>
          </cell>
          <cell r="H1351">
            <v>0</v>
          </cell>
          <cell r="I1351">
            <v>0</v>
          </cell>
          <cell r="J1351">
            <v>0</v>
          </cell>
          <cell r="K1351">
            <v>0</v>
          </cell>
          <cell r="L1351" t="e">
            <v>#DIV/0!</v>
          </cell>
          <cell r="M1351" t="e">
            <v>#DIV/0!</v>
          </cell>
          <cell r="N1351" t="e">
            <v>#DIV/0!</v>
          </cell>
        </row>
        <row r="1352">
          <cell r="H1352">
            <v>0</v>
          </cell>
          <cell r="I1352">
            <v>0</v>
          </cell>
          <cell r="J1352">
            <v>0</v>
          </cell>
          <cell r="K1352">
            <v>0</v>
          </cell>
          <cell r="L1352" t="e">
            <v>#DIV/0!</v>
          </cell>
          <cell r="M1352" t="e">
            <v>#DIV/0!</v>
          </cell>
          <cell r="N1352" t="e">
            <v>#DIV/0!</v>
          </cell>
        </row>
        <row r="1353">
          <cell r="H1353" t="e">
            <v>#DIV/0!</v>
          </cell>
          <cell r="I1353" t="e">
            <v>#DIV/0!</v>
          </cell>
          <cell r="J1353" t="e">
            <v>#DIV/0!</v>
          </cell>
          <cell r="K1353" t="e">
            <v>#DIV/0!</v>
          </cell>
          <cell r="L1353" t="e">
            <v>#DIV/0!</v>
          </cell>
          <cell r="M1353" t="e">
            <v>#DIV/0!</v>
          </cell>
          <cell r="N1353" t="e">
            <v>#DIV/0!</v>
          </cell>
        </row>
        <row r="1379">
          <cell r="E1379">
            <v>95.277777777777771</v>
          </cell>
          <cell r="F1379">
            <v>98.833819241982511</v>
          </cell>
          <cell r="G1379">
            <v>97.345132743362825</v>
          </cell>
          <cell r="H1379">
            <v>100.90909090909091</v>
          </cell>
          <cell r="I1379">
            <v>98.798798798798799</v>
          </cell>
          <cell r="J1379">
            <v>98.784194528875375</v>
          </cell>
          <cell r="K1379">
            <v>98.461538461538467</v>
          </cell>
          <cell r="L1379">
            <v>100</v>
          </cell>
          <cell r="M1379">
            <v>100</v>
          </cell>
          <cell r="N1379">
            <v>100</v>
          </cell>
        </row>
        <row r="1380">
          <cell r="E1380">
            <v>95.435684647302907</v>
          </cell>
          <cell r="F1380">
            <v>99.130434782608702</v>
          </cell>
          <cell r="G1380">
            <v>97.368421052631575</v>
          </cell>
          <cell r="H1380">
            <v>102.25225225225225</v>
          </cell>
          <cell r="I1380">
            <v>98.23788546255507</v>
          </cell>
          <cell r="J1380">
            <v>99.103139013452918</v>
          </cell>
          <cell r="K1380">
            <v>98.19004524886877</v>
          </cell>
          <cell r="L1380">
            <v>100</v>
          </cell>
          <cell r="M1380">
            <v>100</v>
          </cell>
          <cell r="N1380">
            <v>100</v>
          </cell>
        </row>
        <row r="1381">
          <cell r="E1381">
            <v>94.9579831932773</v>
          </cell>
          <cell r="F1381">
            <v>98.230088495575217</v>
          </cell>
          <cell r="G1381">
            <v>97.297297297297305</v>
          </cell>
          <cell r="H1381">
            <v>98.148148148148152</v>
          </cell>
          <cell r="I1381">
            <v>100</v>
          </cell>
          <cell r="J1381">
            <v>98.113207547169807</v>
          </cell>
          <cell r="K1381">
            <v>99.038461538461547</v>
          </cell>
          <cell r="L1381">
            <v>100</v>
          </cell>
          <cell r="M1381">
            <v>100</v>
          </cell>
          <cell r="N1381">
            <v>100</v>
          </cell>
        </row>
        <row r="1382">
          <cell r="E1382">
            <v>83.333333333333343</v>
          </cell>
          <cell r="F1382">
            <v>100</v>
          </cell>
          <cell r="G1382">
            <v>100</v>
          </cell>
          <cell r="H1382">
            <v>80</v>
          </cell>
          <cell r="I1382">
            <v>100</v>
          </cell>
          <cell r="J1382">
            <v>100</v>
          </cell>
          <cell r="K1382">
            <v>100</v>
          </cell>
          <cell r="L1382">
            <v>100</v>
          </cell>
          <cell r="M1382">
            <v>100</v>
          </cell>
          <cell r="N1382">
            <v>100</v>
          </cell>
        </row>
        <row r="1383">
          <cell r="E1383">
            <v>83.333333333333343</v>
          </cell>
          <cell r="F1383">
            <v>100</v>
          </cell>
          <cell r="G1383">
            <v>100</v>
          </cell>
          <cell r="H1383">
            <v>80</v>
          </cell>
          <cell r="I1383">
            <v>100</v>
          </cell>
          <cell r="J1383">
            <v>100</v>
          </cell>
          <cell r="K1383">
            <v>100</v>
          </cell>
          <cell r="L1383">
            <v>100</v>
          </cell>
          <cell r="M1383">
            <v>100</v>
          </cell>
          <cell r="N1383">
            <v>100</v>
          </cell>
        </row>
        <row r="1384">
          <cell r="E1384" t="e">
            <v>#DIV/0!</v>
          </cell>
          <cell r="F1384" t="e">
            <v>#DIV/0!</v>
          </cell>
          <cell r="G1384" t="e">
            <v>#DIV/0!</v>
          </cell>
          <cell r="H1384" t="e">
            <v>#DIV/0!</v>
          </cell>
          <cell r="I1384" t="e">
            <v>#DIV/0!</v>
          </cell>
          <cell r="J1384" t="e">
            <v>#DIV/0!</v>
          </cell>
          <cell r="K1384" t="e">
            <v>#DIV/0!</v>
          </cell>
          <cell r="L1384">
            <v>100</v>
          </cell>
          <cell r="M1384">
            <v>100</v>
          </cell>
          <cell r="N1384">
            <v>100</v>
          </cell>
        </row>
        <row r="1404">
          <cell r="E1404">
            <v>139.91798426750489</v>
          </cell>
          <cell r="F1404">
            <v>152.9619181368077</v>
          </cell>
          <cell r="G1404">
            <v>151.01476332209356</v>
          </cell>
          <cell r="H1404">
            <v>159.84008547068908</v>
          </cell>
        </row>
        <row r="1405">
          <cell r="E1405">
            <v>139.95750781377649</v>
          </cell>
          <cell r="F1405">
            <v>153.01156218147375</v>
          </cell>
          <cell r="G1405">
            <v>151.0857300363044</v>
          </cell>
          <cell r="H1405">
            <v>159.93867934562937</v>
          </cell>
          <cell r="I1405">
            <v>153.99419320509526</v>
          </cell>
          <cell r="J1405">
            <v>163.25577250111741</v>
          </cell>
          <cell r="L1405">
            <v>284.30156722915541</v>
          </cell>
          <cell r="M1405">
            <v>309.48823910003546</v>
          </cell>
          <cell r="N1405">
            <v>338.37691237830325</v>
          </cell>
        </row>
        <row r="1406">
          <cell r="E1406">
            <v>130.90504807692307</v>
          </cell>
          <cell r="F1406">
            <v>141.64319248826291</v>
          </cell>
          <cell r="G1406">
            <v>135.2254143646409</v>
          </cell>
          <cell r="H1406">
            <v>135.92690417690417</v>
          </cell>
          <cell r="I1406">
            <v>140.45652173913044</v>
          </cell>
          <cell r="J1406">
            <v>149.12617743702083</v>
          </cell>
          <cell r="K1406">
            <v>151.284425349087</v>
          </cell>
          <cell r="L1406" t="e">
            <v>#DIV/0!</v>
          </cell>
          <cell r="M1406" t="e">
            <v>#DIV/0!</v>
          </cell>
          <cell r="N1406" t="e">
            <v>#DIV/0!</v>
          </cell>
        </row>
        <row r="1443">
          <cell r="E1443">
            <v>1.2220645644395998</v>
          </cell>
          <cell r="F1443">
            <v>1.2452499920264057</v>
          </cell>
          <cell r="G1443">
            <v>1.5604752746941191</v>
          </cell>
          <cell r="H1443">
            <v>1.8513603310172984</v>
          </cell>
          <cell r="I1443">
            <v>1.9785582308560552</v>
          </cell>
          <cell r="J1443">
            <v>1.8710606290674079</v>
          </cell>
          <cell r="K1443">
            <v>2.2126155837190944</v>
          </cell>
          <cell r="L1443">
            <v>0</v>
          </cell>
          <cell r="M1443">
            <v>0</v>
          </cell>
          <cell r="N1443">
            <v>0</v>
          </cell>
        </row>
        <row r="1444">
          <cell r="E1444">
            <v>18.256773755199106</v>
          </cell>
          <cell r="F1444">
            <v>21.812230692741132</v>
          </cell>
          <cell r="G1444">
            <v>17.225994655945872</v>
          </cell>
          <cell r="H1444">
            <v>8.1036111148769265</v>
          </cell>
          <cell r="I1444">
            <v>5.665510735933271</v>
          </cell>
          <cell r="J1444">
            <v>9.6229073052069651</v>
          </cell>
          <cell r="K1444">
            <v>8.9313277357223306</v>
          </cell>
          <cell r="L1444" t="e">
            <v>#DIV/0!</v>
          </cell>
          <cell r="M1444" t="e">
            <v>#DIV/0!</v>
          </cell>
          <cell r="N1444" t="e">
            <v>#DIV/0!</v>
          </cell>
        </row>
        <row r="1461">
          <cell r="E1461">
            <v>67.638483965014572</v>
          </cell>
          <cell r="F1461">
            <v>67.846607669616517</v>
          </cell>
          <cell r="G1461">
            <v>70</v>
          </cell>
          <cell r="H1461">
            <v>78.571428571428569</v>
          </cell>
          <cell r="I1461" t="e">
            <v>#DIV/0!</v>
          </cell>
          <cell r="J1461" t="e">
            <v>#DIV/0!</v>
          </cell>
          <cell r="K1461" t="e">
            <v>#DIV/0!</v>
          </cell>
          <cell r="L1461" t="e">
            <v>#DIV/0!</v>
          </cell>
          <cell r="M1461" t="e">
            <v>#DIV/0!</v>
          </cell>
          <cell r="N1461" t="e">
            <v>#DIV/0!</v>
          </cell>
        </row>
        <row r="1462">
          <cell r="H1462">
            <v>83.333333333333343</v>
          </cell>
          <cell r="I1462" t="e">
            <v>#DIV/0!</v>
          </cell>
          <cell r="J1462" t="e">
            <v>#DIV/0!</v>
          </cell>
          <cell r="K1462" t="e">
            <v>#DIV/0!</v>
          </cell>
          <cell r="L1462" t="e">
            <v>#DIV/0!</v>
          </cell>
          <cell r="M1462" t="e">
            <v>#DIV/0!</v>
          </cell>
          <cell r="N1462" t="e">
            <v>#DIV/0!</v>
          </cell>
        </row>
        <row r="1463">
          <cell r="H1463">
            <v>68</v>
          </cell>
          <cell r="I1463" t="e">
            <v>#DIV/0!</v>
          </cell>
          <cell r="J1463" t="e">
            <v>#DIV/0!</v>
          </cell>
          <cell r="K1463" t="e">
            <v>#DIV/0!</v>
          </cell>
          <cell r="L1463" t="e">
            <v>#DIV/0!</v>
          </cell>
          <cell r="M1463" t="e">
            <v>#DIV/0!</v>
          </cell>
          <cell r="N1463" t="e">
            <v>#DIV/0!</v>
          </cell>
        </row>
        <row r="1464">
          <cell r="E1464">
            <v>60</v>
          </cell>
          <cell r="F1464">
            <v>60</v>
          </cell>
          <cell r="G1464">
            <v>60</v>
          </cell>
          <cell r="H1464">
            <v>75</v>
          </cell>
          <cell r="I1464" t="e">
            <v>#DIV/0!</v>
          </cell>
          <cell r="J1464" t="e">
            <v>#DIV/0!</v>
          </cell>
          <cell r="K1464" t="e">
            <v>#DIV/0!</v>
          </cell>
          <cell r="L1464" t="e">
            <v>#DIV/0!</v>
          </cell>
          <cell r="M1464" t="e">
            <v>#DIV/0!</v>
          </cell>
          <cell r="N1464" t="e">
            <v>#DIV/0!</v>
          </cell>
        </row>
        <row r="1465">
          <cell r="H1465">
            <v>75</v>
          </cell>
          <cell r="I1465" t="e">
            <v>#DIV/0!</v>
          </cell>
          <cell r="J1465" t="e">
            <v>#DIV/0!</v>
          </cell>
          <cell r="K1465" t="e">
            <v>#DIV/0!</v>
          </cell>
          <cell r="L1465" t="e">
            <v>#DIV/0!</v>
          </cell>
          <cell r="M1465" t="e">
            <v>#DIV/0!</v>
          </cell>
          <cell r="N1465" t="e">
            <v>#DIV/0!</v>
          </cell>
        </row>
        <row r="1466">
          <cell r="H1466" t="e">
            <v>#DIV/0!</v>
          </cell>
          <cell r="I1466" t="e">
            <v>#DIV/0!</v>
          </cell>
          <cell r="J1466" t="e">
            <v>#DIV/0!</v>
          </cell>
          <cell r="K1466" t="e">
            <v>#DIV/0!</v>
          </cell>
          <cell r="L1466" t="e">
            <v>#DIV/0!</v>
          </cell>
          <cell r="M1466" t="e">
            <v>#DIV/0!</v>
          </cell>
          <cell r="N1466" t="e">
            <v>#DIV/0!</v>
          </cell>
        </row>
        <row r="1501">
          <cell r="E1501">
            <v>91.83673469387756</v>
          </cell>
          <cell r="F1501">
            <v>92.330383480825958</v>
          </cell>
          <cell r="G1501">
            <v>91.818181818181827</v>
          </cell>
          <cell r="H1501">
            <v>94.099378881987576</v>
          </cell>
          <cell r="I1501">
            <v>96.540880503144649</v>
          </cell>
          <cell r="J1501">
            <v>94.444444444444443</v>
          </cell>
          <cell r="K1501">
            <v>94.658119658119659</v>
          </cell>
          <cell r="L1501">
            <v>100</v>
          </cell>
          <cell r="M1501">
            <v>100</v>
          </cell>
          <cell r="N1501">
            <v>100</v>
          </cell>
        </row>
        <row r="1502">
          <cell r="H1502">
            <v>99.099099099099092</v>
          </cell>
          <cell r="I1502">
            <v>100</v>
          </cell>
          <cell r="J1502">
            <v>95.283018867924525</v>
          </cell>
          <cell r="K1502">
            <v>95.25316455696202</v>
          </cell>
          <cell r="L1502">
            <v>100</v>
          </cell>
          <cell r="M1502">
            <v>100</v>
          </cell>
          <cell r="N1502">
            <v>100</v>
          </cell>
        </row>
        <row r="1503">
          <cell r="H1503">
            <v>83</v>
          </cell>
          <cell r="I1503">
            <v>88.775510204081627</v>
          </cell>
          <cell r="J1503">
            <v>92.666666666666657</v>
          </cell>
          <cell r="K1503">
            <v>93.421052631578945</v>
          </cell>
          <cell r="L1503">
            <v>100</v>
          </cell>
          <cell r="M1503">
            <v>100</v>
          </cell>
          <cell r="N1503">
            <v>100</v>
          </cell>
        </row>
        <row r="1504">
          <cell r="E1504">
            <v>80</v>
          </cell>
          <cell r="F1504">
            <v>60</v>
          </cell>
          <cell r="G1504">
            <v>60</v>
          </cell>
          <cell r="H1504">
            <v>75</v>
          </cell>
          <cell r="I1504">
            <v>75</v>
          </cell>
          <cell r="J1504">
            <v>100</v>
          </cell>
          <cell r="K1504">
            <v>100</v>
          </cell>
          <cell r="L1504" t="e">
            <v>#DIV/0!</v>
          </cell>
          <cell r="M1504" t="e">
            <v>#DIV/0!</v>
          </cell>
          <cell r="N1504" t="e">
            <v>#DIV/0!</v>
          </cell>
        </row>
        <row r="1505">
          <cell r="H1505">
            <v>75</v>
          </cell>
          <cell r="I1505">
            <v>75</v>
          </cell>
          <cell r="J1505">
            <v>100</v>
          </cell>
          <cell r="K1505">
            <v>100</v>
          </cell>
          <cell r="L1505" t="e">
            <v>#DIV/0!</v>
          </cell>
          <cell r="M1505" t="e">
            <v>#DIV/0!</v>
          </cell>
          <cell r="N1505" t="e">
            <v>#DIV/0!</v>
          </cell>
        </row>
        <row r="1506">
          <cell r="H1506" t="e">
            <v>#DIV/0!</v>
          </cell>
          <cell r="I1506" t="e">
            <v>#DIV/0!</v>
          </cell>
          <cell r="J1506" t="e">
            <v>#DIV/0!</v>
          </cell>
          <cell r="K1506" t="e">
            <v>#DIV/0!</v>
          </cell>
          <cell r="L1506" t="e">
            <v>#DIV/0!</v>
          </cell>
          <cell r="M1506" t="e">
            <v>#DIV/0!</v>
          </cell>
          <cell r="N1506" t="e">
            <v>#DIV/0!</v>
          </cell>
        </row>
        <row r="1530">
          <cell r="E1530">
            <v>94.169096209912539</v>
          </cell>
          <cell r="F1530">
            <v>93.805309734513273</v>
          </cell>
          <cell r="G1530">
            <v>95.757575757575751</v>
          </cell>
          <cell r="H1530">
            <v>97.204968944099377</v>
          </cell>
          <cell r="I1530" t="e">
            <v>#DIV/0!</v>
          </cell>
          <cell r="J1530" t="e">
            <v>#DIV/0!</v>
          </cell>
          <cell r="K1530" t="e">
            <v>#DIV/0!</v>
          </cell>
          <cell r="L1530" t="e">
            <v>#DIV/0!</v>
          </cell>
          <cell r="M1530" t="e">
            <v>#DIV/0!</v>
          </cell>
          <cell r="N1530" t="e">
            <v>#DIV/0!</v>
          </cell>
        </row>
        <row r="1531">
          <cell r="H1531">
            <v>97.747747747747752</v>
          </cell>
          <cell r="I1531" t="e">
            <v>#DIV/0!</v>
          </cell>
          <cell r="J1531" t="e">
            <v>#DIV/0!</v>
          </cell>
          <cell r="K1531" t="e">
            <v>#DIV/0!</v>
          </cell>
          <cell r="L1531" t="e">
            <v>#DIV/0!</v>
          </cell>
          <cell r="M1531" t="e">
            <v>#DIV/0!</v>
          </cell>
          <cell r="N1531" t="e">
            <v>#DIV/0!</v>
          </cell>
        </row>
        <row r="1532">
          <cell r="H1532">
            <v>96</v>
          </cell>
          <cell r="I1532" t="e">
            <v>#DIV/0!</v>
          </cell>
          <cell r="J1532" t="e">
            <v>#DIV/0!</v>
          </cell>
          <cell r="K1532" t="e">
            <v>#DIV/0!</v>
          </cell>
          <cell r="L1532" t="e">
            <v>#DIV/0!</v>
          </cell>
          <cell r="M1532" t="e">
            <v>#DIV/0!</v>
          </cell>
          <cell r="N1532" t="e">
            <v>#DIV/0!</v>
          </cell>
        </row>
        <row r="1533">
          <cell r="E1533">
            <v>100</v>
          </cell>
          <cell r="F1533">
            <v>100</v>
          </cell>
          <cell r="G1533">
            <v>100</v>
          </cell>
          <cell r="H1533">
            <v>100</v>
          </cell>
          <cell r="I1533" t="e">
            <v>#DIV/0!</v>
          </cell>
          <cell r="J1533" t="e">
            <v>#DIV/0!</v>
          </cell>
          <cell r="K1533" t="e">
            <v>#DIV/0!</v>
          </cell>
          <cell r="L1533" t="e">
            <v>#DIV/0!</v>
          </cell>
          <cell r="M1533" t="e">
            <v>#DIV/0!</v>
          </cell>
          <cell r="N1533" t="e">
            <v>#DIV/0!</v>
          </cell>
        </row>
        <row r="1534">
          <cell r="H1534">
            <v>100</v>
          </cell>
          <cell r="I1534" t="e">
            <v>#DIV/0!</v>
          </cell>
          <cell r="J1534" t="e">
            <v>#DIV/0!</v>
          </cell>
          <cell r="K1534" t="e">
            <v>#DIV/0!</v>
          </cell>
          <cell r="L1534" t="e">
            <v>#DIV/0!</v>
          </cell>
          <cell r="M1534" t="e">
            <v>#DIV/0!</v>
          </cell>
          <cell r="N1534" t="e">
            <v>#DIV/0!</v>
          </cell>
        </row>
        <row r="1535">
          <cell r="H1535" t="e">
            <v>#DIV/0!</v>
          </cell>
          <cell r="I1535" t="e">
            <v>#DIV/0!</v>
          </cell>
          <cell r="J1535" t="e">
            <v>#DIV/0!</v>
          </cell>
          <cell r="K1535" t="e">
            <v>#DIV/0!</v>
          </cell>
          <cell r="L1535" t="e">
            <v>#DIV/0!</v>
          </cell>
          <cell r="M1535" t="e">
            <v>#DIV/0!</v>
          </cell>
          <cell r="N1535" t="e">
            <v>#DIV/0!</v>
          </cell>
        </row>
        <row r="1559">
          <cell r="E1559">
            <v>81.341107871720126</v>
          </cell>
          <cell r="F1559">
            <v>83.48082595870207</v>
          </cell>
          <cell r="G1559">
            <v>85.151515151515156</v>
          </cell>
          <cell r="H1559">
            <v>97.204968944099377</v>
          </cell>
          <cell r="I1559" t="e">
            <v>#DIV/0!</v>
          </cell>
          <cell r="J1559" t="e">
            <v>#DIV/0!</v>
          </cell>
          <cell r="K1559" t="e">
            <v>#DIV/0!</v>
          </cell>
          <cell r="L1559" t="e">
            <v>#DIV/0!</v>
          </cell>
          <cell r="M1559" t="e">
            <v>#DIV/0!</v>
          </cell>
          <cell r="N1559" t="e">
            <v>#DIV/0!</v>
          </cell>
        </row>
        <row r="1560">
          <cell r="H1560">
            <v>98.198198198198199</v>
          </cell>
          <cell r="I1560" t="e">
            <v>#DIV/0!</v>
          </cell>
          <cell r="J1560" t="e">
            <v>#DIV/0!</v>
          </cell>
          <cell r="K1560" t="e">
            <v>#DIV/0!</v>
          </cell>
          <cell r="L1560" t="e">
            <v>#DIV/0!</v>
          </cell>
          <cell r="M1560" t="e">
            <v>#DIV/0!</v>
          </cell>
          <cell r="N1560" t="e">
            <v>#DIV/0!</v>
          </cell>
        </row>
        <row r="1561">
          <cell r="H1561">
            <v>95</v>
          </cell>
          <cell r="I1561" t="e">
            <v>#DIV/0!</v>
          </cell>
          <cell r="J1561" t="e">
            <v>#DIV/0!</v>
          </cell>
          <cell r="K1561" t="e">
            <v>#DIV/0!</v>
          </cell>
          <cell r="L1561" t="e">
            <v>#DIV/0!</v>
          </cell>
          <cell r="M1561" t="e">
            <v>#DIV/0!</v>
          </cell>
          <cell r="N1561" t="e">
            <v>#DIV/0!</v>
          </cell>
        </row>
        <row r="1562">
          <cell r="E1562">
            <v>100</v>
          </cell>
          <cell r="F1562">
            <v>100</v>
          </cell>
          <cell r="G1562">
            <v>100</v>
          </cell>
          <cell r="H1562">
            <v>100</v>
          </cell>
          <cell r="I1562" t="e">
            <v>#DIV/0!</v>
          </cell>
          <cell r="J1562" t="e">
            <v>#DIV/0!</v>
          </cell>
          <cell r="K1562" t="e">
            <v>#DIV/0!</v>
          </cell>
          <cell r="L1562" t="e">
            <v>#DIV/0!</v>
          </cell>
          <cell r="M1562" t="e">
            <v>#DIV/0!</v>
          </cell>
          <cell r="N1562" t="e">
            <v>#DIV/0!</v>
          </cell>
        </row>
        <row r="1563">
          <cell r="H1563">
            <v>100</v>
          </cell>
          <cell r="I1563" t="e">
            <v>#DIV/0!</v>
          </cell>
          <cell r="J1563" t="e">
            <v>#DIV/0!</v>
          </cell>
          <cell r="K1563" t="e">
            <v>#DIV/0!</v>
          </cell>
          <cell r="L1563" t="e">
            <v>#DIV/0!</v>
          </cell>
          <cell r="M1563" t="e">
            <v>#DIV/0!</v>
          </cell>
          <cell r="N1563" t="e">
            <v>#DIV/0!</v>
          </cell>
        </row>
        <row r="1564">
          <cell r="H1564" t="e">
            <v>#DIV/0!</v>
          </cell>
          <cell r="I1564" t="e">
            <v>#DIV/0!</v>
          </cell>
          <cell r="J1564" t="e">
            <v>#DIV/0!</v>
          </cell>
          <cell r="K1564" t="e">
            <v>#DIV/0!</v>
          </cell>
          <cell r="L1564" t="e">
            <v>#DIV/0!</v>
          </cell>
          <cell r="M1564" t="e">
            <v>#DIV/0!</v>
          </cell>
          <cell r="N1564" t="e">
            <v>#DIV/0!</v>
          </cell>
        </row>
        <row r="1588">
          <cell r="E1588">
            <v>91.83673469387756</v>
          </cell>
          <cell r="F1588">
            <v>94.395280235988196</v>
          </cell>
          <cell r="G1588">
            <v>97.27272727272728</v>
          </cell>
          <cell r="H1588">
            <v>99.689440993788821</v>
          </cell>
          <cell r="I1588" t="e">
            <v>#DIV/0!</v>
          </cell>
          <cell r="J1588" t="e">
            <v>#DIV/0!</v>
          </cell>
          <cell r="K1588" t="e">
            <v>#DIV/0!</v>
          </cell>
          <cell r="L1588" t="e">
            <v>#DIV/0!</v>
          </cell>
          <cell r="M1588" t="e">
            <v>#DIV/0!</v>
          </cell>
          <cell r="N1588" t="e">
            <v>#DIV/0!</v>
          </cell>
        </row>
        <row r="1589">
          <cell r="H1589">
            <v>100</v>
          </cell>
          <cell r="I1589" t="e">
            <v>#DIV/0!</v>
          </cell>
          <cell r="J1589" t="e">
            <v>#DIV/0!</v>
          </cell>
          <cell r="K1589" t="e">
            <v>#DIV/0!</v>
          </cell>
          <cell r="L1589" t="e">
            <v>#DIV/0!</v>
          </cell>
          <cell r="M1589" t="e">
            <v>#DIV/0!</v>
          </cell>
          <cell r="N1589" t="e">
            <v>#DIV/0!</v>
          </cell>
        </row>
        <row r="1590">
          <cell r="H1590">
            <v>99</v>
          </cell>
          <cell r="I1590" t="e">
            <v>#DIV/0!</v>
          </cell>
          <cell r="J1590" t="e">
            <v>#DIV/0!</v>
          </cell>
          <cell r="K1590" t="e">
            <v>#DIV/0!</v>
          </cell>
          <cell r="L1590" t="e">
            <v>#DIV/0!</v>
          </cell>
          <cell r="M1590" t="e">
            <v>#DIV/0!</v>
          </cell>
          <cell r="N1590" t="e">
            <v>#DIV/0!</v>
          </cell>
        </row>
        <row r="1591">
          <cell r="E1591">
            <v>80</v>
          </cell>
          <cell r="F1591">
            <v>60</v>
          </cell>
          <cell r="G1591">
            <v>60</v>
          </cell>
          <cell r="H1591">
            <v>100</v>
          </cell>
          <cell r="I1591" t="e">
            <v>#DIV/0!</v>
          </cell>
          <cell r="J1591" t="e">
            <v>#DIV/0!</v>
          </cell>
          <cell r="K1591" t="e">
            <v>#DIV/0!</v>
          </cell>
          <cell r="L1591" t="e">
            <v>#DIV/0!</v>
          </cell>
          <cell r="M1591" t="e">
            <v>#DIV/0!</v>
          </cell>
          <cell r="N1591" t="e">
            <v>#DIV/0!</v>
          </cell>
        </row>
        <row r="1592">
          <cell r="H1592">
            <v>100</v>
          </cell>
          <cell r="I1592" t="e">
            <v>#DIV/0!</v>
          </cell>
          <cell r="J1592" t="e">
            <v>#DIV/0!</v>
          </cell>
          <cell r="K1592" t="e">
            <v>#DIV/0!</v>
          </cell>
          <cell r="L1592" t="e">
            <v>#DIV/0!</v>
          </cell>
          <cell r="M1592" t="e">
            <v>#DIV/0!</v>
          </cell>
          <cell r="N1592" t="e">
            <v>#DIV/0!</v>
          </cell>
        </row>
        <row r="1593">
          <cell r="H1593" t="e">
            <v>#DIV/0!</v>
          </cell>
          <cell r="I1593" t="e">
            <v>#DIV/0!</v>
          </cell>
          <cell r="J1593" t="e">
            <v>#DIV/0!</v>
          </cell>
          <cell r="K1593" t="e">
            <v>#DIV/0!</v>
          </cell>
          <cell r="L1593" t="e">
            <v>#DIV/0!</v>
          </cell>
          <cell r="M1593" t="e">
            <v>#DIV/0!</v>
          </cell>
          <cell r="N1593" t="e">
            <v>#DIV/0!</v>
          </cell>
        </row>
        <row r="1617">
          <cell r="E1617">
            <v>0.29154518950437319</v>
          </cell>
          <cell r="F1617">
            <v>0</v>
          </cell>
          <cell r="G1617">
            <v>0</v>
          </cell>
          <cell r="H1617">
            <v>0</v>
          </cell>
          <cell r="I1617">
            <v>0</v>
          </cell>
          <cell r="J1617">
            <v>0</v>
          </cell>
          <cell r="K1617">
            <v>0</v>
          </cell>
          <cell r="L1617">
            <v>0</v>
          </cell>
          <cell r="M1617">
            <v>0</v>
          </cell>
          <cell r="N1617">
            <v>0</v>
          </cell>
        </row>
        <row r="1618">
          <cell r="H1618">
            <v>0</v>
          </cell>
          <cell r="I1618">
            <v>0</v>
          </cell>
          <cell r="J1618">
            <v>0</v>
          </cell>
          <cell r="K1618">
            <v>0</v>
          </cell>
          <cell r="L1618">
            <v>0</v>
          </cell>
          <cell r="M1618">
            <v>0</v>
          </cell>
          <cell r="N1618">
            <v>0</v>
          </cell>
        </row>
        <row r="1619">
          <cell r="H1619">
            <v>0</v>
          </cell>
          <cell r="I1619">
            <v>0</v>
          </cell>
          <cell r="J1619">
            <v>0</v>
          </cell>
          <cell r="K1619">
            <v>0</v>
          </cell>
          <cell r="L1619">
            <v>0</v>
          </cell>
          <cell r="M1619">
            <v>0</v>
          </cell>
          <cell r="N1619">
            <v>0</v>
          </cell>
        </row>
        <row r="1620">
          <cell r="E1620">
            <v>0</v>
          </cell>
          <cell r="F1620">
            <v>0</v>
          </cell>
          <cell r="G1620">
            <v>0</v>
          </cell>
          <cell r="H1620">
            <v>0</v>
          </cell>
          <cell r="I1620">
            <v>0</v>
          </cell>
          <cell r="J1620">
            <v>0</v>
          </cell>
          <cell r="K1620">
            <v>0</v>
          </cell>
          <cell r="L1620" t="e">
            <v>#DIV/0!</v>
          </cell>
          <cell r="M1620" t="e">
            <v>#DIV/0!</v>
          </cell>
          <cell r="N1620" t="e">
            <v>#DIV/0!</v>
          </cell>
        </row>
        <row r="1621">
          <cell r="H1621">
            <v>0</v>
          </cell>
          <cell r="I1621">
            <v>0</v>
          </cell>
          <cell r="J1621">
            <v>0</v>
          </cell>
          <cell r="K1621">
            <v>0</v>
          </cell>
          <cell r="L1621" t="e">
            <v>#DIV/0!</v>
          </cell>
          <cell r="M1621" t="e">
            <v>#DIV/0!</v>
          </cell>
          <cell r="N1621" t="e">
            <v>#DIV/0!</v>
          </cell>
        </row>
        <row r="1622">
          <cell r="H1622" t="e">
            <v>#DIV/0!</v>
          </cell>
          <cell r="I1622" t="e">
            <v>#DIV/0!</v>
          </cell>
          <cell r="J1622" t="e">
            <v>#DIV/0!</v>
          </cell>
          <cell r="K1622" t="e">
            <v>#DIV/0!</v>
          </cell>
          <cell r="L1622" t="e">
            <v>#DIV/0!</v>
          </cell>
          <cell r="M1622" t="e">
            <v>#DIV/0!</v>
          </cell>
          <cell r="N1622" t="e">
            <v>#DIV/0!</v>
          </cell>
        </row>
        <row r="1646">
          <cell r="E1646">
            <v>11.370262390670554</v>
          </cell>
          <cell r="F1646">
            <v>10.029498525073747</v>
          </cell>
          <cell r="G1646">
            <v>8.7878787878787872</v>
          </cell>
          <cell r="H1646">
            <v>8.3850931677018643</v>
          </cell>
          <cell r="I1646">
            <v>6.2893081761006293</v>
          </cell>
          <cell r="J1646">
            <v>5.1282051282051277</v>
          </cell>
          <cell r="K1646">
            <v>2.9914529914529915</v>
          </cell>
          <cell r="L1646">
            <v>0</v>
          </cell>
          <cell r="M1646">
            <v>0</v>
          </cell>
          <cell r="N1646">
            <v>0</v>
          </cell>
        </row>
        <row r="1647">
          <cell r="H1647">
            <v>8.5585585585585591</v>
          </cell>
          <cell r="I1647">
            <v>5.9090909090909092</v>
          </cell>
          <cell r="J1647">
            <v>4.4025157232704402</v>
          </cell>
          <cell r="K1647">
            <v>3.1645569620253164</v>
          </cell>
          <cell r="L1647">
            <v>0</v>
          </cell>
          <cell r="M1647">
            <v>0</v>
          </cell>
          <cell r="N1647">
            <v>0</v>
          </cell>
        </row>
        <row r="1648">
          <cell r="H1648">
            <v>8</v>
          </cell>
          <cell r="I1648">
            <v>7.1428571428571423</v>
          </cell>
          <cell r="J1648">
            <v>6.666666666666667</v>
          </cell>
          <cell r="K1648">
            <v>2.6315789473684208</v>
          </cell>
          <cell r="L1648">
            <v>0</v>
          </cell>
          <cell r="M1648">
            <v>0</v>
          </cell>
          <cell r="N1648">
            <v>0</v>
          </cell>
        </row>
        <row r="1649">
          <cell r="E1649">
            <v>0</v>
          </cell>
          <cell r="F1649">
            <v>0</v>
          </cell>
          <cell r="G1649">
            <v>20</v>
          </cell>
          <cell r="H1649">
            <v>0</v>
          </cell>
          <cell r="I1649">
            <v>0</v>
          </cell>
          <cell r="J1649">
            <v>0</v>
          </cell>
          <cell r="K1649">
            <v>0</v>
          </cell>
        </row>
        <row r="1650">
          <cell r="H1650">
            <v>0</v>
          </cell>
          <cell r="I1650">
            <v>0</v>
          </cell>
          <cell r="J1650">
            <v>0</v>
          </cell>
          <cell r="K1650">
            <v>0</v>
          </cell>
        </row>
        <row r="1651">
          <cell r="H1651" t="e">
            <v>#DIV/0!</v>
          </cell>
          <cell r="I1651" t="e">
            <v>#DIV/0!</v>
          </cell>
          <cell r="J1651" t="e">
            <v>#DIV/0!</v>
          </cell>
          <cell r="K1651" t="e">
            <v>#DIV/0!</v>
          </cell>
        </row>
      </sheetData>
      <sheetData sheetId="4">
        <row r="10">
          <cell r="E10">
            <v>7.15</v>
          </cell>
          <cell r="F10">
            <v>6.99</v>
          </cell>
          <cell r="G10">
            <v>6.93</v>
          </cell>
          <cell r="H10">
            <v>10.983655164745562</v>
          </cell>
          <cell r="I10">
            <v>10.12094994261499</v>
          </cell>
          <cell r="J10">
            <v>9.5939206839230593</v>
          </cell>
          <cell r="L10" t="e">
            <v>#DIV/0!</v>
          </cell>
        </row>
        <row r="15">
          <cell r="E15">
            <v>14.9</v>
          </cell>
          <cell r="F15">
            <v>22.46</v>
          </cell>
          <cell r="G15">
            <v>15.86</v>
          </cell>
          <cell r="H15">
            <v>28.18</v>
          </cell>
          <cell r="I15">
            <v>17.948864676799118</v>
          </cell>
          <cell r="J15">
            <v>19.581656028289927</v>
          </cell>
          <cell r="L15" t="e">
            <v>#DIV/0!</v>
          </cell>
        </row>
        <row r="20">
          <cell r="E20" t="e">
            <v>#DIV/0!</v>
          </cell>
          <cell r="F20" t="e">
            <v>#DIV/0!</v>
          </cell>
          <cell r="G20" t="e">
            <v>#DIV/0!</v>
          </cell>
          <cell r="H20" t="e">
            <v>#DIV/0!</v>
          </cell>
          <cell r="I20">
            <v>254.61058045554742</v>
          </cell>
          <cell r="J20">
            <v>295.82875960482988</v>
          </cell>
          <cell r="L20" t="e">
            <v>#DIV/0!</v>
          </cell>
        </row>
        <row r="24">
          <cell r="E24">
            <v>0.34</v>
          </cell>
          <cell r="F24">
            <v>0</v>
          </cell>
          <cell r="G24">
            <v>0</v>
          </cell>
        </row>
        <row r="26">
          <cell r="I26">
            <v>52.893455922120069</v>
          </cell>
          <cell r="J26">
            <v>32.114467408585057</v>
          </cell>
        </row>
        <row r="27">
          <cell r="I27">
            <v>13.034072471606272</v>
          </cell>
          <cell r="J27">
            <v>13.937466878643349</v>
          </cell>
        </row>
        <row r="28">
          <cell r="J28">
            <v>13.937466878643349</v>
          </cell>
        </row>
        <row r="29">
          <cell r="H29">
            <v>11.66</v>
          </cell>
        </row>
        <row r="30">
          <cell r="I30">
            <v>19.755533531549389</v>
          </cell>
          <cell r="J30">
            <v>17.603686635944701</v>
          </cell>
        </row>
        <row r="31">
          <cell r="I31">
            <v>12.586719524281467</v>
          </cell>
          <cell r="J31">
            <v>14.654377880184333</v>
          </cell>
        </row>
        <row r="32">
          <cell r="J32">
            <v>0.64516129032258063</v>
          </cell>
        </row>
        <row r="44">
          <cell r="E44">
            <v>90.93</v>
          </cell>
          <cell r="F44">
            <v>93.69747899159664</v>
          </cell>
          <cell r="G44">
            <v>89.79294254884806</v>
          </cell>
          <cell r="H44">
            <v>96.34</v>
          </cell>
        </row>
        <row r="45">
          <cell r="I45">
            <v>95.818754373687895</v>
          </cell>
          <cell r="J45">
            <v>95.947875758657617</v>
          </cell>
          <cell r="K45">
            <v>95.710407239819006</v>
          </cell>
        </row>
        <row r="46">
          <cell r="I46">
            <v>100</v>
          </cell>
          <cell r="J46">
            <v>100</v>
          </cell>
          <cell r="K46">
            <v>100</v>
          </cell>
        </row>
        <row r="61">
          <cell r="E61">
            <v>3.1</v>
          </cell>
          <cell r="F61">
            <v>3.8565426170468187</v>
          </cell>
          <cell r="G61">
            <v>4.913969087197434</v>
          </cell>
          <cell r="H61">
            <v>3.66</v>
          </cell>
        </row>
        <row r="62">
          <cell r="I62">
            <v>4.1812456263121067</v>
          </cell>
          <cell r="J62">
            <v>4.0521242413423781</v>
          </cell>
          <cell r="K62">
            <v>4.2895927601809953</v>
          </cell>
        </row>
        <row r="63">
          <cell r="I63">
            <v>0</v>
          </cell>
          <cell r="J63">
            <v>0</v>
          </cell>
          <cell r="K63">
            <v>0</v>
          </cell>
        </row>
        <row r="80">
          <cell r="E80">
            <v>63.46</v>
          </cell>
          <cell r="F80">
            <v>64.047929409405384</v>
          </cell>
          <cell r="G80">
            <v>69.64</v>
          </cell>
          <cell r="H80">
            <v>71.77</v>
          </cell>
          <cell r="I80">
            <v>72.748848910618506</v>
          </cell>
          <cell r="J80">
            <v>74.898261191268958</v>
          </cell>
        </row>
        <row r="81">
          <cell r="D81" t="str">
            <v>процент</v>
          </cell>
          <cell r="F81">
            <v>66.417910447761201</v>
          </cell>
          <cell r="G81">
            <v>76.724137931034491</v>
          </cell>
          <cell r="H81">
            <v>73.67</v>
          </cell>
          <cell r="I81">
            <v>67.365661861074713</v>
          </cell>
          <cell r="J81">
            <v>69.882352941176478</v>
          </cell>
          <cell r="K81">
            <v>74.413279908414424</v>
          </cell>
        </row>
        <row r="89">
          <cell r="E89">
            <v>36.54</v>
          </cell>
          <cell r="F89">
            <v>35.952070590594602</v>
          </cell>
          <cell r="G89">
            <v>30.36</v>
          </cell>
          <cell r="H89">
            <v>28.23</v>
          </cell>
          <cell r="I89">
            <v>27.251151089381498</v>
          </cell>
          <cell r="J89">
            <v>25.101738808731039</v>
          </cell>
        </row>
        <row r="90">
          <cell r="E90">
            <v>27.78</v>
          </cell>
          <cell r="F90">
            <v>33.582089552238806</v>
          </cell>
          <cell r="G90">
            <v>23.275862068965516</v>
          </cell>
          <cell r="H90">
            <v>26.33</v>
          </cell>
          <cell r="I90">
            <v>32.634338138925294</v>
          </cell>
          <cell r="J90">
            <v>30.117647058823525</v>
          </cell>
          <cell r="K90">
            <v>25.586720091585573</v>
          </cell>
        </row>
        <row r="97">
          <cell r="E97">
            <v>97.09</v>
          </cell>
          <cell r="F97">
            <v>97.674069627851139</v>
          </cell>
          <cell r="G97">
            <v>98.585593467483235</v>
          </cell>
          <cell r="H97">
            <v>100</v>
          </cell>
          <cell r="I97">
            <v>100</v>
          </cell>
          <cell r="J97">
            <v>100</v>
          </cell>
          <cell r="K97">
            <v>100</v>
          </cell>
        </row>
        <row r="108">
          <cell r="I108">
            <v>100</v>
          </cell>
          <cell r="J108">
            <v>100</v>
          </cell>
          <cell r="K108">
            <v>99.23981900452489</v>
          </cell>
        </row>
        <row r="109">
          <cell r="I109">
            <v>100</v>
          </cell>
          <cell r="J109">
            <v>100</v>
          </cell>
          <cell r="K109">
            <v>100</v>
          </cell>
        </row>
        <row r="111">
          <cell r="I111">
            <v>0</v>
          </cell>
          <cell r="J111">
            <v>0</v>
          </cell>
          <cell r="K111">
            <v>0.7601809954751132</v>
          </cell>
        </row>
        <row r="112">
          <cell r="I112">
            <v>0</v>
          </cell>
          <cell r="J112">
            <v>0</v>
          </cell>
          <cell r="K112">
            <v>0</v>
          </cell>
        </row>
        <row r="114">
          <cell r="I114">
            <v>0</v>
          </cell>
          <cell r="J114">
            <v>0</v>
          </cell>
          <cell r="K114">
            <v>0</v>
          </cell>
        </row>
        <row r="115">
          <cell r="I115">
            <v>0</v>
          </cell>
          <cell r="J115">
            <v>0</v>
          </cell>
          <cell r="K115">
            <v>0</v>
          </cell>
        </row>
        <row r="130">
          <cell r="E130">
            <v>71.069999999999993</v>
          </cell>
          <cell r="F130">
            <v>67.251579264012832</v>
          </cell>
          <cell r="G130">
            <v>75.2</v>
          </cell>
          <cell r="H130">
            <v>73.17</v>
          </cell>
          <cell r="I130">
            <v>76.10480846822044</v>
          </cell>
          <cell r="J130">
            <v>78.001294857565668</v>
          </cell>
        </row>
        <row r="131">
          <cell r="E131">
            <v>69.44</v>
          </cell>
          <cell r="F131">
            <v>58.208955223880601</v>
          </cell>
          <cell r="G131">
            <v>63.79</v>
          </cell>
          <cell r="H131">
            <v>88.41</v>
          </cell>
          <cell r="I131">
            <v>83.486238532110093</v>
          </cell>
          <cell r="J131">
            <v>72.470588235294116</v>
          </cell>
          <cell r="K131">
            <v>82.655981682884942</v>
          </cell>
        </row>
        <row r="133">
          <cell r="E133">
            <v>2.42</v>
          </cell>
          <cell r="F133">
            <v>2.266118520004011</v>
          </cell>
          <cell r="G133">
            <v>2.5</v>
          </cell>
          <cell r="H133">
            <v>2.4300000000000002</v>
          </cell>
          <cell r="I133">
            <v>1.8180092087150521</v>
          </cell>
          <cell r="J133">
            <v>2.4139844617092123</v>
          </cell>
        </row>
        <row r="134">
          <cell r="E134">
            <v>0</v>
          </cell>
          <cell r="F134">
            <v>0</v>
          </cell>
          <cell r="G134">
            <v>0</v>
          </cell>
          <cell r="H134">
            <v>0</v>
          </cell>
          <cell r="I134">
            <v>12.450851900393186</v>
          </cell>
          <cell r="J134">
            <v>3.215686274509804</v>
          </cell>
          <cell r="K134">
            <v>4.4075558099599315</v>
          </cell>
        </row>
        <row r="136">
          <cell r="E136">
            <v>26.51</v>
          </cell>
          <cell r="F136">
            <v>30.482302215983154</v>
          </cell>
          <cell r="G136">
            <v>22.3</v>
          </cell>
          <cell r="H136">
            <v>24.39</v>
          </cell>
          <cell r="I136">
            <v>22.077182323064509</v>
          </cell>
          <cell r="J136">
            <v>19.58472068072512</v>
          </cell>
        </row>
        <row r="137">
          <cell r="E137">
            <v>30.56</v>
          </cell>
          <cell r="F137">
            <v>41.791044776119399</v>
          </cell>
          <cell r="G137">
            <v>36.21</v>
          </cell>
          <cell r="H137">
            <v>11.59</v>
          </cell>
          <cell r="I137">
            <v>4.0629095674967228</v>
          </cell>
          <cell r="J137">
            <v>24.313725490196077</v>
          </cell>
          <cell r="K137">
            <v>12.936462507155122</v>
          </cell>
        </row>
        <row r="152">
          <cell r="I152">
            <v>24.377403576895791</v>
          </cell>
          <cell r="J152">
            <v>24.788804818923087</v>
          </cell>
        </row>
        <row r="153">
          <cell r="I153">
            <v>100</v>
          </cell>
          <cell r="J153">
            <v>98.118886380737393</v>
          </cell>
          <cell r="K153">
            <v>94.610778443113773</v>
          </cell>
        </row>
        <row r="155">
          <cell r="I155">
            <v>1.7319804058782367</v>
          </cell>
          <cell r="J155">
            <v>2.7133166726169224</v>
          </cell>
          <cell r="K155">
            <v>6.4615384615384617</v>
          </cell>
        </row>
        <row r="156">
          <cell r="I156">
            <v>100</v>
          </cell>
          <cell r="J156">
            <v>100</v>
          </cell>
          <cell r="K156">
            <v>88.888888888888886</v>
          </cell>
        </row>
        <row r="158">
          <cell r="E158">
            <v>34.83</v>
          </cell>
          <cell r="F158">
            <v>33.370099268023665</v>
          </cell>
          <cell r="G158">
            <v>26.18</v>
          </cell>
          <cell r="H158">
            <v>31.13</v>
          </cell>
          <cell r="I158">
            <v>30.521668960934161</v>
          </cell>
          <cell r="J158">
            <v>30.507769145394008</v>
          </cell>
        </row>
        <row r="159">
          <cell r="E159">
            <v>100</v>
          </cell>
          <cell r="F159">
            <v>100</v>
          </cell>
          <cell r="G159">
            <v>100</v>
          </cell>
          <cell r="H159">
            <v>100</v>
          </cell>
          <cell r="I159">
            <v>100</v>
          </cell>
          <cell r="J159">
            <v>98.039215686274503</v>
          </cell>
          <cell r="K159">
            <v>94.905552375500861</v>
          </cell>
        </row>
        <row r="175">
          <cell r="I175">
            <v>45.71</v>
          </cell>
          <cell r="J175">
            <v>56.25</v>
          </cell>
          <cell r="K175">
            <v>56.25</v>
          </cell>
        </row>
        <row r="176">
          <cell r="I176">
            <v>0</v>
          </cell>
          <cell r="J176">
            <v>0</v>
          </cell>
          <cell r="K176">
            <v>50</v>
          </cell>
        </row>
        <row r="181">
          <cell r="I181">
            <v>90.706126687435102</v>
          </cell>
          <cell r="J181">
            <v>91.451292246520879</v>
          </cell>
        </row>
        <row r="182">
          <cell r="I182">
            <v>97.368421052631575</v>
          </cell>
          <cell r="J182">
            <v>98.412698412698404</v>
          </cell>
          <cell r="K182">
            <v>98.76543209876543</v>
          </cell>
        </row>
        <row r="184">
          <cell r="I184">
            <v>98.530612244897966</v>
          </cell>
          <cell r="J184">
            <v>98.428908091123333</v>
          </cell>
        </row>
        <row r="185">
          <cell r="I185">
            <v>97.142857142857139</v>
          </cell>
          <cell r="J185">
            <v>100</v>
          </cell>
          <cell r="K185">
            <v>100</v>
          </cell>
        </row>
        <row r="187">
          <cell r="I187">
            <v>66.865671641791053</v>
          </cell>
          <cell r="J187">
            <v>67.664670658682638</v>
          </cell>
        </row>
        <row r="188">
          <cell r="I188" t="e">
            <v>#DIV/0!</v>
          </cell>
          <cell r="J188" t="e">
            <v>#DIV/0!</v>
          </cell>
          <cell r="K188">
            <v>100</v>
          </cell>
        </row>
        <row r="191">
          <cell r="I191">
            <v>8.4631360332294925</v>
          </cell>
          <cell r="J191">
            <v>8.001988071570576</v>
          </cell>
        </row>
        <row r="192">
          <cell r="I192">
            <v>0</v>
          </cell>
          <cell r="J192">
            <v>1.5873015873015872</v>
          </cell>
          <cell r="K192">
            <v>1.2345679012345678</v>
          </cell>
        </row>
        <row r="194">
          <cell r="I194">
            <v>1.5510204081632653</v>
          </cell>
          <cell r="J194">
            <v>1.4925373134328357</v>
          </cell>
        </row>
        <row r="195">
          <cell r="I195" t="e">
            <v>#DIV/0!</v>
          </cell>
          <cell r="J195" t="e">
            <v>#DIV/0!</v>
          </cell>
          <cell r="K195">
            <v>0</v>
          </cell>
        </row>
        <row r="197">
          <cell r="I197">
            <v>30.149253731343283</v>
          </cell>
          <cell r="J197">
            <v>30.538922155688624</v>
          </cell>
        </row>
        <row r="198">
          <cell r="I198" t="e">
            <v>#DIV/0!</v>
          </cell>
          <cell r="J198" t="e">
            <v>#DIV/0!</v>
          </cell>
          <cell r="K198">
            <v>0</v>
          </cell>
        </row>
        <row r="230">
          <cell r="E230">
            <v>86.67</v>
          </cell>
          <cell r="F230" t="e">
            <v>#DIV/0!</v>
          </cell>
          <cell r="G230" t="e">
            <v>#DIV/0!</v>
          </cell>
          <cell r="H230">
            <v>80</v>
          </cell>
          <cell r="I230">
            <v>85.921325051759837</v>
          </cell>
          <cell r="J230">
            <v>85.921325051759837</v>
          </cell>
          <cell r="M230">
            <v>0</v>
          </cell>
        </row>
        <row r="231">
          <cell r="E231">
            <v>100</v>
          </cell>
          <cell r="F231" t="e">
            <v>#DIV/0!</v>
          </cell>
          <cell r="G231" t="e">
            <v>#DIV/0!</v>
          </cell>
          <cell r="H231">
            <v>100</v>
          </cell>
          <cell r="I231">
            <v>93.170731707317074</v>
          </cell>
          <cell r="J231">
            <v>93.170731707317074</v>
          </cell>
          <cell r="M231">
            <v>0</v>
          </cell>
        </row>
        <row r="261">
          <cell r="I261">
            <v>30.114226375908622</v>
          </cell>
          <cell r="J261">
            <v>29.473161033797219</v>
          </cell>
        </row>
        <row r="262">
          <cell r="I262">
            <v>2.6315789473684208</v>
          </cell>
          <cell r="J262">
            <v>3.1746031746031744</v>
          </cell>
          <cell r="K262">
            <v>11.111111111111111</v>
          </cell>
        </row>
        <row r="264">
          <cell r="I264">
            <v>24.143302180685357</v>
          </cell>
          <cell r="J264">
            <v>22.266401590457257</v>
          </cell>
        </row>
        <row r="265">
          <cell r="I265">
            <v>47.368421052631575</v>
          </cell>
          <cell r="J265">
            <v>25.396825396825395</v>
          </cell>
          <cell r="K265">
            <v>18.518518518518519</v>
          </cell>
        </row>
        <row r="277">
          <cell r="E277">
            <v>10</v>
          </cell>
          <cell r="F277" t="e">
            <v>#DIV/0!</v>
          </cell>
          <cell r="G277" t="e">
            <v>#DIV/0!</v>
          </cell>
          <cell r="H277">
            <v>20</v>
          </cell>
          <cell r="I277" t="e">
            <v>#DIV/0!</v>
          </cell>
          <cell r="J277" t="e">
            <v>#DIV/0!</v>
          </cell>
          <cell r="K277" t="e">
            <v>#DIV/0!</v>
          </cell>
        </row>
        <row r="278">
          <cell r="E278">
            <v>28.89</v>
          </cell>
          <cell r="F278" t="e">
            <v>#DIV/0!</v>
          </cell>
          <cell r="G278" t="e">
            <v>#DIV/0!</v>
          </cell>
          <cell r="H278">
            <v>40</v>
          </cell>
          <cell r="I278" t="e">
            <v>#DIV/0!</v>
          </cell>
          <cell r="J278" t="e">
            <v>#DIV/0!</v>
          </cell>
          <cell r="K278" t="e">
            <v>#DIV/0!</v>
          </cell>
        </row>
        <row r="308">
          <cell r="E308">
            <v>12.93</v>
          </cell>
          <cell r="F308" t="e">
            <v>#DIV/0!</v>
          </cell>
          <cell r="G308" t="e">
            <v>#DIV/0!</v>
          </cell>
        </row>
        <row r="309">
          <cell r="H309">
            <v>11.85</v>
          </cell>
          <cell r="I309">
            <v>20.39971448965025</v>
          </cell>
          <cell r="J309">
            <v>17.949375200256327</v>
          </cell>
          <cell r="K309">
            <v>12.049791620969511</v>
          </cell>
        </row>
        <row r="310">
          <cell r="H310">
            <v>0</v>
          </cell>
          <cell r="I310" t="e">
            <v>#DIV/0!</v>
          </cell>
          <cell r="J310" t="e">
            <v>#DIV/0!</v>
          </cell>
          <cell r="K310">
            <v>10.112359550561797</v>
          </cell>
        </row>
        <row r="333">
          <cell r="E333">
            <v>8.0299999999999994</v>
          </cell>
          <cell r="F333">
            <v>8.31</v>
          </cell>
          <cell r="G333">
            <v>7.79</v>
          </cell>
        </row>
        <row r="334">
          <cell r="H334">
            <v>14.35</v>
          </cell>
          <cell r="I334">
            <v>20.127066017005827</v>
          </cell>
          <cell r="J334">
            <v>16.048686358913461</v>
          </cell>
          <cell r="K334">
            <v>14.375574637869718</v>
          </cell>
        </row>
        <row r="335">
          <cell r="H335">
            <v>17.66</v>
          </cell>
          <cell r="I335" t="e">
            <v>#DIV/0!</v>
          </cell>
          <cell r="J335">
            <v>128.75536480686696</v>
          </cell>
          <cell r="K335">
            <v>18.12012195121951</v>
          </cell>
        </row>
        <row r="348">
          <cell r="E348" t="e">
            <v>#DIV/0!</v>
          </cell>
          <cell r="F348">
            <v>106.5</v>
          </cell>
          <cell r="G348">
            <v>109.9</v>
          </cell>
          <cell r="H348">
            <v>109.14</v>
          </cell>
          <cell r="I348">
            <v>106.17</v>
          </cell>
          <cell r="J348">
            <v>102.84</v>
          </cell>
          <cell r="K348">
            <v>106.35</v>
          </cell>
        </row>
        <row r="358">
          <cell r="E358">
            <v>0</v>
          </cell>
          <cell r="F358">
            <v>0</v>
          </cell>
          <cell r="G358">
            <v>0</v>
          </cell>
          <cell r="H358">
            <v>0</v>
          </cell>
          <cell r="I358">
            <v>0</v>
          </cell>
          <cell r="J358">
            <v>0</v>
          </cell>
          <cell r="M358" t="str">
            <v>Российская Федерация</v>
          </cell>
        </row>
        <row r="359">
          <cell r="E359">
            <v>0</v>
          </cell>
          <cell r="F359">
            <v>0</v>
          </cell>
          <cell r="G359">
            <v>0</v>
          </cell>
          <cell r="H359">
            <v>0</v>
          </cell>
          <cell r="I359">
            <v>0</v>
          </cell>
          <cell r="J359">
            <v>0</v>
          </cell>
          <cell r="M359" t="str">
            <v>Российская Федерация</v>
          </cell>
        </row>
        <row r="367">
          <cell r="I367">
            <v>13.551401869158877</v>
          </cell>
          <cell r="J367">
            <v>9.393638170974155</v>
          </cell>
        </row>
        <row r="368">
          <cell r="I368">
            <v>0</v>
          </cell>
          <cell r="J368">
            <v>26.984126984126984</v>
          </cell>
          <cell r="K368">
            <v>28.39506172839506</v>
          </cell>
        </row>
        <row r="376">
          <cell r="I376">
            <v>6.12668743509865</v>
          </cell>
          <cell r="J376">
            <v>4.1749502982107352</v>
          </cell>
        </row>
        <row r="377">
          <cell r="I377">
            <v>0</v>
          </cell>
          <cell r="J377">
            <v>0</v>
          </cell>
        </row>
        <row r="387">
          <cell r="I387">
            <v>87.891440501043832</v>
          </cell>
          <cell r="J387">
            <v>94.594594594594597</v>
          </cell>
          <cell r="K387">
            <v>96.991929567131336</v>
          </cell>
        </row>
        <row r="388">
          <cell r="I388" t="e">
            <v>#DIV/0!</v>
          </cell>
          <cell r="J388" t="e">
            <v>#DIV/0!</v>
          </cell>
          <cell r="K388" t="e">
            <v>#DIV/0!</v>
          </cell>
        </row>
        <row r="396">
          <cell r="E396">
            <v>85.94</v>
          </cell>
          <cell r="F396">
            <v>88.349195930423363</v>
          </cell>
          <cell r="G396">
            <v>89.381153305203938</v>
          </cell>
          <cell r="H396">
            <v>89.94</v>
          </cell>
          <cell r="I396">
            <v>93.274929141973715</v>
          </cell>
          <cell r="J396">
            <v>91.047120418848166</v>
          </cell>
          <cell r="K396">
            <v>96.684491978609628</v>
          </cell>
        </row>
        <row r="397">
          <cell r="E397">
            <v>0</v>
          </cell>
          <cell r="F397" t="e">
            <v>#DIV/0!</v>
          </cell>
          <cell r="G397" t="e">
            <v>#DIV/0!</v>
          </cell>
          <cell r="H397">
            <v>0</v>
          </cell>
          <cell r="I397">
            <v>100</v>
          </cell>
          <cell r="J397" t="e">
            <v>#DIV/0!</v>
          </cell>
          <cell r="K397" t="e">
            <v>#DIV/0!</v>
          </cell>
        </row>
        <row r="405">
          <cell r="E405">
            <v>162.6</v>
          </cell>
          <cell r="F405">
            <v>162.13</v>
          </cell>
          <cell r="G405">
            <v>156.47999999999999</v>
          </cell>
          <cell r="H405">
            <v>125.98</v>
          </cell>
          <cell r="I405">
            <v>88.431134373350474</v>
          </cell>
          <cell r="J405">
            <v>83.097880928355195</v>
          </cell>
        </row>
        <row r="406">
          <cell r="E406">
            <v>85.14</v>
          </cell>
          <cell r="F406">
            <v>797.45</v>
          </cell>
          <cell r="G406">
            <v>85.25</v>
          </cell>
          <cell r="H406">
            <v>94.19</v>
          </cell>
          <cell r="I406">
            <v>325.47097564711282</v>
          </cell>
          <cell r="J406">
            <v>4847.6454293628813</v>
          </cell>
        </row>
        <row r="415">
          <cell r="I415">
            <v>21.151201321777016</v>
          </cell>
          <cell r="J415">
            <v>21.639807276956304</v>
          </cell>
          <cell r="K415">
            <v>25.14656331863404</v>
          </cell>
        </row>
        <row r="416">
          <cell r="I416">
            <v>22.765469824293355</v>
          </cell>
          <cell r="J416">
            <v>16.092182378066951</v>
          </cell>
          <cell r="K416">
            <v>12.51646903820817</v>
          </cell>
        </row>
        <row r="418">
          <cell r="I418">
            <v>19.6882009248747</v>
          </cell>
          <cell r="J418">
            <v>19.20307913828432</v>
          </cell>
          <cell r="K418">
            <v>22.259816579111387</v>
          </cell>
        </row>
        <row r="419">
          <cell r="I419">
            <v>22.765469824293355</v>
          </cell>
          <cell r="J419">
            <v>16.092182378066951</v>
          </cell>
          <cell r="K419">
            <v>12.51646903820817</v>
          </cell>
        </row>
        <row r="431">
          <cell r="E431">
            <v>20.02</v>
          </cell>
          <cell r="F431" t="e">
            <v>#DIV/0!</v>
          </cell>
          <cell r="G431" t="e">
            <v>#DIV/0!</v>
          </cell>
          <cell r="H431">
            <v>10.91</v>
          </cell>
        </row>
        <row r="432">
          <cell r="E432">
            <v>7.16</v>
          </cell>
          <cell r="F432" t="e">
            <v>#DIV/0!</v>
          </cell>
          <cell r="G432" t="e">
            <v>#DIV/0!</v>
          </cell>
          <cell r="H432">
            <v>19.71</v>
          </cell>
        </row>
        <row r="445">
          <cell r="E445">
            <v>28.14</v>
          </cell>
          <cell r="F445">
            <v>29.02</v>
          </cell>
          <cell r="G445">
            <v>32.43</v>
          </cell>
          <cell r="H445">
            <v>24.59</v>
          </cell>
          <cell r="I445">
            <v>0</v>
          </cell>
          <cell r="J445">
            <v>0</v>
          </cell>
          <cell r="K445">
            <v>0</v>
          </cell>
        </row>
        <row r="446">
          <cell r="E446">
            <v>19.16</v>
          </cell>
          <cell r="F446">
            <v>23.92</v>
          </cell>
          <cell r="G446">
            <v>25.575447570332482</v>
          </cell>
          <cell r="H446">
            <v>28.25</v>
          </cell>
          <cell r="I446">
            <v>0</v>
          </cell>
          <cell r="J446">
            <v>0</v>
          </cell>
          <cell r="K446">
            <v>0</v>
          </cell>
        </row>
        <row r="448">
          <cell r="E448">
            <v>22.89</v>
          </cell>
          <cell r="F448">
            <v>25.68</v>
          </cell>
          <cell r="G448">
            <v>28.15</v>
          </cell>
          <cell r="H448">
            <v>28.18</v>
          </cell>
          <cell r="I448">
            <v>0</v>
          </cell>
          <cell r="J448">
            <v>0</v>
          </cell>
          <cell r="K448">
            <v>0</v>
          </cell>
        </row>
        <row r="449">
          <cell r="E449">
            <v>19.16</v>
          </cell>
          <cell r="F449">
            <v>15.55</v>
          </cell>
          <cell r="G449">
            <v>25.575447570332482</v>
          </cell>
          <cell r="H449">
            <v>28.25</v>
          </cell>
          <cell r="I449">
            <v>0</v>
          </cell>
          <cell r="J449">
            <v>0</v>
          </cell>
          <cell r="K449">
            <v>0</v>
          </cell>
        </row>
        <row r="460">
          <cell r="E460">
            <v>65.22</v>
          </cell>
          <cell r="F460">
            <v>78.569999999999993</v>
          </cell>
          <cell r="G460">
            <v>76</v>
          </cell>
          <cell r="H460">
            <v>80.77</v>
          </cell>
          <cell r="I460">
            <v>84</v>
          </cell>
          <cell r="J460">
            <v>84</v>
          </cell>
          <cell r="K460">
            <v>96.875</v>
          </cell>
        </row>
        <row r="461">
          <cell r="E461">
            <v>100</v>
          </cell>
          <cell r="F461">
            <v>100</v>
          </cell>
          <cell r="G461">
            <v>100</v>
          </cell>
          <cell r="H461">
            <v>100</v>
          </cell>
          <cell r="I461">
            <v>100</v>
          </cell>
          <cell r="J461">
            <v>100</v>
          </cell>
          <cell r="K461">
            <v>100</v>
          </cell>
        </row>
        <row r="491">
          <cell r="I491">
            <v>14.893713251922208</v>
          </cell>
          <cell r="J491">
            <v>13.409896439054105</v>
          </cell>
        </row>
        <row r="492">
          <cell r="I492">
            <v>10.663101604278076</v>
          </cell>
          <cell r="J492">
            <v>4.7630873149895701</v>
          </cell>
        </row>
        <row r="506">
          <cell r="E506">
            <v>17.489999999999998</v>
          </cell>
          <cell r="F506" t="e">
            <v>#DIV/0!</v>
          </cell>
          <cell r="G506" t="e">
            <v>#DIV/0!</v>
          </cell>
        </row>
        <row r="507">
          <cell r="H507">
            <v>9.61</v>
          </cell>
          <cell r="I507">
            <v>0</v>
          </cell>
          <cell r="J507">
            <v>0</v>
          </cell>
          <cell r="M507">
            <v>0</v>
          </cell>
        </row>
        <row r="508">
          <cell r="H508">
            <v>0</v>
          </cell>
          <cell r="I508">
            <v>0</v>
          </cell>
          <cell r="J508">
            <v>0</v>
          </cell>
          <cell r="M508">
            <v>0</v>
          </cell>
        </row>
        <row r="520">
          <cell r="E520">
            <v>24.07</v>
          </cell>
          <cell r="F520">
            <v>26.16</v>
          </cell>
          <cell r="G520">
            <v>16.18</v>
          </cell>
        </row>
        <row r="521">
          <cell r="H521">
            <v>17.190000000000001</v>
          </cell>
          <cell r="I521">
            <v>0</v>
          </cell>
          <cell r="J521">
            <v>0</v>
          </cell>
          <cell r="M521">
            <v>0</v>
          </cell>
        </row>
        <row r="522">
          <cell r="H522">
            <v>61.06</v>
          </cell>
          <cell r="I522">
            <v>0</v>
          </cell>
          <cell r="J522">
            <v>0</v>
          </cell>
          <cell r="M522">
            <v>0</v>
          </cell>
        </row>
        <row r="530">
          <cell r="I530">
            <v>63.541666666666664</v>
          </cell>
          <cell r="J530">
            <v>66.666666666666657</v>
          </cell>
        </row>
        <row r="531">
          <cell r="I531">
            <v>100</v>
          </cell>
        </row>
        <row r="532">
          <cell r="J532">
            <v>0</v>
          </cell>
        </row>
        <row r="533">
          <cell r="I533">
            <v>58.82352941176471</v>
          </cell>
          <cell r="J533">
            <v>61.904761904761905</v>
          </cell>
        </row>
        <row r="534">
          <cell r="I534" t="e">
            <v>#DIV/0!</v>
          </cell>
          <cell r="J534" t="e">
            <v>#DIV/0!</v>
          </cell>
          <cell r="K534" t="e">
            <v>#DIV/0!</v>
          </cell>
        </row>
        <row r="550">
          <cell r="E550">
            <v>50</v>
          </cell>
          <cell r="F550">
            <v>53.57</v>
          </cell>
          <cell r="G550">
            <v>48.15</v>
          </cell>
          <cell r="H550">
            <v>73.08</v>
          </cell>
          <cell r="I550">
            <v>0</v>
          </cell>
          <cell r="J550">
            <v>0</v>
          </cell>
          <cell r="M550">
            <v>0</v>
          </cell>
        </row>
        <row r="551">
          <cell r="E551">
            <v>100</v>
          </cell>
          <cell r="F551">
            <v>100</v>
          </cell>
          <cell r="G551">
            <v>0</v>
          </cell>
          <cell r="H551">
            <v>100</v>
          </cell>
          <cell r="I551">
            <v>0</v>
          </cell>
          <cell r="J551">
            <v>0</v>
          </cell>
          <cell r="M551">
            <v>0</v>
          </cell>
        </row>
        <row r="557">
          <cell r="E557">
            <v>1.27</v>
          </cell>
          <cell r="F557">
            <v>1.86</v>
          </cell>
          <cell r="G557">
            <v>1.76</v>
          </cell>
          <cell r="H557">
            <v>1</v>
          </cell>
          <cell r="I557">
            <v>0</v>
          </cell>
          <cell r="J557">
            <v>0</v>
          </cell>
          <cell r="K557">
            <v>0</v>
          </cell>
        </row>
        <row r="564">
          <cell r="E564" t="str">
            <v>-</v>
          </cell>
          <cell r="F564">
            <v>0.69</v>
          </cell>
          <cell r="G564">
            <v>0.9</v>
          </cell>
          <cell r="H564">
            <v>1.03</v>
          </cell>
          <cell r="I564">
            <v>0</v>
          </cell>
          <cell r="J564">
            <v>0</v>
          </cell>
          <cell r="K564">
            <v>0</v>
          </cell>
        </row>
        <row r="567">
          <cell r="I567">
            <v>0.33603405145054699</v>
          </cell>
          <cell r="J567">
            <v>0.45911995886285173</v>
          </cell>
        </row>
        <row r="568">
          <cell r="I568">
            <v>0.32483291640219542</v>
          </cell>
          <cell r="J568">
            <v>0.43340924116653201</v>
          </cell>
        </row>
        <row r="569">
          <cell r="I569">
            <v>0.39577343837508872</v>
          </cell>
          <cell r="J569">
            <v>0.45177403952104611</v>
          </cell>
        </row>
        <row r="571">
          <cell r="I571">
            <v>0</v>
          </cell>
          <cell r="J571">
            <v>0</v>
          </cell>
          <cell r="K571">
            <v>0.38105606967882416</v>
          </cell>
        </row>
        <row r="572">
          <cell r="I572">
            <v>0</v>
          </cell>
          <cell r="J572">
            <v>0</v>
          </cell>
          <cell r="K572">
            <v>0.38105606967882416</v>
          </cell>
        </row>
        <row r="573">
          <cell r="I573">
            <v>0</v>
          </cell>
          <cell r="J573">
            <v>0</v>
          </cell>
          <cell r="K573">
            <v>0</v>
          </cell>
        </row>
        <row r="584">
          <cell r="E584">
            <v>0.94</v>
          </cell>
          <cell r="F584">
            <v>0.93</v>
          </cell>
          <cell r="G584">
            <v>0.79</v>
          </cell>
        </row>
        <row r="585">
          <cell r="H585">
            <v>0.61</v>
          </cell>
          <cell r="I585">
            <v>0</v>
          </cell>
          <cell r="J585">
            <v>0</v>
          </cell>
          <cell r="M585">
            <v>0</v>
          </cell>
        </row>
        <row r="586">
          <cell r="H586">
            <v>0</v>
          </cell>
          <cell r="I586">
            <v>0</v>
          </cell>
          <cell r="J586">
            <v>0</v>
          </cell>
          <cell r="M586">
            <v>0</v>
          </cell>
        </row>
        <row r="593">
          <cell r="E593">
            <v>0.39</v>
          </cell>
          <cell r="F593">
            <v>0.62</v>
          </cell>
          <cell r="G593">
            <v>0.83</v>
          </cell>
        </row>
        <row r="594">
          <cell r="H594">
            <v>0.72</v>
          </cell>
          <cell r="I594">
            <v>0</v>
          </cell>
          <cell r="J594">
            <v>0</v>
          </cell>
          <cell r="M594">
            <v>0</v>
          </cell>
        </row>
        <row r="595">
          <cell r="H595">
            <v>0</v>
          </cell>
          <cell r="I595">
            <v>0</v>
          </cell>
          <cell r="J595">
            <v>0</v>
          </cell>
          <cell r="M595">
            <v>0</v>
          </cell>
        </row>
        <row r="601">
          <cell r="E601">
            <v>0</v>
          </cell>
          <cell r="F601">
            <v>0</v>
          </cell>
          <cell r="G601">
            <v>0</v>
          </cell>
          <cell r="H601">
            <v>0</v>
          </cell>
          <cell r="I601">
            <v>99.428571428571431</v>
          </cell>
          <cell r="J601">
            <v>99.541284403669721</v>
          </cell>
          <cell r="M601">
            <v>0</v>
          </cell>
        </row>
        <row r="602">
          <cell r="E602">
            <v>0</v>
          </cell>
          <cell r="F602">
            <v>0</v>
          </cell>
          <cell r="G602">
            <v>0</v>
          </cell>
          <cell r="H602">
            <v>0</v>
          </cell>
          <cell r="I602">
            <v>0</v>
          </cell>
          <cell r="J602">
            <v>0</v>
          </cell>
          <cell r="M602">
            <v>0</v>
          </cell>
        </row>
        <row r="603">
          <cell r="E603">
            <v>0</v>
          </cell>
          <cell r="F603">
            <v>0</v>
          </cell>
          <cell r="G603">
            <v>0</v>
          </cell>
          <cell r="H603">
            <v>0</v>
          </cell>
          <cell r="I603">
            <v>0.5714285714285714</v>
          </cell>
          <cell r="J603">
            <v>0.45871559633027525</v>
          </cell>
          <cell r="M603">
            <v>0</v>
          </cell>
        </row>
        <row r="605">
          <cell r="I605" t="e">
            <v>#DIV/0!</v>
          </cell>
          <cell r="J605" t="e">
            <v>#DIV/0!</v>
          </cell>
          <cell r="K605">
            <v>100</v>
          </cell>
        </row>
        <row r="606">
          <cell r="I606" t="e">
            <v>#DIV/0!</v>
          </cell>
          <cell r="J606" t="e">
            <v>#DIV/0!</v>
          </cell>
          <cell r="K606">
            <v>0</v>
          </cell>
        </row>
        <row r="607">
          <cell r="I607" t="e">
            <v>#DIV/0!</v>
          </cell>
          <cell r="J607" t="e">
            <v>#DIV/0!</v>
          </cell>
          <cell r="K607">
            <v>0</v>
          </cell>
        </row>
        <row r="622">
          <cell r="I622">
            <v>8.5714285714285712</v>
          </cell>
          <cell r="J622">
            <v>15.137614678899084</v>
          </cell>
        </row>
        <row r="623">
          <cell r="I623" t="e">
            <v>#DIV/0!</v>
          </cell>
          <cell r="J623" t="e">
            <v>#DIV/0!</v>
          </cell>
          <cell r="K623">
            <v>100</v>
          </cell>
        </row>
        <row r="624">
          <cell r="E624">
            <v>0</v>
          </cell>
          <cell r="F624">
            <v>0</v>
          </cell>
          <cell r="G624">
            <v>0</v>
          </cell>
          <cell r="H624">
            <v>0</v>
          </cell>
        </row>
        <row r="625">
          <cell r="I625">
            <v>5.4545454545454541</v>
          </cell>
          <cell r="J625">
            <v>5.2631578947368416</v>
          </cell>
          <cell r="K625">
            <v>12.307692307692308</v>
          </cell>
        </row>
        <row r="626">
          <cell r="I626" t="e">
            <v>#DIV/0!</v>
          </cell>
          <cell r="J626" t="e">
            <v>#DIV/0!</v>
          </cell>
          <cell r="K626">
            <v>100</v>
          </cell>
        </row>
        <row r="627">
          <cell r="E627">
            <v>0</v>
          </cell>
          <cell r="F627">
            <v>0</v>
          </cell>
          <cell r="G627">
            <v>0</v>
          </cell>
          <cell r="H627">
            <v>0</v>
          </cell>
        </row>
        <row r="628">
          <cell r="I628">
            <v>10</v>
          </cell>
          <cell r="J628">
            <v>18.633540372670808</v>
          </cell>
        </row>
        <row r="629">
          <cell r="I629" t="e">
            <v>#DIV/0!</v>
          </cell>
          <cell r="J629" t="e">
            <v>#DIV/0!</v>
          </cell>
          <cell r="K629">
            <v>100</v>
          </cell>
        </row>
        <row r="646">
          <cell r="I646">
            <v>60.129012097674206</v>
          </cell>
          <cell r="J646">
            <v>54.066618330703285</v>
          </cell>
        </row>
        <row r="649">
          <cell r="I649">
            <v>64.273250741580881</v>
          </cell>
          <cell r="J649">
            <v>52.192362093352195</v>
          </cell>
        </row>
        <row r="650">
          <cell r="I650">
            <v>64.441917424772569</v>
          </cell>
          <cell r="J650">
            <v>52.695465905033913</v>
          </cell>
          <cell r="K650">
            <v>44.300565383913913</v>
          </cell>
        </row>
        <row r="651">
          <cell r="I651">
            <v>0</v>
          </cell>
          <cell r="J651">
            <v>0</v>
          </cell>
          <cell r="K651">
            <v>11.111111111111111</v>
          </cell>
        </row>
        <row r="652">
          <cell r="I652">
            <v>58.704259148170365</v>
          </cell>
          <cell r="J652">
            <v>54.662469788095102</v>
          </cell>
        </row>
        <row r="653">
          <cell r="E653">
            <v>51.55</v>
          </cell>
          <cell r="F653">
            <v>53.15</v>
          </cell>
          <cell r="G653">
            <v>56.82</v>
          </cell>
          <cell r="H653">
            <v>51.64</v>
          </cell>
          <cell r="I653">
            <v>61.036611987775217</v>
          </cell>
          <cell r="J653">
            <v>57.656963301120534</v>
          </cell>
          <cell r="K653">
            <v>54.289602276241723</v>
          </cell>
        </row>
        <row r="654">
          <cell r="E654">
            <v>0</v>
          </cell>
          <cell r="F654">
            <v>0</v>
          </cell>
          <cell r="G654">
            <v>0</v>
          </cell>
          <cell r="H654">
            <v>0</v>
          </cell>
          <cell r="I654">
            <v>0</v>
          </cell>
          <cell r="J654">
            <v>0</v>
          </cell>
          <cell r="K654">
            <v>5.609418282548476</v>
          </cell>
        </row>
        <row r="677">
          <cell r="E677" t="e">
            <v>#DIV/0!</v>
          </cell>
          <cell r="F677" t="e">
            <v>#DIV/0!</v>
          </cell>
          <cell r="G677" t="e">
            <v>#DIV/0!</v>
          </cell>
          <cell r="H677" t="e">
            <v>#DIV/0!</v>
          </cell>
          <cell r="I677" t="e">
            <v>#DIV/0!</v>
          </cell>
          <cell r="J677" t="e">
            <v>#DIV/0!</v>
          </cell>
          <cell r="K677" t="e">
            <v>#DIV/0!</v>
          </cell>
        </row>
        <row r="680">
          <cell r="E680" t="e">
            <v>#DIV/0!</v>
          </cell>
          <cell r="F680" t="e">
            <v>#DIV/0!</v>
          </cell>
          <cell r="G680" t="e">
            <v>#DIV/0!</v>
          </cell>
          <cell r="H680" t="e">
            <v>#DIV/0!</v>
          </cell>
          <cell r="I680" t="e">
            <v>#DIV/0!</v>
          </cell>
          <cell r="J680" t="e">
            <v>#DIV/0!</v>
          </cell>
          <cell r="K680" t="e">
            <v>#DIV/0!</v>
          </cell>
        </row>
        <row r="684">
          <cell r="I684">
            <v>0</v>
          </cell>
          <cell r="J684">
            <v>14.2</v>
          </cell>
        </row>
        <row r="685">
          <cell r="I685">
            <v>0</v>
          </cell>
          <cell r="J685">
            <v>0</v>
          </cell>
        </row>
        <row r="689">
          <cell r="I689">
            <v>6.52</v>
          </cell>
          <cell r="J689">
            <v>1.56</v>
          </cell>
          <cell r="K689">
            <v>0</v>
          </cell>
        </row>
        <row r="690">
          <cell r="I690">
            <v>0</v>
          </cell>
          <cell r="J690">
            <v>0.2</v>
          </cell>
          <cell r="K690">
            <v>0</v>
          </cell>
        </row>
        <row r="694">
          <cell r="I694">
            <v>1.61</v>
          </cell>
          <cell r="J694">
            <v>0</v>
          </cell>
          <cell r="K694">
            <v>0</v>
          </cell>
        </row>
        <row r="695">
          <cell r="I695">
            <v>0.34</v>
          </cell>
          <cell r="J695">
            <v>0</v>
          </cell>
          <cell r="K695">
            <v>0</v>
          </cell>
        </row>
        <row r="699">
          <cell r="I699">
            <v>0.05</v>
          </cell>
          <cell r="J699">
            <v>7.0000000000000007E-2</v>
          </cell>
          <cell r="K699">
            <v>0</v>
          </cell>
        </row>
        <row r="700">
          <cell r="I700">
            <v>0</v>
          </cell>
          <cell r="J700">
            <v>0</v>
          </cell>
          <cell r="K700">
            <v>0</v>
          </cell>
        </row>
        <row r="705">
          <cell r="I705">
            <v>97.22</v>
          </cell>
          <cell r="J705">
            <v>91.43</v>
          </cell>
        </row>
        <row r="706">
          <cell r="I706">
            <v>100</v>
          </cell>
          <cell r="J706">
            <v>100</v>
          </cell>
        </row>
        <row r="713">
          <cell r="E713" t="e">
            <v>#DIV/0!</v>
          </cell>
          <cell r="F713">
            <v>100</v>
          </cell>
          <cell r="G713">
            <v>100</v>
          </cell>
          <cell r="H713">
            <v>106.25</v>
          </cell>
          <cell r="I713">
            <v>100</v>
          </cell>
          <cell r="J713">
            <v>100</v>
          </cell>
          <cell r="K713" t="e">
            <v>#DIV/0!</v>
          </cell>
        </row>
        <row r="716">
          <cell r="E716" t="e">
            <v>#DIV/0!</v>
          </cell>
          <cell r="F716" t="e">
            <v>#DIV/0!</v>
          </cell>
          <cell r="G716" t="e">
            <v>#DIV/0!</v>
          </cell>
          <cell r="H716" t="e">
            <v>#DIV/0!</v>
          </cell>
          <cell r="I716" t="e">
            <v>#DIV/0!</v>
          </cell>
          <cell r="J716" t="e">
            <v>#DIV/0!</v>
          </cell>
          <cell r="K716" t="e">
            <v>#DIV/0!</v>
          </cell>
        </row>
        <row r="721">
          <cell r="E721" t="e">
            <v>#DIV/0!</v>
          </cell>
          <cell r="F721">
            <v>117.1</v>
          </cell>
          <cell r="G721">
            <v>85.4</v>
          </cell>
          <cell r="H721">
            <v>94.12</v>
          </cell>
          <cell r="I721">
            <v>100</v>
          </cell>
          <cell r="J721">
            <v>100</v>
          </cell>
          <cell r="K721" t="e">
            <v>#DIV/0!</v>
          </cell>
        </row>
        <row r="722">
          <cell r="E722" t="e">
            <v>#DIV/0!</v>
          </cell>
          <cell r="F722">
            <v>100</v>
          </cell>
          <cell r="G722">
            <v>50</v>
          </cell>
          <cell r="H722">
            <v>100</v>
          </cell>
          <cell r="I722">
            <v>100</v>
          </cell>
          <cell r="J722">
            <v>200</v>
          </cell>
          <cell r="K722" t="e">
            <v>#DIV/0!</v>
          </cell>
        </row>
        <row r="730">
          <cell r="E730" t="e">
            <v>#DIV/0!</v>
          </cell>
          <cell r="F730">
            <v>100</v>
          </cell>
          <cell r="H730">
            <v>100</v>
          </cell>
          <cell r="I730">
            <v>100</v>
          </cell>
          <cell r="J730">
            <v>100</v>
          </cell>
          <cell r="K730" t="e">
            <v>#DIV/0!</v>
          </cell>
        </row>
        <row r="731">
          <cell r="E731" t="e">
            <v>#DIV/0!</v>
          </cell>
          <cell r="F731" t="e">
            <v>#DIV/0!</v>
          </cell>
          <cell r="G731" t="e">
            <v>#DIV/0!</v>
          </cell>
          <cell r="H731">
            <v>100</v>
          </cell>
          <cell r="I731">
            <v>100</v>
          </cell>
          <cell r="J731">
            <v>0</v>
          </cell>
          <cell r="K731" t="e">
            <v>#DIV/0!</v>
          </cell>
        </row>
        <row r="757">
          <cell r="H757">
            <v>0</v>
          </cell>
          <cell r="I757">
            <v>0</v>
          </cell>
          <cell r="J757">
            <v>0</v>
          </cell>
          <cell r="K757">
            <v>0</v>
          </cell>
        </row>
        <row r="766">
          <cell r="E766">
            <v>13</v>
          </cell>
          <cell r="F766">
            <v>6.7848083931005734</v>
          </cell>
          <cell r="G766">
            <v>4.32</v>
          </cell>
          <cell r="H766">
            <v>11.33</v>
          </cell>
          <cell r="I766">
            <v>8.6379042086759306</v>
          </cell>
          <cell r="J766" t="e">
            <v>#DIV/0!</v>
          </cell>
          <cell r="K766" t="e">
            <v>#DIV/0!</v>
          </cell>
        </row>
        <row r="767">
          <cell r="E767">
            <v>100</v>
          </cell>
          <cell r="F767">
            <v>100</v>
          </cell>
          <cell r="G767">
            <v>100</v>
          </cell>
          <cell r="H767">
            <v>100</v>
          </cell>
          <cell r="I767">
            <v>100</v>
          </cell>
          <cell r="J767" t="e">
            <v>#DIV/0!</v>
          </cell>
          <cell r="K767" t="e">
            <v>#DIV/0!</v>
          </cell>
        </row>
        <row r="775">
          <cell r="E775">
            <v>0</v>
          </cell>
          <cell r="F775">
            <v>0</v>
          </cell>
          <cell r="G775">
            <v>25.99</v>
          </cell>
          <cell r="H775">
            <v>0</v>
          </cell>
          <cell r="I775">
            <v>0</v>
          </cell>
          <cell r="J775">
            <v>0</v>
          </cell>
          <cell r="K775">
            <v>0</v>
          </cell>
        </row>
        <row r="776">
          <cell r="E776">
            <v>0</v>
          </cell>
          <cell r="F776">
            <v>0</v>
          </cell>
          <cell r="G776">
            <v>0</v>
          </cell>
          <cell r="H776">
            <v>0</v>
          </cell>
          <cell r="I776">
            <v>0</v>
          </cell>
          <cell r="J776">
            <v>0</v>
          </cell>
          <cell r="K776">
            <v>0</v>
          </cell>
        </row>
        <row r="784">
          <cell r="E784">
            <v>188.48</v>
          </cell>
          <cell r="F784">
            <v>0</v>
          </cell>
          <cell r="G784" t="str">
            <v>-</v>
          </cell>
        </row>
        <row r="785">
          <cell r="H785">
            <v>0</v>
          </cell>
          <cell r="I785">
            <v>269.03483713638735</v>
          </cell>
          <cell r="J785" t="e">
            <v>#DIV/0!</v>
          </cell>
          <cell r="K785" t="e">
            <v>#DIV/0!</v>
          </cell>
        </row>
        <row r="786">
          <cell r="H786">
            <v>0</v>
          </cell>
          <cell r="I786">
            <v>74.666666666666671</v>
          </cell>
          <cell r="J786" t="e">
            <v>#DIV/0!</v>
          </cell>
          <cell r="K786" t="e">
            <v>#DIV/0!</v>
          </cell>
        </row>
        <row r="803">
          <cell r="E803">
            <v>387.3</v>
          </cell>
          <cell r="F803">
            <v>428.31</v>
          </cell>
          <cell r="G803">
            <v>291.89</v>
          </cell>
          <cell r="H803">
            <v>286.87</v>
          </cell>
          <cell r="I803">
            <v>169.49590424867563</v>
          </cell>
          <cell r="J803" t="e">
            <v>#DIV/0!</v>
          </cell>
          <cell r="K803" t="e">
            <v>#DIV/0!</v>
          </cell>
        </row>
        <row r="804">
          <cell r="E804">
            <v>29.2</v>
          </cell>
          <cell r="F804">
            <v>37.46</v>
          </cell>
          <cell r="G804">
            <v>42.03</v>
          </cell>
          <cell r="H804">
            <v>43.04</v>
          </cell>
          <cell r="I804">
            <v>3.5673034450614898</v>
          </cell>
          <cell r="J804" t="e">
            <v>#DIV/0!</v>
          </cell>
          <cell r="K804" t="e">
            <v>#DIV/0!</v>
          </cell>
        </row>
        <row r="813">
          <cell r="E813">
            <v>0</v>
          </cell>
          <cell r="F813">
            <v>12.5</v>
          </cell>
          <cell r="G813">
            <v>12.5</v>
          </cell>
          <cell r="H813">
            <v>0</v>
          </cell>
          <cell r="I813">
            <v>12.5</v>
          </cell>
          <cell r="J813">
            <v>4.1666666666666661</v>
          </cell>
          <cell r="K813">
            <v>4.1666666666666661</v>
          </cell>
        </row>
        <row r="814">
          <cell r="E814">
            <v>0</v>
          </cell>
          <cell r="F814" t="e">
            <v>#DIV/0!</v>
          </cell>
          <cell r="G814" t="e">
            <v>#DIV/0!</v>
          </cell>
          <cell r="H814">
            <v>0</v>
          </cell>
          <cell r="I814">
            <v>0</v>
          </cell>
          <cell r="J814">
            <v>0</v>
          </cell>
          <cell r="K814">
            <v>0</v>
          </cell>
        </row>
        <row r="821">
          <cell r="E821" t="e">
            <v>#DIV/0!</v>
          </cell>
          <cell r="F821" t="e">
            <v>#DIV/0!</v>
          </cell>
          <cell r="G821" t="e">
            <v>#DIV/0!</v>
          </cell>
          <cell r="H821" t="e">
            <v>#DIV/0!</v>
          </cell>
          <cell r="I821" t="e">
            <v>#DIV/0!</v>
          </cell>
          <cell r="J821" t="e">
            <v>#DIV/0!</v>
          </cell>
          <cell r="K821" t="e">
            <v>#DIV/0!</v>
          </cell>
        </row>
        <row r="827">
          <cell r="E827">
            <v>76.989999999999995</v>
          </cell>
          <cell r="F827">
            <v>72.454078876283091</v>
          </cell>
          <cell r="G827">
            <v>66.42</v>
          </cell>
          <cell r="H827">
            <v>72.8</v>
          </cell>
          <cell r="I827">
            <v>71.440246836489194</v>
          </cell>
          <cell r="J827">
            <v>90.129702938431336</v>
          </cell>
        </row>
        <row r="828">
          <cell r="E828">
            <v>100</v>
          </cell>
          <cell r="F828">
            <v>100</v>
          </cell>
          <cell r="G828">
            <v>100</v>
          </cell>
          <cell r="H828">
            <v>100</v>
          </cell>
          <cell r="I828">
            <v>100</v>
          </cell>
          <cell r="J828">
            <v>100</v>
          </cell>
        </row>
        <row r="830">
          <cell r="E830">
            <v>87.98</v>
          </cell>
          <cell r="F830">
            <v>72.408239382893953</v>
          </cell>
          <cell r="G830">
            <v>89.187723328228685</v>
          </cell>
          <cell r="H830">
            <v>90.97372974673587</v>
          </cell>
          <cell r="I830">
            <v>91.65134706814581</v>
          </cell>
          <cell r="J830">
            <v>99.127729479836006</v>
          </cell>
        </row>
        <row r="831">
          <cell r="E831">
            <v>0</v>
          </cell>
          <cell r="F831">
            <v>0</v>
          </cell>
          <cell r="G831">
            <v>0</v>
          </cell>
          <cell r="H831" t="e">
            <v>#DIV/0!</v>
          </cell>
          <cell r="I831" t="e">
            <v>#DIV/0!</v>
          </cell>
          <cell r="J831" t="e">
            <v>#DIV/0!</v>
          </cell>
          <cell r="K831" t="e">
            <v>#DIV/0!</v>
          </cell>
        </row>
        <row r="844">
          <cell r="E844">
            <v>0</v>
          </cell>
          <cell r="F844">
            <v>0</v>
          </cell>
          <cell r="G844">
            <v>0</v>
          </cell>
          <cell r="H844">
            <v>88.52</v>
          </cell>
          <cell r="I844">
            <v>0</v>
          </cell>
          <cell r="J844">
            <v>0</v>
          </cell>
          <cell r="M844" t="str">
            <v>Российская Федерация; субъекты Российской Федерации.</v>
          </cell>
        </row>
        <row r="847">
          <cell r="E847">
            <v>0</v>
          </cell>
          <cell r="F847">
            <v>0</v>
          </cell>
          <cell r="G847">
            <v>0</v>
          </cell>
          <cell r="H847">
            <v>0</v>
          </cell>
          <cell r="I847">
            <v>0</v>
          </cell>
          <cell r="J847">
            <v>0</v>
          </cell>
          <cell r="M847" t="str">
            <v>Российская Федерация; субъекты Российской Федерации.</v>
          </cell>
        </row>
        <row r="852">
          <cell r="E852">
            <v>0.23</v>
          </cell>
          <cell r="F852">
            <v>1.3843868179362506</v>
          </cell>
          <cell r="G852">
            <v>1.34</v>
          </cell>
          <cell r="H852">
            <v>1.28</v>
          </cell>
          <cell r="I852">
            <v>1.2561093409841266</v>
          </cell>
          <cell r="J852">
            <v>1.7823694119918896</v>
          </cell>
        </row>
        <row r="853">
          <cell r="E853">
            <v>0</v>
          </cell>
          <cell r="F853">
            <v>0</v>
          </cell>
          <cell r="G853">
            <v>0</v>
          </cell>
          <cell r="H853">
            <v>0</v>
          </cell>
          <cell r="I853">
            <v>0</v>
          </cell>
          <cell r="J853">
            <v>0</v>
          </cell>
        </row>
        <row r="856">
          <cell r="H856" t="e">
            <v>#DIV/0!</v>
          </cell>
          <cell r="I856" t="e">
            <v>#DIV/0!</v>
          </cell>
          <cell r="J856" t="e">
            <v>#DIV/0!</v>
          </cell>
          <cell r="K856" t="e">
            <v>#DIV/0!</v>
          </cell>
        </row>
        <row r="873">
          <cell r="E873">
            <v>1.96</v>
          </cell>
          <cell r="F873">
            <v>11.489020243429625</v>
          </cell>
          <cell r="G873">
            <v>9.91</v>
          </cell>
          <cell r="H873">
            <v>7.96</v>
          </cell>
          <cell r="I873">
            <v>7.7451997924234561</v>
          </cell>
          <cell r="J873">
            <v>7.7133017926684051</v>
          </cell>
        </row>
        <row r="874">
          <cell r="E874">
            <v>0</v>
          </cell>
          <cell r="F874">
            <v>0</v>
          </cell>
          <cell r="G874">
            <v>0</v>
          </cell>
          <cell r="H874">
            <v>0</v>
          </cell>
          <cell r="I874">
            <v>0</v>
          </cell>
          <cell r="J874">
            <v>0</v>
          </cell>
        </row>
        <row r="877">
          <cell r="H877" t="e">
            <v>#DIV/0!</v>
          </cell>
          <cell r="I877" t="e">
            <v>#DIV/0!</v>
          </cell>
          <cell r="J877" t="e">
            <v>#DIV/0!</v>
          </cell>
          <cell r="K877" t="e">
            <v>#DIV/0!</v>
          </cell>
        </row>
        <row r="893">
          <cell r="E893">
            <v>0</v>
          </cell>
          <cell r="F893">
            <v>0</v>
          </cell>
          <cell r="G893">
            <v>0</v>
          </cell>
          <cell r="H893">
            <v>0</v>
          </cell>
          <cell r="I893" t="e">
            <v>#DIV/0!</v>
          </cell>
          <cell r="J893" t="e">
            <v>#DIV/0!</v>
          </cell>
          <cell r="K893" t="e">
            <v>#DIV/0!</v>
          </cell>
          <cell r="M893">
            <v>0</v>
          </cell>
        </row>
        <row r="894">
          <cell r="E894">
            <v>0</v>
          </cell>
          <cell r="F894">
            <v>0</v>
          </cell>
          <cell r="G894">
            <v>0</v>
          </cell>
          <cell r="H894" t="e">
            <v>#DIV/0!</v>
          </cell>
          <cell r="I894" t="e">
            <v>#DIV/0!</v>
          </cell>
          <cell r="M894">
            <v>0</v>
          </cell>
        </row>
        <row r="902">
          <cell r="E902">
            <v>0</v>
          </cell>
          <cell r="F902">
            <v>1.1782656607612105</v>
          </cell>
          <cell r="G902">
            <v>1.1086651352730985</v>
          </cell>
          <cell r="H902">
            <v>0</v>
          </cell>
          <cell r="I902" t="e">
            <v>#DIV/0!</v>
          </cell>
          <cell r="J902" t="e">
            <v>#DIV/0!</v>
          </cell>
          <cell r="K902" t="e">
            <v>#DIV/0!</v>
          </cell>
          <cell r="M902">
            <v>0</v>
          </cell>
        </row>
        <row r="903">
          <cell r="E903">
            <v>0</v>
          </cell>
          <cell r="F903">
            <v>0</v>
          </cell>
          <cell r="G903">
            <v>0</v>
          </cell>
          <cell r="H903" t="e">
            <v>#DIV/0!</v>
          </cell>
          <cell r="I903" t="e">
            <v>#DIV/0!</v>
          </cell>
          <cell r="M903">
            <v>0</v>
          </cell>
        </row>
      </sheetData>
      <sheetData sheetId="5">
        <row r="10">
          <cell r="E10">
            <v>3.56</v>
          </cell>
          <cell r="F10">
            <v>8.26</v>
          </cell>
          <cell r="G10">
            <v>7.34</v>
          </cell>
          <cell r="H10">
            <v>6.8997384824114674</v>
          </cell>
          <cell r="I10">
            <v>6.9264416174162751</v>
          </cell>
          <cell r="J10">
            <v>6.5876222883879203</v>
          </cell>
          <cell r="M10" t="str">
            <v>Российская Федерация, субъекты Российской Федерации</v>
          </cell>
          <cell r="N10" t="e">
            <v>#DIV/0!</v>
          </cell>
          <cell r="O10" t="e">
            <v>#DIV/0!</v>
          </cell>
          <cell r="P10" t="e">
            <v>#DIV/0!</v>
          </cell>
        </row>
        <row r="13">
          <cell r="E13" t="e">
            <v>#DIV/0!</v>
          </cell>
          <cell r="F13" t="e">
            <v>#DIV/0!</v>
          </cell>
          <cell r="G13" t="e">
            <v>#DIV/0!</v>
          </cell>
          <cell r="H13" t="e">
            <v>#DIV/0!</v>
          </cell>
          <cell r="I13">
            <v>4.93</v>
          </cell>
          <cell r="J13">
            <v>0</v>
          </cell>
          <cell r="M13" t="str">
            <v>Российская Федерация, субъекты Российской Федерации</v>
          </cell>
          <cell r="N13">
            <v>0</v>
          </cell>
          <cell r="O13">
            <v>0</v>
          </cell>
          <cell r="P13">
            <v>0</v>
          </cell>
        </row>
        <row r="19">
          <cell r="E19">
            <v>72.25</v>
          </cell>
          <cell r="F19">
            <v>72.739999999999995</v>
          </cell>
          <cell r="G19">
            <v>71</v>
          </cell>
          <cell r="H19">
            <v>73.625274945011</v>
          </cell>
          <cell r="I19">
            <v>72.628487518355357</v>
          </cell>
          <cell r="J19">
            <v>75.524616626311541</v>
          </cell>
          <cell r="M19">
            <v>0</v>
          </cell>
          <cell r="N19">
            <v>75.052327319844508</v>
          </cell>
          <cell r="O19">
            <v>76.897587242414829</v>
          </cell>
          <cell r="P19">
            <v>6.2294428386325134</v>
          </cell>
        </row>
        <row r="20">
          <cell r="E20">
            <v>3.09</v>
          </cell>
          <cell r="F20">
            <v>2.1712907117008444</v>
          </cell>
          <cell r="G20">
            <v>1.72</v>
          </cell>
          <cell r="H20">
            <v>0.56000000000000005</v>
          </cell>
          <cell r="I20">
            <v>0.45662100456621002</v>
          </cell>
          <cell r="J20" t="e">
            <v>#DIV/0!</v>
          </cell>
          <cell r="M20">
            <v>0</v>
          </cell>
          <cell r="N20">
            <v>0</v>
          </cell>
          <cell r="O20">
            <v>0</v>
          </cell>
          <cell r="P20">
            <v>0</v>
          </cell>
        </row>
        <row r="22">
          <cell r="E22">
            <v>0.13</v>
          </cell>
          <cell r="F22">
            <v>0.05</v>
          </cell>
          <cell r="G22">
            <v>0</v>
          </cell>
          <cell r="H22">
            <v>0.10997800439912019</v>
          </cell>
          <cell r="I22">
            <v>0.32305433186490456</v>
          </cell>
          <cell r="J22">
            <v>0.57506053268765134</v>
          </cell>
          <cell r="M22">
            <v>0</v>
          </cell>
          <cell r="N22">
            <v>0.64786205521778129</v>
          </cell>
          <cell r="O22">
            <v>0.65237651444547995</v>
          </cell>
          <cell r="P22">
            <v>0</v>
          </cell>
        </row>
        <row r="23">
          <cell r="I23">
            <v>0</v>
          </cell>
          <cell r="J23" t="e">
            <v>#DIV/0!</v>
          </cell>
          <cell r="M23">
            <v>0</v>
          </cell>
          <cell r="N23">
            <v>43.292682926829265</v>
          </cell>
          <cell r="O23">
            <v>44.49152542372881</v>
          </cell>
          <cell r="P23">
            <v>0</v>
          </cell>
        </row>
        <row r="25">
          <cell r="E25">
            <v>27.61</v>
          </cell>
          <cell r="F25">
            <v>27.21</v>
          </cell>
          <cell r="G25">
            <v>29</v>
          </cell>
          <cell r="H25">
            <v>26.264747050589882</v>
          </cell>
          <cell r="I25">
            <v>27.048458149779737</v>
          </cell>
          <cell r="J25">
            <v>23.900322841000808</v>
          </cell>
          <cell r="M25">
            <v>0</v>
          </cell>
          <cell r="N25">
            <v>24.299810624937706</v>
          </cell>
          <cell r="O25">
            <v>22.450036243139692</v>
          </cell>
          <cell r="P25">
            <v>0</v>
          </cell>
        </row>
        <row r="26">
          <cell r="I26">
            <v>99.543378995433784</v>
          </cell>
          <cell r="J26" t="e">
            <v>#DIV/0!</v>
          </cell>
          <cell r="M26">
            <v>0</v>
          </cell>
          <cell r="N26">
            <v>56.707317073170728</v>
          </cell>
          <cell r="O26">
            <v>55.508474576271183</v>
          </cell>
          <cell r="P26">
            <v>0</v>
          </cell>
        </row>
        <row r="40">
          <cell r="E40">
            <v>41.94</v>
          </cell>
          <cell r="F40">
            <v>44.44</v>
          </cell>
          <cell r="G40">
            <v>46.8</v>
          </cell>
          <cell r="H40">
            <v>44.521095780843837</v>
          </cell>
          <cell r="I40">
            <v>43.661282427802249</v>
          </cell>
          <cell r="J40">
            <v>40.284503631961257</v>
          </cell>
          <cell r="M40">
            <v>0</v>
          </cell>
          <cell r="N40">
            <v>38.712249576397888</v>
          </cell>
          <cell r="O40">
            <v>35.114424769597186</v>
          </cell>
          <cell r="P40">
            <v>24.32</v>
          </cell>
        </row>
        <row r="41">
          <cell r="E41">
            <v>100</v>
          </cell>
          <cell r="F41">
            <v>100</v>
          </cell>
          <cell r="G41">
            <v>100</v>
          </cell>
          <cell r="H41">
            <v>100</v>
          </cell>
          <cell r="I41">
            <v>100</v>
          </cell>
          <cell r="J41" t="e">
            <v>#DIV/0!</v>
          </cell>
          <cell r="M41">
            <v>0</v>
          </cell>
          <cell r="N41">
            <v>0</v>
          </cell>
          <cell r="O41">
            <v>100</v>
          </cell>
          <cell r="P41" t="e">
            <v>#DIV/0!</v>
          </cell>
        </row>
        <row r="51">
          <cell r="E51">
            <v>0</v>
          </cell>
          <cell r="F51">
            <v>0</v>
          </cell>
          <cell r="G51">
            <v>0</v>
          </cell>
          <cell r="H51">
            <v>39.096126255380206</v>
          </cell>
          <cell r="I51">
            <v>36.503155479059096</v>
          </cell>
          <cell r="J51">
            <v>35.214650255178626</v>
          </cell>
          <cell r="N51">
            <v>33.184590212702666</v>
          </cell>
          <cell r="O51">
            <v>32.684584491813403</v>
          </cell>
          <cell r="P51" t="e">
            <v>#DIV/0!</v>
          </cell>
        </row>
        <row r="52">
          <cell r="E52">
            <v>0</v>
          </cell>
          <cell r="F52">
            <v>1.79</v>
          </cell>
          <cell r="G52">
            <v>0</v>
          </cell>
          <cell r="H52">
            <v>6.74</v>
          </cell>
          <cell r="I52">
            <v>9.2592592592592595</v>
          </cell>
          <cell r="J52" t="e">
            <v>#DIV/0!</v>
          </cell>
          <cell r="N52" t="e">
            <v>#DIV/0!</v>
          </cell>
          <cell r="O52">
            <v>0</v>
          </cell>
          <cell r="P52" t="e">
            <v>#DIV/0!</v>
          </cell>
        </row>
        <row r="54">
          <cell r="E54">
            <v>0</v>
          </cell>
          <cell r="F54">
            <v>0</v>
          </cell>
          <cell r="G54">
            <v>0</v>
          </cell>
          <cell r="H54">
            <v>4.3753038405444826</v>
          </cell>
          <cell r="I54">
            <v>1.0658914728682169</v>
          </cell>
          <cell r="J54">
            <v>0</v>
          </cell>
          <cell r="N54">
            <v>0</v>
          </cell>
          <cell r="O54">
            <v>0</v>
          </cell>
          <cell r="P54">
            <v>0</v>
          </cell>
        </row>
        <row r="55">
          <cell r="E55">
            <v>0</v>
          </cell>
          <cell r="F55">
            <v>0</v>
          </cell>
          <cell r="G55">
            <v>0</v>
          </cell>
          <cell r="H55" t="e">
            <v>#DIV/0!</v>
          </cell>
          <cell r="I55" t="e">
            <v>#DIV/0!</v>
          </cell>
          <cell r="J55" t="e">
            <v>#DIV/0!</v>
          </cell>
          <cell r="N55" t="e">
            <v>#DIV/0!</v>
          </cell>
          <cell r="O55" t="e">
            <v>#DIV/0!</v>
          </cell>
          <cell r="P55" t="e">
            <v>#DIV/0!</v>
          </cell>
        </row>
        <row r="57">
          <cell r="E57">
            <v>0</v>
          </cell>
          <cell r="F57">
            <v>0</v>
          </cell>
          <cell r="G57">
            <v>0</v>
          </cell>
          <cell r="H57">
            <v>37.096774193548384</v>
          </cell>
          <cell r="I57">
            <v>38.167938931297712</v>
          </cell>
          <cell r="J57">
            <v>27.092320966350304</v>
          </cell>
          <cell r="N57">
            <v>24.832775919732441</v>
          </cell>
          <cell r="O57">
            <v>26.111111111111114</v>
          </cell>
          <cell r="P57" t="e">
            <v>#DIV/0!</v>
          </cell>
        </row>
        <row r="58">
          <cell r="E58">
            <v>0</v>
          </cell>
          <cell r="F58">
            <v>0</v>
          </cell>
          <cell r="G58">
            <v>0</v>
          </cell>
          <cell r="H58" t="e">
            <v>#DIV/0!</v>
          </cell>
          <cell r="I58" t="e">
            <v>#DIV/0!</v>
          </cell>
          <cell r="J58" t="e">
            <v>#DIV/0!</v>
          </cell>
          <cell r="N58" t="e">
            <v>#DIV/0!</v>
          </cell>
          <cell r="O58" t="e">
            <v>#DIV/0!</v>
          </cell>
          <cell r="P58" t="e">
            <v>#DIV/0!</v>
          </cell>
        </row>
        <row r="81">
          <cell r="I81">
            <v>0</v>
          </cell>
          <cell r="J81">
            <v>35.214650255178626</v>
          </cell>
          <cell r="N81">
            <v>33.184590212702666</v>
          </cell>
          <cell r="O81">
            <v>32.684584491813403</v>
          </cell>
          <cell r="P81" t="e">
            <v>#DIV/0!</v>
          </cell>
        </row>
        <row r="82">
          <cell r="I82">
            <v>6.9444444444444446</v>
          </cell>
          <cell r="J82" t="e">
            <v>#DIV/0!</v>
          </cell>
          <cell r="N82" t="e">
            <v>#DIV/0!</v>
          </cell>
          <cell r="O82">
            <v>0</v>
          </cell>
          <cell r="P82" t="e">
            <v>#DIV/0!</v>
          </cell>
        </row>
        <row r="84">
          <cell r="I84" t="e">
            <v>#DIV/0!</v>
          </cell>
          <cell r="J84">
            <v>0</v>
          </cell>
          <cell r="N84">
            <v>0</v>
          </cell>
          <cell r="O84">
            <v>23.537803138373754</v>
          </cell>
          <cell r="P84">
            <v>0</v>
          </cell>
        </row>
        <row r="85">
          <cell r="I85" t="e">
            <v>#DIV/0!</v>
          </cell>
          <cell r="J85" t="e">
            <v>#DIV/0!</v>
          </cell>
          <cell r="N85" t="e">
            <v>#DIV/0!</v>
          </cell>
          <cell r="O85" t="e">
            <v>#DIV/0!</v>
          </cell>
          <cell r="P85" t="e">
            <v>#DIV/0!</v>
          </cell>
        </row>
        <row r="87">
          <cell r="I87">
            <v>8.4817642069550461E-2</v>
          </cell>
          <cell r="J87">
            <v>27.092320966350304</v>
          </cell>
          <cell r="N87">
            <v>24.832775919732441</v>
          </cell>
          <cell r="O87">
            <v>26.111111111111114</v>
          </cell>
          <cell r="P87" t="e">
            <v>#DIV/0!</v>
          </cell>
        </row>
        <row r="88">
          <cell r="I88" t="e">
            <v>#DIV/0!</v>
          </cell>
          <cell r="J88" t="e">
            <v>#DIV/0!</v>
          </cell>
          <cell r="N88" t="e">
            <v>#DIV/0!</v>
          </cell>
          <cell r="O88" t="e">
            <v>#DIV/0!</v>
          </cell>
          <cell r="P88" t="e">
            <v>#DIV/0!</v>
          </cell>
        </row>
        <row r="111">
          <cell r="E111">
            <v>14.45</v>
          </cell>
          <cell r="F111">
            <v>14.33</v>
          </cell>
          <cell r="G111">
            <v>13.68</v>
          </cell>
          <cell r="H111">
            <v>13.282442748091603</v>
          </cell>
          <cell r="I111">
            <v>13.841368584758943</v>
          </cell>
          <cell r="J111">
            <v>13.513513513513514</v>
          </cell>
          <cell r="N111">
            <v>12.695924764890282</v>
          </cell>
          <cell r="O111">
            <v>12.333333333333334</v>
          </cell>
          <cell r="P111">
            <v>24.615384615384617</v>
          </cell>
        </row>
        <row r="112">
          <cell r="E112">
            <v>8.4</v>
          </cell>
          <cell r="F112">
            <v>12.5</v>
          </cell>
          <cell r="G112">
            <v>15.71</v>
          </cell>
          <cell r="H112">
            <v>14.285714285714285</v>
          </cell>
          <cell r="I112">
            <v>13.043478260869565</v>
          </cell>
          <cell r="J112" t="e">
            <v>#DIV/0!</v>
          </cell>
          <cell r="N112" t="e">
            <v>#DIV/0!</v>
          </cell>
          <cell r="O112">
            <v>0</v>
          </cell>
          <cell r="P112" t="e">
            <v>#DIV/0!</v>
          </cell>
        </row>
        <row r="114">
          <cell r="E114">
            <v>56.35</v>
          </cell>
          <cell r="F114">
            <v>57.89</v>
          </cell>
          <cell r="G114">
            <v>59.12</v>
          </cell>
          <cell r="H114">
            <v>57.557251908396942</v>
          </cell>
          <cell r="I114">
            <v>59.097978227060658</v>
          </cell>
          <cell r="J114">
            <v>58.82352941176471</v>
          </cell>
          <cell r="N114">
            <v>58.934169278996862</v>
          </cell>
          <cell r="O114">
            <v>59.166666666666664</v>
          </cell>
          <cell r="P114">
            <v>52.307692307692314</v>
          </cell>
        </row>
        <row r="115">
          <cell r="E115">
            <v>52.94</v>
          </cell>
          <cell r="F115">
            <v>70.19</v>
          </cell>
          <cell r="G115">
            <v>65.709999999999994</v>
          </cell>
          <cell r="H115">
            <v>67.857142857142861</v>
          </cell>
          <cell r="I115">
            <v>65.217391304347828</v>
          </cell>
          <cell r="J115" t="e">
            <v>#DIV/0!</v>
          </cell>
          <cell r="N115" t="e">
            <v>#DIV/0!</v>
          </cell>
          <cell r="O115">
            <v>100</v>
          </cell>
          <cell r="P115" t="e">
            <v>#DIV/0!</v>
          </cell>
        </row>
        <row r="126">
          <cell r="E126">
            <v>11.68</v>
          </cell>
          <cell r="F126">
            <v>13.01</v>
          </cell>
          <cell r="G126">
            <v>8.51</v>
          </cell>
          <cell r="H126">
            <v>10.076335877862595</v>
          </cell>
          <cell r="I126">
            <v>9.6423017107309477</v>
          </cell>
          <cell r="J126">
            <v>7.7901430842607313</v>
          </cell>
          <cell r="M126">
            <v>0</v>
          </cell>
          <cell r="N126">
            <v>8.1504702194357357</v>
          </cell>
          <cell r="O126">
            <v>6.666666666666667</v>
          </cell>
          <cell r="P126">
            <v>9.2307692307692317</v>
          </cell>
        </row>
        <row r="127">
          <cell r="E127">
            <v>5.04</v>
          </cell>
          <cell r="F127">
            <v>3.85</v>
          </cell>
          <cell r="G127">
            <v>1.43</v>
          </cell>
          <cell r="H127">
            <v>3.5714285714285712</v>
          </cell>
          <cell r="I127">
            <v>4.3478260869565215</v>
          </cell>
          <cell r="J127" t="e">
            <v>#DIV/0!</v>
          </cell>
          <cell r="M127">
            <v>0</v>
          </cell>
          <cell r="N127" t="e">
            <v>#DIV/0!</v>
          </cell>
          <cell r="O127">
            <v>0</v>
          </cell>
          <cell r="P127" t="e">
            <v>#DIV/0!</v>
          </cell>
        </row>
        <row r="135">
          <cell r="E135">
            <v>35.18</v>
          </cell>
          <cell r="F135">
            <v>41.08</v>
          </cell>
          <cell r="G135">
            <v>39.06</v>
          </cell>
          <cell r="H135">
            <v>45.038167938931295</v>
          </cell>
          <cell r="I135">
            <v>46.500777604976676</v>
          </cell>
          <cell r="J135">
            <v>40.06359300476948</v>
          </cell>
          <cell r="M135">
            <v>0</v>
          </cell>
          <cell r="N135">
            <v>49.373040752351102</v>
          </cell>
          <cell r="O135">
            <v>51</v>
          </cell>
          <cell r="P135">
            <v>53.846153846153847</v>
          </cell>
        </row>
        <row r="136">
          <cell r="E136">
            <v>48.74</v>
          </cell>
          <cell r="F136">
            <v>47.12</v>
          </cell>
          <cell r="G136">
            <v>38.57</v>
          </cell>
          <cell r="H136">
            <v>28.571428571428569</v>
          </cell>
          <cell r="I136">
            <v>34.782608695652172</v>
          </cell>
          <cell r="J136" t="e">
            <v>#DIV/0!</v>
          </cell>
          <cell r="M136">
            <v>0</v>
          </cell>
          <cell r="N136" t="e">
            <v>#DIV/0!</v>
          </cell>
          <cell r="O136">
            <v>50</v>
          </cell>
          <cell r="P136" t="e">
            <v>#DIV/0!</v>
          </cell>
        </row>
        <row r="144">
          <cell r="E144">
            <v>10.87</v>
          </cell>
          <cell r="F144">
            <v>11.33</v>
          </cell>
          <cell r="G144">
            <v>10.96</v>
          </cell>
          <cell r="H144">
            <v>11.648015267175571</v>
          </cell>
          <cell r="I144">
            <v>11.980637636080871</v>
          </cell>
          <cell r="J144">
            <v>12.300715421303655</v>
          </cell>
          <cell r="M144">
            <v>0</v>
          </cell>
          <cell r="N144">
            <v>10.773129580970823</v>
          </cell>
          <cell r="O144">
            <v>11.149439510845827</v>
          </cell>
          <cell r="P144">
            <v>8.5969738651994501</v>
          </cell>
        </row>
        <row r="145">
          <cell r="E145">
            <v>4.41</v>
          </cell>
          <cell r="F145">
            <v>3.84</v>
          </cell>
          <cell r="G145">
            <v>2.98</v>
          </cell>
          <cell r="H145">
            <v>2</v>
          </cell>
          <cell r="I145">
            <v>2.5043478260869567</v>
          </cell>
          <cell r="J145" t="e">
            <v>#DIV/0!</v>
          </cell>
          <cell r="M145">
            <v>0</v>
          </cell>
          <cell r="N145" t="e">
            <v>#DIV/0!</v>
          </cell>
          <cell r="O145">
            <v>11.242857142857144</v>
          </cell>
          <cell r="P145" t="e">
            <v>#DIV/0!</v>
          </cell>
        </row>
        <row r="159">
          <cell r="E159">
            <v>121.1</v>
          </cell>
          <cell r="F159">
            <v>159.85</v>
          </cell>
          <cell r="G159">
            <v>168.8</v>
          </cell>
          <cell r="H159">
            <v>159.51</v>
          </cell>
          <cell r="I159">
            <v>181.59</v>
          </cell>
          <cell r="J159">
            <v>201.85</v>
          </cell>
          <cell r="M159" t="str">
            <v>Российская Федерация; субъекты Российской Федерации</v>
          </cell>
        </row>
        <row r="171">
          <cell r="E171">
            <v>68.52</v>
          </cell>
          <cell r="F171">
            <v>68.83</v>
          </cell>
          <cell r="G171">
            <v>84.79</v>
          </cell>
          <cell r="H171">
            <v>84.207459207459209</v>
          </cell>
          <cell r="I171">
            <v>82.049830124575308</v>
          </cell>
          <cell r="J171">
            <v>83.202247191011239</v>
          </cell>
          <cell r="M171">
            <v>0</v>
          </cell>
          <cell r="N171">
            <v>83.281573498964804</v>
          </cell>
          <cell r="O171">
            <v>75.66616390145802</v>
          </cell>
          <cell r="P171">
            <v>100</v>
          </cell>
        </row>
        <row r="172">
          <cell r="E172">
            <v>0</v>
          </cell>
          <cell r="F172">
            <v>100</v>
          </cell>
          <cell r="G172">
            <v>100</v>
          </cell>
          <cell r="H172" t="e">
            <v>#DIV/0!</v>
          </cell>
          <cell r="I172" t="e">
            <v>#DIV/0!</v>
          </cell>
          <cell r="J172" t="e">
            <v>#DIV/0!</v>
          </cell>
          <cell r="M172">
            <v>0</v>
          </cell>
          <cell r="N172" t="e">
            <v>#DIV/0!</v>
          </cell>
          <cell r="O172" t="e">
            <v>#DIV/0!</v>
          </cell>
          <cell r="P172" t="e">
            <v>#DIV/0!</v>
          </cell>
        </row>
        <row r="180">
          <cell r="E180">
            <v>76.84</v>
          </cell>
          <cell r="F180">
            <v>73.680000000000007</v>
          </cell>
          <cell r="G180">
            <v>79.180000000000007</v>
          </cell>
          <cell r="H180">
            <v>66.220170754517753</v>
          </cell>
          <cell r="I180">
            <v>1.06</v>
          </cell>
          <cell r="J180">
            <v>76.975448444512367</v>
          </cell>
          <cell r="M180">
            <v>0</v>
          </cell>
          <cell r="N180">
            <v>27.297036825888064</v>
          </cell>
          <cell r="O180">
            <v>64.581102034944124</v>
          </cell>
          <cell r="P180">
            <v>76.034063260340631</v>
          </cell>
        </row>
        <row r="181">
          <cell r="E181">
            <v>831.3</v>
          </cell>
          <cell r="F181">
            <v>1056.19</v>
          </cell>
          <cell r="G181">
            <v>688.11</v>
          </cell>
          <cell r="H181">
            <v>2222.2199999999998</v>
          </cell>
          <cell r="I181">
            <v>0</v>
          </cell>
          <cell r="J181" t="e">
            <v>#DIV/0!</v>
          </cell>
          <cell r="M181">
            <v>0</v>
          </cell>
          <cell r="N181">
            <v>1194.7427983539094</v>
          </cell>
          <cell r="O181">
            <v>0</v>
          </cell>
          <cell r="P181" t="e">
            <v>#DIV/0!</v>
          </cell>
        </row>
        <row r="190">
          <cell r="E190">
            <v>20.77</v>
          </cell>
          <cell r="F190">
            <v>21.61</v>
          </cell>
          <cell r="G190">
            <v>27.88</v>
          </cell>
          <cell r="H190">
            <v>29.032236924024669</v>
          </cell>
          <cell r="I190">
            <v>30.079887981797043</v>
          </cell>
          <cell r="J190">
            <v>28.305641229728383</v>
          </cell>
          <cell r="N190">
            <v>31.660380475181015</v>
          </cell>
          <cell r="O190">
            <v>32.374509333703571</v>
          </cell>
          <cell r="P190">
            <v>62.134251290877799</v>
          </cell>
        </row>
        <row r="191">
          <cell r="E191">
            <v>55.63</v>
          </cell>
          <cell r="F191">
            <v>68.38</v>
          </cell>
          <cell r="G191">
            <v>76.81</v>
          </cell>
          <cell r="H191">
            <v>257.69</v>
          </cell>
          <cell r="I191">
            <v>213.17003216929575</v>
          </cell>
          <cell r="J191" t="e">
            <v>#DIV/0!</v>
          </cell>
          <cell r="N191">
            <v>81.180811808118079</v>
          </cell>
          <cell r="O191">
            <v>30.534351145038169</v>
          </cell>
          <cell r="P191" t="e">
            <v>#DIV/0!</v>
          </cell>
        </row>
        <row r="193">
          <cell r="E193">
            <v>17.21</v>
          </cell>
          <cell r="F193">
            <v>17.989999999999998</v>
          </cell>
          <cell r="G193">
            <v>24.01</v>
          </cell>
          <cell r="H193">
            <v>25.37535471102111</v>
          </cell>
          <cell r="I193">
            <v>26.72934351832173</v>
          </cell>
          <cell r="J193">
            <v>26.067058004178691</v>
          </cell>
          <cell r="N193">
            <v>28.576934724554693</v>
          </cell>
          <cell r="O193">
            <v>29.723964709891582</v>
          </cell>
          <cell r="P193">
            <v>23.580034423407916</v>
          </cell>
        </row>
        <row r="194">
          <cell r="E194">
            <v>55.63</v>
          </cell>
          <cell r="F194">
            <v>68.38</v>
          </cell>
          <cell r="G194">
            <v>76.33</v>
          </cell>
          <cell r="H194">
            <v>257.69</v>
          </cell>
          <cell r="I194">
            <v>213.17003216929575</v>
          </cell>
          <cell r="J194" t="e">
            <v>#DIV/0!</v>
          </cell>
          <cell r="N194">
            <v>81.180811808118079</v>
          </cell>
          <cell r="O194">
            <v>30.534351145038169</v>
          </cell>
          <cell r="P194" t="e">
            <v>#DIV/0!</v>
          </cell>
        </row>
        <row r="205">
          <cell r="E205">
            <v>100</v>
          </cell>
          <cell r="F205">
            <v>100</v>
          </cell>
          <cell r="G205">
            <v>100</v>
          </cell>
          <cell r="H205">
            <v>100</v>
          </cell>
          <cell r="I205">
            <v>100</v>
          </cell>
          <cell r="J205">
            <v>100</v>
          </cell>
          <cell r="M205">
            <v>0</v>
          </cell>
          <cell r="N205">
            <v>100</v>
          </cell>
          <cell r="O205">
            <v>100</v>
          </cell>
          <cell r="P205">
            <v>100</v>
          </cell>
        </row>
        <row r="206">
          <cell r="E206">
            <v>77.78</v>
          </cell>
          <cell r="F206">
            <v>87.5</v>
          </cell>
          <cell r="G206">
            <v>100</v>
          </cell>
          <cell r="H206">
            <v>100</v>
          </cell>
          <cell r="I206">
            <v>66.666666666666657</v>
          </cell>
          <cell r="J206" t="e">
            <v>#DIV/0!</v>
          </cell>
          <cell r="M206">
            <v>0</v>
          </cell>
          <cell r="N206">
            <v>100</v>
          </cell>
          <cell r="O206">
            <v>100</v>
          </cell>
          <cell r="P206" t="e">
            <v>#DIV/0!</v>
          </cell>
        </row>
        <row r="214">
          <cell r="E214">
            <v>16.45</v>
          </cell>
          <cell r="F214">
            <v>15.54</v>
          </cell>
          <cell r="G214">
            <v>16.78</v>
          </cell>
          <cell r="H214">
            <v>15.89878693745945</v>
          </cell>
          <cell r="I214">
            <v>15.289484541237952</v>
          </cell>
          <cell r="J214">
            <v>14.514351805790469</v>
          </cell>
          <cell r="M214">
            <v>0</v>
          </cell>
          <cell r="N214">
            <v>16.019326597472677</v>
          </cell>
          <cell r="O214">
            <v>14.593520049476833</v>
          </cell>
          <cell r="P214">
            <v>18.35972461273666</v>
          </cell>
        </row>
        <row r="215">
          <cell r="E215">
            <v>33.880000000000003</v>
          </cell>
          <cell r="F215">
            <v>34.26</v>
          </cell>
          <cell r="G215">
            <v>43.47</v>
          </cell>
          <cell r="H215">
            <v>174.12</v>
          </cell>
          <cell r="I215">
            <v>237.74272315026548</v>
          </cell>
          <cell r="J215" t="e">
            <v>#DIV/0!</v>
          </cell>
          <cell r="M215">
            <v>0</v>
          </cell>
          <cell r="N215">
            <v>51.918819188191883</v>
          </cell>
          <cell r="O215">
            <v>19.287531806615778</v>
          </cell>
          <cell r="P215" t="e">
            <v>#DIV/0!</v>
          </cell>
        </row>
        <row r="228">
          <cell r="I228">
            <v>87.5</v>
          </cell>
          <cell r="J228">
            <v>75</v>
          </cell>
          <cell r="N228">
            <v>77.777777777777786</v>
          </cell>
          <cell r="O228">
            <v>77.777777777777786</v>
          </cell>
          <cell r="P228">
            <v>50</v>
          </cell>
        </row>
        <row r="229">
          <cell r="I229">
            <v>100</v>
          </cell>
          <cell r="J229" t="e">
            <v>#DIV/0!</v>
          </cell>
          <cell r="N229">
            <v>100</v>
          </cell>
          <cell r="O229">
            <v>100</v>
          </cell>
          <cell r="P229" t="e">
            <v>#DIV/0!</v>
          </cell>
        </row>
        <row r="231">
          <cell r="I231">
            <v>100</v>
          </cell>
          <cell r="J231">
            <v>54.54545454545454</v>
          </cell>
          <cell r="N231">
            <v>54.54545454545454</v>
          </cell>
          <cell r="O231">
            <v>54.54545454545454</v>
          </cell>
          <cell r="P231">
            <v>25</v>
          </cell>
        </row>
        <row r="232">
          <cell r="I232" t="e">
            <v>#DIV/0!</v>
          </cell>
          <cell r="J232" t="e">
            <v>#DIV/0!</v>
          </cell>
          <cell r="N232" t="e">
            <v>#DIV/0!</v>
          </cell>
          <cell r="O232" t="e">
            <v>#DIV/0!</v>
          </cell>
          <cell r="P232" t="e">
            <v>#DIV/0!</v>
          </cell>
        </row>
        <row r="249">
          <cell r="I249">
            <v>3.9158100832109639E-2</v>
          </cell>
          <cell r="J249">
            <v>2.0177562550443905E-2</v>
          </cell>
          <cell r="N249">
            <v>9.9671085418120194E-3</v>
          </cell>
          <cell r="O249">
            <v>3.1065548306927617E-2</v>
          </cell>
          <cell r="P249">
            <v>0</v>
          </cell>
        </row>
        <row r="250">
          <cell r="I250">
            <v>3.9158100832109639E-2</v>
          </cell>
          <cell r="J250">
            <v>1.0088781275221953E-2</v>
          </cell>
          <cell r="N250">
            <v>0</v>
          </cell>
          <cell r="O250">
            <v>3.1065548306927617E-2</v>
          </cell>
          <cell r="P250">
            <v>0</v>
          </cell>
        </row>
        <row r="251">
          <cell r="I251">
            <v>0.5775819872736172</v>
          </cell>
          <cell r="J251">
            <v>0.67594834543987092</v>
          </cell>
          <cell r="N251">
            <v>0.88707266022126985</v>
          </cell>
          <cell r="O251">
            <v>0.98374236305270779</v>
          </cell>
          <cell r="P251">
            <v>2.990132562543606E-2</v>
          </cell>
        </row>
        <row r="253">
          <cell r="I253">
            <v>0</v>
          </cell>
          <cell r="J253" t="e">
            <v>#DIV/0!</v>
          </cell>
          <cell r="N253">
            <v>0</v>
          </cell>
          <cell r="O253">
            <v>0</v>
          </cell>
          <cell r="P253">
            <v>0</v>
          </cell>
        </row>
        <row r="254">
          <cell r="I254">
            <v>0</v>
          </cell>
          <cell r="J254" t="e">
            <v>#DIV/0!</v>
          </cell>
          <cell r="N254">
            <v>0</v>
          </cell>
          <cell r="O254">
            <v>0</v>
          </cell>
          <cell r="P254">
            <v>0</v>
          </cell>
        </row>
        <row r="255">
          <cell r="I255">
            <v>0</v>
          </cell>
          <cell r="J255" t="e">
            <v>#DIV/0!</v>
          </cell>
          <cell r="N255">
            <v>0</v>
          </cell>
          <cell r="O255">
            <v>0</v>
          </cell>
          <cell r="P255">
            <v>0</v>
          </cell>
        </row>
        <row r="269">
          <cell r="E269">
            <v>100</v>
          </cell>
          <cell r="F269">
            <v>100</v>
          </cell>
          <cell r="G269">
            <v>100</v>
          </cell>
          <cell r="H269">
            <v>100</v>
          </cell>
          <cell r="I269">
            <v>100</v>
          </cell>
          <cell r="J269">
            <v>0</v>
          </cell>
          <cell r="M269">
            <v>0</v>
          </cell>
        </row>
        <row r="270">
          <cell r="E270">
            <v>44.44</v>
          </cell>
          <cell r="F270">
            <v>50</v>
          </cell>
          <cell r="G270">
            <v>100</v>
          </cell>
          <cell r="H270">
            <v>75</v>
          </cell>
          <cell r="I270">
            <v>100</v>
          </cell>
          <cell r="J270">
            <v>0</v>
          </cell>
          <cell r="M270">
            <v>0</v>
          </cell>
        </row>
        <row r="276">
          <cell r="E276">
            <v>0.36</v>
          </cell>
          <cell r="F276">
            <v>0.35</v>
          </cell>
          <cell r="G276">
            <v>0.56999999999999995</v>
          </cell>
          <cell r="H276">
            <v>0.56988602279544087</v>
          </cell>
          <cell r="I276">
            <v>1.957905041605482E-2</v>
          </cell>
          <cell r="J276">
            <v>0</v>
          </cell>
          <cell r="M276">
            <v>0</v>
          </cell>
        </row>
        <row r="277">
          <cell r="E277">
            <v>7.0000000000000007E-2</v>
          </cell>
          <cell r="F277">
            <v>0</v>
          </cell>
          <cell r="G277">
            <v>0</v>
          </cell>
          <cell r="H277">
            <v>0</v>
          </cell>
          <cell r="I277">
            <v>0</v>
          </cell>
          <cell r="J277">
            <v>0</v>
          </cell>
          <cell r="M277">
            <v>0</v>
          </cell>
        </row>
        <row r="292">
          <cell r="E292">
            <v>32.74</v>
          </cell>
          <cell r="F292">
            <v>22.67</v>
          </cell>
          <cell r="G292">
            <v>39.75</v>
          </cell>
          <cell r="H292">
            <v>56.898424769147205</v>
          </cell>
          <cell r="I292">
            <v>55.695746214852207</v>
          </cell>
          <cell r="J292">
            <v>63.153370013755165</v>
          </cell>
          <cell r="M292">
            <v>0</v>
          </cell>
          <cell r="N292">
            <v>73.4670392898241</v>
          </cell>
          <cell r="O292">
            <v>63.677201989411202</v>
          </cell>
          <cell r="P292">
            <v>48.20295983086681</v>
          </cell>
        </row>
        <row r="293">
          <cell r="E293">
            <v>0</v>
          </cell>
          <cell r="F293">
            <v>0</v>
          </cell>
          <cell r="G293">
            <v>0</v>
          </cell>
          <cell r="H293">
            <v>0</v>
          </cell>
          <cell r="I293">
            <v>0</v>
          </cell>
          <cell r="J293" t="e">
            <v>#DIV/0!</v>
          </cell>
          <cell r="M293">
            <v>0</v>
          </cell>
          <cell r="N293" t="e">
            <v>#DIV/0!</v>
          </cell>
          <cell r="O293" t="e">
            <v>#DIV/0!</v>
          </cell>
          <cell r="P293" t="e">
            <v>#DIV/0!</v>
          </cell>
        </row>
        <row r="305">
          <cell r="E305">
            <v>18.3</v>
          </cell>
          <cell r="F305">
            <v>17.84</v>
          </cell>
          <cell r="G305">
            <v>15.33</v>
          </cell>
          <cell r="H305">
            <v>15.122745978718335</v>
          </cell>
          <cell r="I305">
            <v>15.962344101355011</v>
          </cell>
          <cell r="J305">
            <v>14.832147236290522</v>
          </cell>
          <cell r="N305">
            <v>13.14091067586641</v>
          </cell>
          <cell r="O305">
            <v>9.2072771570112835</v>
          </cell>
          <cell r="P305">
            <v>8.9800709634179441</v>
          </cell>
        </row>
        <row r="306">
          <cell r="E306">
            <v>100</v>
          </cell>
          <cell r="F306">
            <v>100</v>
          </cell>
          <cell r="G306">
            <v>100</v>
          </cell>
          <cell r="H306">
            <v>100</v>
          </cell>
          <cell r="I306">
            <v>100</v>
          </cell>
          <cell r="J306" t="e">
            <v>#DIV/0!</v>
          </cell>
          <cell r="N306">
            <v>100</v>
          </cell>
          <cell r="O306">
            <v>100</v>
          </cell>
          <cell r="P306" t="e">
            <v>#DIV/0!</v>
          </cell>
        </row>
        <row r="312">
          <cell r="E312">
            <v>246.82</v>
          </cell>
          <cell r="F312">
            <v>262.37</v>
          </cell>
          <cell r="G312">
            <v>269.8</v>
          </cell>
          <cell r="H312">
            <v>395.37016429755749</v>
          </cell>
          <cell r="I312">
            <v>262.93493594769984</v>
          </cell>
          <cell r="J312">
            <v>296.43773744127822</v>
          </cell>
          <cell r="M312">
            <v>0</v>
          </cell>
          <cell r="N312">
            <v>43.000538777083399</v>
          </cell>
          <cell r="O312">
            <v>31.900869631069437</v>
          </cell>
          <cell r="P312">
            <v>39.117366609294329</v>
          </cell>
        </row>
        <row r="313">
          <cell r="E313">
            <v>403.4</v>
          </cell>
          <cell r="F313">
            <v>427.57</v>
          </cell>
          <cell r="G313">
            <v>386.71</v>
          </cell>
          <cell r="H313">
            <v>11389.24</v>
          </cell>
          <cell r="I313">
            <v>237.07</v>
          </cell>
          <cell r="J313" t="e">
            <v>#DIV/0!</v>
          </cell>
          <cell r="M313">
            <v>0</v>
          </cell>
          <cell r="N313">
            <v>513.68715867158676</v>
          </cell>
          <cell r="O313">
            <v>103.17811704834607</v>
          </cell>
          <cell r="P313" t="e">
            <v>#DIV/0!</v>
          </cell>
        </row>
        <row r="334">
          <cell r="E334">
            <v>0</v>
          </cell>
          <cell r="F334">
            <v>0</v>
          </cell>
          <cell r="G334">
            <v>0</v>
          </cell>
          <cell r="H334">
            <v>0</v>
          </cell>
          <cell r="I334">
            <v>0</v>
          </cell>
          <cell r="J334">
            <v>0</v>
          </cell>
          <cell r="M334">
            <v>0</v>
          </cell>
          <cell r="N334">
            <v>0</v>
          </cell>
          <cell r="O334">
            <v>0</v>
          </cell>
          <cell r="P334">
            <v>0</v>
          </cell>
        </row>
        <row r="335">
          <cell r="E335">
            <v>0</v>
          </cell>
          <cell r="F335">
            <v>0</v>
          </cell>
          <cell r="G335">
            <v>0</v>
          </cell>
          <cell r="H335">
            <v>0</v>
          </cell>
          <cell r="I335">
            <v>0</v>
          </cell>
          <cell r="J335" t="e">
            <v>#DIV/0!</v>
          </cell>
          <cell r="M335">
            <v>0</v>
          </cell>
          <cell r="N335" t="e">
            <v>#DIV/0!</v>
          </cell>
          <cell r="O335">
            <v>0</v>
          </cell>
          <cell r="P335" t="e">
            <v>#DIV/0!</v>
          </cell>
        </row>
        <row r="344">
          <cell r="E344">
            <v>14.46</v>
          </cell>
          <cell r="F344">
            <v>12.46</v>
          </cell>
          <cell r="G344">
            <v>9.48</v>
          </cell>
          <cell r="H344">
            <v>5.8301943581557554</v>
          </cell>
          <cell r="I344">
            <v>5.5961436170545937</v>
          </cell>
          <cell r="J344">
            <v>4.2014070286367327</v>
          </cell>
          <cell r="M344">
            <v>0</v>
          </cell>
          <cell r="N344">
            <v>3.9344554850536624</v>
          </cell>
          <cell r="O344">
            <v>3.6367690324696502</v>
          </cell>
          <cell r="P344">
            <v>2.88151075037152</v>
          </cell>
        </row>
        <row r="345">
          <cell r="E345">
            <v>4.0599999999999996</v>
          </cell>
          <cell r="F345">
            <v>5.88</v>
          </cell>
          <cell r="G345">
            <v>8.81</v>
          </cell>
          <cell r="H345">
            <v>8.7200000000000006</v>
          </cell>
          <cell r="I345">
            <v>8.83</v>
          </cell>
          <cell r="J345" t="e">
            <v>#DIV/0!</v>
          </cell>
          <cell r="M345">
            <v>0</v>
          </cell>
          <cell r="N345">
            <v>3.4463706057048142</v>
          </cell>
          <cell r="O345">
            <v>0</v>
          </cell>
          <cell r="P345" t="e">
            <v>#DIV/0!</v>
          </cell>
        </row>
        <row r="353">
          <cell r="E353">
            <v>521.78</v>
          </cell>
          <cell r="F353">
            <v>485.43</v>
          </cell>
          <cell r="G353">
            <v>383.93</v>
          </cell>
          <cell r="H353">
            <v>268.49664122137403</v>
          </cell>
          <cell r="I353">
            <v>260.89210103664766</v>
          </cell>
          <cell r="J353">
            <v>221.84807460890497</v>
          </cell>
          <cell r="N353">
            <v>227.38876129229823</v>
          </cell>
          <cell r="O353">
            <v>234.28051589129439</v>
          </cell>
          <cell r="P353">
            <v>235.74807987711216</v>
          </cell>
        </row>
        <row r="354">
          <cell r="E354">
            <v>84.08</v>
          </cell>
          <cell r="F354">
            <v>116.68</v>
          </cell>
          <cell r="G354">
            <v>86.24</v>
          </cell>
          <cell r="H354">
            <v>193.86</v>
          </cell>
          <cell r="I354">
            <v>328.63</v>
          </cell>
          <cell r="J354" t="e">
            <v>#DIV/0!</v>
          </cell>
          <cell r="N354">
            <v>99.8</v>
          </cell>
          <cell r="O354">
            <v>0</v>
          </cell>
          <cell r="P354" t="e">
            <v>#DIV/0!</v>
          </cell>
        </row>
        <row r="373">
          <cell r="E373">
            <v>100</v>
          </cell>
          <cell r="F373">
            <v>100</v>
          </cell>
          <cell r="G373">
            <v>100</v>
          </cell>
          <cell r="H373">
            <v>100</v>
          </cell>
          <cell r="I373">
            <v>97.623743554404399</v>
          </cell>
          <cell r="J373">
            <v>100</v>
          </cell>
          <cell r="N373">
            <v>35.98923239255241</v>
          </cell>
          <cell r="O373">
            <v>35.587325474458659</v>
          </cell>
          <cell r="P373">
            <v>100</v>
          </cell>
        </row>
        <row r="374">
          <cell r="E374">
            <v>70.37</v>
          </cell>
          <cell r="F374">
            <v>92.61</v>
          </cell>
          <cell r="G374">
            <v>100</v>
          </cell>
          <cell r="H374">
            <v>100</v>
          </cell>
          <cell r="I374">
            <v>100</v>
          </cell>
          <cell r="J374" t="e">
            <v>#DIV/0!</v>
          </cell>
          <cell r="N374">
            <v>100</v>
          </cell>
          <cell r="O374">
            <v>100</v>
          </cell>
          <cell r="P374" t="e">
            <v>#DIV/0!</v>
          </cell>
        </row>
        <row r="376">
          <cell r="E376">
            <v>97.73</v>
          </cell>
          <cell r="F376">
            <v>100</v>
          </cell>
          <cell r="G376">
            <v>97.6</v>
          </cell>
          <cell r="H376">
            <v>100</v>
          </cell>
          <cell r="I376">
            <v>100</v>
          </cell>
          <cell r="J376">
            <v>100</v>
          </cell>
          <cell r="N376">
            <v>42.550224342131862</v>
          </cell>
          <cell r="O376">
            <v>42.550224342131862</v>
          </cell>
          <cell r="P376">
            <v>100</v>
          </cell>
        </row>
        <row r="377">
          <cell r="E377">
            <v>0</v>
          </cell>
          <cell r="F377">
            <v>100</v>
          </cell>
          <cell r="G377">
            <v>100</v>
          </cell>
          <cell r="H377" t="e">
            <v>#DIV/0!</v>
          </cell>
          <cell r="I377">
            <v>100</v>
          </cell>
          <cell r="J377" t="e">
            <v>#DIV/0!</v>
          </cell>
          <cell r="N377">
            <v>100</v>
          </cell>
          <cell r="O377" t="e">
            <v>#DIV/0!</v>
          </cell>
          <cell r="P377" t="e">
            <v>#DIV/0!</v>
          </cell>
        </row>
        <row r="392">
          <cell r="E392">
            <v>1.29</v>
          </cell>
          <cell r="F392">
            <v>1.31</v>
          </cell>
          <cell r="G392">
            <v>1.31</v>
          </cell>
          <cell r="H392">
            <v>1.303148248509632</v>
          </cell>
          <cell r="I392">
            <v>1.2570396597200768</v>
          </cell>
          <cell r="J392">
            <v>1.315266036797613</v>
          </cell>
          <cell r="N392">
            <v>1.3185334119856098</v>
          </cell>
          <cell r="O392">
            <v>1.3268121394532231</v>
          </cell>
          <cell r="P392">
            <v>0</v>
          </cell>
        </row>
        <row r="393">
          <cell r="E393">
            <v>0</v>
          </cell>
          <cell r="F393">
            <v>0</v>
          </cell>
          <cell r="G393">
            <v>0</v>
          </cell>
          <cell r="H393">
            <v>0</v>
          </cell>
          <cell r="I393">
            <v>0</v>
          </cell>
          <cell r="J393" t="e">
            <v>#DIV/0!</v>
          </cell>
          <cell r="N393">
            <v>0</v>
          </cell>
          <cell r="O393">
            <v>0</v>
          </cell>
          <cell r="P393" t="e">
            <v>#DIV/0!</v>
          </cell>
        </row>
        <row r="395">
          <cell r="E395">
            <v>0</v>
          </cell>
          <cell r="F395">
            <v>0</v>
          </cell>
          <cell r="G395">
            <v>0</v>
          </cell>
          <cell r="H395">
            <v>1.0709790284385468</v>
          </cell>
          <cell r="I395">
            <v>1.0709790284385468</v>
          </cell>
          <cell r="J395">
            <v>1.0709790284385468</v>
          </cell>
          <cell r="N395">
            <v>1.0166134443591091</v>
          </cell>
          <cell r="O395">
            <v>1.0166134443591091</v>
          </cell>
          <cell r="P395">
            <v>0</v>
          </cell>
        </row>
        <row r="396">
          <cell r="E396">
            <v>0</v>
          </cell>
          <cell r="F396">
            <v>0</v>
          </cell>
          <cell r="G396">
            <v>0</v>
          </cell>
          <cell r="H396" t="e">
            <v>#DIV/0!</v>
          </cell>
          <cell r="I396">
            <v>0</v>
          </cell>
          <cell r="J396" t="e">
            <v>#DIV/0!</v>
          </cell>
          <cell r="N396">
            <v>0</v>
          </cell>
          <cell r="O396" t="e">
            <v>#DIV/0!</v>
          </cell>
          <cell r="P396" t="e">
            <v>#DIV/0!</v>
          </cell>
        </row>
        <row r="411">
          <cell r="E411">
            <v>0.44</v>
          </cell>
          <cell r="F411">
            <v>0.45</v>
          </cell>
          <cell r="G411">
            <v>0.45</v>
          </cell>
          <cell r="H411">
            <v>0.44916325893810255</v>
          </cell>
          <cell r="I411">
            <v>0.43327075858026598</v>
          </cell>
          <cell r="J411">
            <v>0.45333996353389694</v>
          </cell>
          <cell r="M411">
            <v>0</v>
          </cell>
          <cell r="N411">
            <v>0.45446614767241883</v>
          </cell>
          <cell r="O411">
            <v>0</v>
          </cell>
          <cell r="P411">
            <v>0</v>
          </cell>
        </row>
        <row r="412">
          <cell r="E412">
            <v>0</v>
          </cell>
          <cell r="F412">
            <v>0</v>
          </cell>
          <cell r="G412">
            <v>0</v>
          </cell>
          <cell r="H412">
            <v>0</v>
          </cell>
          <cell r="I412">
            <v>0</v>
          </cell>
          <cell r="J412" t="e">
            <v>#DIV/0!</v>
          </cell>
          <cell r="M412">
            <v>0</v>
          </cell>
          <cell r="N412">
            <v>0</v>
          </cell>
          <cell r="O412">
            <v>0</v>
          </cell>
          <cell r="P412" t="e">
            <v>#DIV/0!</v>
          </cell>
        </row>
        <row r="414">
          <cell r="E414">
            <v>0</v>
          </cell>
          <cell r="F414">
            <v>0</v>
          </cell>
          <cell r="G414">
            <v>0</v>
          </cell>
          <cell r="H414">
            <v>0</v>
          </cell>
          <cell r="I414">
            <v>0</v>
          </cell>
          <cell r="J414">
            <v>0</v>
          </cell>
          <cell r="M414">
            <v>0</v>
          </cell>
          <cell r="N414">
            <v>0</v>
          </cell>
          <cell r="O414">
            <v>0</v>
          </cell>
          <cell r="P414">
            <v>0</v>
          </cell>
        </row>
        <row r="415">
          <cell r="E415">
            <v>0</v>
          </cell>
          <cell r="F415">
            <v>0</v>
          </cell>
          <cell r="G415">
            <v>0</v>
          </cell>
          <cell r="H415" t="e">
            <v>#DIV/0!</v>
          </cell>
          <cell r="I415">
            <v>0</v>
          </cell>
          <cell r="J415" t="e">
            <v>#DIV/0!</v>
          </cell>
          <cell r="M415">
            <v>0</v>
          </cell>
          <cell r="N415">
            <v>0</v>
          </cell>
          <cell r="O415" t="e">
            <v>#DIV/0!</v>
          </cell>
          <cell r="P415" t="e">
            <v>#DIV/0!</v>
          </cell>
        </row>
      </sheetData>
      <sheetData sheetId="6">
        <row r="10">
          <cell r="F10">
            <v>57.865146451739726</v>
          </cell>
          <cell r="G10">
            <v>60.509319628748948</v>
          </cell>
          <cell r="H10">
            <v>61</v>
          </cell>
          <cell r="I10">
            <v>55.54006028161411</v>
          </cell>
          <cell r="J10">
            <v>72</v>
          </cell>
          <cell r="K10">
            <v>76.13</v>
          </cell>
          <cell r="L10">
            <v>80</v>
          </cell>
          <cell r="M10">
            <v>97.8</v>
          </cell>
          <cell r="N10">
            <v>98.3</v>
          </cell>
          <cell r="O10">
            <v>87</v>
          </cell>
        </row>
        <row r="19">
          <cell r="J19">
            <v>9.9501385704793996</v>
          </cell>
          <cell r="K19">
            <v>11.623971507954387</v>
          </cell>
          <cell r="L19">
            <v>11.861333128640101</v>
          </cell>
          <cell r="M19">
            <v>0.24611162817474408</v>
          </cell>
          <cell r="N19">
            <v>0.13</v>
          </cell>
          <cell r="O19">
            <v>0.12</v>
          </cell>
        </row>
        <row r="20">
          <cell r="J20">
            <v>8.7915935904419289</v>
          </cell>
          <cell r="K20">
            <v>10.574292794387411</v>
          </cell>
          <cell r="L20">
            <v>11.611623377246429</v>
          </cell>
          <cell r="M20">
            <v>8.9473330710701293E-2</v>
          </cell>
          <cell r="N20">
            <v>0.08</v>
          </cell>
          <cell r="O20">
            <v>0.09</v>
          </cell>
        </row>
        <row r="21">
          <cell r="J21">
            <v>2.0450369022464576</v>
          </cell>
          <cell r="K21">
            <v>1.9261094841180448</v>
          </cell>
          <cell r="L21">
            <v>2.0367776167950797</v>
          </cell>
          <cell r="M21">
            <v>2.7825486226384321E-2</v>
          </cell>
          <cell r="N21">
            <v>0.03</v>
          </cell>
          <cell r="O21">
            <v>0.03</v>
          </cell>
        </row>
        <row r="22">
          <cell r="J22">
            <v>26.025810622340074</v>
          </cell>
          <cell r="K22">
            <v>23.670335446636415</v>
          </cell>
          <cell r="L22">
            <v>23.127536676869344</v>
          </cell>
          <cell r="M22">
            <v>0.33846345746058853</v>
          </cell>
          <cell r="N22">
            <v>0.15</v>
          </cell>
          <cell r="O22">
            <v>0.23</v>
          </cell>
        </row>
        <row r="24">
          <cell r="J24">
            <v>26.287388589933141</v>
          </cell>
          <cell r="K24">
            <v>25.445724584044026</v>
          </cell>
          <cell r="L24">
            <v>24.865190316730793</v>
          </cell>
          <cell r="M24">
            <v>0.37012694178716382</v>
          </cell>
          <cell r="N24">
            <v>0.46</v>
          </cell>
          <cell r="O24">
            <v>0.27</v>
          </cell>
        </row>
        <row r="25">
          <cell r="J25">
            <v>4.6730873981671586</v>
          </cell>
          <cell r="K25">
            <v>4.2239243072764134</v>
          </cell>
          <cell r="L25">
            <v>4.0829103539593747</v>
          </cell>
          <cell r="M25">
            <v>0.10866332121165601</v>
          </cell>
          <cell r="N25">
            <v>0.09</v>
          </cell>
          <cell r="O25">
            <v>0.14000000000000001</v>
          </cell>
        </row>
        <row r="27">
          <cell r="J27">
            <v>19.500427982258188</v>
          </cell>
          <cell r="K27">
            <v>19.961327626342271</v>
          </cell>
          <cell r="L27">
            <v>19.706201245430382</v>
          </cell>
          <cell r="M27">
            <v>0.16503391830821043</v>
          </cell>
          <cell r="N27">
            <v>0.13</v>
          </cell>
          <cell r="O27">
            <v>0.13</v>
          </cell>
        </row>
        <row r="28">
          <cell r="J28">
            <v>2.7265163441336502</v>
          </cell>
          <cell r="K28">
            <v>2.5743142492410347</v>
          </cell>
          <cell r="L28">
            <v>2.708427284328494</v>
          </cell>
          <cell r="M28">
            <v>0</v>
          </cell>
          <cell r="N28">
            <v>0</v>
          </cell>
          <cell r="O28">
            <v>0</v>
          </cell>
        </row>
        <row r="40">
          <cell r="J40">
            <v>45.044517084055023</v>
          </cell>
          <cell r="K40">
            <v>51.396518752207754</v>
          </cell>
          <cell r="L40">
            <v>52.352620865325925</v>
          </cell>
          <cell r="M40">
            <v>0</v>
          </cell>
          <cell r="N40" t="e">
            <v>#DIV/0!</v>
          </cell>
          <cell r="O40" t="e">
            <v>#DIV/0!</v>
          </cell>
        </row>
        <row r="41">
          <cell r="J41">
            <v>19.865878280934528</v>
          </cell>
          <cell r="K41">
            <v>23.695776255707763</v>
          </cell>
          <cell r="L41">
            <v>27.620915707427862</v>
          </cell>
          <cell r="M41">
            <v>0</v>
          </cell>
          <cell r="O41">
            <v>0</v>
          </cell>
          <cell r="P41">
            <v>0</v>
          </cell>
        </row>
        <row r="42">
          <cell r="J42">
            <v>63.603453077137281</v>
          </cell>
          <cell r="K42">
            <v>92.149122807017548</v>
          </cell>
          <cell r="L42">
            <v>79.75120683252878</v>
          </cell>
          <cell r="M42">
            <v>0</v>
          </cell>
          <cell r="O42">
            <v>0</v>
          </cell>
          <cell r="P42">
            <v>0</v>
          </cell>
        </row>
        <row r="43">
          <cell r="J43">
            <v>4.6882181706756549</v>
          </cell>
          <cell r="K43">
            <v>4.6786182772190639</v>
          </cell>
          <cell r="L43">
            <v>8.2483426823049459</v>
          </cell>
          <cell r="M43">
            <v>0</v>
          </cell>
          <cell r="O43">
            <v>0</v>
          </cell>
          <cell r="P43">
            <v>0</v>
          </cell>
        </row>
        <row r="44">
          <cell r="J44">
            <v>107.31178181471415</v>
          </cell>
          <cell r="K44">
            <v>121.58871230950767</v>
          </cell>
          <cell r="L44">
            <v>124.72263658400149</v>
          </cell>
          <cell r="M44">
            <v>0</v>
          </cell>
          <cell r="O44">
            <v>0</v>
          </cell>
          <cell r="P44">
            <v>0</v>
          </cell>
        </row>
        <row r="46">
          <cell r="J46">
            <v>36.990766735292283</v>
          </cell>
          <cell r="K46">
            <v>42.504618434688574</v>
          </cell>
          <cell r="L46">
            <v>45.00804364552004</v>
          </cell>
          <cell r="M46">
            <v>0</v>
          </cell>
          <cell r="O46">
            <v>0</v>
          </cell>
          <cell r="P46">
            <v>0</v>
          </cell>
        </row>
        <row r="47">
          <cell r="J47">
            <v>2.259479992140939</v>
          </cell>
          <cell r="K47">
            <v>0.76775431861804222</v>
          </cell>
          <cell r="L47">
            <v>4.7022864868042087E-2</v>
          </cell>
          <cell r="M47">
            <v>0</v>
          </cell>
          <cell r="O47">
            <v>0</v>
          </cell>
          <cell r="P47">
            <v>0</v>
          </cell>
        </row>
        <row r="49">
          <cell r="J49">
            <v>35.05513639001741</v>
          </cell>
          <cell r="K49">
            <v>39.457018661470435</v>
          </cell>
          <cell r="L49">
            <v>41.616962592656435</v>
          </cell>
          <cell r="M49" t="e">
            <v>#DIV/0!</v>
          </cell>
          <cell r="O49">
            <v>0</v>
          </cell>
          <cell r="P49">
            <v>0</v>
          </cell>
        </row>
        <row r="50">
          <cell r="J50">
            <v>6.325863678804855</v>
          </cell>
          <cell r="K50">
            <v>13.517029328287606</v>
          </cell>
          <cell r="L50">
            <v>5.5332274044303205</v>
          </cell>
          <cell r="M50" t="e">
            <v>#DIV/0!</v>
          </cell>
          <cell r="O50">
            <v>0</v>
          </cell>
          <cell r="P50">
            <v>0</v>
          </cell>
        </row>
        <row r="75">
          <cell r="J75">
            <v>1.2869396574944781E-2</v>
          </cell>
          <cell r="K75">
            <v>1.1531983823040368E-2</v>
          </cell>
          <cell r="L75">
            <v>1.0314619894263152E-2</v>
          </cell>
          <cell r="M75" t="e">
            <v>#DIV/0!</v>
          </cell>
          <cell r="O75">
            <v>0</v>
          </cell>
          <cell r="P75">
            <v>0</v>
          </cell>
        </row>
        <row r="78">
          <cell r="J78">
            <v>31.055649665096404</v>
          </cell>
          <cell r="K78">
            <v>27.828286079018227</v>
          </cell>
          <cell r="L78">
            <v>24.89061705414456</v>
          </cell>
          <cell r="M78" t="e">
            <v>#DIV/0!</v>
          </cell>
          <cell r="O78">
            <v>0</v>
          </cell>
          <cell r="P78">
            <v>0</v>
          </cell>
        </row>
        <row r="83">
          <cell r="F83" t="str">
            <v>-</v>
          </cell>
          <cell r="G83">
            <v>49.073163444420928</v>
          </cell>
          <cell r="H83">
            <v>49.460195617184596</v>
          </cell>
          <cell r="I83">
            <v>50.48</v>
          </cell>
          <cell r="J83" t="e">
            <v>#DIV/0!</v>
          </cell>
          <cell r="K83" t="e">
            <v>#DIV/0!</v>
          </cell>
          <cell r="L83" t="e">
            <v>#DIV/0!</v>
          </cell>
          <cell r="M83" t="e">
            <v>#DIV/0!</v>
          </cell>
          <cell r="O83">
            <v>0</v>
          </cell>
          <cell r="P83">
            <v>0</v>
          </cell>
        </row>
        <row r="84">
          <cell r="F84">
            <v>80.060529450373139</v>
          </cell>
          <cell r="G84">
            <v>40.81691087679112</v>
          </cell>
          <cell r="H84">
            <v>39.706574223102635</v>
          </cell>
          <cell r="I84">
            <v>43.89</v>
          </cell>
          <cell r="J84">
            <v>0</v>
          </cell>
          <cell r="K84">
            <v>0</v>
          </cell>
          <cell r="L84">
            <v>0</v>
          </cell>
          <cell r="M84">
            <v>0</v>
          </cell>
          <cell r="O84">
            <v>0</v>
          </cell>
          <cell r="P84">
            <v>0</v>
          </cell>
        </row>
        <row r="85">
          <cell r="F85">
            <v>3.9368451758757326</v>
          </cell>
          <cell r="G85">
            <v>3.3033724650491121</v>
          </cell>
          <cell r="H85">
            <v>4.3493871486938218</v>
          </cell>
          <cell r="I85">
            <v>2.86</v>
          </cell>
          <cell r="J85">
            <v>0</v>
          </cell>
          <cell r="K85">
            <v>0</v>
          </cell>
          <cell r="L85">
            <v>0</v>
          </cell>
          <cell r="M85">
            <v>0</v>
          </cell>
          <cell r="O85">
            <v>0</v>
          </cell>
          <cell r="P85">
            <v>0</v>
          </cell>
        </row>
        <row r="86">
          <cell r="F86">
            <v>2.7177480127379248</v>
          </cell>
          <cell r="G86">
            <v>0.42202497292317648</v>
          </cell>
          <cell r="H86">
            <v>0.42466262226074036</v>
          </cell>
          <cell r="I86">
            <v>0.36</v>
          </cell>
          <cell r="J86">
            <v>0</v>
          </cell>
          <cell r="K86">
            <v>0</v>
          </cell>
          <cell r="L86">
            <v>0</v>
          </cell>
          <cell r="M86">
            <v>0</v>
          </cell>
          <cell r="O86">
            <v>0</v>
          </cell>
          <cell r="P86">
            <v>0</v>
          </cell>
        </row>
        <row r="87">
          <cell r="F87">
            <v>0.72927048642341452</v>
          </cell>
          <cell r="G87">
            <v>0.38841236446026867</v>
          </cell>
          <cell r="H87">
            <v>0.40299616194131488</v>
          </cell>
          <cell r="I87">
            <v>0</v>
          </cell>
          <cell r="J87">
            <v>0</v>
          </cell>
          <cell r="K87">
            <v>0</v>
          </cell>
          <cell r="L87">
            <v>0</v>
          </cell>
          <cell r="M87">
            <v>0</v>
          </cell>
          <cell r="O87">
            <v>0</v>
          </cell>
          <cell r="P87">
            <v>0</v>
          </cell>
        </row>
        <row r="88">
          <cell r="F88">
            <v>2.5694630138318302</v>
          </cell>
          <cell r="G88">
            <v>1.3513513513513513</v>
          </cell>
          <cell r="H88">
            <v>1.3067970781230656</v>
          </cell>
          <cell r="I88">
            <v>0</v>
          </cell>
          <cell r="J88">
            <v>0</v>
          </cell>
          <cell r="K88">
            <v>0</v>
          </cell>
          <cell r="L88">
            <v>0</v>
          </cell>
          <cell r="M88">
            <v>0</v>
          </cell>
          <cell r="O88">
            <v>0</v>
          </cell>
          <cell r="P88">
            <v>0</v>
          </cell>
        </row>
        <row r="89">
          <cell r="F89">
            <v>6.8332644577873927</v>
          </cell>
          <cell r="G89">
            <v>1.0457255966238002</v>
          </cell>
          <cell r="H89">
            <v>0.35966324130246374</v>
          </cell>
          <cell r="I89">
            <v>0.25</v>
          </cell>
          <cell r="J89">
            <v>0</v>
          </cell>
          <cell r="K89">
            <v>0</v>
          </cell>
          <cell r="L89">
            <v>0</v>
          </cell>
          <cell r="M89">
            <v>0</v>
          </cell>
          <cell r="O89">
            <v>0</v>
          </cell>
          <cell r="P89">
            <v>0</v>
          </cell>
        </row>
        <row r="90">
          <cell r="F90">
            <v>1.1644018766560518</v>
          </cell>
          <cell r="G90">
            <v>0.2987787418925143</v>
          </cell>
          <cell r="H90">
            <v>0</v>
          </cell>
          <cell r="I90">
            <v>0</v>
          </cell>
          <cell r="J90">
            <v>0</v>
          </cell>
          <cell r="K90">
            <v>0</v>
          </cell>
          <cell r="L90">
            <v>0</v>
          </cell>
          <cell r="M90">
            <v>0</v>
          </cell>
          <cell r="O90">
            <v>0</v>
          </cell>
          <cell r="P90">
            <v>0</v>
          </cell>
        </row>
        <row r="91">
          <cell r="F91">
            <v>1.98847752631451</v>
          </cell>
          <cell r="G91">
            <v>1.4465870753295904</v>
          </cell>
          <cell r="H91">
            <v>2.9101151417605546</v>
          </cell>
          <cell r="I91">
            <v>3.11</v>
          </cell>
          <cell r="J91">
            <v>0</v>
          </cell>
          <cell r="K91">
            <v>0</v>
          </cell>
          <cell r="L91">
            <v>0</v>
          </cell>
          <cell r="M91">
            <v>0</v>
          </cell>
          <cell r="O91">
            <v>0</v>
          </cell>
          <cell r="P91">
            <v>0</v>
          </cell>
        </row>
        <row r="92">
          <cell r="F92" t="str">
            <v>-</v>
          </cell>
          <cell r="G92">
            <v>12.21009125200742</v>
          </cell>
          <cell r="H92">
            <v>12.220502661879411</v>
          </cell>
          <cell r="I92">
            <v>12.75</v>
          </cell>
          <cell r="J92" t="e">
            <v>#DIV/0!</v>
          </cell>
          <cell r="K92" t="e">
            <v>#DIV/0!</v>
          </cell>
          <cell r="L92" t="e">
            <v>#DIV/0!</v>
          </cell>
          <cell r="M92" t="e">
            <v>#DIV/0!</v>
          </cell>
          <cell r="O92">
            <v>0</v>
          </cell>
          <cell r="P92">
            <v>0</v>
          </cell>
        </row>
        <row r="93">
          <cell r="F93" t="str">
            <v>-</v>
          </cell>
          <cell r="G93">
            <v>38.716745303571656</v>
          </cell>
          <cell r="H93">
            <v>38.319301720935989</v>
          </cell>
          <cell r="I93">
            <v>36.770000000000003</v>
          </cell>
          <cell r="J93" t="e">
            <v>#DIV/0!</v>
          </cell>
          <cell r="K93" t="e">
            <v>#DIV/0!</v>
          </cell>
          <cell r="L93" t="e">
            <v>#DIV/0!</v>
          </cell>
          <cell r="M93" t="e">
            <v>#DIV/0!</v>
          </cell>
          <cell r="O93">
            <v>0</v>
          </cell>
          <cell r="P93">
            <v>0</v>
          </cell>
        </row>
        <row r="109">
          <cell r="I109">
            <v>0.85</v>
          </cell>
          <cell r="J109">
            <v>0.64692982456140358</v>
          </cell>
          <cell r="K109">
            <v>0.64597928051549947</v>
          </cell>
          <cell r="L109">
            <v>0.76467724967418782</v>
          </cell>
          <cell r="M109">
            <v>14.985137261759048</v>
          </cell>
        </row>
        <row r="110">
          <cell r="J110">
            <v>0.65198551863220733</v>
          </cell>
          <cell r="K110">
            <v>0.65217391304347827</v>
          </cell>
          <cell r="L110">
            <v>0.77108941718288848</v>
          </cell>
          <cell r="M110">
            <v>14.985137261759048</v>
          </cell>
        </row>
        <row r="111">
          <cell r="J111">
            <v>0.49869389693659466</v>
          </cell>
          <cell r="K111">
            <v>0.4983057604145904</v>
          </cell>
          <cell r="L111">
            <v>0.56902523503216229</v>
          </cell>
          <cell r="M111" t="e">
            <v>#DIV/0!</v>
          </cell>
        </row>
        <row r="118">
          <cell r="K118">
            <v>3.4115899119278259</v>
          </cell>
          <cell r="L118">
            <v>3.5774939791404803</v>
          </cell>
          <cell r="M118">
            <v>14.985137261759048</v>
          </cell>
          <cell r="N118">
            <v>15.2</v>
          </cell>
          <cell r="O118">
            <v>15.3</v>
          </cell>
        </row>
        <row r="121">
          <cell r="K121">
            <v>2.8317724927321684</v>
          </cell>
          <cell r="L121">
            <v>3.0341773730822004</v>
          </cell>
          <cell r="M121">
            <v>14.985137261759048</v>
          </cell>
          <cell r="N121">
            <v>15.2</v>
          </cell>
          <cell r="O121">
            <v>15.3</v>
          </cell>
        </row>
        <row r="124">
          <cell r="K124">
            <v>0.57981741919565755</v>
          </cell>
          <cell r="L124">
            <v>0.54331660605828003</v>
          </cell>
          <cell r="M124">
            <v>1.9933554817275747</v>
          </cell>
          <cell r="N124">
            <v>1.8</v>
          </cell>
          <cell r="O124">
            <v>1.9</v>
          </cell>
        </row>
        <row r="127">
          <cell r="I127">
            <v>0.39</v>
          </cell>
        </row>
        <row r="128">
          <cell r="J128">
            <v>0.4324972260243462</v>
          </cell>
          <cell r="K128">
            <v>0.39464882943143814</v>
          </cell>
          <cell r="L128">
            <v>0.41595044270748871</v>
          </cell>
          <cell r="M128">
            <v>1.9933554817275747</v>
          </cell>
        </row>
        <row r="129">
          <cell r="J129">
            <v>0.33246259795772976</v>
          </cell>
          <cell r="K129">
            <v>0.23918676499900338</v>
          </cell>
          <cell r="L129">
            <v>0</v>
          </cell>
          <cell r="M129" t="e">
            <v>#DIV/0!</v>
          </cell>
        </row>
        <row r="137">
          <cell r="F137">
            <v>78.2</v>
          </cell>
          <cell r="G137">
            <v>79.8</v>
          </cell>
          <cell r="H137">
            <v>96.8</v>
          </cell>
          <cell r="I137">
            <v>82.99</v>
          </cell>
          <cell r="J137">
            <v>95</v>
          </cell>
          <cell r="K137">
            <v>100</v>
          </cell>
          <cell r="L137">
            <v>100.3</v>
          </cell>
          <cell r="M137">
            <v>0</v>
          </cell>
          <cell r="N137">
            <v>98</v>
          </cell>
          <cell r="O137">
            <v>0</v>
          </cell>
        </row>
        <row r="143">
          <cell r="J143">
            <v>54.439441173074698</v>
          </cell>
          <cell r="K143">
            <v>56.897477187332257</v>
          </cell>
          <cell r="L143">
            <v>58.694680375502905</v>
          </cell>
          <cell r="M143">
            <v>62.179487179487182</v>
          </cell>
          <cell r="O143">
            <v>0</v>
          </cell>
          <cell r="P143">
            <v>0</v>
          </cell>
        </row>
        <row r="144">
          <cell r="J144">
            <v>11.626832929222953</v>
          </cell>
          <cell r="K144">
            <v>12.063875469672571</v>
          </cell>
          <cell r="L144">
            <v>12.114438980777829</v>
          </cell>
          <cell r="M144">
            <v>19.230769230769234</v>
          </cell>
          <cell r="O144">
            <v>0</v>
          </cell>
          <cell r="P144">
            <v>0</v>
          </cell>
        </row>
        <row r="146">
          <cell r="J146">
            <v>58.898305084745758</v>
          </cell>
          <cell r="K146">
            <v>62.641509433962263</v>
          </cell>
          <cell r="L146">
            <v>70.121951219512198</v>
          </cell>
          <cell r="M146">
            <v>67.857142857142861</v>
          </cell>
          <cell r="O146">
            <v>0</v>
          </cell>
          <cell r="P146">
            <v>0</v>
          </cell>
        </row>
        <row r="147">
          <cell r="J147">
            <v>5.508474576271186</v>
          </cell>
          <cell r="K147">
            <v>9.8113207547169825</v>
          </cell>
          <cell r="L147">
            <v>14.634146341463413</v>
          </cell>
          <cell r="M147">
            <v>8.9285714285714288</v>
          </cell>
          <cell r="O147">
            <v>0</v>
          </cell>
          <cell r="P147">
            <v>0</v>
          </cell>
        </row>
        <row r="172">
          <cell r="L172">
            <v>26.036339897726034</v>
          </cell>
          <cell r="M172">
            <v>65.384615384615387</v>
          </cell>
          <cell r="N172">
            <v>65.384615384615387</v>
          </cell>
          <cell r="O172">
            <v>55.932203389830505</v>
          </cell>
        </row>
        <row r="173">
          <cell r="L173">
            <v>4.3738439778043734</v>
          </cell>
          <cell r="M173">
            <v>19.230769230769234</v>
          </cell>
          <cell r="N173">
            <v>15.384615384615385</v>
          </cell>
          <cell r="O173">
            <v>10.16949152542373</v>
          </cell>
        </row>
        <row r="180">
          <cell r="K180">
            <v>93.44</v>
          </cell>
          <cell r="L180">
            <v>92.39</v>
          </cell>
          <cell r="M180">
            <v>0</v>
          </cell>
          <cell r="N180">
            <v>0</v>
          </cell>
          <cell r="O180">
            <v>0</v>
          </cell>
        </row>
        <row r="182">
          <cell r="J182">
            <v>100</v>
          </cell>
          <cell r="K182">
            <v>0</v>
          </cell>
          <cell r="L182">
            <v>0</v>
          </cell>
          <cell r="M182">
            <v>0</v>
          </cell>
          <cell r="O182">
            <v>0</v>
          </cell>
          <cell r="P182">
            <v>0</v>
          </cell>
        </row>
        <row r="183">
          <cell r="J183">
            <v>85.92</v>
          </cell>
          <cell r="K183">
            <v>0</v>
          </cell>
          <cell r="L183">
            <v>0</v>
          </cell>
          <cell r="M183">
            <v>100</v>
          </cell>
          <cell r="O183">
            <v>0</v>
          </cell>
          <cell r="P183">
            <v>0</v>
          </cell>
        </row>
        <row r="185">
          <cell r="J185">
            <v>0</v>
          </cell>
          <cell r="K185">
            <v>0</v>
          </cell>
          <cell r="L185">
            <v>0</v>
          </cell>
          <cell r="M185">
            <v>0</v>
          </cell>
          <cell r="O185">
            <v>0</v>
          </cell>
          <cell r="P185">
            <v>0</v>
          </cell>
        </row>
        <row r="186">
          <cell r="J186">
            <v>83.91</v>
          </cell>
          <cell r="K186">
            <v>0</v>
          </cell>
          <cell r="L186">
            <v>0</v>
          </cell>
          <cell r="M186">
            <v>0</v>
          </cell>
          <cell r="O186">
            <v>0</v>
          </cell>
          <cell r="P186">
            <v>0</v>
          </cell>
        </row>
        <row r="189">
          <cell r="J189">
            <v>28.00659802059382</v>
          </cell>
          <cell r="K189">
            <v>28.342377898371979</v>
          </cell>
          <cell r="L189">
            <v>28.302360622802613</v>
          </cell>
          <cell r="M189">
            <v>30.555555555555557</v>
          </cell>
          <cell r="N189">
            <v>28.205128205128204</v>
          </cell>
          <cell r="O189">
            <v>14.814814814814813</v>
          </cell>
        </row>
        <row r="193">
          <cell r="F193">
            <v>1.3109382251642687</v>
          </cell>
          <cell r="G193">
            <v>3.4</v>
          </cell>
          <cell r="H193">
            <v>4.0405409979218421</v>
          </cell>
          <cell r="I193">
            <v>4.1338554959077705</v>
          </cell>
        </row>
        <row r="195">
          <cell r="J195">
            <v>8.2935169793398238</v>
          </cell>
          <cell r="K195">
            <v>1.2146701215866056</v>
          </cell>
          <cell r="L195">
            <v>0.92330529440870857</v>
          </cell>
          <cell r="M195" t="e">
            <v>#DIV/0!</v>
          </cell>
          <cell r="O195">
            <v>0</v>
          </cell>
          <cell r="P195">
            <v>0</v>
          </cell>
        </row>
        <row r="204">
          <cell r="F204">
            <v>95.238095238095227</v>
          </cell>
          <cell r="G204">
            <v>100</v>
          </cell>
          <cell r="H204">
            <v>100</v>
          </cell>
          <cell r="I204">
            <v>100</v>
          </cell>
          <cell r="J204">
            <v>100</v>
          </cell>
          <cell r="K204">
            <v>100</v>
          </cell>
          <cell r="L204">
            <v>100</v>
          </cell>
          <cell r="M204" t="e">
            <v>#DIV/0!</v>
          </cell>
          <cell r="O204">
            <v>0</v>
          </cell>
          <cell r="P204">
            <v>0</v>
          </cell>
        </row>
        <row r="205">
          <cell r="F205">
            <v>95.238095238095227</v>
          </cell>
          <cell r="G205">
            <v>100</v>
          </cell>
          <cell r="H205">
            <v>100</v>
          </cell>
          <cell r="I205">
            <v>100</v>
          </cell>
          <cell r="J205">
            <v>100</v>
          </cell>
          <cell r="K205">
            <v>100</v>
          </cell>
          <cell r="L205">
            <v>100</v>
          </cell>
          <cell r="M205" t="e">
            <v>#DIV/0!</v>
          </cell>
          <cell r="O205">
            <v>0</v>
          </cell>
          <cell r="P205">
            <v>0</v>
          </cell>
        </row>
        <row r="206">
          <cell r="F206">
            <v>95.238095238095227</v>
          </cell>
          <cell r="G206">
            <v>100</v>
          </cell>
          <cell r="H206">
            <v>100</v>
          </cell>
          <cell r="I206">
            <v>100</v>
          </cell>
          <cell r="J206">
            <v>100</v>
          </cell>
          <cell r="K206">
            <v>100</v>
          </cell>
          <cell r="L206">
            <v>100</v>
          </cell>
          <cell r="M206" t="e">
            <v>#DIV/0!</v>
          </cell>
          <cell r="O206">
            <v>0</v>
          </cell>
          <cell r="P206">
            <v>0</v>
          </cell>
        </row>
        <row r="207">
          <cell r="J207">
            <v>98.507462686567166</v>
          </cell>
          <cell r="K207">
            <v>97.47899159663865</v>
          </cell>
          <cell r="L207">
            <v>94.392523364485982</v>
          </cell>
          <cell r="M207" t="e">
            <v>#DIV/0!</v>
          </cell>
          <cell r="O207">
            <v>0</v>
          </cell>
          <cell r="P207">
            <v>0</v>
          </cell>
        </row>
        <row r="208">
          <cell r="F208">
            <v>95.238095238095227</v>
          </cell>
          <cell r="G208">
            <v>91.803278688524586</v>
          </cell>
          <cell r="H208">
            <v>91.228070175438589</v>
          </cell>
          <cell r="I208">
            <v>94.545454545454547</v>
          </cell>
          <cell r="J208">
            <v>91.044776119402982</v>
          </cell>
          <cell r="K208">
            <v>89.075630252100851</v>
          </cell>
          <cell r="L208">
            <v>89.719626168224295</v>
          </cell>
          <cell r="M208" t="e">
            <v>#DIV/0!</v>
          </cell>
          <cell r="O208">
            <v>0</v>
          </cell>
          <cell r="P208">
            <v>0</v>
          </cell>
        </row>
        <row r="209">
          <cell r="F209">
            <v>82.539682539682531</v>
          </cell>
          <cell r="G209">
            <v>81.967213114754102</v>
          </cell>
          <cell r="H209">
            <v>71.929824561403507</v>
          </cell>
          <cell r="I209">
            <v>69.090909090909093</v>
          </cell>
          <cell r="J209">
            <v>76.865671641791039</v>
          </cell>
          <cell r="K209">
            <v>77.310924369747909</v>
          </cell>
          <cell r="L209">
            <v>79.43925233644859</v>
          </cell>
          <cell r="M209" t="e">
            <v>#DIV/0!</v>
          </cell>
          <cell r="O209">
            <v>0</v>
          </cell>
          <cell r="P209">
            <v>0</v>
          </cell>
        </row>
        <row r="210">
          <cell r="J210">
            <v>90.298507462686572</v>
          </cell>
          <cell r="K210">
            <v>89.075630252100851</v>
          </cell>
          <cell r="L210">
            <v>94.392523364485982</v>
          </cell>
          <cell r="M210" t="e">
            <v>#DIV/0!</v>
          </cell>
          <cell r="O210">
            <v>0</v>
          </cell>
          <cell r="P210">
            <v>0</v>
          </cell>
        </row>
        <row r="211">
          <cell r="J211">
            <v>91.791044776119406</v>
          </cell>
          <cell r="K211">
            <v>86.554621848739501</v>
          </cell>
          <cell r="L211">
            <v>89.719626168224295</v>
          </cell>
          <cell r="M211" t="e">
            <v>#DIV/0!</v>
          </cell>
          <cell r="O211">
            <v>0</v>
          </cell>
          <cell r="P211">
            <v>0</v>
          </cell>
        </row>
        <row r="213">
          <cell r="J213">
            <v>100</v>
          </cell>
          <cell r="K213">
            <v>100</v>
          </cell>
          <cell r="L213">
            <v>100</v>
          </cell>
          <cell r="M213" t="e">
            <v>#DIV/0!</v>
          </cell>
          <cell r="O213">
            <v>0</v>
          </cell>
          <cell r="P213">
            <v>0</v>
          </cell>
        </row>
        <row r="214">
          <cell r="J214">
            <v>100</v>
          </cell>
          <cell r="K214">
            <v>100</v>
          </cell>
          <cell r="L214">
            <v>100</v>
          </cell>
          <cell r="M214" t="e">
            <v>#DIV/0!</v>
          </cell>
          <cell r="O214">
            <v>0</v>
          </cell>
          <cell r="P214">
            <v>0</v>
          </cell>
        </row>
        <row r="215">
          <cell r="J215">
            <v>100</v>
          </cell>
          <cell r="K215">
            <v>100</v>
          </cell>
          <cell r="L215">
            <v>100</v>
          </cell>
          <cell r="M215" t="e">
            <v>#DIV/0!</v>
          </cell>
          <cell r="O215">
            <v>0</v>
          </cell>
          <cell r="P215">
            <v>0</v>
          </cell>
        </row>
        <row r="216">
          <cell r="J216">
            <v>87.5</v>
          </cell>
          <cell r="K216">
            <v>91.666666666666657</v>
          </cell>
          <cell r="L216">
            <v>100</v>
          </cell>
          <cell r="M216" t="e">
            <v>#DIV/0!</v>
          </cell>
          <cell r="O216">
            <v>0</v>
          </cell>
          <cell r="P216">
            <v>0</v>
          </cell>
        </row>
        <row r="217">
          <cell r="J217">
            <v>87.5</v>
          </cell>
          <cell r="K217">
            <v>87.5</v>
          </cell>
          <cell r="L217">
            <v>100</v>
          </cell>
          <cell r="M217" t="e">
            <v>#DIV/0!</v>
          </cell>
          <cell r="O217">
            <v>0</v>
          </cell>
          <cell r="P217">
            <v>0</v>
          </cell>
        </row>
        <row r="218">
          <cell r="J218">
            <v>56.25</v>
          </cell>
          <cell r="K218">
            <v>66.666666666666657</v>
          </cell>
          <cell r="L218">
            <v>52.631578947368418</v>
          </cell>
          <cell r="M218" t="e">
            <v>#DIV/0!</v>
          </cell>
          <cell r="O218">
            <v>0</v>
          </cell>
          <cell r="P218">
            <v>0</v>
          </cell>
        </row>
        <row r="219">
          <cell r="J219">
            <v>37.5</v>
          </cell>
          <cell r="K219">
            <v>75</v>
          </cell>
          <cell r="L219">
            <v>84.210526315789465</v>
          </cell>
          <cell r="M219" t="e">
            <v>#DIV/0!</v>
          </cell>
          <cell r="O219">
            <v>0</v>
          </cell>
          <cell r="P219">
            <v>0</v>
          </cell>
        </row>
        <row r="220">
          <cell r="J220">
            <v>37.5</v>
          </cell>
          <cell r="K220">
            <v>58.333333333333336</v>
          </cell>
          <cell r="L220">
            <v>68.421052631578945</v>
          </cell>
          <cell r="M220" t="e">
            <v>#DIV/0!</v>
          </cell>
          <cell r="O220">
            <v>0</v>
          </cell>
          <cell r="P220">
            <v>0</v>
          </cell>
        </row>
        <row r="243">
          <cell r="F243">
            <v>1.1700334644226775</v>
          </cell>
          <cell r="G243">
            <v>1.04</v>
          </cell>
          <cell r="H243">
            <v>1.0736019820344282</v>
          </cell>
          <cell r="I243">
            <v>1.2212376200759549</v>
          </cell>
          <cell r="J243">
            <v>1.3553924738135266</v>
          </cell>
          <cell r="K243">
            <v>1.4680735705050674</v>
          </cell>
          <cell r="L243">
            <v>1.5186802523047065</v>
          </cell>
          <cell r="M243">
            <v>0.36719706242350064</v>
          </cell>
          <cell r="O243">
            <v>0</v>
          </cell>
          <cell r="P243">
            <v>0</v>
          </cell>
        </row>
        <row r="244">
          <cell r="F244">
            <v>0.6912723808593273</v>
          </cell>
          <cell r="G244">
            <v>0.6763098327168332</v>
          </cell>
          <cell r="H244">
            <v>0.6681243103833423</v>
          </cell>
          <cell r="I244">
            <v>0.75007277330607436</v>
          </cell>
        </row>
        <row r="246">
          <cell r="J246">
            <v>4.8919496556637379</v>
          </cell>
          <cell r="K246">
            <v>4.2256328483157271</v>
          </cell>
          <cell r="L246">
            <v>2.9440870856011876</v>
          </cell>
          <cell r="M246" t="e">
            <v>#DIV/0!</v>
          </cell>
          <cell r="O246">
            <v>0</v>
          </cell>
          <cell r="P246">
            <v>0</v>
          </cell>
        </row>
        <row r="247">
          <cell r="J247">
            <v>2.4459748278318689</v>
          </cell>
          <cell r="K247">
            <v>1.913494119992027</v>
          </cell>
          <cell r="L247">
            <v>2.3750618505690251</v>
          </cell>
          <cell r="M247" t="e">
            <v>#DIV/0!</v>
          </cell>
          <cell r="O247">
            <v>0</v>
          </cell>
          <cell r="P247">
            <v>0</v>
          </cell>
        </row>
        <row r="258">
          <cell r="F258">
            <v>91.304347826086953</v>
          </cell>
          <cell r="G258">
            <v>265.07936507936506</v>
          </cell>
          <cell r="H258">
            <v>94.011976047904184</v>
          </cell>
          <cell r="I258">
            <v>96.815286624203821</v>
          </cell>
        </row>
        <row r="274">
          <cell r="F274">
            <v>24.346438969490862</v>
          </cell>
          <cell r="G274">
            <v>26.907468479667166</v>
          </cell>
          <cell r="H274">
            <v>27.167200680868106</v>
          </cell>
          <cell r="I274">
            <v>28.502641376534513</v>
          </cell>
        </row>
        <row r="275">
          <cell r="J275">
            <v>52.381223328591751</v>
          </cell>
          <cell r="K275">
            <v>53.727730741961047</v>
          </cell>
          <cell r="L275">
            <v>48.866690926734591</v>
          </cell>
          <cell r="M275">
            <v>10.840356705717783</v>
          </cell>
          <cell r="O275">
            <v>0</v>
          </cell>
          <cell r="P275" t="str">
            <v>Российская Федерация, субъекты Российской Федерации</v>
          </cell>
        </row>
        <row r="276">
          <cell r="J276">
            <v>47.220137734504867</v>
          </cell>
          <cell r="K276">
            <v>47.005780346820806</v>
          </cell>
          <cell r="L276">
            <v>17.864670954972787</v>
          </cell>
          <cell r="M276" t="e">
            <v>#DIV/0!</v>
          </cell>
          <cell r="O276">
            <v>0</v>
          </cell>
          <cell r="P276">
            <v>0</v>
          </cell>
        </row>
        <row r="282">
          <cell r="F282">
            <v>4.024722845267668</v>
          </cell>
          <cell r="G282">
            <v>3.4003180078922148</v>
          </cell>
          <cell r="H282">
            <v>4.068082400989586</v>
          </cell>
          <cell r="I282">
            <v>5.7887341719643759</v>
          </cell>
        </row>
        <row r="283">
          <cell r="J283">
            <v>8.2738931378745093</v>
          </cell>
          <cell r="K283">
            <v>16.408143950714383</v>
          </cell>
          <cell r="L283">
            <v>17.559315919379166</v>
          </cell>
          <cell r="M283">
            <v>22.743402800180657</v>
          </cell>
          <cell r="O283">
            <v>0</v>
          </cell>
          <cell r="P283" t="str">
            <v>Российская Федерация, субъекты Российской Федерации</v>
          </cell>
        </row>
        <row r="284">
          <cell r="J284">
            <v>93.62213594576653</v>
          </cell>
          <cell r="K284">
            <v>95.96739996946927</v>
          </cell>
          <cell r="L284">
            <v>74.741375728787276</v>
          </cell>
          <cell r="M284" t="e">
            <v>#DIV/0!</v>
          </cell>
          <cell r="O284">
            <v>0</v>
          </cell>
          <cell r="P284">
            <v>0</v>
          </cell>
        </row>
        <row r="291">
          <cell r="F291" t="e">
            <v>#DIV/0!</v>
          </cell>
          <cell r="G291">
            <v>1.639344262295082</v>
          </cell>
          <cell r="H291">
            <v>1.7543859649122806</v>
          </cell>
          <cell r="I291">
            <v>1.8181818181818181</v>
          </cell>
        </row>
        <row r="292">
          <cell r="J292">
            <v>3.7313432835820892</v>
          </cell>
          <cell r="K292">
            <v>3.3613445378151261</v>
          </cell>
          <cell r="L292">
            <v>5.6074766355140184</v>
          </cell>
          <cell r="M292">
            <v>0</v>
          </cell>
          <cell r="O292">
            <v>0</v>
          </cell>
          <cell r="P292">
            <v>0</v>
          </cell>
        </row>
        <row r="293">
          <cell r="J293">
            <v>12.5</v>
          </cell>
          <cell r="K293">
            <v>12.5</v>
          </cell>
          <cell r="L293">
            <v>26.315789473684209</v>
          </cell>
          <cell r="M293" t="e">
            <v>#DIV/0!</v>
          </cell>
          <cell r="O293">
            <v>0</v>
          </cell>
          <cell r="P293">
            <v>0</v>
          </cell>
        </row>
        <row r="300">
          <cell r="F300">
            <v>82.539682539682531</v>
          </cell>
          <cell r="G300">
            <v>81.967213114754102</v>
          </cell>
          <cell r="H300">
            <v>71.929824561403507</v>
          </cell>
          <cell r="I300">
            <v>69.090909090909093</v>
          </cell>
          <cell r="J300" t="e">
            <v>#DIV/0!</v>
          </cell>
          <cell r="K300" t="e">
            <v>#DIV/0!</v>
          </cell>
          <cell r="L300" t="e">
            <v>#DIV/0!</v>
          </cell>
          <cell r="M300" t="e">
            <v>#DIV/0!</v>
          </cell>
          <cell r="O300" t="str">
            <v>Российская Федерация, субъекты Российской Федерации; города и поселки городского типа; сельская местность</v>
          </cell>
          <cell r="P300">
            <v>0</v>
          </cell>
        </row>
        <row r="303">
          <cell r="F303">
            <v>95.238095238095227</v>
          </cell>
          <cell r="G303">
            <v>91.803278688524586</v>
          </cell>
          <cell r="H303">
            <v>91.228070175438589</v>
          </cell>
          <cell r="I303">
            <v>94.545454545454547</v>
          </cell>
          <cell r="J303" t="e">
            <v>#DIV/0!</v>
          </cell>
          <cell r="K303" t="e">
            <v>#DIV/0!</v>
          </cell>
          <cell r="L303" t="e">
            <v>#DIV/0!</v>
          </cell>
          <cell r="M303" t="e">
            <v>#DIV/0!</v>
          </cell>
          <cell r="O303" t="str">
            <v>Российская Федерация, субъекты Российской Федерации; города и поселки городского типа; сельская местность</v>
          </cell>
        </row>
        <row r="306">
          <cell r="F306">
            <v>0</v>
          </cell>
          <cell r="G306">
            <v>0</v>
          </cell>
          <cell r="H306">
            <v>0</v>
          </cell>
          <cell r="I306">
            <v>0</v>
          </cell>
        </row>
        <row r="307">
          <cell r="J307">
            <v>0</v>
          </cell>
          <cell r="K307">
            <v>0</v>
          </cell>
          <cell r="L307">
            <v>0</v>
          </cell>
          <cell r="M307">
            <v>0</v>
          </cell>
          <cell r="O307">
            <v>0</v>
          </cell>
          <cell r="P307" t="str">
            <v>Российская Федерация, субъекты Российской Федерации; города и поселки городского типа; сельская местность</v>
          </cell>
        </row>
        <row r="308">
          <cell r="J308">
            <v>0</v>
          </cell>
          <cell r="K308">
            <v>0</v>
          </cell>
          <cell r="L308">
            <v>0</v>
          </cell>
          <cell r="M308" t="e">
            <v>#DIV/0!</v>
          </cell>
          <cell r="O308">
            <v>0</v>
          </cell>
        </row>
        <row r="314">
          <cell r="F314">
            <v>22.222222222222221</v>
          </cell>
          <cell r="G314">
            <v>16.393442622950818</v>
          </cell>
          <cell r="H314">
            <v>14.035087719298245</v>
          </cell>
          <cell r="I314">
            <v>12.727272727272727</v>
          </cell>
        </row>
        <row r="315">
          <cell r="J315">
            <v>22.388059701492537</v>
          </cell>
          <cell r="K315">
            <v>21.008403361344538</v>
          </cell>
          <cell r="L315">
            <v>25.233644859813083</v>
          </cell>
          <cell r="M315">
            <v>0</v>
          </cell>
          <cell r="O315">
            <v>0</v>
          </cell>
        </row>
        <row r="316">
          <cell r="J316">
            <v>0</v>
          </cell>
          <cell r="K316">
            <v>0</v>
          </cell>
          <cell r="L316">
            <v>0</v>
          </cell>
          <cell r="M316" t="e">
            <v>#DIV/0!</v>
          </cell>
          <cell r="O316">
            <v>0</v>
          </cell>
        </row>
      </sheetData>
      <sheetData sheetId="7">
        <row r="11">
          <cell r="I11">
            <v>67.58783728703024</v>
          </cell>
          <cell r="J11">
            <v>37.020000000000003</v>
          </cell>
          <cell r="K11">
            <v>63.49238038197911</v>
          </cell>
          <cell r="L11">
            <v>52.403684151409635</v>
          </cell>
        </row>
        <row r="12">
          <cell r="I12">
            <v>16.556615309366592</v>
          </cell>
          <cell r="J12">
            <v>19.61</v>
          </cell>
          <cell r="K12">
            <v>8.2917415319092296</v>
          </cell>
          <cell r="L12">
            <v>13.315736268673481</v>
          </cell>
        </row>
        <row r="13">
          <cell r="I13">
            <v>15.855547403603163</v>
          </cell>
          <cell r="J13">
            <v>43.37</v>
          </cell>
          <cell r="K13">
            <v>28.215878086111669</v>
          </cell>
          <cell r="L13">
            <v>34.280579579916882</v>
          </cell>
        </row>
        <row r="19">
          <cell r="I19">
            <v>1.3699993601456024</v>
          </cell>
          <cell r="J19">
            <v>10.96</v>
          </cell>
          <cell r="K19">
            <v>1.2603785306973752</v>
          </cell>
          <cell r="L19">
            <v>1.5499789212097006</v>
          </cell>
        </row>
        <row r="20">
          <cell r="I20">
            <v>1.1399991659269233</v>
          </cell>
          <cell r="J20">
            <v>7.4</v>
          </cell>
          <cell r="K20">
            <v>2.493407176511683</v>
          </cell>
          <cell r="L20">
            <v>2.4976735132483086</v>
          </cell>
        </row>
        <row r="21">
          <cell r="I21">
            <v>0.46000011770729726</v>
          </cell>
          <cell r="J21">
            <v>12.81</v>
          </cell>
          <cell r="K21">
            <v>0.64520763712990359</v>
          </cell>
          <cell r="L21">
            <v>1.0771641727506864</v>
          </cell>
        </row>
        <row r="30">
          <cell r="E30">
            <v>62.401000000000003</v>
          </cell>
          <cell r="F30">
            <v>62.401000000000003</v>
          </cell>
          <cell r="G30">
            <v>62.401000000000003</v>
          </cell>
          <cell r="H30">
            <v>57.966999999999999</v>
          </cell>
        </row>
        <row r="31">
          <cell r="E31">
            <v>15.874000000000001</v>
          </cell>
          <cell r="F31">
            <v>15.874000000000001</v>
          </cell>
          <cell r="G31">
            <v>15.874000000000001</v>
          </cell>
          <cell r="H31">
            <v>17.225000000000001</v>
          </cell>
        </row>
        <row r="32">
          <cell r="E32">
            <v>10.478999999999999</v>
          </cell>
          <cell r="F32">
            <v>10.478999999999999</v>
          </cell>
          <cell r="G32">
            <v>10.478999999999999</v>
          </cell>
          <cell r="H32">
            <v>5.859</v>
          </cell>
        </row>
        <row r="33">
          <cell r="E33">
            <v>37.991</v>
          </cell>
          <cell r="F33">
            <v>37.991</v>
          </cell>
          <cell r="G33">
            <v>37.991</v>
          </cell>
          <cell r="H33">
            <v>37.276000000000003</v>
          </cell>
        </row>
        <row r="34">
          <cell r="E34">
            <v>9.7452683888237299</v>
          </cell>
          <cell r="F34">
            <v>9.7452683888237299</v>
          </cell>
          <cell r="G34">
            <v>9.7452683888237299</v>
          </cell>
          <cell r="H34">
            <v>9.1866457894870308</v>
          </cell>
        </row>
        <row r="39">
          <cell r="I39">
            <v>0.7744354772968125</v>
          </cell>
          <cell r="J39">
            <v>0.27</v>
          </cell>
          <cell r="K39">
            <v>7.0406601450722031</v>
          </cell>
          <cell r="L39">
            <v>0.74693923396607886</v>
          </cell>
        </row>
        <row r="40">
          <cell r="I40">
            <v>16.295752832803455</v>
          </cell>
          <cell r="J40">
            <v>1.59</v>
          </cell>
          <cell r="K40">
            <v>5.4368802821587803</v>
          </cell>
          <cell r="L40">
            <v>13.607772660900819</v>
          </cell>
        </row>
        <row r="41">
          <cell r="I41">
            <v>0</v>
          </cell>
          <cell r="J41">
            <v>0.16</v>
          </cell>
          <cell r="K41">
            <v>2.016370533040527</v>
          </cell>
          <cell r="L41">
            <v>4.7905200494215432</v>
          </cell>
        </row>
        <row r="49">
          <cell r="I49">
            <v>24.219032686045107</v>
          </cell>
          <cell r="J49">
            <v>4.03</v>
          </cell>
          <cell r="K49">
            <v>9.8941410753589771</v>
          </cell>
          <cell r="L49">
            <v>19.1726503054335</v>
          </cell>
        </row>
        <row r="50">
          <cell r="I50">
            <v>66.578217344108069</v>
          </cell>
          <cell r="J50">
            <v>94.4</v>
          </cell>
          <cell r="K50">
            <v>82.695734199769419</v>
          </cell>
          <cell r="L50">
            <v>71.96441967634766</v>
          </cell>
        </row>
        <row r="51">
          <cell r="I51">
            <v>9.2027499698468205</v>
          </cell>
          <cell r="J51">
            <v>1.57</v>
          </cell>
          <cell r="K51">
            <v>7.4101247248716069</v>
          </cell>
          <cell r="L51">
            <v>8.8629300182188402</v>
          </cell>
        </row>
        <row r="53">
          <cell r="I53">
            <v>45.937961595273265</v>
          </cell>
          <cell r="J53">
            <v>1.73</v>
          </cell>
          <cell r="K53">
            <v>5.2969502407704656</v>
          </cell>
          <cell r="L53">
            <v>1.1387600168705188</v>
          </cell>
        </row>
        <row r="54">
          <cell r="I54">
            <v>20.187099950763169</v>
          </cell>
          <cell r="J54">
            <v>97.51</v>
          </cell>
          <cell r="K54">
            <v>39.727126805778489</v>
          </cell>
          <cell r="L54">
            <v>48.629270350063265</v>
          </cell>
        </row>
        <row r="55">
          <cell r="I55">
            <v>33.884938453963564</v>
          </cell>
          <cell r="J55">
            <v>0.76</v>
          </cell>
          <cell r="K55">
            <v>54.97592295345104</v>
          </cell>
          <cell r="L55">
            <v>50.231969633066221</v>
          </cell>
        </row>
        <row r="57">
          <cell r="I57">
            <v>38.560411311053983</v>
          </cell>
          <cell r="J57">
            <v>3.16</v>
          </cell>
          <cell r="K57">
            <v>0.23584905660377359</v>
          </cell>
          <cell r="L57">
            <v>19.57732634338139</v>
          </cell>
        </row>
        <row r="58">
          <cell r="I58">
            <v>34.447300771208226</v>
          </cell>
          <cell r="J58">
            <v>91.65</v>
          </cell>
          <cell r="K58">
            <v>19.150943396226417</v>
          </cell>
          <cell r="L58">
            <v>13.466579292267367</v>
          </cell>
        </row>
        <row r="59">
          <cell r="I59">
            <v>26.992287917737791</v>
          </cell>
          <cell r="J59">
            <v>5.19</v>
          </cell>
          <cell r="K59">
            <v>80.613207547169807</v>
          </cell>
          <cell r="L59">
            <v>66.956094364351245</v>
          </cell>
        </row>
        <row r="78">
          <cell r="I78">
            <v>4.8543689320388346</v>
          </cell>
          <cell r="J78">
            <v>4.45</v>
          </cell>
          <cell r="K78">
            <v>8.0459770114942533</v>
          </cell>
          <cell r="L78">
            <v>2.7700831024930745</v>
          </cell>
        </row>
        <row r="79">
          <cell r="I79">
            <v>0</v>
          </cell>
          <cell r="J79">
            <v>1.1399999999999999</v>
          </cell>
          <cell r="K79">
            <v>4.6728971962616823</v>
          </cell>
          <cell r="L79">
            <v>1.3274336283185841</v>
          </cell>
        </row>
        <row r="80">
          <cell r="I80">
            <v>0</v>
          </cell>
          <cell r="J80">
            <v>6.01</v>
          </cell>
          <cell r="K80">
            <v>4.1044776119402986</v>
          </cell>
          <cell r="L80">
            <v>0.79051383399209485</v>
          </cell>
        </row>
        <row r="89">
          <cell r="E89">
            <v>40.691553101989207</v>
          </cell>
          <cell r="F89">
            <v>40.691553101989207</v>
          </cell>
          <cell r="G89">
            <v>40.691553101989207</v>
          </cell>
          <cell r="H89">
            <v>6.9304087836361701</v>
          </cell>
        </row>
        <row r="93">
          <cell r="H93">
            <v>0</v>
          </cell>
        </row>
        <row r="94">
          <cell r="H94">
            <v>94.37</v>
          </cell>
          <cell r="I94">
            <v>74.915254237288138</v>
          </cell>
          <cell r="J94">
            <v>72.400000000000006</v>
          </cell>
          <cell r="K94">
            <v>69.230769230769226</v>
          </cell>
          <cell r="L94">
            <v>70.278637770897831</v>
          </cell>
          <cell r="M94">
            <v>0</v>
          </cell>
        </row>
        <row r="95">
          <cell r="I95">
            <v>57.288135593220332</v>
          </cell>
          <cell r="J95">
            <v>42.53</v>
          </cell>
          <cell r="K95">
            <v>35.384615384615387</v>
          </cell>
          <cell r="L95">
            <v>28.792569659442723</v>
          </cell>
          <cell r="M95">
            <v>0</v>
          </cell>
        </row>
        <row r="96">
          <cell r="I96">
            <v>16.271186440677965</v>
          </cell>
          <cell r="J96">
            <v>19.809999999999999</v>
          </cell>
          <cell r="K96">
            <v>23.46153846153846</v>
          </cell>
          <cell r="L96">
            <v>19.195046439628484</v>
          </cell>
          <cell r="M96">
            <v>0</v>
          </cell>
        </row>
        <row r="97">
          <cell r="I97">
            <v>18.983050847457626</v>
          </cell>
          <cell r="J97">
            <v>11.69</v>
          </cell>
          <cell r="K97">
            <v>11.923076923076923</v>
          </cell>
          <cell r="L97">
            <v>10.216718266253871</v>
          </cell>
          <cell r="M97">
            <v>0</v>
          </cell>
        </row>
        <row r="105">
          <cell r="I105">
            <v>7.0796460176991154</v>
          </cell>
          <cell r="J105">
            <v>5.79</v>
          </cell>
          <cell r="K105">
            <v>5.9880239520958085</v>
          </cell>
          <cell r="L105">
            <v>2.9069767441860463</v>
          </cell>
          <cell r="M105">
            <v>0</v>
          </cell>
        </row>
        <row r="106">
          <cell r="I106">
            <v>13.736263736263737</v>
          </cell>
          <cell r="J106">
            <v>3.38</v>
          </cell>
          <cell r="K106">
            <v>9.4117647058823533</v>
          </cell>
          <cell r="L106">
            <v>3.3112582781456954</v>
          </cell>
          <cell r="M106">
            <v>0</v>
          </cell>
        </row>
        <row r="114">
          <cell r="H114">
            <v>9.1537335138234463E-2</v>
          </cell>
          <cell r="I114">
            <v>7.6668905766581199</v>
          </cell>
          <cell r="J114" t="e">
            <v>#DIV/0!</v>
          </cell>
          <cell r="M114" t="str">
            <v>Российская Федерация; субъекты Российской Федерации; государственные и муниципальные организации; частные организации</v>
          </cell>
        </row>
        <row r="118">
          <cell r="I118">
            <v>193.6628044454954</v>
          </cell>
          <cell r="J118">
            <v>0</v>
          </cell>
        </row>
        <row r="119">
          <cell r="I119">
            <v>96.003783400331059</v>
          </cell>
          <cell r="J119">
            <v>0</v>
          </cell>
        </row>
        <row r="126">
          <cell r="I126">
            <v>0.13858319067416647</v>
          </cell>
          <cell r="J126">
            <v>0.04</v>
          </cell>
          <cell r="K126">
            <v>0.57895787582351765</v>
          </cell>
          <cell r="L126">
            <v>0.42120633494327753</v>
          </cell>
        </row>
        <row r="127">
          <cell r="I127">
            <v>0.11412733349637239</v>
          </cell>
          <cell r="J127">
            <v>0.01</v>
          </cell>
          <cell r="K127">
            <v>0.13309376455713048</v>
          </cell>
          <cell r="L127">
            <v>8.4241266988655514E-2</v>
          </cell>
        </row>
        <row r="128">
          <cell r="I128">
            <v>0</v>
          </cell>
          <cell r="J128">
            <v>0</v>
          </cell>
          <cell r="K128">
            <v>3.9928129367139145E-2</v>
          </cell>
          <cell r="L128">
            <v>6.7393013590924408E-2</v>
          </cell>
        </row>
        <row r="130">
          <cell r="I130">
            <v>0.19797368114591826</v>
          </cell>
          <cell r="J130" t="e">
            <v>#DIV/0!</v>
          </cell>
          <cell r="K130">
            <v>0</v>
          </cell>
          <cell r="L130">
            <v>0</v>
          </cell>
        </row>
        <row r="131">
          <cell r="I131">
            <v>0.16303714917899151</v>
          </cell>
          <cell r="J131" t="e">
            <v>#DIV/0!</v>
          </cell>
          <cell r="K131">
            <v>0</v>
          </cell>
          <cell r="L131">
            <v>0</v>
          </cell>
        </row>
        <row r="132">
          <cell r="I132">
            <v>0</v>
          </cell>
          <cell r="J132" t="e">
            <v>#DIV/0!</v>
          </cell>
          <cell r="K132">
            <v>0</v>
          </cell>
          <cell r="L132">
            <v>0</v>
          </cell>
        </row>
        <row r="134">
          <cell r="I134">
            <v>0</v>
          </cell>
          <cell r="J134" t="e">
            <v>#DIV/0!</v>
          </cell>
          <cell r="K134">
            <v>0</v>
          </cell>
          <cell r="L134">
            <v>0</v>
          </cell>
        </row>
        <row r="135">
          <cell r="I135">
            <v>0</v>
          </cell>
          <cell r="J135" t="e">
            <v>#DIV/0!</v>
          </cell>
          <cell r="K135">
            <v>0</v>
          </cell>
          <cell r="L135">
            <v>0</v>
          </cell>
        </row>
        <row r="136">
          <cell r="I136">
            <v>0</v>
          </cell>
          <cell r="J136">
            <v>0</v>
          </cell>
          <cell r="K136">
            <v>0</v>
          </cell>
          <cell r="L136">
            <v>0</v>
          </cell>
        </row>
        <row r="152">
          <cell r="E152" t="e">
            <v>#DIV/0!</v>
          </cell>
          <cell r="F152" t="e">
            <v>#DIV/0!</v>
          </cell>
          <cell r="G152" t="e">
            <v>#DIV/0!</v>
          </cell>
          <cell r="H152" t="e">
            <v>#DIV/0!</v>
          </cell>
        </row>
        <row r="157">
          <cell r="I157">
            <v>12.953452351838266</v>
          </cell>
          <cell r="J157">
            <v>49.76</v>
          </cell>
          <cell r="K157">
            <v>22.88547281559859</v>
          </cell>
          <cell r="L157">
            <v>26.60900819948332</v>
          </cell>
        </row>
        <row r="165">
          <cell r="I165">
            <v>116.12903225806453</v>
          </cell>
          <cell r="J165" t="e">
            <v>#DIV/0!</v>
          </cell>
        </row>
        <row r="166">
          <cell r="I166" t="e">
            <v>#DIV/0!</v>
          </cell>
          <cell r="J166" t="e">
            <v>#DIV/0!</v>
          </cell>
        </row>
        <row r="167">
          <cell r="I167">
            <v>82.35294117647058</v>
          </cell>
          <cell r="J167" t="e">
            <v>#DIV/0!</v>
          </cell>
        </row>
        <row r="168">
          <cell r="I168">
            <v>200</v>
          </cell>
          <cell r="J168" t="e">
            <v>#DIV/0!</v>
          </cell>
        </row>
        <row r="169">
          <cell r="I169">
            <v>100</v>
          </cell>
          <cell r="J169" t="e">
            <v>#DIV/0!</v>
          </cell>
        </row>
        <row r="170">
          <cell r="I170">
            <v>120</v>
          </cell>
          <cell r="J170" t="e">
            <v>#DIV/0!</v>
          </cell>
        </row>
        <row r="171">
          <cell r="I171">
            <v>100</v>
          </cell>
          <cell r="J171" t="e">
            <v>#DIV/0!</v>
          </cell>
        </row>
        <row r="189">
          <cell r="H189">
            <v>0</v>
          </cell>
        </row>
        <row r="190">
          <cell r="H190">
            <v>15</v>
          </cell>
        </row>
        <row r="191">
          <cell r="H191">
            <v>2</v>
          </cell>
        </row>
        <row r="192">
          <cell r="H192">
            <v>2</v>
          </cell>
        </row>
        <row r="193">
          <cell r="H193">
            <v>6</v>
          </cell>
        </row>
        <row r="194">
          <cell r="H194">
            <v>0</v>
          </cell>
        </row>
        <row r="196">
          <cell r="I196">
            <v>29.212022862755628</v>
          </cell>
          <cell r="J196">
            <v>0</v>
          </cell>
          <cell r="M196" t="str">
            <v>Российская Федерация</v>
          </cell>
        </row>
        <row r="197">
          <cell r="H197">
            <v>96.35</v>
          </cell>
          <cell r="I197">
            <v>70.787977137244368</v>
          </cell>
          <cell r="J197">
            <v>70.787977137244368</v>
          </cell>
        </row>
        <row r="198">
          <cell r="H198">
            <v>3.65</v>
          </cell>
          <cell r="I198">
            <v>29.212022862755628</v>
          </cell>
          <cell r="J198">
            <v>0</v>
          </cell>
        </row>
        <row r="203">
          <cell r="I203">
            <v>0.57306590257879653</v>
          </cell>
          <cell r="J203" t="e">
            <v>#DIV/0!</v>
          </cell>
        </row>
        <row r="210">
          <cell r="H210">
            <v>11.45</v>
          </cell>
        </row>
      </sheetData>
      <sheetData sheetId="8">
        <row r="10">
          <cell r="E10">
            <v>13.9</v>
          </cell>
          <cell r="F10">
            <v>14.8</v>
          </cell>
          <cell r="G10">
            <v>11.9</v>
          </cell>
          <cell r="H10">
            <v>8.6</v>
          </cell>
          <cell r="I10">
            <v>8.5</v>
          </cell>
          <cell r="J10">
            <v>0</v>
          </cell>
          <cell r="L10" t="str">
            <v>Российская Федерация, субъекты Российской Федерации</v>
          </cell>
        </row>
        <row r="15">
          <cell r="I15">
            <v>6.9897209985315705</v>
          </cell>
          <cell r="J15">
            <v>7.6977401129943503</v>
          </cell>
          <cell r="L15">
            <v>0</v>
          </cell>
        </row>
        <row r="16">
          <cell r="I16">
            <v>0</v>
          </cell>
          <cell r="J16" t="e">
            <v>#DIV/0!</v>
          </cell>
          <cell r="L16">
            <v>0</v>
          </cell>
        </row>
        <row r="37">
          <cell r="I37">
            <v>29.166666666666668</v>
          </cell>
          <cell r="J37" t="e">
            <v>#DIV/0!</v>
          </cell>
        </row>
        <row r="38">
          <cell r="I38">
            <v>0</v>
          </cell>
          <cell r="J38" t="e">
            <v>#DIV/0!</v>
          </cell>
        </row>
        <row r="40">
          <cell r="I40">
            <v>0.83609127329733501</v>
          </cell>
          <cell r="J40" t="e">
            <v>#DIV/0!</v>
          </cell>
        </row>
        <row r="41">
          <cell r="I41">
            <v>0</v>
          </cell>
          <cell r="J41" t="e">
            <v>#DIV/0!</v>
          </cell>
        </row>
        <row r="57">
          <cell r="I57">
            <v>22.222222222222221</v>
          </cell>
          <cell r="J57" t="e">
            <v>#DIV/0!</v>
          </cell>
        </row>
        <row r="58">
          <cell r="I58">
            <v>13.888888888888889</v>
          </cell>
          <cell r="J58" t="e">
            <v>#DIV/0!</v>
          </cell>
        </row>
        <row r="69">
          <cell r="E69">
            <v>0.81</v>
          </cell>
          <cell r="F69">
            <v>1.69</v>
          </cell>
          <cell r="G69">
            <v>1.69</v>
          </cell>
          <cell r="H69">
            <v>1.95</v>
          </cell>
          <cell r="I69">
            <v>1.8151969981238274</v>
          </cell>
          <cell r="J69">
            <v>2.0532741398446173</v>
          </cell>
          <cell r="K69" t="e">
            <v>#DIV/0!</v>
          </cell>
        </row>
        <row r="70">
          <cell r="E70">
            <v>0</v>
          </cell>
          <cell r="F70">
            <v>0</v>
          </cell>
          <cell r="G70">
            <v>0</v>
          </cell>
          <cell r="H70">
            <v>1.45</v>
          </cell>
          <cell r="I70">
            <v>2.8833551769331587</v>
          </cell>
          <cell r="J70">
            <v>3.4612490594431904</v>
          </cell>
          <cell r="K70" t="e">
            <v>#DIV/0!</v>
          </cell>
        </row>
        <row r="72">
          <cell r="E72">
            <v>0.81</v>
          </cell>
          <cell r="F72">
            <v>1.24</v>
          </cell>
          <cell r="G72">
            <v>1.24</v>
          </cell>
          <cell r="H72">
            <v>1.87</v>
          </cell>
          <cell r="I72">
            <v>1.6651031894934336</v>
          </cell>
          <cell r="J72">
            <v>2.0394006659267481</v>
          </cell>
          <cell r="K72" t="e">
            <v>#DIV/0!</v>
          </cell>
        </row>
        <row r="73">
          <cell r="E73">
            <v>0</v>
          </cell>
          <cell r="F73">
            <v>0</v>
          </cell>
          <cell r="G73">
            <v>0</v>
          </cell>
          <cell r="H73">
            <v>1.45</v>
          </cell>
          <cell r="I73">
            <v>2.8833551769331587</v>
          </cell>
          <cell r="J73">
            <v>3.1602708803611739</v>
          </cell>
          <cell r="K73" t="e">
            <v>#DIV/0!</v>
          </cell>
        </row>
        <row r="85">
          <cell r="E85">
            <v>1.47</v>
          </cell>
          <cell r="F85">
            <v>1.34</v>
          </cell>
          <cell r="G85">
            <v>1.41</v>
          </cell>
          <cell r="H85">
            <v>1.34</v>
          </cell>
          <cell r="I85">
            <v>1.1649534997552617</v>
          </cell>
          <cell r="J85">
            <v>0</v>
          </cell>
        </row>
        <row r="86">
          <cell r="E86">
            <v>6.84</v>
          </cell>
          <cell r="F86">
            <v>1.84</v>
          </cell>
          <cell r="G86">
            <v>1.94</v>
          </cell>
          <cell r="H86">
            <v>1.5</v>
          </cell>
          <cell r="I86">
            <v>1.214574898785425</v>
          </cell>
          <cell r="J86" t="e">
            <v>#DIV/0!</v>
          </cell>
        </row>
        <row r="88">
          <cell r="E88">
            <v>1.47</v>
          </cell>
          <cell r="F88">
            <v>1.34</v>
          </cell>
          <cell r="G88">
            <v>1.41</v>
          </cell>
          <cell r="H88">
            <v>1.28</v>
          </cell>
          <cell r="I88">
            <v>1.8502202643171806</v>
          </cell>
          <cell r="J88">
            <v>0</v>
          </cell>
        </row>
        <row r="89">
          <cell r="E89">
            <v>0.78</v>
          </cell>
          <cell r="F89">
            <v>1.57</v>
          </cell>
          <cell r="G89">
            <v>1.83</v>
          </cell>
          <cell r="H89">
            <v>1.1200000000000001</v>
          </cell>
          <cell r="I89">
            <v>1.8218623481781375</v>
          </cell>
          <cell r="J89" t="e">
            <v>#DIV/0!</v>
          </cell>
        </row>
        <row r="137">
          <cell r="I137">
            <v>100</v>
          </cell>
          <cell r="J137" t="e">
            <v>#DIV/0!</v>
          </cell>
          <cell r="L137">
            <v>0</v>
          </cell>
        </row>
        <row r="138">
          <cell r="I138">
            <v>100</v>
          </cell>
          <cell r="J138" t="e">
            <v>#DIV/0!</v>
          </cell>
          <cell r="L138">
            <v>0</v>
          </cell>
        </row>
        <row r="139">
          <cell r="I139">
            <v>58.333333333333336</v>
          </cell>
          <cell r="J139" t="e">
            <v>#DIV/0!</v>
          </cell>
        </row>
        <row r="140">
          <cell r="I140">
            <v>100</v>
          </cell>
          <cell r="J140" t="e">
            <v>#DIV/0!</v>
          </cell>
          <cell r="L140">
            <v>0</v>
          </cell>
        </row>
        <row r="141">
          <cell r="I141">
            <v>29.787234042553191</v>
          </cell>
          <cell r="J141" t="e">
            <v>#DIV/0!</v>
          </cell>
          <cell r="L141">
            <v>0</v>
          </cell>
        </row>
        <row r="156">
          <cell r="I156">
            <v>100</v>
          </cell>
          <cell r="J156" t="e">
            <v>#DIV/0!</v>
          </cell>
          <cell r="L156">
            <v>0</v>
          </cell>
        </row>
        <row r="157">
          <cell r="I157">
            <v>100</v>
          </cell>
          <cell r="J157" t="e">
            <v>#DIV/0!</v>
          </cell>
          <cell r="L157">
            <v>0</v>
          </cell>
        </row>
        <row r="158">
          <cell r="I158">
            <v>100</v>
          </cell>
          <cell r="J158" t="e">
            <v>#DIV/0!</v>
          </cell>
          <cell r="L158">
            <v>0</v>
          </cell>
        </row>
        <row r="159">
          <cell r="I159">
            <v>100</v>
          </cell>
          <cell r="J159" t="e">
            <v>#DIV/0!</v>
          </cell>
          <cell r="L159">
            <v>0</v>
          </cell>
        </row>
        <row r="160">
          <cell r="I160">
            <v>77.631578947368425</v>
          </cell>
          <cell r="J160" t="e">
            <v>#DIV/0!</v>
          </cell>
          <cell r="L160">
            <v>0</v>
          </cell>
        </row>
        <row r="161">
          <cell r="I161">
            <v>51.063829787234042</v>
          </cell>
          <cell r="J161" t="e">
            <v>#DIV/0!</v>
          </cell>
          <cell r="L161">
            <v>0</v>
          </cell>
        </row>
        <row r="179">
          <cell r="I179">
            <v>100</v>
          </cell>
          <cell r="J179" t="e">
            <v>#DIV/0!</v>
          </cell>
          <cell r="L179">
            <v>0</v>
          </cell>
        </row>
        <row r="180">
          <cell r="I180">
            <v>100</v>
          </cell>
          <cell r="J180" t="e">
            <v>#DIV/0!</v>
          </cell>
          <cell r="L180">
            <v>0</v>
          </cell>
        </row>
        <row r="181">
          <cell r="I181">
            <v>100</v>
          </cell>
          <cell r="J181" t="e">
            <v>#DIV/0!</v>
          </cell>
          <cell r="L181">
            <v>0</v>
          </cell>
        </row>
        <row r="182">
          <cell r="I182">
            <v>100</v>
          </cell>
          <cell r="J182" t="e">
            <v>#DIV/0!</v>
          </cell>
          <cell r="L182">
            <v>0</v>
          </cell>
        </row>
        <row r="183">
          <cell r="I183">
            <v>96</v>
          </cell>
          <cell r="J183" t="e">
            <v>#DIV/0!</v>
          </cell>
          <cell r="L183">
            <v>0</v>
          </cell>
        </row>
        <row r="184">
          <cell r="I184">
            <v>34.285714285714285</v>
          </cell>
          <cell r="J184" t="e">
            <v>#DIV/0!</v>
          </cell>
          <cell r="L184">
            <v>0</v>
          </cell>
        </row>
        <row r="186">
          <cell r="I186">
            <v>100</v>
          </cell>
          <cell r="J186" t="e">
            <v>#DIV/0!</v>
          </cell>
          <cell r="L186">
            <v>0</v>
          </cell>
        </row>
        <row r="187">
          <cell r="I187">
            <v>100</v>
          </cell>
          <cell r="J187" t="e">
            <v>#DIV/0!</v>
          </cell>
          <cell r="L187">
            <v>0</v>
          </cell>
        </row>
        <row r="188">
          <cell r="I188" t="e">
            <v>#DIV/0!</v>
          </cell>
          <cell r="J188" t="e">
            <v>#DIV/0!</v>
          </cell>
          <cell r="L188">
            <v>0</v>
          </cell>
        </row>
        <row r="189">
          <cell r="I189">
            <v>100</v>
          </cell>
          <cell r="J189" t="e">
            <v>#DIV/0!</v>
          </cell>
          <cell r="L189">
            <v>0</v>
          </cell>
        </row>
        <row r="190">
          <cell r="I190">
            <v>62.5</v>
          </cell>
          <cell r="J190" t="e">
            <v>#DIV/0!</v>
          </cell>
          <cell r="L190">
            <v>0</v>
          </cell>
        </row>
        <row r="191">
          <cell r="I191">
            <v>0</v>
          </cell>
          <cell r="J191" t="e">
            <v>#DIV/0!</v>
          </cell>
          <cell r="L191">
            <v>0</v>
          </cell>
        </row>
        <row r="224">
          <cell r="E224">
            <v>85.83</v>
          </cell>
          <cell r="F224">
            <v>87.1</v>
          </cell>
          <cell r="G224">
            <v>87.66</v>
          </cell>
          <cell r="H224">
            <v>89.23</v>
          </cell>
          <cell r="I224">
            <v>92.521585659162881</v>
          </cell>
          <cell r="J224">
            <v>92.732145249899503</v>
          </cell>
          <cell r="K224" t="e">
            <v>#DIV/0!</v>
          </cell>
        </row>
        <row r="233">
          <cell r="E233">
            <v>7.61</v>
          </cell>
          <cell r="F233">
            <v>37.33</v>
          </cell>
          <cell r="G233">
            <v>40.21</v>
          </cell>
          <cell r="H233">
            <v>28.91</v>
          </cell>
          <cell r="I233">
            <v>16.350000000000001</v>
          </cell>
          <cell r="J233">
            <v>16.350000000000001</v>
          </cell>
          <cell r="K233">
            <v>0</v>
          </cell>
        </row>
        <row r="234">
          <cell r="E234">
            <v>30.31</v>
          </cell>
          <cell r="F234">
            <v>34.049999999999997</v>
          </cell>
          <cell r="G234">
            <v>28.13</v>
          </cell>
          <cell r="H234">
            <v>44.71</v>
          </cell>
          <cell r="I234">
            <v>39.35</v>
          </cell>
          <cell r="J234">
            <v>39.35</v>
          </cell>
          <cell r="K234">
            <v>0</v>
          </cell>
        </row>
        <row r="235">
          <cell r="E235">
            <v>36.090000000000003</v>
          </cell>
          <cell r="F235">
            <v>3.44</v>
          </cell>
          <cell r="G235">
            <v>11.96</v>
          </cell>
          <cell r="H235">
            <v>17.649999999999999</v>
          </cell>
          <cell r="I235">
            <v>15.67</v>
          </cell>
          <cell r="J235">
            <v>0</v>
          </cell>
        </row>
        <row r="236">
          <cell r="E236">
            <v>23.92</v>
          </cell>
          <cell r="F236">
            <v>23.27</v>
          </cell>
          <cell r="G236">
            <v>17.670000000000002</v>
          </cell>
          <cell r="H236">
            <v>7.12</v>
          </cell>
          <cell r="I236">
            <v>2.5499999999999998</v>
          </cell>
          <cell r="J236">
            <v>0</v>
          </cell>
        </row>
        <row r="237">
          <cell r="E237">
            <v>2.0699999999999998</v>
          </cell>
          <cell r="F237">
            <v>1.9</v>
          </cell>
          <cell r="G237">
            <v>2.0299999999999998</v>
          </cell>
          <cell r="H237">
            <v>1.55</v>
          </cell>
          <cell r="I237">
            <v>3.16</v>
          </cell>
          <cell r="J237">
            <v>0</v>
          </cell>
        </row>
        <row r="238">
          <cell r="E238">
            <v>0</v>
          </cell>
          <cell r="F238">
            <v>0</v>
          </cell>
          <cell r="G238">
            <v>0</v>
          </cell>
          <cell r="H238">
            <v>0.06</v>
          </cell>
          <cell r="I238">
            <v>1.36</v>
          </cell>
          <cell r="J238">
            <v>0</v>
          </cell>
        </row>
      </sheetData>
      <sheetData sheetId="9">
        <row r="9">
          <cell r="I9">
            <v>0</v>
          </cell>
          <cell r="J9">
            <v>0</v>
          </cell>
        </row>
        <row r="17">
          <cell r="I17">
            <v>94.158280235812541</v>
          </cell>
          <cell r="J17">
            <v>97.769297530790595</v>
          </cell>
        </row>
        <row r="18">
          <cell r="I18">
            <v>0.25804402628079159</v>
          </cell>
          <cell r="J18">
            <v>1.7888020988611295E-2</v>
          </cell>
        </row>
        <row r="19">
          <cell r="I19">
            <v>0.19849540483137815</v>
          </cell>
          <cell r="J19">
            <v>0.11925347325740861</v>
          </cell>
        </row>
        <row r="20">
          <cell r="I20">
            <v>0</v>
          </cell>
          <cell r="J20">
            <v>0</v>
          </cell>
        </row>
        <row r="21">
          <cell r="I21">
            <v>7.1458345739296131E-2</v>
          </cell>
          <cell r="J21">
            <v>0.28885841300127868</v>
          </cell>
        </row>
        <row r="22">
          <cell r="I22">
            <v>1.0143115186883422</v>
          </cell>
          <cell r="J22">
            <v>0.39287394245357393</v>
          </cell>
        </row>
        <row r="23">
          <cell r="I23">
            <v>4.2994104686476504</v>
          </cell>
          <cell r="J23">
            <v>1.4118286195085432</v>
          </cell>
        </row>
        <row r="33">
          <cell r="E33" t="e">
            <v>#DIV/0!</v>
          </cell>
          <cell r="F33" t="e">
            <v>#DIV/0!</v>
          </cell>
          <cell r="G33" t="e">
            <v>#DIV/0!</v>
          </cell>
          <cell r="H33" t="e">
            <v>#DIV/0!</v>
          </cell>
        </row>
        <row r="42">
          <cell r="E42">
            <v>18.897240602760178</v>
          </cell>
          <cell r="F42">
            <v>18.897240602760178</v>
          </cell>
          <cell r="G42">
            <v>18.897240602760178</v>
          </cell>
          <cell r="H42">
            <v>25.38970383142734</v>
          </cell>
        </row>
        <row r="47">
          <cell r="E47">
            <v>3.3354544928638132</v>
          </cell>
          <cell r="F47">
            <v>3.3354544928638132</v>
          </cell>
          <cell r="G47">
            <v>3.3354544928638132</v>
          </cell>
          <cell r="H47">
            <v>7.3286435673846961</v>
          </cell>
          <cell r="I47">
            <v>29.776295678755037</v>
          </cell>
          <cell r="J47">
            <v>12.293045534951204</v>
          </cell>
          <cell r="M47">
            <v>0</v>
          </cell>
        </row>
        <row r="48">
          <cell r="I48">
            <v>29.809165914387087</v>
          </cell>
          <cell r="J48">
            <v>17.740658805382477</v>
          </cell>
          <cell r="M48">
            <v>0</v>
          </cell>
        </row>
        <row r="49">
          <cell r="I49">
            <v>29.206117989803349</v>
          </cell>
          <cell r="J49">
            <v>2.0478271656774241</v>
          </cell>
          <cell r="M49">
            <v>0</v>
          </cell>
        </row>
        <row r="57">
          <cell r="I57">
            <v>17.461600646725948</v>
          </cell>
          <cell r="J57">
            <v>10.92217135382603</v>
          </cell>
          <cell r="M57">
            <v>0</v>
          </cell>
        </row>
        <row r="58">
          <cell r="I58">
            <v>15.774099318403115</v>
          </cell>
          <cell r="J58">
            <v>14.218896164639849</v>
          </cell>
          <cell r="M58">
            <v>0</v>
          </cell>
        </row>
        <row r="59">
          <cell r="I59">
            <v>25.714285714285712</v>
          </cell>
          <cell r="J59">
            <v>3.2608695652173911</v>
          </cell>
          <cell r="M59">
            <v>0</v>
          </cell>
        </row>
        <row r="68">
          <cell r="I68">
            <v>30.737013438138906</v>
          </cell>
          <cell r="J68">
            <v>7.4387666540788002</v>
          </cell>
          <cell r="M68">
            <v>0</v>
          </cell>
        </row>
        <row r="69">
          <cell r="I69">
            <v>18.638718513666408</v>
          </cell>
          <cell r="J69">
            <v>39.301307150570757</v>
          </cell>
          <cell r="M69">
            <v>0</v>
          </cell>
        </row>
        <row r="70">
          <cell r="I70">
            <v>50.624268048194686</v>
          </cell>
          <cell r="J70">
            <v>53.259926195350438</v>
          </cell>
          <cell r="M70">
            <v>0</v>
          </cell>
        </row>
        <row r="78">
          <cell r="H78">
            <v>3.03</v>
          </cell>
          <cell r="I78">
            <v>0.90090090090090091</v>
          </cell>
          <cell r="J78">
            <v>0</v>
          </cell>
          <cell r="M78">
            <v>0</v>
          </cell>
        </row>
        <row r="79">
          <cell r="H79">
            <v>12.12</v>
          </cell>
          <cell r="I79">
            <v>12.612612612612612</v>
          </cell>
          <cell r="J79">
            <v>15.625</v>
          </cell>
          <cell r="M79">
            <v>0</v>
          </cell>
        </row>
        <row r="84">
          <cell r="H84">
            <v>0.02</v>
          </cell>
          <cell r="I84">
            <v>15.899999997047381</v>
          </cell>
          <cell r="J84">
            <v>28.728990095160405</v>
          </cell>
          <cell r="M84" t="str">
            <v>Российская Федерация, субъекты Российской Федерации, государственные и муниципальные организации; частные организации (дополнительная информация)</v>
          </cell>
        </row>
        <row r="88">
          <cell r="I88">
            <v>59.782608695652172</v>
          </cell>
          <cell r="J88">
            <v>72.289156626506028</v>
          </cell>
          <cell r="M88">
            <v>0</v>
          </cell>
        </row>
        <row r="89">
          <cell r="I89">
            <v>24.011857707509883</v>
          </cell>
          <cell r="J89">
            <v>38.253012048192772</v>
          </cell>
          <cell r="M89">
            <v>0</v>
          </cell>
        </row>
        <row r="95">
          <cell r="I95">
            <v>82.456140350877192</v>
          </cell>
          <cell r="J95">
            <v>106.38297872340425</v>
          </cell>
        </row>
        <row r="96">
          <cell r="I96">
            <v>79.166666666666657</v>
          </cell>
          <cell r="J96">
            <v>78.94736842105263</v>
          </cell>
        </row>
        <row r="97">
          <cell r="I97">
            <v>90.476190476190482</v>
          </cell>
          <cell r="J97">
            <v>115.78947368421053</v>
          </cell>
        </row>
        <row r="98">
          <cell r="I98">
            <v>100</v>
          </cell>
          <cell r="J98">
            <v>142.85714285714286</v>
          </cell>
        </row>
        <row r="120">
          <cell r="I120">
            <v>7.939816193255126E-3</v>
          </cell>
          <cell r="J120">
            <v>0</v>
          </cell>
        </row>
        <row r="123">
          <cell r="H123">
            <v>0.12983202981143147</v>
          </cell>
        </row>
        <row r="127">
          <cell r="I127">
            <v>0.15273942878765359</v>
          </cell>
          <cell r="J127">
            <v>0</v>
          </cell>
        </row>
        <row r="130">
          <cell r="H130">
            <v>0.01</v>
          </cell>
        </row>
        <row r="135">
          <cell r="H135">
            <v>5.93</v>
          </cell>
          <cell r="I135">
            <v>15.70950529076603</v>
          </cell>
          <cell r="J135">
            <v>4.5031055900621118</v>
          </cell>
        </row>
        <row r="136">
          <cell r="H136">
            <v>0</v>
          </cell>
          <cell r="I136">
            <v>0</v>
          </cell>
          <cell r="J136">
            <v>0</v>
          </cell>
        </row>
        <row r="142">
          <cell r="I142">
            <v>95.375091041514921</v>
          </cell>
          <cell r="J142">
            <v>1.8359829761245874</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3:N1563"/>
  <sheetViews>
    <sheetView zoomScaleNormal="100" workbookViewId="0">
      <pane xSplit="2" ySplit="8" topLeftCell="C1542" activePane="bottomRight" state="frozen"/>
      <selection pane="topRight" activeCell="C1" sqref="C1"/>
      <selection pane="bottomLeft" activeCell="A9" sqref="A9"/>
      <selection pane="bottomRight" activeCell="A10" sqref="A10:XFD1563"/>
    </sheetView>
  </sheetViews>
  <sheetFormatPr defaultRowHeight="15" x14ac:dyDescent="0.25"/>
  <cols>
    <col min="1" max="1" width="9.140625" style="241"/>
    <col min="2" max="2" width="76.7109375" style="241" customWidth="1"/>
    <col min="3" max="3" width="16.140625" style="241" customWidth="1"/>
    <col min="4" max="13" width="14" style="241" customWidth="1"/>
    <col min="14" max="16384" width="9.140625" style="241"/>
  </cols>
  <sheetData>
    <row r="3" spans="1:13" ht="18.75" x14ac:dyDescent="0.3">
      <c r="A3" s="401" t="s">
        <v>0</v>
      </c>
      <c r="B3" s="401"/>
      <c r="C3" s="401"/>
      <c r="D3" s="401"/>
      <c r="E3" s="401"/>
      <c r="F3" s="401"/>
      <c r="G3" s="401"/>
      <c r="H3" s="401"/>
      <c r="I3" s="401"/>
      <c r="J3" s="401"/>
    </row>
    <row r="4" spans="1:13" ht="18.75" x14ac:dyDescent="0.3">
      <c r="A4" s="401" t="s">
        <v>1</v>
      </c>
      <c r="B4" s="401"/>
      <c r="C4" s="401"/>
      <c r="D4" s="401"/>
      <c r="E4" s="401"/>
      <c r="F4" s="401"/>
      <c r="G4" s="401"/>
      <c r="H4" s="401"/>
      <c r="I4" s="401"/>
      <c r="J4" s="401"/>
    </row>
    <row r="5" spans="1:13" x14ac:dyDescent="0.25">
      <c r="A5" s="1"/>
      <c r="B5" s="1"/>
      <c r="C5" s="1"/>
      <c r="D5" s="1"/>
      <c r="E5" s="1"/>
      <c r="F5" s="1"/>
      <c r="G5" s="1"/>
      <c r="H5" s="1"/>
      <c r="I5" s="1"/>
      <c r="J5" s="1"/>
      <c r="K5" s="1"/>
      <c r="L5" s="1"/>
      <c r="M5" s="1"/>
    </row>
    <row r="6" spans="1:13" ht="45" x14ac:dyDescent="0.25">
      <c r="A6" s="4" t="s">
        <v>6</v>
      </c>
      <c r="B6" s="4" t="s">
        <v>375</v>
      </c>
      <c r="C6" s="5" t="s">
        <v>10</v>
      </c>
      <c r="D6" s="5" t="s">
        <v>1401</v>
      </c>
      <c r="E6" s="5" t="s">
        <v>1406</v>
      </c>
      <c r="F6" s="5" t="s">
        <v>1446</v>
      </c>
      <c r="G6" s="5" t="s">
        <v>1486</v>
      </c>
      <c r="H6" s="5" t="s">
        <v>1599</v>
      </c>
      <c r="I6" s="5" t="s">
        <v>2384</v>
      </c>
      <c r="J6" s="5" t="s">
        <v>2723</v>
      </c>
      <c r="K6" s="5" t="s">
        <v>2845</v>
      </c>
      <c r="L6" s="5" t="s">
        <v>3005</v>
      </c>
      <c r="M6" s="271" t="s">
        <v>3012</v>
      </c>
    </row>
    <row r="7" spans="1:13" x14ac:dyDescent="0.25">
      <c r="A7" s="402" t="s">
        <v>3</v>
      </c>
      <c r="B7" s="403"/>
      <c r="C7" s="403"/>
      <c r="D7" s="403"/>
      <c r="E7" s="403"/>
      <c r="F7" s="403"/>
      <c r="G7" s="403"/>
      <c r="H7" s="403"/>
      <c r="I7" s="403"/>
      <c r="J7" s="403"/>
      <c r="K7" s="403"/>
      <c r="L7" s="403"/>
      <c r="M7" s="376"/>
    </row>
    <row r="8" spans="1:13" x14ac:dyDescent="0.25">
      <c r="A8" s="404" t="s">
        <v>4</v>
      </c>
      <c r="B8" s="405"/>
      <c r="C8" s="405"/>
      <c r="D8" s="405"/>
      <c r="E8" s="405"/>
      <c r="F8" s="405"/>
      <c r="G8" s="405"/>
      <c r="H8" s="405"/>
      <c r="I8" s="405"/>
      <c r="J8" s="405"/>
      <c r="K8" s="405"/>
      <c r="L8" s="405"/>
      <c r="M8" s="376"/>
    </row>
    <row r="9" spans="1:13" ht="30" x14ac:dyDescent="0.25">
      <c r="A9" s="10" t="s">
        <v>7</v>
      </c>
      <c r="B9" s="33" t="s">
        <v>5</v>
      </c>
      <c r="C9" s="377"/>
      <c r="D9" s="8"/>
      <c r="E9" s="8"/>
      <c r="F9" s="8"/>
      <c r="G9" s="8"/>
      <c r="H9" s="8"/>
      <c r="I9" s="8"/>
      <c r="J9" s="8"/>
      <c r="K9" s="8"/>
      <c r="L9" s="8"/>
      <c r="M9" s="8"/>
    </row>
    <row r="10" spans="1:13" s="89" customFormat="1" ht="135" x14ac:dyDescent="0.25">
      <c r="A10" s="13" t="s">
        <v>2</v>
      </c>
      <c r="B10" s="70" t="s">
        <v>1600</v>
      </c>
      <c r="C10" s="13" t="s">
        <v>8</v>
      </c>
      <c r="D10" s="104">
        <f>IF(ISERR('[1]Дошкольное +'!E10),"-",'[1]Дошкольное +'!E10)</f>
        <v>87.940360769213129</v>
      </c>
      <c r="E10" s="104">
        <f>IF(ISERR('[1]Дошкольное +'!F10),"-",'[1]Дошкольное +'!F10)</f>
        <v>94.365088166796056</v>
      </c>
      <c r="F10" s="104">
        <f>IF(ISERR('[1]Дошкольное +'!G10),"-",'[1]Дошкольное +'!G10)</f>
        <v>100</v>
      </c>
      <c r="G10" s="104">
        <f>IF(ISERR('[1]Дошкольное +'!H10),"-",'[1]Дошкольное +'!H10)</f>
        <v>100</v>
      </c>
      <c r="H10" s="104"/>
      <c r="I10" s="104"/>
      <c r="J10" s="104"/>
      <c r="K10" s="104"/>
      <c r="L10" s="104"/>
      <c r="M10" s="104"/>
    </row>
    <row r="11" spans="1:13" s="89" customFormat="1" x14ac:dyDescent="0.25">
      <c r="A11" s="13"/>
      <c r="B11" s="70" t="s">
        <v>1603</v>
      </c>
      <c r="C11" s="13" t="s">
        <v>8</v>
      </c>
      <c r="D11" s="104"/>
      <c r="E11" s="104"/>
      <c r="F11" s="104"/>
      <c r="G11" s="104"/>
      <c r="H11" s="104">
        <f>IF(ISERR('[1]Дошкольное +'!I11),"-",'[1]Дошкольное +'!I11)</f>
        <v>94.921128107074566</v>
      </c>
      <c r="I11" s="104">
        <f>IF(ISERR('[1]Дошкольное +'!J11),"-",'[1]Дошкольное +'!J11)</f>
        <v>99.343323648843807</v>
      </c>
      <c r="J11" s="104">
        <f>IF(ISERR('[1]Дошкольное +'!K11),"-",'[1]Дошкольное +'!K11)</f>
        <v>99.618346916622158</v>
      </c>
      <c r="K11" s="104">
        <f>IF(ISERR('[1]Дошкольное +'!L11),"-",'[1]Дошкольное +'!L11)</f>
        <v>100</v>
      </c>
      <c r="L11" s="104">
        <f>IF(ISERR('[1]Дошкольное +'!M11),"-",'[1]Дошкольное +'!M11)</f>
        <v>100</v>
      </c>
      <c r="M11" s="104">
        <f>IF(ISERR('[1]Дошкольное +'!N11),"-",'[1]Дошкольное +'!N11)</f>
        <v>100</v>
      </c>
    </row>
    <row r="12" spans="1:13" s="89" customFormat="1" hidden="1" x14ac:dyDescent="0.25">
      <c r="A12" s="13"/>
      <c r="B12" s="70" t="s">
        <v>1303</v>
      </c>
      <c r="C12" s="13" t="s">
        <v>8</v>
      </c>
      <c r="D12" s="104"/>
      <c r="E12" s="104"/>
      <c r="F12" s="104"/>
      <c r="G12" s="104"/>
      <c r="H12" s="104">
        <f>IF(ISERR('[1]Дошкольное +'!I12),"-",'[1]Дошкольное +'!I12)</f>
        <v>0</v>
      </c>
      <c r="I12" s="104">
        <f>IF(ISERR('[1]Дошкольное +'!J12),"-",'[1]Дошкольное +'!J12)</f>
        <v>0</v>
      </c>
      <c r="J12" s="104">
        <f>IF(ISERR('[1]Дошкольное +'!K12),"-",'[1]Дошкольное +'!K12)</f>
        <v>0</v>
      </c>
      <c r="K12" s="104">
        <f>IF(ISERR('[1]Дошкольное +'!L12),"-",'[1]Дошкольное +'!L12)</f>
        <v>0</v>
      </c>
      <c r="L12" s="104">
        <f>IF(ISERR('[1]Дошкольное +'!N12),"-",'[1]Дошкольное +'!N12)</f>
        <v>0</v>
      </c>
      <c r="M12" s="104">
        <f>IF(ISERR('[1]Дошкольное +'!N12),"-",'[1]Дошкольное +'!N12)</f>
        <v>0</v>
      </c>
    </row>
    <row r="13" spans="1:13" s="89" customFormat="1" hidden="1" x14ac:dyDescent="0.25">
      <c r="A13" s="13"/>
      <c r="B13" s="70" t="s">
        <v>1304</v>
      </c>
      <c r="C13" s="13" t="s">
        <v>8</v>
      </c>
      <c r="D13" s="104"/>
      <c r="E13" s="104"/>
      <c r="F13" s="104"/>
      <c r="G13" s="104"/>
      <c r="H13" s="104">
        <f>IF(ISERR('[1]Дошкольное +'!I13),"-",'[1]Дошкольное +'!I13)</f>
        <v>0</v>
      </c>
      <c r="I13" s="104">
        <f>IF(ISERR('[1]Дошкольное +'!J13),"-",'[1]Дошкольное +'!J13)</f>
        <v>0</v>
      </c>
      <c r="J13" s="104">
        <f>IF(ISERR('[1]Дошкольное +'!K13),"-",'[1]Дошкольное +'!K13)</f>
        <v>0</v>
      </c>
      <c r="K13" s="104">
        <f>IF(ISERR('[1]Дошкольное +'!L13),"-",'[1]Дошкольное +'!L13)</f>
        <v>0</v>
      </c>
      <c r="L13" s="104">
        <f>IF(ISERR('[1]Дошкольное +'!N13),"-",'[1]Дошкольное +'!N13)</f>
        <v>0</v>
      </c>
      <c r="M13" s="104">
        <f>IF(ISERR('[1]Дошкольное +'!N13),"-",'[1]Дошкольное +'!N13)</f>
        <v>0</v>
      </c>
    </row>
    <row r="14" spans="1:13" s="89" customFormat="1" x14ac:dyDescent="0.25">
      <c r="A14" s="13"/>
      <c r="B14" s="70" t="s">
        <v>1602</v>
      </c>
      <c r="C14" s="13" t="s">
        <v>8</v>
      </c>
      <c r="D14" s="104"/>
      <c r="E14" s="104"/>
      <c r="F14" s="104"/>
      <c r="G14" s="104"/>
      <c r="H14" s="104">
        <f>IF(ISERR('[1]Дошкольное +'!I14),"-",'[1]Дошкольное +'!I14)</f>
        <v>73.529411764705884</v>
      </c>
      <c r="I14" s="104">
        <f>IF(ISERR('[1]Дошкольное +'!J14),"-",'[1]Дошкольное +'!J14)</f>
        <v>96.257135765698692</v>
      </c>
      <c r="J14" s="104">
        <f>IF(ISERR('[1]Дошкольное +'!K14),"-",'[1]Дошкольное +'!K14)</f>
        <v>97.934545454545457</v>
      </c>
      <c r="K14" s="104">
        <f>IF(ISERR('[1]Дошкольное +'!L14),"-",'[1]Дошкольное +'!L14)</f>
        <v>100</v>
      </c>
      <c r="L14" s="104">
        <f>IF(ISERR('[1]Дошкольное +'!M14),"-",'[1]Дошкольное +'!M14)</f>
        <v>100</v>
      </c>
      <c r="M14" s="104">
        <f>IF(ISERR('[1]Дошкольное +'!N14),"-",'[1]Дошкольное +'!N14)</f>
        <v>100</v>
      </c>
    </row>
    <row r="15" spans="1:13" s="89" customFormat="1" hidden="1" x14ac:dyDescent="0.25">
      <c r="A15" s="13"/>
      <c r="B15" s="70" t="s">
        <v>1303</v>
      </c>
      <c r="C15" s="13" t="s">
        <v>8</v>
      </c>
      <c r="D15" s="104"/>
      <c r="E15" s="104"/>
      <c r="F15" s="104"/>
      <c r="G15" s="104"/>
      <c r="H15" s="104">
        <f>IF(ISERR('[1]Дошкольное +'!I15),"-",'[1]Дошкольное +'!I15)</f>
        <v>0</v>
      </c>
      <c r="I15" s="104">
        <f>IF(ISERR('[1]Дошкольное +'!J15),"-",'[1]Дошкольное +'!J15)</f>
        <v>0</v>
      </c>
      <c r="J15" s="104">
        <f>IF(ISERR('[1]Дошкольное +'!K15),"-",'[1]Дошкольное +'!K15)</f>
        <v>0</v>
      </c>
      <c r="K15" s="104">
        <f>IF(ISERR('[1]Дошкольное +'!L15),"-",'[1]Дошкольное +'!L15)</f>
        <v>0</v>
      </c>
      <c r="L15" s="104">
        <f>IF(ISERR('[1]Дошкольное +'!N15),"-",'[1]Дошкольное +'!N15)</f>
        <v>0</v>
      </c>
      <c r="M15" s="104">
        <f>IF(ISERR('[1]Дошкольное +'!N15),"-",'[1]Дошкольное +'!N15)</f>
        <v>0</v>
      </c>
    </row>
    <row r="16" spans="1:13" s="89" customFormat="1" hidden="1" x14ac:dyDescent="0.25">
      <c r="A16" s="13"/>
      <c r="B16" s="70" t="s">
        <v>1304</v>
      </c>
      <c r="C16" s="13" t="s">
        <v>8</v>
      </c>
      <c r="D16" s="104"/>
      <c r="E16" s="104"/>
      <c r="F16" s="104"/>
      <c r="G16" s="104"/>
      <c r="H16" s="104">
        <f>IF(ISERR('[1]Дошкольное +'!I16),"-",'[1]Дошкольное +'!I16)</f>
        <v>0</v>
      </c>
      <c r="I16" s="104">
        <f>IF(ISERR('[1]Дошкольное +'!J16),"-",'[1]Дошкольное +'!J16)</f>
        <v>0</v>
      </c>
      <c r="J16" s="104">
        <f>IF(ISERR('[1]Дошкольное +'!K16),"-",'[1]Дошкольное +'!K16)</f>
        <v>0</v>
      </c>
      <c r="K16" s="104">
        <f>IF(ISERR('[1]Дошкольное +'!L16),"-",'[1]Дошкольное +'!L16)</f>
        <v>0</v>
      </c>
      <c r="L16" s="104">
        <f>IF(ISERR('[1]Дошкольное +'!N16),"-",'[1]Дошкольное +'!N16)</f>
        <v>0</v>
      </c>
      <c r="M16" s="104">
        <f>IF(ISERR('[1]Дошкольное +'!N16),"-",'[1]Дошкольное +'!N16)</f>
        <v>0</v>
      </c>
    </row>
    <row r="17" spans="1:13" s="89" customFormat="1" x14ac:dyDescent="0.25">
      <c r="A17" s="13"/>
      <c r="B17" s="70" t="s">
        <v>1601</v>
      </c>
      <c r="C17" s="13" t="s">
        <v>8</v>
      </c>
      <c r="D17" s="104"/>
      <c r="E17" s="104"/>
      <c r="F17" s="104"/>
      <c r="G17" s="104"/>
      <c r="H17" s="104">
        <f>IF(ISERR('[1]Дошкольное +'!I17),"-",'[1]Дошкольное +'!I17)</f>
        <v>100</v>
      </c>
      <c r="I17" s="104">
        <f>IF(ISERR('[1]Дошкольное +'!J17),"-",'[1]Дошкольное +'!J17)</f>
        <v>100</v>
      </c>
      <c r="J17" s="104">
        <f>IF(ISERR('[1]Дошкольное +'!K17),"-",'[1]Дошкольное +'!K17)</f>
        <v>100</v>
      </c>
      <c r="K17" s="104">
        <f>IF(ISERR('[1]Дошкольное +'!L17),"-",'[1]Дошкольное +'!L17)</f>
        <v>100</v>
      </c>
      <c r="L17" s="104">
        <v>100</v>
      </c>
      <c r="M17" s="104">
        <f>IF(ISERR('[1]Дошкольное +'!N17),"-",'[1]Дошкольное +'!N17)</f>
        <v>100</v>
      </c>
    </row>
    <row r="18" spans="1:13" s="89" customFormat="1" hidden="1" x14ac:dyDescent="0.25">
      <c r="A18" s="13"/>
      <c r="B18" s="70" t="s">
        <v>1303</v>
      </c>
      <c r="C18" s="13" t="s">
        <v>8</v>
      </c>
      <c r="D18" s="104">
        <f>IF(ISERR('[1]Дошкольное +'!E18),"-",'[1]Дошкольное +'!E18)</f>
        <v>88.172793064361429</v>
      </c>
      <c r="E18" s="104">
        <f>IF(ISERR('[1]Дошкольное +'!F18),"-",'[1]Дошкольное +'!F18)</f>
        <v>94.68</v>
      </c>
      <c r="F18" s="104">
        <f>IF(ISERR('[1]Дошкольное +'!G18),"-",'[1]Дошкольное +'!G18)</f>
        <v>100</v>
      </c>
      <c r="G18" s="104">
        <f>IF(ISERR('[1]Дошкольное +'!H18),"-",'[1]Дошкольное +'!H18)</f>
        <v>100</v>
      </c>
      <c r="H18" s="104">
        <f>IF(ISERR('[1]Дошкольное +'!I18),"-",'[1]Дошкольное +'!I18)</f>
        <v>100</v>
      </c>
      <c r="I18" s="104">
        <f>IF(ISERR('[1]Дошкольное +'!J18),"-",'[1]Дошкольное +'!J18)</f>
        <v>100</v>
      </c>
      <c r="J18" s="104">
        <f>IF(ISERR('[1]Дошкольное +'!K18),"-",'[1]Дошкольное +'!K18)</f>
        <v>100</v>
      </c>
      <c r="K18" s="104">
        <f>IF(ISERR('[1]Дошкольное +'!L18),"-",'[1]Дошкольное +'!L18)</f>
        <v>100</v>
      </c>
      <c r="L18" s="104">
        <f>IF(ISERR('[1]Дошкольное +'!N18),"-",'[1]Дошкольное +'!N18)</f>
        <v>0</v>
      </c>
      <c r="M18" s="104" t="str">
        <f>IF(ISERR('[1]Дошкольное +'!O18),"-",'[1]Дошкольное +'!O18)</f>
        <v>-</v>
      </c>
    </row>
    <row r="19" spans="1:13" s="89" customFormat="1" hidden="1" x14ac:dyDescent="0.25">
      <c r="A19" s="13"/>
      <c r="B19" s="70" t="s">
        <v>1304</v>
      </c>
      <c r="C19" s="13" t="s">
        <v>8</v>
      </c>
      <c r="D19" s="104">
        <f>IF(ISERR('[1]Дошкольное +'!E19),"-",'[1]Дошкольное +'!E19)</f>
        <v>85.26587358463523</v>
      </c>
      <c r="E19" s="104">
        <f>IF(ISERR('[1]Дошкольное +'!F19),"-",'[1]Дошкольное +'!F19)</f>
        <v>90.55</v>
      </c>
      <c r="F19" s="104">
        <f>IF(ISERR('[1]Дошкольное +'!G19),"-",'[1]Дошкольное +'!G19)</f>
        <v>100</v>
      </c>
      <c r="G19" s="104">
        <f>IF(ISERR('[1]Дошкольное +'!H19),"-",'[1]Дошкольное +'!H19)</f>
        <v>100</v>
      </c>
      <c r="H19" s="104">
        <f>IF(ISERR('[1]Дошкольное +'!I19),"-",'[1]Дошкольное +'!I19)</f>
        <v>100</v>
      </c>
      <c r="I19" s="104">
        <f>IF(ISERR('[1]Дошкольное +'!J19),"-",'[1]Дошкольное +'!J19)</f>
        <v>100</v>
      </c>
      <c r="J19" s="104">
        <f>IF(ISERR('[1]Дошкольное +'!K19),"-",'[1]Дошкольное +'!K19)</f>
        <v>100</v>
      </c>
      <c r="K19" s="104">
        <f>IF(ISERR('[1]Дошкольное +'!L19),"-",'[1]Дошкольное +'!L19)</f>
        <v>100</v>
      </c>
      <c r="L19" s="104">
        <f>IF(ISERR('[1]Дошкольное +'!N19),"-",'[1]Дошкольное +'!N19)</f>
        <v>0</v>
      </c>
      <c r="M19" s="104" t="str">
        <f>IF(ISERR('[1]Дошкольное +'!O19),"-",'[1]Дошкольное +'!O19)</f>
        <v>-</v>
      </c>
    </row>
    <row r="20" spans="1:13" s="89" customFormat="1" ht="75" x14ac:dyDescent="0.25">
      <c r="A20" s="13" t="s">
        <v>15</v>
      </c>
      <c r="B20" s="70" t="s">
        <v>1604</v>
      </c>
      <c r="C20" s="13" t="s">
        <v>8</v>
      </c>
      <c r="D20" s="104">
        <f>IF(ISERR('[1]Дошкольное +'!E38),"-",'[1]Дошкольное +'!E38)</f>
        <v>50.054233729881034</v>
      </c>
      <c r="E20" s="104">
        <f>IF(ISERR('[1]Дошкольное +'!F38),"-",'[1]Дошкольное +'!F38)</f>
        <v>55.505400885835662</v>
      </c>
      <c r="F20" s="104">
        <f>IF(ISERR('[1]Дошкольное +'!G38),"-",'[1]Дошкольное +'!G38)</f>
        <v>58.441368433353787</v>
      </c>
      <c r="G20" s="104">
        <f>IF(ISERR('[1]Дошкольное +'!H38),"-",'[1]Дошкольное +'!H38)</f>
        <v>59.207269852100964</v>
      </c>
      <c r="H20" s="104"/>
      <c r="I20" s="104"/>
      <c r="J20" s="104"/>
      <c r="K20" s="104"/>
      <c r="L20" s="104"/>
      <c r="M20" s="104"/>
    </row>
    <row r="21" spans="1:13" s="89" customFormat="1" x14ac:dyDescent="0.25">
      <c r="A21" s="13"/>
      <c r="B21" s="70" t="s">
        <v>2362</v>
      </c>
      <c r="C21" s="13"/>
      <c r="D21" s="104"/>
      <c r="E21" s="104"/>
      <c r="F21" s="104"/>
      <c r="G21" s="104"/>
      <c r="H21" s="104"/>
      <c r="I21" s="104"/>
      <c r="J21" s="104"/>
      <c r="K21" s="104"/>
      <c r="L21" s="104"/>
      <c r="M21" s="104"/>
    </row>
    <row r="22" spans="1:13" s="89" customFormat="1" x14ac:dyDescent="0.25">
      <c r="A22" s="13"/>
      <c r="B22" s="70" t="s">
        <v>2363</v>
      </c>
      <c r="C22" s="13" t="s">
        <v>8</v>
      </c>
      <c r="D22" s="104"/>
      <c r="E22" s="104"/>
      <c r="F22" s="104"/>
      <c r="G22" s="104"/>
      <c r="H22" s="104">
        <f>IF(ISERR('[1]Дошкольное +'!I40),"-",'[1]Дошкольное +'!I40)</f>
        <v>61.585984324573538</v>
      </c>
      <c r="I22" s="104">
        <f>IF(ISERR('[1]Дошкольное +'!J40),"-",'[1]Дошкольное +'!J40)</f>
        <v>65.442601885392094</v>
      </c>
      <c r="J22" s="104">
        <f>IF(ISERR('[1]Дошкольное +'!K40),"-",'[1]Дошкольное +'!K40)</f>
        <v>66.808853256586843</v>
      </c>
      <c r="K22" s="104">
        <f>'Дошкольное +'!L40</f>
        <v>-7.7677320769132825</v>
      </c>
      <c r="L22" s="104">
        <f>'Дошкольное +'!M40</f>
        <v>81.757719714964367</v>
      </c>
      <c r="M22" s="104">
        <f>'Дошкольное +'!N40</f>
        <v>79.755501222493891</v>
      </c>
    </row>
    <row r="23" spans="1:13" s="89" customFormat="1" hidden="1" x14ac:dyDescent="0.25">
      <c r="A23" s="13"/>
      <c r="B23" s="70" t="s">
        <v>1303</v>
      </c>
      <c r="C23" s="13" t="s">
        <v>8</v>
      </c>
      <c r="D23" s="104">
        <f>IF(ISERR('[1]Дошкольное +'!E44),"-",'[1]Дошкольное +'!E44)</f>
        <v>50.031469931910507</v>
      </c>
      <c r="E23" s="104">
        <f>IF(ISERR('[1]Дошкольное +'!F44),"-",'[1]Дошкольное +'!F44)</f>
        <v>55.686308194468303</v>
      </c>
      <c r="F23" s="104">
        <f>IF(ISERR('[1]Дошкольное +'!G44),"-",'[1]Дошкольное +'!G44)</f>
        <v>58.706628573482114</v>
      </c>
      <c r="G23" s="104">
        <f>IF(ISERR('[1]Дошкольное +'!H44),"-",'[1]Дошкольное +'!H44)</f>
        <v>59.592088273271514</v>
      </c>
      <c r="H23" s="104">
        <f>IF(ISERR('[1]Дошкольное +'!I44),"-",'[1]Дошкольное +'!I44)</f>
        <v>62.205113425830625</v>
      </c>
      <c r="I23" s="104">
        <f>IF(ISERR('[1]Дошкольное +'!J44),"-",'[1]Дошкольное +'!J44)</f>
        <v>66.057941675001942</v>
      </c>
      <c r="J23" s="104">
        <f>IF(ISERR('[1]Дошкольное +'!K44),"-",'[1]Дошкольное +'!K44)</f>
        <v>66.808458323088274</v>
      </c>
      <c r="K23" s="104">
        <f>IF(ISERR('[1]Дошкольное +'!L44),"-",'[1]Дошкольное +'!L44)</f>
        <v>-4.6914012878356477</v>
      </c>
      <c r="L23" s="104">
        <f>'Дошкольное +'!M41</f>
        <v>42.922374429223744</v>
      </c>
      <c r="M23" s="104">
        <f>'Дошкольное +'!N41</f>
        <v>40.604751619870413</v>
      </c>
    </row>
    <row r="24" spans="1:13" s="89" customFormat="1" hidden="1" x14ac:dyDescent="0.25">
      <c r="A24" s="13"/>
      <c r="B24" s="70" t="s">
        <v>1304</v>
      </c>
      <c r="C24" s="13" t="s">
        <v>8</v>
      </c>
      <c r="D24" s="104">
        <f>IF(ISERR('[1]Дошкольное +'!E48),"-",'[1]Дошкольное +'!E48)</f>
        <v>50.306618735462038</v>
      </c>
      <c r="E24" s="104">
        <f>IF(ISERR('[1]Дошкольное +'!F48),"-",'[1]Дошкольное +'!F48)</f>
        <v>53.40228245363766</v>
      </c>
      <c r="F24" s="104">
        <f>IF(ISERR('[1]Дошкольное +'!G48),"-",'[1]Дошкольное +'!G48)</f>
        <v>55.315444610443841</v>
      </c>
      <c r="G24" s="104">
        <f>IF(ISERR('[1]Дошкольное +'!H48),"-",'[1]Дошкольное +'!H48)</f>
        <v>54.613606109437399</v>
      </c>
      <c r="H24" s="104">
        <f>IF(ISERR('[1]Дошкольное +'!I48),"-",'[1]Дошкольное +'!I48)</f>
        <v>54.246269697392279</v>
      </c>
      <c r="I24" s="104">
        <f>IF(ISERR('[1]Дошкольное +'!J48),"-",'[1]Дошкольное +'!J48)</f>
        <v>57.880014722119988</v>
      </c>
      <c r="J24" s="104">
        <f>IF(ISERR('[1]Дошкольное +'!K48),"-",'[1]Дошкольное +'!K48)</f>
        <v>66.814017039061241</v>
      </c>
      <c r="K24" s="104">
        <f>IF(ISERR('[1]Дошкольное +'!L48),"-",'[1]Дошкольное +'!L48)</f>
        <v>-103.97260273972601</v>
      </c>
      <c r="L24" s="104">
        <f>'Дошкольное +'!M42</f>
        <v>85.760781122864117</v>
      </c>
      <c r="M24" s="104">
        <f>'Дошкольное +'!N42</f>
        <v>76.852418860992046</v>
      </c>
    </row>
    <row r="25" spans="1:13" s="89" customFormat="1" x14ac:dyDescent="0.25">
      <c r="A25" s="13"/>
      <c r="B25" s="70" t="s">
        <v>2364</v>
      </c>
      <c r="C25" s="13" t="s">
        <v>8</v>
      </c>
      <c r="D25" s="104"/>
      <c r="E25" s="104"/>
      <c r="F25" s="104"/>
      <c r="G25" s="104"/>
      <c r="H25" s="104">
        <f>IF(ISERR('[1]Дошкольное +'!I41),"-",'[1]Дошкольное +'!I41)</f>
        <v>21.92172200493745</v>
      </c>
      <c r="I25" s="104">
        <f>IF(ISERR('[1]Дошкольное +'!J41),"-",'[1]Дошкольное +'!J41)</f>
        <v>28.389259779807919</v>
      </c>
      <c r="J25" s="104">
        <f>IF(ISERR('[1]Дошкольное +'!K41),"-",'[1]Дошкольное +'!K41)</f>
        <v>31.007168843927975</v>
      </c>
      <c r="K25" s="104">
        <f>IF(ISERR('[1]Дошкольное +'!L41),"-",'[1]Дошкольное +'!L41)</f>
        <v>33.013435700575819</v>
      </c>
      <c r="L25" s="104">
        <f>'Дошкольное +'!M41</f>
        <v>42.922374429223744</v>
      </c>
      <c r="M25" s="104">
        <f>'Дошкольное +'!N41</f>
        <v>40.604751619870413</v>
      </c>
    </row>
    <row r="26" spans="1:13" s="89" customFormat="1" hidden="1" x14ac:dyDescent="0.25">
      <c r="A26" s="13"/>
      <c r="B26" s="70" t="s">
        <v>1303</v>
      </c>
      <c r="C26" s="13" t="s">
        <v>8</v>
      </c>
      <c r="D26" s="104"/>
      <c r="E26" s="104"/>
      <c r="F26" s="104"/>
      <c r="G26" s="104"/>
      <c r="H26" s="104">
        <f>IF(ISERR('[1]Дошкольное +'!I45),"-",'[1]Дошкольное +'!I45)</f>
        <v>21.762411879406031</v>
      </c>
      <c r="I26" s="104">
        <f>IF(ISERR('[1]Дошкольное +'!J45),"-",'[1]Дошкольное +'!J45)</f>
        <v>28.41937116467388</v>
      </c>
      <c r="J26" s="104">
        <f>IF(ISERR('[1]Дошкольное +'!K45),"-",'[1]Дошкольное +'!K45)</f>
        <v>31.061469116845807</v>
      </c>
      <c r="K26" s="104">
        <f>IF(ISERR('[1]Дошкольное +'!L45),"-",'[1]Дошкольное +'!L45)</f>
        <v>35.111876075731494</v>
      </c>
      <c r="L26" s="104">
        <f>'Дошкольное +'!M44</f>
        <v>89.511111111111106</v>
      </c>
      <c r="M26" s="104">
        <f>'Дошкольное +'!N44</f>
        <v>86.347197106690771</v>
      </c>
    </row>
    <row r="27" spans="1:13" s="89" customFormat="1" hidden="1" x14ac:dyDescent="0.25">
      <c r="A27" s="13"/>
      <c r="B27" s="70" t="s">
        <v>1304</v>
      </c>
      <c r="C27" s="13" t="s">
        <v>8</v>
      </c>
      <c r="D27" s="104"/>
      <c r="E27" s="104"/>
      <c r="F27" s="104"/>
      <c r="G27" s="104"/>
      <c r="H27" s="104">
        <f>IF(ISERR('[1]Дошкольное +'!I49),"-",'[1]Дошкольное +'!I49)</f>
        <v>23.877025036818853</v>
      </c>
      <c r="I27" s="104">
        <f>IF(ISERR('[1]Дошкольное +'!J49),"-",'[1]Дошкольное +'!J49)</f>
        <v>28.01418439716312</v>
      </c>
      <c r="J27" s="104">
        <f>IF(ISERR('[1]Дошкольное +'!K49),"-",'[1]Дошкольное +'!K49)</f>
        <v>30.288461538461537</v>
      </c>
      <c r="K27" s="104">
        <f>IF(ISERR('[1]Дошкольное +'!L49),"-",'[1]Дошкольное +'!L49)</f>
        <v>30.368763557483732</v>
      </c>
      <c r="L27" s="104">
        <f>'Дошкольное +'!M45</f>
        <v>44.61538461538462</v>
      </c>
      <c r="M27" s="104">
        <f>'Дошкольное +'!N45</f>
        <v>40.467625899280577</v>
      </c>
    </row>
    <row r="28" spans="1:13" s="89" customFormat="1" x14ac:dyDescent="0.25">
      <c r="A28" s="13"/>
      <c r="B28" s="70" t="s">
        <v>2365</v>
      </c>
      <c r="C28" s="13" t="s">
        <v>8</v>
      </c>
      <c r="D28" s="104"/>
      <c r="E28" s="104"/>
      <c r="F28" s="104"/>
      <c r="G28" s="104"/>
      <c r="H28" s="104">
        <f>IF(ISERR('[1]Дошкольное +'!I42),"-",'[1]Дошкольное +'!I42)</f>
        <v>87.56854101709493</v>
      </c>
      <c r="I28" s="104">
        <f>IF(ISERR('[1]Дошкольное +'!J42),"-",'[1]Дошкольное +'!J42)</f>
        <v>87.992017248445322</v>
      </c>
      <c r="J28" s="104">
        <f>IF(ISERR('[1]Дошкольное +'!K42),"-",'[1]Дошкольное +'!K42)</f>
        <v>88.014984678893242</v>
      </c>
      <c r="K28" s="104">
        <f>IF(ISERR('[1]Дошкольное +'!L42),"-",'[1]Дошкольное +'!L42)</f>
        <v>-6.040404861590992</v>
      </c>
      <c r="L28" s="104">
        <f>'Дошкольное +'!M42</f>
        <v>85.760781122864117</v>
      </c>
      <c r="M28" s="104">
        <f>'Дошкольное +'!N42</f>
        <v>76.852418860992046</v>
      </c>
    </row>
    <row r="29" spans="1:13" s="89" customFormat="1" hidden="1" x14ac:dyDescent="0.25">
      <c r="A29" s="13"/>
      <c r="B29" s="70" t="s">
        <v>1303</v>
      </c>
      <c r="C29" s="13" t="s">
        <v>8</v>
      </c>
      <c r="D29" s="104"/>
      <c r="E29" s="104"/>
      <c r="F29" s="104"/>
      <c r="G29" s="104"/>
      <c r="H29" s="104">
        <f>IF(ISERR('[1]Дошкольное +'!I46),"-",'[1]Дошкольное +'!I46)</f>
        <v>88.838585935294176</v>
      </c>
      <c r="I29" s="104">
        <f>IF(ISERR('[1]Дошкольное +'!J46),"-",'[1]Дошкольное +'!J46)</f>
        <v>88.987111141102631</v>
      </c>
      <c r="J29" s="104">
        <f>IF(ISERR('[1]Дошкольное +'!K46),"-",'[1]Дошкольное +'!K46)</f>
        <v>88.011320791671977</v>
      </c>
      <c r="K29" s="104">
        <f>IF(ISERR('[1]Дошкольное +'!L46),"-",'[1]Дошкольное +'!L46)</f>
        <v>-3.7035454933788978</v>
      </c>
      <c r="L29" s="104">
        <f>IF(ISERR('[1]Дошкольное +'!N46),"-",'[1]Дошкольное +'!N46)</f>
        <v>0</v>
      </c>
      <c r="M29" s="104" t="str">
        <f>IF(ISERR('[1]Дошкольное +'!O46),"-",'[1]Дошкольное +'!O46)</f>
        <v>-</v>
      </c>
    </row>
    <row r="30" spans="1:13" s="89" customFormat="1" hidden="1" x14ac:dyDescent="0.25">
      <c r="A30" s="13"/>
      <c r="B30" s="70" t="s">
        <v>1304</v>
      </c>
      <c r="C30" s="13" t="s">
        <v>8</v>
      </c>
      <c r="D30" s="104"/>
      <c r="E30" s="104"/>
      <c r="F30" s="104"/>
      <c r="G30" s="104"/>
      <c r="H30" s="104">
        <f>IF(ISERR('[1]Дошкольное +'!I50),"-",'[1]Дошкольное +'!I50)</f>
        <v>72.913155825188184</v>
      </c>
      <c r="I30" s="104">
        <f>IF(ISERR('[1]Дошкольное +'!J50),"-",'[1]Дошкольное +'!J50)</f>
        <v>75.860853214243747</v>
      </c>
      <c r="J30" s="104">
        <f>IF(ISERR('[1]Дошкольное +'!K50),"-",'[1]Дошкольное +'!K50)</f>
        <v>88.062547673531654</v>
      </c>
      <c r="K30" s="104">
        <f>IF(ISERR('[1]Дошкольное +'!L50),"-",'[1]Дошкольное +'!L50)</f>
        <v>-51.973131821998322</v>
      </c>
      <c r="L30" s="104">
        <f>IF(ISERR('[1]Дошкольное +'!N50),"-",'[1]Дошкольное +'!N50)</f>
        <v>0</v>
      </c>
      <c r="M30" s="104" t="str">
        <f>IF(ISERR('[1]Дошкольное +'!O50),"-",'[1]Дошкольное +'!O50)</f>
        <v>-</v>
      </c>
    </row>
    <row r="31" spans="1:13" s="89" customFormat="1" x14ac:dyDescent="0.25">
      <c r="A31" s="13"/>
      <c r="B31" s="70" t="s">
        <v>2366</v>
      </c>
      <c r="C31" s="13"/>
      <c r="D31" s="104"/>
      <c r="E31" s="104"/>
      <c r="F31" s="104"/>
      <c r="G31" s="104"/>
      <c r="H31" s="104"/>
      <c r="I31" s="104"/>
      <c r="J31" s="104"/>
      <c r="K31" s="104"/>
      <c r="L31" s="104"/>
      <c r="M31" s="104"/>
    </row>
    <row r="32" spans="1:13" s="89" customFormat="1" x14ac:dyDescent="0.25">
      <c r="A32" s="13"/>
      <c r="B32" s="70" t="s">
        <v>2363</v>
      </c>
      <c r="C32" s="13" t="s">
        <v>8</v>
      </c>
      <c r="D32" s="104"/>
      <c r="E32" s="104"/>
      <c r="F32" s="104"/>
      <c r="G32" s="104"/>
      <c r="H32" s="104">
        <f>IF(ISERR('[1]Дошкольное +'!I44),"-",'[1]Дошкольное +'!I44)</f>
        <v>62.205113425830625</v>
      </c>
      <c r="I32" s="104">
        <f>IF(ISERR('[1]Дошкольное +'!J44),"-",'[1]Дошкольное +'!J44)</f>
        <v>66.057941675001942</v>
      </c>
      <c r="J32" s="104">
        <f>IF(ISERR('[1]Дошкольное +'!K44),"-",'[1]Дошкольное +'!K44)</f>
        <v>66.808458323088274</v>
      </c>
      <c r="K32" s="104">
        <f>IF(ISERR('[1]Дошкольное +'!L44),"-",'[1]Дошкольное +'!L44)</f>
        <v>-4.6914012878356477</v>
      </c>
      <c r="L32" s="104">
        <f>'Дошкольное +'!M44</f>
        <v>89.511111111111106</v>
      </c>
      <c r="M32" s="104">
        <f>'Дошкольное +'!N44</f>
        <v>86.347197106690771</v>
      </c>
    </row>
    <row r="33" spans="1:13" s="89" customFormat="1" x14ac:dyDescent="0.25">
      <c r="A33" s="13"/>
      <c r="B33" s="70" t="s">
        <v>2364</v>
      </c>
      <c r="C33" s="13" t="s">
        <v>8</v>
      </c>
      <c r="D33" s="104"/>
      <c r="E33" s="104"/>
      <c r="F33" s="104"/>
      <c r="G33" s="104"/>
      <c r="H33" s="104">
        <f>IF(ISERR('[1]Дошкольное +'!I45),"-",'[1]Дошкольное +'!I45)</f>
        <v>21.762411879406031</v>
      </c>
      <c r="I33" s="104">
        <f>IF(ISERR('[1]Дошкольное +'!J45),"-",'[1]Дошкольное +'!J45)</f>
        <v>28.41937116467388</v>
      </c>
      <c r="J33" s="104">
        <f>IF(ISERR('[1]Дошкольное +'!K45),"-",'[1]Дошкольное +'!K45)</f>
        <v>31.061469116845807</v>
      </c>
      <c r="K33" s="104">
        <f>IF(ISERR('[1]Дошкольное +'!L45),"-",'[1]Дошкольное +'!L45)</f>
        <v>35.111876075731494</v>
      </c>
      <c r="L33" s="104">
        <f>'Дошкольное +'!M45</f>
        <v>44.61538461538462</v>
      </c>
      <c r="M33" s="104">
        <f>'Дошкольное +'!N45</f>
        <v>40.467625899280577</v>
      </c>
    </row>
    <row r="34" spans="1:13" s="89" customFormat="1" x14ac:dyDescent="0.25">
      <c r="A34" s="13"/>
      <c r="B34" s="70" t="s">
        <v>2365</v>
      </c>
      <c r="C34" s="13" t="s">
        <v>8</v>
      </c>
      <c r="D34" s="104"/>
      <c r="E34" s="104"/>
      <c r="F34" s="104"/>
      <c r="G34" s="104"/>
      <c r="H34" s="104">
        <f>IF(ISERR('[1]Дошкольное +'!I46),"-",'[1]Дошкольное +'!I46)</f>
        <v>88.838585935294176</v>
      </c>
      <c r="I34" s="104">
        <f>IF(ISERR('[1]Дошкольное +'!J46),"-",'[1]Дошкольное +'!J46)</f>
        <v>88.987111141102631</v>
      </c>
      <c r="J34" s="104">
        <f>IF(ISERR('[1]Дошкольное +'!K46),"-",'[1]Дошкольное +'!K46)</f>
        <v>88.011320791671977</v>
      </c>
      <c r="K34" s="104">
        <f>IF(ISERR('[1]Дошкольное +'!L46),"-",'[1]Дошкольное +'!L46)</f>
        <v>-3.7035454933788978</v>
      </c>
      <c r="L34" s="104">
        <f>'Дошкольное +'!M46</f>
        <v>101.32231404958678</v>
      </c>
      <c r="M34" s="104">
        <f>'Дошкольное +'!N46</f>
        <v>82.207207207207205</v>
      </c>
    </row>
    <row r="35" spans="1:13" s="89" customFormat="1" x14ac:dyDescent="0.25">
      <c r="A35" s="13"/>
      <c r="B35" s="70" t="s">
        <v>2367</v>
      </c>
      <c r="C35" s="13"/>
      <c r="D35" s="104"/>
      <c r="E35" s="104"/>
      <c r="F35" s="104"/>
      <c r="G35" s="104"/>
      <c r="H35" s="104"/>
      <c r="I35" s="104"/>
      <c r="J35" s="104"/>
      <c r="K35" s="104"/>
      <c r="L35" s="104"/>
      <c r="M35" s="104"/>
    </row>
    <row r="36" spans="1:13" s="89" customFormat="1" x14ac:dyDescent="0.25">
      <c r="A36" s="13"/>
      <c r="B36" s="70" t="s">
        <v>2363</v>
      </c>
      <c r="C36" s="13" t="s">
        <v>8</v>
      </c>
      <c r="D36" s="104"/>
      <c r="E36" s="104"/>
      <c r="F36" s="104"/>
      <c r="G36" s="104"/>
      <c r="H36" s="104">
        <f>IF(ISERR('[1]Дошкольное +'!I48),"-",'[1]Дошкольное +'!I48)</f>
        <v>54.246269697392279</v>
      </c>
      <c r="I36" s="104">
        <f>IF(ISERR('[1]Дошкольное +'!J48),"-",'[1]Дошкольное +'!J48)</f>
        <v>57.880014722119988</v>
      </c>
      <c r="J36" s="104">
        <f>IF(ISERR('[1]Дошкольное +'!K48),"-",'[1]Дошкольное +'!K48)</f>
        <v>66.814017039061241</v>
      </c>
      <c r="K36" s="104">
        <f>'Дошкольное +'!L48</f>
        <v>-103.97260273972601</v>
      </c>
      <c r="L36" s="104">
        <f>'Дошкольное +'!M48</f>
        <v>72.857142857142847</v>
      </c>
      <c r="M36" s="104">
        <f>'Дошкольное +'!N48</f>
        <v>74.531422271223818</v>
      </c>
    </row>
    <row r="37" spans="1:13" s="89" customFormat="1" x14ac:dyDescent="0.25">
      <c r="A37" s="13"/>
      <c r="B37" s="70" t="s">
        <v>2364</v>
      </c>
      <c r="C37" s="13" t="s">
        <v>8</v>
      </c>
      <c r="D37" s="104"/>
      <c r="E37" s="104"/>
      <c r="F37" s="104"/>
      <c r="G37" s="104"/>
      <c r="H37" s="104">
        <f>IF(ISERR('[1]Дошкольное +'!I49),"-",'[1]Дошкольное +'!I49)</f>
        <v>23.877025036818853</v>
      </c>
      <c r="I37" s="104">
        <f>IF(ISERR('[1]Дошкольное +'!J49),"-",'[1]Дошкольное +'!J49)</f>
        <v>28.01418439716312</v>
      </c>
      <c r="J37" s="104">
        <f>IF(ISERR('[1]Дошкольное +'!K49),"-",'[1]Дошкольное +'!K49)</f>
        <v>30.288461538461537</v>
      </c>
      <c r="K37" s="104">
        <f>IF(ISERR('[1]Дошкольное +'!L49),"-",'[1]Дошкольное +'!L49)</f>
        <v>30.368763557483732</v>
      </c>
      <c r="L37" s="104">
        <f>'Дошкольное +'!M49</f>
        <v>40.449438202247187</v>
      </c>
      <c r="M37" s="104">
        <f>'Дошкольное +'!N49</f>
        <v>40.810810810810807</v>
      </c>
    </row>
    <row r="38" spans="1:13" s="89" customFormat="1" x14ac:dyDescent="0.25">
      <c r="A38" s="13"/>
      <c r="B38" s="70" t="s">
        <v>2365</v>
      </c>
      <c r="C38" s="13" t="s">
        <v>8</v>
      </c>
      <c r="D38" s="104"/>
      <c r="E38" s="104"/>
      <c r="F38" s="104"/>
      <c r="G38" s="104"/>
      <c r="H38" s="104">
        <f>IF(ISERR('[1]Дошкольное +'!I50),"-",'[1]Дошкольное +'!I50)</f>
        <v>72.913155825188184</v>
      </c>
      <c r="I38" s="104">
        <f>IF(ISERR('[1]Дошкольное +'!J50),"-",'[1]Дошкольное +'!J50)</f>
        <v>75.860853214243747</v>
      </c>
      <c r="J38" s="104">
        <f>IF(ISERR('[1]Дошкольное +'!K50),"-",'[1]Дошкольное +'!K50)</f>
        <v>88.062547673531654</v>
      </c>
      <c r="K38" s="104">
        <f>IF(ISERR('[1]Дошкольное +'!L50),"-",'[1]Дошкольное +'!L50)</f>
        <v>-51.973131821998322</v>
      </c>
      <c r="L38" s="104">
        <f>'Дошкольное +'!M50</f>
        <v>70.673076923076934</v>
      </c>
      <c r="M38" s="104">
        <f>'Дошкольное +'!N50</f>
        <v>73.632538569424966</v>
      </c>
    </row>
    <row r="39" spans="1:13" s="89" customFormat="1" ht="75" x14ac:dyDescent="0.25">
      <c r="A39" s="13" t="s">
        <v>20</v>
      </c>
      <c r="B39" s="70" t="s">
        <v>1605</v>
      </c>
      <c r="C39" s="13" t="s">
        <v>8</v>
      </c>
      <c r="D39" s="104">
        <f>IF(ISERR('[1]Дошкольное +'!E75),"-",'[1]Дошкольное +'!E75)</f>
        <v>0.1165053068167255</v>
      </c>
      <c r="E39" s="104">
        <f>IF(ISERR('[1]Дошкольное +'!F75),"-",'[1]Дошкольное +'!F75)</f>
        <v>0.34504167981353501</v>
      </c>
      <c r="F39" s="104">
        <f>IF(ISERR('[1]Дошкольное +'!G75),"-",'[1]Дошкольное +'!G75)</f>
        <v>0.11889147850045764</v>
      </c>
      <c r="G39" s="104">
        <f>IF(ISERR('[1]Дошкольное +'!H75),"-",'[1]Дошкольное +'!H75)</f>
        <v>8.9638518952144003E-2</v>
      </c>
      <c r="H39" s="104">
        <f>IF(ISERR('[1]Дошкольное +'!I75),"-",'[1]Дошкольное +'!I75)</f>
        <v>0.62267158697585945</v>
      </c>
      <c r="I39" s="104">
        <f>IF(ISERR('[1]Дошкольное +'!J75),"-",'[1]Дошкольное +'!J75)</f>
        <v>0.54420502056637943</v>
      </c>
      <c r="J39" s="104">
        <f>IF(ISERR('[1]Дошкольное +'!K75),"-",'[1]Дошкольное +'!K75)</f>
        <v>0.73249741446361871</v>
      </c>
      <c r="K39" s="104">
        <f>IF(ISERR('[1]Дошкольное +'!L75),"-",'[1]Дошкольное +'!L75)</f>
        <v>0.54644808743169404</v>
      </c>
      <c r="L39" s="104">
        <f>'Дошкольное +'!M75</f>
        <v>0.63916327716443933</v>
      </c>
      <c r="M39" s="104">
        <f>'Дошкольное +'!N75</f>
        <v>0.73574494175352545</v>
      </c>
    </row>
    <row r="40" spans="1:13" s="89" customFormat="1" ht="45" x14ac:dyDescent="0.25">
      <c r="A40" s="13" t="s">
        <v>1606</v>
      </c>
      <c r="B40" s="70" t="s">
        <v>1607</v>
      </c>
      <c r="C40" s="13"/>
      <c r="D40" s="104"/>
      <c r="E40" s="104"/>
      <c r="F40" s="104"/>
      <c r="G40" s="104"/>
      <c r="H40" s="104"/>
      <c r="I40" s="104"/>
      <c r="J40" s="104"/>
      <c r="K40" s="104"/>
      <c r="L40" s="104"/>
      <c r="M40" s="104"/>
    </row>
    <row r="41" spans="1:13" s="89" customFormat="1" x14ac:dyDescent="0.25">
      <c r="A41" s="13"/>
      <c r="B41" s="70" t="s">
        <v>2362</v>
      </c>
      <c r="C41" s="13"/>
      <c r="D41" s="104"/>
      <c r="E41" s="104"/>
      <c r="F41" s="104"/>
      <c r="G41" s="104"/>
      <c r="H41" s="104"/>
      <c r="I41" s="104"/>
      <c r="J41" s="104"/>
      <c r="K41" s="104"/>
      <c r="L41" s="104"/>
      <c r="M41" s="104"/>
    </row>
    <row r="42" spans="1:13" s="89" customFormat="1" x14ac:dyDescent="0.25">
      <c r="A42" s="13"/>
      <c r="B42" s="70" t="s">
        <v>2487</v>
      </c>
      <c r="C42" s="13" t="s">
        <v>950</v>
      </c>
      <c r="D42" s="104"/>
      <c r="E42" s="104"/>
      <c r="F42" s="104"/>
      <c r="G42" s="104"/>
      <c r="H42" s="104">
        <f>IF(ISERR('[1]Дошкольное +'!I80),"-",'[1]Дошкольное +'!I80)</f>
        <v>12.167130919220055</v>
      </c>
      <c r="I42" s="104">
        <f>IF(ISERR('[1]Дошкольное +'!J80),"-",'[1]Дошкольное +'!J80)</f>
        <v>11.650753768844222</v>
      </c>
      <c r="J42" s="104">
        <f>IF(ISERR('[1]Дошкольное +'!K80),"-",'[1]Дошкольное +'!K80)</f>
        <v>11.061068702290076</v>
      </c>
      <c r="K42" s="104">
        <f>IF(ISERR('[1]Дошкольное +'!L80),"-",'[1]Дошкольное +'!L80)</f>
        <v>9.5</v>
      </c>
      <c r="L42" s="104">
        <f>'Дошкольное +'!M80</f>
        <v>6.75</v>
      </c>
      <c r="M42" s="104">
        <f>'Дошкольное +'!N80</f>
        <v>6.5</v>
      </c>
    </row>
    <row r="43" spans="1:13" s="89" customFormat="1" x14ac:dyDescent="0.25">
      <c r="A43" s="13"/>
      <c r="B43" s="70" t="s">
        <v>2488</v>
      </c>
      <c r="C43" s="13" t="s">
        <v>950</v>
      </c>
      <c r="D43" s="104"/>
      <c r="E43" s="104"/>
      <c r="F43" s="104"/>
      <c r="G43" s="104"/>
      <c r="H43" s="104">
        <f>IF(ISERR('[1]Дошкольное +'!I81),"-",'[1]Дошкольное +'!I81)</f>
        <v>25.903384011770477</v>
      </c>
      <c r="I43" s="104">
        <f>IF(ISERR('[1]Дошкольное +'!J81),"-",'[1]Дошкольное +'!J81)</f>
        <v>27.142857142857142</v>
      </c>
      <c r="J43" s="104">
        <f>IF(ISERR('[1]Дошкольное +'!K81),"-",'[1]Дошкольное +'!K81)</f>
        <v>26.988400789733465</v>
      </c>
      <c r="K43" s="104">
        <f>IF(ISERR('[1]Дошкольное +'!L81),"-",'[1]Дошкольное +'!L81)</f>
        <v>21.024390243902438</v>
      </c>
      <c r="L43" s="104">
        <f>IF(ISERR('[1]Дошкольное +'!M81),"-",'[1]Дошкольное +'!M81)</f>
        <v>20.21311475409836</v>
      </c>
      <c r="M43" s="104">
        <f>'Дошкольное +'!N81</f>
        <v>18.589041095890412</v>
      </c>
    </row>
    <row r="44" spans="1:13" s="89" customFormat="1" x14ac:dyDescent="0.25">
      <c r="A44" s="13"/>
      <c r="B44" s="70" t="s">
        <v>2489</v>
      </c>
      <c r="C44" s="13" t="s">
        <v>950</v>
      </c>
      <c r="D44" s="104"/>
      <c r="E44" s="104"/>
      <c r="F44" s="104"/>
      <c r="G44" s="104"/>
      <c r="H44" s="104">
        <f>IF(ISERR('[1]Дошкольное +'!I82),"-",'[1]Дошкольное +'!I82)</f>
        <v>23.923076923076923</v>
      </c>
      <c r="I44" s="104">
        <f>IF(ISERR('[1]Дошкольное +'!J82),"-",'[1]Дошкольное +'!J82)</f>
        <v>25</v>
      </c>
      <c r="J44" s="104">
        <f>IF(ISERR('[1]Дошкольное +'!K82),"-",'[1]Дошкольное +'!K82)</f>
        <v>27.708333333333332</v>
      </c>
      <c r="K44" s="104" t="str">
        <f>IF(ISERR('[1]Дошкольное +'!L82),"-",'[1]Дошкольное +'!L82)</f>
        <v>-</v>
      </c>
      <c r="L44" s="104" t="str">
        <f>IF(ISERR('[1]Дошкольное +'!M82),"-",'[1]Дошкольное +'!M82)</f>
        <v>-</v>
      </c>
      <c r="M44" s="104" t="s">
        <v>1412</v>
      </c>
    </row>
    <row r="45" spans="1:13" s="89" customFormat="1" x14ac:dyDescent="0.25">
      <c r="A45" s="13"/>
      <c r="B45" s="70" t="s">
        <v>2490</v>
      </c>
      <c r="C45" s="13" t="s">
        <v>950</v>
      </c>
      <c r="D45" s="104"/>
      <c r="E45" s="104"/>
      <c r="F45" s="104"/>
      <c r="G45" s="104"/>
      <c r="H45" s="104">
        <f>IF(ISERR('[1]Дошкольное +'!I83),"-",'[1]Дошкольное +'!I83)</f>
        <v>20.701923076923077</v>
      </c>
      <c r="I45" s="104">
        <f>IF(ISERR('[1]Дошкольное +'!J83),"-",'[1]Дошкольное +'!J83)</f>
        <v>15.890909090909091</v>
      </c>
      <c r="J45" s="104">
        <f>IF(ISERR('[1]Дошкольное +'!K83),"-",'[1]Дошкольное +'!K83)</f>
        <v>15.708955223880597</v>
      </c>
      <c r="K45" s="104">
        <f>IF(ISERR('[1]Дошкольное +'!L83),"-",'[1]Дошкольное +'!L83)</f>
        <v>17.399999999999999</v>
      </c>
      <c r="L45" s="104">
        <f>IF(ISERR('[1]Дошкольное +'!M83),"-",'[1]Дошкольное +'!M83)</f>
        <v>16.333333333333332</v>
      </c>
      <c r="M45" s="104">
        <f>'Дошкольное +'!N83</f>
        <v>16.533333333333335</v>
      </c>
    </row>
    <row r="46" spans="1:13" s="89" customFormat="1" x14ac:dyDescent="0.25">
      <c r="A46" s="13"/>
      <c r="B46" s="70" t="s">
        <v>2491</v>
      </c>
      <c r="C46" s="13" t="s">
        <v>950</v>
      </c>
      <c r="D46" s="104"/>
      <c r="E46" s="104"/>
      <c r="F46" s="104"/>
      <c r="G46" s="104"/>
      <c r="H46" s="104">
        <f>IF(ISERR('[1]Дошкольное +'!I84),"-",'[1]Дошкольное +'!I84)</f>
        <v>12</v>
      </c>
      <c r="I46" s="104">
        <f>IF(ISERR('[1]Дошкольное +'!J84),"-",'[1]Дошкольное +'!J84)</f>
        <v>16</v>
      </c>
      <c r="J46" s="104">
        <f>IF(ISERR('[1]Дошкольное +'!K84),"-",'[1]Дошкольное +'!K84)</f>
        <v>16</v>
      </c>
      <c r="K46" s="104" t="str">
        <f>IF(ISERR('[1]Дошкольное +'!L84),"-",'[1]Дошкольное +'!L84)</f>
        <v>-</v>
      </c>
      <c r="L46" s="104" t="str">
        <f>IF(ISERR('[1]Дошкольное +'!M84),"-",'[1]Дошкольное +'!M84)</f>
        <v>-</v>
      </c>
      <c r="M46" s="104" t="s">
        <v>1412</v>
      </c>
    </row>
    <row r="47" spans="1:13" s="89" customFormat="1" x14ac:dyDescent="0.25">
      <c r="A47" s="13"/>
      <c r="B47" s="70" t="s">
        <v>2366</v>
      </c>
      <c r="C47" s="13"/>
      <c r="D47" s="104"/>
      <c r="E47" s="104"/>
      <c r="F47" s="104"/>
      <c r="G47" s="104"/>
      <c r="H47" s="104"/>
      <c r="I47" s="104"/>
      <c r="J47" s="104"/>
      <c r="K47" s="104"/>
      <c r="L47" s="104"/>
      <c r="M47" s="104"/>
    </row>
    <row r="48" spans="1:13" s="89" customFormat="1" x14ac:dyDescent="0.25">
      <c r="A48" s="13"/>
      <c r="B48" s="70" t="s">
        <v>2487</v>
      </c>
      <c r="C48" s="13" t="s">
        <v>950</v>
      </c>
      <c r="D48" s="104"/>
      <c r="E48" s="104"/>
      <c r="F48" s="104"/>
      <c r="G48" s="104"/>
      <c r="H48" s="104"/>
      <c r="I48" s="104">
        <f>IF(ISERR('[1]Дошкольное +'!J86),"-",'[1]Дошкольное +'!J86)</f>
        <v>11.687817258883248</v>
      </c>
      <c r="J48" s="104">
        <f>IF(ISERR('[1]Дошкольное +'!K86),"-",'[1]Дошкольное +'!K86)</f>
        <v>11.095115681233933</v>
      </c>
      <c r="K48" s="104">
        <f>IF(ISERR('[1]Дошкольное +'!L86),"-",'[1]Дошкольное +'!L86)</f>
        <v>9.5</v>
      </c>
      <c r="L48" s="104">
        <f>IF(ISERR('[1]Дошкольное +'!M86),"-",'[1]Дошкольное +'!M86)</f>
        <v>6.75</v>
      </c>
      <c r="M48" s="104">
        <f>'Дошкольное +'!N86</f>
        <v>6.5</v>
      </c>
    </row>
    <row r="49" spans="1:13" s="89" customFormat="1" x14ac:dyDescent="0.25">
      <c r="A49" s="13"/>
      <c r="B49" s="70" t="s">
        <v>2488</v>
      </c>
      <c r="C49" s="13" t="s">
        <v>950</v>
      </c>
      <c r="D49" s="104"/>
      <c r="E49" s="104"/>
      <c r="F49" s="104"/>
      <c r="G49" s="104"/>
      <c r="H49" s="104"/>
      <c r="I49" s="104">
        <f>IF(ISERR('[1]Дошкольное +'!J87),"-",'[1]Дошкольное +'!J87)</f>
        <v>27.732262382864793</v>
      </c>
      <c r="J49" s="104">
        <f>IF(ISERR('[1]Дошкольное +'!K87),"-",'[1]Дошкольное +'!K87)</f>
        <v>27.591143710948113</v>
      </c>
      <c r="K49" s="104">
        <f>IF(ISERR('[1]Дошкольное +'!L87),"-",'[1]Дошкольное +'!L87)</f>
        <v>23.536585365853657</v>
      </c>
      <c r="L49" s="104">
        <f>IF(ISERR('[1]Дошкольное +'!M87),"-",'[1]Дошкольное +'!M87)</f>
        <v>22.035714285714285</v>
      </c>
      <c r="M49" s="104">
        <f>'Дошкольное +'!N87</f>
        <v>21.151515151515152</v>
      </c>
    </row>
    <row r="50" spans="1:13" s="89" customFormat="1" x14ac:dyDescent="0.25">
      <c r="A50" s="13"/>
      <c r="B50" s="70" t="s">
        <v>2489</v>
      </c>
      <c r="C50" s="13" t="s">
        <v>950</v>
      </c>
      <c r="D50" s="104"/>
      <c r="E50" s="104"/>
      <c r="F50" s="104"/>
      <c r="G50" s="104"/>
      <c r="H50" s="104"/>
      <c r="I50" s="104">
        <f>IF(ISERR('[1]Дошкольное +'!J88),"-",'[1]Дошкольное +'!J88)</f>
        <v>25</v>
      </c>
      <c r="J50" s="104">
        <f>IF(ISERR('[1]Дошкольное +'!K88),"-",'[1]Дошкольное +'!K88)</f>
        <v>29.75</v>
      </c>
      <c r="K50" s="104" t="str">
        <f>IF(ISERR('[1]Дошкольное +'!L88),"-",'[1]Дошкольное +'!L88)</f>
        <v>-</v>
      </c>
      <c r="L50" s="104" t="str">
        <f>IF(ISERR('[1]Дошкольное +'!M88),"-",'[1]Дошкольное +'!M88)</f>
        <v>-</v>
      </c>
      <c r="M50" s="104" t="s">
        <v>1412</v>
      </c>
    </row>
    <row r="51" spans="1:13" s="89" customFormat="1" x14ac:dyDescent="0.25">
      <c r="A51" s="13"/>
      <c r="B51" s="70" t="s">
        <v>2490</v>
      </c>
      <c r="C51" s="13" t="s">
        <v>950</v>
      </c>
      <c r="D51" s="104"/>
      <c r="E51" s="104"/>
      <c r="F51" s="104"/>
      <c r="G51" s="104"/>
      <c r="H51" s="104"/>
      <c r="I51" s="104">
        <f>IF(ISERR('[1]Дошкольное +'!J89),"-",'[1]Дошкольное +'!J89)</f>
        <v>15.826530612244898</v>
      </c>
      <c r="J51" s="104">
        <f>IF(ISERR('[1]Дошкольное +'!K89),"-",'[1]Дошкольное +'!K89)</f>
        <v>15.271929824561404</v>
      </c>
      <c r="K51" s="104">
        <f>IF(ISERR('[1]Дошкольное +'!L89),"-",'[1]Дошкольное +'!L89)</f>
        <v>17.399999999999999</v>
      </c>
      <c r="L51" s="104">
        <f>IF(ISERR('[1]Дошкольное +'!M89),"-",'[1]Дошкольное +'!M89)</f>
        <v>16.333333333333332</v>
      </c>
      <c r="M51" s="104">
        <f>'Дошкольное +'!N89</f>
        <v>16.5</v>
      </c>
    </row>
    <row r="52" spans="1:13" s="89" customFormat="1" x14ac:dyDescent="0.25">
      <c r="A52" s="13"/>
      <c r="B52" s="70" t="s">
        <v>2491</v>
      </c>
      <c r="C52" s="13" t="s">
        <v>950</v>
      </c>
      <c r="D52" s="104"/>
      <c r="E52" s="104"/>
      <c r="F52" s="104"/>
      <c r="G52" s="104"/>
      <c r="H52" s="104"/>
      <c r="I52" s="104" t="str">
        <f>IF(ISERR('[1]Дошкольное +'!J90),"-",'[1]Дошкольное +'!J90)</f>
        <v>-</v>
      </c>
      <c r="J52" s="104" t="str">
        <f>IF(ISERR('[1]Дошкольное +'!K90),"-",'[1]Дошкольное +'!K90)</f>
        <v>-</v>
      </c>
      <c r="K52" s="104" t="str">
        <f>IF(ISERR('[1]Дошкольное +'!L90),"-",'[1]Дошкольное +'!L90)</f>
        <v>-</v>
      </c>
      <c r="L52" s="104" t="str">
        <f>IF(ISERR('[1]Дошкольное +'!M90),"-",'[1]Дошкольное +'!M90)</f>
        <v>-</v>
      </c>
      <c r="M52" s="104" t="s">
        <v>1412</v>
      </c>
    </row>
    <row r="53" spans="1:13" s="89" customFormat="1" x14ac:dyDescent="0.25">
      <c r="A53" s="13"/>
      <c r="B53" s="70" t="s">
        <v>2367</v>
      </c>
      <c r="C53" s="13"/>
      <c r="D53" s="104"/>
      <c r="E53" s="104"/>
      <c r="F53" s="104"/>
      <c r="G53" s="104"/>
      <c r="H53" s="104"/>
      <c r="I53" s="104"/>
      <c r="J53" s="104"/>
      <c r="K53" s="104"/>
      <c r="L53" s="104"/>
      <c r="M53" s="104"/>
    </row>
    <row r="54" spans="1:13" s="89" customFormat="1" x14ac:dyDescent="0.25">
      <c r="A54" s="13"/>
      <c r="B54" s="70" t="s">
        <v>2487</v>
      </c>
      <c r="C54" s="13" t="s">
        <v>950</v>
      </c>
      <c r="D54" s="104"/>
      <c r="E54" s="104"/>
      <c r="F54" s="104"/>
      <c r="G54" s="104"/>
      <c r="H54" s="104"/>
      <c r="I54" s="104">
        <f>IF(ISERR('[1]Дошкольное +'!J92),"-",'[1]Дошкольное +'!J92)</f>
        <v>8</v>
      </c>
      <c r="J54" s="104">
        <f>IF(ISERR('[1]Дошкольное +'!K92),"-",'[1]Дошкольное +'!K92)</f>
        <v>7.75</v>
      </c>
      <c r="K54" s="104" t="s">
        <v>1412</v>
      </c>
      <c r="L54" s="104" t="s">
        <v>1412</v>
      </c>
      <c r="M54" s="104" t="s">
        <v>1412</v>
      </c>
    </row>
    <row r="55" spans="1:13" s="89" customFormat="1" x14ac:dyDescent="0.25">
      <c r="A55" s="13"/>
      <c r="B55" s="70" t="s">
        <v>2488</v>
      </c>
      <c r="C55" s="13" t="s">
        <v>950</v>
      </c>
      <c r="D55" s="104"/>
      <c r="E55" s="104"/>
      <c r="F55" s="104"/>
      <c r="G55" s="104"/>
      <c r="H55" s="104"/>
      <c r="I55" s="104">
        <f>IF(ISERR('[1]Дошкольное +'!J93),"-",'[1]Дошкольное +'!J93)</f>
        <v>21.027777777777779</v>
      </c>
      <c r="J55" s="104">
        <f>IF(ISERR('[1]Дошкольное +'!K93),"-",'[1]Дошкольное +'!K93)</f>
        <v>21.008086253369271</v>
      </c>
      <c r="K55" s="104">
        <f>'Дошкольное +'!L93</f>
        <v>18.512195121951219</v>
      </c>
      <c r="L55" s="104">
        <f>'Дошкольное +'!M93</f>
        <v>18.666666666666668</v>
      </c>
      <c r="M55" s="104">
        <f>'Дошкольное +'!N93</f>
        <v>16.475000000000001</v>
      </c>
    </row>
    <row r="56" spans="1:13" s="89" customFormat="1" x14ac:dyDescent="0.25">
      <c r="A56" s="13"/>
      <c r="B56" s="70" t="s">
        <v>2489</v>
      </c>
      <c r="C56" s="13" t="s">
        <v>950</v>
      </c>
      <c r="D56" s="104"/>
      <c r="E56" s="104"/>
      <c r="F56" s="104"/>
      <c r="G56" s="104"/>
      <c r="H56" s="104"/>
      <c r="I56" s="104" t="str">
        <f>IF(ISERR('[1]Дошкольное +'!J94),"-",'[1]Дошкольное +'!J94)</f>
        <v>-</v>
      </c>
      <c r="J56" s="104">
        <f>IF(ISERR('[1]Дошкольное +'!K94),"-",'[1]Дошкольное +'!K94)</f>
        <v>17.5</v>
      </c>
      <c r="K56" s="104" t="s">
        <v>1412</v>
      </c>
      <c r="L56" s="104" t="s">
        <v>1412</v>
      </c>
      <c r="M56" s="104" t="s">
        <v>1412</v>
      </c>
    </row>
    <row r="57" spans="1:13" s="89" customFormat="1" x14ac:dyDescent="0.25">
      <c r="A57" s="13"/>
      <c r="B57" s="70" t="s">
        <v>2490</v>
      </c>
      <c r="C57" s="13" t="s">
        <v>950</v>
      </c>
      <c r="D57" s="104"/>
      <c r="E57" s="104"/>
      <c r="F57" s="104"/>
      <c r="G57" s="104"/>
      <c r="H57" s="104"/>
      <c r="I57" s="104">
        <f>IF(ISERR('[1]Дошкольное +'!J95),"-",'[1]Дошкольное +'!J95)</f>
        <v>16.416666666666668</v>
      </c>
      <c r="J57" s="104">
        <f>IF(ISERR('[1]Дошкольное +'!K95),"-",'[1]Дошкольное +'!K95)</f>
        <v>18.2</v>
      </c>
      <c r="K57" s="104" t="s">
        <v>1412</v>
      </c>
      <c r="L57" s="104" t="s">
        <v>1412</v>
      </c>
      <c r="M57" s="104">
        <f>'Дошкольное +'!N95</f>
        <v>17</v>
      </c>
    </row>
    <row r="58" spans="1:13" s="89" customFormat="1" x14ac:dyDescent="0.25">
      <c r="A58" s="13"/>
      <c r="B58" s="70" t="s">
        <v>2491</v>
      </c>
      <c r="C58" s="13" t="s">
        <v>950</v>
      </c>
      <c r="D58" s="104"/>
      <c r="E58" s="104"/>
      <c r="F58" s="104"/>
      <c r="G58" s="104"/>
      <c r="H58" s="104"/>
      <c r="I58" s="104">
        <f>IF(ISERR('[1]Дошкольное +'!J96),"-",'[1]Дошкольное +'!J96)</f>
        <v>16</v>
      </c>
      <c r="J58" s="104">
        <f>IF(ISERR('[1]Дошкольное +'!K96),"-",'[1]Дошкольное +'!K96)</f>
        <v>16</v>
      </c>
      <c r="K58" s="104" t="s">
        <v>1412</v>
      </c>
      <c r="L58" s="104" t="s">
        <v>1412</v>
      </c>
      <c r="M58" s="104" t="s">
        <v>1412</v>
      </c>
    </row>
    <row r="59" spans="1:13" s="89" customFormat="1" ht="60" x14ac:dyDescent="0.25">
      <c r="A59" s="13" t="s">
        <v>1612</v>
      </c>
      <c r="B59" s="70" t="s">
        <v>1613</v>
      </c>
      <c r="C59" s="13"/>
      <c r="D59" s="104"/>
      <c r="E59" s="104"/>
      <c r="F59" s="104"/>
      <c r="G59" s="104"/>
      <c r="H59" s="104"/>
      <c r="I59" s="104"/>
      <c r="J59" s="104"/>
      <c r="K59" s="104"/>
      <c r="L59" s="104"/>
      <c r="M59" s="104"/>
    </row>
    <row r="60" spans="1:13" s="89" customFormat="1" x14ac:dyDescent="0.25">
      <c r="A60" s="13"/>
      <c r="B60" s="70" t="s">
        <v>2362</v>
      </c>
      <c r="C60" s="13"/>
      <c r="D60" s="104"/>
      <c r="E60" s="104"/>
      <c r="F60" s="104"/>
      <c r="G60" s="104"/>
      <c r="H60" s="104"/>
      <c r="I60" s="104"/>
      <c r="J60" s="104"/>
      <c r="K60" s="104"/>
      <c r="L60" s="104"/>
      <c r="M60" s="104"/>
    </row>
    <row r="61" spans="1:13" s="89" customFormat="1" x14ac:dyDescent="0.25">
      <c r="A61" s="13"/>
      <c r="B61" s="70" t="s">
        <v>2492</v>
      </c>
      <c r="C61" s="13" t="s">
        <v>950</v>
      </c>
      <c r="D61" s="104"/>
      <c r="E61" s="104"/>
      <c r="F61" s="104"/>
      <c r="G61" s="104"/>
      <c r="H61" s="104">
        <f>IF(ISERR('[1]Дошкольное +'!I125),"-",'[1]Дошкольное +'!I125)</f>
        <v>12.607142857142858</v>
      </c>
      <c r="I61" s="104">
        <f>IF(ISERR('[1]Дошкольное +'!J125),"-",'[1]Дошкольное +'!J125)</f>
        <v>12.21301775147929</v>
      </c>
      <c r="J61" s="104">
        <f>IF(ISERR('[1]Дошкольное +'!K125),"-",'[1]Дошкольное +'!K125)</f>
        <v>13.363636363636363</v>
      </c>
      <c r="K61" s="104" t="str">
        <f>IF(ISERR('[1]Дошкольное +'!L125),"-",'[1]Дошкольное +'!L125)</f>
        <v>-</v>
      </c>
      <c r="L61" s="104" t="str">
        <f>IF(ISERR('[1]Дошкольное +'!M125),"-",'[1]Дошкольное +'!M125)</f>
        <v>-</v>
      </c>
      <c r="M61" s="104" t="str">
        <f>IF(ISERR('[1]Дошкольное +'!N125),"-",'[1]Дошкольное +'!N125)</f>
        <v>-</v>
      </c>
    </row>
    <row r="62" spans="1:13" s="89" customFormat="1" x14ac:dyDescent="0.25">
      <c r="A62" s="13"/>
      <c r="B62" s="70" t="s">
        <v>2493</v>
      </c>
      <c r="C62" s="13" t="s">
        <v>950</v>
      </c>
      <c r="D62" s="104"/>
      <c r="E62" s="104"/>
      <c r="F62" s="104"/>
      <c r="G62" s="104"/>
      <c r="H62" s="104">
        <f>IF(ISERR('[1]Дошкольное +'!I126),"-",'[1]Дошкольное +'!I126)</f>
        <v>10.444444444444445</v>
      </c>
      <c r="I62" s="104">
        <f>IF(ISERR('[1]Дошкольное +'!J126),"-",'[1]Дошкольное +'!J126)</f>
        <v>10.333333333333334</v>
      </c>
      <c r="J62" s="104">
        <f>IF(ISERR('[1]Дошкольное +'!K126),"-",'[1]Дошкольное +'!K126)</f>
        <v>1</v>
      </c>
      <c r="K62" s="104" t="str">
        <f>IF(ISERR('[1]Дошкольное +'!L126),"-",'[1]Дошкольное +'!L126)</f>
        <v>-</v>
      </c>
      <c r="L62" s="104" t="str">
        <f>IF(ISERR('[1]Дошкольное +'!M126),"-",'[1]Дошкольное +'!M126)</f>
        <v>-</v>
      </c>
      <c r="M62" s="104" t="str">
        <f>IF(ISERR('[1]Дошкольное +'!N126),"-",'[1]Дошкольное +'!N126)</f>
        <v>-</v>
      </c>
    </row>
    <row r="63" spans="1:13" s="89" customFormat="1" x14ac:dyDescent="0.25">
      <c r="A63" s="13"/>
      <c r="B63" s="70" t="s">
        <v>2366</v>
      </c>
      <c r="C63" s="13"/>
      <c r="D63" s="104"/>
      <c r="E63" s="104"/>
      <c r="F63" s="104"/>
      <c r="G63" s="104"/>
      <c r="H63" s="104"/>
      <c r="I63" s="104"/>
      <c r="J63" s="104"/>
      <c r="K63" s="104"/>
      <c r="L63" s="104"/>
      <c r="M63" s="104"/>
    </row>
    <row r="64" spans="1:13" s="89" customFormat="1" x14ac:dyDescent="0.25">
      <c r="A64" s="13"/>
      <c r="B64" s="70" t="s">
        <v>2492</v>
      </c>
      <c r="C64" s="13" t="s">
        <v>950</v>
      </c>
      <c r="D64" s="104"/>
      <c r="E64" s="104"/>
      <c r="F64" s="104"/>
      <c r="G64" s="104"/>
      <c r="H64" s="104"/>
      <c r="I64" s="104">
        <f>IF(ISERR('[1]Дошкольное +'!J128),"-",'[1]Дошкольное +'!J128)</f>
        <v>12.193548387096774</v>
      </c>
      <c r="J64" s="104">
        <f>IF(ISERR('[1]Дошкольное +'!K128),"-",'[1]Дошкольное +'!K128)</f>
        <v>13.645669291338583</v>
      </c>
      <c r="K64" s="104" t="str">
        <f>IF(ISERR('[1]Дошкольное +'!L128),"-",'[1]Дошкольное +'!L128)</f>
        <v>-</v>
      </c>
      <c r="L64" s="104" t="str">
        <f>IF(ISERR('[1]Дошкольное +'!M128),"-",'[1]Дошкольное +'!M128)</f>
        <v>-</v>
      </c>
      <c r="M64" s="104" t="str">
        <f>IF(ISERR('[1]Дошкольное +'!N128),"-",'[1]Дошкольное +'!N128)</f>
        <v>-</v>
      </c>
    </row>
    <row r="65" spans="1:13" s="89" customFormat="1" x14ac:dyDescent="0.25">
      <c r="A65" s="13"/>
      <c r="B65" s="70" t="s">
        <v>2493</v>
      </c>
      <c r="C65" s="13" t="s">
        <v>950</v>
      </c>
      <c r="D65" s="104"/>
      <c r="E65" s="104"/>
      <c r="F65" s="104"/>
      <c r="G65" s="104"/>
      <c r="H65" s="104"/>
      <c r="I65" s="104">
        <f>IF(ISERR('[1]Дошкольное +'!J129),"-",'[1]Дошкольное +'!J129)</f>
        <v>10.333333333333334</v>
      </c>
      <c r="J65" s="104">
        <f>IF(ISERR('[1]Дошкольное +'!K129),"-",'[1]Дошкольное +'!K129)</f>
        <v>1</v>
      </c>
      <c r="K65" s="104" t="str">
        <f>IF(ISERR('[1]Дошкольное +'!L129),"-",'[1]Дошкольное +'!L129)</f>
        <v>-</v>
      </c>
      <c r="L65" s="104" t="str">
        <f>IF(ISERR('[1]Дошкольное +'!M129),"-",'[1]Дошкольное +'!M129)</f>
        <v>-</v>
      </c>
      <c r="M65" s="104" t="str">
        <f>IF(ISERR('[1]Дошкольное +'!N129),"-",'[1]Дошкольное +'!N129)</f>
        <v>-</v>
      </c>
    </row>
    <row r="66" spans="1:13" s="89" customFormat="1" x14ac:dyDescent="0.25">
      <c r="A66" s="13"/>
      <c r="B66" s="70" t="s">
        <v>2367</v>
      </c>
      <c r="C66" s="13"/>
      <c r="D66" s="104"/>
      <c r="E66" s="104"/>
      <c r="F66" s="104"/>
      <c r="G66" s="104"/>
      <c r="H66" s="104"/>
      <c r="I66" s="104"/>
      <c r="J66" s="104"/>
      <c r="K66" s="104"/>
      <c r="L66" s="104"/>
      <c r="M66" s="104"/>
    </row>
    <row r="67" spans="1:13" s="89" customFormat="1" x14ac:dyDescent="0.25">
      <c r="A67" s="13"/>
      <c r="B67" s="70" t="s">
        <v>2492</v>
      </c>
      <c r="C67" s="13" t="s">
        <v>950</v>
      </c>
      <c r="D67" s="104"/>
      <c r="E67" s="104"/>
      <c r="F67" s="104"/>
      <c r="G67" s="104"/>
      <c r="H67" s="104"/>
      <c r="I67" s="104">
        <f>IF(ISERR('[1]Дошкольное +'!J131),"-",'[1]Дошкольное +'!J131)</f>
        <v>12.428571428571429</v>
      </c>
      <c r="J67" s="104">
        <f>IF(ISERR('[1]Дошкольное +'!K131),"-",'[1]Дошкольное +'!K131)</f>
        <v>11.125</v>
      </c>
      <c r="K67" s="104" t="str">
        <f>IF(ISERR('[1]Дошкольное +'!L131),"-",'[1]Дошкольное +'!L131)</f>
        <v>-</v>
      </c>
      <c r="L67" s="104" t="str">
        <f>IF(ISERR('[1]Дошкольное +'!M131),"-",'[1]Дошкольное +'!M131)</f>
        <v>-</v>
      </c>
      <c r="M67" s="104" t="str">
        <f>IF(ISERR('[1]Дошкольное +'!N131),"-",'[1]Дошкольное +'!N131)</f>
        <v>-</v>
      </c>
    </row>
    <row r="68" spans="1:13" s="89" customFormat="1" x14ac:dyDescent="0.25">
      <c r="A68" s="13"/>
      <c r="B68" s="70" t="s">
        <v>2493</v>
      </c>
      <c r="C68" s="13" t="s">
        <v>950</v>
      </c>
      <c r="D68" s="104"/>
      <c r="E68" s="104"/>
      <c r="F68" s="104"/>
      <c r="G68" s="104"/>
      <c r="H68" s="104"/>
      <c r="I68" s="104" t="str">
        <f>IF(ISERR('[1]Дошкольное +'!J132),"-",'[1]Дошкольное +'!J132)</f>
        <v>-</v>
      </c>
      <c r="J68" s="104" t="str">
        <f>IF(ISERR('[1]Дошкольное +'!K132),"-",'[1]Дошкольное +'!K132)</f>
        <v>-</v>
      </c>
      <c r="K68" s="104" t="str">
        <f>IF(ISERR('[1]Дошкольное +'!L132),"-",'[1]Дошкольное +'!L132)</f>
        <v>-</v>
      </c>
      <c r="L68" s="104" t="str">
        <f>IF(ISERR('[1]Дошкольное +'!M132),"-",'[1]Дошкольное +'!M132)</f>
        <v>-</v>
      </c>
      <c r="M68" s="104" t="str">
        <f>IF(ISERR('[1]Дошкольное +'!N132),"-",'[1]Дошкольное +'!N132)</f>
        <v>-</v>
      </c>
    </row>
    <row r="69" spans="1:13" s="89" customFormat="1" ht="30" x14ac:dyDescent="0.25">
      <c r="A69" s="99" t="s">
        <v>25</v>
      </c>
      <c r="B69" s="100" t="s">
        <v>24</v>
      </c>
      <c r="C69" s="13"/>
      <c r="D69" s="93"/>
      <c r="E69" s="93"/>
      <c r="F69" s="93"/>
      <c r="G69" s="93"/>
      <c r="H69" s="93"/>
      <c r="I69" s="93"/>
      <c r="J69" s="93"/>
      <c r="K69" s="93"/>
      <c r="L69" s="93"/>
      <c r="M69" s="93"/>
    </row>
    <row r="70" spans="1:13" s="89" customFormat="1" ht="60" x14ac:dyDescent="0.25">
      <c r="A70" s="13" t="s">
        <v>26</v>
      </c>
      <c r="B70" s="70" t="s">
        <v>1616</v>
      </c>
      <c r="C70" s="13"/>
      <c r="D70" s="93"/>
      <c r="E70" s="93"/>
      <c r="F70" s="93"/>
      <c r="G70" s="93"/>
      <c r="H70" s="93"/>
      <c r="I70" s="93"/>
      <c r="J70" s="93"/>
      <c r="K70" s="93"/>
      <c r="L70" s="93"/>
      <c r="M70" s="93"/>
    </row>
    <row r="71" spans="1:13" s="89" customFormat="1" hidden="1" x14ac:dyDescent="0.25">
      <c r="A71" s="13"/>
      <c r="B71" s="70" t="s">
        <v>1301</v>
      </c>
      <c r="C71" s="13" t="s">
        <v>8</v>
      </c>
      <c r="D71" s="104" t="str">
        <f>IF(ISERR('[1]Дошкольное +'!E149),"-",'[1]Дошкольное +'!E149)</f>
        <v>-</v>
      </c>
      <c r="E71" s="104">
        <f>IF(ISERR('[1]Дошкольное +'!F149),"-",'[1]Дошкольное +'!F149)</f>
        <v>2.5100155342980952</v>
      </c>
      <c r="F71" s="104">
        <f>IF(ISERR('[1]Дошкольное +'!G149),"-",'[1]Дошкольное +'!G149)</f>
        <v>1.6163925443775804</v>
      </c>
      <c r="G71" s="104">
        <f>IF(ISERR('[1]Дошкольное +'!H149),"-",'[1]Дошкольное +'!H149)</f>
        <v>1.6176874485031585</v>
      </c>
      <c r="H71" s="104">
        <f>IF(ISERR('[1]Дошкольное +'!I149),"-",'[1]Дошкольное +'!I149)</f>
        <v>1.883453531697687</v>
      </c>
      <c r="I71" s="104">
        <f>IF(ISERR('[1]Дошкольное +'!J149),"-",'[1]Дошкольное +'!J149)</f>
        <v>1.7564313128132687</v>
      </c>
      <c r="J71" s="104">
        <f>IF(ISERR('[1]Дошкольное +'!K149),"-",'[1]Дошкольное +'!K149)</f>
        <v>1.7564313128132687</v>
      </c>
      <c r="K71" s="104">
        <f>IF(ISERR('[1]Дошкольное +'!L149),"-",'[1]Дошкольное +'!L149)</f>
        <v>1.7564313128132687</v>
      </c>
      <c r="L71" s="104">
        <f>IF(ISERR('[1]Дошкольное +'!N149),"-",'[1]Дошкольное +'!N149)</f>
        <v>0</v>
      </c>
      <c r="M71" s="104" t="str">
        <f>IF(ISERR('[1]Дошкольное +'!O149),"-",'[1]Дошкольное +'!O149)</f>
        <v>-</v>
      </c>
    </row>
    <row r="72" spans="1:13" s="89" customFormat="1" hidden="1" x14ac:dyDescent="0.25">
      <c r="A72" s="13"/>
      <c r="B72" s="70" t="s">
        <v>1303</v>
      </c>
      <c r="C72" s="13" t="s">
        <v>8</v>
      </c>
      <c r="D72" s="104" t="str">
        <f>IF(ISERR('[1]Дошкольное +'!E150),"-",'[1]Дошкольное +'!E150)</f>
        <v>-</v>
      </c>
      <c r="E72" s="104">
        <f>IF(ISERR('[1]Дошкольное +'!F150),"-",'[1]Дошкольное +'!F150)</f>
        <v>2.55013946075176</v>
      </c>
      <c r="F72" s="104">
        <f>IF(ISERR('[1]Дошкольное +'!G150),"-",'[1]Дошкольное +'!G150)</f>
        <v>1.6578925889650671</v>
      </c>
      <c r="G72" s="104">
        <f>IF(ISERR('[1]Дошкольное +'!H150),"-",'[1]Дошкольное +'!H150)</f>
        <v>1.6306008774091785</v>
      </c>
      <c r="H72" s="104">
        <f>IF(ISERR('[1]Дошкольное +'!I150),"-",'[1]Дошкольное +'!I150)</f>
        <v>1.8810963667803542</v>
      </c>
      <c r="I72" s="104">
        <f>IF(ISERR('[1]Дошкольное +'!J150),"-",'[1]Дошкольное +'!J150)</f>
        <v>1.723697650663943</v>
      </c>
      <c r="J72" s="104">
        <f>IF(ISERR('[1]Дошкольное +'!K150),"-",'[1]Дошкольное +'!K150)</f>
        <v>1.723697650663943</v>
      </c>
      <c r="K72" s="104">
        <f>IF(ISERR('[1]Дошкольное +'!L150),"-",'[1]Дошкольное +'!L150)</f>
        <v>1.723697650663943</v>
      </c>
      <c r="L72" s="104">
        <f>IF(ISERR('[1]Дошкольное +'!N150),"-",'[1]Дошкольное +'!N150)</f>
        <v>0</v>
      </c>
      <c r="M72" s="104" t="str">
        <f>IF(ISERR('[1]Дошкольное +'!O150),"-",'[1]Дошкольное +'!O150)</f>
        <v>-</v>
      </c>
    </row>
    <row r="73" spans="1:13" s="89" customFormat="1" hidden="1" x14ac:dyDescent="0.25">
      <c r="A73" s="13"/>
      <c r="B73" s="70" t="s">
        <v>1304</v>
      </c>
      <c r="C73" s="13" t="s">
        <v>8</v>
      </c>
      <c r="D73" s="104" t="str">
        <f>IF(ISERR('[1]Дошкольное +'!E151),"-",'[1]Дошкольное +'!E151)</f>
        <v>-</v>
      </c>
      <c r="E73" s="104">
        <f>IF(ISERR('[1]Дошкольное +'!F151),"-",'[1]Дошкольное +'!F151)</f>
        <v>2.0266666666666664</v>
      </c>
      <c r="F73" s="104">
        <f>IF(ISERR('[1]Дошкольное +'!G151),"-",'[1]Дошкольное +'!G151)</f>
        <v>1.0973586831695801</v>
      </c>
      <c r="G73" s="104">
        <f>IF(ISERR('[1]Дошкольное +'!H151),"-",'[1]Дошкольное +'!H151)</f>
        <v>1.4496472097498396</v>
      </c>
      <c r="H73" s="104">
        <f>IF(ISERR('[1]Дошкольное +'!I151),"-",'[1]Дошкольное +'!I151)</f>
        <v>1.9151670951156812</v>
      </c>
      <c r="I73" s="104">
        <f>IF(ISERR('[1]Дошкольное +'!J151),"-",'[1]Дошкольное +'!J151)</f>
        <v>2.2128958412819535</v>
      </c>
      <c r="J73" s="104">
        <f>IF(ISERR('[1]Дошкольное +'!K151),"-",'[1]Дошкольное +'!K151)</f>
        <v>2.2128958412819535</v>
      </c>
      <c r="K73" s="104">
        <f>IF(ISERR('[1]Дошкольное +'!L151),"-",'[1]Дошкольное +'!L151)</f>
        <v>2.2128958412819535</v>
      </c>
      <c r="L73" s="104">
        <f>IF(ISERR('[1]Дошкольное +'!N151),"-",'[1]Дошкольное +'!N151)</f>
        <v>0</v>
      </c>
      <c r="M73" s="104" t="str">
        <f>IF(ISERR('[1]Дошкольное +'!O151),"-",'[1]Дошкольное +'!O151)</f>
        <v>-</v>
      </c>
    </row>
    <row r="74" spans="1:13" s="89" customFormat="1" hidden="1" x14ac:dyDescent="0.25">
      <c r="A74" s="13"/>
      <c r="B74" s="70" t="s">
        <v>1302</v>
      </c>
      <c r="C74" s="13" t="s">
        <v>8</v>
      </c>
      <c r="D74" s="104" t="str">
        <f>IF(ISERR('[1]Дошкольное +'!E152),"-",'[1]Дошкольное +'!E152)</f>
        <v>-</v>
      </c>
      <c r="E74" s="104">
        <f>IF(ISERR('[1]Дошкольное +'!F152),"-",'[1]Дошкольное +'!F152)</f>
        <v>0</v>
      </c>
      <c r="F74" s="104">
        <f>IF(ISERR('[1]Дошкольное +'!G152),"-",'[1]Дошкольное +'!G152)</f>
        <v>0</v>
      </c>
      <c r="G74" s="104">
        <f>IF(ISERR('[1]Дошкольное +'!H152),"-",'[1]Дошкольное +'!H152)</f>
        <v>0</v>
      </c>
      <c r="H74" s="104">
        <f>IF(ISERR('[1]Дошкольное +'!I152),"-",'[1]Дошкольное +'!I152)</f>
        <v>0</v>
      </c>
      <c r="I74" s="104">
        <f>IF(ISERR('[1]Дошкольное +'!J152),"-",'[1]Дошкольное +'!J152)</f>
        <v>0</v>
      </c>
      <c r="J74" s="104">
        <f>IF(ISERR('[1]Дошкольное +'!K152),"-",'[1]Дошкольное +'!K152)</f>
        <v>0</v>
      </c>
      <c r="K74" s="104">
        <f>IF(ISERR('[1]Дошкольное +'!L152),"-",'[1]Дошкольное +'!L152)</f>
        <v>0</v>
      </c>
      <c r="L74" s="104">
        <f>IF(ISERR('[1]Дошкольное +'!N152),"-",'[1]Дошкольное +'!N152)</f>
        <v>0</v>
      </c>
      <c r="M74" s="104" t="str">
        <f>IF(ISERR('[1]Дошкольное +'!O152),"-",'[1]Дошкольное +'!O152)</f>
        <v>-</v>
      </c>
    </row>
    <row r="75" spans="1:13" s="89" customFormat="1" hidden="1" x14ac:dyDescent="0.25">
      <c r="A75" s="13"/>
      <c r="B75" s="70" t="s">
        <v>1303</v>
      </c>
      <c r="C75" s="13" t="s">
        <v>8</v>
      </c>
      <c r="D75" s="104" t="str">
        <f>IF(ISERR('[1]Дошкольное +'!E153),"-",'[1]Дошкольное +'!E153)</f>
        <v>-</v>
      </c>
      <c r="E75" s="104">
        <f>IF(ISERR('[1]Дошкольное +'!F153),"-",'[1]Дошкольное +'!F153)</f>
        <v>0</v>
      </c>
      <c r="F75" s="104">
        <f>IF(ISERR('[1]Дошкольное +'!G153),"-",'[1]Дошкольное +'!G153)</f>
        <v>0</v>
      </c>
      <c r="G75" s="104">
        <f>IF(ISERR('[1]Дошкольное +'!H153),"-",'[1]Дошкольное +'!H153)</f>
        <v>0</v>
      </c>
      <c r="H75" s="104">
        <f>IF(ISERR('[1]Дошкольное +'!I153),"-",'[1]Дошкольное +'!I153)</f>
        <v>0</v>
      </c>
      <c r="I75" s="104">
        <f>IF(ISERR('[1]Дошкольное +'!J153),"-",'[1]Дошкольное +'!J153)</f>
        <v>0</v>
      </c>
      <c r="J75" s="104">
        <f>IF(ISERR('[1]Дошкольное +'!K153),"-",'[1]Дошкольное +'!K153)</f>
        <v>0</v>
      </c>
      <c r="K75" s="104">
        <f>IF(ISERR('[1]Дошкольное +'!L153),"-",'[1]Дошкольное +'!L153)</f>
        <v>0</v>
      </c>
      <c r="L75" s="104">
        <f>IF(ISERR('[1]Дошкольное +'!N153),"-",'[1]Дошкольное +'!N153)</f>
        <v>0</v>
      </c>
      <c r="M75" s="104" t="str">
        <f>IF(ISERR('[1]Дошкольное +'!O153),"-",'[1]Дошкольное +'!O153)</f>
        <v>-</v>
      </c>
    </row>
    <row r="76" spans="1:13" s="89" customFormat="1" hidden="1" x14ac:dyDescent="0.25">
      <c r="A76" s="13"/>
      <c r="B76" s="70" t="s">
        <v>1304</v>
      </c>
      <c r="C76" s="13" t="s">
        <v>8</v>
      </c>
      <c r="D76" s="104" t="str">
        <f>IF(ISERR('[1]Дошкольное +'!E154),"-",'[1]Дошкольное +'!E154)</f>
        <v>-</v>
      </c>
      <c r="E76" s="104" t="str">
        <f>IF(ISERR('[1]Дошкольное +'!F154),"-",'[1]Дошкольное +'!F154)</f>
        <v>-</v>
      </c>
      <c r="F76" s="104" t="str">
        <f>IF(ISERR('[1]Дошкольное +'!G154),"-",'[1]Дошкольное +'!G154)</f>
        <v>-</v>
      </c>
      <c r="G76" s="104" t="str">
        <f>IF(ISERR('[1]Дошкольное +'!H154),"-",'[1]Дошкольное +'!H154)</f>
        <v>-</v>
      </c>
      <c r="H76" s="104" t="str">
        <f>IF(ISERR('[1]Дошкольное +'!I154),"-",'[1]Дошкольное +'!I154)</f>
        <v>-</v>
      </c>
      <c r="I76" s="104" t="str">
        <f>IF(ISERR('[1]Дошкольное +'!J154),"-",'[1]Дошкольное +'!J154)</f>
        <v>-</v>
      </c>
      <c r="J76" s="104" t="str">
        <f>IF(ISERR('[1]Дошкольное +'!K154),"-",'[1]Дошкольное +'!K154)</f>
        <v>-</v>
      </c>
      <c r="K76" s="104" t="str">
        <f>IF(ISERR('[1]Дошкольное +'!L154),"-",'[1]Дошкольное +'!L154)</f>
        <v>-</v>
      </c>
      <c r="L76" s="104">
        <f>IF(ISERR('[1]Дошкольное +'!N154),"-",'[1]Дошкольное +'!N154)</f>
        <v>0</v>
      </c>
      <c r="M76" s="104" t="str">
        <f>IF(ISERR('[1]Дошкольное +'!O154),"-",'[1]Дошкольное +'!O154)</f>
        <v>-</v>
      </c>
    </row>
    <row r="77" spans="1:13" s="89" customFormat="1" x14ac:dyDescent="0.25">
      <c r="A77" s="13"/>
      <c r="B77" s="70" t="s">
        <v>2362</v>
      </c>
      <c r="C77" s="13"/>
      <c r="D77" s="104"/>
      <c r="E77" s="104"/>
      <c r="F77" s="104"/>
      <c r="G77" s="104"/>
      <c r="H77" s="104"/>
      <c r="I77" s="104"/>
      <c r="J77" s="104"/>
      <c r="K77" s="104"/>
      <c r="L77" s="104"/>
      <c r="M77" s="104"/>
    </row>
    <row r="78" spans="1:13" s="89" customFormat="1" x14ac:dyDescent="0.25">
      <c r="A78" s="13"/>
      <c r="B78" s="70" t="s">
        <v>2487</v>
      </c>
      <c r="C78" s="13" t="s">
        <v>8</v>
      </c>
      <c r="D78" s="104"/>
      <c r="E78" s="104"/>
      <c r="F78" s="104"/>
      <c r="G78" s="104"/>
      <c r="H78" s="104">
        <f>IF(ISERR('[1]Дошкольное +'!I156),"-",'[1]Дошкольное +'!I156)</f>
        <v>3.8470006957716461</v>
      </c>
      <c r="I78" s="104">
        <f>IF(ISERR('[1]Дошкольное +'!J156),"-",'[1]Дошкольное +'!J156)</f>
        <v>3.9245391607563009</v>
      </c>
      <c r="J78" s="104">
        <v>1.1000000000000001</v>
      </c>
      <c r="K78" s="104">
        <f>'Дошкольное +'!L156</f>
        <v>1.6239732642717334E-2</v>
      </c>
      <c r="L78" s="104">
        <f>'Дошкольное +'!M156</f>
        <v>2.3077514808072002E-2</v>
      </c>
      <c r="M78" s="104">
        <f>'Дошкольное +'!N156</f>
        <v>2.2222792037402669E-2</v>
      </c>
    </row>
    <row r="79" spans="1:13" s="89" customFormat="1" x14ac:dyDescent="0.25">
      <c r="A79" s="13"/>
      <c r="B79" s="70" t="s">
        <v>2488</v>
      </c>
      <c r="C79" s="13" t="s">
        <v>8</v>
      </c>
      <c r="D79" s="104"/>
      <c r="E79" s="104"/>
      <c r="F79" s="104"/>
      <c r="G79" s="104"/>
      <c r="H79" s="104">
        <f>IF(ISERR('[1]Дошкольное +'!I157),"-",'[1]Дошкольное +'!I157)</f>
        <v>93.034357027733989</v>
      </c>
      <c r="I79" s="104">
        <f>IF(ISERR('[1]Дошкольное +'!J157),"-",'[1]Дошкольное +'!J157)</f>
        <v>94.0856847842646</v>
      </c>
      <c r="J79" s="104">
        <v>88.01</v>
      </c>
      <c r="K79" s="104">
        <f>'Дошкольное +'!L157</f>
        <v>1.4735420566339308</v>
      </c>
      <c r="L79" s="104">
        <f>'Дошкольное +'!M157</f>
        <v>1.0538731762352882</v>
      </c>
      <c r="M79" s="104">
        <f>'Дошкольное +'!N157</f>
        <v>1.1598587997982854</v>
      </c>
    </row>
    <row r="80" spans="1:13" s="89" customFormat="1" x14ac:dyDescent="0.25">
      <c r="A80" s="13"/>
      <c r="B80" s="70" t="s">
        <v>2489</v>
      </c>
      <c r="C80" s="13" t="s">
        <v>8</v>
      </c>
      <c r="D80" s="104"/>
      <c r="E80" s="104"/>
      <c r="F80" s="104"/>
      <c r="G80" s="104"/>
      <c r="H80" s="104">
        <f>IF(ISERR('[1]Дошкольное +'!I158),"-",'[1]Дошкольное +'!I158)</f>
        <v>0.27390504038117713</v>
      </c>
      <c r="I80" s="104">
        <f>IF(ISERR('[1]Дошкольное +'!J158),"-",'[1]Дошкольное +'!J158)</f>
        <v>0.19042943954500061</v>
      </c>
      <c r="J80" s="104">
        <v>0.25</v>
      </c>
      <c r="K80" s="104">
        <f>'Дошкольное +'!L158</f>
        <v>0</v>
      </c>
      <c r="L80" s="104">
        <f>'Дошкольное +'!M158</f>
        <v>0</v>
      </c>
      <c r="M80" s="104">
        <f>'Дошкольное +'!N158</f>
        <v>0</v>
      </c>
    </row>
    <row r="81" spans="1:13" s="89" customFormat="1" x14ac:dyDescent="0.25">
      <c r="A81" s="13"/>
      <c r="B81" s="70" t="s">
        <v>2490</v>
      </c>
      <c r="C81" s="13" t="s">
        <v>8</v>
      </c>
      <c r="D81" s="104"/>
      <c r="E81" s="104"/>
      <c r="F81" s="104"/>
      <c r="G81" s="104"/>
      <c r="H81" s="104">
        <f>IF(ISERR('[1]Дошкольное +'!I159),"-",'[1]Дошкольное +'!I159)</f>
        <v>1.8961979162079565</v>
      </c>
      <c r="I81" s="104">
        <f>IF(ISERR('[1]Дошкольное +'!J159),"-",'[1]Дошкольное +'!J159)</f>
        <v>1.4794251569984935</v>
      </c>
      <c r="J81" s="104">
        <v>3.91</v>
      </c>
      <c r="K81" s="104">
        <f>'Дошкольное +'!L159</f>
        <v>7.4360881048232005E-2</v>
      </c>
      <c r="L81" s="104">
        <f>'Дошкольное +'!M159</f>
        <v>0.12564424728839202</v>
      </c>
      <c r="M81" s="104">
        <f>'Дошкольное +'!N159</f>
        <v>0.21197124712599469</v>
      </c>
    </row>
    <row r="82" spans="1:13" s="89" customFormat="1" x14ac:dyDescent="0.25">
      <c r="A82" s="13"/>
      <c r="B82" s="70" t="s">
        <v>2494</v>
      </c>
      <c r="C82" s="13" t="s">
        <v>8</v>
      </c>
      <c r="D82" s="104"/>
      <c r="E82" s="104"/>
      <c r="F82" s="104"/>
      <c r="G82" s="104"/>
      <c r="H82" s="104">
        <f>IF(ISERR('[1]Дошкольное +'!I160),"-",'[1]Дошкольное +'!I160)</f>
        <v>1.0568683230141884E-2</v>
      </c>
      <c r="I82" s="104">
        <f>IF(ISERR('[1]Дошкольное +'!J160),"-",'[1]Дошкольное +'!J160)</f>
        <v>1.4388002098955599E-2</v>
      </c>
      <c r="J82" s="104">
        <v>0.11</v>
      </c>
      <c r="K82" s="104">
        <f>'Дошкольное +'!L160</f>
        <v>0</v>
      </c>
      <c r="L82" s="104">
        <f>'Дошкольное +'!M160</f>
        <v>0</v>
      </c>
      <c r="M82" s="104">
        <f>'Дошкольное +'!N160</f>
        <v>0</v>
      </c>
    </row>
    <row r="83" spans="1:13" s="89" customFormat="1" x14ac:dyDescent="0.25">
      <c r="A83" s="13"/>
      <c r="B83" s="70" t="s">
        <v>2366</v>
      </c>
      <c r="C83" s="13"/>
      <c r="D83" s="104"/>
      <c r="E83" s="104"/>
      <c r="F83" s="104"/>
      <c r="G83" s="104"/>
      <c r="H83" s="104"/>
      <c r="I83" s="104"/>
      <c r="J83" s="104"/>
      <c r="K83" s="104"/>
      <c r="L83" s="104"/>
      <c r="M83" s="104"/>
    </row>
    <row r="84" spans="1:13" s="89" customFormat="1" x14ac:dyDescent="0.25">
      <c r="A84" s="13"/>
      <c r="B84" s="70" t="s">
        <v>2487</v>
      </c>
      <c r="C84" s="13" t="s">
        <v>8</v>
      </c>
      <c r="D84" s="104"/>
      <c r="E84" s="104"/>
      <c r="F84" s="104"/>
      <c r="G84" s="104"/>
      <c r="H84" s="104"/>
      <c r="I84" s="104">
        <f>IF(ISERR('[1]Дошкольное +'!J162),"-",'[1]Дошкольное +'!J162)</f>
        <v>4.1753180223227648</v>
      </c>
      <c r="J84" s="104">
        <v>1.1499999999999999</v>
      </c>
      <c r="K84" s="104">
        <f>'Дошкольное +'!L162</f>
        <v>1.74818740568989E-2</v>
      </c>
      <c r="L84" s="104">
        <f>'Дошкольное +'!M162</f>
        <v>2.4842663133487913E-2</v>
      </c>
      <c r="M84" s="104">
        <f>'Дошкольное +'!N162</f>
        <v>2.3922564498914282E-2</v>
      </c>
    </row>
    <row r="85" spans="1:13" s="89" customFormat="1" x14ac:dyDescent="0.25">
      <c r="A85" s="13"/>
      <c r="B85" s="70" t="s">
        <v>2488</v>
      </c>
      <c r="C85" s="13" t="s">
        <v>8</v>
      </c>
      <c r="D85" s="104"/>
      <c r="E85" s="104"/>
      <c r="F85" s="104"/>
      <c r="G85" s="104"/>
      <c r="H85" s="104"/>
      <c r="I85" s="104">
        <f>IF(ISERR('[1]Дошкольное +'!J163),"-",'[1]Дошкольное +'!J163)</f>
        <v>93.91518800264754</v>
      </c>
      <c r="J85" s="104">
        <v>64.12</v>
      </c>
      <c r="K85" s="104">
        <f>'Дошкольное +'!L163</f>
        <v>0.88789518236354947</v>
      </c>
      <c r="L85" s="104">
        <f>'Дошкольное +'!M163</f>
        <v>0.56770085753192734</v>
      </c>
      <c r="M85" s="104">
        <f>'Дошкольное +'!N163</f>
        <v>0.64222884693239113</v>
      </c>
    </row>
    <row r="86" spans="1:13" s="89" customFormat="1" x14ac:dyDescent="0.25">
      <c r="A86" s="13"/>
      <c r="B86" s="70" t="s">
        <v>2489</v>
      </c>
      <c r="C86" s="13" t="s">
        <v>8</v>
      </c>
      <c r="D86" s="104"/>
      <c r="E86" s="104"/>
      <c r="F86" s="104"/>
      <c r="G86" s="104"/>
      <c r="H86" s="104"/>
      <c r="I86" s="104">
        <f>IF(ISERR('[1]Дошкольное +'!J164),"-",'[1]Дошкольное +'!J164)</f>
        <v>0.20400576656300151</v>
      </c>
      <c r="J86" s="104">
        <v>0.27</v>
      </c>
      <c r="K86" s="104">
        <f>'Дошкольное +'!L164</f>
        <v>0</v>
      </c>
      <c r="L86" s="104">
        <f>'Дошкольное +'!M164</f>
        <v>0</v>
      </c>
      <c r="M86" s="104">
        <f>'Дошкольное +'!N164</f>
        <v>0</v>
      </c>
    </row>
    <row r="87" spans="1:13" s="89" customFormat="1" x14ac:dyDescent="0.25">
      <c r="A87" s="13"/>
      <c r="B87" s="70" t="s">
        <v>2490</v>
      </c>
      <c r="C87" s="13" t="s">
        <v>8</v>
      </c>
      <c r="D87" s="104"/>
      <c r="E87" s="104"/>
      <c r="F87" s="104"/>
      <c r="G87" s="104"/>
      <c r="H87" s="104"/>
      <c r="I87" s="104">
        <f>IF(ISERR('[1]Дошкольное +'!J165),"-",'[1]Дошкольное +'!J165)</f>
        <v>1.4062797508409572</v>
      </c>
      <c r="J87" s="104">
        <v>3.59</v>
      </c>
      <c r="K87" s="104">
        <f>'Дошкольное +'!L165</f>
        <v>8.0048581207905492E-2</v>
      </c>
      <c r="L87" s="104">
        <f>'Дошкольное +'!M165</f>
        <v>0.13525449928232308</v>
      </c>
      <c r="M87" s="104">
        <f>'Дошкольное +'!N165</f>
        <v>0.21254278458650769</v>
      </c>
    </row>
    <row r="88" spans="1:13" s="89" customFormat="1" x14ac:dyDescent="0.25">
      <c r="A88" s="13"/>
      <c r="B88" s="70" t="s">
        <v>2494</v>
      </c>
      <c r="C88" s="13" t="s">
        <v>8</v>
      </c>
      <c r="D88" s="104"/>
      <c r="E88" s="104"/>
      <c r="F88" s="104"/>
      <c r="G88" s="104"/>
      <c r="H88" s="104"/>
      <c r="I88" s="104">
        <f>IF(ISERR('[1]Дошкольное +'!J166),"-",'[1]Дошкольное +'!J166)</f>
        <v>1.5413769029204558E-2</v>
      </c>
      <c r="J88" s="104">
        <v>0.12</v>
      </c>
      <c r="K88" s="104">
        <f>'Дошкольное +'!L166</f>
        <v>0</v>
      </c>
      <c r="L88" s="104">
        <f>'Дошкольное +'!M166</f>
        <v>0</v>
      </c>
      <c r="M88" s="104">
        <f>'Дошкольное +'!N166</f>
        <v>0</v>
      </c>
    </row>
    <row r="89" spans="1:13" s="89" customFormat="1" x14ac:dyDescent="0.25">
      <c r="A89" s="13"/>
      <c r="B89" s="70" t="s">
        <v>2367</v>
      </c>
      <c r="C89" s="13"/>
      <c r="D89" s="104"/>
      <c r="E89" s="104"/>
      <c r="F89" s="104"/>
      <c r="G89" s="104"/>
      <c r="H89" s="104"/>
      <c r="I89" s="104"/>
      <c r="J89" s="104"/>
      <c r="K89" s="104"/>
      <c r="L89" s="104"/>
      <c r="M89" s="104"/>
    </row>
    <row r="90" spans="1:13" s="89" customFormat="1" x14ac:dyDescent="0.25">
      <c r="A90" s="13"/>
      <c r="B90" s="70" t="s">
        <v>2487</v>
      </c>
      <c r="C90" s="13" t="s">
        <v>8</v>
      </c>
      <c r="D90" s="104"/>
      <c r="E90" s="104"/>
      <c r="F90" s="104"/>
      <c r="G90" s="104"/>
      <c r="H90" s="104"/>
      <c r="I90" s="104">
        <f>IF(ISERR('[1]Дошкольное +'!J168),"-",'[1]Дошкольное +'!J168)</f>
        <v>0.40696935012081903</v>
      </c>
      <c r="J90" s="104">
        <v>0.42</v>
      </c>
      <c r="K90" s="104">
        <f>'Дошкольное +'!L168</f>
        <v>0</v>
      </c>
      <c r="L90" s="104">
        <f>'Дошкольное +'!M168</f>
        <v>0</v>
      </c>
      <c r="M90" s="104">
        <f>'Дошкольное +'!N168</f>
        <v>0</v>
      </c>
    </row>
    <row r="91" spans="1:13" s="89" customFormat="1" x14ac:dyDescent="0.25">
      <c r="A91" s="13"/>
      <c r="B91" s="70" t="s">
        <v>2488</v>
      </c>
      <c r="C91" s="13" t="s">
        <v>8</v>
      </c>
      <c r="D91" s="104"/>
      <c r="E91" s="104"/>
      <c r="F91" s="104"/>
      <c r="G91" s="104"/>
      <c r="H91" s="104"/>
      <c r="I91" s="104">
        <f>IF(ISERR('[1]Дошкольное +'!J169),"-",'[1]Дошкольное +'!J169)</f>
        <v>96.477171563016668</v>
      </c>
      <c r="J91" s="104">
        <v>400.35</v>
      </c>
      <c r="K91" s="104">
        <f>'Дошкольное +'!L169</f>
        <v>9.1302778780223743</v>
      </c>
      <c r="L91" s="104">
        <f>'Дошкольное +'!M169</f>
        <v>7.410080596655841</v>
      </c>
      <c r="M91" s="104">
        <f>'Дошкольное +'!N169</f>
        <v>7.9273427162275949</v>
      </c>
    </row>
    <row r="92" spans="1:13" s="89" customFormat="1" x14ac:dyDescent="0.25">
      <c r="A92" s="13"/>
      <c r="B92" s="70" t="s">
        <v>2489</v>
      </c>
      <c r="C92" s="13" t="s">
        <v>8</v>
      </c>
      <c r="D92" s="104"/>
      <c r="E92" s="104"/>
      <c r="F92" s="104"/>
      <c r="G92" s="104"/>
      <c r="H92" s="104"/>
      <c r="I92" s="104">
        <f>IF(ISERR('[1]Дошкольное +'!J170),"-",'[1]Дошкольное +'!J170)</f>
        <v>0</v>
      </c>
      <c r="J92" s="104">
        <v>0</v>
      </c>
      <c r="K92" s="104">
        <f>'Дошкольное +'!L170</f>
        <v>0</v>
      </c>
      <c r="L92" s="104">
        <f>'Дошкольное +'!M170</f>
        <v>0</v>
      </c>
      <c r="M92" s="104">
        <f>'Дошкольное +'!N170</f>
        <v>0</v>
      </c>
    </row>
    <row r="93" spans="1:13" s="89" customFormat="1" x14ac:dyDescent="0.25">
      <c r="A93" s="13"/>
      <c r="B93" s="70" t="s">
        <v>2490</v>
      </c>
      <c r="C93" s="13" t="s">
        <v>8</v>
      </c>
      <c r="D93" s="104"/>
      <c r="E93" s="104"/>
      <c r="F93" s="104"/>
      <c r="G93" s="104"/>
      <c r="H93" s="104"/>
      <c r="I93" s="104">
        <f>IF(ISERR('[1]Дошкольное +'!J171),"-",'[1]Дошкольное +'!J171)</f>
        <v>2.5054050616812922</v>
      </c>
      <c r="J93" s="104">
        <v>8.1300000000000008</v>
      </c>
      <c r="K93" s="104">
        <f>'Дошкольное +'!L171</f>
        <v>0</v>
      </c>
      <c r="L93" s="104">
        <f>'Дошкольное +'!M171</f>
        <v>0</v>
      </c>
      <c r="M93" s="104">
        <f>'Дошкольное +'!N171</f>
        <v>0.20449897750511251</v>
      </c>
    </row>
    <row r="94" spans="1:13" s="89" customFormat="1" x14ac:dyDescent="0.25">
      <c r="A94" s="13"/>
      <c r="B94" s="70" t="s">
        <v>2494</v>
      </c>
      <c r="C94" s="13" t="s">
        <v>8</v>
      </c>
      <c r="D94" s="104"/>
      <c r="E94" s="104"/>
      <c r="F94" s="104"/>
      <c r="G94" s="104"/>
      <c r="H94" s="104"/>
      <c r="I94" s="104">
        <f>IF(ISERR('[1]Дошкольное +'!J172),"-",'[1]Дошкольное +'!J172)</f>
        <v>0</v>
      </c>
      <c r="J94" s="104">
        <v>0</v>
      </c>
      <c r="K94" s="104">
        <f>'Дошкольное +'!L172</f>
        <v>0</v>
      </c>
      <c r="L94" s="104">
        <f>'Дошкольное +'!M172</f>
        <v>0</v>
      </c>
      <c r="M94" s="104">
        <f>'Дошкольное +'!N172</f>
        <v>0</v>
      </c>
    </row>
    <row r="95" spans="1:13" s="89" customFormat="1" ht="30" x14ac:dyDescent="0.25">
      <c r="A95" s="99" t="s">
        <v>31</v>
      </c>
      <c r="B95" s="100" t="s">
        <v>30</v>
      </c>
      <c r="C95" s="87"/>
      <c r="D95" s="93"/>
      <c r="E95" s="93"/>
      <c r="F95" s="93"/>
      <c r="G95" s="93"/>
      <c r="H95" s="93"/>
      <c r="I95" s="93"/>
      <c r="J95" s="93"/>
      <c r="K95" s="93"/>
      <c r="L95" s="93"/>
      <c r="M95" s="93"/>
    </row>
    <row r="96" spans="1:13" s="89" customFormat="1" ht="60" x14ac:dyDescent="0.25">
      <c r="A96" s="13" t="s">
        <v>34</v>
      </c>
      <c r="B96" s="70" t="s">
        <v>1618</v>
      </c>
      <c r="C96" s="13" t="s">
        <v>950</v>
      </c>
      <c r="D96" s="104"/>
      <c r="E96" s="104"/>
      <c r="F96" s="104"/>
      <c r="G96" s="104"/>
      <c r="H96" s="104">
        <f>IF(ISERR('[1]Дошкольное +'!I207),"-",'[1]Дошкольное +'!I207)</f>
        <v>9.8401295064753231</v>
      </c>
      <c r="I96" s="104">
        <f>IF(ISERR('[1]Дошкольное +'!J207),"-",'[1]Дошкольное +'!J207)</f>
        <v>10.087647008326895</v>
      </c>
      <c r="J96" s="104">
        <f>IF(ISERR('[1]Дошкольное +'!K207),"-",'[1]Дошкольное +'!K207)</f>
        <v>9.8968896463570513</v>
      </c>
      <c r="K96" s="104">
        <f>IF(ISERR('[1]Дошкольное +'!L207),"-",'[1]Дошкольное +'!L207)</f>
        <v>8.387096774193548</v>
      </c>
      <c r="L96" s="104">
        <f>IF(ISERR('[1]Дошкольное +'!M207),"-",'[1]Дошкольное +'!M207)</f>
        <v>7.6681614349775788</v>
      </c>
      <c r="M96" s="104">
        <f>'Дошкольное +'!N207</f>
        <v>7.5654205607476639</v>
      </c>
    </row>
    <row r="97" spans="1:13" s="89" customFormat="1" hidden="1" x14ac:dyDescent="0.25">
      <c r="A97" s="13"/>
      <c r="B97" s="70" t="s">
        <v>1296</v>
      </c>
      <c r="C97" s="13"/>
      <c r="D97" s="104"/>
      <c r="E97" s="104"/>
      <c r="F97" s="104"/>
      <c r="G97" s="104"/>
      <c r="H97" s="104">
        <f>IF(ISERR('[1]Дошкольное +'!I207),"-",'[1]Дошкольное +'!I207)</f>
        <v>9.8401295064753231</v>
      </c>
      <c r="I97" s="104">
        <f>IF(ISERR('[1]Дошкольное +'!J207),"-",'[1]Дошкольное +'!J207)</f>
        <v>10.087647008326895</v>
      </c>
      <c r="J97" s="104">
        <f>IF(ISERR('[1]Дошкольное +'!K207),"-",'[1]Дошкольное +'!K207)</f>
        <v>9.8968896463570513</v>
      </c>
      <c r="K97" s="104">
        <f>IF(ISERR('[1]Дошкольное +'!L207),"-",'[1]Дошкольное +'!L207)</f>
        <v>8.387096774193548</v>
      </c>
      <c r="L97" s="104">
        <f>IF(ISERR('[1]Дошкольное +'!N207),"-",'[1]Дошкольное +'!N207)</f>
        <v>0</v>
      </c>
      <c r="M97" s="104" t="str">
        <f>IF(ISERR('[1]Дошкольное +'!O207),"-",'[1]Дошкольное +'!O207)</f>
        <v>-</v>
      </c>
    </row>
    <row r="98" spans="1:13" s="89" customFormat="1" hidden="1" x14ac:dyDescent="0.25">
      <c r="A98" s="13"/>
      <c r="B98" s="70" t="s">
        <v>2300</v>
      </c>
      <c r="C98" s="13"/>
      <c r="D98" s="104"/>
      <c r="E98" s="104"/>
      <c r="F98" s="104"/>
      <c r="G98" s="104"/>
      <c r="H98" s="104">
        <f>IF(ISERR('[1]Дошкольное +'!I208),"-",'[1]Дошкольное +'!I208)</f>
        <v>9.9774092078924799</v>
      </c>
      <c r="I98" s="104">
        <f>IF(ISERR('[1]Дошкольное +'!J208),"-",'[1]Дошкольное +'!J208)</f>
        <v>10.259941985589968</v>
      </c>
      <c r="J98" s="104">
        <f>IF(ISERR('[1]Дошкольное +'!K208),"-",'[1]Дошкольное +'!K208)</f>
        <v>10.076348004859359</v>
      </c>
      <c r="K98" s="104">
        <f>IF(ISERR('[1]Дошкольное +'!L208),"-",'[1]Дошкольное +'!L208)</f>
        <v>8.4206349206349209</v>
      </c>
      <c r="L98" s="104">
        <f>IF(ISERR('[1]Дошкольное +'!N208),"-",'[1]Дошкольное +'!N208)</f>
        <v>0</v>
      </c>
      <c r="M98" s="104" t="str">
        <f>IF(ISERR('[1]Дошкольное +'!O208),"-",'[1]Дошкольное +'!O208)</f>
        <v>-</v>
      </c>
    </row>
    <row r="99" spans="1:13" s="89" customFormat="1" hidden="1" x14ac:dyDescent="0.25">
      <c r="A99" s="13"/>
      <c r="B99" s="70" t="s">
        <v>2301</v>
      </c>
      <c r="C99" s="13"/>
      <c r="D99" s="104"/>
      <c r="E99" s="104"/>
      <c r="F99" s="104"/>
      <c r="G99" s="104"/>
      <c r="H99" s="104">
        <f>IF(ISERR('[1]Дошкольное +'!I209),"-",'[1]Дошкольное +'!I209)</f>
        <v>8.3030949839914623</v>
      </c>
      <c r="I99" s="104">
        <f>IF(ISERR('[1]Дошкольное +'!J209),"-",'[1]Дошкольное +'!J209)</f>
        <v>8.1735966735966734</v>
      </c>
      <c r="J99" s="104">
        <f>IF(ISERR('[1]Дошкольное +'!K209),"-",'[1]Дошкольное +'!K209)</f>
        <v>8.0396518375241772</v>
      </c>
      <c r="K99" s="104">
        <f>IF(ISERR('[1]Дошкольное +'!L209),"-",'[1]Дошкольное +'!L209)</f>
        <v>8.3406593406593412</v>
      </c>
      <c r="L99" s="104">
        <f>IF(ISERR('[1]Дошкольное +'!N209),"-",'[1]Дошкольное +'!N209)</f>
        <v>0</v>
      </c>
      <c r="M99" s="104" t="str">
        <f>IF(ISERR('[1]Дошкольное +'!O209),"-",'[1]Дошкольное +'!O209)</f>
        <v>-</v>
      </c>
    </row>
    <row r="100" spans="1:13" s="89" customFormat="1" hidden="1" x14ac:dyDescent="0.25">
      <c r="A100" s="13"/>
      <c r="B100" s="70" t="s">
        <v>1297</v>
      </c>
      <c r="C100" s="13"/>
      <c r="D100" s="104"/>
      <c r="E100" s="104"/>
      <c r="F100" s="104"/>
      <c r="G100" s="104"/>
      <c r="H100" s="104">
        <f>IF(ISERR('[1]Дошкольное +'!I210),"-",'[1]Дошкольное +'!I210)</f>
        <v>16.268656716417912</v>
      </c>
      <c r="I100" s="104">
        <f>IF(ISERR('[1]Дошкольное +'!J210),"-",'[1]Дошкольное +'!J210)</f>
        <v>12.132075471698114</v>
      </c>
      <c r="J100" s="104">
        <f>IF(ISERR('[1]Дошкольное +'!K210),"-",'[1]Дошкольное +'!K210)</f>
        <v>12.420289855072463</v>
      </c>
      <c r="K100" s="104">
        <f>IF(ISERR('[1]Дошкольное +'!L210),"-",'[1]Дошкольное +'!L210)</f>
        <v>5</v>
      </c>
      <c r="L100" s="104">
        <f>IF(ISERR('[1]Дошкольное +'!N210),"-",'[1]Дошкольное +'!N210)</f>
        <v>0</v>
      </c>
      <c r="M100" s="104" t="str">
        <f>IF(ISERR('[1]Дошкольное +'!O210),"-",'[1]Дошкольное +'!O210)</f>
        <v>-</v>
      </c>
    </row>
    <row r="101" spans="1:13" s="89" customFormat="1" hidden="1" x14ac:dyDescent="0.25">
      <c r="A101" s="13"/>
      <c r="B101" s="70" t="s">
        <v>2300</v>
      </c>
      <c r="C101" s="13"/>
      <c r="D101" s="104"/>
      <c r="E101" s="104"/>
      <c r="F101" s="104"/>
      <c r="G101" s="104"/>
      <c r="H101" s="104">
        <f>IF(ISERR('[1]Дошкольное +'!I211),"-",'[1]Дошкольное +'!I211)</f>
        <v>16.268656716417912</v>
      </c>
      <c r="I101" s="104">
        <f>IF(ISERR('[1]Дошкольное +'!J211),"-",'[1]Дошкольное +'!J211)</f>
        <v>12.132075471698114</v>
      </c>
      <c r="J101" s="104">
        <f>IF(ISERR('[1]Дошкольное +'!K211),"-",'[1]Дошкольное +'!K211)</f>
        <v>12.420289855072463</v>
      </c>
      <c r="K101" s="104">
        <f>IF(ISERR('[1]Дошкольное +'!L211),"-",'[1]Дошкольное +'!L211)</f>
        <v>5</v>
      </c>
      <c r="L101" s="104">
        <f>IF(ISERR('[1]Дошкольное +'!N211),"-",'[1]Дошкольное +'!N211)</f>
        <v>0</v>
      </c>
      <c r="M101" s="104" t="str">
        <f>IF(ISERR('[1]Дошкольное +'!O211),"-",'[1]Дошкольное +'!O211)</f>
        <v>-</v>
      </c>
    </row>
    <row r="102" spans="1:13" s="89" customFormat="1" hidden="1" x14ac:dyDescent="0.25">
      <c r="A102" s="13"/>
      <c r="B102" s="70" t="s">
        <v>2301</v>
      </c>
      <c r="C102" s="13"/>
      <c r="D102" s="104"/>
      <c r="E102" s="104"/>
      <c r="F102" s="104"/>
      <c r="G102" s="104"/>
      <c r="H102" s="104" t="str">
        <f>IF(ISERR('[1]Дошкольное +'!I212),"-",'[1]Дошкольное +'!I212)</f>
        <v>-</v>
      </c>
      <c r="I102" s="104" t="str">
        <f>IF(ISERR('[1]Дошкольное +'!J212),"-",'[1]Дошкольное +'!J212)</f>
        <v>-</v>
      </c>
      <c r="J102" s="104" t="str">
        <f>IF(ISERR('[1]Дошкольное +'!K212),"-",'[1]Дошкольное +'!K212)</f>
        <v>-</v>
      </c>
      <c r="K102" s="104" t="str">
        <f>IF(ISERR('[1]Дошкольное +'!L212),"-",'[1]Дошкольное +'!L212)</f>
        <v>-</v>
      </c>
      <c r="L102" s="104">
        <f>IF(ISERR('[1]Дошкольное +'!N212),"-",'[1]Дошкольное +'!N212)</f>
        <v>0</v>
      </c>
      <c r="M102" s="104" t="str">
        <f>IF(ISERR('[1]Дошкольное +'!O212),"-",'[1]Дошкольное +'!O212)</f>
        <v>-</v>
      </c>
    </row>
    <row r="103" spans="1:13" s="89" customFormat="1" ht="60" x14ac:dyDescent="0.25">
      <c r="A103" s="13" t="s">
        <v>37</v>
      </c>
      <c r="B103" s="70" t="s">
        <v>1619</v>
      </c>
      <c r="C103" s="13"/>
      <c r="D103" s="104"/>
      <c r="E103" s="104"/>
      <c r="F103" s="104"/>
      <c r="G103" s="104"/>
      <c r="H103" s="104"/>
      <c r="I103" s="104"/>
      <c r="J103" s="104"/>
      <c r="K103" s="104"/>
      <c r="L103" s="104"/>
      <c r="M103" s="104"/>
    </row>
    <row r="104" spans="1:13" s="89" customFormat="1" x14ac:dyDescent="0.25">
      <c r="A104" s="13"/>
      <c r="B104" s="70" t="s">
        <v>1620</v>
      </c>
      <c r="C104" s="13" t="s">
        <v>8</v>
      </c>
      <c r="D104" s="104"/>
      <c r="E104" s="104"/>
      <c r="F104" s="104"/>
      <c r="G104" s="104"/>
      <c r="H104" s="104">
        <f>IF(ISERR('[1]Дошкольное +'!I228),"-",'[1]Дошкольное +'!I228)</f>
        <v>76.77250978686385</v>
      </c>
      <c r="I104" s="104">
        <f>IF(ISERR('[1]Дошкольное +'!J228),"-",'[1]Дошкольное +'!J228)</f>
        <v>76.03828405400786</v>
      </c>
      <c r="J104" s="104">
        <f>IF(ISERR('[1]Дошкольное +'!K228),"-",'[1]Дошкольное +'!K228)</f>
        <v>75.32192477126398</v>
      </c>
      <c r="K104" s="104">
        <f>IF(ISERR('[1]Дошкольное +'!L228),"-",'[1]Дошкольное +'!L228)</f>
        <v>79.908675799086765</v>
      </c>
      <c r="L104" s="104">
        <f>IF(ISERR('[1]Дошкольное +'!M228),"-",'[1]Дошкольное +'!M228)</f>
        <v>78.666666666666657</v>
      </c>
      <c r="M104" s="104">
        <f>'Дошкольное +'!N228</f>
        <v>81.395348837209298</v>
      </c>
    </row>
    <row r="105" spans="1:13" s="89" customFormat="1" x14ac:dyDescent="0.25">
      <c r="A105" s="13"/>
      <c r="B105" s="70" t="s">
        <v>1621</v>
      </c>
      <c r="C105" s="13" t="s">
        <v>8</v>
      </c>
      <c r="D105" s="104"/>
      <c r="E105" s="104"/>
      <c r="F105" s="104"/>
      <c r="G105" s="104"/>
      <c r="H105" s="104">
        <f>IF(ISERR('[1]Дошкольное +'!I229),"-",'[1]Дошкольное +'!I229)</f>
        <v>2.2879512831665942</v>
      </c>
      <c r="I105" s="104">
        <f>IF(ISERR('[1]Дошкольное +'!J229),"-",'[1]Дошкольное +'!J229)</f>
        <v>2.3243889933344728</v>
      </c>
      <c r="J105" s="104">
        <f>IF(ISERR('[1]Дошкольное +'!K229),"-",'[1]Дошкольное +'!K229)</f>
        <v>2.3466621484242629</v>
      </c>
      <c r="K105" s="104">
        <f>IF(ISERR('[1]Дошкольное +'!L229),"-",'[1]Дошкольное +'!L229)</f>
        <v>0.91324200913242004</v>
      </c>
      <c r="L105" s="104">
        <f>IF(ISERR('[1]Дошкольное +'!M229),"-",'[1]Дошкольное +'!M229)</f>
        <v>1.3333333333333335</v>
      </c>
      <c r="M105" s="104">
        <f>'Дошкольное +'!N229</f>
        <v>0.93023255813953487</v>
      </c>
    </row>
    <row r="106" spans="1:13" s="89" customFormat="1" x14ac:dyDescent="0.25">
      <c r="A106" s="13"/>
      <c r="B106" s="70" t="s">
        <v>1622</v>
      </c>
      <c r="C106" s="13" t="s">
        <v>8</v>
      </c>
      <c r="D106" s="104"/>
      <c r="E106" s="104"/>
      <c r="F106" s="104"/>
      <c r="G106" s="104"/>
      <c r="H106" s="104">
        <f>IF(ISERR('[1]Дошкольное +'!I230),"-",'[1]Дошкольное +'!I230)</f>
        <v>5.6198347107438016</v>
      </c>
      <c r="I106" s="104">
        <f>IF(ISERR('[1]Дошкольное +'!J230),"-",'[1]Дошкольное +'!J230)</f>
        <v>4.5035036745855415</v>
      </c>
      <c r="J106" s="104">
        <f>IF(ISERR('[1]Дошкольное +'!K230),"-",'[1]Дошкольное +'!K230)</f>
        <v>4.4561165706540153</v>
      </c>
      <c r="K106" s="104">
        <f>IF(ISERR('[1]Дошкольное +'!L230),"-",'[1]Дошкольное +'!L230)</f>
        <v>6.8493150684931505</v>
      </c>
      <c r="L106" s="104">
        <f>IF(ISERR('[1]Дошкольное +'!M230),"-",'[1]Дошкольное +'!M230)</f>
        <v>6.2222222222222223</v>
      </c>
      <c r="M106" s="104">
        <f>'Дошкольное +'!N230</f>
        <v>4.6511627906976747</v>
      </c>
    </row>
    <row r="107" spans="1:13" s="89" customFormat="1" x14ac:dyDescent="0.25">
      <c r="A107" s="13"/>
      <c r="B107" s="70" t="s">
        <v>1623</v>
      </c>
      <c r="C107" s="13" t="s">
        <v>8</v>
      </c>
      <c r="D107" s="104"/>
      <c r="E107" s="104"/>
      <c r="F107" s="104"/>
      <c r="G107" s="104"/>
      <c r="H107" s="104">
        <f>IF(ISERR('[1]Дошкольное +'!I231),"-",'[1]Дошкольное +'!I231)</f>
        <v>4.5846020008699435</v>
      </c>
      <c r="I107" s="104">
        <f>IF(ISERR('[1]Дошкольное +'!J231),"-",'[1]Дошкольное +'!J231)</f>
        <v>3.6404033498547252</v>
      </c>
      <c r="J107" s="104">
        <f>IF(ISERR('[1]Дошкольное +'!K231),"-",'[1]Дошкольное +'!K231)</f>
        <v>3.6682480515079634</v>
      </c>
      <c r="K107" s="104">
        <f>IF(ISERR('[1]Дошкольное +'!L231),"-",'[1]Дошкольное +'!L231)</f>
        <v>4.5662100456620998</v>
      </c>
      <c r="L107" s="104">
        <f>IF(ISERR('[1]Дошкольное +'!M231),"-",'[1]Дошкольное +'!M231)</f>
        <v>4.8888888888888893</v>
      </c>
      <c r="M107" s="104">
        <f>'Дошкольное +'!N231</f>
        <v>5.1162790697674421</v>
      </c>
    </row>
    <row r="108" spans="1:13" s="89" customFormat="1" x14ac:dyDescent="0.25">
      <c r="A108" s="13"/>
      <c r="B108" s="70" t="s">
        <v>1624</v>
      </c>
      <c r="C108" s="13" t="s">
        <v>8</v>
      </c>
      <c r="D108" s="104"/>
      <c r="E108" s="104"/>
      <c r="F108" s="104"/>
      <c r="G108" s="104"/>
      <c r="H108" s="104">
        <f>IF(ISERR('[1]Дошкольное +'!I232),"-",'[1]Дошкольное +'!I232)</f>
        <v>4.9412788168769035</v>
      </c>
      <c r="I108" s="104">
        <f>IF(ISERR('[1]Дошкольное +'!J232),"-",'[1]Дошкольное +'!J232)</f>
        <v>5.3238762604682961</v>
      </c>
      <c r="J108" s="104">
        <f>IF(ISERR('[1]Дошкольное +'!K232),"-",'[1]Дошкольное +'!K232)</f>
        <v>5.5743815655709925</v>
      </c>
      <c r="K108" s="104">
        <f>IF(ISERR('[1]Дошкольное +'!L232),"-",'[1]Дошкольное +'!L232)</f>
        <v>3.6529680365296802</v>
      </c>
      <c r="L108" s="104">
        <f>IF(ISERR('[1]Дошкольное +'!M232),"-",'[1]Дошкольное +'!M232)</f>
        <v>3.5555555555555554</v>
      </c>
      <c r="M108" s="104">
        <f>'Дошкольное +'!N232</f>
        <v>3.7209302325581395</v>
      </c>
    </row>
    <row r="109" spans="1:13" s="89" customFormat="1" x14ac:dyDescent="0.25">
      <c r="A109" s="13"/>
      <c r="B109" s="70" t="s">
        <v>1625</v>
      </c>
      <c r="C109" s="13" t="s">
        <v>8</v>
      </c>
      <c r="D109" s="104"/>
      <c r="E109" s="104"/>
      <c r="F109" s="104"/>
      <c r="G109" s="104"/>
      <c r="H109" s="104">
        <f>IF(ISERR('[1]Дошкольное +'!I233),"-",'[1]Дошкольное +'!I233)</f>
        <v>0.93083949543279687</v>
      </c>
      <c r="I109" s="104">
        <f>IF(ISERR('[1]Дошкольное +'!J233),"-",'[1]Дошкольное +'!J233)</f>
        <v>0.98273799350538371</v>
      </c>
      <c r="J109" s="104">
        <f>IF(ISERR('[1]Дошкольное +'!K233),"-",'[1]Дошкольное +'!K233)</f>
        <v>1.0250762453405626</v>
      </c>
      <c r="K109" s="104">
        <f>IF(ISERR('[1]Дошкольное +'!L233),"-",'[1]Дошкольное +'!L233)</f>
        <v>0</v>
      </c>
      <c r="L109" s="104">
        <f>IF(ISERR('[1]Дошкольное +'!M233),"-",'[1]Дошкольное +'!M233)</f>
        <v>0</v>
      </c>
      <c r="M109" s="104">
        <f>'Дошкольное +'!N233</f>
        <v>0</v>
      </c>
    </row>
    <row r="110" spans="1:13" s="89" customFormat="1" x14ac:dyDescent="0.25">
      <c r="A110" s="13"/>
      <c r="B110" s="70" t="s">
        <v>1626</v>
      </c>
      <c r="C110" s="13" t="s">
        <v>8</v>
      </c>
      <c r="D110" s="104"/>
      <c r="E110" s="104"/>
      <c r="F110" s="104"/>
      <c r="G110" s="104"/>
      <c r="H110" s="104">
        <f>IF(ISERR('[1]Дошкольное +'!I234),"-",'[1]Дошкольное +'!I234)</f>
        <v>3.0709003914745541</v>
      </c>
      <c r="I110" s="104">
        <f>IF(ISERR('[1]Дошкольное +'!J234),"-",'[1]Дошкольное +'!J234)</f>
        <v>3.2814903435310203</v>
      </c>
      <c r="J110" s="104">
        <f>IF(ISERR('[1]Дошкольное +'!K234),"-",'[1]Дошкольное +'!K234)</f>
        <v>3.4988139613690272</v>
      </c>
      <c r="K110" s="104">
        <f>IF(ISERR('[1]Дошкольное +'!L234),"-",'[1]Дошкольное +'!L234)</f>
        <v>2.2831050228310499</v>
      </c>
      <c r="L110" s="104">
        <f>IF(ISERR('[1]Дошкольное +'!M234),"-",'[1]Дошкольное +'!M234)</f>
        <v>2.666666666666667</v>
      </c>
      <c r="M110" s="104">
        <f>'Дошкольное +'!N234</f>
        <v>3.2558139534883721</v>
      </c>
    </row>
    <row r="111" spans="1:13" s="89" customFormat="1" x14ac:dyDescent="0.25">
      <c r="A111" s="13"/>
      <c r="B111" s="70" t="s">
        <v>1627</v>
      </c>
      <c r="C111" s="13" t="s">
        <v>8</v>
      </c>
      <c r="D111" s="104"/>
      <c r="E111" s="104"/>
      <c r="F111" s="104"/>
      <c r="G111" s="104"/>
      <c r="H111" s="104">
        <f>IF(ISERR('[1]Дошкольное +'!I235),"-",'[1]Дошкольное +'!I235)</f>
        <v>0.25228360156589819</v>
      </c>
      <c r="I111" s="104">
        <f>IF(ISERR('[1]Дошкольное +'!J235),"-",'[1]Дошкольное +'!J235)</f>
        <v>0.24782088531874893</v>
      </c>
      <c r="J111" s="104">
        <f>IF(ISERR('[1]Дошкольное +'!K235),"-",'[1]Дошкольное +'!K235)</f>
        <v>0.30498136225008471</v>
      </c>
      <c r="K111" s="104">
        <f>IF(ISERR('[1]Дошкольное +'!L235),"-",'[1]Дошкольное +'!L235)</f>
        <v>0</v>
      </c>
      <c r="L111" s="104">
        <f>IF(ISERR('[1]Дошкольное +'!M235),"-",'[1]Дошкольное +'!M235)</f>
        <v>0</v>
      </c>
      <c r="M111" s="104">
        <f>'Дошкольное +'!N235</f>
        <v>0</v>
      </c>
    </row>
    <row r="112" spans="1:13" s="89" customFormat="1" x14ac:dyDescent="0.25">
      <c r="A112" s="13"/>
      <c r="B112" s="70" t="s">
        <v>1628</v>
      </c>
      <c r="C112" s="13" t="s">
        <v>8</v>
      </c>
      <c r="D112" s="104"/>
      <c r="E112" s="104"/>
      <c r="F112" s="104"/>
      <c r="G112" s="104"/>
      <c r="H112" s="104">
        <f>IF(ISERR('[1]Дошкольное +'!I236),"-",'[1]Дошкольное +'!I236)</f>
        <v>0.19138755980861244</v>
      </c>
      <c r="I112" s="104">
        <f>IF(ISERR('[1]Дошкольное +'!J236),"-",'[1]Дошкольное +'!J236)</f>
        <v>0.23927533754913691</v>
      </c>
      <c r="J112" s="104">
        <f>IF(ISERR('[1]Дошкольное +'!K236),"-",'[1]Дошкольное +'!K236)</f>
        <v>0.26262283971535072</v>
      </c>
      <c r="K112" s="104">
        <f>IF(ISERR('[1]Дошкольное +'!L236),"-",'[1]Дошкольное +'!L236)</f>
        <v>0</v>
      </c>
      <c r="L112" s="104">
        <f>IF(ISERR('[1]Дошкольное +'!M236),"-",'[1]Дошкольное +'!M236)</f>
        <v>0</v>
      </c>
      <c r="M112" s="104">
        <f>'Дошкольное +'!N236</f>
        <v>0</v>
      </c>
    </row>
    <row r="113" spans="1:13" s="89" customFormat="1" x14ac:dyDescent="0.25">
      <c r="A113" s="13"/>
      <c r="B113" s="70" t="s">
        <v>1629</v>
      </c>
      <c r="C113" s="13" t="s">
        <v>8</v>
      </c>
      <c r="D113" s="104"/>
      <c r="E113" s="104"/>
      <c r="F113" s="104"/>
      <c r="G113" s="104"/>
      <c r="H113" s="104">
        <f>IF(ISERR('[1]Дошкольное +'!I237),"-",'[1]Дошкольное +'!I237)</f>
        <v>4.3497172683775558E-2</v>
      </c>
      <c r="I113" s="104">
        <f>IF(ISERR('[1]Дошкольное +'!J237),"-",'[1]Дошкольное +'!J237)</f>
        <v>0.15381985985301658</v>
      </c>
      <c r="J113" s="104">
        <f>IF(ISERR('[1]Дошкольное +'!K237),"-",'[1]Дошкольное +'!K237)</f>
        <v>0.22873602168756355</v>
      </c>
      <c r="K113" s="104">
        <f>IF(ISERR('[1]Дошкольное +'!L237),"-",'[1]Дошкольное +'!L237)</f>
        <v>0.45662100456621002</v>
      </c>
      <c r="L113" s="104">
        <f>IF(ISERR('[1]Дошкольное +'!M237),"-",'[1]Дошкольное +'!M237)</f>
        <v>1.3333333333333335</v>
      </c>
      <c r="M113" s="104">
        <f>'Дошкольное +'!N237</f>
        <v>0.93023255813953487</v>
      </c>
    </row>
    <row r="114" spans="1:13" s="89" customFormat="1" ht="60" x14ac:dyDescent="0.25">
      <c r="A114" s="77" t="s">
        <v>1793</v>
      </c>
      <c r="B114" s="110" t="s">
        <v>36</v>
      </c>
      <c r="C114" s="77" t="s">
        <v>8</v>
      </c>
      <c r="D114" s="104">
        <f>IF(ISERR('[1]Дошкольное +'!E249),"-",'[1]Дошкольное +'!E249)</f>
        <v>96.9</v>
      </c>
      <c r="E114" s="104">
        <f>IF(ISERR('[1]Дошкольное +'!F249),"-",'[1]Дошкольное +'!F249)</f>
        <v>99</v>
      </c>
      <c r="F114" s="104">
        <f>IF(ISERR('[1]Дошкольное +'!G249),"-",'[1]Дошкольное +'!G249)</f>
        <v>100.29</v>
      </c>
      <c r="G114" s="104">
        <f>IF(ISERR('[1]Дошкольное +'!H249),"-",'[1]Дошкольное +'!H249)</f>
        <v>99.84</v>
      </c>
      <c r="H114" s="104">
        <f>IF(ISERR('[1]Дошкольное +'!I249),"-",'[1]Дошкольное +'!I249)</f>
        <v>100.3</v>
      </c>
      <c r="I114" s="104">
        <f>IF(ISERR('[1]Дошкольное +'!J249),"-",'[1]Дошкольное +'!J249)</f>
        <v>99.07</v>
      </c>
      <c r="J114" s="104">
        <f>IF(ISERR('[1]Дошкольное +'!K249),"-",'[1]Дошкольное +'!K249)</f>
        <v>99.88</v>
      </c>
      <c r="K114" s="104">
        <f>IF(ISERR('[1]Дошкольное +'!L249),"-",'[1]Дошкольное +'!L249)</f>
        <v>98.87</v>
      </c>
      <c r="L114" s="104">
        <f>IF(ISERR('[1]Дошкольное +'!M249),"-",'[1]Дошкольное +'!M249)</f>
        <v>92.4</v>
      </c>
      <c r="M114" s="104">
        <f>'Дошкольное +'!N249</f>
        <v>84.3</v>
      </c>
    </row>
    <row r="115" spans="1:13" s="89" customFormat="1" ht="30" x14ac:dyDescent="0.25">
      <c r="A115" s="99" t="s">
        <v>48</v>
      </c>
      <c r="B115" s="100" t="s">
        <v>47</v>
      </c>
      <c r="C115" s="13"/>
      <c r="D115" s="93"/>
      <c r="E115" s="93"/>
      <c r="F115" s="93"/>
      <c r="G115" s="93"/>
      <c r="H115" s="93"/>
      <c r="I115" s="93"/>
      <c r="J115" s="93"/>
      <c r="K115" s="93"/>
      <c r="L115" s="93"/>
      <c r="M115" s="93"/>
    </row>
    <row r="116" spans="1:13" s="89" customFormat="1" ht="30" x14ac:dyDescent="0.25">
      <c r="A116" s="13" t="s">
        <v>49</v>
      </c>
      <c r="B116" s="70" t="s">
        <v>1630</v>
      </c>
      <c r="C116" s="13" t="s">
        <v>1111</v>
      </c>
      <c r="D116" s="93"/>
      <c r="E116" s="93"/>
      <c r="F116" s="93"/>
      <c r="G116" s="93"/>
      <c r="H116" s="93">
        <f>IF(ISERR('[1]Дошкольное +'!I256),"-",'[1]Дошкольное +'!I256)</f>
        <v>9.8765809154626254</v>
      </c>
      <c r="I116" s="93">
        <f>IF(ISERR('[1]Дошкольное +'!J256),"-",'[1]Дошкольное +'!J256)</f>
        <v>9.5869805246017243</v>
      </c>
      <c r="J116" s="93">
        <f>IF(ISERR('[1]Дошкольное +'!K256),"-",'[1]Дошкольное +'!K256)</f>
        <v>9.7452957619646181</v>
      </c>
      <c r="K116" s="93">
        <f>IF(ISERR('[1]Дошкольное +'!L256),"-",'[1]Дошкольное +'!L256)</f>
        <v>7.9767582417582412</v>
      </c>
      <c r="L116" s="93">
        <f>'Дошкольное +'!M256</f>
        <v>10.275029239766081</v>
      </c>
      <c r="M116" s="93">
        <f>'Дошкольное +'!N256</f>
        <v>11.006238418777022</v>
      </c>
    </row>
    <row r="117" spans="1:13" s="89" customFormat="1" ht="30" hidden="1" x14ac:dyDescent="0.25">
      <c r="A117" s="13"/>
      <c r="B117" s="70" t="s">
        <v>1301</v>
      </c>
      <c r="C117" s="13" t="s">
        <v>1111</v>
      </c>
      <c r="D117" s="93" t="str">
        <f>IF(ISERR('[1]Дошкольное +'!E256),"-",'[1]Дошкольное +'!E256)</f>
        <v>-</v>
      </c>
      <c r="E117" s="93">
        <f>IF(ISERR('[1]Дошкольное +'!F256),"-",'[1]Дошкольное +'!F256)</f>
        <v>10.14</v>
      </c>
      <c r="F117" s="93">
        <f>IF(ISERR('[1]Дошкольное +'!G256),"-",'[1]Дошкольное +'!G256)</f>
        <v>9.17</v>
      </c>
      <c r="G117" s="93">
        <f>IF(ISERR('[1]Дошкольное +'!H256),"-",'[1]Дошкольное +'!H256)</f>
        <v>10.118893325040627</v>
      </c>
      <c r="H117" s="93">
        <f>IF(ISERR('[1]Дошкольное +'!I256),"-",'[1]Дошкольное +'!I256)</f>
        <v>9.8765809154626254</v>
      </c>
      <c r="I117" s="93">
        <f>IF(ISERR('[1]Дошкольное +'!J256),"-",'[1]Дошкольное +'!J256)</f>
        <v>9.5869805246017243</v>
      </c>
      <c r="J117" s="93">
        <f>IF(ISERR('[1]Дошкольное +'!K256),"-",'[1]Дошкольное +'!K256)</f>
        <v>9.7452957619646181</v>
      </c>
      <c r="K117" s="93">
        <f>IF(ISERR('[1]Дошкольное +'!L256),"-",'[1]Дошкольное +'!L256)</f>
        <v>7.9767582417582412</v>
      </c>
      <c r="L117" s="93">
        <f>IF(ISERR('[1]Дошкольное +'!N256),"-",'[1]Дошкольное +'!N256)</f>
        <v>0</v>
      </c>
      <c r="M117" s="93">
        <f>'Дошкольное +'!N257</f>
        <v>12.621420996818664</v>
      </c>
    </row>
    <row r="118" spans="1:13" s="89" customFormat="1" ht="30" hidden="1" x14ac:dyDescent="0.25">
      <c r="A118" s="13"/>
      <c r="B118" s="70" t="s">
        <v>1303</v>
      </c>
      <c r="C118" s="13" t="s">
        <v>1111</v>
      </c>
      <c r="D118" s="93" t="str">
        <f>IF(ISERR('[1]Дошкольное +'!E257),"-",'[1]Дошкольное +'!E257)</f>
        <v>-</v>
      </c>
      <c r="E118" s="93">
        <f>IF(ISERR('[1]Дошкольное +'!F257),"-",'[1]Дошкольное +'!F257)</f>
        <v>10</v>
      </c>
      <c r="F118" s="93">
        <f>IF(ISERR('[1]Дошкольное +'!G257),"-",'[1]Дошкольное +'!G257)</f>
        <v>9.2200000000000006</v>
      </c>
      <c r="G118" s="93">
        <f>IF(ISERR('[1]Дошкольное +'!H257),"-",'[1]Дошкольное +'!H257)</f>
        <v>10.015639158662303</v>
      </c>
      <c r="H118" s="93">
        <f>IF(ISERR('[1]Дошкольное +'!I257),"-",'[1]Дошкольное +'!I257)</f>
        <v>9.7540341386064728</v>
      </c>
      <c r="I118" s="93">
        <f>IF(ISERR('[1]Дошкольное +'!J257),"-",'[1]Дошкольное +'!J257)</f>
        <v>9.4169430178527751</v>
      </c>
      <c r="J118" s="93">
        <f>IF(ISERR('[1]Дошкольное +'!K257),"-",'[1]Дошкольное +'!K257)</f>
        <v>9.6511540029633167</v>
      </c>
      <c r="K118" s="93">
        <f>IF(ISERR('[1]Дошкольное +'!L257),"-",'[1]Дошкольное +'!L257)</f>
        <v>9.2156456173421297</v>
      </c>
      <c r="L118" s="93">
        <f>IF(ISERR('[1]Дошкольное +'!N257),"-",'[1]Дошкольное +'!N257)</f>
        <v>0</v>
      </c>
      <c r="M118" s="93">
        <f>'Дошкольное +'!N258</f>
        <v>8.7531065088757405</v>
      </c>
    </row>
    <row r="119" spans="1:13" s="89" customFormat="1" ht="30" hidden="1" x14ac:dyDescent="0.25">
      <c r="A119" s="13"/>
      <c r="B119" s="70" t="s">
        <v>1304</v>
      </c>
      <c r="C119" s="13" t="s">
        <v>1111</v>
      </c>
      <c r="D119" s="93" t="str">
        <f>IF(ISERR('[1]Дошкольное +'!E258),"-",'[1]Дошкольное +'!E258)</f>
        <v>-</v>
      </c>
      <c r="E119" s="93">
        <f>IF(ISERR('[1]Дошкольное +'!F258),"-",'[1]Дошкольное +'!F258)</f>
        <v>12.11</v>
      </c>
      <c r="F119" s="93">
        <f>IF(ISERR('[1]Дошкольное +'!G258),"-",'[1]Дошкольное +'!G258)</f>
        <v>8.64</v>
      </c>
      <c r="G119" s="93">
        <f>IF(ISERR('[1]Дошкольное +'!H258),"-",'[1]Дошкольное +'!H258)</f>
        <v>11.765255821859595</v>
      </c>
      <c r="H119" s="93">
        <f>IF(ISERR('[1]Дошкольное +'!I258),"-",'[1]Дошкольное +'!I258)</f>
        <v>11.963119816481383</v>
      </c>
      <c r="I119" s="93">
        <f>IF(ISERR('[1]Дошкольное +'!J258),"-",'[1]Дошкольное +'!J258)</f>
        <v>12.717759365994237</v>
      </c>
      <c r="J119" s="93">
        <f>IF(ISERR('[1]Дошкольное +'!K258),"-",'[1]Дошкольное +'!K258)</f>
        <v>11.311931160019858</v>
      </c>
      <c r="K119" s="93">
        <f>IF(ISERR('[1]Дошкольное +'!L258),"-",'[1]Дошкольное +'!L258)</f>
        <v>6.2449275362318835</v>
      </c>
      <c r="L119" s="93">
        <f>IF(ISERR('[1]Дошкольное +'!N258),"-",'[1]Дошкольное +'!N258)</f>
        <v>0</v>
      </c>
      <c r="M119" s="93">
        <f>'Дошкольное +'!N259</f>
        <v>7.8166666666666664</v>
      </c>
    </row>
    <row r="120" spans="1:13" s="89" customFormat="1" ht="30" hidden="1" x14ac:dyDescent="0.25">
      <c r="A120" s="13"/>
      <c r="B120" s="70" t="s">
        <v>1302</v>
      </c>
      <c r="C120" s="13" t="s">
        <v>1111</v>
      </c>
      <c r="D120" s="93" t="str">
        <f>IF(ISERR('[1]Дошкольное +'!E259),"-",'[1]Дошкольное +'!E259)</f>
        <v>-</v>
      </c>
      <c r="E120" s="93">
        <f>IF(ISERR('[1]Дошкольное +'!F259),"-",'[1]Дошкольное +'!F259)</f>
        <v>5.84</v>
      </c>
      <c r="F120" s="93">
        <f>IF(ISERR('[1]Дошкольное +'!G259),"-",'[1]Дошкольное +'!G259)</f>
        <v>7.1190476190476186</v>
      </c>
      <c r="G120" s="93">
        <f>IF(ISERR('[1]Дошкольное +'!H259),"-",'[1]Дошкольное +'!H259)</f>
        <v>3.4591836734693877</v>
      </c>
      <c r="H120" s="93">
        <f>IF(ISERR('[1]Дошкольное +'!I259),"-",'[1]Дошкольное +'!I259)</f>
        <v>4.2522935779816518</v>
      </c>
      <c r="I120" s="93">
        <f>IF(ISERR('[1]Дошкольное +'!J259),"-",'[1]Дошкольное +'!J259)</f>
        <v>7.5309033280507132</v>
      </c>
      <c r="J120" s="93">
        <f>IF(ISERR('[1]Дошкольное +'!K259),"-",'[1]Дошкольное +'!K259)</f>
        <v>6.8401400233372227</v>
      </c>
      <c r="K120" s="93">
        <f>IF(ISERR('[1]Дошкольное +'!L259),"-",'[1]Дошкольное +'!L259)</f>
        <v>9.379999999999999</v>
      </c>
      <c r="L120" s="93">
        <f>IF(ISERR('[1]Дошкольное +'!N259),"-",'[1]Дошкольное +'!N259)</f>
        <v>0</v>
      </c>
      <c r="M120" s="93">
        <f>'Дошкольное +'!N260</f>
        <v>7.8166666666666664</v>
      </c>
    </row>
    <row r="121" spans="1:13" s="89" customFormat="1" ht="30" hidden="1" x14ac:dyDescent="0.25">
      <c r="A121" s="13"/>
      <c r="B121" s="70" t="s">
        <v>1303</v>
      </c>
      <c r="C121" s="13" t="s">
        <v>1111</v>
      </c>
      <c r="D121" s="93" t="str">
        <f>IF(ISERR('[1]Дошкольное +'!E260),"-",'[1]Дошкольное +'!E260)</f>
        <v>-</v>
      </c>
      <c r="E121" s="93">
        <f>IF(ISERR('[1]Дошкольное +'!F260),"-",'[1]Дошкольное +'!F260)</f>
        <v>5.84</v>
      </c>
      <c r="F121" s="93">
        <f>IF(ISERR('[1]Дошкольное +'!G260),"-",'[1]Дошкольное +'!G260)</f>
        <v>7.1190476190476186</v>
      </c>
      <c r="G121" s="93">
        <f>IF(ISERR('[1]Дошкольное +'!H260),"-",'[1]Дошкольное +'!H260)</f>
        <v>3.4591836734693877</v>
      </c>
      <c r="H121" s="93">
        <f>IF(ISERR('[1]Дошкольное +'!I260),"-",'[1]Дошкольное +'!I260)</f>
        <v>4.2522935779816518</v>
      </c>
      <c r="I121" s="93">
        <f>IF(ISERR('[1]Дошкольное +'!J260),"-",'[1]Дошкольное +'!J260)</f>
        <v>7.5309033280507132</v>
      </c>
      <c r="J121" s="93">
        <f>IF(ISERR('[1]Дошкольное +'!K260),"-",'[1]Дошкольное +'!K260)</f>
        <v>6.8401400233372227</v>
      </c>
      <c r="K121" s="93">
        <f>IF(ISERR('[1]Дошкольное +'!L260),"-",'[1]Дошкольное +'!L260)</f>
        <v>9.379999999999999</v>
      </c>
      <c r="L121" s="93">
        <f>IF(ISERR('[1]Дошкольное +'!N260),"-",'[1]Дошкольное +'!N260)</f>
        <v>0</v>
      </c>
      <c r="M121" s="93" t="e">
        <f>'Дошкольное +'!N261</f>
        <v>#DIV/0!</v>
      </c>
    </row>
    <row r="122" spans="1:13" s="89" customFormat="1" ht="30" hidden="1" x14ac:dyDescent="0.25">
      <c r="A122" s="13"/>
      <c r="B122" s="70" t="s">
        <v>1304</v>
      </c>
      <c r="C122" s="13" t="s">
        <v>1111</v>
      </c>
      <c r="D122" s="93" t="str">
        <f>IF(ISERR('[1]Дошкольное +'!E261),"-",'[1]Дошкольное +'!E261)</f>
        <v>-</v>
      </c>
      <c r="E122" s="93" t="str">
        <f>IF(ISERR('[1]Дошкольное +'!F261),"-",'[1]Дошкольное +'!F261)</f>
        <v>-</v>
      </c>
      <c r="F122" s="93" t="str">
        <f>IF(ISERR('[1]Дошкольное +'!G261),"-",'[1]Дошкольное +'!G261)</f>
        <v>-</v>
      </c>
      <c r="G122" s="93" t="str">
        <f>IF(ISERR('[1]Дошкольное +'!H261),"-",'[1]Дошкольное +'!H261)</f>
        <v>-</v>
      </c>
      <c r="H122" s="93" t="str">
        <f>IF(ISERR('[1]Дошкольное +'!I261),"-",'[1]Дошкольное +'!I261)</f>
        <v>-</v>
      </c>
      <c r="I122" s="93" t="str">
        <f>IF(ISERR('[1]Дошкольное +'!J261),"-",'[1]Дошкольное +'!J261)</f>
        <v>-</v>
      </c>
      <c r="J122" s="93" t="str">
        <f>IF(ISERR('[1]Дошкольное +'!K261),"-",'[1]Дошкольное +'!K261)</f>
        <v>-</v>
      </c>
      <c r="K122" s="93" t="str">
        <f>IF(ISERR('[1]Дошкольное +'!L261),"-",'[1]Дошкольное +'!L261)</f>
        <v>-</v>
      </c>
      <c r="L122" s="93">
        <f>IF(ISERR('[1]Дошкольное +'!N261),"-",'[1]Дошкольное +'!N261)</f>
        <v>0</v>
      </c>
      <c r="M122" s="93">
        <f>'Дошкольное +'!N262</f>
        <v>17912.899999999998</v>
      </c>
    </row>
    <row r="123" spans="1:13" s="89" customFormat="1" ht="45" x14ac:dyDescent="0.25">
      <c r="A123" s="13" t="s">
        <v>55</v>
      </c>
      <c r="B123" s="70" t="s">
        <v>1631</v>
      </c>
      <c r="C123" s="13" t="s">
        <v>8</v>
      </c>
      <c r="D123" s="93"/>
      <c r="E123" s="93"/>
      <c r="F123" s="93"/>
      <c r="G123" s="93"/>
      <c r="H123" s="104">
        <f>IF(ISERR('[1]Дошкольное +'!I282),"-",'[1]Дошкольное +'!I282)</f>
        <v>94.134897360703818</v>
      </c>
      <c r="I123" s="104">
        <f>IF(ISERR('[1]Дошкольное +'!J282),"-",'[1]Дошкольное +'!J282)</f>
        <v>98.68421052631578</v>
      </c>
      <c r="J123" s="104">
        <v>98.3</v>
      </c>
      <c r="K123" s="104">
        <f>IF(ISERR('[1]Дошкольное +'!L282),"-",'[1]Дошкольное +'!L282)</f>
        <v>100</v>
      </c>
      <c r="L123" s="104">
        <f>IF(ISERR('[1]Дошкольное +'!M282),"-",'[1]Дошкольное +'!M282)</f>
        <v>100</v>
      </c>
      <c r="M123" s="93">
        <f>'Дошкольное +'!N282</f>
        <v>100</v>
      </c>
    </row>
    <row r="124" spans="1:13" s="89" customFormat="1" hidden="1" x14ac:dyDescent="0.25">
      <c r="A124" s="13"/>
      <c r="B124" s="70" t="s">
        <v>1307</v>
      </c>
      <c r="C124" s="13" t="s">
        <v>8</v>
      </c>
      <c r="D124" s="104">
        <f>IF(ISERR('[1]Дошкольное +'!E283),"-",'[1]Дошкольное +'!E283)</f>
        <v>95.399515738498792</v>
      </c>
      <c r="E124" s="104">
        <f>IF(ISERR('[1]Дошкольное +'!F283),"-",'[1]Дошкольное +'!F283)</f>
        <v>96.7</v>
      </c>
      <c r="F124" s="104">
        <f>IF(ISERR('[1]Дошкольное +'!G283),"-",'[1]Дошкольное +'!G283)</f>
        <v>96.143250688705237</v>
      </c>
      <c r="G124" s="104">
        <f>IF(ISERR('[1]Дошкольное +'!H283),"-",'[1]Дошкольное +'!H283)</f>
        <v>95.977011494252878</v>
      </c>
      <c r="H124" s="104">
        <f>IF(ISERR('[1]Дошкольное +'!I283),"-",'[1]Дошкольное +'!I283)</f>
        <v>98.240469208211152</v>
      </c>
      <c r="I124" s="104">
        <f>IF(ISERR('[1]Дошкольное +'!J283),"-",'[1]Дошкольное +'!J283)</f>
        <v>99.342105263157904</v>
      </c>
      <c r="J124" s="104">
        <f>IF(ISERR('[1]Дошкольное +'!K283),"-",'[1]Дошкольное +'!K283)</f>
        <v>99.661016949152554</v>
      </c>
      <c r="K124" s="104">
        <f>IF(ISERR('[1]Дошкольное +'!L283),"-",'[1]Дошкольное +'!L283)</f>
        <v>100</v>
      </c>
      <c r="L124" s="104">
        <f>IF(ISERR('[1]Дошкольное +'!N283),"-",'[1]Дошкольное +'!N283)</f>
        <v>0</v>
      </c>
      <c r="M124" s="93">
        <f>'Дошкольное +'!N264</f>
        <v>11902</v>
      </c>
    </row>
    <row r="125" spans="1:13" s="89" customFormat="1" hidden="1" x14ac:dyDescent="0.25">
      <c r="A125" s="13"/>
      <c r="B125" s="70" t="s">
        <v>1303</v>
      </c>
      <c r="C125" s="13" t="s">
        <v>8</v>
      </c>
      <c r="D125" s="104">
        <f>IF(ISERR('[1]Дошкольное +'!E284),"-",'[1]Дошкольное +'!E284)</f>
        <v>96.960486322188459</v>
      </c>
      <c r="E125" s="104">
        <f>IF(ISERR('[1]Дошкольное +'!F284),"-",'[1]Дошкольное +'!F284)</f>
        <v>100</v>
      </c>
      <c r="F125" s="104">
        <f>IF(ISERR('[1]Дошкольное +'!G284),"-",'[1]Дошкольное +'!G284)</f>
        <v>98.993288590604024</v>
      </c>
      <c r="G125" s="104">
        <f>IF(ISERR('[1]Дошкольное +'!H284),"-",'[1]Дошкольное +'!H284)</f>
        <v>98.943661971830991</v>
      </c>
      <c r="H125" s="104">
        <f>IF(ISERR('[1]Дошкольное +'!I284),"-",'[1]Дошкольное +'!I284)</f>
        <v>100</v>
      </c>
      <c r="I125" s="104">
        <f>IF(ISERR('[1]Дошкольное +'!J284),"-",'[1]Дошкольное +'!J284)</f>
        <v>100</v>
      </c>
      <c r="J125" s="104">
        <f>IF(ISERR('[1]Дошкольное +'!K284),"-",'[1]Дошкольное +'!K284)</f>
        <v>99.601593625498012</v>
      </c>
      <c r="K125" s="104">
        <f>IF(ISERR('[1]Дошкольное +'!L284),"-",'[1]Дошкольное +'!L284)</f>
        <v>100</v>
      </c>
      <c r="L125" s="104">
        <f>IF(ISERR('[1]Дошкольное +'!N284),"-",'[1]Дошкольное +'!N284)</f>
        <v>0</v>
      </c>
      <c r="M125" s="93">
        <f>'Дошкольное +'!N265</f>
        <v>5917.1</v>
      </c>
    </row>
    <row r="126" spans="1:13" s="89" customFormat="1" hidden="1" x14ac:dyDescent="0.25">
      <c r="A126" s="13"/>
      <c r="B126" s="70" t="s">
        <v>1304</v>
      </c>
      <c r="C126" s="13" t="s">
        <v>8</v>
      </c>
      <c r="D126" s="104">
        <f>IF(ISERR('[1]Дошкольное +'!E285),"-",'[1]Дошкольное +'!E285)</f>
        <v>89.285714285714292</v>
      </c>
      <c r="E126" s="104">
        <f>IF(ISERR('[1]Дошкольное +'!F285),"-",'[1]Дошкольное +'!F285)</f>
        <v>83.1</v>
      </c>
      <c r="F126" s="104">
        <f>IF(ISERR('[1]Дошкольное +'!G285),"-",'[1]Дошкольное +'!G285)</f>
        <v>83.07692307692308</v>
      </c>
      <c r="G126" s="104">
        <f>IF(ISERR('[1]Дошкольное +'!H285),"-",'[1]Дошкольное +'!H285)</f>
        <v>82.8125</v>
      </c>
      <c r="H126" s="104">
        <f>IF(ISERR('[1]Дошкольное +'!I285),"-",'[1]Дошкольное +'!I285)</f>
        <v>89.65517241379311</v>
      </c>
      <c r="I126" s="104">
        <f>IF(ISERR('[1]Дошкольное +'!J285),"-",'[1]Дошкольное +'!J285)</f>
        <v>95.555555555555557</v>
      </c>
      <c r="J126" s="104">
        <f>IF(ISERR('[1]Дошкольное +'!K285),"-",'[1]Дошкольное +'!K285)</f>
        <v>100</v>
      </c>
      <c r="K126" s="104">
        <f>IF(ISERR('[1]Дошкольное +'!L285),"-",'[1]Дошкольное +'!L285)</f>
        <v>100</v>
      </c>
      <c r="L126" s="104">
        <f>IF(ISERR('[1]Дошкольное +'!N285),"-",'[1]Дошкольное +'!N285)</f>
        <v>0</v>
      </c>
      <c r="M126" s="93">
        <f>'Дошкольное +'!N266</f>
        <v>93.8</v>
      </c>
    </row>
    <row r="127" spans="1:13" s="89" customFormat="1" hidden="1" x14ac:dyDescent="0.25">
      <c r="A127" s="13"/>
      <c r="B127" s="70" t="s">
        <v>1308</v>
      </c>
      <c r="C127" s="13" t="s">
        <v>8</v>
      </c>
      <c r="D127" s="104">
        <f>IF(ISERR('[1]Дошкольное +'!E286),"-",'[1]Дошкольное +'!E286)</f>
        <v>96.610169491525426</v>
      </c>
      <c r="E127" s="104">
        <f>IF(ISERR('[1]Дошкольное +'!F286),"-",'[1]Дошкольное +'!F286)</f>
        <v>98</v>
      </c>
      <c r="F127" s="104">
        <f>IF(ISERR('[1]Дошкольное +'!G286),"-",'[1]Дошкольное +'!G286)</f>
        <v>96.694214876033058</v>
      </c>
      <c r="G127" s="104">
        <f>IF(ISERR('[1]Дошкольное +'!H286),"-",'[1]Дошкольное +'!H286)</f>
        <v>96.264367816091962</v>
      </c>
      <c r="H127" s="104">
        <f>IF(ISERR('[1]Дошкольное +'!I286),"-",'[1]Дошкольное +'!I286)</f>
        <v>98.533724340175951</v>
      </c>
      <c r="I127" s="104">
        <f>IF(ISERR('[1]Дошкольное +'!J286),"-",'[1]Дошкольное +'!J286)</f>
        <v>99.671052631578945</v>
      </c>
      <c r="J127" s="104">
        <f>IF(ISERR('[1]Дошкольное +'!K286),"-",'[1]Дошкольное +'!K286)</f>
        <v>99.322033898305079</v>
      </c>
      <c r="K127" s="104">
        <f>IF(ISERR('[1]Дошкольное +'!L286),"-",'[1]Дошкольное +'!L286)</f>
        <v>100</v>
      </c>
      <c r="L127" s="104">
        <f>IF(ISERR('[1]Дошкольное +'!N286),"-",'[1]Дошкольное +'!N286)</f>
        <v>0</v>
      </c>
      <c r="M127" s="93">
        <f>'Дошкольное +'!N267</f>
        <v>93.8</v>
      </c>
    </row>
    <row r="128" spans="1:13" s="89" customFormat="1" hidden="1" x14ac:dyDescent="0.25">
      <c r="A128" s="13"/>
      <c r="B128" s="70" t="s">
        <v>1303</v>
      </c>
      <c r="C128" s="13" t="s">
        <v>8</v>
      </c>
      <c r="D128" s="104">
        <f>IF(ISERR('[1]Дошкольное +'!E287),"-",'[1]Дошкольное +'!E287)</f>
        <v>96.960486322188459</v>
      </c>
      <c r="E128" s="104">
        <f>IF(ISERR('[1]Дошкольное +'!F287),"-",'[1]Дошкольное +'!F287)</f>
        <v>100</v>
      </c>
      <c r="F128" s="104">
        <f>IF(ISERR('[1]Дошкольное +'!G287),"-",'[1]Дошкольное +'!G287)</f>
        <v>98.65771812080537</v>
      </c>
      <c r="G128" s="104">
        <f>IF(ISERR('[1]Дошкольное +'!H287),"-",'[1]Дошкольное +'!H287)</f>
        <v>98.943661971830991</v>
      </c>
      <c r="H128" s="104">
        <f>IF(ISERR('[1]Дошкольное +'!I287),"-",'[1]Дошкольное +'!I287)</f>
        <v>100</v>
      </c>
      <c r="I128" s="104">
        <f>IF(ISERR('[1]Дошкольное +'!J287),"-",'[1]Дошкольное +'!J287)</f>
        <v>100</v>
      </c>
      <c r="J128" s="104">
        <f>IF(ISERR('[1]Дошкольное +'!K287),"-",'[1]Дошкольное +'!K287)</f>
        <v>99.601593625498012</v>
      </c>
      <c r="K128" s="104">
        <f>IF(ISERR('[1]Дошкольное +'!L287),"-",'[1]Дошкольное +'!L287)</f>
        <v>100</v>
      </c>
      <c r="L128" s="104">
        <f>IF(ISERR('[1]Дошкольное +'!N287),"-",'[1]Дошкольное +'!N287)</f>
        <v>0</v>
      </c>
      <c r="M128" s="93">
        <f>'Дошкольное +'!N268</f>
        <v>0</v>
      </c>
    </row>
    <row r="129" spans="1:13" s="89" customFormat="1" hidden="1" x14ac:dyDescent="0.25">
      <c r="A129" s="13"/>
      <c r="B129" s="70" t="s">
        <v>1304</v>
      </c>
      <c r="C129" s="13" t="s">
        <v>8</v>
      </c>
      <c r="D129" s="104">
        <f>IF(ISERR('[1]Дошкольное +'!E288),"-",'[1]Дошкольное +'!E288)</f>
        <v>95.238095238095227</v>
      </c>
      <c r="E129" s="104">
        <f>IF(ISERR('[1]Дошкольное +'!F288),"-",'[1]Дошкольное +'!F288)</f>
        <v>89.6</v>
      </c>
      <c r="F129" s="104">
        <f>IF(ISERR('[1]Дошкольное +'!G288),"-",'[1]Дошкольное +'!G288)</f>
        <v>87.692307692307693</v>
      </c>
      <c r="G129" s="104">
        <f>IF(ISERR('[1]Дошкольное +'!H288),"-",'[1]Дошкольное +'!H288)</f>
        <v>84.375</v>
      </c>
      <c r="H129" s="104">
        <f>IF(ISERR('[1]Дошкольное +'!I288),"-",'[1]Дошкольное +'!I288)</f>
        <v>91.379310344827587</v>
      </c>
      <c r="I129" s="104">
        <f>IF(ISERR('[1]Дошкольное +'!J288),"-",'[1]Дошкольное +'!J288)</f>
        <v>97.777777777777771</v>
      </c>
      <c r="J129" s="104">
        <f>IF(ISERR('[1]Дошкольное +'!K288),"-",'[1]Дошкольное +'!K288)</f>
        <v>97.727272727272734</v>
      </c>
      <c r="K129" s="104">
        <f>IF(ISERR('[1]Дошкольное +'!L288),"-",'[1]Дошкольное +'!L288)</f>
        <v>100</v>
      </c>
      <c r="L129" s="104">
        <f>IF(ISERR('[1]Дошкольное +'!N288),"-",'[1]Дошкольное +'!N288)</f>
        <v>0</v>
      </c>
      <c r="M129" s="93">
        <f>'Дошкольное +'!N269</f>
        <v>0</v>
      </c>
    </row>
    <row r="130" spans="1:13" s="89" customFormat="1" hidden="1" x14ac:dyDescent="0.25">
      <c r="A130" s="13"/>
      <c r="B130" s="70" t="s">
        <v>1309</v>
      </c>
      <c r="C130" s="13" t="s">
        <v>8</v>
      </c>
      <c r="D130" s="104">
        <f>IF(ISERR('[1]Дошкольное +'!E289),"-",'[1]Дошкольное +'!E289)</f>
        <v>95.157384987893465</v>
      </c>
      <c r="E130" s="104">
        <f>IF(ISERR('[1]Дошкольное +'!F289),"-",'[1]Дошкольное +'!F289)</f>
        <v>97</v>
      </c>
      <c r="F130" s="104">
        <f>IF(ISERR('[1]Дошкольное +'!G289),"-",'[1]Дошкольное +'!G289)</f>
        <v>96.143250688705237</v>
      </c>
      <c r="G130" s="104">
        <f>IF(ISERR('[1]Дошкольное +'!H289),"-",'[1]Дошкольное +'!H289)</f>
        <v>95.977011494252878</v>
      </c>
      <c r="H130" s="104">
        <f>IF(ISERR('[1]Дошкольное +'!I289),"-",'[1]Дошкольное +'!I289)</f>
        <v>98.533724340175951</v>
      </c>
      <c r="I130" s="104">
        <f>IF(ISERR('[1]Дошкольное +'!J289),"-",'[1]Дошкольное +'!J289)</f>
        <v>99.01315789473685</v>
      </c>
      <c r="J130" s="104">
        <f>IF(ISERR('[1]Дошкольное +'!K289),"-",'[1]Дошкольное +'!K289)</f>
        <v>99.661016949152554</v>
      </c>
      <c r="K130" s="104">
        <f>IF(ISERR('[1]Дошкольное +'!L289),"-",'[1]Дошкольное +'!L289)</f>
        <v>100</v>
      </c>
      <c r="L130" s="104">
        <f>IF(ISERR('[1]Дошкольное +'!N289),"-",'[1]Дошкольное +'!N289)</f>
        <v>0</v>
      </c>
      <c r="M130" s="93">
        <f>'Дошкольное +'!N270</f>
        <v>0</v>
      </c>
    </row>
    <row r="131" spans="1:13" s="89" customFormat="1" hidden="1" x14ac:dyDescent="0.25">
      <c r="A131" s="13"/>
      <c r="B131" s="70" t="s">
        <v>1303</v>
      </c>
      <c r="C131" s="13" t="s">
        <v>8</v>
      </c>
      <c r="D131" s="104">
        <f>IF(ISERR('[1]Дошкольное +'!E290),"-",'[1]Дошкольное +'!E290)</f>
        <v>96.656534954407292</v>
      </c>
      <c r="E131" s="104">
        <f>IF(ISERR('[1]Дошкольное +'!F290),"-",'[1]Дошкольное +'!F290)</f>
        <v>100</v>
      </c>
      <c r="F131" s="104">
        <f>IF(ISERR('[1]Дошкольное +'!G290),"-",'[1]Дошкольное +'!G290)</f>
        <v>98.993288590604024</v>
      </c>
      <c r="G131" s="104">
        <f>IF(ISERR('[1]Дошкольное +'!H290),"-",'[1]Дошкольное +'!H290)</f>
        <v>98.943661971830991</v>
      </c>
      <c r="H131" s="104">
        <f>IF(ISERR('[1]Дошкольное +'!I290),"-",'[1]Дошкольное +'!I290)</f>
        <v>100</v>
      </c>
      <c r="I131" s="104">
        <f>IF(ISERR('[1]Дошкольное +'!J290),"-",'[1]Дошкольное +'!J290)</f>
        <v>99.613899613899619</v>
      </c>
      <c r="J131" s="104">
        <f>IF(ISERR('[1]Дошкольное +'!K290),"-",'[1]Дошкольное +'!K290)</f>
        <v>99.601593625498012</v>
      </c>
      <c r="K131" s="104">
        <f>IF(ISERR('[1]Дошкольное +'!L290),"-",'[1]Дошкольное +'!L290)</f>
        <v>100</v>
      </c>
      <c r="L131" s="104">
        <f>IF(ISERR('[1]Дошкольное +'!N290),"-",'[1]Дошкольное +'!N290)</f>
        <v>0</v>
      </c>
      <c r="M131" s="93">
        <f>'Дошкольное +'!N271</f>
        <v>0</v>
      </c>
    </row>
    <row r="132" spans="1:13" s="89" customFormat="1" hidden="1" x14ac:dyDescent="0.25">
      <c r="A132" s="13"/>
      <c r="B132" s="70" t="s">
        <v>1304</v>
      </c>
      <c r="C132" s="13" t="s">
        <v>8</v>
      </c>
      <c r="D132" s="104">
        <f>IF(ISERR('[1]Дошкольное +'!E291),"-",'[1]Дошкольное +'!E291)</f>
        <v>89.285714285714292</v>
      </c>
      <c r="E132" s="104">
        <f>IF(ISERR('[1]Дошкольное +'!F291),"-",'[1]Дошкольное +'!F291)</f>
        <v>84.4</v>
      </c>
      <c r="F132" s="104">
        <f>IF(ISERR('[1]Дошкольное +'!G291),"-",'[1]Дошкольное +'!G291)</f>
        <v>83.07692307692308</v>
      </c>
      <c r="G132" s="104">
        <f>IF(ISERR('[1]Дошкольное +'!H291),"-",'[1]Дошкольное +'!H291)</f>
        <v>82.8125</v>
      </c>
      <c r="H132" s="104">
        <f>IF(ISERR('[1]Дошкольное +'!I291),"-",'[1]Дошкольное +'!I291)</f>
        <v>91.379310344827587</v>
      </c>
      <c r="I132" s="104">
        <f>IF(ISERR('[1]Дошкольное +'!J291),"-",'[1]Дошкольное +'!J291)</f>
        <v>95.555555555555557</v>
      </c>
      <c r="J132" s="104">
        <f>IF(ISERR('[1]Дошкольное +'!K291),"-",'[1]Дошкольное +'!K291)</f>
        <v>100</v>
      </c>
      <c r="K132" s="104">
        <f>IF(ISERR('[1]Дошкольное +'!L291),"-",'[1]Дошкольное +'!L291)</f>
        <v>100</v>
      </c>
      <c r="L132" s="104">
        <f>IF(ISERR('[1]Дошкольное +'!N291),"-",'[1]Дошкольное +'!N291)</f>
        <v>0</v>
      </c>
      <c r="M132" s="93">
        <f>'Дошкольное +'!N272</f>
        <v>0</v>
      </c>
    </row>
    <row r="133" spans="1:13" s="89" customFormat="1" ht="30" x14ac:dyDescent="0.25">
      <c r="A133" s="13" t="s">
        <v>67</v>
      </c>
      <c r="B133" s="70" t="s">
        <v>66</v>
      </c>
      <c r="C133" s="13" t="s">
        <v>8</v>
      </c>
      <c r="D133" s="104" t="str">
        <f>IF(ISERR('[1]Дошкольное +'!E305),"-",'[1]Дошкольное +'!E305)</f>
        <v>-</v>
      </c>
      <c r="E133" s="104">
        <f>IF(ISERR('[1]Дошкольное +'!F305),"-",'[1]Дошкольное +'!F305)</f>
        <v>80.8</v>
      </c>
      <c r="F133" s="104">
        <f>IF(ISERR('[1]Дошкольное +'!G305),"-",'[1]Дошкольное +'!G305)</f>
        <v>81.818181818181827</v>
      </c>
      <c r="G133" s="104">
        <f>IF(ISERR('[1]Дошкольное +'!H305),"-",'[1]Дошкольное +'!H305)</f>
        <v>84.482758620689651</v>
      </c>
      <c r="H133" s="104">
        <f>IF(ISERR('[1]Дошкольное +'!I305),"-",'[1]Дошкольное +'!I305)</f>
        <v>85.043988269794724</v>
      </c>
      <c r="I133" s="104">
        <f>IF(ISERR('[1]Дошкольное +'!J305),"-",'[1]Дошкольное +'!J305)</f>
        <v>89.320388349514573</v>
      </c>
      <c r="J133" s="104">
        <v>91.7</v>
      </c>
      <c r="K133" s="104">
        <f>IF(ISERR('[1]Дошкольное +'!L305),"-",'[1]Дошкольное +'!L305)</f>
        <v>40.909090909090914</v>
      </c>
      <c r="L133" s="104">
        <f>IF(ISERR('[1]Дошкольное +'!M305),"-",'[1]Дошкольное +'!M305)</f>
        <v>42.857142857142854</v>
      </c>
      <c r="M133" s="93">
        <f>'Дошкольное +'!N305</f>
        <v>42.857142857142854</v>
      </c>
    </row>
    <row r="134" spans="1:13" s="89" customFormat="1" hidden="1" x14ac:dyDescent="0.25">
      <c r="A134" s="13"/>
      <c r="B134" s="70" t="s">
        <v>1303</v>
      </c>
      <c r="C134" s="13" t="s">
        <v>8</v>
      </c>
      <c r="D134" s="104"/>
      <c r="E134" s="104"/>
      <c r="F134" s="104"/>
      <c r="G134" s="104">
        <f>IF(ISERR('[1]Дошкольное +'!H306),"-",'[1]Дошкольное +'!H306)</f>
        <v>91.549295774647888</v>
      </c>
      <c r="H134" s="104">
        <f>IF(ISERR('[1]Дошкольное +'!I306),"-",'[1]Дошкольное +'!I306)</f>
        <v>90.812720848056543</v>
      </c>
      <c r="I134" s="104">
        <f>IF(ISERR('[1]Дошкольное +'!J306),"-",'[1]Дошкольное +'!J306)</f>
        <v>92.337164750957854</v>
      </c>
      <c r="J134" s="104">
        <f>IF(ISERR('[1]Дошкольное +'!K306),"-",'[1]Дошкольное +'!K306)</f>
        <v>93.975903614457835</v>
      </c>
      <c r="K134" s="104">
        <f>IF(ISERR('[1]Дошкольное +'!L306),"-",'[1]Дошкольное +'!L306)</f>
        <v>71.428571428571431</v>
      </c>
      <c r="L134" s="104">
        <f>IF(ISERR('[1]Дошкольное +'!N306),"-",'[1]Дошкольное +'!N306)</f>
        <v>0</v>
      </c>
      <c r="M134" s="93">
        <f>'Дошкольное +'!N274</f>
        <v>0</v>
      </c>
    </row>
    <row r="135" spans="1:13" s="89" customFormat="1" hidden="1" x14ac:dyDescent="0.25">
      <c r="A135" s="13"/>
      <c r="B135" s="70" t="s">
        <v>1304</v>
      </c>
      <c r="C135" s="13" t="s">
        <v>8</v>
      </c>
      <c r="D135" s="104"/>
      <c r="E135" s="104"/>
      <c r="F135" s="104"/>
      <c r="G135" s="104">
        <f>IF(ISERR('[1]Дошкольное +'!H307),"-",'[1]Дошкольное +'!H307)</f>
        <v>53.125</v>
      </c>
      <c r="H135" s="104">
        <f>IF(ISERR('[1]Дошкольное +'!I307),"-",'[1]Дошкольное +'!I307)</f>
        <v>56.896551724137936</v>
      </c>
      <c r="I135" s="104">
        <f>IF(ISERR('[1]Дошкольное +'!J307),"-",'[1]Дошкольное +'!J307)</f>
        <v>72.916666666666657</v>
      </c>
      <c r="J135" s="104">
        <f>IF(ISERR('[1]Дошкольное +'!K307),"-",'[1]Дошкольное +'!K307)</f>
        <v>78.723404255319153</v>
      </c>
      <c r="K135" s="104">
        <f>IF(ISERR('[1]Дошкольное +'!L307),"-",'[1]Дошкольное +'!L307)</f>
        <v>26.666666666666668</v>
      </c>
      <c r="L135" s="104">
        <f>IF(ISERR('[1]Дошкольное +'!N307),"-",'[1]Дошкольное +'!N307)</f>
        <v>0</v>
      </c>
      <c r="M135" s="93">
        <f>'Дошкольное +'!N275</f>
        <v>1631</v>
      </c>
    </row>
    <row r="136" spans="1:13" s="89" customFormat="1" ht="120" hidden="1" x14ac:dyDescent="0.25">
      <c r="A136" s="13" t="s">
        <v>70</v>
      </c>
      <c r="B136" s="70" t="s">
        <v>69</v>
      </c>
      <c r="C136" s="13" t="s">
        <v>8</v>
      </c>
      <c r="D136" s="104" t="str">
        <f>IF(ISERR('[1]Дошкольное +'!E314),"-",'[1]Дошкольное +'!E314)</f>
        <v>-</v>
      </c>
      <c r="E136" s="104">
        <f>IF(ISERR('[1]Дошкольное +'!F314),"-",'[1]Дошкольное +'!F314)</f>
        <v>30.1</v>
      </c>
      <c r="F136" s="104">
        <f>IF(ISERR('[1]Дошкольное +'!G314),"-",'[1]Дошкольное +'!G314)</f>
        <v>34.986225895316799</v>
      </c>
      <c r="G136" s="104">
        <f>IF(ISERR('[1]Дошкольное +'!H314),"-",'[1]Дошкольное +'!H314)</f>
        <v>37.356321839080458</v>
      </c>
      <c r="H136" s="104">
        <f>IF(ISERR('[1]Дошкольное +'!I314),"-",'[1]Дошкольное +'!I314)</f>
        <v>38.69047619047619</v>
      </c>
      <c r="I136" s="104">
        <f>IF(ISERR('[1]Дошкольное +'!J314),"-",'[1]Дошкольное +'!J314)</f>
        <v>38.69047619047619</v>
      </c>
      <c r="J136" s="104">
        <f>IF(ISERR('[1]Дошкольное +'!K314),"-",'[1]Дошкольное +'!K314)</f>
        <v>38.69047619047619</v>
      </c>
      <c r="K136" s="104">
        <f>IF(ISERR('[1]Дошкольное +'!L314),"-",'[1]Дошкольное +'!L314)</f>
        <v>38.69047619047619</v>
      </c>
      <c r="L136" s="104" t="str">
        <f>IF(ISERR('[1]Дошкольное +'!N314),"-",'[1]Дошкольное +'!N314)</f>
        <v>Российская Федерация; города и поселки городского типа, сельская местность</v>
      </c>
      <c r="M136" s="93">
        <f>'Дошкольное +'!N276</f>
        <v>1619</v>
      </c>
    </row>
    <row r="137" spans="1:13" s="89" customFormat="1" hidden="1" x14ac:dyDescent="0.25">
      <c r="A137" s="13"/>
      <c r="B137" s="70" t="s">
        <v>1303</v>
      </c>
      <c r="C137" s="13" t="s">
        <v>8</v>
      </c>
      <c r="D137" s="104"/>
      <c r="E137" s="104"/>
      <c r="F137" s="104"/>
      <c r="G137" s="104">
        <f>IF(ISERR('[1]Дошкольное +'!H315),"-",'[1]Дошкольное +'!H315)</f>
        <v>44.718309859154928</v>
      </c>
      <c r="H137" s="104">
        <f>IF(ISERR('[1]Дошкольное +'!I315),"-",'[1]Дошкольное +'!I315)</f>
        <v>44.876325088339222</v>
      </c>
      <c r="I137" s="104">
        <f>IF(ISERR('[1]Дошкольное +'!J315),"-",'[1]Дошкольное +'!J315)</f>
        <v>44.876325088339222</v>
      </c>
      <c r="J137" s="104">
        <f>IF(ISERR('[1]Дошкольное +'!K315),"-",'[1]Дошкольное +'!K315)</f>
        <v>44.876325088339222</v>
      </c>
      <c r="K137" s="104">
        <f>IF(ISERR('[1]Дошкольное +'!L315),"-",'[1]Дошкольное +'!L315)</f>
        <v>44.876325088339222</v>
      </c>
      <c r="L137" s="104">
        <f>IF(ISERR('[1]Дошкольное +'!N315),"-",'[1]Дошкольное +'!N315)</f>
        <v>0</v>
      </c>
      <c r="M137" s="93">
        <f>'Дошкольное +'!N277</f>
        <v>943</v>
      </c>
    </row>
    <row r="138" spans="1:13" s="89" customFormat="1" hidden="1" x14ac:dyDescent="0.25">
      <c r="A138" s="13"/>
      <c r="B138" s="70" t="s">
        <v>1304</v>
      </c>
      <c r="C138" s="13" t="s">
        <v>8</v>
      </c>
      <c r="D138" s="104"/>
      <c r="E138" s="104"/>
      <c r="F138" s="104"/>
      <c r="G138" s="104">
        <f>IF(ISERR('[1]Дошкольное +'!H316),"-",'[1]Дошкольное +'!H316)</f>
        <v>4.6875</v>
      </c>
      <c r="H138" s="104">
        <f>IF(ISERR('[1]Дошкольное +'!I316),"-",'[1]Дошкольное +'!I316)</f>
        <v>5.6603773584905666</v>
      </c>
      <c r="I138" s="104">
        <f>IF(ISERR('[1]Дошкольное +'!J316),"-",'[1]Дошкольное +'!J316)</f>
        <v>5.6603773584905666</v>
      </c>
      <c r="J138" s="104">
        <f>IF(ISERR('[1]Дошкольное +'!K316),"-",'[1]Дошкольное +'!K316)</f>
        <v>5.6603773584905666</v>
      </c>
      <c r="K138" s="104">
        <f>IF(ISERR('[1]Дошкольное +'!L316),"-",'[1]Дошкольное +'!L316)</f>
        <v>5.6603773584905666</v>
      </c>
      <c r="L138" s="104">
        <f>IF(ISERR('[1]Дошкольное +'!N316),"-",'[1]Дошкольное +'!N316)</f>
        <v>0</v>
      </c>
      <c r="M138" s="93">
        <f>'Дошкольное +'!N278</f>
        <v>676</v>
      </c>
    </row>
    <row r="139" spans="1:13" s="89" customFormat="1" ht="30" x14ac:dyDescent="0.25">
      <c r="A139" s="13" t="s">
        <v>70</v>
      </c>
      <c r="B139" s="70" t="s">
        <v>1632</v>
      </c>
      <c r="C139" s="13" t="s">
        <v>1112</v>
      </c>
      <c r="D139" s="104"/>
      <c r="E139" s="104"/>
      <c r="F139" s="104"/>
      <c r="G139" s="104"/>
      <c r="H139" s="104">
        <f>IF(ISERR('[1]Дошкольное +'!I324),"-",'[1]Дошкольное +'!I324)</f>
        <v>1.6069892252857554</v>
      </c>
      <c r="I139" s="104">
        <f>IF(ISERR('[1]Дошкольное +'!J324),"-",'[1]Дошкольное +'!J324)</f>
        <v>1.7508642801382848</v>
      </c>
      <c r="J139" s="104">
        <f>IF(ISERR('[1]Дошкольное +'!K324),"-",'[1]Дошкольное +'!K324)</f>
        <v>2.2284324380272214</v>
      </c>
      <c r="K139" s="104">
        <f>IF(ISERR('[1]Дошкольное +'!L324),"-",'[1]Дошкольное +'!L324)</f>
        <v>5.4945054945054944E-2</v>
      </c>
      <c r="L139" s="104">
        <f>IF(ISERR('[1]Дошкольное +'!M324),"-",'[1]Дошкольное +'!M324)</f>
        <v>14.136125654450263</v>
      </c>
      <c r="M139" s="93">
        <f>'Дошкольное +'!N324</f>
        <v>15.008025682182986</v>
      </c>
    </row>
    <row r="140" spans="1:13" s="89" customFormat="1" hidden="1" x14ac:dyDescent="0.25">
      <c r="A140" s="13"/>
      <c r="B140" s="70" t="s">
        <v>1301</v>
      </c>
      <c r="C140" s="13" t="s">
        <v>1112</v>
      </c>
      <c r="D140" s="104">
        <f>IF(ISERR('[1]Дошкольное +'!E324),"-",'[1]Дошкольное +'!E324)</f>
        <v>0.8323347892749926</v>
      </c>
      <c r="E140" s="104">
        <f>IF(ISERR('[1]Дошкольное +'!F324),"-",'[1]Дошкольное +'!F324)</f>
        <v>0.95368638702707731</v>
      </c>
      <c r="F140" s="104">
        <f>IF(ISERR('[1]Дошкольное +'!G324),"-",'[1]Дошкольное +'!G324)</f>
        <v>1.1686471165376648</v>
      </c>
      <c r="G140" s="104">
        <f>IF(ISERR('[1]Дошкольное +'!H324),"-",'[1]Дошкольное +'!H324)</f>
        <v>1.430339705680099</v>
      </c>
      <c r="H140" s="104">
        <f>IF(ISERR('[1]Дошкольное +'!I324),"-",'[1]Дошкольное +'!I324)</f>
        <v>1.6069892252857554</v>
      </c>
      <c r="I140" s="104">
        <f>IF(ISERR('[1]Дошкольное +'!J324),"-",'[1]Дошкольное +'!J324)</f>
        <v>1.7508642801382848</v>
      </c>
      <c r="J140" s="104">
        <f>IF(ISERR('[1]Дошкольное +'!K324),"-",'[1]Дошкольное +'!K324)</f>
        <v>2.2284324380272214</v>
      </c>
      <c r="K140" s="104">
        <f>IF(ISERR('[1]Дошкольное +'!L324),"-",'[1]Дошкольное +'!L324)</f>
        <v>5.4945054945054944E-2</v>
      </c>
      <c r="L140" s="104">
        <f>IF(ISERR('[1]Дошкольное +'!N324),"-",'[1]Дошкольное +'!N324)</f>
        <v>0</v>
      </c>
      <c r="M140" s="104" t="str">
        <f>IF(ISERR('[1]Дошкольное +'!O324),"-",'[1]Дошкольное +'!O324)</f>
        <v>-</v>
      </c>
    </row>
    <row r="141" spans="1:13" s="89" customFormat="1" hidden="1" x14ac:dyDescent="0.25">
      <c r="A141" s="13"/>
      <c r="B141" s="70" t="s">
        <v>1303</v>
      </c>
      <c r="C141" s="13" t="s">
        <v>1112</v>
      </c>
      <c r="D141" s="104">
        <f>IF(ISERR('[1]Дошкольное +'!E325),"-",'[1]Дошкольное +'!E325)</f>
        <v>0.86581295647195178</v>
      </c>
      <c r="E141" s="104">
        <f>IF(ISERR('[1]Дошкольное +'!F325),"-",'[1]Дошкольное +'!F325)</f>
        <v>1.0022647931030169</v>
      </c>
      <c r="F141" s="104">
        <f>IF(ISERR('[1]Дошкольное +'!G325),"-",'[1]Дошкольное +'!G325)</f>
        <v>1.1997839919231763</v>
      </c>
      <c r="G141" s="104">
        <f>IF(ISERR('[1]Дошкольное +'!H325),"-",'[1]Дошкольное +'!H325)</f>
        <v>1.465243071331213</v>
      </c>
      <c r="H141" s="104">
        <f>IF(ISERR('[1]Дошкольное +'!I325),"-",'[1]Дошкольное +'!I325)</f>
        <v>1.6368084429475718</v>
      </c>
      <c r="I141" s="104">
        <f>IF(ISERR('[1]Дошкольное +'!J325),"-",'[1]Дошкольное +'!J325)</f>
        <v>1.8055676192130634</v>
      </c>
      <c r="J141" s="104">
        <f>IF(ISERR('[1]Дошкольное +'!K325),"-",'[1]Дошкольное +'!K325)</f>
        <v>2.2901614485772903</v>
      </c>
      <c r="K141" s="104">
        <f>IF(ISERR('[1]Дошкольное +'!L325),"-",'[1]Дошкольное +'!L325)</f>
        <v>0</v>
      </c>
      <c r="L141" s="104">
        <f>IF(ISERR('[1]Дошкольное +'!N325),"-",'[1]Дошкольное +'!N325)</f>
        <v>0</v>
      </c>
      <c r="M141" s="104" t="str">
        <f>IF(ISERR('[1]Дошкольное +'!O325),"-",'[1]Дошкольное +'!O325)</f>
        <v>-</v>
      </c>
    </row>
    <row r="142" spans="1:13" s="89" customFormat="1" hidden="1" x14ac:dyDescent="0.25">
      <c r="A142" s="13"/>
      <c r="B142" s="70" t="s">
        <v>1304</v>
      </c>
      <c r="C142" s="13" t="s">
        <v>1112</v>
      </c>
      <c r="D142" s="104">
        <f>IF(ISERR('[1]Дошкольное +'!E326),"-",'[1]Дошкольное +'!E326)</f>
        <v>0.43304463690872752</v>
      </c>
      <c r="E142" s="104">
        <f>IF(ISERR('[1]Дошкольное +'!F326),"-",'[1]Дошкольное +'!F326)</f>
        <v>0.32425421530479898</v>
      </c>
      <c r="F142" s="104">
        <f>IF(ISERR('[1]Дошкольное +'!G326),"-",'[1]Дошкольное +'!G326)</f>
        <v>0.7635919364691508</v>
      </c>
      <c r="G142" s="104">
        <f>IF(ISERR('[1]Дошкольное +'!H326),"-",'[1]Дошкольное +'!H326)</f>
        <v>0.95634737004473247</v>
      </c>
      <c r="H142" s="104">
        <f>IF(ISERR('[1]Дошкольное +'!I326),"-",'[1]Дошкольное +'!I326)</f>
        <v>1.1877217337652322</v>
      </c>
      <c r="I142" s="104">
        <f>IF(ISERR('[1]Дошкольное +'!J326),"-",'[1]Дошкольное +'!J326)</f>
        <v>0.97964181846012555</v>
      </c>
      <c r="J142" s="104">
        <f>IF(ISERR('[1]Дошкольное +'!K326),"-",'[1]Дошкольное +'!K326)</f>
        <v>1.429190125595496</v>
      </c>
      <c r="K142" s="104">
        <f>IF(ISERR('[1]Дошкольное +'!L326),"-",'[1]Дошкольное +'!L326)</f>
        <v>0.13175230566534915</v>
      </c>
      <c r="L142" s="104">
        <f>IF(ISERR('[1]Дошкольное +'!N326),"-",'[1]Дошкольное +'!N326)</f>
        <v>0</v>
      </c>
      <c r="M142" s="104" t="str">
        <f>IF(ISERR('[1]Дошкольное +'!O326),"-",'[1]Дошкольное +'!O326)</f>
        <v>-</v>
      </c>
    </row>
    <row r="143" spans="1:13" s="89" customFormat="1" hidden="1" x14ac:dyDescent="0.25">
      <c r="A143" s="13"/>
      <c r="B143" s="70" t="s">
        <v>1302</v>
      </c>
      <c r="C143" s="13" t="s">
        <v>1112</v>
      </c>
      <c r="D143" s="104" t="str">
        <f>IF(ISERR('[1]Дошкольное +'!E327),"-",'[1]Дошкольное +'!E327)</f>
        <v>-</v>
      </c>
      <c r="E143" s="104">
        <f>IF(ISERR('[1]Дошкольное +'!F327),"-",'[1]Дошкольное +'!F327)</f>
        <v>0</v>
      </c>
      <c r="F143" s="104">
        <f>IF(ISERR('[1]Дошкольное +'!G327),"-",'[1]Дошкольное +'!G327)</f>
        <v>6.666666666666667</v>
      </c>
      <c r="G143" s="104">
        <f>IF(ISERR('[1]Дошкольное +'!H327),"-",'[1]Дошкольное +'!H327)</f>
        <v>0</v>
      </c>
      <c r="H143" s="104">
        <f>IF(ISERR('[1]Дошкольное +'!I327),"-",'[1]Дошкольное +'!I327)</f>
        <v>24.752475247524753</v>
      </c>
      <c r="I143" s="104">
        <f>IF(ISERR('[1]Дошкольное +'!J327),"-",'[1]Дошкольное +'!J327)</f>
        <v>19.685039370078741</v>
      </c>
      <c r="J143" s="104">
        <f>IF(ISERR('[1]Дошкольное +'!K327),"-",'[1]Дошкольное +'!K327)</f>
        <v>13.661202185792352</v>
      </c>
      <c r="K143" s="104">
        <f>IF(ISERR('[1]Дошкольное +'!L327),"-",'[1]Дошкольное +'!L327)</f>
        <v>0</v>
      </c>
      <c r="L143" s="104">
        <f>IF(ISERR('[1]Дошкольное +'!N327),"-",'[1]Дошкольное +'!N327)</f>
        <v>0</v>
      </c>
      <c r="M143" s="104" t="str">
        <f>IF(ISERR('[1]Дошкольное +'!O327),"-",'[1]Дошкольное +'!O327)</f>
        <v>-</v>
      </c>
    </row>
    <row r="144" spans="1:13" s="89" customFormat="1" hidden="1" x14ac:dyDescent="0.25">
      <c r="A144" s="13"/>
      <c r="B144" s="70" t="s">
        <v>1303</v>
      </c>
      <c r="C144" s="13" t="s">
        <v>1112</v>
      </c>
      <c r="D144" s="104" t="str">
        <f>IF(ISERR('[1]Дошкольное +'!E328),"-",'[1]Дошкольное +'!E328)</f>
        <v>-</v>
      </c>
      <c r="E144" s="104">
        <f>IF(ISERR('[1]Дошкольное +'!F328),"-",'[1]Дошкольное +'!F328)</f>
        <v>0</v>
      </c>
      <c r="F144" s="104">
        <f>IF(ISERR('[1]Дошкольное +'!G328),"-",'[1]Дошкольное +'!G328)</f>
        <v>6.666666666666667</v>
      </c>
      <c r="G144" s="104">
        <f>IF(ISERR('[1]Дошкольное +'!H328),"-",'[1]Дошкольное +'!H328)</f>
        <v>0</v>
      </c>
      <c r="H144" s="104">
        <f>IF(ISERR('[1]Дошкольное +'!I328),"-",'[1]Дошкольное +'!I328)</f>
        <v>24.752475247524753</v>
      </c>
      <c r="I144" s="104">
        <f>IF(ISERR('[1]Дошкольное +'!J328),"-",'[1]Дошкольное +'!J328)</f>
        <v>19.685039370078741</v>
      </c>
      <c r="J144" s="104">
        <f>IF(ISERR('[1]Дошкольное +'!K328),"-",'[1]Дошкольное +'!K328)</f>
        <v>13.661202185792352</v>
      </c>
      <c r="K144" s="104">
        <f>IF(ISERR('[1]Дошкольное +'!L328),"-",'[1]Дошкольное +'!L328)</f>
        <v>0</v>
      </c>
      <c r="L144" s="104">
        <f>IF(ISERR('[1]Дошкольное +'!N328),"-",'[1]Дошкольное +'!N328)</f>
        <v>0</v>
      </c>
      <c r="M144" s="104" t="str">
        <f>IF(ISERR('[1]Дошкольное +'!O328),"-",'[1]Дошкольное +'!O328)</f>
        <v>-</v>
      </c>
    </row>
    <row r="145" spans="1:13" s="89" customFormat="1" hidden="1" x14ac:dyDescent="0.25">
      <c r="A145" s="13"/>
      <c r="B145" s="70" t="s">
        <v>1304</v>
      </c>
      <c r="C145" s="13" t="s">
        <v>1112</v>
      </c>
      <c r="D145" s="104" t="str">
        <f>IF(ISERR('[1]Дошкольное +'!E329),"-",'[1]Дошкольное +'!E329)</f>
        <v>-</v>
      </c>
      <c r="E145" s="104" t="str">
        <f>IF(ISERR('[1]Дошкольное +'!F329),"-",'[1]Дошкольное +'!F329)</f>
        <v>-</v>
      </c>
      <c r="F145" s="104" t="str">
        <f>IF(ISERR('[1]Дошкольное +'!G329),"-",'[1]Дошкольное +'!G329)</f>
        <v>-</v>
      </c>
      <c r="G145" s="104" t="str">
        <f>IF(ISERR('[1]Дошкольное +'!H329),"-",'[1]Дошкольное +'!H329)</f>
        <v>-</v>
      </c>
      <c r="H145" s="104" t="str">
        <f>IF(ISERR('[1]Дошкольное +'!I329),"-",'[1]Дошкольное +'!I329)</f>
        <v>-</v>
      </c>
      <c r="I145" s="104" t="str">
        <f>IF(ISERR('[1]Дошкольное +'!J329),"-",'[1]Дошкольное +'!J329)</f>
        <v>-</v>
      </c>
      <c r="J145" s="104" t="str">
        <f>IF(ISERR('[1]Дошкольное +'!K329),"-",'[1]Дошкольное +'!K329)</f>
        <v>-</v>
      </c>
      <c r="K145" s="104" t="str">
        <f>IF(ISERR('[1]Дошкольное +'!L329),"-",'[1]Дошкольное +'!L329)</f>
        <v>-</v>
      </c>
      <c r="L145" s="104">
        <f>IF(ISERR('[1]Дошкольное +'!N329),"-",'[1]Дошкольное +'!N329)</f>
        <v>0</v>
      </c>
      <c r="M145" s="104" t="str">
        <f>IF(ISERR('[1]Дошкольное +'!O329),"-",'[1]Дошкольное +'!O329)</f>
        <v>-</v>
      </c>
    </row>
    <row r="146" spans="1:13" s="89" customFormat="1" ht="30" x14ac:dyDescent="0.25">
      <c r="A146" s="99" t="s">
        <v>77</v>
      </c>
      <c r="B146" s="100" t="s">
        <v>76</v>
      </c>
      <c r="C146" s="87"/>
      <c r="D146" s="93"/>
      <c r="E146" s="93"/>
      <c r="F146" s="93"/>
      <c r="G146" s="93"/>
      <c r="H146" s="93"/>
      <c r="I146" s="93"/>
      <c r="J146" s="93"/>
      <c r="K146" s="93"/>
      <c r="L146" s="93"/>
      <c r="M146" s="93"/>
    </row>
    <row r="147" spans="1:13" s="89" customFormat="1" ht="60" x14ac:dyDescent="0.25">
      <c r="A147" s="13" t="s">
        <v>78</v>
      </c>
      <c r="B147" s="70" t="s">
        <v>1633</v>
      </c>
      <c r="C147" s="13" t="s">
        <v>8</v>
      </c>
      <c r="D147" s="122" t="str">
        <f>IF(ISERR('[1]Дошкольное +'!E345),"-",'[1]Дошкольное +'!E345)</f>
        <v>-</v>
      </c>
      <c r="E147" s="122">
        <f>IF(ISERR('[1]Дошкольное +'!F345),"-",'[1]Дошкольное +'!F345)</f>
        <v>16.53</v>
      </c>
      <c r="F147" s="122">
        <f>IF(ISERR('[1]Дошкольное +'!G345),"-",'[1]Дошкольное +'!G345)</f>
        <v>3.5516470244104967</v>
      </c>
      <c r="G147" s="122">
        <f>IF(ISERR('[1]Дошкольное +'!H345),"-",'[1]Дошкольное +'!H345)</f>
        <v>4.711510317576467</v>
      </c>
      <c r="H147" s="122">
        <f>IF(ISERR('[1]Дошкольное +'!I345),"-",'[1]Дошкольное +'!I345)</f>
        <v>6.0860981921336021</v>
      </c>
      <c r="I147" s="122">
        <f>IF(ISERR('[1]Дошкольное +'!J345),"-",'[1]Дошкольное +'!J345)</f>
        <v>5.9794844017130186</v>
      </c>
      <c r="J147" s="122">
        <f>IF(ISERR('[1]Дошкольное +'!K345),"-",'[1]Дошкольное +'!K345)</f>
        <v>7.0509729636645426</v>
      </c>
      <c r="K147" s="122">
        <f>IF(ISERR('[1]Дошкольное +'!L345),"-",'[1]Дошкольное +'!L345)</f>
        <v>3.7912087912087911</v>
      </c>
      <c r="L147" s="122">
        <f>IF(ISERR('[1]Дошкольное +'!M345),"-",'[1]Дошкольное +'!M345)</f>
        <v>3.9181286549707601</v>
      </c>
      <c r="M147" s="122">
        <f>'Дошкольное +'!N345</f>
        <v>6.3619518221124149</v>
      </c>
    </row>
    <row r="148" spans="1:13" s="89" customFormat="1" hidden="1" x14ac:dyDescent="0.25">
      <c r="A148" s="13"/>
      <c r="B148" s="70" t="s">
        <v>1303</v>
      </c>
      <c r="C148" s="13" t="s">
        <v>8</v>
      </c>
      <c r="D148" s="122" t="str">
        <f>IF(ISERR('[1]Дошкольное +'!E346),"-",'[1]Дошкольное +'!E346)</f>
        <v>-</v>
      </c>
      <c r="E148" s="122">
        <f>IF(ISERR('[1]Дошкольное +'!F346),"-",'[1]Дошкольное +'!F346)</f>
        <v>19.57</v>
      </c>
      <c r="F148" s="122">
        <f>IF(ISERR('[1]Дошкольное +'!G346),"-",'[1]Дошкольное +'!G346)</f>
        <v>3.7455931201728112</v>
      </c>
      <c r="G148" s="122">
        <f>IF(ISERR('[1]Дошкольное +'!H346),"-",'[1]Дошкольное +'!H346)</f>
        <v>4.9402657264140721</v>
      </c>
      <c r="H148" s="122">
        <f>IF(ISERR('[1]Дошкольное +'!I346),"-",'[1]Дошкольное +'!I346)</f>
        <v>6.4152169136262458</v>
      </c>
      <c r="I148" s="122">
        <f>IF(ISERR('[1]Дошкольное +'!J346),"-",'[1]Дошкольное +'!J346)</f>
        <v>6.2135623033611083</v>
      </c>
      <c r="J148" s="122">
        <f>IF(ISERR('[1]Дошкольное +'!K346),"-",'[1]Дошкольное +'!K346)</f>
        <v>7.4155823680525286</v>
      </c>
      <c r="K148" s="122">
        <f>IF(ISERR('[1]Дошкольное +'!L346),"-",'[1]Дошкольное +'!L346)</f>
        <v>4.8067860508953819</v>
      </c>
      <c r="L148" s="122">
        <f>IF(ISERR('[1]Дошкольное +'!N346),"-",'[1]Дошкольное +'!N346)</f>
        <v>0</v>
      </c>
      <c r="M148" s="122">
        <f>IF(ISERR('[1]Дошкольное +'!O346),"-",'[1]Дошкольное +'!O346)</f>
        <v>0</v>
      </c>
    </row>
    <row r="149" spans="1:13" s="89" customFormat="1" hidden="1" x14ac:dyDescent="0.25">
      <c r="A149" s="13"/>
      <c r="B149" s="70" t="s">
        <v>1304</v>
      </c>
      <c r="C149" s="13" t="s">
        <v>8</v>
      </c>
      <c r="D149" s="122" t="str">
        <f>IF(ISERR('[1]Дошкольное +'!E347),"-",'[1]Дошкольное +'!E347)</f>
        <v>-</v>
      </c>
      <c r="E149" s="122">
        <f>IF(ISERR('[1]Дошкольное +'!F347),"-",'[1]Дошкольное +'!F347)</f>
        <v>1.1499999999999999</v>
      </c>
      <c r="F149" s="122">
        <f>IF(ISERR('[1]Дошкольное +'!G347),"-",'[1]Дошкольное +'!G347)</f>
        <v>1.1228786525456169</v>
      </c>
      <c r="G149" s="122">
        <f>IF(ISERR('[1]Дошкольное +'!H347),"-",'[1]Дошкольное +'!H347)</f>
        <v>1.7318794098781269</v>
      </c>
      <c r="H149" s="122">
        <f>IF(ISERR('[1]Дошкольное +'!I347),"-",'[1]Дошкольное +'!I347)</f>
        <v>1.6580976863753212</v>
      </c>
      <c r="I149" s="122">
        <f>IF(ISERR('[1]Дошкольное +'!J347),"-",'[1]Дошкольное +'!J347)</f>
        <v>2.696171944550426</v>
      </c>
      <c r="J149" s="122">
        <f>IF(ISERR('[1]Дошкольное +'!K347),"-",'[1]Дошкольное +'!K347)</f>
        <v>2.321664862263924</v>
      </c>
      <c r="K149" s="122">
        <f>IF(ISERR('[1]Дошкольное +'!L347),"-",'[1]Дошкольное +'!L347)</f>
        <v>2.3715415019762842</v>
      </c>
      <c r="L149" s="122">
        <f>IF(ISERR('[1]Дошкольное +'!N347),"-",'[1]Дошкольное +'!N347)</f>
        <v>0</v>
      </c>
      <c r="M149" s="122">
        <f>IF(ISERR('[1]Дошкольное +'!O347),"-",'[1]Дошкольное +'!O347)</f>
        <v>0</v>
      </c>
    </row>
    <row r="150" spans="1:13" s="89" customFormat="1" ht="60" x14ac:dyDescent="0.25">
      <c r="A150" s="13" t="s">
        <v>83</v>
      </c>
      <c r="B150" s="70" t="s">
        <v>1634</v>
      </c>
      <c r="C150" s="13" t="s">
        <v>8</v>
      </c>
      <c r="D150" s="104">
        <f>IF(ISERR('[1]Дошкольное +'!E354),"-",'[1]Дошкольное +'!E354)</f>
        <v>0.620973285333147</v>
      </c>
      <c r="E150" s="104">
        <f>IF(ISERR('[1]Дошкольное +'!F354),"-",'[1]Дошкольное +'!F354)</f>
        <v>2.0499999999999998</v>
      </c>
      <c r="F150" s="104">
        <f>IF(ISERR('[1]Дошкольное +'!G354),"-",'[1]Дошкольное +'!G354)</f>
        <v>0.74920503118542348</v>
      </c>
      <c r="G150" s="104">
        <f>IF(ISERR('[1]Дошкольное +'!H354),"-",'[1]Дошкольное +'!H354)</f>
        <v>0.85796868139909266</v>
      </c>
      <c r="H150" s="104">
        <f>IF(ISERR('[1]Дошкольное +'!I354),"-",'[1]Дошкольное +'!I354)</f>
        <v>0.92838785981699012</v>
      </c>
      <c r="I150" s="104">
        <f>IF(ISERR('[1]Дошкольное +'!J354),"-",'[1]Дошкольное +'!J354)</f>
        <v>0.93778454782956489</v>
      </c>
      <c r="J150" s="104">
        <f>IF(ISERR('[1]Дошкольное +'!K354),"-",'[1]Дошкольное +'!K354)</f>
        <v>0.93593938350266925</v>
      </c>
      <c r="K150" s="104">
        <f>IF(ISERR('[1]Дошкольное +'!L354),"-",'[1]Дошкольное +'!L354)</f>
        <v>1.0439560439560438</v>
      </c>
      <c r="L150" s="104">
        <f>IF(ISERR('[1]Дошкольное +'!M354),"-",'[1]Дошкольное +'!M354)</f>
        <v>1.0526315789473684</v>
      </c>
      <c r="M150" s="104">
        <f>'Дошкольное +'!N354</f>
        <v>0.86473131562693017</v>
      </c>
    </row>
    <row r="151" spans="1:13" s="89" customFormat="1" hidden="1" x14ac:dyDescent="0.25">
      <c r="A151" s="13"/>
      <c r="B151" s="70" t="s">
        <v>1303</v>
      </c>
      <c r="C151" s="13" t="s">
        <v>8</v>
      </c>
      <c r="D151" s="104">
        <f>IF(ISERR('[1]Дошкольное +'!E355),"-",'[1]Дошкольное +'!E355)</f>
        <v>0.64170987089559828</v>
      </c>
      <c r="E151" s="104">
        <f>IF(ISERR('[1]Дошкольное +'!F355),"-",'[1]Дошкольное +'!F355)</f>
        <v>2.31</v>
      </c>
      <c r="F151" s="104">
        <f>IF(ISERR('[1]Дошкольное +'!G355),"-",'[1]Дошкольное +'!G355)</f>
        <v>0.77133133622709948</v>
      </c>
      <c r="G151" s="104">
        <f>IF(ISERR('[1]Дошкольное +'!H355),"-",'[1]Дошкольное +'!H355)</f>
        <v>0.86572838387519324</v>
      </c>
      <c r="H151" s="104">
        <f>IF(ISERR('[1]Дошкольное +'!I355),"-",'[1]Дошкольное +'!I355)</f>
        <v>0.94198121769701826</v>
      </c>
      <c r="I151" s="104">
        <f>IF(ISERR('[1]Дошкольное +'!J355),"-",'[1]Дошкольное +'!J355)</f>
        <v>0.94757770319568069</v>
      </c>
      <c r="J151" s="104">
        <f>IF(ISERR('[1]Дошкольное +'!K355),"-",'[1]Дошкольное +'!K355)</f>
        <v>0.94503232029083617</v>
      </c>
      <c r="K151" s="104">
        <f>IF(ISERR('[1]Дошкольное +'!L355),"-",'[1]Дошкольное +'!L355)</f>
        <v>1.1310084825636193</v>
      </c>
      <c r="L151" s="104">
        <f>IF(ISERR('[1]Дошкольное +'!N355),"-",'[1]Дошкольное +'!N355)</f>
        <v>0</v>
      </c>
      <c r="M151" s="104" t="str">
        <f>IF(ISERR('[1]Дошкольное +'!O355),"-",'[1]Дошкольное +'!O355)</f>
        <v>-</v>
      </c>
    </row>
    <row r="152" spans="1:13" s="89" customFormat="1" hidden="1" x14ac:dyDescent="0.25">
      <c r="A152" s="13"/>
      <c r="B152" s="70" t="s">
        <v>1304</v>
      </c>
      <c r="C152" s="13" t="s">
        <v>8</v>
      </c>
      <c r="D152" s="104">
        <f>IF(ISERR('[1]Дошкольное +'!E356),"-",'[1]Дошкольное +'!E356)</f>
        <v>0.39232170379711362</v>
      </c>
      <c r="E152" s="104">
        <f>IF(ISERR('[1]Дошкольное +'!F356),"-",'[1]Дошкольное +'!F356)</f>
        <v>0.75</v>
      </c>
      <c r="F152" s="104">
        <f>IF(ISERR('[1]Дошкольное +'!G356),"-",'[1]Дошкольное +'!G356)</f>
        <v>0.47211943345667984</v>
      </c>
      <c r="G152" s="104">
        <f>IF(ISERR('[1]Дошкольное +'!H356),"-",'[1]Дошкольное +'!H356)</f>
        <v>0.75689544579858881</v>
      </c>
      <c r="H152" s="104">
        <f>IF(ISERR('[1]Дошкольное +'!I356),"-",'[1]Дошкольное +'!I356)</f>
        <v>0.74550128534704374</v>
      </c>
      <c r="I152" s="104">
        <f>IF(ISERR('[1]Дошкольное +'!J356),"-",'[1]Дошкольное +'!J356)</f>
        <v>0.80122090805036239</v>
      </c>
      <c r="J152" s="104">
        <f>IF(ISERR('[1]Дошкольное +'!K356),"-",'[1]Дошкольное +'!K356)</f>
        <v>0.81799591002045002</v>
      </c>
      <c r="K152" s="104">
        <f>IF(ISERR('[1]Дошкольное +'!L356),"-",'[1]Дошкольное +'!L356)</f>
        <v>0.92226613965744397</v>
      </c>
      <c r="L152" s="104">
        <f>IF(ISERR('[1]Дошкольное +'!N356),"-",'[1]Дошкольное +'!N356)</f>
        <v>0</v>
      </c>
      <c r="M152" s="104" t="str">
        <f>IF(ISERR('[1]Дошкольное +'!O356),"-",'[1]Дошкольное +'!O356)</f>
        <v>-</v>
      </c>
    </row>
    <row r="153" spans="1:13" s="89" customFormat="1" ht="60" x14ac:dyDescent="0.25">
      <c r="A153" s="13" t="s">
        <v>1361</v>
      </c>
      <c r="B153" s="242" t="s">
        <v>2744</v>
      </c>
      <c r="C153" s="13"/>
      <c r="D153" s="104"/>
      <c r="E153" s="104"/>
      <c r="F153" s="104"/>
      <c r="G153" s="104"/>
      <c r="H153" s="104"/>
      <c r="I153" s="104"/>
      <c r="J153" s="104"/>
      <c r="K153" s="104"/>
      <c r="L153" s="104"/>
      <c r="M153" s="104"/>
    </row>
    <row r="154" spans="1:13" s="89" customFormat="1" x14ac:dyDescent="0.25">
      <c r="A154" s="13"/>
      <c r="B154" s="70" t="s">
        <v>2495</v>
      </c>
      <c r="C154" s="13"/>
      <c r="D154" s="104"/>
      <c r="E154" s="104"/>
      <c r="F154" s="104"/>
      <c r="G154" s="104"/>
      <c r="H154" s="104"/>
      <c r="I154" s="104"/>
      <c r="J154" s="104"/>
      <c r="K154" s="104"/>
      <c r="L154" s="104"/>
      <c r="M154" s="104"/>
    </row>
    <row r="155" spans="1:13" s="89" customFormat="1" x14ac:dyDescent="0.25">
      <c r="A155" s="13"/>
      <c r="B155" s="70" t="s">
        <v>2496</v>
      </c>
      <c r="C155" s="13" t="s">
        <v>8</v>
      </c>
      <c r="D155" s="104"/>
      <c r="E155" s="104"/>
      <c r="F155" s="104"/>
      <c r="G155" s="104">
        <f>IF(ISERR('[1]Дошкольное +'!H365),"-",'[1]Дошкольное +'!H365)</f>
        <v>1.0955902492467817</v>
      </c>
      <c r="H155" s="104">
        <f>IF(ISERR('[1]Дошкольное +'!I365),"-",'[1]Дошкольное +'!I365)</f>
        <v>0.7951454279137895</v>
      </c>
      <c r="I155" s="104">
        <f>IF(ISERR('[1]Дошкольное +'!J365),"-",'[1]Дошкольное +'!J365)</f>
        <v>0.70117550010311402</v>
      </c>
      <c r="J155" s="104">
        <f>IF(ISERR('[1]Дошкольное +'!K365),"-",'[1]Дошкольное +'!K365)</f>
        <v>0.68252326783867634</v>
      </c>
      <c r="K155" s="104">
        <f>IF(ISERR('[1]Дошкольное +'!L365),"-",'[1]Дошкольное +'!L365)</f>
        <v>0</v>
      </c>
      <c r="L155" s="104">
        <f>IF(ISERR('[1]Дошкольное +'!M365),"-",'[1]Дошкольное +'!M365)</f>
        <v>0</v>
      </c>
      <c r="M155" s="104">
        <f>IF(ISERR('[1]Дошкольное +'!N365),"-",'[1]Дошкольное +'!N365)</f>
        <v>0</v>
      </c>
    </row>
    <row r="156" spans="1:13" s="89" customFormat="1" x14ac:dyDescent="0.25">
      <c r="A156" s="13"/>
      <c r="B156" s="70" t="s">
        <v>2497</v>
      </c>
      <c r="C156" s="13" t="s">
        <v>8</v>
      </c>
      <c r="D156" s="104"/>
      <c r="E156" s="104"/>
      <c r="F156" s="104"/>
      <c r="G156" s="104">
        <f>IF(ISERR('[1]Дошкольное +'!H366),"-",'[1]Дошкольное +'!H366)</f>
        <v>60.668310052040539</v>
      </c>
      <c r="H156" s="104">
        <f>IF(ISERR('[1]Дошкольное +'!I366),"-",'[1]Дошкольное +'!I366)</f>
        <v>52.354048964218457</v>
      </c>
      <c r="I156" s="104">
        <f>IF(ISERR('[1]Дошкольное +'!J366),"-",'[1]Дошкольное +'!J366)</f>
        <v>53.144978346050728</v>
      </c>
      <c r="J156" s="104">
        <f>IF(ISERR('[1]Дошкольное +'!K366),"-",'[1]Дошкольное +'!K366)</f>
        <v>58.552223371251287</v>
      </c>
      <c r="K156" s="104">
        <f>'Дошкольное +'!L366</f>
        <v>17.924528301886792</v>
      </c>
      <c r="L156" s="104">
        <f>'Дошкольное +'!M366</f>
        <v>21.69811320754717</v>
      </c>
      <c r="M156" s="104">
        <f>'Дошкольное +'!N366</f>
        <v>18.867924528301888</v>
      </c>
    </row>
    <row r="157" spans="1:13" s="89" customFormat="1" x14ac:dyDescent="0.25">
      <c r="A157" s="13"/>
      <c r="B157" s="70" t="s">
        <v>2498</v>
      </c>
      <c r="C157" s="13" t="s">
        <v>8</v>
      </c>
      <c r="D157" s="104"/>
      <c r="E157" s="104"/>
      <c r="F157" s="104"/>
      <c r="G157" s="104">
        <f>IF(ISERR('[1]Дошкольное +'!H367),"-",'[1]Дошкольное +'!H367)</f>
        <v>8.4086551629690494</v>
      </c>
      <c r="H157" s="104">
        <f>IF(ISERR('[1]Дошкольное +'!I367),"-",'[1]Дошкольное +'!I367)</f>
        <v>5.2521448001673994</v>
      </c>
      <c r="I157" s="104">
        <f>IF(ISERR('[1]Дошкольное +'!J367),"-",'[1]Дошкольное +'!J367)</f>
        <v>5.6506496184780364</v>
      </c>
      <c r="J157" s="104">
        <f>IF(ISERR('[1]Дошкольное +'!K367),"-",'[1]Дошкольное +'!K367)</f>
        <v>4.9638055842812818</v>
      </c>
      <c r="K157" s="104">
        <f>IF(ISERR('[1]Дошкольное +'!L367),"-",'[1]Дошкольное +'!L367)</f>
        <v>0</v>
      </c>
      <c r="L157" s="104">
        <f>'Дошкольное +'!M367</f>
        <v>0</v>
      </c>
      <c r="M157" s="104">
        <f>'Дошкольное +'!N367</f>
        <v>0</v>
      </c>
    </row>
    <row r="158" spans="1:13" s="89" customFormat="1" x14ac:dyDescent="0.25">
      <c r="A158" s="13"/>
      <c r="B158" s="70" t="s">
        <v>2499</v>
      </c>
      <c r="C158" s="13" t="s">
        <v>8</v>
      </c>
      <c r="D158" s="104"/>
      <c r="E158" s="104"/>
      <c r="F158" s="104"/>
      <c r="G158" s="104">
        <f>IF(ISERR('[1]Дошкольное +'!H368),"-",'[1]Дошкольное +'!H368)</f>
        <v>1.9720624486442069</v>
      </c>
      <c r="H158" s="104">
        <f>IF(ISERR('[1]Дошкольное +'!I368),"-",'[1]Дошкольное +'!I368)</f>
        <v>1.987863569784474</v>
      </c>
      <c r="I158" s="104">
        <f>IF(ISERR('[1]Дошкольное +'!J368),"-",'[1]Дошкольное +'!J368)</f>
        <v>2.2685089709218396</v>
      </c>
      <c r="J158" s="104">
        <f>IF(ISERR('[1]Дошкольное +'!K368),"-",'[1]Дошкольное +'!K368)</f>
        <v>2.2130299896587382</v>
      </c>
      <c r="K158" s="104">
        <f>IF(ISERR('[1]Дошкольное +'!L368),"-",'[1]Дошкольное +'!L368)</f>
        <v>0</v>
      </c>
      <c r="L158" s="104">
        <f>'Дошкольное +'!M368</f>
        <v>0</v>
      </c>
      <c r="M158" s="104">
        <f>'Дошкольное +'!N368</f>
        <v>0</v>
      </c>
    </row>
    <row r="159" spans="1:13" s="89" customFormat="1" x14ac:dyDescent="0.25">
      <c r="A159" s="13"/>
      <c r="B159" s="70" t="s">
        <v>2500</v>
      </c>
      <c r="C159" s="13" t="s">
        <v>8</v>
      </c>
      <c r="D159" s="104"/>
      <c r="E159" s="104"/>
      <c r="F159" s="104"/>
      <c r="G159" s="104">
        <f>IF(ISERR('[1]Дошкольное +'!H369),"-",'[1]Дошкольное +'!H369)</f>
        <v>10.052040536839222</v>
      </c>
      <c r="H159" s="104">
        <f>IF(ISERR('[1]Дошкольное +'!I369),"-",'[1]Дошкольное +'!I369)</f>
        <v>14.64741577735928</v>
      </c>
      <c r="I159" s="104">
        <f>IF(ISERR('[1]Дошкольное +'!J369),"-",'[1]Дошкольное +'!J369)</f>
        <v>14.209115281501342</v>
      </c>
      <c r="J159" s="104">
        <f>IF(ISERR('[1]Дошкольное +'!K369),"-",'[1]Дошкольное +'!K369)</f>
        <v>13.11271975180972</v>
      </c>
      <c r="K159" s="104">
        <f>IF(ISERR('[1]Дошкольное +'!L369),"-",'[1]Дошкольное +'!L369)</f>
        <v>0</v>
      </c>
      <c r="L159" s="104">
        <f>'Дошкольное +'!M369</f>
        <v>2.8301886792452833</v>
      </c>
      <c r="M159" s="104">
        <f>'Дошкольное +'!N369</f>
        <v>5.6603773584905666</v>
      </c>
    </row>
    <row r="160" spans="1:13" s="89" customFormat="1" x14ac:dyDescent="0.25">
      <c r="A160" s="13"/>
      <c r="B160" s="70" t="s">
        <v>2501</v>
      </c>
      <c r="C160" s="13" t="s">
        <v>8</v>
      </c>
      <c r="D160" s="104"/>
      <c r="E160" s="104"/>
      <c r="F160" s="104"/>
      <c r="G160" s="104">
        <f>IF(ISERR('[1]Дошкольное +'!H370),"-",'[1]Дошкольное +'!H370)</f>
        <v>2.9854834291974801</v>
      </c>
      <c r="H160" s="104">
        <f>IF(ISERR('[1]Дошкольное +'!I370),"-",'[1]Дошкольное +'!I370)</f>
        <v>4.7917974471646785</v>
      </c>
      <c r="I160" s="104">
        <f>IF(ISERR('[1]Дошкольное +'!J370),"-",'[1]Дошкольное +'!J370)</f>
        <v>4.0420705300061863</v>
      </c>
      <c r="J160" s="104">
        <f>IF(ISERR('[1]Дошкольное +'!K370),"-",'[1]Дошкольное +'!K370)</f>
        <v>2.1096173733195447</v>
      </c>
      <c r="K160" s="104">
        <f>IF(ISERR('[1]Дошкольное +'!L370),"-",'[1]Дошкольное +'!L370)</f>
        <v>0</v>
      </c>
      <c r="L160" s="104">
        <f>'Дошкольное +'!M370</f>
        <v>0</v>
      </c>
      <c r="M160" s="104">
        <f>'Дошкольное +'!N370</f>
        <v>0</v>
      </c>
    </row>
    <row r="161" spans="1:13" s="89" customFormat="1" hidden="1" x14ac:dyDescent="0.25">
      <c r="A161" s="13"/>
      <c r="B161" s="70" t="s">
        <v>1370</v>
      </c>
      <c r="C161" s="13" t="s">
        <v>8</v>
      </c>
      <c r="D161" s="104"/>
      <c r="E161" s="104"/>
      <c r="F161" s="104"/>
      <c r="G161" s="104">
        <f>IF(ISERR('[1]Дошкольное +'!H371),"-",'[1]Дошкольное +'!H371)</f>
        <v>1.9446726924130373</v>
      </c>
      <c r="H161" s="104">
        <f>IF(ISERR('[1]Дошкольное +'!I371),"-",'[1]Дошкольное +'!I371)</f>
        <v>0</v>
      </c>
      <c r="I161" s="104">
        <f>IF(ISERR('[1]Дошкольное +'!J371),"-",'[1]Дошкольное +'!J371)</f>
        <v>0</v>
      </c>
      <c r="J161" s="104">
        <f>IF(ISERR('[1]Дошкольное +'!K371),"-",'[1]Дошкольное +'!K371)</f>
        <v>0</v>
      </c>
      <c r="K161" s="104">
        <f>IF(ISERR('[1]Дошкольное +'!L371),"-",'[1]Дошкольное +'!L371)</f>
        <v>0</v>
      </c>
      <c r="L161" s="104">
        <f>'Дошкольное +'!M371</f>
        <v>0</v>
      </c>
      <c r="M161" s="104">
        <f>'Дошкольное +'!N371</f>
        <v>0</v>
      </c>
    </row>
    <row r="162" spans="1:13" s="89" customFormat="1" x14ac:dyDescent="0.25">
      <c r="A162" s="13"/>
      <c r="B162" s="70" t="s">
        <v>2502</v>
      </c>
      <c r="C162" s="13" t="s">
        <v>8</v>
      </c>
      <c r="D162" s="104"/>
      <c r="E162" s="104"/>
      <c r="F162" s="104"/>
      <c r="G162" s="104">
        <f>IF(ISERR('[1]Дошкольное +'!H372),"-",'[1]Дошкольное +'!H372)</f>
        <v>5.9435771021637906</v>
      </c>
      <c r="H162" s="104">
        <f>IF(ISERR('[1]Дошкольное +'!I372),"-",'[1]Дошкольное +'!I372)</f>
        <v>2.0924879681941828</v>
      </c>
      <c r="I162" s="104">
        <f>IF(ISERR('[1]Дошкольное +'!J372),"-",'[1]Дошкольное +'!J372)</f>
        <v>2.0210352650030932</v>
      </c>
      <c r="J162" s="104">
        <f>IF(ISERR('[1]Дошкольное +'!K372),"-",'[1]Дошкольное +'!K372)</f>
        <v>1.6752843846949326</v>
      </c>
      <c r="K162" s="104">
        <f>IF(ISERR('[1]Дошкольное +'!L372),"-",'[1]Дошкольное +'!L372)</f>
        <v>0</v>
      </c>
      <c r="L162" s="104">
        <f>'Дошкольное +'!M372</f>
        <v>0</v>
      </c>
      <c r="M162" s="104">
        <f>'Дошкольное +'!N372</f>
        <v>0</v>
      </c>
    </row>
    <row r="163" spans="1:13" s="89" customFormat="1" x14ac:dyDescent="0.25">
      <c r="A163" s="13"/>
      <c r="B163" s="70" t="s">
        <v>2503</v>
      </c>
      <c r="C163" s="13" t="s">
        <v>8</v>
      </c>
      <c r="D163" s="104"/>
      <c r="E163" s="104"/>
      <c r="F163" s="104"/>
      <c r="G163" s="104">
        <f>IF(ISERR('[1]Дошкольное +'!H373),"-",'[1]Дошкольное +'!H373)</f>
        <v>0.10955902492467817</v>
      </c>
      <c r="H163" s="104">
        <f>IF(ISERR('[1]Дошкольное +'!I373),"-",'[1]Дошкольное +'!I373)</f>
        <v>8.7884494664155675</v>
      </c>
      <c r="I163" s="104">
        <f>IF(ISERR('[1]Дошкольное +'!J373),"-",'[1]Дошкольное +'!J373)</f>
        <v>6.9705093833780163</v>
      </c>
      <c r="J163" s="104">
        <f>IF(ISERR('[1]Дошкольное +'!K373),"-",'[1]Дошкольное +'!K373)</f>
        <v>4.4881075491209925</v>
      </c>
      <c r="K163" s="104">
        <f>IF(ISERR('[1]Дошкольное +'!L373),"-",'[1]Дошкольное +'!L373)</f>
        <v>0</v>
      </c>
      <c r="L163" s="104">
        <f>'Дошкольное +'!M373</f>
        <v>0</v>
      </c>
      <c r="M163" s="104">
        <f>'Дошкольное +'!N373</f>
        <v>0</v>
      </c>
    </row>
    <row r="164" spans="1:13" s="89" customFormat="1" x14ac:dyDescent="0.25">
      <c r="A164" s="13"/>
      <c r="B164" s="70" t="s">
        <v>2504</v>
      </c>
      <c r="C164" s="13" t="s">
        <v>8</v>
      </c>
      <c r="D164" s="104"/>
      <c r="E164" s="104"/>
      <c r="F164" s="104"/>
      <c r="G164" s="104">
        <f>IF(ISERR('[1]Дошкольное +'!H374),"-",'[1]Дошкольное +'!H374)</f>
        <v>0.10955902492467817</v>
      </c>
      <c r="H164" s="104">
        <f>IF(ISERR('[1]Дошкольное +'!I374),"-",'[1]Дошкольное +'!I374)</f>
        <v>0</v>
      </c>
      <c r="I164" s="104">
        <f>IF(ISERR('[1]Дошкольное +'!J374),"-",'[1]Дошкольное +'!J374)</f>
        <v>0</v>
      </c>
      <c r="J164" s="104">
        <f>IF(ISERR('[1]Дошкольное +'!K374),"-",'[1]Дошкольное +'!K374)</f>
        <v>1.4270941054808686</v>
      </c>
      <c r="K164" s="104">
        <f>IF(ISERR('[1]Дошкольное +'!L374),"-",'[1]Дошкольное +'!L374)</f>
        <v>0</v>
      </c>
      <c r="L164" s="104">
        <f>'Дошкольное +'!M374</f>
        <v>0</v>
      </c>
      <c r="M164" s="104">
        <f>'Дошкольное +'!N374</f>
        <v>0</v>
      </c>
    </row>
    <row r="165" spans="1:13" s="89" customFormat="1" x14ac:dyDescent="0.25">
      <c r="A165" s="13"/>
      <c r="B165" s="70" t="s">
        <v>2505</v>
      </c>
      <c r="C165" s="13" t="s">
        <v>8</v>
      </c>
      <c r="D165" s="104"/>
      <c r="E165" s="104"/>
      <c r="F165" s="104"/>
      <c r="G165" s="104">
        <f>IF(ISERR('[1]Дошкольное +'!H375),"-",'[1]Дошкольное +'!H375)</f>
        <v>0</v>
      </c>
      <c r="H165" s="104">
        <f>IF(ISERR('[1]Дошкольное +'!I375),"-",'[1]Дошкольное +'!I375)</f>
        <v>0</v>
      </c>
      <c r="I165" s="104">
        <f>IF(ISERR('[1]Дошкольное +'!J375),"-",'[1]Дошкольное +'!J375)</f>
        <v>0</v>
      </c>
      <c r="J165" s="104">
        <f>IF(ISERR('[1]Дошкольное +'!K375),"-",'[1]Дошкольное +'!K375)</f>
        <v>0</v>
      </c>
      <c r="K165" s="104">
        <f>IF(ISERR('[1]Дошкольное +'!L375),"-",'[1]Дошкольное +'!L375)</f>
        <v>0</v>
      </c>
      <c r="L165" s="104">
        <f>'Дошкольное +'!M375</f>
        <v>0</v>
      </c>
      <c r="M165" s="104">
        <f>'Дошкольное +'!N375</f>
        <v>0</v>
      </c>
    </row>
    <row r="166" spans="1:13" s="89" customFormat="1" x14ac:dyDescent="0.25">
      <c r="A166" s="13"/>
      <c r="B166" s="70" t="s">
        <v>2508</v>
      </c>
      <c r="C166" s="13" t="s">
        <v>8</v>
      </c>
      <c r="D166" s="104"/>
      <c r="E166" s="104"/>
      <c r="F166" s="104"/>
      <c r="G166" s="104">
        <f>IF(ISERR('[1]Дошкольное +'!H376),"-",'[1]Дошкольное +'!H376)</f>
        <v>0.10955902492467817</v>
      </c>
      <c r="H166" s="104">
        <f>IF(ISERR('[1]Дошкольное +'!I376),"-",'[1]Дошкольное +'!I376)</f>
        <v>0</v>
      </c>
      <c r="I166" s="104">
        <f>IF(ISERR('[1]Дошкольное +'!J376),"-",'[1]Дошкольное +'!J376)</f>
        <v>0</v>
      </c>
      <c r="J166" s="104">
        <f>IF(ISERR('[1]Дошкольное +'!K376),"-",'[1]Дошкольное +'!K376)</f>
        <v>0</v>
      </c>
      <c r="K166" s="104">
        <f>IF(ISERR('[1]Дошкольное +'!L376),"-",'[1]Дошкольное +'!L376)</f>
        <v>0</v>
      </c>
      <c r="L166" s="104">
        <f>'Дошкольное +'!M376</f>
        <v>0</v>
      </c>
      <c r="M166" s="104">
        <f>'Дошкольное +'!N376</f>
        <v>0</v>
      </c>
    </row>
    <row r="167" spans="1:13" s="89" customFormat="1" ht="30" hidden="1" x14ac:dyDescent="0.25">
      <c r="A167" s="13"/>
      <c r="B167" s="70" t="s">
        <v>1376</v>
      </c>
      <c r="C167" s="13" t="s">
        <v>8</v>
      </c>
      <c r="D167" s="104"/>
      <c r="E167" s="104"/>
      <c r="F167" s="104"/>
      <c r="G167" s="104">
        <f>IF(ISERR('[1]Дошкольное +'!H377),"-",'[1]Дошкольное +'!H377)</f>
        <v>0</v>
      </c>
      <c r="H167" s="104">
        <f>IF(ISERR('[1]Дошкольное +'!I377),"-",'[1]Дошкольное +'!I377)</f>
        <v>0</v>
      </c>
      <c r="I167" s="104">
        <f>IF(ISERR('[1]Дошкольное +'!J377),"-",'[1]Дошкольное +'!J377)</f>
        <v>0</v>
      </c>
      <c r="J167" s="104">
        <f>IF(ISERR('[1]Дошкольное +'!K377),"-",'[1]Дошкольное +'!K377)</f>
        <v>0</v>
      </c>
      <c r="K167" s="104">
        <f>IF(ISERR('[1]Дошкольное +'!L377),"-",'[1]Дошкольное +'!L377)</f>
        <v>0</v>
      </c>
      <c r="L167" s="104">
        <f>'Дошкольное +'!M377</f>
        <v>0</v>
      </c>
      <c r="M167" s="104">
        <f>'Дошкольное +'!N377</f>
        <v>0</v>
      </c>
    </row>
    <row r="168" spans="1:13" s="89" customFormat="1" x14ac:dyDescent="0.25">
      <c r="A168" s="13"/>
      <c r="B168" s="70" t="s">
        <v>2506</v>
      </c>
      <c r="C168" s="13" t="s">
        <v>8</v>
      </c>
      <c r="D168" s="104"/>
      <c r="E168" s="104"/>
      <c r="F168" s="104"/>
      <c r="G168" s="104">
        <f>IF(ISERR('[1]Дошкольное +'!H378),"-",'[1]Дошкольное +'!H378)</f>
        <v>6.7104902766365377</v>
      </c>
      <c r="H168" s="104">
        <f>IF(ISERR('[1]Дошкольное +'!I378),"-",'[1]Дошкольное +'!I378)</f>
        <v>9.2906465787821713</v>
      </c>
      <c r="I168" s="104">
        <f>IF(ISERR('[1]Дошкольное +'!J378),"-",'[1]Дошкольное +'!J378)</f>
        <v>10.991957104557642</v>
      </c>
      <c r="J168" s="104">
        <f>IF(ISERR('[1]Дошкольное +'!K378),"-",'[1]Дошкольное +'!K378)</f>
        <v>10.775594622543951</v>
      </c>
      <c r="K168" s="104">
        <f>IF(ISERR('[1]Дошкольное +'!L378),"-",'[1]Дошкольное +'!L378)</f>
        <v>82.075471698113205</v>
      </c>
      <c r="L168" s="104">
        <f>'Дошкольное +'!M378</f>
        <v>53.571428571428569</v>
      </c>
      <c r="M168" s="104">
        <f>'Дошкольное +'!N378</f>
        <v>53.571428571428569</v>
      </c>
    </row>
    <row r="169" spans="1:13" s="89" customFormat="1" ht="45" x14ac:dyDescent="0.25">
      <c r="A169" s="13" t="s">
        <v>1378</v>
      </c>
      <c r="B169" s="70" t="s">
        <v>2507</v>
      </c>
      <c r="C169" s="13"/>
      <c r="D169" s="104"/>
      <c r="E169" s="104"/>
      <c r="F169" s="104"/>
      <c r="G169" s="104"/>
      <c r="H169" s="104"/>
      <c r="I169" s="104"/>
      <c r="J169" s="104"/>
      <c r="K169" s="104"/>
      <c r="L169" s="104"/>
      <c r="M169" s="104"/>
    </row>
    <row r="170" spans="1:13" s="89" customFormat="1" x14ac:dyDescent="0.25">
      <c r="A170" s="13"/>
      <c r="B170" s="70" t="s">
        <v>2495</v>
      </c>
      <c r="C170" s="13"/>
      <c r="D170" s="104"/>
      <c r="E170" s="104"/>
      <c r="F170" s="104"/>
      <c r="G170" s="104"/>
      <c r="H170" s="104"/>
      <c r="I170" s="104"/>
      <c r="J170" s="104"/>
      <c r="K170" s="104"/>
      <c r="L170" s="104"/>
      <c r="M170" s="104"/>
    </row>
    <row r="171" spans="1:13" s="89" customFormat="1" x14ac:dyDescent="0.25">
      <c r="A171" s="13"/>
      <c r="B171" s="70" t="s">
        <v>2496</v>
      </c>
      <c r="C171" s="13" t="s">
        <v>8</v>
      </c>
      <c r="D171" s="104"/>
      <c r="E171" s="104"/>
      <c r="F171" s="104"/>
      <c r="G171" s="104">
        <f>IF(ISERR('[1]Дошкольное +'!H397),"-",'[1]Дошкольное +'!H397)</f>
        <v>9.2378752886836022</v>
      </c>
      <c r="H171" s="104">
        <f>IF(ISERR('[1]Дошкольное +'!I397),"-",'[1]Дошкольное +'!I397)</f>
        <v>6.4748201438848918</v>
      </c>
      <c r="I171" s="104">
        <f>IF(ISERR('[1]Дошкольное +'!J397),"-",'[1]Дошкольное +'!J397)</f>
        <v>4.778761061946903</v>
      </c>
      <c r="J171" s="104">
        <f>IF(ISERR('[1]Дошкольное +'!K397),"-",'[1]Дошкольное +'!K397)</f>
        <v>6.557377049180328</v>
      </c>
      <c r="K171" s="104">
        <f>IF(ISERR('[1]Дошкольное +'!L397),"-",'[1]Дошкольное +'!L397)</f>
        <v>0</v>
      </c>
      <c r="L171" s="104">
        <f>IF(ISERR('[1]Дошкольное +'!M397),"-",'[1]Дошкольное +'!M397)</f>
        <v>0</v>
      </c>
      <c r="M171" s="104">
        <f>'Дошкольное +'!N397</f>
        <v>0</v>
      </c>
    </row>
    <row r="172" spans="1:13" s="89" customFormat="1" x14ac:dyDescent="0.25">
      <c r="A172" s="13"/>
      <c r="B172" s="70" t="s">
        <v>2497</v>
      </c>
      <c r="C172" s="13" t="s">
        <v>8</v>
      </c>
      <c r="D172" s="104"/>
      <c r="E172" s="104"/>
      <c r="F172" s="104"/>
      <c r="G172" s="104">
        <f>IF(ISERR('[1]Дошкольное +'!H398),"-",'[1]Дошкольное +'!H398)</f>
        <v>23.094688221709006</v>
      </c>
      <c r="H172" s="104">
        <f>IF(ISERR('[1]Дошкольное +'!I398),"-",'[1]Дошкольное +'!I398)</f>
        <v>18.165467625899282</v>
      </c>
      <c r="I172" s="104">
        <f>IF(ISERR('[1]Дошкольное +'!J398),"-",'[1]Дошкольное +'!J398)</f>
        <v>22.123893805309734</v>
      </c>
      <c r="J172" s="104">
        <f>IF(ISERR('[1]Дошкольное +'!K398),"-",'[1]Дошкольное +'!K398)</f>
        <v>20.765027322404372</v>
      </c>
      <c r="K172" s="104">
        <f>IF(ISERR('[1]Дошкольное +'!L398),"-",'[1]Дошкольное +'!L398)</f>
        <v>33.333333333333329</v>
      </c>
      <c r="L172" s="104">
        <f>IF(ISERR('[1]Дошкольное +'!M398),"-",'[1]Дошкольное +'!M398)</f>
        <v>45.454545454545453</v>
      </c>
      <c r="M172" s="104">
        <f>'Дошкольное +'!N398</f>
        <v>25</v>
      </c>
    </row>
    <row r="173" spans="1:13" s="89" customFormat="1" x14ac:dyDescent="0.25">
      <c r="A173" s="13"/>
      <c r="B173" s="70" t="s">
        <v>2498</v>
      </c>
      <c r="C173" s="13" t="s">
        <v>8</v>
      </c>
      <c r="D173" s="104"/>
      <c r="E173" s="104"/>
      <c r="F173" s="104"/>
      <c r="G173" s="104">
        <f>IF(ISERR('[1]Дошкольное +'!H399),"-",'[1]Дошкольное +'!H399)</f>
        <v>4.3879907621247112</v>
      </c>
      <c r="H173" s="104">
        <f>IF(ISERR('[1]Дошкольное +'!I399),"-",'[1]Дошкольное +'!I399)</f>
        <v>3.7769784172661871</v>
      </c>
      <c r="I173" s="104">
        <f>IF(ISERR('[1]Дошкольное +'!J399),"-",'[1]Дошкольное +'!J399)</f>
        <v>3.0088495575221237</v>
      </c>
      <c r="J173" s="104">
        <f>IF(ISERR('[1]Дошкольное +'!K399),"-",'[1]Дошкольное +'!K399)</f>
        <v>3.8251366120218582</v>
      </c>
      <c r="K173" s="104">
        <f>IF(ISERR('[1]Дошкольное +'!L399),"-",'[1]Дошкольное +'!L399)</f>
        <v>0</v>
      </c>
      <c r="L173" s="104">
        <f>IF(ISERR('[1]Дошкольное +'!M399),"-",'[1]Дошкольное +'!M399)</f>
        <v>0</v>
      </c>
      <c r="M173" s="104">
        <f>'Дошкольное +'!N399</f>
        <v>0</v>
      </c>
    </row>
    <row r="174" spans="1:13" s="89" customFormat="1" x14ac:dyDescent="0.25">
      <c r="A174" s="13"/>
      <c r="B174" s="70" t="s">
        <v>2499</v>
      </c>
      <c r="C174" s="13" t="s">
        <v>8</v>
      </c>
      <c r="D174" s="104"/>
      <c r="E174" s="104"/>
      <c r="F174" s="104"/>
      <c r="G174" s="104">
        <f>IF(ISERR('[1]Дошкольное +'!H400),"-",'[1]Дошкольное +'!H400)</f>
        <v>14.549653579676674</v>
      </c>
      <c r="H174" s="104">
        <f>IF(ISERR('[1]Дошкольное +'!I400),"-",'[1]Дошкольное +'!I400)</f>
        <v>11.151079136690647</v>
      </c>
      <c r="I174" s="104">
        <f>IF(ISERR('[1]Дошкольное +'!J400),"-",'[1]Дошкольное +'!J400)</f>
        <v>12.035398230088495</v>
      </c>
      <c r="J174" s="104">
        <f>IF(ISERR('[1]Дошкольное +'!K400),"-",'[1]Дошкольное +'!K400)</f>
        <v>14.389799635701275</v>
      </c>
      <c r="K174" s="104">
        <f>IF(ISERR('[1]Дошкольное +'!L400),"-",'[1]Дошкольное +'!L400)</f>
        <v>0</v>
      </c>
      <c r="L174" s="104">
        <f>IF(ISERR('[1]Дошкольное +'!M400),"-",'[1]Дошкольное +'!M400)</f>
        <v>0</v>
      </c>
      <c r="M174" s="104">
        <f>'Дошкольное +'!N400</f>
        <v>0</v>
      </c>
    </row>
    <row r="175" spans="1:13" s="89" customFormat="1" x14ac:dyDescent="0.25">
      <c r="A175" s="13"/>
      <c r="B175" s="70" t="s">
        <v>2500</v>
      </c>
      <c r="C175" s="13" t="s">
        <v>8</v>
      </c>
      <c r="D175" s="104"/>
      <c r="E175" s="104"/>
      <c r="F175" s="104"/>
      <c r="G175" s="104">
        <f>IF(ISERR('[1]Дошкольное +'!H401),"-",'[1]Дошкольное +'!H401)</f>
        <v>15.935334872979215</v>
      </c>
      <c r="H175" s="104">
        <f>IF(ISERR('[1]Дошкольное +'!I401),"-",'[1]Дошкольное +'!I401)</f>
        <v>16.546762589928058</v>
      </c>
      <c r="I175" s="104">
        <f>IF(ISERR('[1]Дошкольное +'!J401),"-",'[1]Дошкольное +'!J401)</f>
        <v>15.752212389380531</v>
      </c>
      <c r="J175" s="104">
        <f>IF(ISERR('[1]Дошкольное +'!K401),"-",'[1]Дошкольное +'!K401)</f>
        <v>18.397085610200364</v>
      </c>
      <c r="K175" s="104">
        <f>IF(ISERR('[1]Дошкольное +'!L401),"-",'[1]Дошкольное +'!L401)</f>
        <v>0</v>
      </c>
      <c r="L175" s="104">
        <f>IF(ISERR('[1]Дошкольное +'!M401),"-",'[1]Дошкольное +'!M401)</f>
        <v>0</v>
      </c>
      <c r="M175" s="104">
        <f>'Дошкольное +'!N401</f>
        <v>33.333333333333329</v>
      </c>
    </row>
    <row r="176" spans="1:13" s="89" customFormat="1" x14ac:dyDescent="0.25">
      <c r="A176" s="13"/>
      <c r="B176" s="70" t="s">
        <v>2501</v>
      </c>
      <c r="C176" s="13" t="s">
        <v>8</v>
      </c>
      <c r="D176" s="104"/>
      <c r="E176" s="104"/>
      <c r="F176" s="104"/>
      <c r="G176" s="104">
        <f>IF(ISERR('[1]Дошкольное +'!H402),"-",'[1]Дошкольное +'!H402)</f>
        <v>5.3117782909930717</v>
      </c>
      <c r="H176" s="104">
        <f>IF(ISERR('[1]Дошкольное +'!I402),"-",'[1]Дошкольное +'!I402)</f>
        <v>3.9568345323741005</v>
      </c>
      <c r="I176" s="104">
        <f>IF(ISERR('[1]Дошкольное +'!J402),"-",'[1]Дошкольное +'!J402)</f>
        <v>3.8938053097345131</v>
      </c>
      <c r="J176" s="104">
        <f>IF(ISERR('[1]Дошкольное +'!K402),"-",'[1]Дошкольное +'!K402)</f>
        <v>1.8214936247723135</v>
      </c>
      <c r="K176" s="104">
        <f>IF(ISERR('[1]Дошкольное +'!L402),"-",'[1]Дошкольное +'!L402)</f>
        <v>0</v>
      </c>
      <c r="L176" s="104">
        <f>IF(ISERR('[1]Дошкольное +'!M402),"-",'[1]Дошкольное +'!M402)</f>
        <v>0</v>
      </c>
      <c r="M176" s="104">
        <f>'Дошкольное +'!N402</f>
        <v>0</v>
      </c>
    </row>
    <row r="177" spans="1:13" s="89" customFormat="1" hidden="1" x14ac:dyDescent="0.25">
      <c r="A177" s="13"/>
      <c r="B177" s="70" t="s">
        <v>1370</v>
      </c>
      <c r="C177" s="13" t="s">
        <v>8</v>
      </c>
      <c r="D177" s="104"/>
      <c r="E177" s="104"/>
      <c r="F177" s="104"/>
      <c r="G177" s="104">
        <f>IF(ISERR('[1]Дошкольное +'!H403),"-",'[1]Дошкольное +'!H403)</f>
        <v>0</v>
      </c>
      <c r="H177" s="104">
        <f>IF(ISERR('[1]Дошкольное +'!I403),"-",'[1]Дошкольное +'!I403)</f>
        <v>0</v>
      </c>
      <c r="I177" s="104">
        <f>IF(ISERR('[1]Дошкольное +'!J403),"-",'[1]Дошкольное +'!J403)</f>
        <v>0</v>
      </c>
      <c r="J177" s="104">
        <f>IF(ISERR('[1]Дошкольное +'!K403),"-",'[1]Дошкольное +'!K403)</f>
        <v>0</v>
      </c>
      <c r="K177" s="104">
        <f>IF(ISERR('[1]Дошкольное +'!L403),"-",'[1]Дошкольное +'!L403)</f>
        <v>0</v>
      </c>
      <c r="L177" s="104">
        <f>IF(ISERR('[1]Дошкольное +'!M403),"-",'[1]Дошкольное +'!M403)</f>
        <v>0</v>
      </c>
      <c r="M177" s="104">
        <f>'Дошкольное +'!N403</f>
        <v>0</v>
      </c>
    </row>
    <row r="178" spans="1:13" s="89" customFormat="1" x14ac:dyDescent="0.25">
      <c r="A178" s="13"/>
      <c r="B178" s="70" t="s">
        <v>2502</v>
      </c>
      <c r="C178" s="13" t="s">
        <v>8</v>
      </c>
      <c r="D178" s="104"/>
      <c r="E178" s="104"/>
      <c r="F178" s="104"/>
      <c r="G178" s="104">
        <f>IF(ISERR('[1]Дошкольное +'!H404),"-",'[1]Дошкольное +'!H404)</f>
        <v>10.392609699769054</v>
      </c>
      <c r="H178" s="104">
        <f>IF(ISERR('[1]Дошкольное +'!I404),"-",'[1]Дошкольное +'!I404)</f>
        <v>0</v>
      </c>
      <c r="I178" s="104">
        <f>IF(ISERR('[1]Дошкольное +'!J404),"-",'[1]Дошкольное +'!J404)</f>
        <v>14.159292035398231</v>
      </c>
      <c r="J178" s="104">
        <f>IF(ISERR('[1]Дошкольное +'!K404),"-",'[1]Дошкольное +'!K404)</f>
        <v>11.839708561020036</v>
      </c>
      <c r="K178" s="104">
        <f>IF(ISERR('[1]Дошкольное +'!L404),"-",'[1]Дошкольное +'!L404)</f>
        <v>0</v>
      </c>
      <c r="L178" s="104">
        <f>IF(ISERR('[1]Дошкольное +'!M404),"-",'[1]Дошкольное +'!M404)</f>
        <v>0</v>
      </c>
      <c r="M178" s="104">
        <f>'Дошкольное +'!N404</f>
        <v>0</v>
      </c>
    </row>
    <row r="179" spans="1:13" s="89" customFormat="1" x14ac:dyDescent="0.25">
      <c r="A179" s="13"/>
      <c r="B179" s="70" t="s">
        <v>2503</v>
      </c>
      <c r="C179" s="13" t="s">
        <v>8</v>
      </c>
      <c r="D179" s="104"/>
      <c r="E179" s="104"/>
      <c r="F179" s="104"/>
      <c r="G179" s="104">
        <f>IF(ISERR('[1]Дошкольное +'!H405),"-",'[1]Дошкольное +'!H405)</f>
        <v>2.3094688221709005</v>
      </c>
      <c r="H179" s="104">
        <f>IF(ISERR('[1]Дошкольное +'!I405),"-",'[1]Дошкольное +'!I405)</f>
        <v>13.669064748201439</v>
      </c>
      <c r="I179" s="104">
        <f>IF(ISERR('[1]Дошкольное +'!J405),"-",'[1]Дошкольное +'!J405)</f>
        <v>5.4867256637168138</v>
      </c>
      <c r="J179" s="104">
        <f>IF(ISERR('[1]Дошкольное +'!K405),"-",'[1]Дошкольное +'!K405)</f>
        <v>2.0036429872495445</v>
      </c>
      <c r="K179" s="104">
        <f>IF(ISERR('[1]Дошкольное +'!L405),"-",'[1]Дошкольное +'!L405)</f>
        <v>0</v>
      </c>
      <c r="L179" s="104">
        <f>IF(ISERR('[1]Дошкольное +'!M405),"-",'[1]Дошкольное +'!M405)</f>
        <v>0</v>
      </c>
      <c r="M179" s="104">
        <f>'Дошкольное +'!N405</f>
        <v>0</v>
      </c>
    </row>
    <row r="180" spans="1:13" s="89" customFormat="1" x14ac:dyDescent="0.25">
      <c r="A180" s="13"/>
      <c r="B180" s="70" t="s">
        <v>2504</v>
      </c>
      <c r="C180" s="13"/>
      <c r="D180" s="104"/>
      <c r="E180" s="104"/>
      <c r="F180" s="104"/>
      <c r="G180" s="104">
        <f>IF(ISERR('[1]Дошкольное +'!H406),"-",'[1]Дошкольное +'!H406)</f>
        <v>0</v>
      </c>
      <c r="H180" s="104">
        <f>IF(ISERR('[1]Дошкольное +'!I406),"-",'[1]Дошкольное +'!I406)</f>
        <v>0</v>
      </c>
      <c r="I180" s="104">
        <f>IF(ISERR('[1]Дошкольное +'!J406),"-",'[1]Дошкольное +'!J406)</f>
        <v>0.17699115044247787</v>
      </c>
      <c r="J180" s="104">
        <f>IF(ISERR('[1]Дошкольное +'!K406),"-",'[1]Дошкольное +'!K406)</f>
        <v>0</v>
      </c>
      <c r="K180" s="104">
        <f>IF(ISERR('[1]Дошкольное +'!L406),"-",'[1]Дошкольное +'!L406)</f>
        <v>0</v>
      </c>
      <c r="L180" s="104">
        <f>IF(ISERR('[1]Дошкольное +'!M406),"-",'[1]Дошкольное +'!M406)</f>
        <v>0</v>
      </c>
      <c r="M180" s="104">
        <f>'Дошкольное +'!N406</f>
        <v>0</v>
      </c>
    </row>
    <row r="181" spans="1:13" s="89" customFormat="1" x14ac:dyDescent="0.25">
      <c r="A181" s="13"/>
      <c r="B181" s="70" t="s">
        <v>2505</v>
      </c>
      <c r="C181" s="13" t="s">
        <v>8</v>
      </c>
      <c r="D181" s="104"/>
      <c r="E181" s="104"/>
      <c r="F181" s="104"/>
      <c r="G181" s="104">
        <f>IF(ISERR('[1]Дошкольное +'!H407),"-",'[1]Дошкольное +'!H407)</f>
        <v>0</v>
      </c>
      <c r="H181" s="104">
        <f>IF(ISERR('[1]Дошкольное +'!I407),"-",'[1]Дошкольное +'!I407)</f>
        <v>0</v>
      </c>
      <c r="I181" s="104">
        <f>IF(ISERR('[1]Дошкольное +'!J407),"-",'[1]Дошкольное +'!J407)</f>
        <v>0</v>
      </c>
      <c r="J181" s="104">
        <f>IF(ISERR('[1]Дошкольное +'!K407),"-",'[1]Дошкольное +'!K407)</f>
        <v>0</v>
      </c>
      <c r="K181" s="104">
        <f>IF(ISERR('[1]Дошкольное +'!L407),"-",'[1]Дошкольное +'!L407)</f>
        <v>0</v>
      </c>
      <c r="L181" s="104">
        <f>IF(ISERR('[1]Дошкольное +'!M407),"-",'[1]Дошкольное +'!M407)</f>
        <v>0</v>
      </c>
      <c r="M181" s="104">
        <f>'Дошкольное +'!N407</f>
        <v>0</v>
      </c>
    </row>
    <row r="182" spans="1:13" s="89" customFormat="1" x14ac:dyDescent="0.25">
      <c r="A182" s="13"/>
      <c r="B182" s="70" t="s">
        <v>2508</v>
      </c>
      <c r="C182" s="13" t="s">
        <v>8</v>
      </c>
      <c r="D182" s="104"/>
      <c r="E182" s="104"/>
      <c r="F182" s="104"/>
      <c r="G182" s="104">
        <f>IF(ISERR('[1]Дошкольное +'!H408),"-",'[1]Дошкольное +'!H408)</f>
        <v>0</v>
      </c>
      <c r="H182" s="104">
        <f>IF(ISERR('[1]Дошкольное +'!I408),"-",'[1]Дошкольное +'!I408)</f>
        <v>0</v>
      </c>
      <c r="I182" s="104">
        <f>IF(ISERR('[1]Дошкольное +'!J408),"-",'[1]Дошкольное +'!J408)</f>
        <v>0.17699115044247787</v>
      </c>
      <c r="J182" s="104">
        <f>IF(ISERR('[1]Дошкольное +'!K408),"-",'[1]Дошкольное +'!K408)</f>
        <v>0</v>
      </c>
      <c r="K182" s="104">
        <f>IF(ISERR('[1]Дошкольное +'!L408),"-",'[1]Дошкольное +'!L408)</f>
        <v>0</v>
      </c>
      <c r="L182" s="104">
        <f>IF(ISERR('[1]Дошкольное +'!M408),"-",'[1]Дошкольное +'!M408)</f>
        <v>0</v>
      </c>
      <c r="M182" s="104">
        <f>'Дошкольное +'!N408</f>
        <v>0</v>
      </c>
    </row>
    <row r="183" spans="1:13" s="89" customFormat="1" ht="30" hidden="1" x14ac:dyDescent="0.25">
      <c r="A183" s="13"/>
      <c r="B183" s="70" t="s">
        <v>1376</v>
      </c>
      <c r="C183" s="13" t="s">
        <v>8</v>
      </c>
      <c r="D183" s="104"/>
      <c r="E183" s="104"/>
      <c r="F183" s="104"/>
      <c r="G183" s="104">
        <f>IF(ISERR('[1]Дошкольное +'!H409),"-",'[1]Дошкольное +'!H409)</f>
        <v>0</v>
      </c>
      <c r="H183" s="104">
        <f>IF(ISERR('[1]Дошкольное +'!I409),"-",'[1]Дошкольное +'!I409)</f>
        <v>0</v>
      </c>
      <c r="I183" s="104">
        <f>IF(ISERR('[1]Дошкольное +'!J409),"-",'[1]Дошкольное +'!J409)</f>
        <v>0</v>
      </c>
      <c r="J183" s="104">
        <f>IF(ISERR('[1]Дошкольное +'!K409),"-",'[1]Дошкольное +'!K409)</f>
        <v>0</v>
      </c>
      <c r="K183" s="104">
        <f>IF(ISERR('[1]Дошкольное +'!L409),"-",'[1]Дошкольное +'!L409)</f>
        <v>0</v>
      </c>
      <c r="L183" s="104">
        <f>IF(ISERR('[1]Дошкольное +'!M409),"-",'[1]Дошкольное +'!M409)</f>
        <v>0</v>
      </c>
      <c r="M183" s="104">
        <f>'Дошкольное +'!N409</f>
        <v>0</v>
      </c>
    </row>
    <row r="184" spans="1:13" s="89" customFormat="1" x14ac:dyDescent="0.25">
      <c r="A184" s="13"/>
      <c r="B184" s="70" t="s">
        <v>2506</v>
      </c>
      <c r="C184" s="13" t="s">
        <v>8</v>
      </c>
      <c r="D184" s="104"/>
      <c r="E184" s="104"/>
      <c r="F184" s="104"/>
      <c r="G184" s="104">
        <f>IF(ISERR('[1]Дошкольное +'!H410),"-",'[1]Дошкольное +'!H410)</f>
        <v>14.780600461893764</v>
      </c>
      <c r="H184" s="104">
        <f>IF(ISERR('[1]Дошкольное +'!I410),"-",'[1]Дошкольное +'!I410)</f>
        <v>18.345323741007196</v>
      </c>
      <c r="I184" s="104">
        <f>IF(ISERR('[1]Дошкольное +'!J410),"-",'[1]Дошкольное +'!J410)</f>
        <v>18.584070796460178</v>
      </c>
      <c r="J184" s="104">
        <f>IF(ISERR('[1]Дошкольное +'!K410),"-",'[1]Дошкольное +'!K410)</f>
        <v>20.400728597449909</v>
      </c>
      <c r="K184" s="104">
        <f>IF(ISERR('[1]Дошкольное +'!L410),"-",'[1]Дошкольное +'!L410)</f>
        <v>66.666666666666657</v>
      </c>
      <c r="L184" s="104">
        <f>IF(ISERR('[1]Дошкольное +'!M410),"-",'[1]Дошкольное +'!M410)</f>
        <v>54.54545454545454</v>
      </c>
      <c r="M184" s="104">
        <f>'Дошкольное +'!N410</f>
        <v>41.666666666666671</v>
      </c>
    </row>
    <row r="185" spans="1:13" s="89" customFormat="1" ht="45" hidden="1" x14ac:dyDescent="0.25">
      <c r="A185" s="13" t="s">
        <v>1380</v>
      </c>
      <c r="B185" s="70" t="s">
        <v>1381</v>
      </c>
      <c r="C185" s="13" t="s">
        <v>8</v>
      </c>
      <c r="D185" s="104"/>
      <c r="E185" s="104"/>
      <c r="F185" s="104"/>
      <c r="G185" s="104"/>
      <c r="H185" s="104"/>
      <c r="I185" s="104"/>
      <c r="J185" s="104"/>
      <c r="K185" s="104"/>
      <c r="L185" s="104"/>
      <c r="M185" s="104"/>
    </row>
    <row r="186" spans="1:13" s="89" customFormat="1" ht="30" x14ac:dyDescent="0.25">
      <c r="A186" s="99" t="s">
        <v>87</v>
      </c>
      <c r="B186" s="100" t="s">
        <v>86</v>
      </c>
      <c r="C186" s="87"/>
      <c r="D186" s="93"/>
      <c r="E186" s="93"/>
      <c r="F186" s="93"/>
      <c r="G186" s="93"/>
      <c r="H186" s="93"/>
      <c r="I186" s="93"/>
      <c r="J186" s="93"/>
      <c r="K186" s="93"/>
      <c r="L186" s="93"/>
      <c r="M186" s="93"/>
    </row>
    <row r="187" spans="1:13" s="89" customFormat="1" ht="30" hidden="1" x14ac:dyDescent="0.25">
      <c r="A187" s="13" t="s">
        <v>89</v>
      </c>
      <c r="B187" s="70" t="s">
        <v>1419</v>
      </c>
      <c r="C187" s="13" t="s">
        <v>1113</v>
      </c>
      <c r="D187" s="104" t="str">
        <f>IF(ISERR('[1]Дошкольное +'!E429),"-",'[1]Дошкольное +'!E429)</f>
        <v>-</v>
      </c>
      <c r="E187" s="104">
        <f>IF(ISERR('[1]Дошкольное +'!F429),"-",'[1]Дошкольное +'!F429)</f>
        <v>20.61</v>
      </c>
      <c r="F187" s="104">
        <f>IF(ISERR('[1]Дошкольное +'!G429),"-",'[1]Дошкольное +'!G429)</f>
        <v>21.39</v>
      </c>
      <c r="G187" s="104" t="str">
        <f>IF(ISERR('[1]Дошкольное +'!H429),"-",'[1]Дошкольное +'!H429)</f>
        <v>-</v>
      </c>
      <c r="H187" s="104" t="str">
        <f>IF(ISERR('[1]Дошкольное +'!I429),"-",'[1]Дошкольное +'!I429)</f>
        <v>-</v>
      </c>
      <c r="I187" s="104" t="str">
        <f>IF(ISERR('[1]Дошкольное +'!J429),"-",'[1]Дошкольное +'!J429)</f>
        <v>-</v>
      </c>
      <c r="J187" s="104" t="str">
        <f>IF(ISERR('[1]Дошкольное +'!K429),"-",'[1]Дошкольное +'!K429)</f>
        <v>-</v>
      </c>
      <c r="K187" s="104" t="str">
        <f>IF(ISERR('[1]Дошкольное +'!L429),"-",'[1]Дошкольное +'!L429)</f>
        <v>-</v>
      </c>
      <c r="L187" s="104" t="str">
        <f>IF(ISERR('[1]Дошкольное +'!N429),"-",'[1]Дошкольное +'!N429)</f>
        <v>Российская Федерация</v>
      </c>
      <c r="M187" s="104" t="str">
        <f>IF(ISERR('[1]Дошкольное +'!O429),"-",'[1]Дошкольное +'!O429)</f>
        <v>Российская Федерация</v>
      </c>
    </row>
    <row r="188" spans="1:13" s="89" customFormat="1" hidden="1" x14ac:dyDescent="0.25">
      <c r="A188" s="13"/>
      <c r="B188" s="70" t="s">
        <v>1303</v>
      </c>
      <c r="C188" s="13" t="s">
        <v>1113</v>
      </c>
      <c r="D188" s="104" t="str">
        <f>IF(ISERR('[1]Дошкольное +'!E430),"-",'[1]Дошкольное +'!E430)</f>
        <v>-</v>
      </c>
      <c r="E188" s="104">
        <f>IF(ISERR('[1]Дошкольное +'!F430),"-",'[1]Дошкольное +'!F430)</f>
        <v>19.899828941229948</v>
      </c>
      <c r="F188" s="104">
        <f>IF(ISERR('[1]Дошкольное +'!G430),"-",'[1]Дошкольное +'!G430)</f>
        <v>20.71</v>
      </c>
      <c r="G188" s="104" t="str">
        <f>IF(ISERR('[1]Дошкольное +'!H430),"-",'[1]Дошкольное +'!H430)</f>
        <v>-</v>
      </c>
      <c r="H188" s="104" t="str">
        <f>IF(ISERR('[1]Дошкольное +'!I430),"-",'[1]Дошкольное +'!I430)</f>
        <v>-</v>
      </c>
      <c r="I188" s="104" t="str">
        <f>IF(ISERR('[1]Дошкольное +'!J430),"-",'[1]Дошкольное +'!J430)</f>
        <v>-</v>
      </c>
      <c r="J188" s="104" t="str">
        <f>IF(ISERR('[1]Дошкольное +'!K430),"-",'[1]Дошкольное +'!K430)</f>
        <v>-</v>
      </c>
      <c r="K188" s="104" t="str">
        <f>IF(ISERR('[1]Дошкольное +'!L430),"-",'[1]Дошкольное +'!L430)</f>
        <v>-</v>
      </c>
      <c r="L188" s="104">
        <f>IF(ISERR('[1]Дошкольное +'!N430),"-",'[1]Дошкольное +'!N430)</f>
        <v>0</v>
      </c>
      <c r="M188" s="104">
        <f>IF(ISERR('[1]Дошкольное +'!O430),"-",'[1]Дошкольное +'!O430)</f>
        <v>0</v>
      </c>
    </row>
    <row r="189" spans="1:13" s="89" customFormat="1" hidden="1" x14ac:dyDescent="0.25">
      <c r="A189" s="13"/>
      <c r="B189" s="70" t="s">
        <v>1304</v>
      </c>
      <c r="C189" s="13" t="s">
        <v>1113</v>
      </c>
      <c r="D189" s="104" t="str">
        <f>IF(ISERR('[1]Дошкольное +'!E431),"-",'[1]Дошкольное +'!E431)</f>
        <v>-</v>
      </c>
      <c r="E189" s="104">
        <f>IF(ISERR('[1]Дошкольное +'!F431),"-",'[1]Дошкольное +'!F431)</f>
        <v>29.010340370529946</v>
      </c>
      <c r="F189" s="104">
        <f>IF(ISERR('[1]Дошкольное +'!G431),"-",'[1]Дошкольное +'!G431)</f>
        <v>29.796072101156845</v>
      </c>
      <c r="G189" s="104" t="str">
        <f>IF(ISERR('[1]Дошкольное +'!H431),"-",'[1]Дошкольное +'!H431)</f>
        <v>-</v>
      </c>
      <c r="H189" s="104" t="str">
        <f>IF(ISERR('[1]Дошкольное +'!I431),"-",'[1]Дошкольное +'!I431)</f>
        <v>-</v>
      </c>
      <c r="I189" s="104" t="str">
        <f>IF(ISERR('[1]Дошкольное +'!J431),"-",'[1]Дошкольное +'!J431)</f>
        <v>-</v>
      </c>
      <c r="J189" s="104" t="str">
        <f>IF(ISERR('[1]Дошкольное +'!K431),"-",'[1]Дошкольное +'!K431)</f>
        <v>-</v>
      </c>
      <c r="K189" s="104" t="str">
        <f>IF(ISERR('[1]Дошкольное +'!L431),"-",'[1]Дошкольное +'!L431)</f>
        <v>-</v>
      </c>
      <c r="L189" s="104">
        <f>IF(ISERR('[1]Дошкольное +'!N431),"-",'[1]Дошкольное +'!N431)</f>
        <v>0</v>
      </c>
      <c r="M189" s="104">
        <f>IF(ISERR('[1]Дошкольное +'!O431),"-",'[1]Дошкольное +'!O431)</f>
        <v>0</v>
      </c>
    </row>
    <row r="190" spans="1:13" s="89" customFormat="1" ht="60" x14ac:dyDescent="0.25">
      <c r="A190" s="13" t="s">
        <v>89</v>
      </c>
      <c r="B190" s="70" t="s">
        <v>2036</v>
      </c>
      <c r="C190" s="13" t="s">
        <v>8</v>
      </c>
      <c r="D190" s="104"/>
      <c r="E190" s="104"/>
      <c r="F190" s="104"/>
      <c r="G190" s="104"/>
      <c r="H190" s="104">
        <f>IF(ISERR('[1]Дошкольное +'!I438),"-",'[1]Дошкольное +'!I438)</f>
        <v>57.160723250222375</v>
      </c>
      <c r="I190" s="104">
        <f>IF(ISERR('[1]Дошкольное +'!J438),"-",'[1]Дошкольное +'!J438)</f>
        <v>58.433908289181915</v>
      </c>
      <c r="J190" s="104">
        <f>IF(ISERR('[1]Дошкольное +'!K438),"-",'[1]Дошкольное +'!K438)</f>
        <v>62.539210407104449</v>
      </c>
      <c r="K190" s="104">
        <f>IF(ISERR('[1]Дошкольное +'!L438),"-",'[1]Дошкольное +'!L438)</f>
        <v>71.366120218579226</v>
      </c>
      <c r="L190" s="104">
        <f>IF(ISERR('[1]Дошкольное +'!M438),"-",'[1]Дошкольное +'!M438)</f>
        <v>72.74840209180708</v>
      </c>
      <c r="M190" s="104" t="e">
        <f>'Дошкольное +'!N438</f>
        <v>#VALUE!</v>
      </c>
    </row>
    <row r="191" spans="1:13" s="89" customFormat="1" hidden="1" x14ac:dyDescent="0.25">
      <c r="A191" s="13"/>
      <c r="B191" s="70" t="s">
        <v>1303</v>
      </c>
      <c r="C191" s="13" t="s">
        <v>8</v>
      </c>
      <c r="D191" s="104"/>
      <c r="E191" s="104"/>
      <c r="F191" s="104"/>
      <c r="G191" s="104"/>
      <c r="H191" s="104">
        <f>IF(ISERR('[1]Дошкольное +'!I439),"-",'[1]Дошкольное +'!I439)</f>
        <v>58.430642096007112</v>
      </c>
      <c r="I191" s="104">
        <f>IF(ISERR('[1]Дошкольное +'!J439),"-",'[1]Дошкольное +'!J439)</f>
        <v>59.105457380928641</v>
      </c>
      <c r="J191" s="104">
        <f>IF(ISERR('[1]Дошкольное +'!K439),"-",'[1]Дошкольное +'!K439)</f>
        <v>63.180412940267196</v>
      </c>
      <c r="K191" s="104">
        <f>IF(ISERR('[1]Дошкольное +'!L439),"-",'[1]Дошкольное +'!L439)</f>
        <v>85.620915032679733</v>
      </c>
      <c r="L191" s="104" t="str">
        <f>IF(ISERR('[1]Дошкольное +'!N439),"-",'[1]Дошкольное +'!N439)</f>
        <v>-</v>
      </c>
      <c r="M191" s="104" t="str">
        <f>IF(ISERR('[1]Дошкольное +'!O439),"-",'[1]Дошкольное +'!O439)</f>
        <v>-</v>
      </c>
    </row>
    <row r="192" spans="1:13" s="89" customFormat="1" hidden="1" x14ac:dyDescent="0.25">
      <c r="A192" s="13"/>
      <c r="B192" s="70" t="s">
        <v>1304</v>
      </c>
      <c r="C192" s="13" t="s">
        <v>8</v>
      </c>
      <c r="D192" s="104"/>
      <c r="E192" s="104"/>
      <c r="F192" s="104"/>
      <c r="G192" s="104"/>
      <c r="H192" s="104">
        <f>IF(ISERR('[1]Дошкольное +'!I440),"-",'[1]Дошкольное +'!I440)</f>
        <v>39.897172236503856</v>
      </c>
      <c r="I192" s="104">
        <f>IF(ISERR('[1]Дошкольное +'!J440),"-",'[1]Дошкольное +'!J440)</f>
        <v>49.014371105176139</v>
      </c>
      <c r="J192" s="104">
        <f>IF(ISERR('[1]Дошкольное +'!K440),"-",'[1]Дошкольное +'!K440)</f>
        <v>54.15614098400097</v>
      </c>
      <c r="K192" s="104">
        <f>IF(ISERR('[1]Дошкольное +'!L440),"-",'[1]Дошкольное +'!L440)</f>
        <v>51.251646903820813</v>
      </c>
      <c r="L192" s="104" t="str">
        <f>IF(ISERR('[1]Дошкольное +'!N440),"-",'[1]Дошкольное +'!N440)</f>
        <v>-</v>
      </c>
      <c r="M192" s="104" t="str">
        <f>IF(ISERR('[1]Дошкольное +'!O440),"-",'[1]Дошкольное +'!O440)</f>
        <v>-</v>
      </c>
    </row>
    <row r="193" spans="1:13" s="89" customFormat="1" ht="45" x14ac:dyDescent="0.25">
      <c r="A193" s="99" t="s">
        <v>96</v>
      </c>
      <c r="B193" s="100" t="s">
        <v>95</v>
      </c>
      <c r="C193" s="87"/>
      <c r="D193" s="93"/>
      <c r="E193" s="93"/>
      <c r="F193" s="93"/>
      <c r="G193" s="93"/>
      <c r="H193" s="93"/>
      <c r="I193" s="93"/>
      <c r="J193" s="93"/>
      <c r="K193" s="93"/>
      <c r="L193" s="93"/>
      <c r="M193" s="93"/>
    </row>
    <row r="194" spans="1:13" s="89" customFormat="1" ht="45" x14ac:dyDescent="0.25">
      <c r="A194" s="13" t="s">
        <v>97</v>
      </c>
      <c r="B194" s="70" t="s">
        <v>2509</v>
      </c>
      <c r="C194" s="13"/>
      <c r="D194" s="104"/>
      <c r="E194" s="104"/>
      <c r="F194" s="104"/>
      <c r="G194" s="104"/>
      <c r="H194" s="104"/>
      <c r="I194" s="104"/>
      <c r="J194" s="104"/>
      <c r="K194" s="104"/>
      <c r="L194" s="104"/>
      <c r="M194" s="104"/>
    </row>
    <row r="195" spans="1:13" s="89" customFormat="1" hidden="1" x14ac:dyDescent="0.25">
      <c r="A195" s="13"/>
      <c r="B195" s="70" t="s">
        <v>1301</v>
      </c>
      <c r="C195" s="13" t="s">
        <v>8</v>
      </c>
      <c r="D195" s="104">
        <f>IF(ISERR('[1]Дошкольное +'!E449),"-",'[1]Дошкольное +'!E449)</f>
        <v>97.572815533980588</v>
      </c>
      <c r="E195" s="104">
        <f>IF(ISERR('[1]Дошкольное +'!F449),"-",'[1]Дошкольное +'!F449)</f>
        <v>96.019900497512438</v>
      </c>
      <c r="F195" s="104">
        <f>IF(ISERR('[1]Дошкольное +'!G449),"-",'[1]Дошкольное +'!G449)</f>
        <v>90.673575129533674</v>
      </c>
      <c r="G195" s="104">
        <f>IF(ISERR('[1]Дошкольное +'!H449),"-",'[1]Дошкольное +'!H449)</f>
        <v>95.142857142857139</v>
      </c>
      <c r="H195" s="104">
        <f>IF(ISERR('[1]Дошкольное +'!I449),"-",'[1]Дошкольное +'!I449)</f>
        <v>100.90090090090089</v>
      </c>
      <c r="I195" s="104">
        <f>IF(ISERR('[1]Дошкольное +'!J449),"-",'[1]Дошкольное +'!J449)</f>
        <v>100.90090090090089</v>
      </c>
      <c r="J195" s="104">
        <f>IF(ISERR('[1]Дошкольное +'!K449),"-",'[1]Дошкольное +'!K449)</f>
        <v>100.90090090090089</v>
      </c>
      <c r="K195" s="104">
        <f>IF(ISERR('[1]Дошкольное +'!L449),"-",'[1]Дошкольное +'!L449)</f>
        <v>100.90090090090089</v>
      </c>
      <c r="L195" s="104">
        <f>IF(ISERR('[1]Дошкольное +'!N449),"-",'[1]Дошкольное +'!N449)</f>
        <v>0</v>
      </c>
      <c r="M195" s="104">
        <f>IF(ISERR('[1]Дошкольное +'!O449),"-",'[1]Дошкольное +'!O449)</f>
        <v>0</v>
      </c>
    </row>
    <row r="196" spans="1:13" s="89" customFormat="1" hidden="1" x14ac:dyDescent="0.25">
      <c r="A196" s="13"/>
      <c r="B196" s="70" t="s">
        <v>1303</v>
      </c>
      <c r="C196" s="13" t="s">
        <v>8</v>
      </c>
      <c r="D196" s="104"/>
      <c r="E196" s="104"/>
      <c r="F196" s="104"/>
      <c r="G196" s="104">
        <f>IF(ISERR('[1]Дошкольное +'!H450),"-",'[1]Дошкольное +'!H450)</f>
        <v>95.189003436426106</v>
      </c>
      <c r="H196" s="104">
        <f>IF(ISERR('[1]Дошкольное +'!I450),"-",'[1]Дошкольное +'!I450)</f>
        <v>102.88808664259928</v>
      </c>
      <c r="I196" s="104">
        <f>IF(ISERR('[1]Дошкольное +'!J450),"-",'[1]Дошкольное +'!J450)</f>
        <v>102.88808664259928</v>
      </c>
      <c r="J196" s="104">
        <f>IF(ISERR('[1]Дошкольное +'!K450),"-",'[1]Дошкольное +'!K450)</f>
        <v>102.88808664259928</v>
      </c>
      <c r="K196" s="104">
        <f>IF(ISERR('[1]Дошкольное +'!L450),"-",'[1]Дошкольное +'!L450)</f>
        <v>102.88808664259928</v>
      </c>
      <c r="L196" s="104">
        <f>IF(ISERR('[1]Дошкольное +'!N450),"-",'[1]Дошкольное +'!N450)</f>
        <v>0</v>
      </c>
      <c r="M196" s="104">
        <f>IF(ISERR('[1]Дошкольное +'!O450),"-",'[1]Дошкольное +'!O450)</f>
        <v>0</v>
      </c>
    </row>
    <row r="197" spans="1:13" s="89" customFormat="1" hidden="1" x14ac:dyDescent="0.25">
      <c r="A197" s="13"/>
      <c r="B197" s="70" t="s">
        <v>1304</v>
      </c>
      <c r="C197" s="13" t="s">
        <v>8</v>
      </c>
      <c r="D197" s="104"/>
      <c r="E197" s="104"/>
      <c r="F197" s="104"/>
      <c r="G197" s="104">
        <f>IF(ISERR('[1]Дошкольное +'!H451),"-",'[1]Дошкольное +'!H451)</f>
        <v>94.915254237288138</v>
      </c>
      <c r="H197" s="104">
        <f>IF(ISERR('[1]Дошкольное +'!I451),"-",'[1]Дошкольное +'!I451)</f>
        <v>91.071428571428569</v>
      </c>
      <c r="I197" s="104">
        <f>IF(ISERR('[1]Дошкольное +'!J451),"-",'[1]Дошкольное +'!J451)</f>
        <v>91.071428571428569</v>
      </c>
      <c r="J197" s="104">
        <f>IF(ISERR('[1]Дошкольное +'!K451),"-",'[1]Дошкольное +'!K451)</f>
        <v>91.071428571428569</v>
      </c>
      <c r="K197" s="104">
        <f>IF(ISERR('[1]Дошкольное +'!L451),"-",'[1]Дошкольное +'!L451)</f>
        <v>91.071428571428569</v>
      </c>
      <c r="L197" s="104">
        <f>IF(ISERR('[1]Дошкольное +'!N451),"-",'[1]Дошкольное +'!N451)</f>
        <v>0</v>
      </c>
      <c r="M197" s="104">
        <f>IF(ISERR('[1]Дошкольное +'!O451),"-",'[1]Дошкольное +'!O451)</f>
        <v>0</v>
      </c>
    </row>
    <row r="198" spans="1:13" s="89" customFormat="1" hidden="1" x14ac:dyDescent="0.25">
      <c r="A198" s="13"/>
      <c r="B198" s="70" t="s">
        <v>1302</v>
      </c>
      <c r="C198" s="13" t="s">
        <v>8</v>
      </c>
      <c r="D198" s="104">
        <f>IF(ISERR('[1]Дошкольное +'!E452),"-",'[1]Дошкольное +'!E452)</f>
        <v>100</v>
      </c>
      <c r="E198" s="104">
        <f>IF(ISERR('[1]Дошкольное +'!F452),"-",'[1]Дошкольное +'!F452)</f>
        <v>400</v>
      </c>
      <c r="F198" s="104">
        <f>IF(ISERR('[1]Дошкольное +'!G452),"-",'[1]Дошкольное +'!G452)</f>
        <v>75</v>
      </c>
      <c r="G198" s="104">
        <f>IF(ISERR('[1]Дошкольное +'!H452),"-",'[1]Дошкольное +'!H452)</f>
        <v>100</v>
      </c>
      <c r="H198" s="104">
        <f>IF(ISERR('[1]Дошкольное +'!I452),"-",'[1]Дошкольное +'!I452)</f>
        <v>300</v>
      </c>
      <c r="I198" s="104">
        <f>IF(ISERR('[1]Дошкольное +'!J452),"-",'[1]Дошкольное +'!J452)</f>
        <v>300</v>
      </c>
      <c r="J198" s="104">
        <f>IF(ISERR('[1]Дошкольное +'!K452),"-",'[1]Дошкольное +'!K452)</f>
        <v>300</v>
      </c>
      <c r="K198" s="104">
        <f>IF(ISERR('[1]Дошкольное +'!L452),"-",'[1]Дошкольное +'!L452)</f>
        <v>300</v>
      </c>
      <c r="L198" s="104">
        <f>IF(ISERR('[1]Дошкольное +'!N452),"-",'[1]Дошкольное +'!N452)</f>
        <v>0</v>
      </c>
      <c r="M198" s="104">
        <f>IF(ISERR('[1]Дошкольное +'!O452),"-",'[1]Дошкольное +'!O452)</f>
        <v>0</v>
      </c>
    </row>
    <row r="199" spans="1:13" s="89" customFormat="1" hidden="1" x14ac:dyDescent="0.25">
      <c r="A199" s="13"/>
      <c r="B199" s="70" t="s">
        <v>1303</v>
      </c>
      <c r="C199" s="13" t="s">
        <v>8</v>
      </c>
      <c r="D199" s="104"/>
      <c r="E199" s="104"/>
      <c r="F199" s="104"/>
      <c r="G199" s="104">
        <f>IF(ISERR('[1]Дошкольное +'!H453),"-",'[1]Дошкольное +'!H453)</f>
        <v>100</v>
      </c>
      <c r="H199" s="104">
        <f>IF(ISERR('[1]Дошкольное +'!I453),"-",'[1]Дошкольное +'!I453)</f>
        <v>300</v>
      </c>
      <c r="I199" s="104">
        <f>IF(ISERR('[1]Дошкольное +'!J453),"-",'[1]Дошкольное +'!J453)</f>
        <v>300</v>
      </c>
      <c r="J199" s="104">
        <f>IF(ISERR('[1]Дошкольное +'!K453),"-",'[1]Дошкольное +'!K453)</f>
        <v>300</v>
      </c>
      <c r="K199" s="104">
        <f>IF(ISERR('[1]Дошкольное +'!L453),"-",'[1]Дошкольное +'!L453)</f>
        <v>300</v>
      </c>
      <c r="L199" s="104">
        <f>IF(ISERR('[1]Дошкольное +'!N453),"-",'[1]Дошкольное +'!N453)</f>
        <v>0</v>
      </c>
      <c r="M199" s="104">
        <f>IF(ISERR('[1]Дошкольное +'!O453),"-",'[1]Дошкольное +'!O453)</f>
        <v>0</v>
      </c>
    </row>
    <row r="200" spans="1:13" s="89" customFormat="1" hidden="1" x14ac:dyDescent="0.25">
      <c r="A200" s="13"/>
      <c r="B200" s="70" t="s">
        <v>1304</v>
      </c>
      <c r="C200" s="13" t="s">
        <v>8</v>
      </c>
      <c r="D200" s="104"/>
      <c r="E200" s="104"/>
      <c r="F200" s="104"/>
      <c r="G200" s="104" t="str">
        <f>IF(ISERR('[1]Дошкольное +'!H454),"-",'[1]Дошкольное +'!H454)</f>
        <v>-</v>
      </c>
      <c r="H200" s="104" t="str">
        <f>IF(ISERR('[1]Дошкольное +'!I454),"-",'[1]Дошкольное +'!I454)</f>
        <v>-</v>
      </c>
      <c r="I200" s="104" t="str">
        <f>IF(ISERR('[1]Дошкольное +'!J454),"-",'[1]Дошкольное +'!J454)</f>
        <v>-</v>
      </c>
      <c r="J200" s="104" t="str">
        <f>IF(ISERR('[1]Дошкольное +'!K454),"-",'[1]Дошкольное +'!K454)</f>
        <v>-</v>
      </c>
      <c r="K200" s="104" t="str">
        <f>IF(ISERR('[1]Дошкольное +'!L454),"-",'[1]Дошкольное +'!L454)</f>
        <v>-</v>
      </c>
      <c r="L200" s="104">
        <f>IF(ISERR('[1]Дошкольное +'!N454),"-",'[1]Дошкольное +'!N454)</f>
        <v>0</v>
      </c>
      <c r="M200" s="104">
        <f>IF(ISERR('[1]Дошкольное +'!O454),"-",'[1]Дошкольное +'!O454)</f>
        <v>0</v>
      </c>
    </row>
    <row r="201" spans="1:13" s="89" customFormat="1" x14ac:dyDescent="0.25">
      <c r="A201" s="13"/>
      <c r="B201" s="70" t="s">
        <v>1638</v>
      </c>
      <c r="C201" s="13" t="s">
        <v>8</v>
      </c>
      <c r="D201" s="104"/>
      <c r="E201" s="104"/>
      <c r="F201" s="104"/>
      <c r="G201" s="104"/>
      <c r="H201" s="104">
        <f>IF(ISERR('[1]Дошкольное +'!I455),"-",'[1]Дошкольное +'!I455)</f>
        <v>97.916666666666657</v>
      </c>
      <c r="I201" s="104">
        <f>IF(ISERR('[1]Дошкольное +'!J455),"-",'[1]Дошкольное +'!J455)</f>
        <v>92.401215805471125</v>
      </c>
      <c r="J201" s="104">
        <v>95.07</v>
      </c>
      <c r="K201" s="104">
        <f>IF(ISERR('[1]Дошкольное +'!L455),"-",'[1]Дошкольное +'!L455)</f>
        <v>3.7800687285223367</v>
      </c>
      <c r="L201" s="104">
        <f>IF(ISERR('[1]Дошкольное +'!M455),"-",'[1]Дошкольное +'!M455)</f>
        <v>81.818181818181827</v>
      </c>
      <c r="M201" s="104">
        <f>'Дошкольное +'!N455</f>
        <v>100</v>
      </c>
    </row>
    <row r="202" spans="1:13" s="89" customFormat="1" ht="30" x14ac:dyDescent="0.25">
      <c r="A202" s="13"/>
      <c r="B202" s="70" t="s">
        <v>1639</v>
      </c>
      <c r="C202" s="13" t="s">
        <v>8</v>
      </c>
      <c r="D202" s="104"/>
      <c r="E202" s="104"/>
      <c r="F202" s="104"/>
      <c r="G202" s="104"/>
      <c r="H202" s="104">
        <f>IF(ISERR('[1]Дошкольное +'!I456),"-",'[1]Дошкольное +'!I456)</f>
        <v>140</v>
      </c>
      <c r="I202" s="104">
        <f>IF(ISERR('[1]Дошкольное +'!J456),"-",'[1]Дошкольное +'!J456)</f>
        <v>128.57142857142858</v>
      </c>
      <c r="J202" s="104">
        <f>IF(ISERR('[1]Дошкольное +'!K456),"-",'[1]Дошкольное +'!K456)</f>
        <v>55.555555555555557</v>
      </c>
      <c r="K202" s="104">
        <f>IF(ISERR('[1]Дошкольное +'!L456),"-",'[1]Дошкольное +'!L456)</f>
        <v>0</v>
      </c>
      <c r="L202" s="104" t="str">
        <f>IF(ISERR('[1]Дошкольное +'!M456),"-",'[1]Дошкольное +'!M456)</f>
        <v>-</v>
      </c>
      <c r="M202" s="104" t="str">
        <f>IF(ISERR('[1]Дошкольное +'!N456),"-",'[1]Дошкольное +'!N456)</f>
        <v>-</v>
      </c>
    </row>
    <row r="203" spans="1:13" s="89" customFormat="1" x14ac:dyDescent="0.25">
      <c r="A203" s="13"/>
      <c r="B203" s="70" t="s">
        <v>1640</v>
      </c>
      <c r="C203" s="13" t="s">
        <v>8</v>
      </c>
      <c r="D203" s="104"/>
      <c r="E203" s="104"/>
      <c r="F203" s="104"/>
      <c r="G203" s="104"/>
      <c r="H203" s="104">
        <f>IF(ISERR('[1]Дошкольное +'!I457),"-",'[1]Дошкольное +'!I457)</f>
        <v>71.428571428571431</v>
      </c>
      <c r="I203" s="104">
        <f>IF(ISERR('[1]Дошкольное +'!J457),"-",'[1]Дошкольное +'!J457)</f>
        <v>100</v>
      </c>
      <c r="J203" s="104">
        <f>IF(ISERR('[1]Дошкольное +'!K457),"-",'[1]Дошкольное +'!K457)</f>
        <v>120</v>
      </c>
      <c r="K203" s="104">
        <f>IF(ISERR('[1]Дошкольное +'!L457),"-",'[1]Дошкольное +'!L457)</f>
        <v>0</v>
      </c>
      <c r="L203" s="104" t="str">
        <f>IF(ISERR('[1]Дошкольное +'!M457),"-",'[1]Дошкольное +'!M457)</f>
        <v>-</v>
      </c>
      <c r="M203" s="104" t="str">
        <f>IF(ISERR('[1]Дошкольное +'!N457),"-",'[1]Дошкольное +'!N457)</f>
        <v>-</v>
      </c>
    </row>
    <row r="204" spans="1:13" s="89" customFormat="1" ht="45" x14ac:dyDescent="0.25">
      <c r="A204" s="13"/>
      <c r="B204" s="70" t="s">
        <v>1641</v>
      </c>
      <c r="C204" s="13" t="s">
        <v>8</v>
      </c>
      <c r="D204" s="104"/>
      <c r="E204" s="104"/>
      <c r="F204" s="104"/>
      <c r="G204" s="104"/>
      <c r="H204" s="104">
        <f>IF(ISERR('[1]Дошкольное +'!I458),"-",'[1]Дошкольное +'!I458)</f>
        <v>105.0632911392405</v>
      </c>
      <c r="I204" s="104">
        <f>IF(ISERR('[1]Дошкольное +'!J458),"-",'[1]Дошкольное +'!J458)</f>
        <v>101.20481927710843</v>
      </c>
      <c r="J204" s="104">
        <f>IF(ISERR('[1]Дошкольное +'!K458),"-",'[1]Дошкольное +'!K458)</f>
        <v>105.95238095238095</v>
      </c>
      <c r="K204" s="104">
        <f>IF(ISERR('[1]Дошкольное +'!L458),"-",'[1]Дошкольное +'!L458)</f>
        <v>12.359550561797752</v>
      </c>
      <c r="L204" s="104">
        <f>IF(ISERR('[1]Дошкольное +'!M458),"-",'[1]Дошкольное +'!M458)</f>
        <v>109.09090909090908</v>
      </c>
      <c r="M204" s="104">
        <f>'Дошкольное +'!N458</f>
        <v>100</v>
      </c>
    </row>
    <row r="205" spans="1:13" s="89" customFormat="1" ht="30" x14ac:dyDescent="0.25">
      <c r="A205" s="13"/>
      <c r="B205" s="70" t="s">
        <v>1642</v>
      </c>
      <c r="C205" s="13" t="s">
        <v>8</v>
      </c>
      <c r="D205" s="104"/>
      <c r="E205" s="104"/>
      <c r="F205" s="104"/>
      <c r="G205" s="104"/>
      <c r="H205" s="104" t="str">
        <f>IF(ISERR('[1]Дошкольное +'!I459),"-",'[1]Дошкольное +'!I459)</f>
        <v>-</v>
      </c>
      <c r="I205" s="104" t="str">
        <f>IF(ISERR('[1]Дошкольное +'!J459),"-",'[1]Дошкольное +'!J459)</f>
        <v>-</v>
      </c>
      <c r="J205" s="104">
        <f>IF(ISERR('[1]Дошкольное +'!K459),"-",'[1]Дошкольное +'!K459)</f>
        <v>0</v>
      </c>
      <c r="K205" s="104" t="str">
        <f>IF(ISERR('[1]Дошкольное +'!L459),"-",'[1]Дошкольное +'!L459)</f>
        <v>-</v>
      </c>
      <c r="L205" s="104" t="str">
        <f>IF(ISERR('[1]Дошкольное +'!M459),"-",'[1]Дошкольное +'!M459)</f>
        <v>-</v>
      </c>
      <c r="M205" s="104" t="str">
        <f>IF(ISERR('[1]Дошкольное +'!N459),"-",'[1]Дошкольное +'!N459)</f>
        <v>-</v>
      </c>
    </row>
    <row r="206" spans="1:13" s="89" customFormat="1" ht="45" x14ac:dyDescent="0.25">
      <c r="A206" s="13"/>
      <c r="B206" s="70" t="s">
        <v>1643</v>
      </c>
      <c r="C206" s="13" t="s">
        <v>8</v>
      </c>
      <c r="D206" s="104"/>
      <c r="E206" s="104"/>
      <c r="F206" s="104"/>
      <c r="G206" s="104"/>
      <c r="H206" s="104">
        <f>IF(ISERR('[1]Дошкольное +'!I460),"-",'[1]Дошкольное +'!I460)</f>
        <v>200</v>
      </c>
      <c r="I206" s="104">
        <f>IF(ISERR('[1]Дошкольное +'!J460),"-",'[1]Дошкольное +'!J460)</f>
        <v>100</v>
      </c>
      <c r="J206" s="104">
        <f>IF(ISERR('[1]Дошкольное +'!K460),"-",'[1]Дошкольное +'!K460)</f>
        <v>0</v>
      </c>
      <c r="K206" s="104">
        <f>IF(ISERR('[1]Дошкольное +'!L460),"-",'[1]Дошкольное +'!L460)</f>
        <v>0</v>
      </c>
      <c r="L206" s="104">
        <f>IF(ISERR('[1]Дошкольное +'!M460),"-",'[1]Дошкольное +'!M460)</f>
        <v>0</v>
      </c>
      <c r="M206" s="104">
        <f>IF(ISERR('[1]Дошкольное +'!N460),"-",'[1]Дошкольное +'!N460)</f>
        <v>0</v>
      </c>
    </row>
    <row r="207" spans="1:13" s="89" customFormat="1" ht="30" x14ac:dyDescent="0.25">
      <c r="A207" s="99" t="s">
        <v>104</v>
      </c>
      <c r="B207" s="100" t="s">
        <v>103</v>
      </c>
      <c r="C207" s="87"/>
      <c r="D207" s="93"/>
      <c r="E207" s="93"/>
      <c r="F207" s="93"/>
      <c r="G207" s="93"/>
      <c r="H207" s="93"/>
      <c r="I207" s="93"/>
      <c r="J207" s="93"/>
      <c r="K207" s="93"/>
      <c r="L207" s="93"/>
      <c r="M207" s="93"/>
    </row>
    <row r="208" spans="1:13" s="89" customFormat="1" ht="30" hidden="1" x14ac:dyDescent="0.25">
      <c r="A208" s="13" t="s">
        <v>106</v>
      </c>
      <c r="B208" s="70" t="s">
        <v>1420</v>
      </c>
      <c r="C208" s="13" t="s">
        <v>1114</v>
      </c>
      <c r="D208" s="93"/>
      <c r="E208" s="93"/>
      <c r="F208" s="93"/>
      <c r="G208" s="93"/>
      <c r="H208" s="93"/>
      <c r="I208" s="93"/>
      <c r="J208" s="93"/>
      <c r="K208" s="93"/>
      <c r="L208" s="93"/>
      <c r="M208" s="93"/>
    </row>
    <row r="209" spans="1:13" s="89" customFormat="1" hidden="1" x14ac:dyDescent="0.25">
      <c r="A209" s="13"/>
      <c r="B209" s="70" t="s">
        <v>1301</v>
      </c>
      <c r="C209" s="13" t="s">
        <v>8</v>
      </c>
      <c r="D209" s="93" t="str">
        <f>IF(ISERR('[1]Дошкольное +'!E491),"-",'[1]Дошкольное +'!E491)</f>
        <v>-</v>
      </c>
      <c r="E209" s="93">
        <f>IF(ISERR('[1]Дошкольное +'!F491),"-",'[1]Дошкольное +'!F491)</f>
        <v>198.21999632044808</v>
      </c>
      <c r="F209" s="93">
        <f>IF(ISERR('[1]Дошкольное +'!G491),"-",'[1]Дошкольное +'!G491)</f>
        <v>196.18</v>
      </c>
      <c r="G209" s="93">
        <f>IF(ISERR('[1]Дошкольное +'!H491),"-",'[1]Дошкольное +'!H491)</f>
        <v>207.01932007225892</v>
      </c>
      <c r="H209" s="93" t="str">
        <f>IF(ISERR('[1]Дошкольное +'!I491),"-",'[1]Дошкольное +'!I491)</f>
        <v>-</v>
      </c>
      <c r="I209" s="93" t="str">
        <f>IF(ISERR('[1]Дошкольное +'!J491),"-",'[1]Дошкольное +'!J491)</f>
        <v>-</v>
      </c>
      <c r="J209" s="93" t="str">
        <f>IF(ISERR('[1]Дошкольное +'!K491),"-",'[1]Дошкольное +'!K491)</f>
        <v>-</v>
      </c>
      <c r="K209" s="93" t="str">
        <f>IF(ISERR('[1]Дошкольное +'!L491),"-",'[1]Дошкольное +'!L491)</f>
        <v>-</v>
      </c>
      <c r="L209" s="93">
        <f>IF(ISERR('[1]Дошкольное +'!N491),"-",'[1]Дошкольное +'!N491)</f>
        <v>0</v>
      </c>
      <c r="M209" s="93">
        <f>IF(ISERR('[1]Дошкольное +'!O491),"-",'[1]Дошкольное +'!O491)</f>
        <v>0</v>
      </c>
    </row>
    <row r="210" spans="1:13" s="89" customFormat="1" hidden="1" x14ac:dyDescent="0.25">
      <c r="A210" s="13"/>
      <c r="B210" s="70" t="s">
        <v>1302</v>
      </c>
      <c r="C210" s="13" t="s">
        <v>8</v>
      </c>
      <c r="D210" s="93" t="str">
        <f>IF(ISERR('[1]Дошкольное +'!E492),"-",'[1]Дошкольное +'!E492)</f>
        <v>-</v>
      </c>
      <c r="E210" s="93">
        <f>IF(ISERR('[1]Дошкольное +'!F492),"-",'[1]Дошкольное +'!F492)</f>
        <v>91.130536130536129</v>
      </c>
      <c r="F210" s="93">
        <f>IF(ISERR('[1]Дошкольное +'!G492),"-",'[1]Дошкольное +'!G492)</f>
        <v>167.58196721311475</v>
      </c>
      <c r="G210" s="93" t="str">
        <f>IF(ISERR('[1]Дошкольное +'!H492),"-",'[1]Дошкольное +'!H492)</f>
        <v>-</v>
      </c>
      <c r="H210" s="93" t="str">
        <f>IF(ISERR('[1]Дошкольное +'!I492),"-",'[1]Дошкольное +'!I492)</f>
        <v>-</v>
      </c>
      <c r="I210" s="93" t="str">
        <f>IF(ISERR('[1]Дошкольное +'!J492),"-",'[1]Дошкольное +'!J492)</f>
        <v>-</v>
      </c>
      <c r="J210" s="93" t="str">
        <f>IF(ISERR('[1]Дошкольное +'!K492),"-",'[1]Дошкольное +'!K492)</f>
        <v>-</v>
      </c>
      <c r="K210" s="93" t="str">
        <f>IF(ISERR('[1]Дошкольное +'!L492),"-",'[1]Дошкольное +'!L492)</f>
        <v>-</v>
      </c>
      <c r="L210" s="93">
        <f>IF(ISERR('[1]Дошкольное +'!N492),"-",'[1]Дошкольное +'!N492)</f>
        <v>0</v>
      </c>
      <c r="M210" s="93">
        <f>IF(ISERR('[1]Дошкольное +'!O492),"-",'[1]Дошкольное +'!O492)</f>
        <v>0</v>
      </c>
    </row>
    <row r="211" spans="1:13" s="89" customFormat="1" ht="60" x14ac:dyDescent="0.25">
      <c r="A211" s="13" t="s">
        <v>106</v>
      </c>
      <c r="B211" s="70" t="s">
        <v>2510</v>
      </c>
      <c r="C211" s="13" t="s">
        <v>1114</v>
      </c>
      <c r="D211" s="93"/>
      <c r="E211" s="93"/>
      <c r="F211" s="93"/>
      <c r="G211" s="93"/>
      <c r="H211" s="104">
        <f>IF(ISERR('[1]Дошкольное +'!I508),"-",'[1]Дошкольное +'!I508)</f>
        <v>179.07</v>
      </c>
      <c r="I211" s="104">
        <f>IF(ISERR('[1]Дошкольное +'!J508),"-",'[1]Дошкольное +'!J508)</f>
        <v>0</v>
      </c>
      <c r="J211" s="104">
        <f>IF(ISERR('[1]Дошкольное +'!K508),"-",'[1]Дошкольное +'!K508)</f>
        <v>0</v>
      </c>
      <c r="K211" s="104">
        <f>IF(ISERR('[1]Дошкольное +'!L508),"-",'[1]Дошкольное +'!L508)</f>
        <v>0</v>
      </c>
      <c r="L211" s="104">
        <f>IF(ISERR('[1]Дошкольное +'!M508),"-",'[1]Дошкольное +'!M508)</f>
        <v>0</v>
      </c>
      <c r="M211" s="104">
        <f>IF(ISERR('[1]Дошкольное +'!N508),"-",'[1]Дошкольное +'!N508)</f>
        <v>0</v>
      </c>
    </row>
    <row r="212" spans="1:13" s="89" customFormat="1" hidden="1" x14ac:dyDescent="0.25">
      <c r="A212" s="13"/>
      <c r="B212" s="70" t="s">
        <v>1301</v>
      </c>
      <c r="C212" s="13" t="s">
        <v>1114</v>
      </c>
      <c r="D212" s="93"/>
      <c r="E212" s="93"/>
      <c r="F212" s="93"/>
      <c r="G212" s="93"/>
      <c r="H212" s="104">
        <f>IF(ISERR('[1]Дошкольное +'!I509),"-",'[1]Дошкольное +'!I509)</f>
        <v>0</v>
      </c>
      <c r="I212" s="104">
        <f>IF(ISERR('[1]Дошкольное +'!J509),"-",'[1]Дошкольное +'!J509)</f>
        <v>0</v>
      </c>
      <c r="J212" s="104">
        <f>IF(ISERR('[1]Дошкольное +'!K509),"-",'[1]Дошкольное +'!K509)</f>
        <v>0</v>
      </c>
      <c r="K212" s="104">
        <f>IF(ISERR('[1]Дошкольное +'!L509),"-",'[1]Дошкольное +'!L509)</f>
        <v>0</v>
      </c>
      <c r="L212" s="104" t="str">
        <f>IF(ISERR('[1]Дошкольное +'!N509),"-",'[1]Дошкольное +'!N509)</f>
        <v>-</v>
      </c>
      <c r="M212" s="104" t="str">
        <f>IF(ISERR('[1]Дошкольное +'!O509),"-",'[1]Дошкольное +'!O509)</f>
        <v>-</v>
      </c>
    </row>
    <row r="213" spans="1:13" s="89" customFormat="1" hidden="1" x14ac:dyDescent="0.25">
      <c r="A213" s="13"/>
      <c r="B213" s="70" t="s">
        <v>1302</v>
      </c>
      <c r="C213" s="13" t="s">
        <v>1114</v>
      </c>
      <c r="D213" s="93"/>
      <c r="E213" s="93"/>
      <c r="F213" s="93"/>
      <c r="G213" s="93"/>
      <c r="H213" s="104">
        <f>IF(ISERR('[1]Дошкольное +'!I510),"-",'[1]Дошкольное +'!I510)</f>
        <v>0</v>
      </c>
      <c r="I213" s="104">
        <f>IF(ISERR('[1]Дошкольное +'!J510),"-",'[1]Дошкольное +'!J510)</f>
        <v>0</v>
      </c>
      <c r="J213" s="104">
        <f>IF(ISERR('[1]Дошкольное +'!K510),"-",'[1]Дошкольное +'!K510)</f>
        <v>0</v>
      </c>
      <c r="K213" s="104">
        <f>IF(ISERR('[1]Дошкольное +'!L510),"-",'[1]Дошкольное +'!L510)</f>
        <v>0</v>
      </c>
      <c r="L213" s="104" t="str">
        <f>IF(ISERR('[1]Дошкольное +'!N510),"-",'[1]Дошкольное +'!N510)</f>
        <v>-</v>
      </c>
      <c r="M213" s="104" t="str">
        <f>IF(ISERR('[1]Дошкольное +'!O510),"-",'[1]Дошкольное +'!O510)</f>
        <v>-</v>
      </c>
    </row>
    <row r="214" spans="1:13" s="89" customFormat="1" ht="30" hidden="1" x14ac:dyDescent="0.25">
      <c r="A214" s="13" t="s">
        <v>110</v>
      </c>
      <c r="B214" s="70" t="s">
        <v>111</v>
      </c>
      <c r="C214" s="13"/>
      <c r="D214" s="93"/>
      <c r="E214" s="93"/>
      <c r="F214" s="93"/>
      <c r="G214" s="93"/>
      <c r="H214" s="93"/>
      <c r="I214" s="93"/>
      <c r="J214" s="93"/>
      <c r="K214" s="93"/>
      <c r="L214" s="93"/>
      <c r="M214" s="93"/>
    </row>
    <row r="215" spans="1:13" s="89" customFormat="1" hidden="1" x14ac:dyDescent="0.25">
      <c r="A215" s="13"/>
      <c r="B215" s="70" t="s">
        <v>1301</v>
      </c>
      <c r="C215" s="13" t="s">
        <v>8</v>
      </c>
      <c r="D215" s="93" t="str">
        <f>IF(ISERR('[1]Дошкольное +'!E500),"-",'[1]Дошкольное +'!E500)</f>
        <v>-</v>
      </c>
      <c r="E215" s="93">
        <f>IF(ISERR('[1]Дошкольное +'!F500),"-",'[1]Дошкольное +'!F500)</f>
        <v>9.2899999776905879</v>
      </c>
      <c r="F215" s="93">
        <f>IF(ISERR('[1]Дошкольное +'!G500),"-",'[1]Дошкольное +'!G500)</f>
        <v>11.070957707491516</v>
      </c>
      <c r="G215" s="93" t="str">
        <f>IF(ISERR('[1]Дошкольное +'!H500),"-",'[1]Дошкольное +'!H500)</f>
        <v>-</v>
      </c>
      <c r="H215" s="93" t="str">
        <f>IF(ISERR('[1]Дошкольное +'!I500),"-",'[1]Дошкольное +'!I500)</f>
        <v>-</v>
      </c>
      <c r="I215" s="93" t="str">
        <f>IF(ISERR('[1]Дошкольное +'!J500),"-",'[1]Дошкольное +'!J500)</f>
        <v>-</v>
      </c>
      <c r="J215" s="93" t="str">
        <f>IF(ISERR('[1]Дошкольное +'!K500),"-",'[1]Дошкольное +'!K500)</f>
        <v>-</v>
      </c>
      <c r="K215" s="93" t="str">
        <f>IF(ISERR('[1]Дошкольное +'!L500),"-",'[1]Дошкольное +'!L500)</f>
        <v>-</v>
      </c>
      <c r="L215" s="93">
        <f>IF(ISERR('[1]Дошкольное +'!N500),"-",'[1]Дошкольное +'!N500)</f>
        <v>0</v>
      </c>
      <c r="M215" s="93">
        <f>IF(ISERR('[1]Дошкольное +'!O500),"-",'[1]Дошкольное +'!O500)</f>
        <v>0</v>
      </c>
    </row>
    <row r="216" spans="1:13" s="89" customFormat="1" hidden="1" x14ac:dyDescent="0.25">
      <c r="A216" s="13"/>
      <c r="B216" s="70" t="s">
        <v>1302</v>
      </c>
      <c r="C216" s="13" t="s">
        <v>8</v>
      </c>
      <c r="D216" s="93" t="str">
        <f>IF(ISERR('[1]Дошкольное +'!E501),"-",'[1]Дошкольное +'!E501)</f>
        <v>-</v>
      </c>
      <c r="E216" s="93">
        <f>IF(ISERR('[1]Дошкольное +'!F501),"-",'[1]Дошкольное +'!F501)</f>
        <v>84.649925377976771</v>
      </c>
      <c r="F216" s="93">
        <f>IF(ISERR('[1]Дошкольное +'!G501),"-",'[1]Дошкольное +'!G501)</f>
        <v>29.806798728295426</v>
      </c>
      <c r="G216" s="93" t="str">
        <f>IF(ISERR('[1]Дошкольное +'!H501),"-",'[1]Дошкольное +'!H501)</f>
        <v>-</v>
      </c>
      <c r="H216" s="93" t="str">
        <f>IF(ISERR('[1]Дошкольное +'!I501),"-",'[1]Дошкольное +'!I501)</f>
        <v>-</v>
      </c>
      <c r="I216" s="93" t="str">
        <f>IF(ISERR('[1]Дошкольное +'!J501),"-",'[1]Дошкольное +'!J501)</f>
        <v>-</v>
      </c>
      <c r="J216" s="93" t="str">
        <f>IF(ISERR('[1]Дошкольное +'!K501),"-",'[1]Дошкольное +'!K501)</f>
        <v>-</v>
      </c>
      <c r="K216" s="93" t="str">
        <f>IF(ISERR('[1]Дошкольное +'!L501),"-",'[1]Дошкольное +'!L501)</f>
        <v>-</v>
      </c>
      <c r="L216" s="93">
        <f>IF(ISERR('[1]Дошкольное +'!N501),"-",'[1]Дошкольное +'!N501)</f>
        <v>0</v>
      </c>
      <c r="M216" s="93">
        <f>IF(ISERR('[1]Дошкольное +'!O501),"-",'[1]Дошкольное +'!O501)</f>
        <v>0</v>
      </c>
    </row>
    <row r="217" spans="1:13" s="89" customFormat="1" ht="30" x14ac:dyDescent="0.25">
      <c r="A217" s="99" t="s">
        <v>115</v>
      </c>
      <c r="B217" s="100" t="s">
        <v>114</v>
      </c>
      <c r="C217" s="87"/>
      <c r="D217" s="93"/>
      <c r="E217" s="93"/>
      <c r="F217" s="93"/>
      <c r="G217" s="93"/>
      <c r="H217" s="93"/>
      <c r="I217" s="93"/>
      <c r="J217" s="93"/>
      <c r="K217" s="93"/>
      <c r="L217" s="93"/>
      <c r="M217" s="93"/>
    </row>
    <row r="218" spans="1:13" s="89" customFormat="1" ht="45" x14ac:dyDescent="0.25">
      <c r="A218" s="13" t="s">
        <v>116</v>
      </c>
      <c r="B218" s="70" t="s">
        <v>1645</v>
      </c>
      <c r="C218" s="13" t="s">
        <v>8</v>
      </c>
      <c r="D218" s="104">
        <f>IF(ISERR('[1]Дошкольное +'!E517),"-",'[1]Дошкольное +'!E517)</f>
        <v>0</v>
      </c>
      <c r="E218" s="104">
        <f>IF(ISERR('[1]Дошкольное +'!F517),"-",'[1]Дошкольное +'!F517)</f>
        <v>0</v>
      </c>
      <c r="F218" s="104">
        <f>IF(ISERR('[1]Дошкольное +'!G517),"-",'[1]Дошкольное +'!G517)</f>
        <v>0</v>
      </c>
      <c r="G218" s="104">
        <f>IF(ISERR('[1]Дошкольное +'!H517),"-",'[1]Дошкольное +'!H517)</f>
        <v>0</v>
      </c>
      <c r="H218" s="104">
        <f>IF(ISERR('[1]Дошкольное +'!I517),"-",'[1]Дошкольное +'!I517)</f>
        <v>0</v>
      </c>
      <c r="I218" s="104">
        <f>IF(ISERR('[1]Дошкольное +'!J517),"-",'[1]Дошкольное +'!J517)</f>
        <v>0</v>
      </c>
      <c r="J218" s="104">
        <f>IF(ISERR('[1]Дошкольное +'!K517),"-",'[1]Дошкольное +'!K517)</f>
        <v>0.21276595744680851</v>
      </c>
      <c r="K218" s="104">
        <f>IF(ISERR('[1]Дошкольное +'!L517),"-",'[1]Дошкольное +'!L517)</f>
        <v>0</v>
      </c>
      <c r="L218" s="104">
        <f>IF(ISERR('[1]Дошкольное +'!M517),"-",'[1]Дошкольное +'!M517)</f>
        <v>0</v>
      </c>
      <c r="M218" s="104">
        <f>IF(ISERR('[1]Дошкольное +'!N517),"-",'[1]Дошкольное +'!N517)</f>
        <v>0</v>
      </c>
    </row>
    <row r="219" spans="1:13" s="89" customFormat="1" hidden="1" x14ac:dyDescent="0.25">
      <c r="A219" s="13"/>
      <c r="B219" s="70" t="s">
        <v>1303</v>
      </c>
      <c r="C219" s="13" t="s">
        <v>8</v>
      </c>
      <c r="D219" s="104">
        <f>IF(ISERR('[1]Дошкольное +'!E518),"-",'[1]Дошкольное +'!E518)</f>
        <v>0</v>
      </c>
      <c r="E219" s="104">
        <f>IF(ISERR('[1]Дошкольное +'!F518),"-",'[1]Дошкольное +'!F518)</f>
        <v>0</v>
      </c>
      <c r="F219" s="104">
        <f>IF(ISERR('[1]Дошкольное +'!G518),"-",'[1]Дошкольное +'!G518)</f>
        <v>0</v>
      </c>
      <c r="G219" s="104">
        <f>IF(ISERR('[1]Дошкольное +'!H518),"-",'[1]Дошкольное +'!H518)</f>
        <v>0</v>
      </c>
      <c r="H219" s="104">
        <f>IF(ISERR('[1]Дошкольное +'!I518),"-",'[1]Дошкольное +'!I518)</f>
        <v>0</v>
      </c>
      <c r="I219" s="104">
        <f>IF(ISERR('[1]Дошкольное +'!J518),"-",'[1]Дошкольное +'!J518)</f>
        <v>0</v>
      </c>
      <c r="J219" s="104">
        <f>IF(ISERR('[1]Дошкольное +'!K518),"-",'[1]Дошкольное +'!K518)</f>
        <v>0.25380710659898476</v>
      </c>
      <c r="K219" s="104">
        <f>IF(ISERR('[1]Дошкольное +'!L518),"-",'[1]Дошкольное +'!L518)</f>
        <v>0</v>
      </c>
      <c r="L219" s="104">
        <f>IF(ISERR('[1]Дошкольное +'!N518),"-",'[1]Дошкольное +'!N518)</f>
        <v>0</v>
      </c>
      <c r="M219" s="104">
        <f>IF(ISERR('[1]Дошкольное +'!O518),"-",'[1]Дошкольное +'!O518)</f>
        <v>0</v>
      </c>
    </row>
    <row r="220" spans="1:13" s="89" customFormat="1" hidden="1" x14ac:dyDescent="0.25">
      <c r="A220" s="13"/>
      <c r="B220" s="70" t="s">
        <v>1304</v>
      </c>
      <c r="C220" s="13" t="s">
        <v>8</v>
      </c>
      <c r="D220" s="104">
        <f>IF(ISERR('[1]Дошкольное +'!E519),"-",'[1]Дошкольное +'!E519)</f>
        <v>0</v>
      </c>
      <c r="E220" s="104">
        <f>IF(ISERR('[1]Дошкольное +'!F519),"-",'[1]Дошкольное +'!F519)</f>
        <v>0</v>
      </c>
      <c r="F220" s="104">
        <f>IF(ISERR('[1]Дошкольное +'!G519),"-",'[1]Дошкольное +'!G519)</f>
        <v>0</v>
      </c>
      <c r="G220" s="104">
        <f>IF(ISERR('[1]Дошкольное +'!H519),"-",'[1]Дошкольное +'!H519)</f>
        <v>0</v>
      </c>
      <c r="H220" s="104">
        <f>IF(ISERR('[1]Дошкольное +'!I519),"-",'[1]Дошкольное +'!I519)</f>
        <v>0</v>
      </c>
      <c r="I220" s="104">
        <f>IF(ISERR('[1]Дошкольное +'!J519),"-",'[1]Дошкольное +'!J519)</f>
        <v>0</v>
      </c>
      <c r="J220" s="104">
        <f>IF(ISERR('[1]Дошкольное +'!K519),"-",'[1]Дошкольное +'!K519)</f>
        <v>0</v>
      </c>
      <c r="K220" s="104">
        <f>IF(ISERR('[1]Дошкольное +'!L519),"-",'[1]Дошкольное +'!L519)</f>
        <v>0</v>
      </c>
      <c r="L220" s="104">
        <f>IF(ISERR('[1]Дошкольное +'!N519),"-",'[1]Дошкольное +'!N519)</f>
        <v>0</v>
      </c>
      <c r="M220" s="104">
        <f>IF(ISERR('[1]Дошкольное +'!O519),"-",'[1]Дошкольное +'!O519)</f>
        <v>0</v>
      </c>
    </row>
    <row r="221" spans="1:13" s="89" customFormat="1" ht="45" x14ac:dyDescent="0.25">
      <c r="A221" s="13" t="s">
        <v>118</v>
      </c>
      <c r="B221" s="70" t="s">
        <v>1646</v>
      </c>
      <c r="C221" s="13" t="s">
        <v>8</v>
      </c>
      <c r="D221" s="104">
        <f>IF(ISERR('[1]Дошкольное +'!E526),"-",'[1]Дошкольное +'!E526)</f>
        <v>8.4745762711864394</v>
      </c>
      <c r="E221" s="104">
        <f>IF(ISERR('[1]Дошкольное +'!F526),"-",'[1]Дошкольное +'!F526)</f>
        <v>6.2972292191435768</v>
      </c>
      <c r="F221" s="104">
        <f>IF(ISERR('[1]Дошкольное +'!G526),"-",'[1]Дошкольное +'!G526)</f>
        <v>6.8493150684931505</v>
      </c>
      <c r="G221" s="104">
        <f>IF(ISERR('[1]Дошкольное +'!H526),"-",'[1]Дошкольное +'!H526)</f>
        <v>5.7471264367816088</v>
      </c>
      <c r="H221" s="104">
        <f>IF(ISERR('[1]Дошкольное +'!I526),"-",'[1]Дошкольное +'!I526)</f>
        <v>4.3298969072164946</v>
      </c>
      <c r="I221" s="104">
        <f>IF(ISERR('[1]Дошкольное +'!J526),"-",'[1]Дошкольное +'!J526)</f>
        <v>3.7344398340248963</v>
      </c>
      <c r="J221" s="104">
        <f>IF(ISERR('[1]Дошкольное +'!K526),"-",'[1]Дошкольное +'!K526)</f>
        <v>2.7659574468085104</v>
      </c>
      <c r="K221" s="104">
        <f>IF(ISERR('[1]Дошкольное +'!L526),"-",'[1]Дошкольное +'!L526)</f>
        <v>0</v>
      </c>
      <c r="L221" s="104">
        <f>IF(ISERR('[1]Дошкольное +'!M526),"-",'[1]Дошкольное +'!M526)</f>
        <v>0</v>
      </c>
      <c r="M221" s="104">
        <f>IF(ISERR('[1]Дошкольное +'!N526),"-",'[1]Дошкольное +'!N526)</f>
        <v>0</v>
      </c>
    </row>
    <row r="222" spans="1:13" s="89" customFormat="1" hidden="1" x14ac:dyDescent="0.25">
      <c r="A222" s="13"/>
      <c r="B222" s="70" t="s">
        <v>1303</v>
      </c>
      <c r="C222" s="13" t="s">
        <v>8</v>
      </c>
      <c r="D222" s="104">
        <f>IF(ISERR('[1]Дошкольное +'!E527),"-",'[1]Дошкольное +'!E527)</f>
        <v>7.2948328267477196</v>
      </c>
      <c r="E222" s="104">
        <f>IF(ISERR('[1]Дошкольное +'!F527),"-",'[1]Дошкольное +'!F527)</f>
        <v>5</v>
      </c>
      <c r="F222" s="104">
        <f>IF(ISERR('[1]Дошкольное +'!G527),"-",'[1]Дошкольное +'!G527)</f>
        <v>6</v>
      </c>
      <c r="G222" s="104">
        <f>IF(ISERR('[1]Дошкольное +'!H527),"-",'[1]Дошкольное +'!H527)</f>
        <v>4.929577464788732</v>
      </c>
      <c r="H222" s="104">
        <f>IF(ISERR('[1]Дошкольное +'!I527),"-",'[1]Дошкольное +'!I527)</f>
        <v>3.7313432835820892</v>
      </c>
      <c r="I222" s="104">
        <f>IF(ISERR('[1]Дошкольное +'!J527),"-",'[1]Дошкольное +'!J527)</f>
        <v>3.25</v>
      </c>
      <c r="J222" s="104">
        <f>IF(ISERR('[1]Дошкольное +'!K527),"-",'[1]Дошкольное +'!K527)</f>
        <v>2.7918781725888326</v>
      </c>
      <c r="K222" s="104">
        <f>IF(ISERR('[1]Дошкольное +'!L527),"-",'[1]Дошкольное +'!L527)</f>
        <v>0</v>
      </c>
      <c r="L222" s="104">
        <f>IF(ISERR('[1]Дошкольное +'!N527),"-",'[1]Дошкольное +'!N527)</f>
        <v>0</v>
      </c>
      <c r="M222" s="104">
        <f>IF(ISERR('[1]Дошкольное +'!O527),"-",'[1]Дошкольное +'!O527)</f>
        <v>0</v>
      </c>
    </row>
    <row r="223" spans="1:13" s="89" customFormat="1" hidden="1" x14ac:dyDescent="0.25">
      <c r="A223" s="13"/>
      <c r="B223" s="70" t="s">
        <v>1304</v>
      </c>
      <c r="C223" s="13" t="s">
        <v>8</v>
      </c>
      <c r="D223" s="104">
        <f>IF(ISERR('[1]Дошкольное +'!E528),"-",'[1]Дошкольное +'!E528)</f>
        <v>13.095238095238097</v>
      </c>
      <c r="E223" s="104">
        <f>IF(ISERR('[1]Дошкольное +'!F528),"-",'[1]Дошкольное +'!F528)</f>
        <v>11.7</v>
      </c>
      <c r="F223" s="104">
        <f>IF(ISERR('[1]Дошкольное +'!G528),"-",'[1]Дошкольное +'!G528)</f>
        <v>10.76923076923077</v>
      </c>
      <c r="G223" s="104">
        <f>IF(ISERR('[1]Дошкольное +'!H528),"-",'[1]Дошкольное +'!H528)</f>
        <v>9.375</v>
      </c>
      <c r="H223" s="104">
        <f>IF(ISERR('[1]Дошкольное +'!I528),"-",'[1]Дошкольное +'!I528)</f>
        <v>7.2289156626506017</v>
      </c>
      <c r="I223" s="104">
        <f>IF(ISERR('[1]Дошкольное +'!J528),"-",'[1]Дошкольное +'!J528)</f>
        <v>6.0975609756097562</v>
      </c>
      <c r="J223" s="104">
        <f>IF(ISERR('[1]Дошкольное +'!K528),"-",'[1]Дошкольное +'!K528)</f>
        <v>2.6315789473684208</v>
      </c>
      <c r="K223" s="104">
        <f>IF(ISERR('[1]Дошкольное +'!L528),"-",'[1]Дошкольное +'!L528)</f>
        <v>0</v>
      </c>
      <c r="L223" s="104">
        <f>IF(ISERR('[1]Дошкольное +'!N528),"-",'[1]Дошкольное +'!N528)</f>
        <v>0</v>
      </c>
      <c r="M223" s="104">
        <f>IF(ISERR('[1]Дошкольное +'!O528),"-",'[1]Дошкольное +'!O528)</f>
        <v>0</v>
      </c>
    </row>
    <row r="224" spans="1:13" s="89" customFormat="1" x14ac:dyDescent="0.25">
      <c r="A224" s="437" t="s">
        <v>121</v>
      </c>
      <c r="B224" s="438"/>
      <c r="C224" s="438"/>
      <c r="D224" s="438"/>
      <c r="E224" s="438"/>
      <c r="F224" s="438"/>
      <c r="G224" s="438"/>
      <c r="H224" s="438"/>
      <c r="I224" s="438"/>
      <c r="J224" s="438"/>
      <c r="K224" s="439"/>
      <c r="L224" s="440"/>
      <c r="M224" s="440"/>
    </row>
    <row r="225" spans="1:13" s="89" customFormat="1" ht="60" x14ac:dyDescent="0.25">
      <c r="A225" s="99" t="s">
        <v>123</v>
      </c>
      <c r="B225" s="100" t="s">
        <v>122</v>
      </c>
      <c r="C225" s="87"/>
      <c r="D225" s="90"/>
      <c r="E225" s="90"/>
      <c r="F225" s="90"/>
      <c r="G225" s="90"/>
      <c r="H225" s="90"/>
      <c r="I225" s="90"/>
      <c r="J225" s="90"/>
      <c r="K225" s="90"/>
      <c r="L225" s="90"/>
      <c r="M225" s="90"/>
    </row>
    <row r="226" spans="1:13" s="89" customFormat="1" ht="75" x14ac:dyDescent="0.25">
      <c r="A226" s="77" t="s">
        <v>124</v>
      </c>
      <c r="B226" s="70" t="s">
        <v>2511</v>
      </c>
      <c r="C226" s="77" t="s">
        <v>8</v>
      </c>
      <c r="D226" s="104">
        <f>IF(ISERR('[1]Общее+'!E10),"-",'[1]Общее+'!E10)</f>
        <v>89.781056776154216</v>
      </c>
      <c r="E226" s="104">
        <f>IF(ISERR('[1]Общее+'!F10),"-",'[1]Общее+'!F10)</f>
        <v>91.394405196042271</v>
      </c>
      <c r="F226" s="104">
        <f>IF(ISERR('[1]Общее+'!G10),"-",'[1]Общее+'!G10)</f>
        <v>91.345015982408015</v>
      </c>
      <c r="G226" s="104">
        <f>IF(ISERR('[1]Общее+'!H10),"-",'[1]Общее+'!H10)</f>
        <v>93.900220664990016</v>
      </c>
      <c r="H226" s="104">
        <f>IF(ISERR('[1]Общее+'!I10),"-",'[1]Общее+'!I10)</f>
        <v>92.984120262544991</v>
      </c>
      <c r="I226" s="93">
        <f>IF(ISERR('[1]Общее+'!J10),"-",'[1]Общее+'!J10)</f>
        <v>92.911257644155782</v>
      </c>
      <c r="J226" s="93">
        <f>IF(ISERR('[1]Общее+'!K10),"-",'[1]Общее+'!K10)</f>
        <v>88.148277545964532</v>
      </c>
      <c r="K226" s="93">
        <f>IF(ISERR('[1]Общее+'!L10),"-",'[1]Общее+'!L10)</f>
        <v>99.61840628507295</v>
      </c>
      <c r="L226" s="93">
        <f>IF(ISERR('[1]Общее+'!M10),"-",'[1]Общее+'!M10)</f>
        <v>95.958279009126471</v>
      </c>
      <c r="M226" s="93">
        <f>IF(ISERR('[1]Общее+'!N10),"-",'[1]Общее+'!N10)</f>
        <v>92.060131272496292</v>
      </c>
    </row>
    <row r="227" spans="1:13" s="89" customFormat="1" ht="90" x14ac:dyDescent="0.25">
      <c r="A227" s="13" t="s">
        <v>136</v>
      </c>
      <c r="B227" s="70" t="s">
        <v>1648</v>
      </c>
      <c r="C227" s="13"/>
      <c r="D227" s="90"/>
      <c r="E227" s="90"/>
      <c r="F227" s="90"/>
      <c r="G227" s="90"/>
      <c r="H227" s="90"/>
      <c r="I227" s="93">
        <f>IF(ISERR('[1]Общее+'!J21),"-",'[1]Общее+'!J21)</f>
        <v>80.971290531500998</v>
      </c>
      <c r="J227" s="93">
        <f>IF(ISERR('[1]Общее+'!K21),"-",'[1]Общее+'!K21)</f>
        <v>81.054144793345912</v>
      </c>
      <c r="K227" s="93">
        <f>IF(ISERR('[1]Общее+'!L21),"-",'[1]Общее+'!L21)</f>
        <v>100</v>
      </c>
      <c r="L227" s="93">
        <f>IF(ISERR('[1]Общее+'!M21),"-",'[1]Общее+'!M21)</f>
        <v>100</v>
      </c>
      <c r="M227" s="93">
        <f>IF(ISERR('[1]Общее+'!N21),"-",'[1]Общее+'!N21)</f>
        <v>100</v>
      </c>
    </row>
    <row r="228" spans="1:13" s="89" customFormat="1" hidden="1" x14ac:dyDescent="0.25">
      <c r="A228" s="13"/>
      <c r="B228" s="70" t="s">
        <v>1301</v>
      </c>
      <c r="C228" s="13" t="s">
        <v>8</v>
      </c>
      <c r="D228" s="104">
        <f>IF(ISERR('[1]Общее+'!E21),"-",'[1]Общее+'!E21)</f>
        <v>32.983729852514429</v>
      </c>
      <c r="E228" s="104">
        <f>IF(ISERR('[1]Общее+'!F21),"-",'[1]Общее+'!F21)</f>
        <v>43.420453944235753</v>
      </c>
      <c r="F228" s="104">
        <f>IF(ISERR('[1]Общее+'!G21),"-",'[1]Общее+'!G21)</f>
        <v>52.607485307763689</v>
      </c>
      <c r="G228" s="104">
        <f>IF(ISERR('[1]Общее+'!H21),"-",'[1]Общее+'!H21)</f>
        <v>63.241585036080139</v>
      </c>
      <c r="H228" s="104">
        <f>IF(ISERR('[1]Общее+'!I21),"-",'[1]Общее+'!I21)</f>
        <v>72.052920196382786</v>
      </c>
      <c r="I228" s="104">
        <f>IF(ISERR('[1]Общее+'!J21),"-",'[1]Общее+'!J21)</f>
        <v>80.971290531500998</v>
      </c>
      <c r="J228" s="104">
        <f>IF(ISERR('[1]Общее+'!K21),"-",'[1]Общее+'!K21)</f>
        <v>81.054144793345912</v>
      </c>
      <c r="K228" s="104">
        <f>IF(ISERR('[1]Общее+'!L21),"-",'[1]Общее+'!L21)</f>
        <v>100</v>
      </c>
      <c r="L228" s="104">
        <f>IF(ISERR('[1]Общее+'!M21),"-",'[1]Общее+'!M21)</f>
        <v>100</v>
      </c>
      <c r="M228" s="104">
        <f>IF(ISERR('[1]Общее+'!N21),"-",'[1]Общее+'!N21)</f>
        <v>100</v>
      </c>
    </row>
    <row r="229" spans="1:13" s="89" customFormat="1" hidden="1" x14ac:dyDescent="0.25">
      <c r="A229" s="13"/>
      <c r="B229" s="70" t="s">
        <v>1303</v>
      </c>
      <c r="C229" s="13" t="s">
        <v>8</v>
      </c>
      <c r="D229" s="104">
        <f>IF(ISERR('[1]Общее+'!E22),"-",'[1]Общее+'!E22)</f>
        <v>33.01984685479831</v>
      </c>
      <c r="E229" s="104">
        <f>IF(ISERR('[1]Общее+'!F22),"-",'[1]Общее+'!F22)</f>
        <v>43.470096269206024</v>
      </c>
      <c r="F229" s="104">
        <f>IF(ISERR('[1]Общее+'!G22),"-",'[1]Общее+'!G22)</f>
        <v>53.530035774339524</v>
      </c>
      <c r="G229" s="104">
        <f>IF(ISERR('[1]Общее+'!H22),"-",'[1]Общее+'!H22)</f>
        <v>63.329471846497739</v>
      </c>
      <c r="H229" s="104">
        <f>IF(ISERR('[1]Общее+'!I22),"-",'[1]Общее+'!I22)</f>
        <v>72.090134564853898</v>
      </c>
      <c r="I229" s="104">
        <f>IF(ISERR('[1]Общее+'!J22),"-",'[1]Общее+'!J22)</f>
        <v>80.985353548353885</v>
      </c>
      <c r="J229" s="104">
        <f>IF(ISERR('[1]Общее+'!K22),"-",'[1]Общее+'!K22)</f>
        <v>81.073894476372914</v>
      </c>
      <c r="K229" s="104">
        <f>IF(ISERR('[1]Общее+'!L22),"-",'[1]Общее+'!L22)</f>
        <v>100</v>
      </c>
      <c r="L229" s="104">
        <f>IF(ISERR('[1]Общее+'!M22),"-",'[1]Общее+'!M22)</f>
        <v>100</v>
      </c>
      <c r="M229" s="104">
        <f>IF(ISERR('[1]Общее+'!N22),"-",'[1]Общее+'!N22)</f>
        <v>100</v>
      </c>
    </row>
    <row r="230" spans="1:13" s="89" customFormat="1" hidden="1" x14ac:dyDescent="0.25">
      <c r="A230" s="13"/>
      <c r="B230" s="70" t="s">
        <v>1304</v>
      </c>
      <c r="C230" s="13" t="s">
        <v>8</v>
      </c>
      <c r="D230" s="104">
        <f>IF(ISERR('[1]Общее+'!E23),"-",'[1]Общее+'!E23)</f>
        <v>32.612954573282721</v>
      </c>
      <c r="E230" s="104">
        <f>IF(ISERR('[1]Общее+'!F23),"-",'[1]Общее+'!F23)</f>
        <v>42.900503854792696</v>
      </c>
      <c r="F230" s="104">
        <f>IF(ISERR('[1]Общее+'!G23),"-",'[1]Общее+'!G23)</f>
        <v>42.851175557942476</v>
      </c>
      <c r="G230" s="104">
        <f>IF(ISERR('[1]Общее+'!H23),"-",'[1]Общее+'!H23)</f>
        <v>62.287435049598486</v>
      </c>
      <c r="H230" s="104">
        <f>IF(ISERR('[1]Общее+'!I23),"-",'[1]Общее+'!I23)</f>
        <v>71.643707681531637</v>
      </c>
      <c r="I230" s="104">
        <f>IF(ISERR('[1]Общее+'!J23),"-",'[1]Общее+'!J23)</f>
        <v>80.81328088847755</v>
      </c>
      <c r="J230" s="104">
        <f>IF(ISERR('[1]Общее+'!K23),"-",'[1]Общее+'!K23)</f>
        <v>80.825088236995896</v>
      </c>
      <c r="K230" s="104">
        <f>IF(ISERR('[1]Общее+'!L23),"-",'[1]Общее+'!L23)</f>
        <v>100</v>
      </c>
      <c r="L230" s="104">
        <f>IF(ISERR('[1]Общее+'!M23),"-",'[1]Общее+'!M23)</f>
        <v>100</v>
      </c>
      <c r="M230" s="104">
        <f>IF(ISERR('[1]Общее+'!N23),"-",'[1]Общее+'!N23)</f>
        <v>100</v>
      </c>
    </row>
    <row r="231" spans="1:13" s="89" customFormat="1" hidden="1" x14ac:dyDescent="0.25">
      <c r="A231" s="13"/>
      <c r="B231" s="70" t="s">
        <v>1302</v>
      </c>
      <c r="C231" s="13" t="s">
        <v>8</v>
      </c>
      <c r="D231" s="104">
        <f>IF(ISERR('[1]Общее+'!E42),"-",'[1]Общее+'!E42)</f>
        <v>38.175270108043222</v>
      </c>
      <c r="E231" s="104">
        <f>IF(ISERR('[1]Общее+'!F42),"-",'[1]Общее+'!F42)</f>
        <v>48.018120045300108</v>
      </c>
      <c r="F231" s="104">
        <f>IF(ISERR('[1]Общее+'!G42),"-",'[1]Общее+'!G42)</f>
        <v>58.544303797468359</v>
      </c>
      <c r="G231" s="104">
        <f>IF(ISERR('[1]Общее+'!H42),"-",'[1]Общее+'!H42)</f>
        <v>69.20289855072464</v>
      </c>
      <c r="H231" s="104">
        <f>IF(ISERR('[1]Общее+'!I42),"-",'[1]Общее+'!I42)</f>
        <v>75.946547884187083</v>
      </c>
      <c r="I231" s="104">
        <f>IF(ISERR('[1]Общее+'!J42),"-",'[1]Общее+'!J42)</f>
        <v>83.888292158968852</v>
      </c>
      <c r="J231" s="104">
        <f>IF(ISERR('[1]Общее+'!K42),"-",'[1]Общее+'!K42)</f>
        <v>81.437768240343345</v>
      </c>
      <c r="K231" s="104" t="str">
        <f>IF(ISERR('[1]Общее+'!L42),"-",'[1]Общее+'!L42)</f>
        <v>-</v>
      </c>
      <c r="L231" s="104" t="str">
        <f>IF(ISERR('[1]Общее+'!M42),"-",'[1]Общее+'!M42)</f>
        <v>-</v>
      </c>
      <c r="M231" s="104" t="str">
        <f>IF(ISERR('[1]Общее+'!N42),"-",'[1]Общее+'!N42)</f>
        <v>-</v>
      </c>
    </row>
    <row r="232" spans="1:13" s="89" customFormat="1" hidden="1" x14ac:dyDescent="0.25">
      <c r="A232" s="13"/>
      <c r="B232" s="70" t="s">
        <v>1303</v>
      </c>
      <c r="C232" s="13" t="s">
        <v>8</v>
      </c>
      <c r="D232" s="104">
        <f>IF(ISERR('[1]Общее+'!E43),"-",'[1]Общее+'!E43)</f>
        <v>38.175270108043222</v>
      </c>
      <c r="E232" s="104">
        <f>IF(ISERR('[1]Общее+'!F43),"-",'[1]Общее+'!F43)</f>
        <v>48.018120045300108</v>
      </c>
      <c r="F232" s="104">
        <f>IF(ISERR('[1]Общее+'!G43),"-",'[1]Общее+'!G43)</f>
        <v>58.544303797468359</v>
      </c>
      <c r="G232" s="104">
        <f>IF(ISERR('[1]Общее+'!H43),"-",'[1]Общее+'!H43)</f>
        <v>69.20289855072464</v>
      </c>
      <c r="H232" s="104">
        <f>IF(ISERR('[1]Общее+'!I43),"-",'[1]Общее+'!I43)</f>
        <v>75.946547884187083</v>
      </c>
      <c r="I232" s="104">
        <f>IF(ISERR('[1]Общее+'!J43),"-",'[1]Общее+'!J43)</f>
        <v>83.888292158968852</v>
      </c>
      <c r="J232" s="104">
        <f>IF(ISERR('[1]Общее+'!K43),"-",'[1]Общее+'!K43)</f>
        <v>81.437768240343345</v>
      </c>
      <c r="K232" s="104" t="str">
        <f>IF(ISERR('[1]Общее+'!L43),"-",'[1]Общее+'!L43)</f>
        <v>-</v>
      </c>
      <c r="L232" s="104" t="str">
        <f>IF(ISERR('[1]Общее+'!M43),"-",'[1]Общее+'!M43)</f>
        <v>-</v>
      </c>
      <c r="M232" s="104" t="str">
        <f>IF(ISERR('[1]Общее+'!N43),"-",'[1]Общее+'!N43)</f>
        <v>-</v>
      </c>
    </row>
    <row r="233" spans="1:13" s="89" customFormat="1" hidden="1" x14ac:dyDescent="0.25">
      <c r="A233" s="13"/>
      <c r="B233" s="70" t="s">
        <v>1304</v>
      </c>
      <c r="C233" s="13" t="s">
        <v>8</v>
      </c>
      <c r="D233" s="104" t="str">
        <f>IF(ISERR('[1]Общее+'!E44),"-",'[1]Общее+'!E44)</f>
        <v>-</v>
      </c>
      <c r="E233" s="104" t="str">
        <f>IF(ISERR('[1]Общее+'!F44),"-",'[1]Общее+'!F44)</f>
        <v>-</v>
      </c>
      <c r="F233" s="104" t="str">
        <f>IF(ISERR('[1]Общее+'!G44),"-",'[1]Общее+'!G44)</f>
        <v>-</v>
      </c>
      <c r="G233" s="104" t="str">
        <f>IF(ISERR('[1]Общее+'!H44),"-",'[1]Общее+'!H44)</f>
        <v>-</v>
      </c>
      <c r="H233" s="104" t="str">
        <f>IF(ISERR('[1]Общее+'!I44),"-",'[1]Общее+'!I44)</f>
        <v>-</v>
      </c>
      <c r="I233" s="104" t="str">
        <f>IF(ISERR('[1]Общее+'!J44),"-",'[1]Общее+'!J44)</f>
        <v>-</v>
      </c>
      <c r="J233" s="104" t="str">
        <f>IF(ISERR('[1]Общее+'!K44),"-",'[1]Общее+'!K44)</f>
        <v>-</v>
      </c>
      <c r="K233" s="104" t="str">
        <f>IF(ISERR('[1]Общее+'!L44),"-",'[1]Общее+'!L44)</f>
        <v>-</v>
      </c>
      <c r="L233" s="104" t="str">
        <f>IF(ISERR('[1]Общее+'!M44),"-",'[1]Общее+'!M44)</f>
        <v>-</v>
      </c>
      <c r="M233" s="104" t="str">
        <f>IF(ISERR('[1]Общее+'!N44),"-",'[1]Общее+'!N44)</f>
        <v>-</v>
      </c>
    </row>
    <row r="234" spans="1:13" s="89" customFormat="1" ht="60" x14ac:dyDescent="0.25">
      <c r="A234" s="13" t="s">
        <v>141</v>
      </c>
      <c r="B234" s="70" t="s">
        <v>1649</v>
      </c>
      <c r="C234" s="13"/>
      <c r="D234" s="104"/>
      <c r="E234" s="104"/>
      <c r="F234" s="104"/>
      <c r="G234" s="104"/>
      <c r="H234" s="104"/>
      <c r="I234" s="104">
        <f>IF(ISERR('[1]Общее+'!J64),"-",'[1]Общее+'!J64)</f>
        <v>63.029567519858787</v>
      </c>
      <c r="J234" s="104">
        <f>IF(ISERR('[1]Общее+'!K64),"-",'[1]Общее+'!K64)</f>
        <v>62.18071519795658</v>
      </c>
      <c r="K234" s="104">
        <f>IF(ISERR('[1]Общее+'!L64),"-",'[1]Общее+'!L64)</f>
        <v>59.168704156479215</v>
      </c>
      <c r="L234" s="104">
        <f>IF(ISERR('[1]Общее+'!M64),"-",'[1]Общее+'!M64)</f>
        <v>59.047619047619051</v>
      </c>
      <c r="M234" s="104">
        <f>IF(ISERR('[1]Общее+'!N64),"-",'[1]Общее+'!N64)</f>
        <v>57.242990654205606</v>
      </c>
    </row>
    <row r="235" spans="1:13" s="89" customFormat="1" hidden="1" x14ac:dyDescent="0.25">
      <c r="A235" s="13"/>
      <c r="B235" s="70" t="s">
        <v>1301</v>
      </c>
      <c r="C235" s="13" t="s">
        <v>8</v>
      </c>
      <c r="D235" s="104"/>
      <c r="E235" s="104"/>
      <c r="F235" s="104"/>
      <c r="G235" s="104"/>
      <c r="H235" s="104">
        <f>IF(ISERR('[1]Общее+'!I64),"-",'[1]Общее+'!I64)</f>
        <v>63.408491244902855</v>
      </c>
      <c r="I235" s="104">
        <f>IF(ISERR('[1]Общее+'!J64),"-",'[1]Общее+'!J64)</f>
        <v>63.029567519858787</v>
      </c>
      <c r="J235" s="104">
        <f>IF(ISERR('[1]Общее+'!K64),"-",'[1]Общее+'!K64)</f>
        <v>62.18071519795658</v>
      </c>
      <c r="K235" s="104">
        <f>IF(ISERR('[1]Общее+'!L64),"-",'[1]Общее+'!L64)</f>
        <v>59.168704156479215</v>
      </c>
      <c r="L235" s="104">
        <f>IF(ISERR('[1]Общее+'!M64),"-",'[1]Общее+'!M64)</f>
        <v>59.047619047619051</v>
      </c>
      <c r="M235" s="104">
        <f>IF(ISERR('[1]Общее+'!N64),"-",'[1]Общее+'!N64)</f>
        <v>57.242990654205606</v>
      </c>
    </row>
    <row r="236" spans="1:13" s="89" customFormat="1" hidden="1" x14ac:dyDescent="0.25">
      <c r="A236" s="13"/>
      <c r="B236" s="70" t="s">
        <v>1303</v>
      </c>
      <c r="C236" s="13" t="s">
        <v>8</v>
      </c>
      <c r="D236" s="104"/>
      <c r="E236" s="104"/>
      <c r="F236" s="104"/>
      <c r="G236" s="104"/>
      <c r="H236" s="104">
        <f>IF(ISERR('[1]Общее+'!I65),"-",'[1]Общее+'!I65)</f>
        <v>64.06332453825857</v>
      </c>
      <c r="I236" s="104">
        <f>IF(ISERR('[1]Общее+'!J65),"-",'[1]Общее+'!J65)</f>
        <v>63.468880673898553</v>
      </c>
      <c r="J236" s="104">
        <f>IF(ISERR('[1]Общее+'!K65),"-",'[1]Общее+'!K65)</f>
        <v>62.803422783631177</v>
      </c>
      <c r="K236" s="104">
        <f>IF(ISERR('[1]Общее+'!L65),"-",'[1]Общее+'!L65)</f>
        <v>61.53846153846154</v>
      </c>
      <c r="L236" s="104">
        <f>IF(ISERR('[1]Общее+'!M65),"-",'[1]Общее+'!M65)</f>
        <v>61.135371179039296</v>
      </c>
      <c r="M236" s="104">
        <f>IF(ISERR('[1]Общее+'!N65),"-",'[1]Общее+'!N65)</f>
        <v>65.714285714285708</v>
      </c>
    </row>
    <row r="237" spans="1:13" s="89" customFormat="1" hidden="1" x14ac:dyDescent="0.25">
      <c r="A237" s="13"/>
      <c r="B237" s="70" t="s">
        <v>1304</v>
      </c>
      <c r="C237" s="13" t="s">
        <v>8</v>
      </c>
      <c r="D237" s="104"/>
      <c r="E237" s="104"/>
      <c r="F237" s="104"/>
      <c r="G237" s="104"/>
      <c r="H237" s="104">
        <f>IF(ISERR('[1]Общее+'!I66),"-",'[1]Общее+'!I66)</f>
        <v>56.860158311345643</v>
      </c>
      <c r="I237" s="104">
        <f>IF(ISERR('[1]Общее+'!J66),"-",'[1]Общее+'!J66)</f>
        <v>58.574062692071294</v>
      </c>
      <c r="J237" s="104">
        <f>IF(ISERR('[1]Общее+'!K66),"-",'[1]Общее+'!K66)</f>
        <v>55.548667079975203</v>
      </c>
      <c r="K237" s="104">
        <f>IF(ISERR('[1]Общее+'!L66),"-",'[1]Общее+'!L66)</f>
        <v>56.38297872340425</v>
      </c>
      <c r="L237" s="104">
        <f>IF(ISERR('[1]Общее+'!M66),"-",'[1]Общее+'!M66)</f>
        <v>56.544502617801051</v>
      </c>
      <c r="M237" s="104">
        <f>IF(ISERR('[1]Общее+'!N66),"-",'[1]Общее+'!N66)</f>
        <v>49.082568807339449</v>
      </c>
    </row>
    <row r="238" spans="1:13" s="89" customFormat="1" hidden="1" x14ac:dyDescent="0.25">
      <c r="A238" s="13"/>
      <c r="B238" s="70" t="s">
        <v>1302</v>
      </c>
      <c r="C238" s="13" t="s">
        <v>8</v>
      </c>
      <c r="D238" s="104"/>
      <c r="E238" s="104"/>
      <c r="F238" s="104"/>
      <c r="G238" s="104"/>
      <c r="H238" s="104">
        <f>IF(ISERR('[1]Общее+'!I73),"-",'[1]Общее+'!I73)</f>
        <v>68.518518518518519</v>
      </c>
      <c r="I238" s="104">
        <f>IF(ISERR('[1]Общее+'!J73),"-",'[1]Общее+'!J73)</f>
        <v>51.724137931034484</v>
      </c>
      <c r="J238" s="104">
        <f>IF(ISERR('[1]Общее+'!K73),"-",'[1]Общее+'!K73)</f>
        <v>63.855421686746979</v>
      </c>
      <c r="K238" s="104" t="str">
        <f>IF(ISERR('[1]Общее+'!L73),"-",'[1]Общее+'!L73)</f>
        <v>-</v>
      </c>
      <c r="L238" s="104" t="str">
        <f>IF(ISERR('[1]Общее+'!M73),"-",'[1]Общее+'!M73)</f>
        <v>-</v>
      </c>
      <c r="M238" s="104" t="str">
        <f>IF(ISERR('[1]Общее+'!N73),"-",'[1]Общее+'!N73)</f>
        <v>-</v>
      </c>
    </row>
    <row r="239" spans="1:13" s="89" customFormat="1" hidden="1" x14ac:dyDescent="0.25">
      <c r="A239" s="13"/>
      <c r="B239" s="70" t="s">
        <v>1303</v>
      </c>
      <c r="C239" s="13" t="s">
        <v>8</v>
      </c>
      <c r="D239" s="104"/>
      <c r="E239" s="104"/>
      <c r="F239" s="104"/>
      <c r="G239" s="104"/>
      <c r="H239" s="104">
        <f>IF(ISERR('[1]Общее+'!I74),"-",'[1]Общее+'!I74)</f>
        <v>68.518518518518519</v>
      </c>
      <c r="I239" s="104">
        <f>IF(ISERR('[1]Общее+'!J74),"-",'[1]Общее+'!J74)</f>
        <v>51.724137931034484</v>
      </c>
      <c r="J239" s="104">
        <f>IF(ISERR('[1]Общее+'!K74),"-",'[1]Общее+'!K74)</f>
        <v>63.855421686746979</v>
      </c>
      <c r="K239" s="104" t="str">
        <f>IF(ISERR('[1]Общее+'!L74),"-",'[1]Общее+'!L74)</f>
        <v>-</v>
      </c>
      <c r="L239" s="104" t="str">
        <f>IF(ISERR('[1]Общее+'!M74),"-",'[1]Общее+'!M74)</f>
        <v>-</v>
      </c>
      <c r="M239" s="104" t="str">
        <f>IF(ISERR('[1]Общее+'!N74),"-",'[1]Общее+'!N74)</f>
        <v>-</v>
      </c>
    </row>
    <row r="240" spans="1:13" s="89" customFormat="1" hidden="1" x14ac:dyDescent="0.25">
      <c r="A240" s="13"/>
      <c r="B240" s="70" t="s">
        <v>1304</v>
      </c>
      <c r="C240" s="13" t="s">
        <v>8</v>
      </c>
      <c r="D240" s="104"/>
      <c r="E240" s="104"/>
      <c r="F240" s="104"/>
      <c r="G240" s="104"/>
      <c r="H240" s="104" t="str">
        <f>IF(ISERR('[1]Общее+'!I75),"-",'[1]Общее+'!I75)</f>
        <v>-</v>
      </c>
      <c r="I240" s="104" t="str">
        <f>IF(ISERR('[1]Общее+'!J75),"-",'[1]Общее+'!J75)</f>
        <v>-</v>
      </c>
      <c r="J240" s="104" t="str">
        <f>IF(ISERR('[1]Общее+'!K75),"-",'[1]Общее+'!K75)</f>
        <v>-</v>
      </c>
      <c r="K240" s="104" t="str">
        <f>IF(ISERR('[1]Общее+'!L75),"-",'[1]Общее+'!L75)</f>
        <v>-</v>
      </c>
      <c r="L240" s="104" t="str">
        <f>IF(ISERR('[1]Общее+'!M75),"-",'[1]Общее+'!M75)</f>
        <v>-</v>
      </c>
      <c r="M240" s="104" t="str">
        <f>IF(ISERR('[1]Общее+'!N75),"-",'[1]Общее+'!N75)</f>
        <v>-</v>
      </c>
    </row>
    <row r="241" spans="1:13" s="89" customFormat="1" x14ac:dyDescent="0.25">
      <c r="A241" s="13" t="s">
        <v>1655</v>
      </c>
      <c r="B241" s="70" t="s">
        <v>1650</v>
      </c>
      <c r="C241" s="13"/>
      <c r="D241" s="104"/>
      <c r="E241" s="104"/>
      <c r="F241" s="104"/>
      <c r="G241" s="104"/>
      <c r="H241" s="104"/>
      <c r="I241" s="104"/>
      <c r="J241" s="104"/>
      <c r="K241" s="104"/>
      <c r="L241" s="104"/>
      <c r="M241" s="104"/>
    </row>
    <row r="242" spans="1:13" s="89" customFormat="1" x14ac:dyDescent="0.25">
      <c r="A242" s="13"/>
      <c r="B242" s="70" t="s">
        <v>1296</v>
      </c>
      <c r="C242" s="13"/>
      <c r="D242" s="104"/>
      <c r="E242" s="104"/>
      <c r="F242" s="104"/>
      <c r="G242" s="104"/>
      <c r="H242" s="104"/>
      <c r="I242" s="104"/>
      <c r="J242" s="104"/>
      <c r="K242" s="104"/>
      <c r="L242" s="104"/>
      <c r="M242" s="104"/>
    </row>
    <row r="243" spans="1:13" s="89" customFormat="1" x14ac:dyDescent="0.25">
      <c r="A243" s="13"/>
      <c r="B243" s="70" t="s">
        <v>2305</v>
      </c>
      <c r="C243" s="13"/>
      <c r="D243" s="104"/>
      <c r="E243" s="104"/>
      <c r="F243" s="104"/>
      <c r="G243" s="104"/>
      <c r="H243" s="104"/>
      <c r="I243" s="104"/>
      <c r="J243" s="104"/>
      <c r="K243" s="104"/>
      <c r="L243" s="104"/>
      <c r="M243" s="104"/>
    </row>
    <row r="244" spans="1:13" s="89" customFormat="1" x14ac:dyDescent="0.25">
      <c r="A244" s="13"/>
      <c r="B244" s="70" t="s">
        <v>2306</v>
      </c>
      <c r="C244" s="13" t="s">
        <v>950</v>
      </c>
      <c r="D244" s="104"/>
      <c r="E244" s="104"/>
      <c r="F244" s="104"/>
      <c r="G244" s="104"/>
      <c r="H244" s="104">
        <f>IF(ISERR('[1]Общее+'!I85),"-",'[1]Общее+'!I85)</f>
        <v>23.181187355435622</v>
      </c>
      <c r="I244" s="104">
        <f>IF(ISERR('[1]Общее+'!J85),"-",'[1]Общее+'!J85)</f>
        <v>23.448440643863179</v>
      </c>
      <c r="J244" s="104">
        <f>IF(ISERR('[1]Общее+'!K85),"-",'[1]Общее+'!K85)</f>
        <v>23.681415929203538</v>
      </c>
      <c r="K244" s="104">
        <f>IF(ISERR('[1]Общее+'!L85),"-",'[1]Общее+'!L85)</f>
        <v>14.467213114754099</v>
      </c>
      <c r="L244" s="104">
        <f>IF(ISERR('[1]Общее+'!M85),"-",'[1]Общее+'!M85)</f>
        <v>14.139344262295081</v>
      </c>
      <c r="M244" s="104">
        <f>IF(ISERR('[1]Общее+'!N85),"-",'[1]Общее+'!N85)</f>
        <v>14.376068376068377</v>
      </c>
    </row>
    <row r="245" spans="1:13" s="89" customFormat="1" x14ac:dyDescent="0.25">
      <c r="A245" s="13"/>
      <c r="B245" s="70" t="s">
        <v>2307</v>
      </c>
      <c r="C245" s="13" t="s">
        <v>950</v>
      </c>
      <c r="D245" s="104"/>
      <c r="E245" s="104"/>
      <c r="F245" s="104"/>
      <c r="G245" s="104"/>
      <c r="H245" s="104">
        <f>IF(ISERR('[1]Общее+'!I86),"-",'[1]Общее+'!I86)</f>
        <v>22.609932385171369</v>
      </c>
      <c r="I245" s="104">
        <f>IF(ISERR('[1]Общее+'!J86),"-",'[1]Общее+'!J86)</f>
        <v>22.775449101796408</v>
      </c>
      <c r="J245" s="104">
        <f>IF(ISERR('[1]Общее+'!K86),"-",'[1]Общее+'!K86)</f>
        <v>22.982284805814217</v>
      </c>
      <c r="K245" s="104">
        <f>IF(ISERR('[1]Общее+'!L86),"-",'[1]Общее+'!L86)</f>
        <v>14.075949367088608</v>
      </c>
      <c r="L245" s="104">
        <f>IF(ISERR('[1]Общее+'!M86),"-",'[1]Общее+'!M86)</f>
        <v>14.403846153846153</v>
      </c>
      <c r="M245" s="104">
        <f>IF(ISERR('[1]Общее+'!N86),"-",'[1]Общее+'!N86)</f>
        <v>14.171974522292993</v>
      </c>
    </row>
    <row r="246" spans="1:13" s="89" customFormat="1" x14ac:dyDescent="0.25">
      <c r="A246" s="13"/>
      <c r="B246" s="70" t="s">
        <v>2308</v>
      </c>
      <c r="C246" s="13" t="s">
        <v>950</v>
      </c>
      <c r="D246" s="104"/>
      <c r="E246" s="104"/>
      <c r="F246" s="104"/>
      <c r="G246" s="104"/>
      <c r="H246" s="104">
        <f>IF(ISERR('[1]Общее+'!I87),"-",'[1]Общее+'!I87)</f>
        <v>19.946215139442231</v>
      </c>
      <c r="I246" s="104">
        <f>IF(ISERR('[1]Общее+'!J87),"-",'[1]Общее+'!J87)</f>
        <v>20.721789883268482</v>
      </c>
      <c r="J246" s="104">
        <f>IF(ISERR('[1]Общее+'!K87),"-",'[1]Общее+'!K87)</f>
        <v>20.782363977485929</v>
      </c>
      <c r="K246" s="104">
        <f>IF(ISERR('[1]Общее+'!L87),"-",'[1]Общее+'!L87)</f>
        <v>12.054054054054054</v>
      </c>
      <c r="L246" s="104">
        <f>IF(ISERR('[1]Общее+'!M87),"-",'[1]Общее+'!M87)</f>
        <v>12</v>
      </c>
      <c r="M246" s="104">
        <f>IF(ISERR('[1]Общее+'!N87),"-",'[1]Общее+'!N87)</f>
        <v>11.307692307692308</v>
      </c>
    </row>
    <row r="247" spans="1:13" s="89" customFormat="1" x14ac:dyDescent="0.25">
      <c r="A247" s="13"/>
      <c r="B247" s="70" t="s">
        <v>1303</v>
      </c>
      <c r="C247" s="13"/>
      <c r="D247" s="104"/>
      <c r="E247" s="104"/>
      <c r="F247" s="104"/>
      <c r="G247" s="104"/>
      <c r="H247" s="104"/>
      <c r="I247" s="104"/>
      <c r="J247" s="104"/>
      <c r="K247" s="104"/>
      <c r="L247" s="104"/>
      <c r="M247" s="104"/>
    </row>
    <row r="248" spans="1:13" s="89" customFormat="1" x14ac:dyDescent="0.25">
      <c r="A248" s="13"/>
      <c r="B248" s="70" t="s">
        <v>2306</v>
      </c>
      <c r="C248" s="13" t="s">
        <v>950</v>
      </c>
      <c r="D248" s="104"/>
      <c r="E248" s="104"/>
      <c r="F248" s="104"/>
      <c r="G248" s="104"/>
      <c r="H248" s="104">
        <f>IF(ISERR('[1]Общее+'!I89),"-",'[1]Общее+'!I89)</f>
        <v>24.723017292784736</v>
      </c>
      <c r="I248" s="104">
        <f>IF(ISERR('[1]Общее+'!J89),"-",'[1]Общее+'!J89)</f>
        <v>24.995055264688773</v>
      </c>
      <c r="J248" s="104">
        <f>IF(ISERR('[1]Общее+'!K89),"-",'[1]Общее+'!K89)</f>
        <v>25.198302687411598</v>
      </c>
      <c r="K248" s="104">
        <f>IF(ISERR('[1]Общее+'!L89),"-",'[1]Общее+'!L89)</f>
        <v>20.122448979591837</v>
      </c>
      <c r="L248" s="104">
        <f>IF(ISERR('[1]Общее+'!M89),"-",'[1]Общее+'!M89)</f>
        <v>19.156862745098039</v>
      </c>
      <c r="M248" s="104">
        <f>IF(ISERR('[1]Общее+'!N89),"-",'[1]Общее+'!N89)</f>
        <v>19.775510204081634</v>
      </c>
    </row>
    <row r="249" spans="1:13" s="89" customFormat="1" x14ac:dyDescent="0.25">
      <c r="A249" s="13"/>
      <c r="B249" s="70" t="s">
        <v>2307</v>
      </c>
      <c r="C249" s="13" t="s">
        <v>950</v>
      </c>
      <c r="D249" s="104"/>
      <c r="E249" s="104"/>
      <c r="F249" s="104"/>
      <c r="G249" s="104"/>
      <c r="H249" s="104">
        <f>IF(ISERR('[1]Общее+'!I90),"-",'[1]Общее+'!I90)</f>
        <v>24.190125477359519</v>
      </c>
      <c r="I249" s="104">
        <f>IF(ISERR('[1]Общее+'!J90),"-",'[1]Общее+'!J90)</f>
        <v>24.260042849491164</v>
      </c>
      <c r="J249" s="104">
        <f>IF(ISERR('[1]Общее+'!K90),"-",'[1]Общее+'!K90)</f>
        <v>24.520073956682513</v>
      </c>
      <c r="K249" s="104">
        <f>IF(ISERR('[1]Общее+'!L90),"-",'[1]Общее+'!L90)</f>
        <v>20.716666666666665</v>
      </c>
      <c r="L249" s="104">
        <f>IF(ISERR('[1]Общее+'!M90),"-",'[1]Общее+'!M90)</f>
        <v>20.508196721311474</v>
      </c>
      <c r="M249" s="104">
        <f>IF(ISERR('[1]Общее+'!N90),"-",'[1]Общее+'!N90)</f>
        <v>20.483870967741936</v>
      </c>
    </row>
    <row r="250" spans="1:13" s="89" customFormat="1" x14ac:dyDescent="0.25">
      <c r="A250" s="13"/>
      <c r="B250" s="70" t="s">
        <v>2308</v>
      </c>
      <c r="C250" s="13" t="s">
        <v>950</v>
      </c>
      <c r="D250" s="104"/>
      <c r="E250" s="104"/>
      <c r="F250" s="104"/>
      <c r="G250" s="104"/>
      <c r="H250" s="104">
        <f>IF(ISERR('[1]Общее+'!I91),"-",'[1]Общее+'!I91)</f>
        <v>22.655214723926381</v>
      </c>
      <c r="I250" s="104">
        <f>IF(ISERR('[1]Общее+'!J91),"-",'[1]Общее+'!J91)</f>
        <v>23.214201183431953</v>
      </c>
      <c r="J250" s="104">
        <f>IF(ISERR('[1]Общее+'!K91),"-",'[1]Общее+'!K91)</f>
        <v>23.277272727272727</v>
      </c>
      <c r="K250" s="104">
        <f>IF(ISERR('[1]Общее+'!L91),"-",'[1]Общее+'!L91)</f>
        <v>18.615384615384617</v>
      </c>
      <c r="L250" s="104">
        <f>IF(ISERR('[1]Общее+'!M91),"-",'[1]Общее+'!M91)</f>
        <v>17.642857142857142</v>
      </c>
      <c r="M250" s="104">
        <f>IF(ISERR('[1]Общее+'!N91),"-",'[1]Общее+'!N91)</f>
        <v>15.533333333333333</v>
      </c>
    </row>
    <row r="251" spans="1:13" s="89" customFormat="1" x14ac:dyDescent="0.25">
      <c r="A251" s="13"/>
      <c r="B251" s="70" t="s">
        <v>1304</v>
      </c>
      <c r="C251" s="13"/>
      <c r="D251" s="104"/>
      <c r="E251" s="104"/>
      <c r="F251" s="104"/>
      <c r="G251" s="104"/>
      <c r="H251" s="104"/>
      <c r="I251" s="104"/>
      <c r="J251" s="104"/>
      <c r="K251" s="104"/>
      <c r="L251" s="104"/>
      <c r="M251" s="104"/>
    </row>
    <row r="252" spans="1:13" s="89" customFormat="1" x14ac:dyDescent="0.25">
      <c r="A252" s="13"/>
      <c r="B252" s="70" t="s">
        <v>2306</v>
      </c>
      <c r="C252" s="13" t="s">
        <v>950</v>
      </c>
      <c r="D252" s="104"/>
      <c r="E252" s="104"/>
      <c r="F252" s="104"/>
      <c r="G252" s="104"/>
      <c r="H252" s="104">
        <f>IF(ISERR('[1]Общее+'!I93),"-",'[1]Общее+'!I93)</f>
        <v>13.551210428305401</v>
      </c>
      <c r="I252" s="104">
        <f>IF(ISERR('[1]Общее+'!J93),"-",'[1]Общее+'!J93)</f>
        <v>13.565055762081784</v>
      </c>
      <c r="J252" s="104">
        <f>IF(ISERR('[1]Общее+'!K93),"-",'[1]Общее+'!K93)</f>
        <v>13.621013133208255</v>
      </c>
      <c r="K252" s="104">
        <f>IF(ISERR('[1]Общее+'!L93),"-",'[1]Общее+'!L93)</f>
        <v>10.671232876712329</v>
      </c>
      <c r="L252" s="104">
        <f>IF(ISERR('[1]Общее+'!M93),"-",'[1]Общее+'!M93)</f>
        <v>10.535211267605634</v>
      </c>
      <c r="M252" s="104">
        <f>IF(ISERR('[1]Общее+'!N93),"-",'[1]Общее+'!N93)</f>
        <v>10.485294117647058</v>
      </c>
    </row>
    <row r="253" spans="1:13" s="89" customFormat="1" x14ac:dyDescent="0.25">
      <c r="A253" s="13"/>
      <c r="B253" s="70" t="s">
        <v>2307</v>
      </c>
      <c r="C253" s="13" t="s">
        <v>950</v>
      </c>
      <c r="D253" s="104"/>
      <c r="E253" s="104"/>
      <c r="F253" s="104"/>
      <c r="G253" s="104"/>
      <c r="H253" s="104">
        <f>IF(ISERR('[1]Общее+'!I94),"-",'[1]Общее+'!I94)</f>
        <v>13.31139646869984</v>
      </c>
      <c r="I253" s="104">
        <f>IF(ISERR('[1]Общее+'!J94),"-",'[1]Общее+'!J94)</f>
        <v>13.657894736842104</v>
      </c>
      <c r="J253" s="104">
        <f>IF(ISERR('[1]Общее+'!K94),"-",'[1]Общее+'!K94)</f>
        <v>13.546191247974068</v>
      </c>
      <c r="K253" s="104">
        <f>IF(ISERR('[1]Общее+'!L94),"-",'[1]Общее+'!L94)</f>
        <v>10.010204081632653</v>
      </c>
      <c r="L253" s="104">
        <f>IF(ISERR('[1]Общее+'!M94),"-",'[1]Общее+'!M94)</f>
        <v>10.48421052631579</v>
      </c>
      <c r="M253" s="104">
        <f>IF(ISERR('[1]Общее+'!N94),"-",'[1]Общее+'!N94)</f>
        <v>10.052631578947368</v>
      </c>
    </row>
    <row r="254" spans="1:13" s="89" customFormat="1" x14ac:dyDescent="0.25">
      <c r="A254" s="13"/>
      <c r="B254" s="70" t="s">
        <v>2308</v>
      </c>
      <c r="C254" s="13" t="s">
        <v>950</v>
      </c>
      <c r="D254" s="104"/>
      <c r="E254" s="104"/>
      <c r="F254" s="104"/>
      <c r="G254" s="104"/>
      <c r="H254" s="104">
        <f>IF(ISERR('[1]Общее+'!I95),"-",'[1]Общее+'!I95)</f>
        <v>8.2645502645502642</v>
      </c>
      <c r="I254" s="104">
        <f>IF(ISERR('[1]Общее+'!J95),"-",'[1]Общее+'!J95)</f>
        <v>9.2131147540983598</v>
      </c>
      <c r="J254" s="104">
        <f>IF(ISERR('[1]Общее+'!K95),"-",'[1]Общее+'!K95)</f>
        <v>8.978494623655914</v>
      </c>
      <c r="K254" s="104">
        <f>IF(ISERR('[1]Общее+'!L95),"-",'[1]Общее+'!L95)</f>
        <v>8.5</v>
      </c>
      <c r="L254" s="104">
        <f>IF(ISERR('[1]Общее+'!M95),"-",'[1]Общее+'!M95)</f>
        <v>8.5652173913043477</v>
      </c>
      <c r="M254" s="104">
        <f>IF(ISERR('[1]Общее+'!N95),"-",'[1]Общее+'!N95)</f>
        <v>8.6666666666666661</v>
      </c>
    </row>
    <row r="255" spans="1:13" s="89" customFormat="1" x14ac:dyDescent="0.25">
      <c r="A255" s="13"/>
      <c r="B255" s="70" t="s">
        <v>1302</v>
      </c>
      <c r="C255" s="13"/>
      <c r="D255" s="104"/>
      <c r="E255" s="104"/>
      <c r="F255" s="104"/>
      <c r="G255" s="104"/>
      <c r="H255" s="104"/>
      <c r="I255" s="104"/>
      <c r="J255" s="104"/>
      <c r="K255" s="104"/>
      <c r="L255" s="104"/>
      <c r="M255" s="104"/>
    </row>
    <row r="256" spans="1:13" s="89" customFormat="1" x14ac:dyDescent="0.25">
      <c r="A256" s="13"/>
      <c r="B256" s="70" t="s">
        <v>2305</v>
      </c>
      <c r="C256" s="13"/>
      <c r="D256" s="104"/>
      <c r="E256" s="104"/>
      <c r="F256" s="104"/>
      <c r="G256" s="104"/>
      <c r="H256" s="104"/>
      <c r="I256" s="104"/>
      <c r="J256" s="104"/>
      <c r="K256" s="104"/>
      <c r="L256" s="104"/>
      <c r="M256" s="104"/>
    </row>
    <row r="257" spans="1:13" s="89" customFormat="1" x14ac:dyDescent="0.25">
      <c r="A257" s="13"/>
      <c r="B257" s="70" t="s">
        <v>2306</v>
      </c>
      <c r="C257" s="13" t="s">
        <v>950</v>
      </c>
      <c r="D257" s="104"/>
      <c r="E257" s="104"/>
      <c r="F257" s="104"/>
      <c r="G257" s="104"/>
      <c r="H257" s="104">
        <f>IF(ISERR('[1]Общее+'!I132),"-",'[1]Общее+'!I132)</f>
        <v>20.19047619047619</v>
      </c>
      <c r="I257" s="104">
        <f>IF(ISERR('[1]Общее+'!J132),"-",'[1]Общее+'!J132)</f>
        <v>18.454545454545453</v>
      </c>
      <c r="J257" s="104">
        <f>IF(ISERR('[1]Общее+'!K132),"-",'[1]Общее+'!K132)</f>
        <v>19.600000000000001</v>
      </c>
      <c r="K257" s="104" t="str">
        <f>IF(ISERR('[1]Общее+'!L132),"-",'[1]Общее+'!L132)</f>
        <v>-</v>
      </c>
      <c r="L257" s="104" t="str">
        <f>IF(ISERR('[1]Общее+'!M132),"-",'[1]Общее+'!M132)</f>
        <v>-</v>
      </c>
      <c r="M257" s="104" t="str">
        <f>IF(ISERR('[1]Общее+'!N132),"-",'[1]Общее+'!N132)</f>
        <v>-</v>
      </c>
    </row>
    <row r="258" spans="1:13" s="89" customFormat="1" x14ac:dyDescent="0.25">
      <c r="A258" s="13"/>
      <c r="B258" s="70" t="s">
        <v>2307</v>
      </c>
      <c r="C258" s="13" t="s">
        <v>950</v>
      </c>
      <c r="D258" s="104"/>
      <c r="E258" s="104"/>
      <c r="F258" s="104"/>
      <c r="G258" s="104"/>
      <c r="H258" s="104">
        <f>IF(ISERR('[1]Общее+'!I133),"-",'[1]Общее+'!I133)</f>
        <v>17.652173913043477</v>
      </c>
      <c r="I258" s="104">
        <f>IF(ISERR('[1]Общее+'!J133),"-",'[1]Общее+'!J133)</f>
        <v>18.399999999999999</v>
      </c>
      <c r="J258" s="104">
        <f>IF(ISERR('[1]Общее+'!K133),"-",'[1]Общее+'!K133)</f>
        <v>18.239999999999998</v>
      </c>
      <c r="K258" s="104" t="str">
        <f>IF(ISERR('[1]Общее+'!L133),"-",'[1]Общее+'!L133)</f>
        <v>-</v>
      </c>
      <c r="L258" s="104" t="str">
        <f>IF(ISERR('[1]Общее+'!M133),"-",'[1]Общее+'!M133)</f>
        <v>-</v>
      </c>
      <c r="M258" s="104" t="str">
        <f>IF(ISERR('[1]Общее+'!N133),"-",'[1]Общее+'!N133)</f>
        <v>-</v>
      </c>
    </row>
    <row r="259" spans="1:13" s="89" customFormat="1" x14ac:dyDescent="0.25">
      <c r="A259" s="13"/>
      <c r="B259" s="70" t="s">
        <v>2308</v>
      </c>
      <c r="C259" s="13" t="s">
        <v>950</v>
      </c>
      <c r="D259" s="104"/>
      <c r="E259" s="104"/>
      <c r="F259" s="104"/>
      <c r="G259" s="104"/>
      <c r="H259" s="104">
        <f>IF(ISERR('[1]Общее+'!I134),"-",'[1]Общее+'!I134)</f>
        <v>13.6</v>
      </c>
      <c r="I259" s="104">
        <f>IF(ISERR('[1]Общее+'!J134),"-",'[1]Общее+'!J134)</f>
        <v>13</v>
      </c>
      <c r="J259" s="104">
        <f>IF(ISERR('[1]Общее+'!K134),"-",'[1]Общее+'!K134)</f>
        <v>14</v>
      </c>
      <c r="K259" s="104" t="str">
        <f>IF(ISERR('[1]Общее+'!L134),"-",'[1]Общее+'!L134)</f>
        <v>-</v>
      </c>
      <c r="L259" s="104" t="str">
        <f>IF(ISERR('[1]Общее+'!M134),"-",'[1]Общее+'!M134)</f>
        <v>-</v>
      </c>
      <c r="M259" s="104" t="str">
        <f>IF(ISERR('[1]Общее+'!N134),"-",'[1]Общее+'!N134)</f>
        <v>-</v>
      </c>
    </row>
    <row r="260" spans="1:13" s="89" customFormat="1" x14ac:dyDescent="0.25">
      <c r="A260" s="13"/>
      <c r="B260" s="70" t="s">
        <v>1303</v>
      </c>
      <c r="C260" s="13"/>
      <c r="D260" s="104"/>
      <c r="E260" s="104"/>
      <c r="F260" s="104"/>
      <c r="G260" s="104"/>
      <c r="H260" s="104"/>
      <c r="I260" s="104"/>
      <c r="J260" s="104"/>
      <c r="K260" s="104"/>
      <c r="L260" s="104"/>
      <c r="M260" s="104"/>
    </row>
    <row r="261" spans="1:13" s="89" customFormat="1" x14ac:dyDescent="0.25">
      <c r="A261" s="13"/>
      <c r="B261" s="70" t="s">
        <v>2306</v>
      </c>
      <c r="C261" s="13" t="s">
        <v>950</v>
      </c>
      <c r="D261" s="104"/>
      <c r="E261" s="104"/>
      <c r="F261" s="104"/>
      <c r="G261" s="104"/>
      <c r="H261" s="104">
        <f>IF(ISERR('[1]Общее+'!I132),"-",'[1]Общее+'!I132)</f>
        <v>20.19047619047619</v>
      </c>
      <c r="I261" s="104">
        <f>IF(ISERR('[1]Общее+'!J132),"-",'[1]Общее+'!J132)</f>
        <v>18.454545454545453</v>
      </c>
      <c r="J261" s="104">
        <f>IF(ISERR('[1]Общее+'!K132),"-",'[1]Общее+'!K132)</f>
        <v>19.600000000000001</v>
      </c>
      <c r="K261" s="104" t="str">
        <f>IF(ISERR('[1]Общее+'!L132),"-",'[1]Общее+'!L132)</f>
        <v>-</v>
      </c>
      <c r="L261" s="104" t="str">
        <f>IF(ISERR('[1]Общее+'!M132),"-",'[1]Общее+'!M132)</f>
        <v>-</v>
      </c>
      <c r="M261" s="104" t="str">
        <f>IF(ISERR('[1]Общее+'!N132),"-",'[1]Общее+'!N132)</f>
        <v>-</v>
      </c>
    </row>
    <row r="262" spans="1:13" s="89" customFormat="1" x14ac:dyDescent="0.25">
      <c r="A262" s="13"/>
      <c r="B262" s="70" t="s">
        <v>2307</v>
      </c>
      <c r="C262" s="13" t="s">
        <v>950</v>
      </c>
      <c r="D262" s="104"/>
      <c r="E262" s="104"/>
      <c r="F262" s="104"/>
      <c r="G262" s="104"/>
      <c r="H262" s="104">
        <f>IF(ISERR('[1]Общее+'!I133),"-",'[1]Общее+'!I133)</f>
        <v>17.652173913043477</v>
      </c>
      <c r="I262" s="104">
        <f>IF(ISERR('[1]Общее+'!J133),"-",'[1]Общее+'!J133)</f>
        <v>18.399999999999999</v>
      </c>
      <c r="J262" s="104">
        <f>IF(ISERR('[1]Общее+'!K133),"-",'[1]Общее+'!K133)</f>
        <v>18.239999999999998</v>
      </c>
      <c r="K262" s="104" t="str">
        <f>IF(ISERR('[1]Общее+'!L133),"-",'[1]Общее+'!L133)</f>
        <v>-</v>
      </c>
      <c r="L262" s="104" t="str">
        <f>IF(ISERR('[1]Общее+'!M133),"-",'[1]Общее+'!M133)</f>
        <v>-</v>
      </c>
      <c r="M262" s="104" t="str">
        <f>IF(ISERR('[1]Общее+'!N133),"-",'[1]Общее+'!N133)</f>
        <v>-</v>
      </c>
    </row>
    <row r="263" spans="1:13" s="89" customFormat="1" x14ac:dyDescent="0.25">
      <c r="A263" s="13"/>
      <c r="B263" s="70" t="s">
        <v>2308</v>
      </c>
      <c r="C263" s="13" t="s">
        <v>950</v>
      </c>
      <c r="D263" s="104"/>
      <c r="E263" s="104"/>
      <c r="F263" s="104"/>
      <c r="G263" s="104"/>
      <c r="H263" s="104">
        <f>IF(ISERR('[1]Общее+'!I134),"-",'[1]Общее+'!I134)</f>
        <v>13.6</v>
      </c>
      <c r="I263" s="104">
        <f>IF(ISERR('[1]Общее+'!J134),"-",'[1]Общее+'!J134)</f>
        <v>13</v>
      </c>
      <c r="J263" s="104">
        <f>IF(ISERR('[1]Общее+'!K134),"-",'[1]Общее+'!K134)</f>
        <v>14</v>
      </c>
      <c r="K263" s="104" t="str">
        <f>IF(ISERR('[1]Общее+'!L134),"-",'[1]Общее+'!L134)</f>
        <v>-</v>
      </c>
      <c r="L263" s="104" t="str">
        <f>IF(ISERR('[1]Общее+'!M134),"-",'[1]Общее+'!M134)</f>
        <v>-</v>
      </c>
      <c r="M263" s="104" t="str">
        <f>IF(ISERR('[1]Общее+'!N134),"-",'[1]Общее+'!N134)</f>
        <v>-</v>
      </c>
    </row>
    <row r="264" spans="1:13" s="89" customFormat="1" x14ac:dyDescent="0.25">
      <c r="A264" s="13"/>
      <c r="B264" s="70" t="s">
        <v>1304</v>
      </c>
      <c r="C264" s="13"/>
      <c r="D264" s="104"/>
      <c r="E264" s="104"/>
      <c r="F264" s="104"/>
      <c r="G264" s="104"/>
      <c r="H264" s="104"/>
      <c r="I264" s="104"/>
      <c r="J264" s="104"/>
      <c r="K264" s="104"/>
      <c r="L264" s="104"/>
      <c r="M264" s="104"/>
    </row>
    <row r="265" spans="1:13" s="89" customFormat="1" x14ac:dyDescent="0.25">
      <c r="A265" s="13"/>
      <c r="B265" s="70" t="s">
        <v>2306</v>
      </c>
      <c r="C265" s="13" t="s">
        <v>950</v>
      </c>
      <c r="D265" s="104"/>
      <c r="E265" s="104"/>
      <c r="F265" s="104"/>
      <c r="G265" s="104"/>
      <c r="H265" s="104" t="str">
        <f>IF(ISERR('[1]Общее+'!I136),"-",'[1]Общее+'!I136)</f>
        <v>-</v>
      </c>
      <c r="I265" s="104" t="str">
        <f>IF(ISERR('[1]Общее+'!J136),"-",'[1]Общее+'!J136)</f>
        <v>-</v>
      </c>
      <c r="J265" s="104" t="str">
        <f>IF(ISERR('[1]Общее+'!K136),"-",'[1]Общее+'!K136)</f>
        <v>-</v>
      </c>
      <c r="K265" s="104" t="str">
        <f>IF(ISERR('[1]Общее+'!L136),"-",'[1]Общее+'!L136)</f>
        <v>-</v>
      </c>
      <c r="L265" s="104" t="str">
        <f>IF(ISERR('[1]Общее+'!M136),"-",'[1]Общее+'!M136)</f>
        <v>-</v>
      </c>
      <c r="M265" s="104" t="str">
        <f>IF(ISERR('[1]Общее+'!N136),"-",'[1]Общее+'!N136)</f>
        <v>-</v>
      </c>
    </row>
    <row r="266" spans="1:13" s="89" customFormat="1" x14ac:dyDescent="0.25">
      <c r="A266" s="13"/>
      <c r="B266" s="70" t="s">
        <v>2307</v>
      </c>
      <c r="C266" s="13" t="s">
        <v>950</v>
      </c>
      <c r="D266" s="104"/>
      <c r="E266" s="104"/>
      <c r="F266" s="104"/>
      <c r="G266" s="104"/>
      <c r="H266" s="104" t="str">
        <f>IF(ISERR('[1]Общее+'!I137),"-",'[1]Общее+'!I137)</f>
        <v>-</v>
      </c>
      <c r="I266" s="104" t="str">
        <f>IF(ISERR('[1]Общее+'!J137),"-",'[1]Общее+'!J137)</f>
        <v>-</v>
      </c>
      <c r="J266" s="104" t="str">
        <f>IF(ISERR('[1]Общее+'!K137),"-",'[1]Общее+'!K137)</f>
        <v>-</v>
      </c>
      <c r="K266" s="104" t="str">
        <f>IF(ISERR('[1]Общее+'!L137),"-",'[1]Общее+'!L137)</f>
        <v>-</v>
      </c>
      <c r="L266" s="104" t="str">
        <f>IF(ISERR('[1]Общее+'!M137),"-",'[1]Общее+'!M137)</f>
        <v>-</v>
      </c>
      <c r="M266" s="104" t="str">
        <f>IF(ISERR('[1]Общее+'!N137),"-",'[1]Общее+'!N137)</f>
        <v>-</v>
      </c>
    </row>
    <row r="267" spans="1:13" s="89" customFormat="1" x14ac:dyDescent="0.25">
      <c r="A267" s="13"/>
      <c r="B267" s="70" t="s">
        <v>2308</v>
      </c>
      <c r="C267" s="13" t="s">
        <v>950</v>
      </c>
      <c r="D267" s="104"/>
      <c r="E267" s="104"/>
      <c r="F267" s="104"/>
      <c r="G267" s="104"/>
      <c r="H267" s="104" t="str">
        <f>IF(ISERR('[1]Общее+'!I138),"-",'[1]Общее+'!I138)</f>
        <v>-</v>
      </c>
      <c r="I267" s="104" t="str">
        <f>IF(ISERR('[1]Общее+'!J138),"-",'[1]Общее+'!J138)</f>
        <v>-</v>
      </c>
      <c r="J267" s="104" t="str">
        <f>IF(ISERR('[1]Общее+'!K138),"-",'[1]Общее+'!K138)</f>
        <v>-</v>
      </c>
      <c r="K267" s="104" t="str">
        <f>IF(ISERR('[1]Общее+'!L138),"-",'[1]Общее+'!L138)</f>
        <v>-</v>
      </c>
      <c r="L267" s="104" t="str">
        <f>IF(ISERR('[1]Общее+'!M138),"-",'[1]Общее+'!M138)</f>
        <v>-</v>
      </c>
      <c r="M267" s="104" t="str">
        <f>IF(ISERR('[1]Общее+'!N138),"-",'[1]Общее+'!N138)</f>
        <v>-</v>
      </c>
    </row>
    <row r="268" spans="1:13" s="89" customFormat="1" ht="45" x14ac:dyDescent="0.25">
      <c r="A268" s="13" t="s">
        <v>1656</v>
      </c>
      <c r="B268" s="70" t="s">
        <v>2512</v>
      </c>
      <c r="C268" s="13"/>
      <c r="D268" s="104"/>
      <c r="E268" s="104"/>
      <c r="F268" s="104"/>
      <c r="G268" s="104"/>
      <c r="H268" s="104"/>
      <c r="I268" s="104"/>
      <c r="J268" s="104"/>
      <c r="K268" s="104"/>
      <c r="L268" s="104"/>
      <c r="M268" s="104"/>
    </row>
    <row r="269" spans="1:13" s="89" customFormat="1" x14ac:dyDescent="0.25">
      <c r="A269" s="13"/>
      <c r="B269" s="70" t="s">
        <v>1301</v>
      </c>
      <c r="C269" s="13" t="s">
        <v>8</v>
      </c>
      <c r="D269" s="104"/>
      <c r="E269" s="104"/>
      <c r="F269" s="104"/>
      <c r="G269" s="104"/>
      <c r="H269" s="104">
        <f>IF(ISERR('[1]Общее+'!I158),"-",'[1]Общее+'!I158)</f>
        <v>91.353237689026756</v>
      </c>
      <c r="I269" s="104">
        <f>IF(ISERR('[1]Общее+'!J158),"-",'[1]Общее+'!J158)</f>
        <v>91.0826359832636</v>
      </c>
      <c r="J269" s="104">
        <f>IF(ISERR('[1]Общее+'!K158),"-",'[1]Общее+'!K158)</f>
        <v>91.916451919164516</v>
      </c>
      <c r="K269" s="104">
        <f>IF(ISERR('[1]Общее+'!L158),"-",'[1]Общее+'!L158)</f>
        <v>100</v>
      </c>
      <c r="L269" s="104">
        <f>IF(ISERR('[1]Общее+'!M158),"-",'[1]Общее+'!M158)</f>
        <v>100</v>
      </c>
      <c r="M269" s="104">
        <f>IF(ISERR('[1]Общее+'!N158),"-",'[1]Общее+'!N158)</f>
        <v>100</v>
      </c>
    </row>
    <row r="270" spans="1:13" s="89" customFormat="1" x14ac:dyDescent="0.25">
      <c r="A270" s="13"/>
      <c r="B270" s="70" t="s">
        <v>1303</v>
      </c>
      <c r="C270" s="13" t="s">
        <v>8</v>
      </c>
      <c r="D270" s="104"/>
      <c r="E270" s="104"/>
      <c r="F270" s="104"/>
      <c r="G270" s="104"/>
      <c r="H270" s="104">
        <f>IF(ISERR('[1]Общее+'!I159),"-",'[1]Общее+'!I159)</f>
        <v>89.609070908783224</v>
      </c>
      <c r="I270" s="104">
        <f>IF(ISERR('[1]Общее+'!J159),"-",'[1]Общее+'!J159)</f>
        <v>89.547826086956519</v>
      </c>
      <c r="J270" s="104">
        <f>IF(ISERR('[1]Общее+'!K159),"-",'[1]Общее+'!K159)</f>
        <v>89.95248988210453</v>
      </c>
      <c r="K270" s="104">
        <f>IF(ISERR('[1]Общее+'!L159),"-",'[1]Общее+'!L159)</f>
        <v>100</v>
      </c>
      <c r="L270" s="104">
        <f>IF(ISERR('[1]Общее+'!M159),"-",'[1]Общее+'!M159)</f>
        <v>100</v>
      </c>
      <c r="M270" s="104">
        <f>IF(ISERR('[1]Общее+'!N159),"-",'[1]Общее+'!N159)</f>
        <v>100</v>
      </c>
    </row>
    <row r="271" spans="1:13" s="89" customFormat="1" x14ac:dyDescent="0.25">
      <c r="A271" s="13"/>
      <c r="B271" s="70" t="s">
        <v>1304</v>
      </c>
      <c r="C271" s="13" t="s">
        <v>8</v>
      </c>
      <c r="D271" s="104"/>
      <c r="E271" s="104"/>
      <c r="F271" s="104"/>
      <c r="G271" s="104"/>
      <c r="H271" s="104">
        <f>IF(ISERR('[1]Общее+'!I160),"-",'[1]Общее+'!I160)</f>
        <v>96.991247264770237</v>
      </c>
      <c r="I271" s="104">
        <f>IF(ISERR('[1]Общее+'!J160),"-",'[1]Общее+'!J160)</f>
        <v>95.732349841938884</v>
      </c>
      <c r="J271" s="104">
        <f>IF(ISERR('[1]Общее+'!K160),"-",'[1]Общее+'!K160)</f>
        <v>98.520710059171606</v>
      </c>
      <c r="K271" s="104">
        <f>IF(ISERR('[1]Общее+'!L160),"-",'[1]Общее+'!L160)</f>
        <v>100</v>
      </c>
      <c r="L271" s="104">
        <f>IF(ISERR('[1]Общее+'!M160),"-",'[1]Общее+'!M160)</f>
        <v>100</v>
      </c>
      <c r="M271" s="104">
        <f>IF(ISERR('[1]Общее+'!N160),"-",'[1]Общее+'!N160)</f>
        <v>100</v>
      </c>
    </row>
    <row r="272" spans="1:13" s="89" customFormat="1" x14ac:dyDescent="0.25">
      <c r="A272" s="13"/>
      <c r="B272" s="70" t="s">
        <v>1302</v>
      </c>
      <c r="C272" s="13" t="s">
        <v>8</v>
      </c>
      <c r="D272" s="104"/>
      <c r="E272" s="104"/>
      <c r="F272" s="104"/>
      <c r="G272" s="104"/>
      <c r="H272" s="104" t="str">
        <f>IF(ISERR('[1]Общее+'!I161),"-",'[1]Общее+'!I161)</f>
        <v>-</v>
      </c>
      <c r="I272" s="104" t="str">
        <f>IF(ISERR('[1]Общее+'!J161),"-",'[1]Общее+'!J161)</f>
        <v>-</v>
      </c>
      <c r="J272" s="104" t="str">
        <f>IF(ISERR('[1]Общее+'!K161),"-",'[1]Общее+'!K161)</f>
        <v>-</v>
      </c>
      <c r="K272" s="104" t="str">
        <f>IF(ISERR('[1]Общее+'!L161),"-",'[1]Общее+'!L161)</f>
        <v>-</v>
      </c>
      <c r="L272" s="104" t="str">
        <f>IF(ISERR('[1]Общее+'!M161),"-",'[1]Общее+'!M161)</f>
        <v>-</v>
      </c>
      <c r="M272" s="104" t="str">
        <f>IF(ISERR('[1]Общее+'!N161),"-",'[1]Общее+'!N161)</f>
        <v>-</v>
      </c>
    </row>
    <row r="273" spans="1:14" s="89" customFormat="1" x14ac:dyDescent="0.25">
      <c r="A273" s="13"/>
      <c r="B273" s="70" t="s">
        <v>1303</v>
      </c>
      <c r="C273" s="13" t="s">
        <v>8</v>
      </c>
      <c r="D273" s="104"/>
      <c r="E273" s="104"/>
      <c r="F273" s="104"/>
      <c r="G273" s="104"/>
      <c r="H273" s="104" t="str">
        <f>IF(ISERR('[1]Общее+'!I162),"-",'[1]Общее+'!I162)</f>
        <v>-</v>
      </c>
      <c r="I273" s="104" t="str">
        <f>IF(ISERR('[1]Общее+'!J162),"-",'[1]Общее+'!J162)</f>
        <v>-</v>
      </c>
      <c r="J273" s="104" t="str">
        <f>IF(ISERR('[1]Общее+'!K162),"-",'[1]Общее+'!K162)</f>
        <v>-</v>
      </c>
      <c r="K273" s="104" t="str">
        <f>IF(ISERR('[1]Общее+'!L162),"-",'[1]Общее+'!L162)</f>
        <v>-</v>
      </c>
      <c r="L273" s="104" t="str">
        <f>IF(ISERR('[1]Общее+'!M162),"-",'[1]Общее+'!M162)</f>
        <v>-</v>
      </c>
      <c r="M273" s="104" t="str">
        <f>IF(ISERR('[1]Общее+'!N162),"-",'[1]Общее+'!N162)</f>
        <v>-</v>
      </c>
    </row>
    <row r="274" spans="1:14" s="89" customFormat="1" x14ac:dyDescent="0.25">
      <c r="A274" s="13"/>
      <c r="B274" s="70" t="s">
        <v>1304</v>
      </c>
      <c r="C274" s="13" t="s">
        <v>8</v>
      </c>
      <c r="D274" s="104"/>
      <c r="E274" s="104"/>
      <c r="F274" s="104"/>
      <c r="G274" s="104"/>
      <c r="H274" s="104" t="str">
        <f>IF(ISERR('[1]Общее+'!I163),"-",'[1]Общее+'!I163)</f>
        <v>-</v>
      </c>
      <c r="I274" s="104" t="str">
        <f>IF(ISERR('[1]Общее+'!J163),"-",'[1]Общее+'!J163)</f>
        <v>-</v>
      </c>
      <c r="J274" s="104" t="str">
        <f>IF(ISERR('[1]Общее+'!K163),"-",'[1]Общее+'!K163)</f>
        <v>-</v>
      </c>
      <c r="K274" s="104" t="str">
        <f>IF(ISERR('[1]Общее+'!L163),"-",'[1]Общее+'!L163)</f>
        <v>-</v>
      </c>
      <c r="L274" s="104" t="str">
        <f>IF(ISERR('[1]Общее+'!M163),"-",'[1]Общее+'!M163)</f>
        <v>-</v>
      </c>
      <c r="M274" s="104" t="str">
        <f>IF(ISERR('[1]Общее+'!N163),"-",'[1]Общее+'!N163)</f>
        <v>-</v>
      </c>
    </row>
    <row r="275" spans="1:14" s="89" customFormat="1" ht="90" x14ac:dyDescent="0.25">
      <c r="A275" s="13" t="s">
        <v>1657</v>
      </c>
      <c r="B275" s="70" t="s">
        <v>2513</v>
      </c>
      <c r="C275" s="13" t="s">
        <v>8</v>
      </c>
      <c r="D275" s="104" t="str">
        <f>IF(ISERR('[1]Общее+'!#REF!),"-",'[1]Общее+'!#REF!)</f>
        <v>-</v>
      </c>
      <c r="E275" s="104" t="str">
        <f>IF(ISERR('[1]Общее+'!#REF!),"-",'[1]Общее+'!#REF!)</f>
        <v>-</v>
      </c>
      <c r="F275" s="104" t="str">
        <f>IF(ISERR('[1]Общее+'!#REF!),"-",'[1]Общее+'!#REF!)</f>
        <v>-</v>
      </c>
      <c r="G275" s="104" t="str">
        <f>IF(ISERR('[1]Общее+'!#REF!),"-",'[1]Общее+'!#REF!)</f>
        <v>-</v>
      </c>
      <c r="H275" s="104" t="str">
        <f>IF(ISERR('[1]Общее+'!#REF!),"-",'[1]Общее+'!#REF!)</f>
        <v>-</v>
      </c>
      <c r="I275" s="104" t="str">
        <f>IF(ISERR('[1]Общее+'!#REF!),"-",'[1]Общее+'!#REF!)</f>
        <v>-</v>
      </c>
      <c r="J275" s="104" t="str">
        <f>IF(ISERR('[1]Общее+'!#REF!),"-",'[1]Общее+'!#REF!)</f>
        <v>-</v>
      </c>
      <c r="K275" s="104" t="str">
        <f>IF(ISERR('[1]Общее+'!#REF!),"-",'[1]Общее+'!#REF!)</f>
        <v>-</v>
      </c>
      <c r="L275" s="104" t="str">
        <f>IF(ISERR('[1]Общее+'!#REF!),"-",'[1]Общее+'!#REF!)</f>
        <v>-</v>
      </c>
      <c r="M275" s="104" t="str">
        <f>IF(ISERR('[1]Общее+'!#REF!),"-",'[1]Общее+'!#REF!)</f>
        <v>-</v>
      </c>
    </row>
    <row r="276" spans="1:14" s="89" customFormat="1" ht="60" x14ac:dyDescent="0.25">
      <c r="A276" s="99" t="s">
        <v>143</v>
      </c>
      <c r="B276" s="100" t="s">
        <v>2998</v>
      </c>
      <c r="C276" s="13"/>
      <c r="D276" s="90"/>
      <c r="E276" s="90"/>
      <c r="F276" s="90"/>
      <c r="G276" s="90"/>
      <c r="H276" s="90"/>
      <c r="I276" s="90"/>
      <c r="J276" s="90"/>
      <c r="K276" s="90"/>
      <c r="L276" s="90"/>
      <c r="M276" s="90"/>
    </row>
    <row r="277" spans="1:14" s="89" customFormat="1" ht="30" hidden="1" customHeight="1" x14ac:dyDescent="0.25">
      <c r="A277" s="13" t="s">
        <v>151</v>
      </c>
      <c r="B277" s="70" t="s">
        <v>144</v>
      </c>
      <c r="C277" s="13"/>
      <c r="D277" s="90"/>
      <c r="E277" s="90"/>
      <c r="F277" s="90"/>
      <c r="G277" s="90"/>
      <c r="H277" s="90"/>
      <c r="I277" s="90"/>
      <c r="J277" s="90"/>
      <c r="K277" s="90"/>
      <c r="L277" s="90"/>
      <c r="M277" s="90"/>
    </row>
    <row r="278" spans="1:14" s="89" customFormat="1" ht="15" hidden="1" customHeight="1" x14ac:dyDescent="0.25">
      <c r="A278" s="13"/>
      <c r="B278" s="70" t="s">
        <v>1301</v>
      </c>
      <c r="C278" s="13" t="s">
        <v>8</v>
      </c>
      <c r="D278" s="104">
        <f>IF(ISERR('[1]Общее+'!E183),"-",'[1]Общее+'!E183)</f>
        <v>25.376321881555064</v>
      </c>
      <c r="E278" s="104">
        <f>IF(ISERR('[1]Общее+'!F183),"-",'[1]Общее+'!F183)</f>
        <v>24.333633141103643</v>
      </c>
      <c r="F278" s="104">
        <f>IF(ISERR('[1]Общее+'!G183),"-",'[1]Общее+'!G183)</f>
        <v>24.956696566656355</v>
      </c>
      <c r="G278" s="104">
        <f>IF(ISERR('[1]Общее+'!H183),"-",'[1]Общее+'!H183)</f>
        <v>20.460849688500669</v>
      </c>
      <c r="H278" s="104">
        <f>IF(ISERR('[1]Общее+'!I183),"-",'[1]Общее+'!I183)</f>
        <v>20.197845090075621</v>
      </c>
      <c r="I278" s="104">
        <f>IF(ISERR('[1]Общее+'!J183),"-",'[1]Общее+'!J183)</f>
        <v>20.197845090075621</v>
      </c>
      <c r="J278" s="104">
        <f>IF(ISERR('[1]Общее+'!K183),"-",'[1]Общее+'!K183)</f>
        <v>20.197845090075621</v>
      </c>
      <c r="K278" s="104">
        <f>IF(ISERR('[1]Общее+'!L183),"-",'[1]Общее+'!L183)</f>
        <v>20.197845090075621</v>
      </c>
      <c r="L278" s="104">
        <f>IF(ISERR('[1]Общее+'!M183),"-",'[1]Общее+'!M183)</f>
        <v>20.197845090075621</v>
      </c>
      <c r="M278" s="104">
        <f>IF(ISERR('[1]Общее+'!N183),"-",'[1]Общее+'!N183)</f>
        <v>20.197845090075621</v>
      </c>
    </row>
    <row r="279" spans="1:14" s="89" customFormat="1" ht="15" hidden="1" customHeight="1" x14ac:dyDescent="0.25">
      <c r="A279" s="13"/>
      <c r="B279" s="70" t="s">
        <v>1303</v>
      </c>
      <c r="C279" s="13" t="s">
        <v>8</v>
      </c>
      <c r="D279" s="104">
        <f>IF(ISERR('[1]Общее+'!E184),"-",'[1]Общее+'!E184)</f>
        <v>26.770592304572887</v>
      </c>
      <c r="E279" s="104">
        <f>IF(ISERR('[1]Общее+'!F184),"-",'[1]Общее+'!F184)</f>
        <v>25.585816375617981</v>
      </c>
      <c r="F279" s="104">
        <f>IF(ISERR('[1]Общее+'!G184),"-",'[1]Общее+'!G184)</f>
        <v>26.236020358646218</v>
      </c>
      <c r="G279" s="104">
        <f>IF(ISERR('[1]Общее+'!H184),"-",'[1]Общее+'!H184)</f>
        <v>21.30996861862107</v>
      </c>
      <c r="H279" s="104">
        <f>IF(ISERR('[1]Общее+'!I184),"-",'[1]Общее+'!I184)</f>
        <v>21.072155455216109</v>
      </c>
      <c r="I279" s="104">
        <f>IF(ISERR('[1]Общее+'!J184),"-",'[1]Общее+'!J184)</f>
        <v>21.072155455216109</v>
      </c>
      <c r="J279" s="104">
        <f>IF(ISERR('[1]Общее+'!K184),"-",'[1]Общее+'!K184)</f>
        <v>21.072155455216109</v>
      </c>
      <c r="K279" s="104">
        <f>IF(ISERR('[1]Общее+'!L184),"-",'[1]Общее+'!L184)</f>
        <v>21.072155455216109</v>
      </c>
      <c r="L279" s="104">
        <f>IF(ISERR('[1]Общее+'!M184),"-",'[1]Общее+'!M184)</f>
        <v>21.072155455216109</v>
      </c>
      <c r="M279" s="104">
        <f>IF(ISERR('[1]Общее+'!N184),"-",'[1]Общее+'!N184)</f>
        <v>21.072155455216109</v>
      </c>
    </row>
    <row r="280" spans="1:14" s="89" customFormat="1" ht="15" hidden="1" customHeight="1" x14ac:dyDescent="0.25">
      <c r="A280" s="13"/>
      <c r="B280" s="70" t="s">
        <v>1304</v>
      </c>
      <c r="C280" s="13" t="s">
        <v>8</v>
      </c>
      <c r="D280" s="104">
        <f>IF(ISERR('[1]Общее+'!E185),"-",'[1]Общее+'!E185)</f>
        <v>11.062813762703563</v>
      </c>
      <c r="E280" s="104">
        <f>IF(ISERR('[1]Общее+'!F185),"-",'[1]Общее+'!F185)</f>
        <v>11.218357311965034</v>
      </c>
      <c r="F280" s="104">
        <f>IF(ISERR('[1]Общее+'!G185),"-",'[1]Общее+'!G185)</f>
        <v>11.427377968731351</v>
      </c>
      <c r="G280" s="104">
        <f>IF(ISERR('[1]Общее+'!H185),"-",'[1]Общее+'!H185)</f>
        <v>11.242324043457723</v>
      </c>
      <c r="H280" s="104">
        <f>IF(ISERR('[1]Общее+'!I185),"-",'[1]Общее+'!I185)</f>
        <v>10.60397290159605</v>
      </c>
      <c r="I280" s="104">
        <f>IF(ISERR('[1]Общее+'!J185),"-",'[1]Общее+'!J185)</f>
        <v>10.60397290159605</v>
      </c>
      <c r="J280" s="104">
        <f>IF(ISERR('[1]Общее+'!K185),"-",'[1]Общее+'!K185)</f>
        <v>10.60397290159605</v>
      </c>
      <c r="K280" s="104">
        <f>IF(ISERR('[1]Общее+'!L185),"-",'[1]Общее+'!L185)</f>
        <v>10.60397290159605</v>
      </c>
      <c r="L280" s="104">
        <f>IF(ISERR('[1]Общее+'!M185),"-",'[1]Общее+'!M185)</f>
        <v>10.60397290159605</v>
      </c>
      <c r="M280" s="104">
        <f>IF(ISERR('[1]Общее+'!N185),"-",'[1]Общее+'!N185)</f>
        <v>10.60397290159605</v>
      </c>
    </row>
    <row r="281" spans="1:14" s="89" customFormat="1" ht="15" hidden="1" customHeight="1" x14ac:dyDescent="0.25">
      <c r="A281" s="13"/>
      <c r="B281" s="70" t="s">
        <v>1302</v>
      </c>
      <c r="C281" s="13" t="s">
        <v>8</v>
      </c>
      <c r="D281" s="104">
        <f>IF(ISERR('[1]Общее+'!E201),"-",'[1]Общее+'!E201)</f>
        <v>5.6422569027611047</v>
      </c>
      <c r="E281" s="104">
        <f>IF(ISERR('[1]Общее+'!F201),"-",'[1]Общее+'!F201)</f>
        <v>6.2287655719139305</v>
      </c>
      <c r="F281" s="104">
        <f>IF(ISERR('[1]Общее+'!G201),"-",'[1]Общее+'!G201)</f>
        <v>5.2742616033755274</v>
      </c>
      <c r="G281" s="104">
        <f>IF(ISERR('[1]Общее+'!H201),"-",'[1]Общее+'!H201)</f>
        <v>6.1594202898550732</v>
      </c>
      <c r="H281" s="104">
        <f>IF(ISERR('[1]Общее+'!I201),"-",'[1]Общее+'!I201)</f>
        <v>6.4587973273942101</v>
      </c>
      <c r="I281" s="104">
        <f>IF(ISERR('[1]Общее+'!J201),"-",'[1]Общее+'!J201)</f>
        <v>6.4587973273942101</v>
      </c>
      <c r="J281" s="104">
        <f>IF(ISERR('[1]Общее+'!K201),"-",'[1]Общее+'!K201)</f>
        <v>6.4587973273942101</v>
      </c>
      <c r="K281" s="104">
        <f>IF(ISERR('[1]Общее+'!L201),"-",'[1]Общее+'!L201)</f>
        <v>6.4587973273942101</v>
      </c>
      <c r="L281" s="104">
        <f>IF(ISERR('[1]Общее+'!M201),"-",'[1]Общее+'!M201)</f>
        <v>6.4587973273942101</v>
      </c>
      <c r="M281" s="104">
        <f>IF(ISERR('[1]Общее+'!N201),"-",'[1]Общее+'!N201)</f>
        <v>6.4587973273942101</v>
      </c>
    </row>
    <row r="282" spans="1:14" s="89" customFormat="1" ht="15" hidden="1" customHeight="1" x14ac:dyDescent="0.25">
      <c r="A282" s="13"/>
      <c r="B282" s="70" t="s">
        <v>1303</v>
      </c>
      <c r="C282" s="13" t="s">
        <v>8</v>
      </c>
      <c r="D282" s="104">
        <f>IF(ISERR('[1]Общее+'!E202),"-",'[1]Общее+'!E202)</f>
        <v>5.6422569027611047</v>
      </c>
      <c r="E282" s="104">
        <f>IF(ISERR('[1]Общее+'!F202),"-",'[1]Общее+'!F202)</f>
        <v>6.2287655719139305</v>
      </c>
      <c r="F282" s="104">
        <f>IF(ISERR('[1]Общее+'!G202),"-",'[1]Общее+'!G202)</f>
        <v>5.2742616033755274</v>
      </c>
      <c r="G282" s="104">
        <f>IF(ISERR('[1]Общее+'!H202),"-",'[1]Общее+'!H202)</f>
        <v>6.1594202898550732</v>
      </c>
      <c r="H282" s="104">
        <f>IF(ISERR('[1]Общее+'!I202),"-",'[1]Общее+'!I202)</f>
        <v>6.4587973273942101</v>
      </c>
      <c r="I282" s="104">
        <f>IF(ISERR('[1]Общее+'!J202),"-",'[1]Общее+'!J202)</f>
        <v>6.4587973273942101</v>
      </c>
      <c r="J282" s="104">
        <f>IF(ISERR('[1]Общее+'!K202),"-",'[1]Общее+'!K202)</f>
        <v>6.4587973273942101</v>
      </c>
      <c r="K282" s="104">
        <f>IF(ISERR('[1]Общее+'!L202),"-",'[1]Общее+'!L202)</f>
        <v>6.4587973273942101</v>
      </c>
      <c r="L282" s="104">
        <f>IF(ISERR('[1]Общее+'!M202),"-",'[1]Общее+'!M202)</f>
        <v>6.4587973273942101</v>
      </c>
      <c r="M282" s="104">
        <f>IF(ISERR('[1]Общее+'!N202),"-",'[1]Общее+'!N202)</f>
        <v>6.4587973273942101</v>
      </c>
    </row>
    <row r="283" spans="1:14" s="89" customFormat="1" ht="15" hidden="1" customHeight="1" x14ac:dyDescent="0.25">
      <c r="A283" s="13"/>
      <c r="B283" s="70" t="s">
        <v>1304</v>
      </c>
      <c r="C283" s="13" t="s">
        <v>8</v>
      </c>
      <c r="D283" s="104" t="str">
        <f>IF(ISERR('[1]Общее+'!E203),"-",'[1]Общее+'!E203)</f>
        <v>-</v>
      </c>
      <c r="E283" s="104" t="str">
        <f>IF(ISERR('[1]Общее+'!F203),"-",'[1]Общее+'!F203)</f>
        <v>-</v>
      </c>
      <c r="F283" s="104" t="str">
        <f>IF(ISERR('[1]Общее+'!G203),"-",'[1]Общее+'!G203)</f>
        <v>-</v>
      </c>
      <c r="G283" s="104" t="str">
        <f>IF(ISERR('[1]Общее+'!H203),"-",'[1]Общее+'!H203)</f>
        <v>-</v>
      </c>
      <c r="H283" s="104" t="str">
        <f>IF(ISERR('[1]Общее+'!I203),"-",'[1]Общее+'!I203)</f>
        <v>-</v>
      </c>
      <c r="I283" s="104" t="str">
        <f>IF(ISERR('[1]Общее+'!J203),"-",'[1]Общее+'!J203)</f>
        <v>-</v>
      </c>
      <c r="J283" s="104" t="str">
        <f>IF(ISERR('[1]Общее+'!K203),"-",'[1]Общее+'!K203)</f>
        <v>-</v>
      </c>
      <c r="K283" s="104" t="str">
        <f>IF(ISERR('[1]Общее+'!L203),"-",'[1]Общее+'!L203)</f>
        <v>-</v>
      </c>
      <c r="L283" s="104" t="str">
        <f>IF(ISERR('[1]Общее+'!M203),"-",'[1]Общее+'!M203)</f>
        <v>-</v>
      </c>
      <c r="M283" s="104" t="str">
        <f>IF(ISERR('[1]Общее+'!N203),"-",'[1]Общее+'!N203)</f>
        <v>-</v>
      </c>
    </row>
    <row r="284" spans="1:14" s="89" customFormat="1" ht="45" x14ac:dyDescent="0.25">
      <c r="A284" s="13" t="s">
        <v>151</v>
      </c>
      <c r="B284" s="70" t="s">
        <v>1659</v>
      </c>
      <c r="C284" s="13"/>
      <c r="D284" s="104"/>
      <c r="E284" s="104"/>
      <c r="F284" s="104"/>
      <c r="G284" s="104"/>
      <c r="H284" s="104"/>
      <c r="I284" s="104"/>
      <c r="J284" s="104"/>
      <c r="K284" s="104"/>
      <c r="L284" s="104"/>
      <c r="M284" s="104"/>
    </row>
    <row r="285" spans="1:14" s="89" customFormat="1" x14ac:dyDescent="0.25">
      <c r="A285" s="13"/>
      <c r="B285" s="70" t="s">
        <v>1301</v>
      </c>
      <c r="C285" s="13" t="s">
        <v>8</v>
      </c>
      <c r="D285" s="104">
        <f>IF(ISERR('[1]Общее+'!E220),"-",'[1]Общее+'!E220)</f>
        <v>74.623678118444928</v>
      </c>
      <c r="E285" s="104">
        <f>IF(ISERR('[1]Общее+'!F220),"-",'[1]Общее+'!F220)</f>
        <v>75.666366858896353</v>
      </c>
      <c r="F285" s="104">
        <f>IF(ISERR('[1]Общее+'!G220),"-",'[1]Общее+'!G220)</f>
        <v>75.043303433343652</v>
      </c>
      <c r="G285" s="104">
        <f>IF(ISERR('[1]Общее+'!H220),"-",'[1]Общее+'!H220)</f>
        <v>79.539150311499327</v>
      </c>
      <c r="H285" s="104">
        <f>IF(ISERR('[1]Общее+'!I220),"-",'[1]Общее+'!I220)</f>
        <v>79.802154909924383</v>
      </c>
      <c r="I285" s="104">
        <f>IF(ISERR('[1]Общее+'!J220),"-",'[1]Общее+'!J220)</f>
        <v>79.324684507002942</v>
      </c>
      <c r="J285" s="104">
        <f>IF(ISERR('[1]Общее+'!K220),"-",'[1]Общее+'!K220)</f>
        <v>78.625350687369831</v>
      </c>
      <c r="K285" s="104">
        <f>IF(ISERR('[1]Общее+'!L220),"-",'[1]Общее+'!L220)</f>
        <v>93.735917079765656</v>
      </c>
      <c r="L285" s="104">
        <f>IF(ISERR('[1]Общее+'!M220),"-",'[1]Общее+'!M220)</f>
        <v>93.161231884057969</v>
      </c>
      <c r="M285" s="104">
        <f>IF(ISERR('[1]Общее+'!N220),"-",'[1]Общее+'!N220)</f>
        <v>94.75620975160993</v>
      </c>
      <c r="N285" s="441"/>
    </row>
    <row r="286" spans="1:14" s="89" customFormat="1" x14ac:dyDescent="0.25">
      <c r="A286" s="13"/>
      <c r="B286" s="70" t="s">
        <v>1303</v>
      </c>
      <c r="C286" s="13" t="s">
        <v>8</v>
      </c>
      <c r="D286" s="104">
        <f>IF(ISERR('[1]Общее+'!E221),"-",'[1]Общее+'!E221)</f>
        <v>73.229407695427113</v>
      </c>
      <c r="E286" s="104">
        <f>IF(ISERR('[1]Общее+'!F221),"-",'[1]Общее+'!F221)</f>
        <v>74.414183624382019</v>
      </c>
      <c r="F286" s="104">
        <f>IF(ISERR('[1]Общее+'!G221),"-",'[1]Общее+'!G221)</f>
        <v>73.763979641353785</v>
      </c>
      <c r="G286" s="104">
        <f>IF(ISERR('[1]Общее+'!H221),"-",'[1]Общее+'!H221)</f>
        <v>78.69003138137893</v>
      </c>
      <c r="H286" s="104">
        <f>IF(ISERR('[1]Общее+'!I221),"-",'[1]Общее+'!I221)</f>
        <v>78.927844544783881</v>
      </c>
      <c r="I286" s="104">
        <f>IF(ISERR('[1]Общее+'!J221),"-",'[1]Общее+'!J221)</f>
        <v>78.324711318737556</v>
      </c>
      <c r="J286" s="104">
        <f>IF(ISERR('[1]Общее+'!K221),"-",'[1]Общее+'!K221)</f>
        <v>77.679000952315505</v>
      </c>
      <c r="K286" s="104">
        <f>IF(ISERR('[1]Общее+'!L221),"-",'[1]Общее+'!L221)</f>
        <v>94.098625707356504</v>
      </c>
      <c r="L286" s="104">
        <f>IF(ISERR('[1]Общее+'!M221),"-",'[1]Общее+'!M221)</f>
        <v>92.404040404040401</v>
      </c>
      <c r="M286" s="104">
        <f>IF(ISERR('[1]Общее+'!N221),"-",'[1]Общее+'!N221)</f>
        <v>92.354368932038838</v>
      </c>
    </row>
    <row r="287" spans="1:14" s="89" customFormat="1" x14ac:dyDescent="0.25">
      <c r="A287" s="13"/>
      <c r="B287" s="70" t="s">
        <v>1304</v>
      </c>
      <c r="C287" s="13" t="s">
        <v>8</v>
      </c>
      <c r="D287" s="104">
        <f>IF(ISERR('[1]Общее+'!E222),"-",'[1]Общее+'!E222)</f>
        <v>88.93718623729643</v>
      </c>
      <c r="E287" s="104">
        <f>IF(ISERR('[1]Общее+'!F222),"-",'[1]Общее+'!F222)</f>
        <v>88.781642688034964</v>
      </c>
      <c r="F287" s="104">
        <f>IF(ISERR('[1]Общее+'!G222),"-",'[1]Общее+'!G222)</f>
        <v>88.572622031268651</v>
      </c>
      <c r="G287" s="104">
        <f>IF(ISERR('[1]Общее+'!H222),"-",'[1]Общее+'!H222)</f>
        <v>88.757675956542272</v>
      </c>
      <c r="H287" s="104">
        <f>IF(ISERR('[1]Общее+'!I222),"-",'[1]Общее+'!I222)</f>
        <v>89.396027098403948</v>
      </c>
      <c r="I287" s="104">
        <f>IF(ISERR('[1]Общее+'!J222),"-",'[1]Общее+'!J222)</f>
        <v>90.526734022022936</v>
      </c>
      <c r="J287" s="104">
        <f>IF(ISERR('[1]Общее+'!K222),"-",'[1]Общее+'!K222)</f>
        <v>89.55604694675965</v>
      </c>
      <c r="K287" s="104">
        <f>IF(ISERR('[1]Общее+'!L222),"-",'[1]Общее+'!L222)</f>
        <v>93.279022403258665</v>
      </c>
      <c r="L287" s="104">
        <f>IF(ISERR('[1]Общее+'!M222),"-",'[1]Общее+'!M222)</f>
        <v>94.126738794435866</v>
      </c>
      <c r="M287" s="104">
        <f>IF(ISERR('[1]Общее+'!N222),"-",'[1]Общее+'!N222)</f>
        <v>97.921108742004265</v>
      </c>
    </row>
    <row r="288" spans="1:14" s="89" customFormat="1" x14ac:dyDescent="0.25">
      <c r="A288" s="13"/>
      <c r="B288" s="70" t="s">
        <v>1302</v>
      </c>
      <c r="C288" s="13" t="s">
        <v>8</v>
      </c>
      <c r="D288" s="104">
        <f>IF(ISERR('[1]Общее+'!E244),"-",'[1]Общее+'!E244)</f>
        <v>94.357743097238895</v>
      </c>
      <c r="E288" s="104">
        <f>IF(ISERR('[1]Общее+'!F244),"-",'[1]Общее+'!F244)</f>
        <v>93.771234428086075</v>
      </c>
      <c r="F288" s="104">
        <f>IF(ISERR('[1]Общее+'!G244),"-",'[1]Общее+'!G244)</f>
        <v>94.725738396624479</v>
      </c>
      <c r="G288" s="104">
        <f>IF(ISERR('[1]Общее+'!H244),"-",'[1]Общее+'!H244)</f>
        <v>93.840579710144922</v>
      </c>
      <c r="H288" s="104">
        <f>IF(ISERR('[1]Общее+'!I244),"-",'[1]Общее+'!I244)</f>
        <v>93.541202672605792</v>
      </c>
      <c r="I288" s="104">
        <f>IF(ISERR('[1]Общее+'!J244),"-",'[1]Общее+'!J244)</f>
        <v>93.233082706766908</v>
      </c>
      <c r="J288" s="104">
        <f>IF(ISERR('[1]Общее+'!K244),"-",'[1]Общее+'!K244)</f>
        <v>93.669527896995703</v>
      </c>
      <c r="K288" s="104" t="str">
        <f>IF(ISERR('[1]Общее+'!L244),"-",'[1]Общее+'!L244)</f>
        <v>-</v>
      </c>
      <c r="L288" s="104" t="str">
        <f>IF(ISERR('[1]Общее+'!M244),"-",'[1]Общее+'!M244)</f>
        <v>-</v>
      </c>
      <c r="M288" s="104" t="str">
        <f>IF(ISERR('[1]Общее+'!N244),"-",'[1]Общее+'!N244)</f>
        <v>-</v>
      </c>
    </row>
    <row r="289" spans="1:13" s="89" customFormat="1" x14ac:dyDescent="0.25">
      <c r="A289" s="13"/>
      <c r="B289" s="70" t="s">
        <v>1303</v>
      </c>
      <c r="C289" s="13" t="s">
        <v>8</v>
      </c>
      <c r="D289" s="104">
        <f>IF(ISERR('[1]Общее+'!E245),"-",'[1]Общее+'!E245)</f>
        <v>94.357743097238895</v>
      </c>
      <c r="E289" s="104">
        <f>IF(ISERR('[1]Общее+'!F245),"-",'[1]Общее+'!F245)</f>
        <v>93.771234428086075</v>
      </c>
      <c r="F289" s="104">
        <f>IF(ISERR('[1]Общее+'!G245),"-",'[1]Общее+'!G245)</f>
        <v>94.725738396624479</v>
      </c>
      <c r="G289" s="104">
        <f>IF(ISERR('[1]Общее+'!H245),"-",'[1]Общее+'!H245)</f>
        <v>93.840579710144922</v>
      </c>
      <c r="H289" s="104">
        <f>IF(ISERR('[1]Общее+'!I245),"-",'[1]Общее+'!I245)</f>
        <v>93.541202672605792</v>
      </c>
      <c r="I289" s="104">
        <f>IF(ISERR('[1]Общее+'!J245),"-",'[1]Общее+'!J245)</f>
        <v>93.233082706766908</v>
      </c>
      <c r="J289" s="104">
        <f>IF(ISERR('[1]Общее+'!K245),"-",'[1]Общее+'!K245)</f>
        <v>93.669527896995703</v>
      </c>
      <c r="K289" s="104" t="str">
        <f>IF(ISERR('[1]Общее+'!L245),"-",'[1]Общее+'!L245)</f>
        <v>-</v>
      </c>
      <c r="L289" s="104" t="str">
        <f>IF(ISERR('[1]Общее+'!M245),"-",'[1]Общее+'!M245)</f>
        <v>-</v>
      </c>
      <c r="M289" s="104" t="str">
        <f>IF(ISERR('[1]Общее+'!N245),"-",'[1]Общее+'!N245)</f>
        <v>-</v>
      </c>
    </row>
    <row r="290" spans="1:13" s="89" customFormat="1" x14ac:dyDescent="0.25">
      <c r="A290" s="13"/>
      <c r="B290" s="70" t="s">
        <v>1304</v>
      </c>
      <c r="C290" s="13" t="s">
        <v>8</v>
      </c>
      <c r="D290" s="104" t="str">
        <f>IF(ISERR('[1]Общее+'!E246),"-",'[1]Общее+'!E246)</f>
        <v>-</v>
      </c>
      <c r="E290" s="104" t="str">
        <f>IF(ISERR('[1]Общее+'!F246),"-",'[1]Общее+'!F246)</f>
        <v>-</v>
      </c>
      <c r="F290" s="104" t="str">
        <f>IF(ISERR('[1]Общее+'!G246),"-",'[1]Общее+'!G246)</f>
        <v>-</v>
      </c>
      <c r="G290" s="104" t="str">
        <f>IF(ISERR('[1]Общее+'!H246),"-",'[1]Общее+'!H246)</f>
        <v>-</v>
      </c>
      <c r="H290" s="104" t="str">
        <f>IF(ISERR('[1]Общее+'!I246),"-",'[1]Общее+'!I246)</f>
        <v>-</v>
      </c>
      <c r="I290" s="104" t="str">
        <f>IF(ISERR('[1]Общее+'!J246),"-",'[1]Общее+'!J246)</f>
        <v>-</v>
      </c>
      <c r="J290" s="104" t="str">
        <f>IF(ISERR('[1]Общее+'!K246),"-",'[1]Общее+'!K246)</f>
        <v>-</v>
      </c>
      <c r="K290" s="104" t="str">
        <f>IF(ISERR('[1]Общее+'!L246),"-",'[1]Общее+'!L246)</f>
        <v>-</v>
      </c>
      <c r="L290" s="104" t="str">
        <f>IF(ISERR('[1]Общее+'!M246),"-",'[1]Общее+'!M246)</f>
        <v>-</v>
      </c>
      <c r="M290" s="104" t="str">
        <f>IF(ISERR('[1]Общее+'!N246),"-",'[1]Общее+'!N246)</f>
        <v>-</v>
      </c>
    </row>
    <row r="291" spans="1:13" s="89" customFormat="1" ht="60" x14ac:dyDescent="0.25">
      <c r="A291" s="13" t="s">
        <v>152</v>
      </c>
      <c r="B291" s="70" t="s">
        <v>1660</v>
      </c>
      <c r="C291" s="13"/>
      <c r="D291" s="90"/>
      <c r="E291" s="90"/>
      <c r="F291" s="90"/>
      <c r="G291" s="90"/>
      <c r="H291" s="90"/>
      <c r="I291" s="90"/>
      <c r="J291" s="90"/>
      <c r="K291" s="90"/>
      <c r="L291" s="90"/>
      <c r="M291" s="90"/>
    </row>
    <row r="292" spans="1:13" s="89" customFormat="1" x14ac:dyDescent="0.25">
      <c r="A292" s="13"/>
      <c r="B292" s="70" t="s">
        <v>1296</v>
      </c>
      <c r="C292" s="13" t="s">
        <v>8</v>
      </c>
      <c r="D292" s="104">
        <f>IF(ISERR('[1]Общее+'!E266),"-",'[1]Общее+'!E266)</f>
        <v>11.90581560283688</v>
      </c>
      <c r="E292" s="104">
        <f>IF(ISERR('[1]Общее+'!F266),"-",'[1]Общее+'!F266)</f>
        <v>10.240198931273477</v>
      </c>
      <c r="F292" s="104">
        <f>IF(ISERR('[1]Общее+'!G266),"-",'[1]Общее+'!G266)</f>
        <v>15.46035673780802</v>
      </c>
      <c r="G292" s="104">
        <f>IF(ISERR('[1]Общее+'!H266),"-",'[1]Общее+'!H266)</f>
        <v>9.3648757586051303</v>
      </c>
      <c r="H292" s="104">
        <f>IF(ISERR('[1]Общее+'!I266),"-",'[1]Общее+'!I266)</f>
        <v>11.589795491370545</v>
      </c>
      <c r="I292" s="104">
        <f>IF(ISERR('[1]Общее+'!J266),"-",'[1]Общее+'!J266)</f>
        <v>11.961254272383034</v>
      </c>
      <c r="J292" s="104">
        <f>IF(ISERR('[1]Общее+'!K266),"-",'[1]Общее+'!K266)</f>
        <v>11.813659974923185</v>
      </c>
      <c r="K292" s="104" t="str">
        <f>IF(ISERR('[1]Общее+'!L266),"-",'[1]Общее+'!L266)</f>
        <v>-</v>
      </c>
      <c r="L292" s="104" t="str">
        <f>IF(ISERR('[1]Общее+'!M266),"-",'[1]Общее+'!M266)</f>
        <v>-</v>
      </c>
      <c r="M292" s="104" t="str">
        <f>IF(ISERR('[1]Общее+'!N266),"-",'[1]Общее+'!N266)</f>
        <v>-</v>
      </c>
    </row>
    <row r="293" spans="1:13" s="89" customFormat="1" x14ac:dyDescent="0.25">
      <c r="A293" s="13"/>
      <c r="B293" s="70" t="s">
        <v>1303</v>
      </c>
      <c r="C293" s="13" t="s">
        <v>8</v>
      </c>
      <c r="D293" s="104"/>
      <c r="E293" s="104"/>
      <c r="F293" s="104"/>
      <c r="G293" s="104">
        <f>IF(ISERR('[1]Общее+'!H267),"-",'[1]Общее+'!H267)</f>
        <v>10.209895634148641</v>
      </c>
      <c r="H293" s="104">
        <f>IF(ISERR('[1]Общее+'!I267),"-",'[1]Общее+'!I267)</f>
        <v>12.643787987366299</v>
      </c>
      <c r="I293" s="104">
        <f>IF(ISERR('[1]Общее+'!J267),"-",'[1]Общее+'!J267)</f>
        <v>13.016036448814642</v>
      </c>
      <c r="J293" s="104">
        <f>IF(ISERR('[1]Общее+'!K267),"-",'[1]Общее+'!K267)</f>
        <v>12.825271392081735</v>
      </c>
      <c r="K293" s="104" t="str">
        <f>IF(ISERR('[1]Общее+'!L267),"-",'[1]Общее+'!L267)</f>
        <v>-</v>
      </c>
      <c r="L293" s="104" t="str">
        <f>IF(ISERR('[1]Общее+'!M267),"-",'[1]Общее+'!M267)</f>
        <v>-</v>
      </c>
      <c r="M293" s="104" t="str">
        <f>IF(ISERR('[1]Общее+'!N267),"-",'[1]Общее+'!N267)</f>
        <v>-</v>
      </c>
    </row>
    <row r="294" spans="1:13" s="89" customFormat="1" x14ac:dyDescent="0.25">
      <c r="A294" s="13"/>
      <c r="B294" s="70" t="s">
        <v>1304</v>
      </c>
      <c r="C294" s="13" t="s">
        <v>8</v>
      </c>
      <c r="D294" s="104"/>
      <c r="E294" s="104"/>
      <c r="F294" s="104"/>
      <c r="G294" s="104">
        <f>IF(ISERR('[1]Общее+'!H268),"-",'[1]Общее+'!H268)</f>
        <v>0.29737123825383605</v>
      </c>
      <c r="H294" s="104">
        <f>IF(ISERR('[1]Общее+'!I268),"-",'[1]Общее+'!I268)</f>
        <v>0</v>
      </c>
      <c r="I294" s="104">
        <f>IF(ISERR('[1]Общее+'!J268),"-",'[1]Общее+'!J268)</f>
        <v>0.1099028227672374</v>
      </c>
      <c r="J294" s="104">
        <f>IF(ISERR('[1]Общее+'!K268),"-",'[1]Общее+'!K268)</f>
        <v>8.1004455245038479E-2</v>
      </c>
      <c r="K294" s="104" t="str">
        <f>IF(ISERR('[1]Общее+'!L268),"-",'[1]Общее+'!L268)</f>
        <v>-</v>
      </c>
      <c r="L294" s="104" t="str">
        <f>IF(ISERR('[1]Общее+'!M268),"-",'[1]Общее+'!M268)</f>
        <v>-</v>
      </c>
      <c r="M294" s="104" t="str">
        <f>IF(ISERR('[1]Общее+'!N268),"-",'[1]Общее+'!N268)</f>
        <v>-</v>
      </c>
    </row>
    <row r="295" spans="1:13" s="89" customFormat="1" x14ac:dyDescent="0.25">
      <c r="A295" s="13"/>
      <c r="B295" s="70" t="s">
        <v>1297</v>
      </c>
      <c r="C295" s="13" t="s">
        <v>8</v>
      </c>
      <c r="D295" s="104">
        <f>IF(ISERR('[1]Общее+'!E269),"-",'[1]Общее+'!E269)</f>
        <v>88.235294117647058</v>
      </c>
      <c r="E295" s="104">
        <f>IF(ISERR('[1]Общее+'!F269),"-",'[1]Общее+'!F269)</f>
        <v>72.819932049830129</v>
      </c>
      <c r="F295" s="104">
        <f>IF(ISERR('[1]Общее+'!G269),"-",'[1]Общее+'!G269)</f>
        <v>83.649789029535867</v>
      </c>
      <c r="G295" s="104">
        <f>IF(ISERR('[1]Общее+'!H269),"-",'[1]Общее+'!H269)</f>
        <v>56.400966183574873</v>
      </c>
      <c r="H295" s="104">
        <f>IF(ISERR('[1]Общее+'!I269),"-",'[1]Общее+'!I269)</f>
        <v>69.265033407572389</v>
      </c>
      <c r="I295" s="104">
        <f>IF(ISERR('[1]Общее+'!J269),"-",'[1]Общее+'!J269)</f>
        <v>94.629430719656284</v>
      </c>
      <c r="J295" s="104">
        <f>IF(ISERR('[1]Общее+'!K269),"-",'[1]Общее+'!K269)</f>
        <v>93.991416309012877</v>
      </c>
      <c r="K295" s="104" t="str">
        <f>IF(ISERR('[1]Общее+'!L269),"-",'[1]Общее+'!L269)</f>
        <v>-</v>
      </c>
      <c r="L295" s="104" t="str">
        <f>IF(ISERR('[1]Общее+'!M269),"-",'[1]Общее+'!M269)</f>
        <v>-</v>
      </c>
      <c r="M295" s="104" t="str">
        <f>IF(ISERR('[1]Общее+'!N269),"-",'[1]Общее+'!N269)</f>
        <v>-</v>
      </c>
    </row>
    <row r="296" spans="1:13" s="89" customFormat="1" x14ac:dyDescent="0.25">
      <c r="A296" s="13"/>
      <c r="B296" s="70" t="s">
        <v>1303</v>
      </c>
      <c r="C296" s="13" t="s">
        <v>8</v>
      </c>
      <c r="D296" s="104"/>
      <c r="E296" s="104"/>
      <c r="F296" s="104"/>
      <c r="G296" s="104">
        <f>IF(ISERR('[1]Общее+'!H270),"-",'[1]Общее+'!H270)</f>
        <v>56.400966183574873</v>
      </c>
      <c r="H296" s="104">
        <f>IF(ISERR('[1]Общее+'!I270),"-",'[1]Общее+'!I270)</f>
        <v>69.265033407572389</v>
      </c>
      <c r="I296" s="104">
        <f>IF(ISERR('[1]Общее+'!J270),"-",'[1]Общее+'!J270)</f>
        <v>94.629430719656284</v>
      </c>
      <c r="J296" s="104">
        <f>IF(ISERR('[1]Общее+'!K270),"-",'[1]Общее+'!K270)</f>
        <v>93.991416309012877</v>
      </c>
      <c r="K296" s="104" t="str">
        <f>IF(ISERR('[1]Общее+'!L270),"-",'[1]Общее+'!L270)</f>
        <v>-</v>
      </c>
      <c r="L296" s="104" t="str">
        <f>IF(ISERR('[1]Общее+'!M270),"-",'[1]Общее+'!M270)</f>
        <v>-</v>
      </c>
      <c r="M296" s="104" t="str">
        <f>IF(ISERR('[1]Общее+'!N270),"-",'[1]Общее+'!N270)</f>
        <v>-</v>
      </c>
    </row>
    <row r="297" spans="1:13" s="89" customFormat="1" x14ac:dyDescent="0.25">
      <c r="A297" s="13"/>
      <c r="B297" s="70" t="s">
        <v>1304</v>
      </c>
      <c r="C297" s="13" t="s">
        <v>8</v>
      </c>
      <c r="D297" s="104"/>
      <c r="E297" s="104"/>
      <c r="F297" s="104"/>
      <c r="G297" s="104" t="str">
        <f>IF(ISERR('[1]Общее+'!H271),"-",'[1]Общее+'!H271)</f>
        <v>-</v>
      </c>
      <c r="H297" s="104" t="str">
        <f>IF(ISERR('[1]Общее+'!I271),"-",'[1]Общее+'!I271)</f>
        <v>-</v>
      </c>
      <c r="I297" s="104" t="str">
        <f>IF(ISERR('[1]Общее+'!J271),"-",'[1]Общее+'!J271)</f>
        <v>-</v>
      </c>
      <c r="J297" s="104" t="str">
        <f>IF(ISERR('[1]Общее+'!K271),"-",'[1]Общее+'!K271)</f>
        <v>-</v>
      </c>
      <c r="K297" s="104" t="str">
        <f>IF(ISERR('[1]Общее+'!L271),"-",'[1]Общее+'!L271)</f>
        <v>-</v>
      </c>
      <c r="L297" s="104" t="str">
        <f>IF(ISERR('[1]Общее+'!M271),"-",'[1]Общее+'!M271)</f>
        <v>-</v>
      </c>
      <c r="M297" s="104" t="str">
        <f>IF(ISERR('[1]Общее+'!N271),"-",'[1]Общее+'!N271)</f>
        <v>-</v>
      </c>
    </row>
    <row r="298" spans="1:13" s="89" customFormat="1" ht="45" x14ac:dyDescent="0.25">
      <c r="A298" s="13" t="s">
        <v>1661</v>
      </c>
      <c r="B298" s="70" t="s">
        <v>2514</v>
      </c>
      <c r="C298" s="13"/>
      <c r="D298" s="104"/>
      <c r="E298" s="104"/>
      <c r="F298" s="104"/>
      <c r="G298" s="104"/>
      <c r="H298" s="104"/>
      <c r="I298" s="104"/>
      <c r="J298" s="104"/>
      <c r="K298" s="104"/>
      <c r="L298" s="104"/>
      <c r="M298" s="104"/>
    </row>
    <row r="299" spans="1:13" s="89" customFormat="1" x14ac:dyDescent="0.25">
      <c r="A299" s="13"/>
      <c r="B299" s="70" t="s">
        <v>1296</v>
      </c>
      <c r="C299" s="13" t="s">
        <v>8</v>
      </c>
      <c r="D299" s="104"/>
      <c r="E299" s="104"/>
      <c r="F299" s="104"/>
      <c r="G299" s="104"/>
      <c r="H299" s="104">
        <f>IF(ISERR('[1]Общее+'!I285),"-",'[1]Общее+'!I285)</f>
        <v>42.296932760515539</v>
      </c>
      <c r="I299" s="104">
        <f>IF(ISERR('[1]Общее+'!J285),"-",'[1]Общее+'!J285)</f>
        <v>42.238707859892948</v>
      </c>
      <c r="J299" s="104">
        <f>IF(ISERR('[1]Общее+'!K285),"-",'[1]Общее+'!K285)</f>
        <v>40.677200902934537</v>
      </c>
      <c r="K299" s="104">
        <f>IF(ISERR('[1]Общее+'!L285),"-",'[1]Общее+'!L285)</f>
        <v>34.529147982062781</v>
      </c>
      <c r="L299" s="104">
        <f>IF(ISERR('[1]Общее+'!M285),"-",'[1]Общее+'!M285)</f>
        <v>31.981981981981981</v>
      </c>
      <c r="M299" s="104">
        <f>IF(ISERR('[1]Общее+'!N285),"-",'[1]Общее+'!N285)</f>
        <v>39.455782312925166</v>
      </c>
    </row>
    <row r="300" spans="1:13" s="89" customFormat="1" x14ac:dyDescent="0.25">
      <c r="A300" s="13"/>
      <c r="B300" s="70" t="s">
        <v>1303</v>
      </c>
      <c r="C300" s="13" t="s">
        <v>8</v>
      </c>
      <c r="D300" s="104"/>
      <c r="E300" s="104"/>
      <c r="F300" s="104"/>
      <c r="G300" s="104"/>
      <c r="H300" s="104">
        <f>IF(ISERR('[1]Общее+'!I286),"-",'[1]Общее+'!I286)</f>
        <v>44.690073688773296</v>
      </c>
      <c r="I300" s="104">
        <f>IF(ISERR('[1]Общее+'!J286),"-",'[1]Общее+'!J286)</f>
        <v>44.533958800734247</v>
      </c>
      <c r="J300" s="104">
        <f>IF(ISERR('[1]Общее+'!K286),"-",'[1]Общее+'!K286)</f>
        <v>42.705078125</v>
      </c>
      <c r="K300" s="104">
        <f>IF(ISERR('[1]Общее+'!L286),"-",'[1]Общее+'!L286)</f>
        <v>36.363636363636367</v>
      </c>
      <c r="L300" s="104">
        <f>IF(ISERR('[1]Общее+'!M286),"-",'[1]Общее+'!M286)</f>
        <v>25.101214574898783</v>
      </c>
      <c r="M300" s="104">
        <f>IF(ISERR('[1]Общее+'!N286),"-",'[1]Общее+'!N286)</f>
        <v>48.497854077253216</v>
      </c>
    </row>
    <row r="301" spans="1:13" s="89" customFormat="1" x14ac:dyDescent="0.25">
      <c r="A301" s="13"/>
      <c r="B301" s="70" t="s">
        <v>1304</v>
      </c>
      <c r="C301" s="13" t="s">
        <v>8</v>
      </c>
      <c r="D301" s="104"/>
      <c r="E301" s="104"/>
      <c r="F301" s="104"/>
      <c r="G301" s="104"/>
      <c r="H301" s="104">
        <f>IF(ISERR('[1]Общее+'!I287),"-",'[1]Общее+'!I287)</f>
        <v>14.020486555697822</v>
      </c>
      <c r="I301" s="104">
        <f>IF(ISERR('[1]Общее+'!J287),"-",'[1]Общее+'!J287)</f>
        <v>15.539739027283511</v>
      </c>
      <c r="J301" s="104">
        <f>IF(ISERR('[1]Общее+'!K287),"-",'[1]Общее+'!K287)</f>
        <v>15.808383233532936</v>
      </c>
      <c r="K301" s="104">
        <f>IF(ISERR('[1]Общее+'!L287),"-",'[1]Общее+'!L287)</f>
        <v>32.352941176470587</v>
      </c>
      <c r="L301" s="104">
        <f>IF(ISERR('[1]Общее+'!M287),"-",'[1]Общее+'!M287)</f>
        <v>40.609137055837564</v>
      </c>
      <c r="M301" s="104">
        <f>IF(ISERR('[1]Общее+'!N287),"-",'[1]Общее+'!N287)</f>
        <v>29.326923076923077</v>
      </c>
    </row>
    <row r="302" spans="1:13" s="89" customFormat="1" x14ac:dyDescent="0.25">
      <c r="A302" s="13"/>
      <c r="B302" s="70" t="s">
        <v>1297</v>
      </c>
      <c r="C302" s="13" t="s">
        <v>8</v>
      </c>
      <c r="D302" s="104"/>
      <c r="E302" s="104"/>
      <c r="F302" s="104"/>
      <c r="G302" s="104"/>
      <c r="H302" s="104">
        <f>IF(ISERR('[1]Общее+'!I294),"-",'[1]Общее+'!I294)</f>
        <v>47.058823529411761</v>
      </c>
      <c r="I302" s="104">
        <f>IF(ISERR('[1]Общее+'!J294),"-",'[1]Общее+'!J294)</f>
        <v>78.461538461538467</v>
      </c>
      <c r="J302" s="104">
        <f>IF(ISERR('[1]Общее+'!K294),"-",'[1]Общее+'!K294)</f>
        <v>0</v>
      </c>
      <c r="K302" s="104" t="str">
        <f>IF(ISERR('[1]Общее+'!L294),"-",'[1]Общее+'!L294)</f>
        <v>-</v>
      </c>
      <c r="L302" s="104" t="str">
        <f>IF(ISERR('[1]Общее+'!M294),"-",'[1]Общее+'!M294)</f>
        <v>-</v>
      </c>
      <c r="M302" s="104" t="str">
        <f>IF(ISERR('[1]Общее+'!N294),"-",'[1]Общее+'!N294)</f>
        <v>-</v>
      </c>
    </row>
    <row r="303" spans="1:13" s="89" customFormat="1" x14ac:dyDescent="0.25">
      <c r="A303" s="13"/>
      <c r="B303" s="70" t="s">
        <v>1303</v>
      </c>
      <c r="C303" s="13" t="s">
        <v>8</v>
      </c>
      <c r="D303" s="104"/>
      <c r="E303" s="104"/>
      <c r="F303" s="104"/>
      <c r="G303" s="104"/>
      <c r="H303" s="104">
        <f>IF(ISERR('[1]Общее+'!I295),"-",'[1]Общее+'!I295)</f>
        <v>47.058823529411761</v>
      </c>
      <c r="I303" s="104">
        <f>IF(ISERR('[1]Общее+'!J295),"-",'[1]Общее+'!J295)</f>
        <v>78.461538461538467</v>
      </c>
      <c r="J303" s="104">
        <f>IF(ISERR('[1]Общее+'!K295),"-",'[1]Общее+'!K295)</f>
        <v>0</v>
      </c>
      <c r="K303" s="104" t="str">
        <f>IF(ISERR('[1]Общее+'!L295),"-",'[1]Общее+'!L295)</f>
        <v>-</v>
      </c>
      <c r="L303" s="104" t="str">
        <f>IF(ISERR('[1]Общее+'!M295),"-",'[1]Общее+'!M295)</f>
        <v>-</v>
      </c>
      <c r="M303" s="104" t="str">
        <f>IF(ISERR('[1]Общее+'!N295),"-",'[1]Общее+'!N295)</f>
        <v>-</v>
      </c>
    </row>
    <row r="304" spans="1:13" s="89" customFormat="1" x14ac:dyDescent="0.25">
      <c r="A304" s="13"/>
      <c r="B304" s="70" t="s">
        <v>1304</v>
      </c>
      <c r="C304" s="13" t="s">
        <v>8</v>
      </c>
      <c r="D304" s="104"/>
      <c r="E304" s="104"/>
      <c r="F304" s="104"/>
      <c r="G304" s="104"/>
      <c r="H304" s="104" t="str">
        <f>IF(ISERR('[1]Общее+'!I296),"-",'[1]Общее+'!I296)</f>
        <v>-</v>
      </c>
      <c r="I304" s="104" t="str">
        <f>IF(ISERR('[1]Общее+'!J296),"-",'[1]Общее+'!J296)</f>
        <v>-</v>
      </c>
      <c r="J304" s="104" t="str">
        <f>IF(ISERR('[1]Общее+'!K296),"-",'[1]Общее+'!K296)</f>
        <v>-</v>
      </c>
      <c r="K304" s="104" t="str">
        <f>IF(ISERR('[1]Общее+'!L296),"-",'[1]Общее+'!L296)</f>
        <v>-</v>
      </c>
      <c r="L304" s="104" t="str">
        <f>IF(ISERR('[1]Общее+'!M296),"-",'[1]Общее+'!M296)</f>
        <v>-</v>
      </c>
      <c r="M304" s="104" t="str">
        <f>IF(ISERR('[1]Общее+'!N296),"-",'[1]Общее+'!N296)</f>
        <v>-</v>
      </c>
    </row>
    <row r="305" spans="1:13" s="89" customFormat="1" ht="75" x14ac:dyDescent="0.25">
      <c r="A305" s="13" t="s">
        <v>1663</v>
      </c>
      <c r="B305" s="70" t="s">
        <v>2516</v>
      </c>
      <c r="C305" s="13"/>
      <c r="D305" s="104"/>
      <c r="E305" s="104"/>
      <c r="F305" s="104"/>
      <c r="G305" s="104"/>
      <c r="H305" s="104"/>
      <c r="I305" s="104"/>
      <c r="J305" s="104"/>
      <c r="K305" s="104"/>
      <c r="L305" s="104"/>
      <c r="M305" s="104"/>
    </row>
    <row r="306" spans="1:13" s="89" customFormat="1" x14ac:dyDescent="0.25">
      <c r="A306" s="13"/>
      <c r="B306" s="70" t="s">
        <v>1296</v>
      </c>
      <c r="C306" s="13" t="s">
        <v>8</v>
      </c>
      <c r="D306" s="104"/>
      <c r="E306" s="104"/>
      <c r="F306" s="104"/>
      <c r="G306" s="104"/>
      <c r="H306" s="104">
        <f>IF(ISERR('[1]Общее+'!I304),"-",'[1]Общее+'!I304)</f>
        <v>0.17831930391960488</v>
      </c>
      <c r="I306" s="104">
        <f>IF(ISERR('[1]Общее+'!J304),"-",'[1]Общее+'!J304)</f>
        <v>21.145456147102053</v>
      </c>
      <c r="J306" s="104">
        <f>IF(ISERR('[1]Общее+'!K304),"-",'[1]Общее+'!K304)</f>
        <v>27.875932823217337</v>
      </c>
      <c r="K306" s="104">
        <f>IF(ISERR('[1]Общее+'!L304),"-",'[1]Общее+'!L304)</f>
        <v>0</v>
      </c>
      <c r="L306" s="104">
        <f>IF(ISERR('[1]Общее+'!M304),"-",'[1]Общее+'!M304)</f>
        <v>0</v>
      </c>
      <c r="M306" s="104">
        <f>IF(ISERR('[1]Общее+'!N304),"-",'[1]Общее+'!N304)</f>
        <v>0</v>
      </c>
    </row>
    <row r="307" spans="1:13" s="89" customFormat="1" hidden="1" x14ac:dyDescent="0.25">
      <c r="A307" s="13"/>
      <c r="B307" s="70" t="s">
        <v>1303</v>
      </c>
      <c r="C307" s="13" t="s">
        <v>8</v>
      </c>
      <c r="D307" s="104"/>
      <c r="E307" s="104"/>
      <c r="F307" s="104"/>
      <c r="G307" s="104"/>
      <c r="H307" s="104">
        <f>IF(ISERR('[1]Общее+'!I305),"-",'[1]Общее+'!I305)</f>
        <v>7.6766018242591272E-2</v>
      </c>
      <c r="I307" s="104">
        <f>IF(ISERR('[1]Общее+'!J305),"-",'[1]Общее+'!J305)</f>
        <v>19.575183528390099</v>
      </c>
      <c r="J307" s="104">
        <f>IF(ISERR('[1]Общее+'!K305),"-",'[1]Общее+'!K305)</f>
        <v>26.983761992592846</v>
      </c>
      <c r="K307" s="104">
        <f>IF(ISERR('[1]Общее+'!L305),"-",'[1]Общее+'!L305)</f>
        <v>0</v>
      </c>
      <c r="L307" s="104">
        <f>IF(ISERR('[1]Общее+'!M305),"-",'[1]Общее+'!M305)</f>
        <v>0</v>
      </c>
      <c r="M307" s="104">
        <f>IF(ISERR('[1]Общее+'!N305),"-",'[1]Общее+'!N305)</f>
        <v>0</v>
      </c>
    </row>
    <row r="308" spans="1:13" s="89" customFormat="1" hidden="1" x14ac:dyDescent="0.25">
      <c r="A308" s="13"/>
      <c r="B308" s="70" t="s">
        <v>1304</v>
      </c>
      <c r="C308" s="13" t="s">
        <v>8</v>
      </c>
      <c r="D308" s="104"/>
      <c r="E308" s="104"/>
      <c r="F308" s="104"/>
      <c r="G308" s="104"/>
      <c r="H308" s="104">
        <f>IF(ISERR('[1]Общее+'!I306),"-",'[1]Общее+'!I306)</f>
        <v>1.2919443470127441</v>
      </c>
      <c r="I308" s="104">
        <f>IF(ISERR('[1]Общее+'!J306),"-",'[1]Общее+'!J306)</f>
        <v>38.791489361702126</v>
      </c>
      <c r="J308" s="104">
        <f>IF(ISERR('[1]Общее+'!K306),"-",'[1]Общее+'!K306)</f>
        <v>38.211289956925867</v>
      </c>
      <c r="K308" s="104">
        <f>IF(ISERR('[1]Общее+'!L306),"-",'[1]Общее+'!L306)</f>
        <v>0</v>
      </c>
      <c r="L308" s="104">
        <f>IF(ISERR('[1]Общее+'!M306),"-",'[1]Общее+'!M306)</f>
        <v>0</v>
      </c>
      <c r="M308" s="104">
        <f>IF(ISERR('[1]Общее+'!N306),"-",'[1]Общее+'!N306)</f>
        <v>0</v>
      </c>
    </row>
    <row r="309" spans="1:13" s="89" customFormat="1" x14ac:dyDescent="0.25">
      <c r="A309" s="13"/>
      <c r="B309" s="70" t="s">
        <v>1297</v>
      </c>
      <c r="C309" s="13" t="s">
        <v>8</v>
      </c>
      <c r="D309" s="104"/>
      <c r="E309" s="104"/>
      <c r="F309" s="104"/>
      <c r="G309" s="104"/>
      <c r="H309" s="104">
        <f>IF(ISERR('[1]Общее+'!I313),"-",'[1]Общее+'!I313)</f>
        <v>0</v>
      </c>
      <c r="I309" s="104">
        <f>IF(ISERR('[1]Общее+'!J313),"-",'[1]Общее+'!J313)</f>
        <v>0</v>
      </c>
      <c r="J309" s="104">
        <f>IF(ISERR('[1]Общее+'!K313),"-",'[1]Общее+'!K313)</f>
        <v>18.562231759656651</v>
      </c>
      <c r="K309" s="104" t="str">
        <f>IF(ISERR('[1]Общее+'!L313),"-",'[1]Общее+'!L313)</f>
        <v>-</v>
      </c>
      <c r="L309" s="104" t="str">
        <f>IF(ISERR('[1]Общее+'!M313),"-",'[1]Общее+'!M313)</f>
        <v>-</v>
      </c>
      <c r="M309" s="104" t="str">
        <f>IF(ISERR('[1]Общее+'!N313),"-",'[1]Общее+'!N313)</f>
        <v>-</v>
      </c>
    </row>
    <row r="310" spans="1:13" s="89" customFormat="1" hidden="1" x14ac:dyDescent="0.25">
      <c r="A310" s="13"/>
      <c r="B310" s="70" t="s">
        <v>1303</v>
      </c>
      <c r="C310" s="13" t="s">
        <v>8</v>
      </c>
      <c r="D310" s="104"/>
      <c r="E310" s="104"/>
      <c r="F310" s="104"/>
      <c r="G310" s="104"/>
      <c r="H310" s="104">
        <f>IF(ISERR('[1]Общее+'!I314),"-",'[1]Общее+'!I314)</f>
        <v>0</v>
      </c>
      <c r="I310" s="104">
        <f>IF(ISERR('[1]Общее+'!J314),"-",'[1]Общее+'!J314)</f>
        <v>0</v>
      </c>
      <c r="J310" s="104">
        <f>IF(ISERR('[1]Общее+'!K314),"-",'[1]Общее+'!K314)</f>
        <v>18.562231759656651</v>
      </c>
      <c r="K310" s="104" t="str">
        <f>IF(ISERR('[1]Общее+'!L314),"-",'[1]Общее+'!L314)</f>
        <v>-</v>
      </c>
      <c r="L310" s="104" t="str">
        <f>IF(ISERR('[1]Общее+'!M314),"-",'[1]Общее+'!M314)</f>
        <v>-</v>
      </c>
      <c r="M310" s="104" t="str">
        <f>IF(ISERR('[1]Общее+'!N314),"-",'[1]Общее+'!N314)</f>
        <v>-</v>
      </c>
    </row>
    <row r="311" spans="1:13" s="89" customFormat="1" hidden="1" x14ac:dyDescent="0.25">
      <c r="A311" s="13"/>
      <c r="B311" s="70" t="s">
        <v>1304</v>
      </c>
      <c r="C311" s="13" t="s">
        <v>8</v>
      </c>
      <c r="D311" s="104"/>
      <c r="E311" s="104"/>
      <c r="F311" s="104"/>
      <c r="G311" s="104"/>
      <c r="H311" s="104" t="str">
        <f>IF(ISERR('[1]Общее+'!I315),"-",'[1]Общее+'!I315)</f>
        <v>-</v>
      </c>
      <c r="I311" s="104" t="str">
        <f>IF(ISERR('[1]Общее+'!J315),"-",'[1]Общее+'!J315)</f>
        <v>-</v>
      </c>
      <c r="J311" s="104" t="str">
        <f>IF(ISERR('[1]Общее+'!K315),"-",'[1]Общее+'!K315)</f>
        <v>-</v>
      </c>
      <c r="K311" s="104" t="str">
        <f>IF(ISERR('[1]Общее+'!L315),"-",'[1]Общее+'!L315)</f>
        <v>-</v>
      </c>
      <c r="L311" s="104" t="str">
        <f>IF(ISERR('[1]Общее+'!M315),"-",'[1]Общее+'!M315)</f>
        <v>-</v>
      </c>
      <c r="M311" s="104" t="str">
        <f>IF(ISERR('[1]Общее+'!N315),"-",'[1]Общее+'!N315)</f>
        <v>-</v>
      </c>
    </row>
    <row r="312" spans="1:13" s="89" customFormat="1" ht="45" hidden="1" x14ac:dyDescent="0.25">
      <c r="A312" s="13" t="s">
        <v>1665</v>
      </c>
      <c r="B312" s="70" t="s">
        <v>1666</v>
      </c>
      <c r="C312" s="13" t="s">
        <v>8</v>
      </c>
      <c r="D312" s="104"/>
      <c r="E312" s="104"/>
      <c r="F312" s="104"/>
      <c r="G312" s="104"/>
      <c r="H312" s="104"/>
      <c r="I312" s="104"/>
      <c r="J312" s="104"/>
      <c r="K312" s="104"/>
      <c r="L312" s="104"/>
      <c r="M312" s="104"/>
    </row>
    <row r="313" spans="1:13" s="89" customFormat="1" ht="60" x14ac:dyDescent="0.25">
      <c r="A313" s="99" t="s">
        <v>160</v>
      </c>
      <c r="B313" s="100" t="s">
        <v>155</v>
      </c>
      <c r="C313" s="87"/>
      <c r="D313" s="90"/>
      <c r="E313" s="90"/>
      <c r="F313" s="90"/>
      <c r="G313" s="90"/>
      <c r="H313" s="90"/>
      <c r="I313" s="90"/>
      <c r="J313" s="90"/>
      <c r="K313" s="90"/>
      <c r="L313" s="90"/>
      <c r="M313" s="90"/>
    </row>
    <row r="314" spans="1:13" s="89" customFormat="1" ht="60" x14ac:dyDescent="0.25">
      <c r="A314" s="13" t="s">
        <v>161</v>
      </c>
      <c r="B314" s="70" t="s">
        <v>2515</v>
      </c>
      <c r="C314" s="13"/>
      <c r="D314" s="90"/>
      <c r="E314" s="90"/>
      <c r="F314" s="90"/>
      <c r="G314" s="90"/>
      <c r="H314" s="90"/>
      <c r="I314" s="90"/>
      <c r="J314" s="90"/>
      <c r="K314" s="90"/>
      <c r="L314" s="90"/>
      <c r="M314" s="90"/>
    </row>
    <row r="315" spans="1:13" s="89" customFormat="1" x14ac:dyDescent="0.25">
      <c r="A315" s="13"/>
      <c r="B315" s="70" t="s">
        <v>1301</v>
      </c>
      <c r="C315" s="13" t="s">
        <v>950</v>
      </c>
      <c r="D315" s="104">
        <f>IF(ISERR('[1]Общее+'!E325),"-",'[1]Общее+'!E325)</f>
        <v>11.887467700258398</v>
      </c>
      <c r="E315" s="104">
        <f>IF(ISERR('[1]Общее+'!F325),"-",'[1]Общее+'!F325)</f>
        <v>12.091223132036847</v>
      </c>
      <c r="F315" s="104">
        <f>IF(ISERR('[1]Общее+'!G325),"-",'[1]Общее+'!G325)</f>
        <v>12.229998108568186</v>
      </c>
      <c r="G315" s="104">
        <f>IF(ISERR('[1]Общее+'!H325),"-",'[1]Общее+'!H325)</f>
        <v>12.36590923086397</v>
      </c>
      <c r="H315" s="104">
        <f>IF(ISERR('[1]Общее+'!I325),"-",'[1]Общее+'!I325)</f>
        <v>11.278729141449075</v>
      </c>
      <c r="I315" s="104">
        <f>IF(ISERR('[1]Общее+'!J325),"-",'[1]Общее+'!J325)</f>
        <v>12.030975084589357</v>
      </c>
      <c r="J315" s="104">
        <f>IF(ISERR('[1]Общее+'!K325),"-",'[1]Общее+'!K325)</f>
        <v>12.793028360191764</v>
      </c>
      <c r="K315" s="104">
        <f>IF(ISERR('[1]Общее+'!L325),"-",'[1]Общее+'!L325)</f>
        <v>8.2033271719038812</v>
      </c>
      <c r="L315" s="104">
        <f>IF(ISERR('[1]Общее+'!M325),"-",'[1]Общее+'!M325)</f>
        <v>8.117647058823529</v>
      </c>
      <c r="M315" s="104">
        <f>IF(ISERR('[1]Общее+'!N325),"-",'[1]Общее+'!N325)</f>
        <v>8.0221402214022142</v>
      </c>
    </row>
    <row r="316" spans="1:13" s="89" customFormat="1" x14ac:dyDescent="0.25">
      <c r="A316" s="13"/>
      <c r="B316" s="70" t="s">
        <v>1303</v>
      </c>
      <c r="C316" s="13" t="s">
        <v>950</v>
      </c>
      <c r="D316" s="104">
        <f>IF(ISERR('[1]Общее+'!E326),"-",'[1]Общее+'!E326)</f>
        <v>12.980647159002942</v>
      </c>
      <c r="E316" s="104">
        <f>IF(ISERR('[1]Общее+'!F326),"-",'[1]Общее+'!F326)</f>
        <v>13.195946462715105</v>
      </c>
      <c r="F316" s="104">
        <f>IF(ISERR('[1]Общее+'!G326),"-",'[1]Общее+'!G326)</f>
        <v>13.356093149446078</v>
      </c>
      <c r="G316" s="104">
        <f>IF(ISERR('[1]Общее+'!H326),"-",'[1]Общее+'!H326)</f>
        <v>13.405803441236513</v>
      </c>
      <c r="H316" s="104">
        <f>IF(ISERR('[1]Общее+'!I326),"-",'[1]Общее+'!I326)</f>
        <v>12.181766369066571</v>
      </c>
      <c r="I316" s="104">
        <f>IF(ISERR('[1]Общее+'!J326),"-",'[1]Общее+'!J326)</f>
        <v>12.918720033490539</v>
      </c>
      <c r="J316" s="104">
        <f>IF(ISERR('[1]Общее+'!K326),"-",'[1]Общее+'!K326)</f>
        <v>13.912578487578488</v>
      </c>
      <c r="K316" s="104">
        <f>IF(ISERR('[1]Общее+'!L326),"-",'[1]Общее+'!L326)</f>
        <v>4.5730129390018481</v>
      </c>
      <c r="L316" s="104">
        <f>IF(ISERR('[1]Общее+'!M326),"-",'[1]Общее+'!M326)</f>
        <v>4.5496323529411766</v>
      </c>
      <c r="M316" s="104">
        <f>IF(ISERR('[1]Общее+'!N326),"-",'[1]Общее+'!N326)</f>
        <v>4.560885608856089</v>
      </c>
    </row>
    <row r="317" spans="1:13" s="89" customFormat="1" x14ac:dyDescent="0.25">
      <c r="A317" s="13"/>
      <c r="B317" s="70" t="s">
        <v>1304</v>
      </c>
      <c r="C317" s="13" t="s">
        <v>950</v>
      </c>
      <c r="D317" s="104">
        <f>IF(ISERR('[1]Общее+'!E327),"-",'[1]Общее+'!E327)</f>
        <v>6.3754879000780642</v>
      </c>
      <c r="E317" s="104">
        <f>IF(ISERR('[1]Общее+'!F327),"-",'[1]Общее+'!F327)</f>
        <v>6.4423152131403993</v>
      </c>
      <c r="F317" s="104">
        <f>IF(ISERR('[1]Общее+'!G327),"-",'[1]Общее+'!G327)</f>
        <v>6.4652777777777777</v>
      </c>
      <c r="G317" s="104">
        <f>IF(ISERR('[1]Общее+'!H327),"-",'[1]Общее+'!H327)</f>
        <v>6.7126436781609193</v>
      </c>
      <c r="H317" s="104">
        <f>IF(ISERR('[1]Общее+'!I327),"-",'[1]Общее+'!I327)</f>
        <v>6.2181500249803729</v>
      </c>
      <c r="I317" s="104">
        <f>IF(ISERR('[1]Общее+'!J327),"-",'[1]Общее+'!J327)</f>
        <v>6.7961698680860918</v>
      </c>
      <c r="J317" s="104">
        <f>IF(ISERR('[1]Общее+'!K327),"-",'[1]Общее+'!K327)</f>
        <v>6.6285606914693718</v>
      </c>
      <c r="K317" s="104" t="str">
        <f>IF(ISERR('[1]Общее+'!L327),"-",'[1]Общее+'!L327)</f>
        <v>-</v>
      </c>
      <c r="L317" s="104" t="str">
        <f>IF(ISERR('[1]Общее+'!M327),"-",'[1]Общее+'!M327)</f>
        <v>-</v>
      </c>
      <c r="M317" s="104" t="str">
        <f>IF(ISERR('[1]Общее+'!N327),"-",'[1]Общее+'!N327)</f>
        <v>-</v>
      </c>
    </row>
    <row r="318" spans="1:13" s="89" customFormat="1" x14ac:dyDescent="0.25">
      <c r="A318" s="13"/>
      <c r="B318" s="70" t="s">
        <v>1302</v>
      </c>
      <c r="C318" s="13" t="s">
        <v>950</v>
      </c>
      <c r="D318" s="104">
        <f>IF(ISERR('[1]Общее+'!E345),"-",'[1]Общее+'!E345)</f>
        <v>8.956989247311828</v>
      </c>
      <c r="E318" s="104">
        <f>IF(ISERR('[1]Общее+'!F345),"-",'[1]Общее+'!F345)</f>
        <v>9.5978260869565215</v>
      </c>
      <c r="F318" s="104">
        <f>IF(ISERR('[1]Общее+'!G345),"-",'[1]Общее+'!G345)</f>
        <v>9.875</v>
      </c>
      <c r="G318" s="104">
        <f>IF(ISERR('[1]Общее+'!H345),"-",'[1]Общее+'!H345)</f>
        <v>11.828571428571429</v>
      </c>
      <c r="H318" s="104">
        <f>IF(ISERR('[1]Общее+'!I345),"-",'[1]Общее+'!I345)</f>
        <v>10.369515011547344</v>
      </c>
      <c r="I318" s="104">
        <f>IF(ISERR('[1]Общее+'!J345),"-",'[1]Общее+'!J345)</f>
        <v>10.603644646924828</v>
      </c>
      <c r="J318" s="104">
        <f>IF(ISERR('[1]Общее+'!K345),"-",'[1]Общее+'!K345)</f>
        <v>11.029585798816568</v>
      </c>
      <c r="K318" s="104" t="str">
        <f>IF(ISERR('[1]Общее+'!L345),"-",'[1]Общее+'!L345)</f>
        <v>-</v>
      </c>
      <c r="L318" s="104" t="str">
        <f>IF(ISERR('[1]Общее+'!M345),"-",'[1]Общее+'!M345)</f>
        <v>-</v>
      </c>
      <c r="M318" s="104" t="str">
        <f>IF(ISERR('[1]Общее+'!N345),"-",'[1]Общее+'!N345)</f>
        <v>-</v>
      </c>
    </row>
    <row r="319" spans="1:13" s="89" customFormat="1" x14ac:dyDescent="0.25">
      <c r="A319" s="13"/>
      <c r="B319" s="70" t="s">
        <v>1303</v>
      </c>
      <c r="C319" s="13" t="s">
        <v>950</v>
      </c>
      <c r="D319" s="104">
        <f>IF(ISERR('[1]Общее+'!E346),"-",'[1]Общее+'!E346)</f>
        <v>8.956989247311828</v>
      </c>
      <c r="E319" s="104">
        <f>IF(ISERR('[1]Общее+'!F346),"-",'[1]Общее+'!F346)</f>
        <v>9.5978260869565215</v>
      </c>
      <c r="F319" s="104">
        <f>IF(ISERR('[1]Общее+'!G346),"-",'[1]Общее+'!G346)</f>
        <v>9.875</v>
      </c>
      <c r="G319" s="104">
        <f>IF(ISERR('[1]Общее+'!H346),"-",'[1]Общее+'!H346)</f>
        <v>11.828571428571429</v>
      </c>
      <c r="H319" s="104">
        <f>IF(ISERR('[1]Общее+'!I346),"-",'[1]Общее+'!I346)</f>
        <v>10.369515011547344</v>
      </c>
      <c r="I319" s="104">
        <f>IF(ISERR('[1]Общее+'!J346),"-",'[1]Общее+'!J346)</f>
        <v>10.603644646924828</v>
      </c>
      <c r="J319" s="104">
        <f>IF(ISERR('[1]Общее+'!K346),"-",'[1]Общее+'!K346)</f>
        <v>11.029585798816568</v>
      </c>
      <c r="K319" s="104" t="str">
        <f>IF(ISERR('[1]Общее+'!L346),"-",'[1]Общее+'!L346)</f>
        <v>-</v>
      </c>
      <c r="L319" s="104" t="str">
        <f>IF(ISERR('[1]Общее+'!M346),"-",'[1]Общее+'!M346)</f>
        <v>-</v>
      </c>
      <c r="M319" s="104" t="str">
        <f>IF(ISERR('[1]Общее+'!N346),"-",'[1]Общее+'!N346)</f>
        <v>-</v>
      </c>
    </row>
    <row r="320" spans="1:13" s="89" customFormat="1" x14ac:dyDescent="0.25">
      <c r="A320" s="13"/>
      <c r="B320" s="70" t="s">
        <v>1304</v>
      </c>
      <c r="C320" s="13" t="s">
        <v>950</v>
      </c>
      <c r="D320" s="104" t="str">
        <f>IF(ISERR('[1]Общее+'!E347),"-",'[1]Общее+'!E347)</f>
        <v>-</v>
      </c>
      <c r="E320" s="104" t="str">
        <f>IF(ISERR('[1]Общее+'!F347),"-",'[1]Общее+'!F347)</f>
        <v>-</v>
      </c>
      <c r="F320" s="104" t="str">
        <f>IF(ISERR('[1]Общее+'!G347),"-",'[1]Общее+'!G347)</f>
        <v>-</v>
      </c>
      <c r="G320" s="104" t="str">
        <f>IF(ISERR('[1]Общее+'!H347),"-",'[1]Общее+'!H347)</f>
        <v>-</v>
      </c>
      <c r="H320" s="104" t="str">
        <f>IF(ISERR('[1]Общее+'!I347),"-",'[1]Общее+'!I347)</f>
        <v>-</v>
      </c>
      <c r="I320" s="104" t="str">
        <f>IF(ISERR('[1]Общее+'!J347),"-",'[1]Общее+'!J347)</f>
        <v>-</v>
      </c>
      <c r="J320" s="104" t="str">
        <f>IF(ISERR('[1]Общее+'!K347),"-",'[1]Общее+'!K347)</f>
        <v>-</v>
      </c>
      <c r="K320" s="104" t="str">
        <f>IF(ISERR('[1]Общее+'!L347),"-",'[1]Общее+'!L347)</f>
        <v>-</v>
      </c>
      <c r="L320" s="104" t="str">
        <f>IF(ISERR('[1]Общее+'!M347),"-",'[1]Общее+'!M347)</f>
        <v>-</v>
      </c>
      <c r="M320" s="104" t="str">
        <f>IF(ISERR('[1]Общее+'!N347),"-",'[1]Общее+'!N347)</f>
        <v>-</v>
      </c>
    </row>
    <row r="321" spans="1:13" s="89" customFormat="1" ht="90" x14ac:dyDescent="0.25">
      <c r="A321" s="13" t="s">
        <v>163</v>
      </c>
      <c r="B321" s="70" t="s">
        <v>2517</v>
      </c>
      <c r="C321" s="13"/>
      <c r="D321" s="90"/>
      <c r="E321" s="90"/>
      <c r="F321" s="90"/>
      <c r="G321" s="90"/>
      <c r="H321" s="90"/>
      <c r="I321" s="90"/>
      <c r="J321" s="90"/>
      <c r="K321" s="90"/>
      <c r="L321" s="90"/>
      <c r="M321" s="90"/>
    </row>
    <row r="322" spans="1:13" s="89" customFormat="1" x14ac:dyDescent="0.25">
      <c r="A322" s="13"/>
      <c r="B322" s="70" t="s">
        <v>1301</v>
      </c>
      <c r="C322" s="13" t="s">
        <v>8</v>
      </c>
      <c r="D322" s="104">
        <f>IF(ISERR('[1]Общее+'!E362),"-",'[1]Общее+'!E362)</f>
        <v>21.128246753246753</v>
      </c>
      <c r="E322" s="104">
        <f>IF(ISERR('[1]Общее+'!F362),"-",'[1]Общее+'!F362)</f>
        <v>21.817890349470982</v>
      </c>
      <c r="F322" s="104">
        <f>IF(ISERR('[1]Общее+'!G362),"-",'[1]Общее+'!G362)</f>
        <v>22.460487649908664</v>
      </c>
      <c r="G322" s="104">
        <f>IF(ISERR('[1]Общее+'!H362),"-",'[1]Общее+'!H362)</f>
        <v>22.654176424668229</v>
      </c>
      <c r="H322" s="104">
        <f>IF(ISERR('[1]Общее+'!I362),"-",'[1]Общее+'!I362)</f>
        <v>23.163013275702376</v>
      </c>
      <c r="I322" s="104">
        <f>IF(ISERR('[1]Общее+'!J362),"-",'[1]Общее+'!J362)</f>
        <v>24.034302193215453</v>
      </c>
      <c r="J322" s="104">
        <f>IF(ISERR('[1]Общее+'!K362),"-",'[1]Общее+'!K362)</f>
        <v>24.574355883682387</v>
      </c>
      <c r="K322" s="104">
        <f>IF(ISERR('[1]Общее+'!L362),"-",'[1]Общее+'!L362)</f>
        <v>20.59496567505721</v>
      </c>
      <c r="L322" s="104">
        <f>IF(ISERR('[1]Общее+'!M362),"-",'[1]Общее+'!M362)</f>
        <v>21.088435374149661</v>
      </c>
      <c r="M322" s="104">
        <f>IF(ISERR('[1]Общее+'!N362),"-",'[1]Общее+'!N362)</f>
        <v>19.908466819221967</v>
      </c>
    </row>
    <row r="323" spans="1:13" s="89" customFormat="1" x14ac:dyDescent="0.25">
      <c r="A323" s="13"/>
      <c r="B323" s="70" t="s">
        <v>1303</v>
      </c>
      <c r="C323" s="13" t="s">
        <v>8</v>
      </c>
      <c r="D323" s="104">
        <f>IF(ISERR('[1]Общее+'!E363),"-",'[1]Общее+'!E363)</f>
        <v>20.955493607613189</v>
      </c>
      <c r="E323" s="104">
        <f>IF(ISERR('[1]Общее+'!F363),"-",'[1]Общее+'!F363)</f>
        <v>21.722243273967411</v>
      </c>
      <c r="F323" s="104">
        <f>IF(ISERR('[1]Общее+'!G363),"-",'[1]Общее+'!G363)</f>
        <v>22.561032644280235</v>
      </c>
      <c r="G323" s="104">
        <f>IF(ISERR('[1]Общее+'!H363),"-",'[1]Общее+'!H363)</f>
        <v>23.024336888159695</v>
      </c>
      <c r="H323" s="104">
        <f>IF(ISERR('[1]Общее+'!I363),"-",'[1]Общее+'!I363)</f>
        <v>23.715984862137322</v>
      </c>
      <c r="I323" s="104">
        <f>IF(ISERR('[1]Общее+'!J363),"-",'[1]Общее+'!J363)</f>
        <v>24.688961440042352</v>
      </c>
      <c r="J323" s="104">
        <f>IF(ISERR('[1]Общее+'!K363),"-",'[1]Общее+'!K363)</f>
        <v>25.345944999124193</v>
      </c>
      <c r="K323" s="104">
        <f>IF(ISERR('[1]Общее+'!L363),"-",'[1]Общее+'!L363)</f>
        <v>47.872340425531917</v>
      </c>
      <c r="L323" s="104">
        <f>IF(ISERR('[1]Общее+'!M363),"-",'[1]Общее+'!M363)</f>
        <v>49.732620320855617</v>
      </c>
      <c r="M323" s="104">
        <f>IF(ISERR('[1]Общее+'!N363),"-",'[1]Общее+'!N363)</f>
        <v>46.276595744680847</v>
      </c>
    </row>
    <row r="324" spans="1:13" s="89" customFormat="1" x14ac:dyDescent="0.25">
      <c r="A324" s="13"/>
      <c r="B324" s="70" t="s">
        <v>1304</v>
      </c>
      <c r="C324" s="13" t="s">
        <v>8</v>
      </c>
      <c r="D324" s="104">
        <f>IF(ISERR('[1]Общее+'!E364),"-",'[1]Общее+'!E364)</f>
        <v>22.065727699530516</v>
      </c>
      <c r="E324" s="104">
        <f>IF(ISERR('[1]Общее+'!F364),"-",'[1]Общее+'!F364)</f>
        <v>22.34375</v>
      </c>
      <c r="F324" s="104">
        <f>IF(ISERR('[1]Общее+'!G364),"-",'[1]Общее+'!G364)</f>
        <v>21.894736842105264</v>
      </c>
      <c r="G324" s="104">
        <f>IF(ISERR('[1]Общее+'!H364),"-",'[1]Общее+'!H364)</f>
        <v>20.44589450788472</v>
      </c>
      <c r="H324" s="104">
        <f>IF(ISERR('[1]Общее+'!I364),"-",'[1]Общее+'!I364)</f>
        <v>19.860064585575888</v>
      </c>
      <c r="I324" s="104">
        <f>IF(ISERR('[1]Общее+'!J364),"-",'[1]Общее+'!J364)</f>
        <v>20.010845986984815</v>
      </c>
      <c r="J324" s="104">
        <f>IF(ISERR('[1]Общее+'!K364),"-",'[1]Общее+'!K364)</f>
        <v>19.827586206896552</v>
      </c>
      <c r="K324" s="104">
        <f>IF(ISERR('[1]Общее+'!L364),"-",'[1]Общее+'!L364)</f>
        <v>0</v>
      </c>
      <c r="L324" s="104">
        <f>IF(ISERR('[1]Общее+'!M364),"-",'[1]Общее+'!M364)</f>
        <v>0</v>
      </c>
      <c r="M324" s="104">
        <f>IF(ISERR('[1]Общее+'!N364),"-",'[1]Общее+'!N364)</f>
        <v>0</v>
      </c>
    </row>
    <row r="325" spans="1:13" s="89" customFormat="1" x14ac:dyDescent="0.25">
      <c r="A325" s="13"/>
      <c r="B325" s="70" t="s">
        <v>1302</v>
      </c>
      <c r="C325" s="13" t="s">
        <v>8</v>
      </c>
      <c r="D325" s="104">
        <f>IF(ISERR('[1]Общее+'!E377),"-",'[1]Общее+'!E377)</f>
        <v>20.689655172413794</v>
      </c>
      <c r="E325" s="104">
        <f>IF(ISERR('[1]Общее+'!F377),"-",'[1]Общее+'!F377)</f>
        <v>16.470588235294116</v>
      </c>
      <c r="F325" s="104">
        <f>IF(ISERR('[1]Общее+'!G377),"-",'[1]Общее+'!G377)</f>
        <v>11.111111111111111</v>
      </c>
      <c r="G325" s="104">
        <f>IF(ISERR('[1]Общее+'!H377),"-",'[1]Общее+'!H377)</f>
        <v>14.0625</v>
      </c>
      <c r="H325" s="104">
        <f>IF(ISERR('[1]Общее+'!I377),"-",'[1]Общее+'!I377)</f>
        <v>20</v>
      </c>
      <c r="I325" s="104">
        <f>IF(ISERR('[1]Общее+'!J377),"-",'[1]Общее+'!J377)</f>
        <v>20.547945205479451</v>
      </c>
      <c r="J325" s="104">
        <f>IF(ISERR('[1]Общее+'!K377),"-",'[1]Общее+'!K377)</f>
        <v>13.23529411764706</v>
      </c>
      <c r="K325" s="104" t="str">
        <f>IF(ISERR('[1]Общее+'!L377),"-",'[1]Общее+'!L377)</f>
        <v>-</v>
      </c>
      <c r="L325" s="104" t="str">
        <f>IF(ISERR('[1]Общее+'!M377),"-",'[1]Общее+'!M377)</f>
        <v>-</v>
      </c>
      <c r="M325" s="104" t="str">
        <f>IF(ISERR('[1]Общее+'!N377),"-",'[1]Общее+'!N377)</f>
        <v>-</v>
      </c>
    </row>
    <row r="326" spans="1:13" s="89" customFormat="1" x14ac:dyDescent="0.25">
      <c r="A326" s="13"/>
      <c r="B326" s="70" t="s">
        <v>1303</v>
      </c>
      <c r="C326" s="13" t="s">
        <v>8</v>
      </c>
      <c r="D326" s="104">
        <f>IF(ISERR('[1]Общее+'!E378),"-",'[1]Общее+'!E378)</f>
        <v>20.689655172413794</v>
      </c>
      <c r="E326" s="104">
        <f>IF(ISERR('[1]Общее+'!F378),"-",'[1]Общее+'!F378)</f>
        <v>16.470588235294116</v>
      </c>
      <c r="F326" s="104">
        <f>IF(ISERR('[1]Общее+'!G378),"-",'[1]Общее+'!G378)</f>
        <v>11.111111111111111</v>
      </c>
      <c r="G326" s="104">
        <f>IF(ISERR('[1]Общее+'!H378),"-",'[1]Общее+'!H378)</f>
        <v>14.0625</v>
      </c>
      <c r="H326" s="104">
        <f>IF(ISERR('[1]Общее+'!I378),"-",'[1]Общее+'!I378)</f>
        <v>20</v>
      </c>
      <c r="I326" s="104">
        <f>IF(ISERR('[1]Общее+'!J378),"-",'[1]Общее+'!J378)</f>
        <v>20.547945205479451</v>
      </c>
      <c r="J326" s="104">
        <f>IF(ISERR('[1]Общее+'!K378),"-",'[1]Общее+'!K378)</f>
        <v>13.23529411764706</v>
      </c>
      <c r="K326" s="104" t="str">
        <f>IF(ISERR('[1]Общее+'!L378),"-",'[1]Общее+'!L378)</f>
        <v>-</v>
      </c>
      <c r="L326" s="104" t="str">
        <f>IF(ISERR('[1]Общее+'!M378),"-",'[1]Общее+'!M378)</f>
        <v>-</v>
      </c>
      <c r="M326" s="104" t="str">
        <f>IF(ISERR('[1]Общее+'!N378),"-",'[1]Общее+'!N378)</f>
        <v>-</v>
      </c>
    </row>
    <row r="327" spans="1:13" s="89" customFormat="1" x14ac:dyDescent="0.25">
      <c r="A327" s="13"/>
      <c r="B327" s="70" t="s">
        <v>1304</v>
      </c>
      <c r="C327" s="13" t="s">
        <v>8</v>
      </c>
      <c r="D327" s="104" t="str">
        <f>IF(ISERR('[1]Общее+'!E379),"-",'[1]Общее+'!E379)</f>
        <v>-</v>
      </c>
      <c r="E327" s="104" t="str">
        <f>IF(ISERR('[1]Общее+'!F379),"-",'[1]Общее+'!F379)</f>
        <v>-</v>
      </c>
      <c r="F327" s="104" t="str">
        <f>IF(ISERR('[1]Общее+'!G379),"-",'[1]Общее+'!G379)</f>
        <v>-</v>
      </c>
      <c r="G327" s="104" t="str">
        <f>IF(ISERR('[1]Общее+'!H379),"-",'[1]Общее+'!H379)</f>
        <v>-</v>
      </c>
      <c r="H327" s="104" t="str">
        <f>IF(ISERR('[1]Общее+'!I379),"-",'[1]Общее+'!I379)</f>
        <v>-</v>
      </c>
      <c r="I327" s="104" t="str">
        <f>IF(ISERR('[1]Общее+'!J379),"-",'[1]Общее+'!J379)</f>
        <v>-</v>
      </c>
      <c r="J327" s="104" t="str">
        <f>IF(ISERR('[1]Общее+'!K379),"-",'[1]Общее+'!K379)</f>
        <v>-</v>
      </c>
      <c r="K327" s="104" t="str">
        <f>IF(ISERR('[1]Общее+'!L379),"-",'[1]Общее+'!L379)</f>
        <v>-</v>
      </c>
      <c r="L327" s="104" t="str">
        <f>IF(ISERR('[1]Общее+'!M379),"-",'[1]Общее+'!M379)</f>
        <v>-</v>
      </c>
      <c r="M327" s="104" t="str">
        <f>IF(ISERR('[1]Общее+'!N379),"-",'[1]Общее+'!N379)</f>
        <v>-</v>
      </c>
    </row>
    <row r="328" spans="1:13" s="89" customFormat="1" ht="90" x14ac:dyDescent="0.25">
      <c r="A328" s="77" t="s">
        <v>170</v>
      </c>
      <c r="B328" s="110" t="s">
        <v>1669</v>
      </c>
      <c r="C328" s="77"/>
      <c r="D328" s="442"/>
      <c r="E328" s="442"/>
      <c r="F328" s="442"/>
      <c r="G328" s="442"/>
      <c r="H328" s="442"/>
      <c r="I328" s="442"/>
      <c r="J328" s="442"/>
      <c r="K328" s="442"/>
      <c r="L328" s="442"/>
      <c r="M328" s="442"/>
    </row>
    <row r="329" spans="1:13" s="89" customFormat="1" x14ac:dyDescent="0.25">
      <c r="A329" s="174"/>
      <c r="B329" s="110" t="s">
        <v>1115</v>
      </c>
      <c r="C329" s="77" t="s">
        <v>8</v>
      </c>
      <c r="D329" s="104">
        <f>IF(ISERR('[1]Общее+'!E393),"-",'[1]Общее+'!E393)</f>
        <v>105.6</v>
      </c>
      <c r="E329" s="104">
        <f>IF(ISERR('[1]Общее+'!F393),"-",'[1]Общее+'!F393)</f>
        <v>105.07</v>
      </c>
      <c r="F329" s="104">
        <f>IF(ISERR('[1]Общее+'!G393),"-",'[1]Общее+'!G393)</f>
        <v>111.46</v>
      </c>
      <c r="G329" s="104">
        <f>IF(ISERR('[1]Общее+'!H393),"-",'[1]Общее+'!H393)</f>
        <v>106.74</v>
      </c>
      <c r="H329" s="104">
        <f>IF(ISERR('[1]Общее+'!I393),"-",'[1]Общее+'!I393)</f>
        <v>102.91</v>
      </c>
      <c r="I329" s="104">
        <f>IF(ISERR('[1]Общее+'!J393),"-",'[1]Общее+'!J393)</f>
        <v>101.21</v>
      </c>
      <c r="J329" s="104">
        <f>IF(ISERR('[1]Общее+'!K393),"-",'[1]Общее+'!K393)</f>
        <v>103.81</v>
      </c>
      <c r="K329" s="104">
        <f>IF(ISERR('[1]Общее+'!L393),"-",'[1]Общее+'!L393)</f>
        <v>0</v>
      </c>
      <c r="L329" s="104">
        <f>IF(ISERR('[1]Общее+'!M393),"-",'[1]Общее+'!M393)</f>
        <v>0</v>
      </c>
      <c r="M329" s="104">
        <f>IF(ISERR('[1]Общее+'!N393),"-",'[1]Общее+'!N393)</f>
        <v>0</v>
      </c>
    </row>
    <row r="330" spans="1:13" s="89" customFormat="1" hidden="1" x14ac:dyDescent="0.25">
      <c r="A330" s="174"/>
      <c r="B330" s="110" t="s">
        <v>179</v>
      </c>
      <c r="C330" s="77" t="s">
        <v>8</v>
      </c>
      <c r="D330" s="104">
        <f>IF(ISERR('[1]Общее+'!E394),"-",'[1]Общее+'!E394)</f>
        <v>111.33</v>
      </c>
      <c r="E330" s="104" t="str">
        <f>IF(ISERR('[1]Общее+'!F394),"-",'[1]Общее+'!F394)</f>
        <v>-</v>
      </c>
      <c r="F330" s="104" t="str">
        <f>IF(ISERR('[1]Общее+'!G394),"-",'[1]Общее+'!G394)</f>
        <v>-</v>
      </c>
      <c r="G330" s="104" t="str">
        <f>IF(ISERR('[1]Общее+'!H394),"-",'[1]Общее+'!H394)</f>
        <v>-</v>
      </c>
      <c r="H330" s="104" t="str">
        <f>IF(ISERR('[1]Общее+'!I394),"-",'[1]Общее+'!I394)</f>
        <v>-</v>
      </c>
      <c r="I330" s="104" t="str">
        <f>IF(ISERR('[1]Общее+'!J394),"-",'[1]Общее+'!J394)</f>
        <v>-</v>
      </c>
      <c r="J330" s="104" t="str">
        <f>IF(ISERR('[1]Общее+'!K394),"-",'[1]Общее+'!K394)</f>
        <v>-</v>
      </c>
      <c r="K330" s="104" t="str">
        <f>IF(ISERR('[1]Общее+'!L394),"-",'[1]Общее+'!L394)</f>
        <v>-</v>
      </c>
      <c r="L330" s="104" t="str">
        <f>IF(ISERR('[1]Общее+'!M394),"-",'[1]Общее+'!M394)</f>
        <v>-</v>
      </c>
      <c r="M330" s="104" t="str">
        <f>IF(ISERR('[1]Общее+'!N394),"-",'[1]Общее+'!N394)</f>
        <v>-</v>
      </c>
    </row>
    <row r="331" spans="1:13" s="89" customFormat="1" ht="90" x14ac:dyDescent="0.25">
      <c r="A331" s="174" t="s">
        <v>1670</v>
      </c>
      <c r="B331" s="110" t="s">
        <v>2519</v>
      </c>
      <c r="C331" s="77"/>
      <c r="D331" s="104"/>
      <c r="E331" s="104"/>
      <c r="F331" s="104"/>
      <c r="G331" s="104"/>
      <c r="H331" s="104"/>
      <c r="I331" s="104">
        <f>IF(ISERR('[1]Общее+'!J401),"-",'[1]Общее+'!J401)</f>
        <v>55.34578761820039</v>
      </c>
      <c r="J331" s="104">
        <f>IF(ISERR('[1]Общее+'!K401),"-",'[1]Общее+'!K401)</f>
        <v>55.42873865964296</v>
      </c>
      <c r="K331" s="104">
        <f>IF(ISERR('[1]Общее+'!L401),"-",'[1]Общее+'!L401)</f>
        <v>46.527777777777779</v>
      </c>
      <c r="L331" s="104">
        <f>IF(ISERR('[1]Общее+'!M401),"-",'[1]Общее+'!M401)</f>
        <v>46.655376799322603</v>
      </c>
      <c r="M331" s="104">
        <f>IF(ISERR('[1]Общее+'!N401),"-",'[1]Общее+'!N401)</f>
        <v>46.010186757215621</v>
      </c>
    </row>
    <row r="332" spans="1:13" s="89" customFormat="1" hidden="1" x14ac:dyDescent="0.25">
      <c r="A332" s="174"/>
      <c r="B332" s="70" t="s">
        <v>1301</v>
      </c>
      <c r="C332" s="77" t="s">
        <v>8</v>
      </c>
      <c r="D332" s="104"/>
      <c r="E332" s="104"/>
      <c r="F332" s="104"/>
      <c r="G332" s="104"/>
      <c r="H332" s="104">
        <f>IF(ISERR('[1]Общее+'!I401),"-",'[1]Общее+'!I401)</f>
        <v>55.518146926132914</v>
      </c>
      <c r="I332" s="104">
        <f>IF(ISERR('[1]Общее+'!J401),"-",'[1]Общее+'!J401)</f>
        <v>55.34578761820039</v>
      </c>
      <c r="J332" s="104">
        <f>IF(ISERR('[1]Общее+'!K401),"-",'[1]Общее+'!K401)</f>
        <v>55.42873865964296</v>
      </c>
      <c r="K332" s="104">
        <f>IF(ISERR('[1]Общее+'!L401),"-",'[1]Общее+'!L401)</f>
        <v>46.527777777777779</v>
      </c>
      <c r="L332" s="104">
        <f>IF(ISERR('[1]Общее+'!M401),"-",'[1]Общее+'!M401)</f>
        <v>46.655376799322603</v>
      </c>
      <c r="M332" s="104">
        <f>IF(ISERR('[1]Общее+'!N401),"-",'[1]Общее+'!N401)</f>
        <v>46.010186757215621</v>
      </c>
    </row>
    <row r="333" spans="1:13" s="89" customFormat="1" hidden="1" x14ac:dyDescent="0.25">
      <c r="A333" s="174"/>
      <c r="B333" s="70" t="s">
        <v>1303</v>
      </c>
      <c r="C333" s="77" t="s">
        <v>8</v>
      </c>
      <c r="D333" s="104"/>
      <c r="E333" s="104"/>
      <c r="F333" s="104"/>
      <c r="G333" s="104"/>
      <c r="H333" s="104">
        <f>IF(ISERR('[1]Общее+'!I402),"-",'[1]Общее+'!I402)</f>
        <v>58.150332538587023</v>
      </c>
      <c r="I333" s="104">
        <f>IF(ISERR('[1]Общее+'!J402),"-",'[1]Общее+'!J402)</f>
        <v>57.968705315193858</v>
      </c>
      <c r="J333" s="104">
        <f>IF(ISERR('[1]Общее+'!K402),"-",'[1]Общее+'!K402)</f>
        <v>57.910375843238036</v>
      </c>
      <c r="K333" s="104">
        <f>IF(ISERR('[1]Общее+'!L402),"-",'[1]Общее+'!L402)</f>
        <v>52.028639618138428</v>
      </c>
      <c r="L333" s="104">
        <f>IF(ISERR('[1]Общее+'!M402),"-",'[1]Общее+'!M402)</f>
        <v>50.881057268722465</v>
      </c>
      <c r="M333" s="104">
        <f>IF(ISERR('[1]Общее+'!N402),"-",'[1]Общее+'!N402)</f>
        <v>50</v>
      </c>
    </row>
    <row r="334" spans="1:13" s="89" customFormat="1" hidden="1" x14ac:dyDescent="0.25">
      <c r="A334" s="174"/>
      <c r="B334" s="70" t="s">
        <v>1304</v>
      </c>
      <c r="C334" s="77" t="s">
        <v>8</v>
      </c>
      <c r="D334" s="104"/>
      <c r="E334" s="104"/>
      <c r="F334" s="104"/>
      <c r="G334" s="104"/>
      <c r="H334" s="104">
        <f>IF(ISERR('[1]Общее+'!I403),"-",'[1]Общее+'!I403)</f>
        <v>44.659188955996548</v>
      </c>
      <c r="I334" s="104">
        <f>IF(ISERR('[1]Общее+'!J403),"-",'[1]Общее+'!J403)</f>
        <v>44.416070820565203</v>
      </c>
      <c r="J334" s="104">
        <f>IF(ISERR('[1]Общее+'!K403),"-",'[1]Общее+'!K403)</f>
        <v>44.862369635835186</v>
      </c>
      <c r="K334" s="104">
        <f>IF(ISERR('[1]Общее+'!L403),"-",'[1]Общее+'!L403)</f>
        <v>43.383356070941339</v>
      </c>
      <c r="L334" s="104">
        <f>IF(ISERR('[1]Общее+'!M403),"-",'[1]Общее+'!M403)</f>
        <v>44.016506189821179</v>
      </c>
      <c r="M334" s="104">
        <f>IF(ISERR('[1]Общее+'!N403),"-",'[1]Общее+'!N403)</f>
        <v>43.435754189944134</v>
      </c>
    </row>
    <row r="335" spans="1:13" s="89" customFormat="1" hidden="1" x14ac:dyDescent="0.25">
      <c r="A335" s="174"/>
      <c r="B335" s="70" t="s">
        <v>1302</v>
      </c>
      <c r="C335" s="77" t="s">
        <v>8</v>
      </c>
      <c r="D335" s="104"/>
      <c r="E335" s="104"/>
      <c r="F335" s="104"/>
      <c r="G335" s="104"/>
      <c r="H335" s="104">
        <f>IF(ISERR('[1]Общее+'!I410),"-",'[1]Общее+'!I410)</f>
        <v>60.629921259842526</v>
      </c>
      <c r="I335" s="104">
        <f>IF(ISERR('[1]Общее+'!J410),"-",'[1]Общее+'!J410)</f>
        <v>61.65413533834586</v>
      </c>
      <c r="J335" s="104">
        <f>IF(ISERR('[1]Общее+'!K410),"-",'[1]Общее+'!K410)</f>
        <v>61.417322834645674</v>
      </c>
      <c r="K335" s="104" t="str">
        <f>IF(ISERR('[1]Общее+'!L410),"-",'[1]Общее+'!L410)</f>
        <v>-</v>
      </c>
      <c r="L335" s="104" t="str">
        <f>IF(ISERR('[1]Общее+'!M410),"-",'[1]Общее+'!M410)</f>
        <v>-</v>
      </c>
      <c r="M335" s="104" t="str">
        <f>IF(ISERR('[1]Общее+'!N410),"-",'[1]Общее+'!N410)</f>
        <v>-</v>
      </c>
    </row>
    <row r="336" spans="1:13" s="89" customFormat="1" hidden="1" x14ac:dyDescent="0.25">
      <c r="A336" s="174"/>
      <c r="B336" s="70" t="s">
        <v>1303</v>
      </c>
      <c r="C336" s="77" t="s">
        <v>8</v>
      </c>
      <c r="D336" s="104"/>
      <c r="E336" s="104"/>
      <c r="F336" s="104"/>
      <c r="G336" s="104"/>
      <c r="H336" s="104">
        <f>IF(ISERR('[1]Общее+'!I411),"-",'[1]Общее+'!I411)</f>
        <v>60.629921259842526</v>
      </c>
      <c r="I336" s="104">
        <f>IF(ISERR('[1]Общее+'!J411),"-",'[1]Общее+'!J411)</f>
        <v>61.65413533834586</v>
      </c>
      <c r="J336" s="104">
        <f>IF(ISERR('[1]Общее+'!K411),"-",'[1]Общее+'!K411)</f>
        <v>61.417322834645674</v>
      </c>
      <c r="K336" s="104" t="str">
        <f>IF(ISERR('[1]Общее+'!L411),"-",'[1]Общее+'!L411)</f>
        <v>-</v>
      </c>
      <c r="L336" s="104" t="str">
        <f>IF(ISERR('[1]Общее+'!M411),"-",'[1]Общее+'!M411)</f>
        <v>-</v>
      </c>
      <c r="M336" s="104" t="str">
        <f>IF(ISERR('[1]Общее+'!N411),"-",'[1]Общее+'!N411)</f>
        <v>-</v>
      </c>
    </row>
    <row r="337" spans="1:13" s="89" customFormat="1" hidden="1" x14ac:dyDescent="0.25">
      <c r="A337" s="174"/>
      <c r="B337" s="70" t="s">
        <v>1304</v>
      </c>
      <c r="C337" s="77" t="s">
        <v>8</v>
      </c>
      <c r="D337" s="104"/>
      <c r="E337" s="104"/>
      <c r="F337" s="104"/>
      <c r="G337" s="104"/>
      <c r="H337" s="104" t="str">
        <f>IF(ISERR('[1]Общее+'!I412),"-",'[1]Общее+'!I412)</f>
        <v>-</v>
      </c>
      <c r="I337" s="104" t="str">
        <f>IF(ISERR('[1]Общее+'!J412),"-",'[1]Общее+'!J412)</f>
        <v>-</v>
      </c>
      <c r="J337" s="104" t="str">
        <f>IF(ISERR('[1]Общее+'!K412),"-",'[1]Общее+'!K412)</f>
        <v>-</v>
      </c>
      <c r="K337" s="104" t="str">
        <f>IF(ISERR('[1]Общее+'!L412),"-",'[1]Общее+'!L412)</f>
        <v>-</v>
      </c>
      <c r="L337" s="104" t="str">
        <f>IF(ISERR('[1]Общее+'!M412),"-",'[1]Общее+'!M412)</f>
        <v>-</v>
      </c>
      <c r="M337" s="104" t="str">
        <f>IF(ISERR('[1]Общее+'!N412),"-",'[1]Общее+'!N412)</f>
        <v>-</v>
      </c>
    </row>
    <row r="338" spans="1:13" s="89" customFormat="1" ht="90" x14ac:dyDescent="0.25">
      <c r="A338" s="174" t="s">
        <v>1672</v>
      </c>
      <c r="B338" s="70" t="s">
        <v>2518</v>
      </c>
      <c r="C338" s="77"/>
      <c r="D338" s="104"/>
      <c r="E338" s="104"/>
      <c r="F338" s="104"/>
      <c r="G338" s="104"/>
      <c r="H338" s="104"/>
      <c r="I338" s="104"/>
      <c r="J338" s="104"/>
      <c r="K338" s="104"/>
      <c r="L338" s="104"/>
      <c r="M338" s="104"/>
    </row>
    <row r="339" spans="1:13" s="89" customFormat="1" hidden="1" x14ac:dyDescent="0.25">
      <c r="A339" s="174"/>
      <c r="B339" s="70" t="s">
        <v>1296</v>
      </c>
      <c r="C339" s="77"/>
      <c r="D339" s="104"/>
      <c r="E339" s="104"/>
      <c r="F339" s="104"/>
      <c r="G339" s="104"/>
      <c r="H339" s="104"/>
      <c r="I339" s="104"/>
      <c r="J339" s="104"/>
      <c r="K339" s="104"/>
      <c r="L339" s="104"/>
      <c r="M339" s="104"/>
    </row>
    <row r="340" spans="1:13" s="89" customFormat="1" x14ac:dyDescent="0.25">
      <c r="A340" s="174"/>
      <c r="B340" s="70" t="s">
        <v>2309</v>
      </c>
      <c r="C340" s="77"/>
      <c r="D340" s="104"/>
      <c r="E340" s="104"/>
      <c r="F340" s="104"/>
      <c r="G340" s="104"/>
      <c r="H340" s="104"/>
      <c r="I340" s="104"/>
      <c r="J340" s="104"/>
      <c r="K340" s="104"/>
      <c r="L340" s="104"/>
      <c r="M340" s="104"/>
    </row>
    <row r="341" spans="1:13" s="89" customFormat="1" x14ac:dyDescent="0.25">
      <c r="A341" s="174"/>
      <c r="B341" s="70" t="s">
        <v>2310</v>
      </c>
      <c r="C341" s="77" t="s">
        <v>8</v>
      </c>
      <c r="D341" s="104"/>
      <c r="E341" s="104"/>
      <c r="F341" s="104"/>
      <c r="G341" s="104"/>
      <c r="H341" s="104">
        <f>IF(ISERR('[1]Общее+'!I422),"-",'[1]Общее+'!I422)</f>
        <v>73.556231003039514</v>
      </c>
      <c r="I341" s="104">
        <f>IF(ISERR('[1]Общее+'!J422),"-",'[1]Общее+'!J422)</f>
        <v>72.615384615384613</v>
      </c>
      <c r="J341" s="104">
        <f>IF(ISERR('[1]Общее+'!K422),"-",'[1]Общее+'!K422)</f>
        <v>72.8125</v>
      </c>
      <c r="K341" s="104">
        <f>IF(ISERR('[1]Общее+'!L422),"-",'[1]Общее+'!L422)</f>
        <v>38.888888888888893</v>
      </c>
      <c r="L341" s="104">
        <f>IF(ISERR('[1]Общее+'!M422),"-",'[1]Общее+'!M422)</f>
        <v>38.888888888888893</v>
      </c>
      <c r="M341" s="104">
        <f>IF(ISERR('[1]Общее+'!N422),"-",'[1]Общее+'!N422)</f>
        <v>50</v>
      </c>
    </row>
    <row r="342" spans="1:13" s="89" customFormat="1" x14ac:dyDescent="0.25">
      <c r="A342" s="174"/>
      <c r="B342" s="70" t="s">
        <v>2311</v>
      </c>
      <c r="C342" s="77" t="s">
        <v>8</v>
      </c>
      <c r="D342" s="104"/>
      <c r="E342" s="104"/>
      <c r="F342" s="104"/>
      <c r="G342" s="104"/>
      <c r="H342" s="104">
        <f>IF(ISERR('[1]Общее+'!I423),"-",'[1]Общее+'!I423)</f>
        <v>73.556231003039514</v>
      </c>
      <c r="I342" s="104">
        <f>IF(ISERR('[1]Общее+'!J423),"-",'[1]Общее+'!J423)</f>
        <v>72.615384615384613</v>
      </c>
      <c r="J342" s="104">
        <f>IF(ISERR('[1]Общее+'!K423),"-",'[1]Общее+'!K423)</f>
        <v>72.5</v>
      </c>
      <c r="K342" s="104">
        <f>IF(ISERR('[1]Общее+'!L423),"-",'[1]Общее+'!L423)</f>
        <v>38.888888888888893</v>
      </c>
      <c r="L342" s="104">
        <f>IF(ISERR('[1]Общее+'!M423),"-",'[1]Общее+'!M423)</f>
        <v>38.888888888888893</v>
      </c>
      <c r="M342" s="104">
        <f>IF(ISERR('[1]Общее+'!N423),"-",'[1]Общее+'!N423)</f>
        <v>50</v>
      </c>
    </row>
    <row r="343" spans="1:13" s="89" customFormat="1" x14ac:dyDescent="0.25">
      <c r="A343" s="174"/>
      <c r="B343" s="70" t="s">
        <v>2312</v>
      </c>
      <c r="C343" s="77"/>
      <c r="D343" s="104"/>
      <c r="E343" s="104"/>
      <c r="F343" s="104"/>
      <c r="G343" s="104"/>
      <c r="H343" s="104"/>
      <c r="I343" s="104"/>
      <c r="J343" s="104"/>
      <c r="K343" s="104"/>
      <c r="L343" s="104"/>
      <c r="M343" s="104"/>
    </row>
    <row r="344" spans="1:13" s="89" customFormat="1" x14ac:dyDescent="0.25">
      <c r="A344" s="174"/>
      <c r="B344" s="70" t="s">
        <v>2310</v>
      </c>
      <c r="C344" s="77" t="s">
        <v>8</v>
      </c>
      <c r="D344" s="104"/>
      <c r="E344" s="104"/>
      <c r="F344" s="104"/>
      <c r="G344" s="104"/>
      <c r="H344" s="104">
        <f>IF(ISERR('[1]Общее+'!I425),"-",'[1]Общее+'!I425)</f>
        <v>82.066869300911847</v>
      </c>
      <c r="I344" s="104">
        <f>IF(ISERR('[1]Общее+'!J425),"-",'[1]Общее+'!J425)</f>
        <v>82.461538461538467</v>
      </c>
      <c r="J344" s="104">
        <f>IF(ISERR('[1]Общее+'!K425),"-",'[1]Общее+'!K425)</f>
        <v>83.125</v>
      </c>
      <c r="K344" s="104">
        <f>IF(ISERR('[1]Общее+'!L425),"-",'[1]Общее+'!L425)</f>
        <v>66.666666666666657</v>
      </c>
      <c r="L344" s="104">
        <f>IF(ISERR('[1]Общее+'!M425),"-",'[1]Общее+'!M425)</f>
        <v>61.111111111111114</v>
      </c>
      <c r="M344" s="104">
        <f>IF(ISERR('[1]Общее+'!N425),"-",'[1]Общее+'!N425)</f>
        <v>50</v>
      </c>
    </row>
    <row r="345" spans="1:13" s="89" customFormat="1" x14ac:dyDescent="0.25">
      <c r="A345" s="174"/>
      <c r="B345" s="70" t="s">
        <v>2311</v>
      </c>
      <c r="C345" s="77" t="s">
        <v>8</v>
      </c>
      <c r="D345" s="104"/>
      <c r="E345" s="104"/>
      <c r="F345" s="104"/>
      <c r="G345" s="104"/>
      <c r="H345" s="104">
        <f>IF(ISERR('[1]Общее+'!I426),"-",'[1]Общее+'!I426)</f>
        <v>81.155015197568389</v>
      </c>
      <c r="I345" s="104">
        <f>IF(ISERR('[1]Общее+'!J426),"-",'[1]Общее+'!J426)</f>
        <v>82.15384615384616</v>
      </c>
      <c r="J345" s="104">
        <f>IF(ISERR('[1]Общее+'!K426),"-",'[1]Общее+'!K426)</f>
        <v>83.125</v>
      </c>
      <c r="K345" s="104">
        <f>IF(ISERR('[1]Общее+'!L426),"-",'[1]Общее+'!L426)</f>
        <v>66.666666666666657</v>
      </c>
      <c r="L345" s="104">
        <f>IF(ISERR('[1]Общее+'!M426),"-",'[1]Общее+'!M426)</f>
        <v>61.111111111111114</v>
      </c>
      <c r="M345" s="104">
        <f>IF(ISERR('[1]Общее+'!N426),"-",'[1]Общее+'!N426)</f>
        <v>50</v>
      </c>
    </row>
    <row r="346" spans="1:13" s="89" customFormat="1" x14ac:dyDescent="0.25">
      <c r="A346" s="174"/>
      <c r="B346" s="70" t="s">
        <v>2313</v>
      </c>
      <c r="C346" s="77"/>
      <c r="D346" s="104"/>
      <c r="E346" s="104"/>
      <c r="F346" s="104"/>
      <c r="G346" s="104"/>
      <c r="H346" s="104"/>
      <c r="I346" s="104"/>
      <c r="J346" s="104"/>
      <c r="K346" s="104"/>
      <c r="L346" s="104"/>
      <c r="M346" s="104"/>
    </row>
    <row r="347" spans="1:13" s="89" customFormat="1" x14ac:dyDescent="0.25">
      <c r="A347" s="174"/>
      <c r="B347" s="70" t="s">
        <v>2314</v>
      </c>
      <c r="C347" s="77" t="s">
        <v>8</v>
      </c>
      <c r="D347" s="104"/>
      <c r="E347" s="104"/>
      <c r="F347" s="104"/>
      <c r="G347" s="104"/>
      <c r="H347" s="104">
        <f>IF(ISERR('[1]Общее+'!I428),"-",'[1]Общее+'!I428)</f>
        <v>60.182370820668694</v>
      </c>
      <c r="I347" s="104">
        <f>IF(ISERR('[1]Общее+'!J428),"-",'[1]Общее+'!J428)</f>
        <v>62.769230769230766</v>
      </c>
      <c r="J347" s="104">
        <f>IF(ISERR('[1]Общее+'!K428),"-",'[1]Общее+'!K428)</f>
        <v>65</v>
      </c>
      <c r="K347" s="104">
        <f>IF(ISERR('[1]Общее+'!L428),"-",'[1]Общее+'!L428)</f>
        <v>33.333333333333329</v>
      </c>
      <c r="L347" s="104">
        <f>IF(ISERR('[1]Общее+'!M428),"-",'[1]Общее+'!M428)</f>
        <v>33.333333333333329</v>
      </c>
      <c r="M347" s="104">
        <f>IF(ISERR('[1]Общее+'!N428),"-",'[1]Общее+'!N428)</f>
        <v>38.888888888888893</v>
      </c>
    </row>
    <row r="348" spans="1:13" s="89" customFormat="1" x14ac:dyDescent="0.25">
      <c r="A348" s="174"/>
      <c r="B348" s="70" t="s">
        <v>2315</v>
      </c>
      <c r="C348" s="77" t="s">
        <v>8</v>
      </c>
      <c r="D348" s="104"/>
      <c r="E348" s="104"/>
      <c r="F348" s="104"/>
      <c r="G348" s="104"/>
      <c r="H348" s="104">
        <f>IF(ISERR('[1]Общее+'!I429),"-",'[1]Общее+'!I429)</f>
        <v>58.054711246200611</v>
      </c>
      <c r="I348" s="104">
        <f>IF(ISERR('[1]Общее+'!J429),"-",'[1]Общее+'!J429)</f>
        <v>60.615384615384613</v>
      </c>
      <c r="J348" s="104">
        <f>IF(ISERR('[1]Общее+'!K429),"-",'[1]Общее+'!K429)</f>
        <v>63.125</v>
      </c>
      <c r="K348" s="104">
        <f>IF(ISERR('[1]Общее+'!L429),"-",'[1]Общее+'!L429)</f>
        <v>27.777777777777779</v>
      </c>
      <c r="L348" s="104">
        <f>IF(ISERR('[1]Общее+'!M429),"-",'[1]Общее+'!M429)</f>
        <v>33.333333333333329</v>
      </c>
      <c r="M348" s="104">
        <f>IF(ISERR('[1]Общее+'!N429),"-",'[1]Общее+'!N429)</f>
        <v>38.888888888888893</v>
      </c>
    </row>
    <row r="349" spans="1:13" s="89" customFormat="1" x14ac:dyDescent="0.25">
      <c r="A349" s="174"/>
      <c r="B349" s="70" t="s">
        <v>2520</v>
      </c>
      <c r="C349" s="77"/>
      <c r="D349" s="104"/>
      <c r="E349" s="104"/>
      <c r="F349" s="104"/>
      <c r="G349" s="104"/>
      <c r="H349" s="104"/>
      <c r="I349" s="104"/>
      <c r="J349" s="104"/>
      <c r="K349" s="104"/>
      <c r="L349" s="104"/>
      <c r="M349" s="104"/>
    </row>
    <row r="350" spans="1:13" s="89" customFormat="1" x14ac:dyDescent="0.25">
      <c r="A350" s="174"/>
      <c r="B350" s="70" t="s">
        <v>2314</v>
      </c>
      <c r="C350" s="77" t="s">
        <v>8</v>
      </c>
      <c r="D350" s="104"/>
      <c r="E350" s="104"/>
      <c r="F350" s="104"/>
      <c r="G350" s="104"/>
      <c r="H350" s="104"/>
      <c r="I350" s="104">
        <f>IF(ISERR('[1]Общее+'!J431),"-",'[1]Общее+'!J431)</f>
        <v>16.307692307692307</v>
      </c>
      <c r="J350" s="104">
        <f>IF(ISERR('[1]Общее+'!K431),"-",'[1]Общее+'!K431)</f>
        <v>22.8125</v>
      </c>
      <c r="K350" s="104">
        <f>IF(ISERR('[1]Общее+'!L431),"-",'[1]Общее+'!L431)</f>
        <v>5.5555555555555554</v>
      </c>
      <c r="L350" s="104">
        <f>IF(ISERR('[1]Общее+'!M431),"-",'[1]Общее+'!M431)</f>
        <v>5.5555555555555554</v>
      </c>
      <c r="M350" s="104">
        <f>IF(ISERR('[1]Общее+'!N431),"-",'[1]Общее+'!N431)</f>
        <v>5.5555555555555554</v>
      </c>
    </row>
    <row r="351" spans="1:13" s="89" customFormat="1" x14ac:dyDescent="0.25">
      <c r="A351" s="174"/>
      <c r="B351" s="70" t="s">
        <v>2315</v>
      </c>
      <c r="C351" s="77" t="s">
        <v>8</v>
      </c>
      <c r="D351" s="104"/>
      <c r="E351" s="104"/>
      <c r="F351" s="104"/>
      <c r="G351" s="104"/>
      <c r="H351" s="104"/>
      <c r="I351" s="104">
        <f>IF(ISERR('[1]Общее+'!J432),"-",'[1]Общее+'!J432)</f>
        <v>15.692307692307692</v>
      </c>
      <c r="J351" s="104">
        <f>IF(ISERR('[1]Общее+'!K432),"-",'[1]Общее+'!K432)</f>
        <v>22.1875</v>
      </c>
      <c r="K351" s="104">
        <f>IF(ISERR('[1]Общее+'!L432),"-",'[1]Общее+'!L432)</f>
        <v>5.5555555555555554</v>
      </c>
      <c r="L351" s="104">
        <f>IF(ISERR('[1]Общее+'!M432),"-",'[1]Общее+'!M432)</f>
        <v>5.5555555555555554</v>
      </c>
      <c r="M351" s="104">
        <f>IF(ISERR('[1]Общее+'!N432),"-",'[1]Общее+'!N432)</f>
        <v>5.5555555555555554</v>
      </c>
    </row>
    <row r="352" spans="1:13" s="89" customFormat="1" hidden="1" x14ac:dyDescent="0.25">
      <c r="A352" s="174"/>
      <c r="B352" s="70" t="s">
        <v>1297</v>
      </c>
      <c r="C352" s="77"/>
      <c r="D352" s="104"/>
      <c r="E352" s="104"/>
      <c r="F352" s="104"/>
      <c r="G352" s="104"/>
      <c r="H352" s="104"/>
      <c r="I352" s="104"/>
      <c r="J352" s="104"/>
      <c r="K352" s="104"/>
      <c r="L352" s="104"/>
      <c r="M352" s="104"/>
    </row>
    <row r="353" spans="1:13" s="89" customFormat="1" hidden="1" x14ac:dyDescent="0.25">
      <c r="A353" s="174"/>
      <c r="B353" s="70" t="s">
        <v>2309</v>
      </c>
      <c r="C353" s="77"/>
      <c r="D353" s="104"/>
      <c r="E353" s="104"/>
      <c r="F353" s="104"/>
      <c r="G353" s="104"/>
      <c r="H353" s="104"/>
      <c r="I353" s="104"/>
      <c r="J353" s="104"/>
      <c r="K353" s="104"/>
      <c r="L353" s="104"/>
      <c r="M353" s="104"/>
    </row>
    <row r="354" spans="1:13" s="89" customFormat="1" hidden="1" x14ac:dyDescent="0.25">
      <c r="A354" s="174"/>
      <c r="B354" s="70" t="s">
        <v>2310</v>
      </c>
      <c r="C354" s="77" t="s">
        <v>8</v>
      </c>
      <c r="D354" s="104"/>
      <c r="E354" s="104"/>
      <c r="F354" s="104"/>
      <c r="G354" s="104"/>
      <c r="H354" s="104">
        <f>IF(ISERR('[1]Общее+'!I435),"-",'[1]Общее+'!I435)</f>
        <v>25</v>
      </c>
      <c r="I354" s="104">
        <f>IF(ISERR('[1]Общее+'!J435),"-",'[1]Общее+'!J435)</f>
        <v>0</v>
      </c>
      <c r="J354" s="104">
        <f>IF(ISERR('[1]Общее+'!K435),"-",'[1]Общее+'!K435)</f>
        <v>25</v>
      </c>
      <c r="K354" s="104" t="str">
        <f>IF(ISERR('[1]Общее+'!L435),"-",'[1]Общее+'!L435)</f>
        <v>-</v>
      </c>
      <c r="L354" s="104" t="str">
        <f>IF(ISERR('[1]Общее+'!M435),"-",'[1]Общее+'!M435)</f>
        <v>-</v>
      </c>
      <c r="M354" s="104" t="str">
        <f>IF(ISERR('[1]Общее+'!N435),"-",'[1]Общее+'!N435)</f>
        <v>-</v>
      </c>
    </row>
    <row r="355" spans="1:13" s="89" customFormat="1" hidden="1" x14ac:dyDescent="0.25">
      <c r="A355" s="174"/>
      <c r="B355" s="70" t="s">
        <v>2311</v>
      </c>
      <c r="C355" s="77" t="s">
        <v>8</v>
      </c>
      <c r="D355" s="104"/>
      <c r="E355" s="104"/>
      <c r="F355" s="104"/>
      <c r="G355" s="104"/>
      <c r="H355" s="104">
        <f>IF(ISERR('[1]Общее+'!I436),"-",'[1]Общее+'!I436)</f>
        <v>25</v>
      </c>
      <c r="I355" s="104">
        <f>IF(ISERR('[1]Общее+'!J436),"-",'[1]Общее+'!J436)</f>
        <v>0</v>
      </c>
      <c r="J355" s="104">
        <f>IF(ISERR('[1]Общее+'!K436),"-",'[1]Общее+'!K436)</f>
        <v>25</v>
      </c>
      <c r="K355" s="104" t="str">
        <f>IF(ISERR('[1]Общее+'!L436),"-",'[1]Общее+'!L436)</f>
        <v>-</v>
      </c>
      <c r="L355" s="104" t="str">
        <f>IF(ISERR('[1]Общее+'!M436),"-",'[1]Общее+'!M436)</f>
        <v>-</v>
      </c>
      <c r="M355" s="104" t="str">
        <f>IF(ISERR('[1]Общее+'!N436),"-",'[1]Общее+'!N436)</f>
        <v>-</v>
      </c>
    </row>
    <row r="356" spans="1:13" s="89" customFormat="1" hidden="1" x14ac:dyDescent="0.25">
      <c r="A356" s="174"/>
      <c r="B356" s="70" t="s">
        <v>2312</v>
      </c>
      <c r="C356" s="77"/>
      <c r="D356" s="104"/>
      <c r="E356" s="104"/>
      <c r="F356" s="104"/>
      <c r="G356" s="104"/>
      <c r="H356" s="104"/>
      <c r="I356" s="104"/>
      <c r="J356" s="104"/>
      <c r="K356" s="104"/>
      <c r="L356" s="104"/>
      <c r="M356" s="104"/>
    </row>
    <row r="357" spans="1:13" s="89" customFormat="1" hidden="1" x14ac:dyDescent="0.25">
      <c r="A357" s="174"/>
      <c r="B357" s="70" t="s">
        <v>2310</v>
      </c>
      <c r="C357" s="77" t="s">
        <v>8</v>
      </c>
      <c r="D357" s="104"/>
      <c r="E357" s="104"/>
      <c r="F357" s="104"/>
      <c r="G357" s="104"/>
      <c r="H357" s="104">
        <f>IF(ISERR('[1]Общее+'!I438),"-",'[1]Общее+'!I438)</f>
        <v>25</v>
      </c>
      <c r="I357" s="104">
        <f>IF(ISERR('[1]Общее+'!J438),"-",'[1]Общее+'!J438)</f>
        <v>25</v>
      </c>
      <c r="J357" s="104">
        <f>IF(ISERR('[1]Общее+'!K438),"-",'[1]Общее+'!K438)</f>
        <v>25</v>
      </c>
      <c r="K357" s="104" t="str">
        <f>IF(ISERR('[1]Общее+'!L438),"-",'[1]Общее+'!L438)</f>
        <v>-</v>
      </c>
      <c r="L357" s="104" t="str">
        <f>IF(ISERR('[1]Общее+'!M438),"-",'[1]Общее+'!M438)</f>
        <v>-</v>
      </c>
      <c r="M357" s="104" t="str">
        <f>IF(ISERR('[1]Общее+'!N438),"-",'[1]Общее+'!N438)</f>
        <v>-</v>
      </c>
    </row>
    <row r="358" spans="1:13" s="89" customFormat="1" hidden="1" x14ac:dyDescent="0.25">
      <c r="A358" s="174"/>
      <c r="B358" s="70" t="s">
        <v>2311</v>
      </c>
      <c r="C358" s="77" t="s">
        <v>8</v>
      </c>
      <c r="D358" s="104"/>
      <c r="E358" s="104"/>
      <c r="F358" s="104"/>
      <c r="G358" s="104"/>
      <c r="H358" s="104">
        <f>IF(ISERR('[1]Общее+'!I439),"-",'[1]Общее+'!I439)</f>
        <v>0</v>
      </c>
      <c r="I358" s="104">
        <f>IF(ISERR('[1]Общее+'!J439),"-",'[1]Общее+'!J439)</f>
        <v>0</v>
      </c>
      <c r="J358" s="104">
        <f>IF(ISERR('[1]Общее+'!K439),"-",'[1]Общее+'!K439)</f>
        <v>0</v>
      </c>
      <c r="K358" s="104" t="str">
        <f>IF(ISERR('[1]Общее+'!L439),"-",'[1]Общее+'!L439)</f>
        <v>-</v>
      </c>
      <c r="L358" s="104" t="str">
        <f>IF(ISERR('[1]Общее+'!M439),"-",'[1]Общее+'!M439)</f>
        <v>-</v>
      </c>
      <c r="M358" s="104" t="str">
        <f>IF(ISERR('[1]Общее+'!N439),"-",'[1]Общее+'!N439)</f>
        <v>-</v>
      </c>
    </row>
    <row r="359" spans="1:13" s="89" customFormat="1" hidden="1" x14ac:dyDescent="0.25">
      <c r="A359" s="174"/>
      <c r="B359" s="70" t="s">
        <v>2313</v>
      </c>
      <c r="C359" s="77"/>
      <c r="D359" s="104"/>
      <c r="E359" s="104"/>
      <c r="F359" s="104"/>
      <c r="G359" s="104"/>
      <c r="H359" s="104"/>
      <c r="I359" s="104"/>
      <c r="J359" s="104"/>
      <c r="K359" s="104"/>
      <c r="L359" s="104"/>
      <c r="M359" s="104"/>
    </row>
    <row r="360" spans="1:13" s="89" customFormat="1" hidden="1" x14ac:dyDescent="0.25">
      <c r="A360" s="174"/>
      <c r="B360" s="70" t="s">
        <v>2314</v>
      </c>
      <c r="C360" s="77" t="s">
        <v>8</v>
      </c>
      <c r="D360" s="104"/>
      <c r="E360" s="104"/>
      <c r="F360" s="104"/>
      <c r="G360" s="104"/>
      <c r="H360" s="104">
        <f>IF(ISERR('[1]Общее+'!I441),"-",'[1]Общее+'!I441)</f>
        <v>0</v>
      </c>
      <c r="I360" s="104">
        <f>IF(ISERR('[1]Общее+'!J441),"-",'[1]Общее+'!J441)</f>
        <v>0</v>
      </c>
      <c r="J360" s="104">
        <f>IF(ISERR('[1]Общее+'!K441),"-",'[1]Общее+'!K441)</f>
        <v>0</v>
      </c>
      <c r="K360" s="104" t="str">
        <f>IF(ISERR('[1]Общее+'!L441),"-",'[1]Общее+'!L441)</f>
        <v>-</v>
      </c>
      <c r="L360" s="104" t="str">
        <f>IF(ISERR('[1]Общее+'!M441),"-",'[1]Общее+'!M441)</f>
        <v>-</v>
      </c>
      <c r="M360" s="104" t="str">
        <f>IF(ISERR('[1]Общее+'!N441),"-",'[1]Общее+'!N441)</f>
        <v>-</v>
      </c>
    </row>
    <row r="361" spans="1:13" s="89" customFormat="1" hidden="1" x14ac:dyDescent="0.25">
      <c r="A361" s="99"/>
      <c r="B361" s="70" t="s">
        <v>2315</v>
      </c>
      <c r="C361" s="77" t="s">
        <v>8</v>
      </c>
      <c r="D361" s="90"/>
      <c r="E361" s="90"/>
      <c r="F361" s="90"/>
      <c r="G361" s="90"/>
      <c r="H361" s="104">
        <f>IF(ISERR('[1]Общее+'!I442),"-",'[1]Общее+'!I442)</f>
        <v>0</v>
      </c>
      <c r="I361" s="104">
        <f>IF(ISERR('[1]Общее+'!J442),"-",'[1]Общее+'!J442)</f>
        <v>0</v>
      </c>
      <c r="J361" s="104">
        <f>IF(ISERR('[1]Общее+'!K442),"-",'[1]Общее+'!K442)</f>
        <v>0</v>
      </c>
      <c r="K361" s="104" t="str">
        <f>IF(ISERR('[1]Общее+'!L442),"-",'[1]Общее+'!L442)</f>
        <v>-</v>
      </c>
      <c r="L361" s="104" t="str">
        <f>IF(ISERR('[1]Общее+'!M442),"-",'[1]Общее+'!M442)</f>
        <v>-</v>
      </c>
      <c r="M361" s="104" t="str">
        <f>IF(ISERR('[1]Общее+'!N442),"-",'[1]Общее+'!N442)</f>
        <v>-</v>
      </c>
    </row>
    <row r="362" spans="1:13" s="89" customFormat="1" hidden="1" x14ac:dyDescent="0.25">
      <c r="A362" s="99"/>
      <c r="B362" s="70" t="s">
        <v>2520</v>
      </c>
      <c r="C362" s="13"/>
      <c r="D362" s="90"/>
      <c r="E362" s="90"/>
      <c r="F362" s="90"/>
      <c r="G362" s="90"/>
      <c r="H362" s="104"/>
      <c r="I362" s="104"/>
      <c r="J362" s="104"/>
      <c r="K362" s="104"/>
      <c r="L362" s="104"/>
      <c r="M362" s="104"/>
    </row>
    <row r="363" spans="1:13" s="89" customFormat="1" hidden="1" x14ac:dyDescent="0.25">
      <c r="A363" s="99"/>
      <c r="B363" s="70" t="s">
        <v>2314</v>
      </c>
      <c r="C363" s="77" t="s">
        <v>8</v>
      </c>
      <c r="D363" s="90"/>
      <c r="E363" s="90"/>
      <c r="F363" s="90"/>
      <c r="G363" s="90"/>
      <c r="H363" s="104"/>
      <c r="I363" s="104"/>
      <c r="J363" s="104"/>
      <c r="K363" s="104"/>
      <c r="L363" s="104"/>
      <c r="M363" s="104"/>
    </row>
    <row r="364" spans="1:13" s="89" customFormat="1" hidden="1" x14ac:dyDescent="0.25">
      <c r="A364" s="99"/>
      <c r="B364" s="70" t="s">
        <v>2315</v>
      </c>
      <c r="C364" s="77" t="s">
        <v>8</v>
      </c>
      <c r="D364" s="90"/>
      <c r="E364" s="90"/>
      <c r="F364" s="90"/>
      <c r="G364" s="90"/>
      <c r="H364" s="104"/>
      <c r="I364" s="104"/>
      <c r="J364" s="104"/>
      <c r="K364" s="104"/>
      <c r="L364" s="104"/>
      <c r="M364" s="104"/>
    </row>
    <row r="365" spans="1:13" s="89" customFormat="1" ht="60" x14ac:dyDescent="0.25">
      <c r="A365" s="99" t="s">
        <v>182</v>
      </c>
      <c r="B365" s="100" t="s">
        <v>2745</v>
      </c>
      <c r="C365" s="13"/>
      <c r="D365" s="90"/>
      <c r="E365" s="90"/>
      <c r="F365" s="90"/>
      <c r="G365" s="90"/>
      <c r="H365" s="104"/>
      <c r="I365" s="104"/>
      <c r="J365" s="104"/>
      <c r="K365" s="104"/>
      <c r="L365" s="104"/>
      <c r="M365" s="104"/>
    </row>
    <row r="366" spans="1:13" s="89" customFormat="1" ht="30" x14ac:dyDescent="0.25">
      <c r="A366" s="13" t="s">
        <v>183</v>
      </c>
      <c r="B366" s="70" t="s">
        <v>2522</v>
      </c>
      <c r="C366" s="13"/>
      <c r="D366" s="90"/>
      <c r="E366" s="90"/>
      <c r="F366" s="90"/>
      <c r="G366" s="90"/>
      <c r="H366" s="90"/>
      <c r="I366" s="90"/>
      <c r="J366" s="90"/>
      <c r="K366" s="90"/>
      <c r="L366" s="90"/>
      <c r="M366" s="90"/>
    </row>
    <row r="367" spans="1:13" s="89" customFormat="1" ht="30" x14ac:dyDescent="0.25">
      <c r="A367" s="13"/>
      <c r="B367" s="70" t="s">
        <v>1301</v>
      </c>
      <c r="C367" s="13" t="s">
        <v>1111</v>
      </c>
      <c r="D367" s="104"/>
      <c r="E367" s="104"/>
      <c r="F367" s="104"/>
      <c r="G367" s="104"/>
      <c r="H367" s="104">
        <f>IF(ISERR('[1]Общее+'!I478),"-",'[1]Общее+'!I478)</f>
        <v>3.67</v>
      </c>
      <c r="I367" s="104">
        <f>IF(ISERR('[1]Общее+'!J478),"-",'[1]Общее+'!J478)</f>
        <v>3.559485111213808</v>
      </c>
      <c r="J367" s="104">
        <f>IF(ISERR('[1]Общее+'!K478),"-",'[1]Общее+'!K478)</f>
        <v>3.4898947517155214</v>
      </c>
      <c r="K367" s="104">
        <f>IF(ISERR('[1]Общее+'!L478),"-",'[1]Общее+'!L478)</f>
        <v>6.6190277488003337</v>
      </c>
      <c r="L367" s="104">
        <f>IF(ISERR('[1]Общее+'!M478),"-",'[1]Общее+'!M478)</f>
        <v>6.7306815827636211</v>
      </c>
      <c r="M367" s="104">
        <f>IF(ISERR('[1]Общее+'!N478),"-",'[1]Общее+'!N478)</f>
        <v>6.6269093952709772</v>
      </c>
    </row>
    <row r="368" spans="1:13" s="89" customFormat="1" ht="30" x14ac:dyDescent="0.25">
      <c r="A368" s="13"/>
      <c r="B368" s="70" t="s">
        <v>1303</v>
      </c>
      <c r="C368" s="13" t="s">
        <v>1111</v>
      </c>
      <c r="D368" s="104"/>
      <c r="E368" s="104"/>
      <c r="F368" s="104"/>
      <c r="G368" s="104"/>
      <c r="H368" s="104">
        <f>IF(ISERR('[1]Общее+'!I479),"-",'[1]Общее+'!I479)</f>
        <v>3.43</v>
      </c>
      <c r="I368" s="104">
        <f>IF(ISERR('[1]Общее+'!J479),"-",'[1]Общее+'!J479)</f>
        <v>3.325223864955281</v>
      </c>
      <c r="J368" s="104">
        <f>IF(ISERR('[1]Общее+'!K479),"-",'[1]Общее+'!K479)</f>
        <v>3.2220174920721236</v>
      </c>
      <c r="K368" s="104">
        <f>IF(ISERR('[1]Общее+'!L479),"-",'[1]Общее+'!L479)</f>
        <v>12.802663438256658</v>
      </c>
      <c r="L368" s="104">
        <f>IF(ISERR('[1]Общее+'!M479),"-",'[1]Общее+'!M479)</f>
        <v>12.646555079797587</v>
      </c>
      <c r="M368" s="104">
        <f>IF(ISERR('[1]Общее+'!N479),"-",'[1]Общее+'!N479)</f>
        <v>5.8257341576506958</v>
      </c>
    </row>
    <row r="369" spans="1:13" s="89" customFormat="1" ht="30" x14ac:dyDescent="0.25">
      <c r="A369" s="13"/>
      <c r="B369" s="70" t="s">
        <v>1304</v>
      </c>
      <c r="C369" s="13" t="s">
        <v>1111</v>
      </c>
      <c r="D369" s="104"/>
      <c r="E369" s="104"/>
      <c r="F369" s="104"/>
      <c r="G369" s="104"/>
      <c r="H369" s="104">
        <f>IF(ISERR('[1]Общее+'!I480),"-",'[1]Общее+'!I480)</f>
        <v>6.17</v>
      </c>
      <c r="I369" s="104">
        <f>IF(ISERR('[1]Общее+'!J480),"-",'[1]Общее+'!J480)</f>
        <v>5.9449418917063879</v>
      </c>
      <c r="J369" s="104">
        <f>IF(ISERR('[1]Общее+'!K480),"-",'[1]Общее+'!K480)</f>
        <v>6.3122903913186965</v>
      </c>
      <c r="K369" s="104">
        <f>IF(ISERR('[1]Общее+'!L480),"-",'[1]Общее+'!L480)</f>
        <v>0</v>
      </c>
      <c r="L369" s="104">
        <f>IF(ISERR('[1]Общее+'!M480),"-",'[1]Общее+'!M480)</f>
        <v>0</v>
      </c>
      <c r="M369" s="104">
        <f>IF(ISERR('[1]Общее+'!N480),"-",'[1]Общее+'!N480)</f>
        <v>7.573254221816522</v>
      </c>
    </row>
    <row r="370" spans="1:13" s="89" customFormat="1" ht="30" x14ac:dyDescent="0.25">
      <c r="A370" s="13"/>
      <c r="B370" s="70" t="s">
        <v>1302</v>
      </c>
      <c r="C370" s="13" t="s">
        <v>1111</v>
      </c>
      <c r="D370" s="104"/>
      <c r="E370" s="104"/>
      <c r="F370" s="104"/>
      <c r="G370" s="104"/>
      <c r="H370" s="104">
        <f>IF(ISERR('[1]Общее+'!I481),"-",'[1]Общее+'!I481)</f>
        <v>5.174725274725275</v>
      </c>
      <c r="I370" s="104">
        <f>IF(ISERR('[1]Общее+'!J481),"-",'[1]Общее+'!J481)</f>
        <v>5.1018418201516793</v>
      </c>
      <c r="J370" s="104">
        <f>IF(ISERR('[1]Общее+'!K481),"-",'[1]Общее+'!K481)</f>
        <v>5.0743534482758621</v>
      </c>
      <c r="K370" s="104" t="str">
        <f>IF(ISERR('[1]Общее+'!L481),"-",'[1]Общее+'!L481)</f>
        <v>-</v>
      </c>
      <c r="L370" s="104" t="str">
        <f>IF(ISERR('[1]Общее+'!M481),"-",'[1]Общее+'!M481)</f>
        <v>-</v>
      </c>
      <c r="M370" s="104" t="str">
        <f>IF(ISERR('[1]Общее+'!N481),"-",'[1]Общее+'!N481)</f>
        <v>-</v>
      </c>
    </row>
    <row r="371" spans="1:13" s="89" customFormat="1" ht="30" x14ac:dyDescent="0.25">
      <c r="A371" s="13"/>
      <c r="B371" s="70" t="s">
        <v>1303</v>
      </c>
      <c r="C371" s="13" t="s">
        <v>1111</v>
      </c>
      <c r="D371" s="104"/>
      <c r="E371" s="104"/>
      <c r="F371" s="104"/>
      <c r="G371" s="104"/>
      <c r="H371" s="104">
        <f>IF(ISERR('[1]Общее+'!I482),"-",'[1]Общее+'!I482)</f>
        <v>5.174725274725275</v>
      </c>
      <c r="I371" s="104">
        <f>IF(ISERR('[1]Общее+'!J482),"-",'[1]Общее+'!J482)</f>
        <v>5.1018418201516793</v>
      </c>
      <c r="J371" s="104">
        <f>IF(ISERR('[1]Общее+'!K482),"-",'[1]Общее+'!K482)</f>
        <v>5.0743534482758621</v>
      </c>
      <c r="K371" s="104" t="str">
        <f>IF(ISERR('[1]Общее+'!L482),"-",'[1]Общее+'!L482)</f>
        <v>-</v>
      </c>
      <c r="L371" s="104" t="str">
        <f>IF(ISERR('[1]Общее+'!M482),"-",'[1]Общее+'!M482)</f>
        <v>-</v>
      </c>
      <c r="M371" s="104" t="str">
        <f>IF(ISERR('[1]Общее+'!N482),"-",'[1]Общее+'!N482)</f>
        <v>-</v>
      </c>
    </row>
    <row r="372" spans="1:13" s="89" customFormat="1" ht="30" x14ac:dyDescent="0.25">
      <c r="A372" s="13"/>
      <c r="B372" s="70" t="s">
        <v>1304</v>
      </c>
      <c r="C372" s="13" t="s">
        <v>1111</v>
      </c>
      <c r="D372" s="104"/>
      <c r="E372" s="104"/>
      <c r="F372" s="104"/>
      <c r="G372" s="104"/>
      <c r="H372" s="104" t="str">
        <f>IF(ISERR('[1]Общее+'!I483),"-",'[1]Общее+'!I483)</f>
        <v>-</v>
      </c>
      <c r="I372" s="104" t="str">
        <f>IF(ISERR('[1]Общее+'!J483),"-",'[1]Общее+'!J483)</f>
        <v>-</v>
      </c>
      <c r="J372" s="104" t="str">
        <f>IF(ISERR('[1]Общее+'!K483),"-",'[1]Общее+'!K483)</f>
        <v>-</v>
      </c>
      <c r="K372" s="104" t="str">
        <f>IF(ISERR('[1]Общее+'!L483),"-",'[1]Общее+'!L483)</f>
        <v>-</v>
      </c>
      <c r="L372" s="104" t="str">
        <f>IF(ISERR('[1]Общее+'!M483),"-",'[1]Общее+'!M483)</f>
        <v>-</v>
      </c>
      <c r="M372" s="104" t="str">
        <f>IF(ISERR('[1]Общее+'!N483),"-",'[1]Общее+'!N483)</f>
        <v>-</v>
      </c>
    </row>
    <row r="373" spans="1:13" s="89" customFormat="1" ht="45" x14ac:dyDescent="0.25">
      <c r="A373" s="13" t="s">
        <v>207</v>
      </c>
      <c r="B373" s="70" t="s">
        <v>2523</v>
      </c>
      <c r="C373" s="13"/>
      <c r="D373" s="90"/>
      <c r="E373" s="90"/>
      <c r="F373" s="90"/>
      <c r="G373" s="90"/>
      <c r="H373" s="90"/>
      <c r="I373" s="90"/>
      <c r="J373" s="90"/>
      <c r="K373" s="90"/>
      <c r="L373" s="90"/>
      <c r="M373" s="90"/>
    </row>
    <row r="374" spans="1:13" s="89" customFormat="1" x14ac:dyDescent="0.25">
      <c r="A374" s="13"/>
      <c r="B374" s="70" t="s">
        <v>1296</v>
      </c>
      <c r="C374" s="13"/>
      <c r="D374" s="90"/>
      <c r="E374" s="90"/>
      <c r="F374" s="90"/>
      <c r="G374" s="90"/>
      <c r="H374" s="104"/>
      <c r="I374" s="104"/>
      <c r="J374" s="104"/>
      <c r="K374" s="104"/>
      <c r="L374" s="104"/>
      <c r="M374" s="104"/>
    </row>
    <row r="375" spans="1:13" s="89" customFormat="1" x14ac:dyDescent="0.25">
      <c r="A375" s="13"/>
      <c r="B375" s="70" t="s">
        <v>2304</v>
      </c>
      <c r="C375" s="13" t="s">
        <v>8</v>
      </c>
      <c r="D375" s="90"/>
      <c r="E375" s="90"/>
      <c r="F375" s="90"/>
      <c r="G375" s="90"/>
      <c r="H375" s="104">
        <f>IF(ISERR('[1]Общее+'!I547),"-",'[1]Общее+'!I547)</f>
        <v>96.868475991649277</v>
      </c>
      <c r="I375" s="104">
        <f>IF(ISERR('[1]Общее+'!J547),"-",'[1]Общее+'!J547)</f>
        <v>98.290598290598282</v>
      </c>
      <c r="J375" s="104">
        <f>IF(ISERR('[1]Общее+'!K547),"-",'[1]Общее+'!K547)</f>
        <v>98.290598290598282</v>
      </c>
      <c r="K375" s="104">
        <f>IF(ISERR('[1]Общее+'!L547),"-",'[1]Общее+'!L547)</f>
        <v>58.064516129032263</v>
      </c>
      <c r="L375" s="104">
        <f>IF(ISERR('[1]Общее+'!M547),"-",'[1]Общее+'!M547)</f>
        <v>52.941176470588239</v>
      </c>
      <c r="M375" s="104">
        <f>IF(ISERR('[1]Общее+'!N547),"-",'[1]Общее+'!N547)</f>
        <v>54.54545454545454</v>
      </c>
    </row>
    <row r="376" spans="1:13" s="89" customFormat="1" x14ac:dyDescent="0.25">
      <c r="A376" s="13"/>
      <c r="B376" s="70" t="s">
        <v>1303</v>
      </c>
      <c r="C376" s="13" t="s">
        <v>8</v>
      </c>
      <c r="D376" s="90"/>
      <c r="E376" s="90"/>
      <c r="F376" s="90"/>
      <c r="G376" s="90"/>
      <c r="H376" s="104">
        <f>IF(ISERR('[1]Общее+'!I548),"-",'[1]Общее+'!I548)</f>
        <v>99.6875</v>
      </c>
      <c r="I376" s="104">
        <f>IF(ISERR('[1]Общее+'!J548),"-",'[1]Общее+'!J548)</f>
        <v>99.685534591194966</v>
      </c>
      <c r="J376" s="104">
        <f>IF(ISERR('[1]Общее+'!K548),"-",'[1]Общее+'!K548)</f>
        <v>99.367088607594937</v>
      </c>
      <c r="K376" s="104">
        <f>IF(ISERR('[1]Общее+'!L548),"-",'[1]Общее+'!L548)</f>
        <v>55.555555555555557</v>
      </c>
      <c r="L376" s="104">
        <f>IF(ISERR('[1]Общее+'!M548),"-",'[1]Общее+'!M548)</f>
        <v>38.461538461538467</v>
      </c>
      <c r="M376" s="104">
        <f>IF(ISERR('[1]Общее+'!N548),"-",'[1]Общее+'!N548)</f>
        <v>38.461538461538467</v>
      </c>
    </row>
    <row r="377" spans="1:13" s="89" customFormat="1" x14ac:dyDescent="0.25">
      <c r="A377" s="13"/>
      <c r="B377" s="70" t="s">
        <v>1304</v>
      </c>
      <c r="C377" s="13" t="s">
        <v>8</v>
      </c>
      <c r="D377" s="90"/>
      <c r="E377" s="90"/>
      <c r="F377" s="90"/>
      <c r="G377" s="90"/>
      <c r="H377" s="104">
        <f>IF(ISERR('[1]Общее+'!I549),"-",'[1]Общее+'!I549)</f>
        <v>91.19496855345912</v>
      </c>
      <c r="I377" s="104">
        <f>IF(ISERR('[1]Общее+'!J549),"-",'[1]Общее+'!J549)</f>
        <v>95.333333333333343</v>
      </c>
      <c r="J377" s="104">
        <f>IF(ISERR('[1]Общее+'!K549),"-",'[1]Общее+'!K549)</f>
        <v>96.05263157894737</v>
      </c>
      <c r="K377" s="104">
        <f>IF(ISERR('[1]Общее+'!L549),"-",'[1]Общее+'!L549)</f>
        <v>59.090909090909093</v>
      </c>
      <c r="L377" s="104">
        <f>IF(ISERR('[1]Общее+'!M549),"-",'[1]Общее+'!M549)</f>
        <v>61.904761904761905</v>
      </c>
      <c r="M377" s="104">
        <f>IF(ISERR('[1]Общее+'!N549),"-",'[1]Общее+'!N549)</f>
        <v>65</v>
      </c>
    </row>
    <row r="378" spans="1:13" s="89" customFormat="1" hidden="1" x14ac:dyDescent="0.25">
      <c r="A378" s="13"/>
      <c r="B378" s="70" t="s">
        <v>1297</v>
      </c>
      <c r="C378" s="13"/>
      <c r="D378" s="90"/>
      <c r="E378" s="90"/>
      <c r="F378" s="90"/>
      <c r="G378" s="90"/>
      <c r="H378" s="104"/>
      <c r="I378" s="104"/>
      <c r="J378" s="104"/>
      <c r="K378" s="104"/>
      <c r="L378" s="104"/>
      <c r="M378" s="104"/>
    </row>
    <row r="379" spans="1:13" s="89" customFormat="1" hidden="1" x14ac:dyDescent="0.25">
      <c r="A379" s="13"/>
      <c r="B379" s="70" t="s">
        <v>2304</v>
      </c>
      <c r="C379" s="13" t="s">
        <v>8</v>
      </c>
      <c r="D379" s="90"/>
      <c r="E379" s="90"/>
      <c r="F379" s="90"/>
      <c r="G379" s="90"/>
      <c r="H379" s="104">
        <f>IF(ISERR('[1]Общее+'!I568),"-",'[1]Общее+'!I568)</f>
        <v>100</v>
      </c>
      <c r="I379" s="104">
        <f>IF(ISERR('[1]Общее+'!J568),"-",'[1]Общее+'!J568)</f>
        <v>100</v>
      </c>
      <c r="J379" s="104">
        <f>IF(ISERR('[1]Общее+'!K568),"-",'[1]Общее+'!K568)</f>
        <v>100</v>
      </c>
      <c r="K379" s="104" t="str">
        <f>IF(ISERR('[1]Общее+'!L568),"-",'[1]Общее+'!L568)</f>
        <v>-</v>
      </c>
      <c r="L379" s="104" t="str">
        <f>IF(ISERR('[1]Общее+'!M568),"-",'[1]Общее+'!M568)</f>
        <v>-</v>
      </c>
      <c r="M379" s="104" t="str">
        <f>IF(ISERR('[1]Общее+'!N568),"-",'[1]Общее+'!N568)</f>
        <v>-</v>
      </c>
    </row>
    <row r="380" spans="1:13" s="89" customFormat="1" hidden="1" x14ac:dyDescent="0.25">
      <c r="A380" s="13"/>
      <c r="B380" s="70" t="s">
        <v>1303</v>
      </c>
      <c r="C380" s="13" t="s">
        <v>8</v>
      </c>
      <c r="D380" s="90"/>
      <c r="E380" s="90"/>
      <c r="F380" s="90"/>
      <c r="G380" s="90"/>
      <c r="H380" s="104">
        <f>IF(ISERR('[1]Общее+'!I569),"-",'[1]Общее+'!I569)</f>
        <v>100</v>
      </c>
      <c r="I380" s="104">
        <f>IF(ISERR('[1]Общее+'!J569),"-",'[1]Общее+'!J569)</f>
        <v>100</v>
      </c>
      <c r="J380" s="104">
        <f>IF(ISERR('[1]Общее+'!K569),"-",'[1]Общее+'!K569)</f>
        <v>100</v>
      </c>
      <c r="K380" s="104" t="str">
        <f>IF(ISERR('[1]Общее+'!L569),"-",'[1]Общее+'!L569)</f>
        <v>-</v>
      </c>
      <c r="L380" s="104" t="str">
        <f>IF(ISERR('[1]Общее+'!M569),"-",'[1]Общее+'!M569)</f>
        <v>-</v>
      </c>
      <c r="M380" s="104" t="str">
        <f>IF(ISERR('[1]Общее+'!N569),"-",'[1]Общее+'!N569)</f>
        <v>-</v>
      </c>
    </row>
    <row r="381" spans="1:13" s="89" customFormat="1" hidden="1" x14ac:dyDescent="0.25">
      <c r="A381" s="13"/>
      <c r="B381" s="70" t="s">
        <v>1304</v>
      </c>
      <c r="C381" s="13" t="s">
        <v>8</v>
      </c>
      <c r="D381" s="90"/>
      <c r="E381" s="90"/>
      <c r="F381" s="90"/>
      <c r="G381" s="90"/>
      <c r="H381" s="104" t="str">
        <f>IF(ISERR('[1]Общее+'!I570),"-",'[1]Общее+'!I570)</f>
        <v>-</v>
      </c>
      <c r="I381" s="104" t="str">
        <f>IF(ISERR('[1]Общее+'!J570),"-",'[1]Общее+'!J570)</f>
        <v>-</v>
      </c>
      <c r="J381" s="104" t="str">
        <f>IF(ISERR('[1]Общее+'!K570),"-",'[1]Общее+'!K570)</f>
        <v>-</v>
      </c>
      <c r="K381" s="104" t="str">
        <f>IF(ISERR('[1]Общее+'!L570),"-",'[1]Общее+'!L570)</f>
        <v>-</v>
      </c>
      <c r="L381" s="104" t="str">
        <f>IF(ISERR('[1]Общее+'!M570),"-",'[1]Общее+'!M570)</f>
        <v>-</v>
      </c>
      <c r="M381" s="104" t="str">
        <f>IF(ISERR('[1]Общее+'!N570),"-",'[1]Общее+'!N570)</f>
        <v>-</v>
      </c>
    </row>
    <row r="382" spans="1:13" s="89" customFormat="1" hidden="1" x14ac:dyDescent="0.25">
      <c r="A382" s="13"/>
      <c r="B382" s="70" t="s">
        <v>1298</v>
      </c>
      <c r="C382" s="13"/>
      <c r="D382" s="104"/>
      <c r="E382" s="104"/>
      <c r="F382" s="104"/>
      <c r="G382" s="104"/>
      <c r="H382" s="104"/>
      <c r="I382" s="104"/>
      <c r="J382" s="104"/>
      <c r="K382" s="104"/>
      <c r="L382" s="104"/>
      <c r="M382" s="104"/>
    </row>
    <row r="383" spans="1:13" s="89" customFormat="1" hidden="1" x14ac:dyDescent="0.25">
      <c r="A383" s="13"/>
      <c r="B383" s="70" t="s">
        <v>1301</v>
      </c>
      <c r="C383" s="13" t="s">
        <v>8</v>
      </c>
      <c r="D383" s="104">
        <f>IF(ISERR('[1]Общее+'!E551),"-",'[1]Общее+'!E551)</f>
        <v>95.626822157434404</v>
      </c>
      <c r="E383" s="104">
        <f>IF(ISERR('[1]Общее+'!F551),"-",'[1]Общее+'!F551)</f>
        <v>95.87020648967551</v>
      </c>
      <c r="F383" s="104">
        <f>IF(ISERR('[1]Общее+'!G551),"-",'[1]Общее+'!G551)</f>
        <v>96.060606060606062</v>
      </c>
      <c r="G383" s="104">
        <f>IF(ISERR('[1]Общее+'!H551),"-",'[1]Общее+'!H551)</f>
        <v>98.136645962732914</v>
      </c>
      <c r="H383" s="104">
        <f>IF(ISERR('[1]Общее+'!I551),"-",'[1]Общее+'!I551)</f>
        <v>96.833773087071236</v>
      </c>
      <c r="I383" s="104" t="str">
        <f>IF(ISERR('[1]Общее+'!J551),"-",'[1]Общее+'!J551)</f>
        <v>-</v>
      </c>
      <c r="J383" s="104" t="str">
        <f>IF(ISERR('[1]Общее+'!K551),"-",'[1]Общее+'!K551)</f>
        <v>-</v>
      </c>
      <c r="K383" s="104" t="str">
        <f>IF(ISERR('[1]Общее+'!L551),"-",'[1]Общее+'!L551)</f>
        <v>-</v>
      </c>
      <c r="L383" s="104" t="str">
        <f>IF(ISERR('[1]Общее+'!M551),"-",'[1]Общее+'!M551)</f>
        <v>-</v>
      </c>
      <c r="M383" s="104" t="str">
        <f>IF(ISERR('[1]Общее+'!N551),"-",'[1]Общее+'!N551)</f>
        <v>-</v>
      </c>
    </row>
    <row r="384" spans="1:13" s="89" customFormat="1" hidden="1" x14ac:dyDescent="0.25">
      <c r="A384" s="13"/>
      <c r="B384" s="70" t="s">
        <v>1303</v>
      </c>
      <c r="C384" s="13" t="s">
        <v>8</v>
      </c>
      <c r="D384" s="104"/>
      <c r="E384" s="104"/>
      <c r="F384" s="104"/>
      <c r="G384" s="104">
        <f>IF(ISERR('[1]Общее+'!H552),"-",'[1]Общее+'!H552)</f>
        <v>100</v>
      </c>
      <c r="H384" s="104">
        <f>IF(ISERR('[1]Общее+'!I552),"-",'[1]Общее+'!I552)</f>
        <v>100</v>
      </c>
      <c r="I384" s="104" t="str">
        <f>IF(ISERR('[1]Общее+'!J552),"-",'[1]Общее+'!J552)</f>
        <v>-</v>
      </c>
      <c r="J384" s="104" t="str">
        <f>IF(ISERR('[1]Общее+'!K552),"-",'[1]Общее+'!K552)</f>
        <v>-</v>
      </c>
      <c r="K384" s="104" t="str">
        <f>IF(ISERR('[1]Общее+'!L552),"-",'[1]Общее+'!L552)</f>
        <v>-</v>
      </c>
      <c r="L384" s="104" t="str">
        <f>IF(ISERR('[1]Общее+'!M552),"-",'[1]Общее+'!M552)</f>
        <v>-</v>
      </c>
      <c r="M384" s="104" t="str">
        <f>IF(ISERR('[1]Общее+'!N552),"-",'[1]Общее+'!N552)</f>
        <v>-</v>
      </c>
    </row>
    <row r="385" spans="1:13" s="89" customFormat="1" hidden="1" x14ac:dyDescent="0.25">
      <c r="A385" s="13"/>
      <c r="B385" s="70" t="s">
        <v>1304</v>
      </c>
      <c r="C385" s="13" t="s">
        <v>8</v>
      </c>
      <c r="D385" s="104"/>
      <c r="E385" s="104"/>
      <c r="F385" s="104"/>
      <c r="G385" s="104">
        <f>IF(ISERR('[1]Общее+'!H553),"-",'[1]Общее+'!H553)</f>
        <v>94</v>
      </c>
      <c r="H385" s="104">
        <f>IF(ISERR('[1]Общее+'!I553),"-",'[1]Общее+'!I553)</f>
        <v>92.452830188679243</v>
      </c>
      <c r="I385" s="104" t="str">
        <f>IF(ISERR('[1]Общее+'!J553),"-",'[1]Общее+'!J553)</f>
        <v>-</v>
      </c>
      <c r="J385" s="104" t="str">
        <f>IF(ISERR('[1]Общее+'!K553),"-",'[1]Общее+'!K553)</f>
        <v>-</v>
      </c>
      <c r="K385" s="104" t="str">
        <f>IF(ISERR('[1]Общее+'!L553),"-",'[1]Общее+'!L553)</f>
        <v>-</v>
      </c>
      <c r="L385" s="104" t="str">
        <f>IF(ISERR('[1]Общее+'!M553),"-",'[1]Общее+'!M553)</f>
        <v>-</v>
      </c>
      <c r="M385" s="104" t="str">
        <f>IF(ISERR('[1]Общее+'!N553),"-",'[1]Общее+'!N553)</f>
        <v>-</v>
      </c>
    </row>
    <row r="386" spans="1:13" s="89" customFormat="1" hidden="1" x14ac:dyDescent="0.25">
      <c r="A386" s="13"/>
      <c r="B386" s="70" t="s">
        <v>1302</v>
      </c>
      <c r="C386" s="13" t="s">
        <v>8</v>
      </c>
      <c r="D386" s="104">
        <f>IF(ISERR('[1]Общее+'!E554),"-",'[1]Общее+'!E554)</f>
        <v>100</v>
      </c>
      <c r="E386" s="104">
        <f>IF(ISERR('[1]Общее+'!F554),"-",'[1]Общее+'!F554)</f>
        <v>100</v>
      </c>
      <c r="F386" s="104">
        <f>IF(ISERR('[1]Общее+'!G554),"-",'[1]Общее+'!G554)</f>
        <v>100</v>
      </c>
      <c r="G386" s="104">
        <f>IF(ISERR('[1]Общее+'!H554),"-",'[1]Общее+'!H554)</f>
        <v>100</v>
      </c>
      <c r="H386" s="104">
        <f>IF(ISERR('[1]Общее+'!I554),"-",'[1]Общее+'!I554)</f>
        <v>150</v>
      </c>
      <c r="I386" s="104">
        <f>IF(ISERR('[1]Общее+'!J554),"-",'[1]Общее+'!J554)</f>
        <v>0</v>
      </c>
      <c r="J386" s="104">
        <f>IF(ISERR('[1]Общее+'!K554),"-",'[1]Общее+'!K554)</f>
        <v>0</v>
      </c>
      <c r="K386" s="104" t="str">
        <f>IF(ISERR('[1]Общее+'!L554),"-",'[1]Общее+'!L554)</f>
        <v>-</v>
      </c>
      <c r="L386" s="104" t="str">
        <f>IF(ISERR('[1]Общее+'!M554),"-",'[1]Общее+'!M554)</f>
        <v>-</v>
      </c>
      <c r="M386" s="104" t="str">
        <f>IF(ISERR('[1]Общее+'!N554),"-",'[1]Общее+'!N554)</f>
        <v>-</v>
      </c>
    </row>
    <row r="387" spans="1:13" s="89" customFormat="1" hidden="1" x14ac:dyDescent="0.25">
      <c r="A387" s="13"/>
      <c r="B387" s="70" t="s">
        <v>1303</v>
      </c>
      <c r="C387" s="13" t="s">
        <v>8</v>
      </c>
      <c r="D387" s="104"/>
      <c r="E387" s="104"/>
      <c r="F387" s="104"/>
      <c r="G387" s="104">
        <f>IF(ISERR('[1]Общее+'!H555),"-",'[1]Общее+'!H555)</f>
        <v>100</v>
      </c>
      <c r="H387" s="104">
        <f>IF(ISERR('[1]Общее+'!I555),"-",'[1]Общее+'!I555)</f>
        <v>150</v>
      </c>
      <c r="I387" s="104">
        <f>IF(ISERR('[1]Общее+'!J555),"-",'[1]Общее+'!J555)</f>
        <v>0</v>
      </c>
      <c r="J387" s="104">
        <f>IF(ISERR('[1]Общее+'!K555),"-",'[1]Общее+'!K555)</f>
        <v>0</v>
      </c>
      <c r="K387" s="104" t="str">
        <f>IF(ISERR('[1]Общее+'!L555),"-",'[1]Общее+'!L555)</f>
        <v>-</v>
      </c>
      <c r="L387" s="104" t="str">
        <f>IF(ISERR('[1]Общее+'!M555),"-",'[1]Общее+'!M555)</f>
        <v>-</v>
      </c>
      <c r="M387" s="104" t="str">
        <f>IF(ISERR('[1]Общее+'!N555),"-",'[1]Общее+'!N555)</f>
        <v>-</v>
      </c>
    </row>
    <row r="388" spans="1:13" s="89" customFormat="1" hidden="1" x14ac:dyDescent="0.25">
      <c r="A388" s="13"/>
      <c r="B388" s="70" t="s">
        <v>1304</v>
      </c>
      <c r="C388" s="13" t="s">
        <v>8</v>
      </c>
      <c r="D388" s="104"/>
      <c r="E388" s="104"/>
      <c r="F388" s="104"/>
      <c r="G388" s="104" t="str">
        <f>IF(ISERR('[1]Общее+'!H556),"-",'[1]Общее+'!H556)</f>
        <v>-</v>
      </c>
      <c r="H388" s="104" t="str">
        <f>IF(ISERR('[1]Общее+'!I556),"-",'[1]Общее+'!I556)</f>
        <v>-</v>
      </c>
      <c r="I388" s="104" t="str">
        <f>IF(ISERR('[1]Общее+'!J556),"-",'[1]Общее+'!J556)</f>
        <v>-</v>
      </c>
      <c r="J388" s="104" t="str">
        <f>IF(ISERR('[1]Общее+'!K556),"-",'[1]Общее+'!K556)</f>
        <v>-</v>
      </c>
      <c r="K388" s="104" t="str">
        <f>IF(ISERR('[1]Общее+'!L556),"-",'[1]Общее+'!L556)</f>
        <v>-</v>
      </c>
      <c r="L388" s="104" t="str">
        <f>IF(ISERR('[1]Общее+'!M556),"-",'[1]Общее+'!M556)</f>
        <v>-</v>
      </c>
      <c r="M388" s="104" t="str">
        <f>IF(ISERR('[1]Общее+'!N556),"-",'[1]Общее+'!N556)</f>
        <v>-</v>
      </c>
    </row>
    <row r="389" spans="1:13" s="89" customFormat="1" hidden="1" x14ac:dyDescent="0.25">
      <c r="A389" s="13"/>
      <c r="B389" s="70" t="s">
        <v>1299</v>
      </c>
      <c r="C389" s="13"/>
      <c r="D389" s="104"/>
      <c r="E389" s="104"/>
      <c r="F389" s="104"/>
      <c r="G389" s="104"/>
      <c r="H389" s="104"/>
      <c r="I389" s="104"/>
      <c r="J389" s="104"/>
      <c r="K389" s="104"/>
      <c r="L389" s="104"/>
      <c r="M389" s="104"/>
    </row>
    <row r="390" spans="1:13" s="89" customFormat="1" hidden="1" x14ac:dyDescent="0.25">
      <c r="A390" s="13"/>
      <c r="B390" s="70" t="s">
        <v>1301</v>
      </c>
      <c r="C390" s="13" t="s">
        <v>8</v>
      </c>
      <c r="D390" s="104">
        <f>IF(ISERR('[1]Общее+'!E558),"-",'[1]Общее+'!E558)</f>
        <v>98.250728862973759</v>
      </c>
      <c r="E390" s="104">
        <f>IF(ISERR('[1]Общее+'!F558),"-",'[1]Общее+'!F558)</f>
        <v>98.525073746312685</v>
      </c>
      <c r="F390" s="104">
        <f>IF(ISERR('[1]Общее+'!G558),"-",'[1]Общее+'!G558)</f>
        <v>98.787878787878796</v>
      </c>
      <c r="G390" s="104">
        <f>IF(ISERR('[1]Общее+'!H558),"-",'[1]Общее+'!H558)</f>
        <v>99.378881987577643</v>
      </c>
      <c r="H390" s="104">
        <f>IF(ISERR('[1]Общее+'!I558),"-",'[1]Общее+'!I558)</f>
        <v>99.47229551451187</v>
      </c>
      <c r="I390" s="104" t="str">
        <f>IF(ISERR('[1]Общее+'!J558),"-",'[1]Общее+'!J558)</f>
        <v>-</v>
      </c>
      <c r="J390" s="104" t="str">
        <f>IF(ISERR('[1]Общее+'!K558),"-",'[1]Общее+'!K558)</f>
        <v>-</v>
      </c>
      <c r="K390" s="104" t="str">
        <f>IF(ISERR('[1]Общее+'!L558),"-",'[1]Общее+'!L558)</f>
        <v>-</v>
      </c>
      <c r="L390" s="104" t="str">
        <f>IF(ISERR('[1]Общее+'!M558),"-",'[1]Общее+'!M558)</f>
        <v>-</v>
      </c>
      <c r="M390" s="104" t="str">
        <f>IF(ISERR('[1]Общее+'!N558),"-",'[1]Общее+'!N558)</f>
        <v>-</v>
      </c>
    </row>
    <row r="391" spans="1:13" s="89" customFormat="1" hidden="1" x14ac:dyDescent="0.25">
      <c r="A391" s="13"/>
      <c r="B391" s="70" t="s">
        <v>1303</v>
      </c>
      <c r="C391" s="13" t="s">
        <v>8</v>
      </c>
      <c r="D391" s="104"/>
      <c r="E391" s="104"/>
      <c r="F391" s="104"/>
      <c r="G391" s="104">
        <f>IF(ISERR('[1]Общее+'!H559),"-",'[1]Общее+'!H559)</f>
        <v>100</v>
      </c>
      <c r="H391" s="104">
        <f>IF(ISERR('[1]Общее+'!I559),"-",'[1]Общее+'!I559)</f>
        <v>100</v>
      </c>
      <c r="I391" s="104" t="str">
        <f>IF(ISERR('[1]Общее+'!J559),"-",'[1]Общее+'!J559)</f>
        <v>-</v>
      </c>
      <c r="J391" s="104" t="str">
        <f>IF(ISERR('[1]Общее+'!K559),"-",'[1]Общее+'!K559)</f>
        <v>-</v>
      </c>
      <c r="K391" s="104" t="str">
        <f>IF(ISERR('[1]Общее+'!L559),"-",'[1]Общее+'!L559)</f>
        <v>-</v>
      </c>
      <c r="L391" s="104" t="str">
        <f>IF(ISERR('[1]Общее+'!M559),"-",'[1]Общее+'!M559)</f>
        <v>-</v>
      </c>
      <c r="M391" s="104" t="str">
        <f>IF(ISERR('[1]Общее+'!N559),"-",'[1]Общее+'!N559)</f>
        <v>-</v>
      </c>
    </row>
    <row r="392" spans="1:13" s="89" customFormat="1" hidden="1" x14ac:dyDescent="0.25">
      <c r="A392" s="13"/>
      <c r="B392" s="70" t="s">
        <v>1304</v>
      </c>
      <c r="C392" s="13" t="s">
        <v>8</v>
      </c>
      <c r="D392" s="104"/>
      <c r="E392" s="104"/>
      <c r="F392" s="104"/>
      <c r="G392" s="104">
        <f>IF(ISERR('[1]Общее+'!H560),"-",'[1]Общее+'!H560)</f>
        <v>98</v>
      </c>
      <c r="H392" s="104">
        <f>IF(ISERR('[1]Общее+'!I560),"-",'[1]Общее+'!I560)</f>
        <v>98.742138364779876</v>
      </c>
      <c r="I392" s="104" t="str">
        <f>IF(ISERR('[1]Общее+'!J560),"-",'[1]Общее+'!J560)</f>
        <v>-</v>
      </c>
      <c r="J392" s="104" t="str">
        <f>IF(ISERR('[1]Общее+'!K560),"-",'[1]Общее+'!K560)</f>
        <v>-</v>
      </c>
      <c r="K392" s="104" t="str">
        <f>IF(ISERR('[1]Общее+'!L560),"-",'[1]Общее+'!L560)</f>
        <v>-</v>
      </c>
      <c r="L392" s="104" t="str">
        <f>IF(ISERR('[1]Общее+'!M560),"-",'[1]Общее+'!M560)</f>
        <v>-</v>
      </c>
      <c r="M392" s="104" t="str">
        <f>IF(ISERR('[1]Общее+'!N560),"-",'[1]Общее+'!N560)</f>
        <v>-</v>
      </c>
    </row>
    <row r="393" spans="1:13" s="89" customFormat="1" hidden="1" x14ac:dyDescent="0.25">
      <c r="A393" s="13"/>
      <c r="B393" s="70" t="s">
        <v>1302</v>
      </c>
      <c r="C393" s="13" t="s">
        <v>8</v>
      </c>
      <c r="D393" s="104">
        <f>IF(ISERR('[1]Общее+'!E561),"-",'[1]Общее+'!E561)</f>
        <v>100</v>
      </c>
      <c r="E393" s="104">
        <f>IF(ISERR('[1]Общее+'!F561),"-",'[1]Общее+'!F561)</f>
        <v>100</v>
      </c>
      <c r="F393" s="104">
        <f>IF(ISERR('[1]Общее+'!G561),"-",'[1]Общее+'!G561)</f>
        <v>100</v>
      </c>
      <c r="G393" s="104">
        <f>IF(ISERR('[1]Общее+'!H561),"-",'[1]Общее+'!H561)</f>
        <v>100</v>
      </c>
      <c r="H393" s="104">
        <f>IF(ISERR('[1]Общее+'!I561),"-",'[1]Общее+'!I561)</f>
        <v>150</v>
      </c>
      <c r="I393" s="104">
        <f>IF(ISERR('[1]Общее+'!J561),"-",'[1]Общее+'!J561)</f>
        <v>0</v>
      </c>
      <c r="J393" s="104">
        <f>IF(ISERR('[1]Общее+'!K561),"-",'[1]Общее+'!K561)</f>
        <v>0</v>
      </c>
      <c r="K393" s="104" t="str">
        <f>IF(ISERR('[1]Общее+'!L561),"-",'[1]Общее+'!L561)</f>
        <v>-</v>
      </c>
      <c r="L393" s="104" t="str">
        <f>IF(ISERR('[1]Общее+'!M561),"-",'[1]Общее+'!M561)</f>
        <v>-</v>
      </c>
      <c r="M393" s="104" t="str">
        <f>IF(ISERR('[1]Общее+'!N561),"-",'[1]Общее+'!N561)</f>
        <v>-</v>
      </c>
    </row>
    <row r="394" spans="1:13" s="89" customFormat="1" hidden="1" x14ac:dyDescent="0.25">
      <c r="A394" s="13"/>
      <c r="B394" s="70" t="s">
        <v>1303</v>
      </c>
      <c r="C394" s="13" t="s">
        <v>8</v>
      </c>
      <c r="D394" s="104"/>
      <c r="E394" s="104"/>
      <c r="F394" s="104"/>
      <c r="G394" s="104">
        <f>IF(ISERR('[1]Общее+'!H562),"-",'[1]Общее+'!H562)</f>
        <v>100</v>
      </c>
      <c r="H394" s="104">
        <f>IF(ISERR('[1]Общее+'!I562),"-",'[1]Общее+'!I562)</f>
        <v>150</v>
      </c>
      <c r="I394" s="104">
        <f>IF(ISERR('[1]Общее+'!J562),"-",'[1]Общее+'!J562)</f>
        <v>0</v>
      </c>
      <c r="J394" s="104">
        <f>IF(ISERR('[1]Общее+'!K562),"-",'[1]Общее+'!K562)</f>
        <v>0</v>
      </c>
      <c r="K394" s="104" t="str">
        <f>IF(ISERR('[1]Общее+'!L562),"-",'[1]Общее+'!L562)</f>
        <v>-</v>
      </c>
      <c r="L394" s="104" t="str">
        <f>IF(ISERR('[1]Общее+'!M562),"-",'[1]Общее+'!M562)</f>
        <v>-</v>
      </c>
      <c r="M394" s="104" t="str">
        <f>IF(ISERR('[1]Общее+'!N562),"-",'[1]Общее+'!N562)</f>
        <v>-</v>
      </c>
    </row>
    <row r="395" spans="1:13" s="89" customFormat="1" hidden="1" x14ac:dyDescent="0.25">
      <c r="A395" s="13"/>
      <c r="B395" s="70" t="s">
        <v>1304</v>
      </c>
      <c r="C395" s="13" t="s">
        <v>8</v>
      </c>
      <c r="D395" s="104"/>
      <c r="E395" s="104"/>
      <c r="F395" s="104"/>
      <c r="G395" s="104" t="str">
        <f>IF(ISERR('[1]Общее+'!H563),"-",'[1]Общее+'!H563)</f>
        <v>-</v>
      </c>
      <c r="H395" s="104" t="str">
        <f>IF(ISERR('[1]Общее+'!I563),"-",'[1]Общее+'!I563)</f>
        <v>-</v>
      </c>
      <c r="I395" s="104" t="str">
        <f>IF(ISERR('[1]Общее+'!J563),"-",'[1]Общее+'!J563)</f>
        <v>-</v>
      </c>
      <c r="J395" s="104" t="str">
        <f>IF(ISERR('[1]Общее+'!K563),"-",'[1]Общее+'!K563)</f>
        <v>-</v>
      </c>
      <c r="K395" s="104" t="str">
        <f>IF(ISERR('[1]Общее+'!L563),"-",'[1]Общее+'!L563)</f>
        <v>-</v>
      </c>
      <c r="L395" s="104" t="str">
        <f>IF(ISERR('[1]Общее+'!M563),"-",'[1]Общее+'!M563)</f>
        <v>-</v>
      </c>
      <c r="M395" s="104" t="str">
        <f>IF(ISERR('[1]Общее+'!N563),"-",'[1]Общее+'!N563)</f>
        <v>-</v>
      </c>
    </row>
    <row r="396" spans="1:13" s="89" customFormat="1" hidden="1" x14ac:dyDescent="0.25">
      <c r="A396" s="13"/>
      <c r="B396" s="70" t="s">
        <v>1300</v>
      </c>
      <c r="C396" s="13"/>
      <c r="D396" s="90"/>
      <c r="E396" s="90"/>
      <c r="F396" s="90"/>
      <c r="G396" s="90"/>
      <c r="H396" s="90"/>
      <c r="I396" s="90"/>
      <c r="J396" s="90"/>
      <c r="K396" s="90"/>
      <c r="L396" s="90"/>
      <c r="M396" s="90"/>
    </row>
    <row r="397" spans="1:13" s="89" customFormat="1" hidden="1" x14ac:dyDescent="0.25">
      <c r="A397" s="13"/>
      <c r="B397" s="70" t="s">
        <v>1301</v>
      </c>
      <c r="C397" s="13" t="s">
        <v>8</v>
      </c>
      <c r="D397" s="104">
        <f>IF(ISERR('[1]Общее+'!E565),"-",'[1]Общее+'!E565)</f>
        <v>95.626822157434404</v>
      </c>
      <c r="E397" s="104">
        <f>IF(ISERR('[1]Общее+'!F565),"-",'[1]Общее+'!F565)</f>
        <v>97.345132743362825</v>
      </c>
      <c r="F397" s="104">
        <f>IF(ISERR('[1]Общее+'!G565),"-",'[1]Общее+'!G565)</f>
        <v>96.969696969696969</v>
      </c>
      <c r="G397" s="104">
        <f>IF(ISERR('[1]Общее+'!H565),"-",'[1]Общее+'!H565)</f>
        <v>97.826086956521735</v>
      </c>
      <c r="H397" s="104">
        <f>IF(ISERR('[1]Общее+'!I565),"-",'[1]Общее+'!I565)</f>
        <v>96.569920844327171</v>
      </c>
      <c r="I397" s="104" t="str">
        <f>IF(ISERR('[1]Общее+'!J565),"-",'[1]Общее+'!J565)</f>
        <v>-</v>
      </c>
      <c r="J397" s="104" t="str">
        <f>IF(ISERR('[1]Общее+'!K565),"-",'[1]Общее+'!K565)</f>
        <v>-</v>
      </c>
      <c r="K397" s="104" t="str">
        <f>IF(ISERR('[1]Общее+'!L565),"-",'[1]Общее+'!L565)</f>
        <v>-</v>
      </c>
      <c r="L397" s="104" t="str">
        <f>IF(ISERR('[1]Общее+'!M565),"-",'[1]Общее+'!M565)</f>
        <v>-</v>
      </c>
      <c r="M397" s="104" t="str">
        <f>IF(ISERR('[1]Общее+'!N565),"-",'[1]Общее+'!N565)</f>
        <v>-</v>
      </c>
    </row>
    <row r="398" spans="1:13" s="89" customFormat="1" hidden="1" x14ac:dyDescent="0.25">
      <c r="A398" s="13"/>
      <c r="B398" s="70" t="s">
        <v>1303</v>
      </c>
      <c r="C398" s="13" t="s">
        <v>8</v>
      </c>
      <c r="D398" s="104"/>
      <c r="E398" s="104"/>
      <c r="F398" s="104"/>
      <c r="G398" s="104">
        <f>IF(ISERR('[1]Общее+'!H566),"-",'[1]Общее+'!H566)</f>
        <v>100</v>
      </c>
      <c r="H398" s="104">
        <f>IF(ISERR('[1]Общее+'!I566),"-",'[1]Общее+'!I566)</f>
        <v>100</v>
      </c>
      <c r="I398" s="104" t="str">
        <f>IF(ISERR('[1]Общее+'!J566),"-",'[1]Общее+'!J566)</f>
        <v>-</v>
      </c>
      <c r="J398" s="104" t="str">
        <f>IF(ISERR('[1]Общее+'!K566),"-",'[1]Общее+'!K566)</f>
        <v>-</v>
      </c>
      <c r="K398" s="104" t="str">
        <f>IF(ISERR('[1]Общее+'!L566),"-",'[1]Общее+'!L566)</f>
        <v>-</v>
      </c>
      <c r="L398" s="104" t="str">
        <f>IF(ISERR('[1]Общее+'!M566),"-",'[1]Общее+'!M566)</f>
        <v>-</v>
      </c>
      <c r="M398" s="104" t="str">
        <f>IF(ISERR('[1]Общее+'!N566),"-",'[1]Общее+'!N566)</f>
        <v>-</v>
      </c>
    </row>
    <row r="399" spans="1:13" s="89" customFormat="1" hidden="1" x14ac:dyDescent="0.25">
      <c r="A399" s="13"/>
      <c r="B399" s="70" t="s">
        <v>1304</v>
      </c>
      <c r="C399" s="13" t="s">
        <v>8</v>
      </c>
      <c r="D399" s="104"/>
      <c r="E399" s="104"/>
      <c r="F399" s="104"/>
      <c r="G399" s="104">
        <f>IF(ISERR('[1]Общее+'!H567),"-",'[1]Общее+'!H567)</f>
        <v>93</v>
      </c>
      <c r="H399" s="104">
        <f>IF(ISERR('[1]Общее+'!I567),"-",'[1]Общее+'!I567)</f>
        <v>91.823899371069189</v>
      </c>
      <c r="I399" s="104" t="str">
        <f>IF(ISERR('[1]Общее+'!J567),"-",'[1]Общее+'!J567)</f>
        <v>-</v>
      </c>
      <c r="J399" s="104" t="str">
        <f>IF(ISERR('[1]Общее+'!K567),"-",'[1]Общее+'!K567)</f>
        <v>-</v>
      </c>
      <c r="K399" s="104" t="str">
        <f>IF(ISERR('[1]Общее+'!L567),"-",'[1]Общее+'!L567)</f>
        <v>-</v>
      </c>
      <c r="L399" s="104" t="str">
        <f>IF(ISERR('[1]Общее+'!M567),"-",'[1]Общее+'!M567)</f>
        <v>-</v>
      </c>
      <c r="M399" s="104" t="str">
        <f>IF(ISERR('[1]Общее+'!N567),"-",'[1]Общее+'!N567)</f>
        <v>-</v>
      </c>
    </row>
    <row r="400" spans="1:13" s="89" customFormat="1" hidden="1" x14ac:dyDescent="0.25">
      <c r="A400" s="13"/>
      <c r="B400" s="70" t="s">
        <v>1302</v>
      </c>
      <c r="C400" s="13" t="s">
        <v>8</v>
      </c>
      <c r="D400" s="104">
        <f>IF(ISERR('[1]Общее+'!E568),"-",'[1]Общее+'!E568)</f>
        <v>100</v>
      </c>
      <c r="E400" s="104">
        <f>IF(ISERR('[1]Общее+'!F568),"-",'[1]Общее+'!F568)</f>
        <v>100</v>
      </c>
      <c r="F400" s="104">
        <f>IF(ISERR('[1]Общее+'!G568),"-",'[1]Общее+'!G568)</f>
        <v>100</v>
      </c>
      <c r="G400" s="104">
        <f>IF(ISERR('[1]Общее+'!H568),"-",'[1]Общее+'!H568)</f>
        <v>100</v>
      </c>
      <c r="H400" s="104">
        <f>IF(ISERR('[1]Общее+'!I568),"-",'[1]Общее+'!I568)</f>
        <v>100</v>
      </c>
      <c r="I400" s="104">
        <f>IF(ISERR('[1]Общее+'!J568),"-",'[1]Общее+'!J568)</f>
        <v>100</v>
      </c>
      <c r="J400" s="104">
        <f>IF(ISERR('[1]Общее+'!K568),"-",'[1]Общее+'!K568)</f>
        <v>100</v>
      </c>
      <c r="K400" s="104" t="str">
        <f>IF(ISERR('[1]Общее+'!L568),"-",'[1]Общее+'!L568)</f>
        <v>-</v>
      </c>
      <c r="L400" s="104" t="str">
        <f>IF(ISERR('[1]Общее+'!M568),"-",'[1]Общее+'!M568)</f>
        <v>-</v>
      </c>
      <c r="M400" s="104" t="str">
        <f>IF(ISERR('[1]Общее+'!N568),"-",'[1]Общее+'!N568)</f>
        <v>-</v>
      </c>
    </row>
    <row r="401" spans="1:13" s="89" customFormat="1" hidden="1" x14ac:dyDescent="0.25">
      <c r="A401" s="13"/>
      <c r="B401" s="70" t="s">
        <v>1303</v>
      </c>
      <c r="C401" s="13" t="s">
        <v>8</v>
      </c>
      <c r="D401" s="104"/>
      <c r="E401" s="104"/>
      <c r="F401" s="104"/>
      <c r="G401" s="104">
        <f>IF(ISERR('[1]Общее+'!H569),"-",'[1]Общее+'!H569)</f>
        <v>100</v>
      </c>
      <c r="H401" s="104">
        <f>IF(ISERR('[1]Общее+'!I569),"-",'[1]Общее+'!I569)</f>
        <v>100</v>
      </c>
      <c r="I401" s="104">
        <f>IF(ISERR('[1]Общее+'!J569),"-",'[1]Общее+'!J569)</f>
        <v>100</v>
      </c>
      <c r="J401" s="104">
        <f>IF(ISERR('[1]Общее+'!K569),"-",'[1]Общее+'!K569)</f>
        <v>100</v>
      </c>
      <c r="K401" s="104" t="str">
        <f>IF(ISERR('[1]Общее+'!L569),"-",'[1]Общее+'!L569)</f>
        <v>-</v>
      </c>
      <c r="L401" s="104" t="str">
        <f>IF(ISERR('[1]Общее+'!M569),"-",'[1]Общее+'!M569)</f>
        <v>-</v>
      </c>
      <c r="M401" s="104" t="str">
        <f>IF(ISERR('[1]Общее+'!N569),"-",'[1]Общее+'!N569)</f>
        <v>-</v>
      </c>
    </row>
    <row r="402" spans="1:13" s="89" customFormat="1" hidden="1" x14ac:dyDescent="0.25">
      <c r="A402" s="13"/>
      <c r="B402" s="70" t="s">
        <v>1304</v>
      </c>
      <c r="C402" s="13" t="s">
        <v>8</v>
      </c>
      <c r="D402" s="104"/>
      <c r="E402" s="104"/>
      <c r="F402" s="104"/>
      <c r="G402" s="104" t="str">
        <f>IF(ISERR('[1]Общее+'!H570),"-",'[1]Общее+'!H570)</f>
        <v>-</v>
      </c>
      <c r="H402" s="104" t="str">
        <f>IF(ISERR('[1]Общее+'!I570),"-",'[1]Общее+'!I570)</f>
        <v>-</v>
      </c>
      <c r="I402" s="104" t="str">
        <f>IF(ISERR('[1]Общее+'!J570),"-",'[1]Общее+'!J570)</f>
        <v>-</v>
      </c>
      <c r="J402" s="104" t="str">
        <f>IF(ISERR('[1]Общее+'!K570),"-",'[1]Общее+'!K570)</f>
        <v>-</v>
      </c>
      <c r="K402" s="104" t="str">
        <f>IF(ISERR('[1]Общее+'!L570),"-",'[1]Общее+'!L570)</f>
        <v>-</v>
      </c>
      <c r="L402" s="104" t="str">
        <f>IF(ISERR('[1]Общее+'!M570),"-",'[1]Общее+'!M570)</f>
        <v>-</v>
      </c>
      <c r="M402" s="104" t="str">
        <f>IF(ISERR('[1]Общее+'!N570),"-",'[1]Общее+'!N570)</f>
        <v>-</v>
      </c>
    </row>
    <row r="403" spans="1:13" s="89" customFormat="1" ht="30" x14ac:dyDescent="0.25">
      <c r="A403" s="13" t="s">
        <v>208</v>
      </c>
      <c r="B403" s="70" t="s">
        <v>2524</v>
      </c>
      <c r="C403" s="13"/>
      <c r="D403" s="90"/>
      <c r="E403" s="90"/>
      <c r="F403" s="90"/>
      <c r="G403" s="90"/>
      <c r="H403" s="90"/>
      <c r="I403" s="90"/>
      <c r="J403" s="90"/>
      <c r="K403" s="90"/>
      <c r="L403" s="90"/>
      <c r="M403" s="90"/>
    </row>
    <row r="404" spans="1:13" s="89" customFormat="1" x14ac:dyDescent="0.25">
      <c r="A404" s="395"/>
      <c r="B404" s="70" t="s">
        <v>1296</v>
      </c>
      <c r="C404" s="13"/>
      <c r="D404" s="90"/>
      <c r="E404" s="90"/>
      <c r="F404" s="90"/>
      <c r="G404" s="90"/>
      <c r="H404" s="90"/>
      <c r="I404" s="90"/>
      <c r="J404" s="90"/>
      <c r="K404" s="90"/>
      <c r="L404" s="90"/>
      <c r="M404" s="90"/>
    </row>
    <row r="405" spans="1:13" s="89" customFormat="1" x14ac:dyDescent="0.25">
      <c r="A405" s="395"/>
      <c r="B405" s="70" t="s">
        <v>2316</v>
      </c>
      <c r="C405" s="13"/>
      <c r="D405" s="90"/>
      <c r="E405" s="90"/>
      <c r="F405" s="90"/>
      <c r="G405" s="90"/>
      <c r="H405" s="90"/>
      <c r="I405" s="90"/>
      <c r="J405" s="90"/>
      <c r="K405" s="90"/>
      <c r="L405" s="90"/>
      <c r="M405" s="90"/>
    </row>
    <row r="406" spans="1:13" s="89" customFormat="1" x14ac:dyDescent="0.25">
      <c r="A406" s="395"/>
      <c r="B406" s="70" t="s">
        <v>2305</v>
      </c>
      <c r="C406" s="13" t="s">
        <v>1112</v>
      </c>
      <c r="D406" s="104">
        <f>IF(ISERR('[1]Общее+'!E624),"-",'[1]Общее+'!E624)</f>
        <v>15.763097949886104</v>
      </c>
      <c r="E406" s="104">
        <f>IF(ISERR('[1]Общее+'!F624),"-",'[1]Общее+'!F624)</f>
        <v>18.061856535215849</v>
      </c>
      <c r="F406" s="104">
        <f>IF(ISERR('[1]Общее+'!G624),"-",'[1]Общее+'!G624)</f>
        <v>18.782929264483755</v>
      </c>
      <c r="G406" s="104">
        <f>IF(ISERR('[1]Общее+'!H624),"-",'[1]Общее+'!H624)</f>
        <v>19.572854707989844</v>
      </c>
      <c r="H406" s="104">
        <f>IF(ISERR('[1]Общее+'!I624),"-",'[1]Общее+'!I624)</f>
        <v>19.714141738054881</v>
      </c>
      <c r="I406" s="104">
        <f>IF(ISERR('[1]Общее+'!J624),"-",'[1]Общее+'!J624)</f>
        <v>19.708071074038195</v>
      </c>
      <c r="J406" s="104">
        <f>IF(ISERR('[1]Общее+'!K624),"-",'[1]Общее+'!K624)</f>
        <v>19.607091238999651</v>
      </c>
      <c r="K406" s="104">
        <f>IF(ISERR('[1]Общее+'!L624),"-",'[1]Общее+'!L624)</f>
        <v>19.799707907364908</v>
      </c>
      <c r="L406" s="104">
        <f>IF(ISERR('[1]Общее+'!M624),"-",'[1]Общее+'!M624)</f>
        <v>29.397141081417029</v>
      </c>
      <c r="M406" s="104">
        <f>IF(ISERR('[1]Общее+'!N624),"-",'[1]Общее+'!N624)</f>
        <v>28.750784682988073</v>
      </c>
    </row>
    <row r="407" spans="1:13" s="89" customFormat="1" x14ac:dyDescent="0.25">
      <c r="A407" s="395"/>
      <c r="B407" s="70" t="s">
        <v>2317</v>
      </c>
      <c r="C407" s="13" t="s">
        <v>1112</v>
      </c>
      <c r="D407" s="104"/>
      <c r="E407" s="104"/>
      <c r="F407" s="104"/>
      <c r="G407" s="104">
        <f>IF(ISERR('[1]Общее+'!H625),"-",'[1]Общее+'!H625)</f>
        <v>17.240218489037538</v>
      </c>
      <c r="H407" s="104">
        <f>IF(ISERR('[1]Общее+'!I625),"-",'[1]Общее+'!I625)</f>
        <v>17.569762588444732</v>
      </c>
      <c r="I407" s="104">
        <f>IF(ISERR('[1]Общее+'!J625),"-",'[1]Общее+'!J625)</f>
        <v>17.680138935210955</v>
      </c>
      <c r="J407" s="104">
        <f>IF(ISERR('[1]Общее+'!K625),"-",'[1]Общее+'!K625)</f>
        <v>17.589526793360339</v>
      </c>
      <c r="K407" s="104">
        <f>IF(ISERR('[1]Общее+'!L625),"-",'[1]Общее+'!L625)</f>
        <v>10.008071025020177</v>
      </c>
      <c r="L407" s="104">
        <f>IF(ISERR('[1]Общее+'!M625),"-",'[1]Общее+'!M625)</f>
        <v>15.570260801868432</v>
      </c>
      <c r="M407" s="104">
        <f>IF(ISERR('[1]Общее+'!N625),"-",'[1]Общее+'!N625)</f>
        <v>15.340030911901081</v>
      </c>
    </row>
    <row r="408" spans="1:13" s="89" customFormat="1" x14ac:dyDescent="0.25">
      <c r="A408" s="395"/>
      <c r="B408" s="70" t="s">
        <v>2318</v>
      </c>
      <c r="C408" s="13" t="s">
        <v>1112</v>
      </c>
      <c r="D408" s="104"/>
      <c r="E408" s="104"/>
      <c r="F408" s="104"/>
      <c r="G408" s="104">
        <f>IF(ISERR('[1]Общее+'!H626),"-",'[1]Общее+'!H626)</f>
        <v>44.741929814283203</v>
      </c>
      <c r="H408" s="104">
        <f>IF(ISERR('[1]Общее+'!I626),"-",'[1]Общее+'!I626)</f>
        <v>41.652518392756086</v>
      </c>
      <c r="I408" s="104">
        <f>IF(ISERR('[1]Общее+'!J626),"-",'[1]Общее+'!J626)</f>
        <v>40.33341135276067</v>
      </c>
      <c r="J408" s="104">
        <f>IF(ISERR('[1]Общее+'!K626),"-",'[1]Общее+'!K626)</f>
        <v>40.840870700894705</v>
      </c>
      <c r="K408" s="104">
        <f>IF(ISERR('[1]Общее+'!L626),"-",'[1]Общее+'!L626)</f>
        <v>30.280777537796975</v>
      </c>
      <c r="L408" s="104">
        <f>IF(ISERR('[1]Общее+'!M626),"-",'[1]Общее+'!M626)</f>
        <v>45.128432240921171</v>
      </c>
      <c r="M408" s="104">
        <f>IF(ISERR('[1]Общее+'!N626),"-",'[1]Общее+'!N626)</f>
        <v>44.591510725696033</v>
      </c>
    </row>
    <row r="409" spans="1:13" s="89" customFormat="1" x14ac:dyDescent="0.25">
      <c r="A409" s="395"/>
      <c r="B409" s="70" t="s">
        <v>1297</v>
      </c>
      <c r="C409" s="13"/>
      <c r="D409" s="104"/>
      <c r="E409" s="104"/>
      <c r="F409" s="104"/>
      <c r="G409" s="104"/>
      <c r="H409" s="104"/>
      <c r="I409" s="104"/>
      <c r="J409" s="104"/>
      <c r="K409" s="104"/>
      <c r="L409" s="104"/>
      <c r="M409" s="104"/>
    </row>
    <row r="410" spans="1:13" s="89" customFormat="1" x14ac:dyDescent="0.25">
      <c r="A410" s="395"/>
      <c r="B410" s="70" t="s">
        <v>2316</v>
      </c>
      <c r="C410" s="13"/>
      <c r="D410" s="104"/>
      <c r="E410" s="104"/>
      <c r="F410" s="104"/>
      <c r="G410" s="104"/>
      <c r="H410" s="104"/>
      <c r="I410" s="104"/>
      <c r="J410" s="104"/>
      <c r="K410" s="104"/>
      <c r="L410" s="104"/>
      <c r="M410" s="104"/>
    </row>
    <row r="411" spans="1:13" s="89" customFormat="1" x14ac:dyDescent="0.25">
      <c r="A411" s="395"/>
      <c r="B411" s="70" t="s">
        <v>2305</v>
      </c>
      <c r="C411" s="13" t="s">
        <v>1112</v>
      </c>
      <c r="D411" s="104">
        <f>IF(ISERR('[1]Общее+'!E632),"-",'[1]Общее+'!E632)</f>
        <v>13.325330132052821</v>
      </c>
      <c r="E411" s="104">
        <f>IF(ISERR('[1]Общее+'!F632),"-",'[1]Общее+'!F632)</f>
        <v>11.325028312570781</v>
      </c>
      <c r="F411" s="104">
        <f>IF(ISERR('[1]Общее+'!G632),"-",'[1]Общее+'!G632)</f>
        <v>10.654008438818567</v>
      </c>
      <c r="G411" s="104">
        <f>IF(ISERR('[1]Общее+'!H632),"-",'[1]Общее+'!H632)</f>
        <v>15.012106537530268</v>
      </c>
      <c r="H411" s="104">
        <f>IF(ISERR('[1]Общее+'!I632),"-",'[1]Общее+'!I632)</f>
        <v>14.175824175824175</v>
      </c>
      <c r="I411" s="104">
        <f>IF(ISERR('[1]Общее+'!J632),"-",'[1]Общее+'!J632)</f>
        <v>16.468039003250272</v>
      </c>
      <c r="J411" s="104">
        <f>IF(ISERR('[1]Общее+'!K632),"-",'[1]Общее+'!K632)</f>
        <v>17.241379310344829</v>
      </c>
      <c r="K411" s="104" t="str">
        <f>IF(ISERR('[1]Общее+'!L632),"-",'[1]Общее+'!L632)</f>
        <v>-</v>
      </c>
      <c r="L411" s="104" t="str">
        <f>IF(ISERR('[1]Общее+'!M632),"-",'[1]Общее+'!M632)</f>
        <v>-</v>
      </c>
      <c r="M411" s="104" t="str">
        <f>IF(ISERR('[1]Общее+'!N632),"-",'[1]Общее+'!N632)</f>
        <v>-</v>
      </c>
    </row>
    <row r="412" spans="1:13" s="89" customFormat="1" x14ac:dyDescent="0.25">
      <c r="A412" s="395"/>
      <c r="B412" s="70" t="s">
        <v>2317</v>
      </c>
      <c r="C412" s="13" t="s">
        <v>1112</v>
      </c>
      <c r="D412" s="104"/>
      <c r="E412" s="104"/>
      <c r="F412" s="104"/>
      <c r="G412" s="104">
        <f>IF(ISERR('[1]Общее+'!H633),"-",'[1]Общее+'!H633)</f>
        <v>15.012106537530268</v>
      </c>
      <c r="H412" s="104">
        <f>IF(ISERR('[1]Общее+'!I633),"-",'[1]Общее+'!I633)</f>
        <v>14.175824175824175</v>
      </c>
      <c r="I412" s="104">
        <f>IF(ISERR('[1]Общее+'!J633),"-",'[1]Общее+'!J633)</f>
        <v>16.468039003250272</v>
      </c>
      <c r="J412" s="104">
        <f>IF(ISERR('[1]Общее+'!K633),"-",'[1]Общее+'!K633)</f>
        <v>17.241379310344829</v>
      </c>
      <c r="K412" s="104" t="str">
        <f>IF(ISERR('[1]Общее+'!L633),"-",'[1]Общее+'!L633)</f>
        <v>-</v>
      </c>
      <c r="L412" s="104" t="str">
        <f>IF(ISERR('[1]Общее+'!M633),"-",'[1]Общее+'!M633)</f>
        <v>-</v>
      </c>
      <c r="M412" s="104" t="str">
        <f>IF(ISERR('[1]Общее+'!N633),"-",'[1]Общее+'!N633)</f>
        <v>-</v>
      </c>
    </row>
    <row r="413" spans="1:13" s="89" customFormat="1" x14ac:dyDescent="0.25">
      <c r="A413" s="395"/>
      <c r="B413" s="70" t="s">
        <v>2318</v>
      </c>
      <c r="C413" s="13" t="s">
        <v>1112</v>
      </c>
      <c r="D413" s="104"/>
      <c r="E413" s="104"/>
      <c r="F413" s="104"/>
      <c r="G413" s="104">
        <f>IF(ISERR('[1]Общее+'!H634),"-",'[1]Общее+'!H634)</f>
        <v>0</v>
      </c>
      <c r="H413" s="104">
        <f>IF(ISERR('[1]Общее+'!I634),"-",'[1]Общее+'!I634)</f>
        <v>0</v>
      </c>
      <c r="I413" s="104">
        <f>IF(ISERR('[1]Общее+'!J634),"-",'[1]Общее+'!J634)</f>
        <v>0</v>
      </c>
      <c r="J413" s="104">
        <f>IF(ISERR('[1]Общее+'!K634),"-",'[1]Общее+'!K634)</f>
        <v>0</v>
      </c>
      <c r="K413" s="104" t="str">
        <f>IF(ISERR('[1]Общее+'!L634),"-",'[1]Общее+'!L634)</f>
        <v>-</v>
      </c>
      <c r="L413" s="104" t="str">
        <f>IF(ISERR('[1]Общее+'!M634),"-",'[1]Общее+'!M634)</f>
        <v>-</v>
      </c>
      <c r="M413" s="104" t="str">
        <f>IF(ISERR('[1]Общее+'!N634),"-",'[1]Общее+'!N634)</f>
        <v>-</v>
      </c>
    </row>
    <row r="414" spans="1:13" s="89" customFormat="1" x14ac:dyDescent="0.25">
      <c r="A414" s="395"/>
      <c r="B414" s="70" t="s">
        <v>1296</v>
      </c>
      <c r="C414" s="13"/>
      <c r="D414" s="90"/>
      <c r="E414" s="90"/>
      <c r="F414" s="90"/>
      <c r="G414" s="90"/>
      <c r="H414" s="90"/>
      <c r="I414" s="90"/>
      <c r="J414" s="90"/>
      <c r="K414" s="90"/>
      <c r="L414" s="90"/>
      <c r="M414" s="90"/>
    </row>
    <row r="415" spans="1:13" s="89" customFormat="1" x14ac:dyDescent="0.25">
      <c r="A415" s="395"/>
      <c r="B415" s="70" t="s">
        <v>2319</v>
      </c>
      <c r="C415" s="13"/>
      <c r="D415" s="90"/>
      <c r="E415" s="90"/>
      <c r="F415" s="90"/>
      <c r="G415" s="90"/>
      <c r="H415" s="104"/>
      <c r="I415" s="104"/>
      <c r="J415" s="104"/>
      <c r="K415" s="104"/>
      <c r="L415" s="104"/>
      <c r="M415" s="104"/>
    </row>
    <row r="416" spans="1:13" s="89" customFormat="1" x14ac:dyDescent="0.25">
      <c r="A416" s="395"/>
      <c r="B416" s="70" t="s">
        <v>2305</v>
      </c>
      <c r="C416" s="13" t="s">
        <v>1112</v>
      </c>
      <c r="D416" s="104">
        <f>IF(ISERR('[1]Общее+'!E628),"-",'[1]Общее+'!E628)</f>
        <v>9.4315958729733342</v>
      </c>
      <c r="E416" s="104">
        <f>IF(ISERR('[1]Общее+'!F628),"-",'[1]Общее+'!F628)</f>
        <v>11.182323107826734</v>
      </c>
      <c r="F416" s="104">
        <f>IF(ISERR('[1]Общее+'!G628),"-",'[1]Общее+'!G628)</f>
        <v>12.139986175469138</v>
      </c>
      <c r="G416" s="104">
        <f>IF(ISERR('[1]Общее+'!H628),"-",'[1]Общее+'!H628)</f>
        <v>13.257107079500901</v>
      </c>
      <c r="H416" s="104">
        <f>IF(ISERR('[1]Общее+'!I628),"-",'[1]Общее+'!I628)</f>
        <v>13.641027990288149</v>
      </c>
      <c r="I416" s="104">
        <f>IF(ISERR('[1]Общее+'!J628),"-",'[1]Общее+'!J628)</f>
        <v>13.670079920250593</v>
      </c>
      <c r="J416" s="104">
        <f>IF(ISERR('[1]Общее+'!K628),"-",'[1]Общее+'!K628)</f>
        <v>13.626150593336975</v>
      </c>
      <c r="K416" s="104">
        <f>IF(ISERR('[1]Общее+'!L628),"-",'[1]Общее+'!L628)</f>
        <v>0</v>
      </c>
      <c r="L416" s="104">
        <f>IF(ISERR('[1]Общее+'!M628),"-",'[1]Общее+'!M628)</f>
        <v>0</v>
      </c>
      <c r="M416" s="104">
        <f>IF(ISERR('[1]Общее+'!N628),"-",'[1]Общее+'!N628)</f>
        <v>15.56811048336472</v>
      </c>
    </row>
    <row r="417" spans="1:13" s="89" customFormat="1" x14ac:dyDescent="0.25">
      <c r="A417" s="395"/>
      <c r="B417" s="70" t="s">
        <v>2317</v>
      </c>
      <c r="C417" s="13" t="s">
        <v>1112</v>
      </c>
      <c r="D417" s="104"/>
      <c r="E417" s="104"/>
      <c r="F417" s="104"/>
      <c r="G417" s="104">
        <f>IF(ISERR('[1]Общее+'!H629),"-",'[1]Общее+'!H629)</f>
        <v>12.388284991366859</v>
      </c>
      <c r="H417" s="104">
        <f>IF(ISERR('[1]Общее+'!I629),"-",'[1]Общее+'!I629)</f>
        <v>12.943229420727874</v>
      </c>
      <c r="I417" s="104">
        <f>IF(ISERR('[1]Общее+'!J629),"-",'[1]Общее+'!J629)</f>
        <v>13.084618342411664</v>
      </c>
      <c r="J417" s="104">
        <f>IF(ISERR('[1]Общее+'!K629),"-",'[1]Общее+'!K629)</f>
        <v>13.033965897238236</v>
      </c>
      <c r="K417" s="104">
        <f>IF(ISERR('[1]Общее+'!L629),"-",'[1]Общее+'!L629)</f>
        <v>0</v>
      </c>
      <c r="L417" s="104">
        <f>IF(ISERR('[1]Общее+'!M629),"-",'[1]Общее+'!M629)</f>
        <v>0</v>
      </c>
      <c r="M417" s="104">
        <f>IF(ISERR('[1]Общее+'!N629),"-",'[1]Общее+'!N629)</f>
        <v>8.7326120556414217</v>
      </c>
    </row>
    <row r="418" spans="1:13" s="89" customFormat="1" x14ac:dyDescent="0.25">
      <c r="A418" s="395"/>
      <c r="B418" s="70" t="s">
        <v>2318</v>
      </c>
      <c r="C418" s="13" t="s">
        <v>1112</v>
      </c>
      <c r="D418" s="104"/>
      <c r="E418" s="104"/>
      <c r="F418" s="104"/>
      <c r="G418" s="104">
        <f>IF(ISERR('[1]Общее+'!H630),"-",'[1]Общее+'!H630)</f>
        <v>22.631671451168785</v>
      </c>
      <c r="H418" s="104">
        <f>IF(ISERR('[1]Общее+'!I630),"-",'[1]Общее+'!I630)</f>
        <v>20.77995575448886</v>
      </c>
      <c r="I418" s="104">
        <f>IF(ISERR('[1]Общее+'!J630),"-",'[1]Общее+'!J630)</f>
        <v>19.614364375787936</v>
      </c>
      <c r="J418" s="104">
        <f>IF(ISERR('[1]Общее+'!K630),"-",'[1]Общее+'!K630)</f>
        <v>19.849024051981225</v>
      </c>
      <c r="K418" s="104">
        <f>IF(ISERR('[1]Общее+'!L630),"-",'[1]Общее+'!L630)</f>
        <v>0</v>
      </c>
      <c r="L418" s="104">
        <f>IF(ISERR('[1]Общее+'!M630),"-",'[1]Общее+'!M630)</f>
        <v>0</v>
      </c>
      <c r="M418" s="104">
        <f>IF(ISERR('[1]Общее+'!N630),"-",'[1]Общее+'!N630)</f>
        <v>23.642172523961662</v>
      </c>
    </row>
    <row r="419" spans="1:13" s="89" customFormat="1" x14ac:dyDescent="0.25">
      <c r="A419" s="395"/>
      <c r="B419" s="70" t="s">
        <v>1297</v>
      </c>
      <c r="C419" s="13"/>
      <c r="D419" s="104"/>
      <c r="E419" s="104"/>
      <c r="F419" s="104"/>
      <c r="G419" s="104"/>
      <c r="H419" s="104"/>
      <c r="I419" s="104"/>
      <c r="J419" s="104"/>
      <c r="K419" s="104"/>
      <c r="L419" s="104"/>
      <c r="M419" s="104"/>
    </row>
    <row r="420" spans="1:13" s="89" customFormat="1" x14ac:dyDescent="0.25">
      <c r="A420" s="395"/>
      <c r="B420" s="70" t="s">
        <v>2319</v>
      </c>
      <c r="C420" s="13"/>
      <c r="D420" s="104"/>
      <c r="E420" s="104"/>
      <c r="F420" s="104"/>
      <c r="G420" s="104"/>
      <c r="H420" s="104"/>
      <c r="I420" s="104"/>
      <c r="J420" s="104"/>
      <c r="K420" s="104"/>
      <c r="L420" s="104"/>
      <c r="M420" s="104"/>
    </row>
    <row r="421" spans="1:13" s="89" customFormat="1" x14ac:dyDescent="0.25">
      <c r="A421" s="395"/>
      <c r="B421" s="70" t="s">
        <v>2305</v>
      </c>
      <c r="C421" s="13" t="s">
        <v>1112</v>
      </c>
      <c r="D421" s="104">
        <f>IF(ISERR('[1]Общее+'!E635),"-",'[1]Общее+'!E635)</f>
        <v>12.12484993997599</v>
      </c>
      <c r="E421" s="104">
        <f>IF(ISERR('[1]Общее+'!F635),"-",'[1]Общее+'!F635)</f>
        <v>9.1732729331823339</v>
      </c>
      <c r="F421" s="104">
        <f>IF(ISERR('[1]Общее+'!G635),"-",'[1]Общее+'!G635)</f>
        <v>9.1772151898734187</v>
      </c>
      <c r="G421" s="104">
        <f>IF(ISERR('[1]Общее+'!H635),"-",'[1]Общее+'!H635)</f>
        <v>12.832929782082324</v>
      </c>
      <c r="H421" s="104">
        <f>IF(ISERR('[1]Общее+'!I635),"-",'[1]Общее+'!I635)</f>
        <v>12.197802197802197</v>
      </c>
      <c r="I421" s="104">
        <f>IF(ISERR('[1]Общее+'!J635),"-",'[1]Общее+'!J635)</f>
        <v>16.468039003250272</v>
      </c>
      <c r="J421" s="104">
        <f>IF(ISERR('[1]Общее+'!K635),"-",'[1]Общее+'!K635)</f>
        <v>17.241379310344829</v>
      </c>
      <c r="K421" s="104" t="str">
        <f>IF(ISERR('[1]Общее+'!L635),"-",'[1]Общее+'!L635)</f>
        <v>-</v>
      </c>
      <c r="L421" s="104" t="str">
        <f>IF(ISERR('[1]Общее+'!M635),"-",'[1]Общее+'!M635)</f>
        <v>-</v>
      </c>
      <c r="M421" s="104" t="str">
        <f>IF(ISERR('[1]Общее+'!N635),"-",'[1]Общее+'!N635)</f>
        <v>-</v>
      </c>
    </row>
    <row r="422" spans="1:13" s="89" customFormat="1" x14ac:dyDescent="0.25">
      <c r="A422" s="395"/>
      <c r="B422" s="70" t="s">
        <v>2317</v>
      </c>
      <c r="C422" s="13" t="s">
        <v>1112</v>
      </c>
      <c r="D422" s="104"/>
      <c r="E422" s="104"/>
      <c r="F422" s="104"/>
      <c r="G422" s="104">
        <f>IF(ISERR('[1]Общее+'!H636),"-",'[1]Общее+'!H636)</f>
        <v>12.832929782082324</v>
      </c>
      <c r="H422" s="104">
        <f>IF(ISERR('[1]Общее+'!I636),"-",'[1]Общее+'!I636)</f>
        <v>12.197802197802197</v>
      </c>
      <c r="I422" s="104">
        <f>IF(ISERR('[1]Общее+'!J636),"-",'[1]Общее+'!J636)</f>
        <v>16.468039003250272</v>
      </c>
      <c r="J422" s="104">
        <f>IF(ISERR('[1]Общее+'!K636),"-",'[1]Общее+'!K636)</f>
        <v>17.241379310344829</v>
      </c>
      <c r="K422" s="104" t="str">
        <f>IF(ISERR('[1]Общее+'!L636),"-",'[1]Общее+'!L636)</f>
        <v>-</v>
      </c>
      <c r="L422" s="104" t="str">
        <f>IF(ISERR('[1]Общее+'!M636),"-",'[1]Общее+'!M636)</f>
        <v>-</v>
      </c>
      <c r="M422" s="104" t="str">
        <f>IF(ISERR('[1]Общее+'!N636),"-",'[1]Общее+'!N636)</f>
        <v>-</v>
      </c>
    </row>
    <row r="423" spans="1:13" s="89" customFormat="1" x14ac:dyDescent="0.25">
      <c r="A423" s="395"/>
      <c r="B423" s="70" t="s">
        <v>2318</v>
      </c>
      <c r="C423" s="13" t="s">
        <v>1112</v>
      </c>
      <c r="D423" s="104"/>
      <c r="E423" s="104"/>
      <c r="F423" s="104"/>
      <c r="G423" s="104">
        <f>IF(ISERR('[1]Общее+'!H637),"-",'[1]Общее+'!H637)</f>
        <v>0</v>
      </c>
      <c r="H423" s="104">
        <f>IF(ISERR('[1]Общее+'!I637),"-",'[1]Общее+'!I637)</f>
        <v>0</v>
      </c>
      <c r="I423" s="104">
        <f>IF(ISERR('[1]Общее+'!J637),"-",'[1]Общее+'!J637)</f>
        <v>0</v>
      </c>
      <c r="J423" s="104">
        <f>IF(ISERR('[1]Общее+'!K637),"-",'[1]Общее+'!K637)</f>
        <v>0</v>
      </c>
      <c r="K423" s="104" t="str">
        <f>IF(ISERR('[1]Общее+'!L637),"-",'[1]Общее+'!L637)</f>
        <v>-</v>
      </c>
      <c r="L423" s="104" t="str">
        <f>IF(ISERR('[1]Общее+'!M637),"-",'[1]Общее+'!M637)</f>
        <v>-</v>
      </c>
      <c r="M423" s="104" t="str">
        <f>IF(ISERR('[1]Общее+'!N637),"-",'[1]Общее+'!N637)</f>
        <v>-</v>
      </c>
    </row>
    <row r="424" spans="1:13" s="89" customFormat="1" ht="105" hidden="1" x14ac:dyDescent="0.25">
      <c r="A424" s="13" t="s">
        <v>219</v>
      </c>
      <c r="B424" s="70" t="s">
        <v>1685</v>
      </c>
      <c r="C424" s="13"/>
      <c r="D424" s="90"/>
      <c r="E424" s="90"/>
      <c r="F424" s="90"/>
      <c r="G424" s="90"/>
      <c r="H424" s="104"/>
      <c r="I424" s="104"/>
      <c r="J424" s="104"/>
      <c r="K424" s="104"/>
      <c r="L424" s="104"/>
      <c r="M424" s="104"/>
    </row>
    <row r="425" spans="1:13" s="89" customFormat="1" hidden="1" x14ac:dyDescent="0.25">
      <c r="A425" s="13"/>
      <c r="B425" s="70" t="s">
        <v>1301</v>
      </c>
      <c r="C425" s="13" t="s">
        <v>8</v>
      </c>
      <c r="D425" s="104">
        <f>IF(ISERR('[1]Общее+'!E698),"-",'[1]Общее+'!E698)</f>
        <v>52.478134110787167</v>
      </c>
      <c r="E425" s="104">
        <f>IF(ISERR('[1]Общее+'!F698),"-",'[1]Общее+'!F698)</f>
        <v>69.616519174041301</v>
      </c>
      <c r="F425" s="104">
        <f>IF(ISERR('[1]Общее+'!G698),"-",'[1]Общее+'!G698)</f>
        <v>71.818181818181813</v>
      </c>
      <c r="G425" s="104">
        <f>IF(ISERR('[1]Общее+'!H698),"-",'[1]Общее+'!H698)</f>
        <v>83.850931677018636</v>
      </c>
      <c r="H425" s="104">
        <f>IF(ISERR('[1]Общее+'!I698),"-",'[1]Общее+'!I698)</f>
        <v>86.477987421383645</v>
      </c>
      <c r="I425" s="104">
        <f>IF(ISERR('[1]Общее+'!J698),"-",'[1]Общее+'!J698)</f>
        <v>90.322580645161281</v>
      </c>
      <c r="J425" s="104">
        <f>IF(ISERR('[1]Общее+'!K698),"-",'[1]Общее+'!K698)</f>
        <v>95.765472312703579</v>
      </c>
      <c r="K425" s="104">
        <f>IF(ISERR('[1]Общее+'!L698),"-",'[1]Общее+'!L698)</f>
        <v>0</v>
      </c>
      <c r="L425" s="104">
        <f>IF(ISERR('[1]Общее+'!M698),"-",'[1]Общее+'!M698)</f>
        <v>0</v>
      </c>
      <c r="M425" s="104">
        <f>IF(ISERR('[1]Общее+'!N698),"-",'[1]Общее+'!N698)</f>
        <v>0</v>
      </c>
    </row>
    <row r="426" spans="1:13" s="89" customFormat="1" hidden="1" x14ac:dyDescent="0.25">
      <c r="A426" s="13"/>
      <c r="B426" s="70" t="s">
        <v>1303</v>
      </c>
      <c r="C426" s="13" t="s">
        <v>8</v>
      </c>
      <c r="D426" s="104"/>
      <c r="E426" s="104"/>
      <c r="F426" s="104"/>
      <c r="G426" s="104">
        <f>IF(ISERR('[1]Общее+'!H699),"-",'[1]Общее+'!H699)</f>
        <v>96.396396396396398</v>
      </c>
      <c r="H426" s="104">
        <f>IF(ISERR('[1]Общее+'!I699),"-",'[1]Общее+'!I699)</f>
        <v>97.727272727272734</v>
      </c>
      <c r="I426" s="104">
        <f>IF(ISERR('[1]Общее+'!J699),"-",'[1]Общее+'!J699)</f>
        <v>100</v>
      </c>
      <c r="J426" s="104">
        <f>IF(ISERR('[1]Общее+'!K699),"-",'[1]Общее+'!K699)</f>
        <v>99.53051643192488</v>
      </c>
      <c r="K426" s="104">
        <f>IF(ISERR('[1]Общее+'!L699),"-",'[1]Общее+'!L699)</f>
        <v>0</v>
      </c>
      <c r="L426" s="104">
        <f>IF(ISERR('[1]Общее+'!M699),"-",'[1]Общее+'!M699)</f>
        <v>0</v>
      </c>
      <c r="M426" s="104">
        <f>IF(ISERR('[1]Общее+'!N699),"-",'[1]Общее+'!N699)</f>
        <v>0</v>
      </c>
    </row>
    <row r="427" spans="1:13" s="89" customFormat="1" hidden="1" x14ac:dyDescent="0.25">
      <c r="A427" s="13"/>
      <c r="B427" s="70" t="s">
        <v>1304</v>
      </c>
      <c r="C427" s="13" t="s">
        <v>8</v>
      </c>
      <c r="D427" s="104"/>
      <c r="E427" s="104"/>
      <c r="F427" s="104"/>
      <c r="G427" s="104">
        <f>IF(ISERR('[1]Общее+'!H700),"-",'[1]Общее+'!H700)</f>
        <v>56.000000000000007</v>
      </c>
      <c r="H427" s="104">
        <f>IF(ISERR('[1]Общее+'!I700),"-",'[1]Общее+'!I700)</f>
        <v>61.224489795918366</v>
      </c>
      <c r="I427" s="104">
        <f>IF(ISERR('[1]Общее+'!J700),"-",'[1]Общее+'!J700)</f>
        <v>68.421052631578945</v>
      </c>
      <c r="J427" s="104">
        <f>IF(ISERR('[1]Общее+'!K700),"-",'[1]Общее+'!K700)</f>
        <v>87.2340425531915</v>
      </c>
      <c r="K427" s="104">
        <f>IF(ISERR('[1]Общее+'!L700),"-",'[1]Общее+'!L700)</f>
        <v>0</v>
      </c>
      <c r="L427" s="104">
        <f>IF(ISERR('[1]Общее+'!M700),"-",'[1]Общее+'!M700)</f>
        <v>0</v>
      </c>
      <c r="M427" s="104">
        <f>IF(ISERR('[1]Общее+'!N700),"-",'[1]Общее+'!N700)</f>
        <v>0</v>
      </c>
    </row>
    <row r="428" spans="1:13" s="89" customFormat="1" hidden="1" x14ac:dyDescent="0.25">
      <c r="A428" s="13"/>
      <c r="B428" s="70" t="s">
        <v>1302</v>
      </c>
      <c r="C428" s="13" t="s">
        <v>8</v>
      </c>
      <c r="D428" s="104">
        <f>IF(ISERR('[1]Общее+'!E701),"-",'[1]Общее+'!E701)</f>
        <v>40</v>
      </c>
      <c r="E428" s="104">
        <f>IF(ISERR('[1]Общее+'!F701),"-",'[1]Общее+'!F701)</f>
        <v>80</v>
      </c>
      <c r="F428" s="104">
        <f>IF(ISERR('[1]Общее+'!G701),"-",'[1]Общее+'!G701)</f>
        <v>100</v>
      </c>
      <c r="G428" s="104">
        <f>IF(ISERR('[1]Общее+'!H701),"-",'[1]Общее+'!H701)</f>
        <v>100</v>
      </c>
      <c r="H428" s="104">
        <f>IF(ISERR('[1]Общее+'!I701),"-",'[1]Общее+'!I701)</f>
        <v>100</v>
      </c>
      <c r="I428" s="104">
        <f>IF(ISERR('[1]Общее+'!J701),"-",'[1]Общее+'!J701)</f>
        <v>100</v>
      </c>
      <c r="J428" s="104">
        <f>IF(ISERR('[1]Общее+'!K701),"-",'[1]Общее+'!K701)</f>
        <v>100</v>
      </c>
      <c r="K428" s="104" t="str">
        <f>IF(ISERR('[1]Общее+'!L701),"-",'[1]Общее+'!L701)</f>
        <v>-</v>
      </c>
      <c r="L428" s="104" t="str">
        <f>IF(ISERR('[1]Общее+'!M701),"-",'[1]Общее+'!M701)</f>
        <v>-</v>
      </c>
      <c r="M428" s="104" t="str">
        <f>IF(ISERR('[1]Общее+'!N701),"-",'[1]Общее+'!N701)</f>
        <v>-</v>
      </c>
    </row>
    <row r="429" spans="1:13" s="89" customFormat="1" hidden="1" x14ac:dyDescent="0.25">
      <c r="A429" s="13"/>
      <c r="B429" s="70" t="s">
        <v>1303</v>
      </c>
      <c r="C429" s="13" t="s">
        <v>8</v>
      </c>
      <c r="D429" s="104"/>
      <c r="E429" s="104"/>
      <c r="F429" s="104"/>
      <c r="G429" s="104">
        <f>IF(ISERR('[1]Общее+'!H702),"-",'[1]Общее+'!H702)</f>
        <v>100</v>
      </c>
      <c r="H429" s="104">
        <f>IF(ISERR('[1]Общее+'!I702),"-",'[1]Общее+'!I702)</f>
        <v>100</v>
      </c>
      <c r="I429" s="104">
        <f>IF(ISERR('[1]Общее+'!J702),"-",'[1]Общее+'!J702)</f>
        <v>100</v>
      </c>
      <c r="J429" s="104">
        <f>IF(ISERR('[1]Общее+'!K702),"-",'[1]Общее+'!K702)</f>
        <v>100</v>
      </c>
      <c r="K429" s="104" t="str">
        <f>IF(ISERR('[1]Общее+'!L702),"-",'[1]Общее+'!L702)</f>
        <v>-</v>
      </c>
      <c r="L429" s="104" t="str">
        <f>IF(ISERR('[1]Общее+'!M702),"-",'[1]Общее+'!M702)</f>
        <v>-</v>
      </c>
      <c r="M429" s="104" t="str">
        <f>IF(ISERR('[1]Общее+'!N702),"-",'[1]Общее+'!N702)</f>
        <v>-</v>
      </c>
    </row>
    <row r="430" spans="1:13" s="89" customFormat="1" hidden="1" x14ac:dyDescent="0.25">
      <c r="A430" s="13"/>
      <c r="B430" s="70" t="s">
        <v>1304</v>
      </c>
      <c r="C430" s="13" t="s">
        <v>8</v>
      </c>
      <c r="D430" s="104"/>
      <c r="E430" s="104"/>
      <c r="F430" s="104"/>
      <c r="G430" s="104" t="str">
        <f>IF(ISERR('[1]Общее+'!H703),"-",'[1]Общее+'!H703)</f>
        <v>-</v>
      </c>
      <c r="H430" s="104" t="str">
        <f>IF(ISERR('[1]Общее+'!I703),"-",'[1]Общее+'!I703)</f>
        <v>-</v>
      </c>
      <c r="I430" s="104" t="str">
        <f>IF(ISERR('[1]Общее+'!J703),"-",'[1]Общее+'!J703)</f>
        <v>-</v>
      </c>
      <c r="J430" s="104" t="str">
        <f>IF(ISERR('[1]Общее+'!K703),"-",'[1]Общее+'!K703)</f>
        <v>-</v>
      </c>
      <c r="K430" s="104" t="str">
        <f>IF(ISERR('[1]Общее+'!L703),"-",'[1]Общее+'!L703)</f>
        <v>-</v>
      </c>
      <c r="L430" s="104" t="str">
        <f>IF(ISERR('[1]Общее+'!M703),"-",'[1]Общее+'!M703)</f>
        <v>-</v>
      </c>
      <c r="M430" s="104" t="str">
        <f>IF(ISERR('[1]Общее+'!N703),"-",'[1]Общее+'!N703)</f>
        <v>-</v>
      </c>
    </row>
    <row r="431" spans="1:13" s="89" customFormat="1" ht="90" x14ac:dyDescent="0.25">
      <c r="A431" s="13" t="s">
        <v>219</v>
      </c>
      <c r="B431" s="70" t="s">
        <v>2785</v>
      </c>
      <c r="C431" s="13" t="s">
        <v>8</v>
      </c>
      <c r="D431" s="104"/>
      <c r="E431" s="104"/>
      <c r="F431" s="104"/>
      <c r="G431" s="104"/>
      <c r="H431" s="104"/>
      <c r="I431" s="104"/>
      <c r="J431" s="104">
        <f>IF(ISERR('[1]Общее+'!K726),"-",'[1]Общее+'!K726)</f>
        <v>55.700325732899024</v>
      </c>
      <c r="K431" s="104">
        <f>IF(ISERR('[1]Общее+'!L726),"-",'[1]Общее+'!L726)</f>
        <v>100</v>
      </c>
      <c r="L431" s="104">
        <f>IF(ISERR('[1]Общее+'!M726),"-",'[1]Общее+'!M726)</f>
        <v>100</v>
      </c>
      <c r="M431" s="104">
        <f>IF(ISERR('[1]Общее+'!N726),"-",'[1]Общее+'!N726)</f>
        <v>100</v>
      </c>
    </row>
    <row r="432" spans="1:13" s="89" customFormat="1" x14ac:dyDescent="0.25">
      <c r="A432" s="13"/>
      <c r="B432" s="70" t="s">
        <v>2813</v>
      </c>
      <c r="C432" s="13"/>
      <c r="D432" s="104"/>
      <c r="E432" s="104"/>
      <c r="F432" s="104"/>
      <c r="G432" s="104"/>
      <c r="H432" s="104"/>
      <c r="I432" s="104"/>
      <c r="J432" s="104"/>
      <c r="K432" s="104"/>
      <c r="L432" s="104"/>
      <c r="M432" s="104"/>
    </row>
    <row r="433" spans="1:13" s="89" customFormat="1" x14ac:dyDescent="0.25">
      <c r="A433" s="13"/>
      <c r="B433" s="70" t="s">
        <v>2810</v>
      </c>
      <c r="C433" s="13"/>
      <c r="D433" s="104"/>
      <c r="E433" s="104"/>
      <c r="F433" s="104"/>
      <c r="G433" s="104"/>
      <c r="H433" s="104"/>
      <c r="I433" s="104"/>
      <c r="J433" s="104">
        <f>IF(ISERR('[1]Общее+'!K728),"-",'[1]Общее+'!K728)</f>
        <v>69.014084507042256</v>
      </c>
      <c r="K433" s="104">
        <f>IF(ISERR('[1]Общее+'!L728),"-",'[1]Общее+'!L728)</f>
        <v>100</v>
      </c>
      <c r="L433" s="104">
        <f>IF(ISERR('[1]Общее+'!M728),"-",'[1]Общее+'!M728)</f>
        <v>100</v>
      </c>
      <c r="M433" s="104">
        <f>IF(ISERR('[1]Общее+'!N728),"-",'[1]Общее+'!N728)</f>
        <v>100</v>
      </c>
    </row>
    <row r="434" spans="1:13" s="89" customFormat="1" x14ac:dyDescent="0.25">
      <c r="A434" s="13"/>
      <c r="B434" s="70" t="s">
        <v>2811</v>
      </c>
      <c r="C434" s="13"/>
      <c r="D434" s="104"/>
      <c r="E434" s="104"/>
      <c r="F434" s="104"/>
      <c r="G434" s="104"/>
      <c r="H434" s="104"/>
      <c r="I434" s="104"/>
      <c r="J434" s="104">
        <f>IF(ISERR('[1]Общее+'!K731),"-",'[1]Общее+'!K731)</f>
        <v>50</v>
      </c>
      <c r="K434" s="104" t="str">
        <f>IF(ISERR('[1]Общее+'!L731),"-",'[1]Общее+'!L731)</f>
        <v>-</v>
      </c>
      <c r="L434" s="104" t="str">
        <f>IF(ISERR('[1]Общее+'!M731),"-",'[1]Общее+'!M731)</f>
        <v>-</v>
      </c>
      <c r="M434" s="104" t="str">
        <f>IF(ISERR('[1]Общее+'!N731),"-",'[1]Общее+'!N731)</f>
        <v>-</v>
      </c>
    </row>
    <row r="435" spans="1:13" s="89" customFormat="1" x14ac:dyDescent="0.25">
      <c r="A435" s="13"/>
      <c r="B435" s="70" t="s">
        <v>2812</v>
      </c>
      <c r="C435" s="13"/>
      <c r="D435" s="104"/>
      <c r="E435" s="104"/>
      <c r="F435" s="104"/>
      <c r="G435" s="104"/>
      <c r="H435" s="104"/>
      <c r="I435" s="104"/>
      <c r="J435" s="104"/>
      <c r="K435" s="104"/>
      <c r="L435" s="104"/>
      <c r="M435" s="104"/>
    </row>
    <row r="436" spans="1:13" s="89" customFormat="1" x14ac:dyDescent="0.25">
      <c r="A436" s="13"/>
      <c r="B436" s="70" t="s">
        <v>2810</v>
      </c>
      <c r="C436" s="13"/>
      <c r="D436" s="104"/>
      <c r="E436" s="104"/>
      <c r="F436" s="104"/>
      <c r="G436" s="104"/>
      <c r="H436" s="104"/>
      <c r="I436" s="104"/>
      <c r="J436" s="104">
        <f>IF(ISERR('[1]Общее+'!K729),"-",'[1]Общее+'!K729)</f>
        <v>25.531914893617021</v>
      </c>
      <c r="K436" s="104">
        <f>IF(ISERR('[1]Общее+'!L729),"-",'[1]Общее+'!L729)</f>
        <v>100</v>
      </c>
      <c r="L436" s="104">
        <f>IF(ISERR('[1]Общее+'!M729),"-",'[1]Общее+'!M729)</f>
        <v>100</v>
      </c>
      <c r="M436" s="104">
        <f>IF(ISERR('[1]Общее+'!N729),"-",'[1]Общее+'!N729)</f>
        <v>100</v>
      </c>
    </row>
    <row r="437" spans="1:13" s="89" customFormat="1" x14ac:dyDescent="0.25">
      <c r="A437" s="13"/>
      <c r="B437" s="70" t="s">
        <v>2811</v>
      </c>
      <c r="C437" s="13"/>
      <c r="D437" s="104"/>
      <c r="E437" s="104"/>
      <c r="F437" s="104"/>
      <c r="G437" s="104"/>
      <c r="H437" s="104"/>
      <c r="I437" s="104"/>
      <c r="J437" s="104" t="str">
        <f>IF(ISERR('[1]Общее+'!K732),"-",'[1]Общее+'!K732)</f>
        <v>-</v>
      </c>
      <c r="K437" s="104" t="str">
        <f>IF(ISERR('[1]Общее+'!L732),"-",'[1]Общее+'!L732)</f>
        <v>-</v>
      </c>
      <c r="L437" s="104" t="str">
        <f>IF(ISERR('[1]Общее+'!M732),"-",'[1]Общее+'!M732)</f>
        <v>-</v>
      </c>
      <c r="M437" s="104" t="str">
        <f>IF(ISERR('[1]Общее+'!N732),"-",'[1]Общее+'!N732)</f>
        <v>-</v>
      </c>
    </row>
    <row r="438" spans="1:13" s="89" customFormat="1" ht="45" x14ac:dyDescent="0.25">
      <c r="A438" s="13" t="s">
        <v>1686</v>
      </c>
      <c r="B438" s="70" t="s">
        <v>2525</v>
      </c>
      <c r="C438" s="13"/>
      <c r="D438" s="104"/>
      <c r="E438" s="104"/>
      <c r="F438" s="104"/>
      <c r="G438" s="104"/>
      <c r="H438" s="104">
        <f>IF(ISERR('[1]Общее+'!I746),"-",'[1]Общее+'!I746)</f>
        <v>99.371069182389931</v>
      </c>
      <c r="I438" s="104">
        <f>IF(ISERR('[1]Общее+'!J746),"-",'[1]Общее+'!J746)</f>
        <v>99.354838709677423</v>
      </c>
      <c r="J438" s="104">
        <f>IF(ISERR('[1]Общее+'!K746),"-",'[1]Общее+'!K746)</f>
        <v>99.674267100977204</v>
      </c>
      <c r="K438" s="104">
        <f>IF(ISERR('[1]Общее+'!L746),"-",'[1]Общее+'!L746)</f>
        <v>100</v>
      </c>
      <c r="L438" s="104">
        <f>IF(ISERR('[1]Общее+'!M746),"-",'[1]Общее+'!M746)</f>
        <v>100</v>
      </c>
      <c r="M438" s="104">
        <f>IF(ISERR('[1]Общее+'!N746),"-",'[1]Общее+'!N746)</f>
        <v>100</v>
      </c>
    </row>
    <row r="439" spans="1:13" s="89" customFormat="1" hidden="1" x14ac:dyDescent="0.25">
      <c r="A439" s="13"/>
      <c r="B439" s="70" t="s">
        <v>1301</v>
      </c>
      <c r="C439" s="13" t="s">
        <v>8</v>
      </c>
      <c r="D439" s="104"/>
      <c r="E439" s="104"/>
      <c r="F439" s="104"/>
      <c r="G439" s="104"/>
      <c r="H439" s="104">
        <f>IF(ISERR('[1]Общее+'!I746),"-",'[1]Общее+'!I746)</f>
        <v>99.371069182389931</v>
      </c>
      <c r="I439" s="104">
        <f>IF(ISERR('[1]Общее+'!J746),"-",'[1]Общее+'!J746)</f>
        <v>99.354838709677423</v>
      </c>
      <c r="J439" s="104">
        <f>IF(ISERR('[1]Общее+'!K746),"-",'[1]Общее+'!K746)</f>
        <v>99.674267100977204</v>
      </c>
      <c r="K439" s="104">
        <f>IF(ISERR('[1]Общее+'!L746),"-",'[1]Общее+'!L746)</f>
        <v>100</v>
      </c>
      <c r="L439" s="104">
        <f>IF(ISERR('[1]Общее+'!M746),"-",'[1]Общее+'!M746)</f>
        <v>100</v>
      </c>
      <c r="M439" s="104">
        <f>IF(ISERR('[1]Общее+'!N746),"-",'[1]Общее+'!N746)</f>
        <v>100</v>
      </c>
    </row>
    <row r="440" spans="1:13" s="89" customFormat="1" hidden="1" x14ac:dyDescent="0.25">
      <c r="A440" s="13"/>
      <c r="B440" s="70" t="s">
        <v>1303</v>
      </c>
      <c r="C440" s="13" t="s">
        <v>8</v>
      </c>
      <c r="D440" s="104"/>
      <c r="E440" s="104"/>
      <c r="F440" s="104"/>
      <c r="G440" s="104"/>
      <c r="H440" s="104">
        <f>IF(ISERR('[1]Общее+'!I747),"-",'[1]Общее+'!I747)</f>
        <v>99.090909090909093</v>
      </c>
      <c r="I440" s="104">
        <f>IF(ISERR('[1]Общее+'!J747),"-",'[1]Общее+'!J747)</f>
        <v>99.069767441860463</v>
      </c>
      <c r="J440" s="104">
        <f>IF(ISERR('[1]Общее+'!K747),"-",'[1]Общее+'!K747)</f>
        <v>99.53051643192488</v>
      </c>
      <c r="K440" s="104">
        <f>IF(ISERR('[1]Общее+'!L747),"-",'[1]Общее+'!L747)</f>
        <v>100</v>
      </c>
      <c r="L440" s="104">
        <f>IF(ISERR('[1]Общее+'!M747),"-",'[1]Общее+'!M747)</f>
        <v>100</v>
      </c>
      <c r="M440" s="104">
        <f>IF(ISERR('[1]Общее+'!N747),"-",'[1]Общее+'!N747)</f>
        <v>100</v>
      </c>
    </row>
    <row r="441" spans="1:13" s="89" customFormat="1" hidden="1" x14ac:dyDescent="0.25">
      <c r="A441" s="13"/>
      <c r="B441" s="70" t="s">
        <v>1304</v>
      </c>
      <c r="C441" s="13" t="s">
        <v>8</v>
      </c>
      <c r="D441" s="104"/>
      <c r="E441" s="104"/>
      <c r="F441" s="104"/>
      <c r="G441" s="104"/>
      <c r="H441" s="104">
        <f>IF(ISERR('[1]Общее+'!I748),"-",'[1]Общее+'!I748)</f>
        <v>100</v>
      </c>
      <c r="I441" s="104">
        <f>IF(ISERR('[1]Общее+'!J748),"-",'[1]Общее+'!J748)</f>
        <v>100</v>
      </c>
      <c r="J441" s="104">
        <f>IF(ISERR('[1]Общее+'!K748),"-",'[1]Общее+'!K748)</f>
        <v>100</v>
      </c>
      <c r="K441" s="104">
        <f>IF(ISERR('[1]Общее+'!L748),"-",'[1]Общее+'!L748)</f>
        <v>100</v>
      </c>
      <c r="L441" s="104">
        <f>IF(ISERR('[1]Общее+'!M748),"-",'[1]Общее+'!M748)</f>
        <v>100</v>
      </c>
      <c r="M441" s="104">
        <f>IF(ISERR('[1]Общее+'!N748),"-",'[1]Общее+'!N748)</f>
        <v>100</v>
      </c>
    </row>
    <row r="442" spans="1:13" s="89" customFormat="1" hidden="1" x14ac:dyDescent="0.25">
      <c r="A442" s="13"/>
      <c r="B442" s="70" t="s">
        <v>1302</v>
      </c>
      <c r="C442" s="13" t="s">
        <v>8</v>
      </c>
      <c r="D442" s="104"/>
      <c r="E442" s="104"/>
      <c r="F442" s="104"/>
      <c r="G442" s="104"/>
      <c r="H442" s="104">
        <f>IF(ISERR('[1]Общее+'!I755),"-",'[1]Общее+'!I755)</f>
        <v>75</v>
      </c>
      <c r="I442" s="104">
        <f>IF(ISERR('[1]Общее+'!J755),"-",'[1]Общее+'!J755)</f>
        <v>75</v>
      </c>
      <c r="J442" s="104">
        <f>IF(ISERR('[1]Общее+'!K755),"-",'[1]Общее+'!K755)</f>
        <v>75</v>
      </c>
      <c r="K442" s="104" t="str">
        <f>IF(ISERR('[1]Общее+'!L755),"-",'[1]Общее+'!L755)</f>
        <v>-</v>
      </c>
      <c r="L442" s="104" t="str">
        <f>IF(ISERR('[1]Общее+'!M755),"-",'[1]Общее+'!M755)</f>
        <v>-</v>
      </c>
      <c r="M442" s="104" t="str">
        <f>IF(ISERR('[1]Общее+'!N755),"-",'[1]Общее+'!N755)</f>
        <v>-</v>
      </c>
    </row>
    <row r="443" spans="1:13" s="89" customFormat="1" hidden="1" x14ac:dyDescent="0.25">
      <c r="A443" s="13"/>
      <c r="B443" s="70" t="s">
        <v>1303</v>
      </c>
      <c r="C443" s="13" t="s">
        <v>8</v>
      </c>
      <c r="D443" s="104"/>
      <c r="E443" s="104"/>
      <c r="F443" s="104"/>
      <c r="G443" s="104"/>
      <c r="H443" s="104">
        <f>IF(ISERR('[1]Общее+'!I756),"-",'[1]Общее+'!I756)</f>
        <v>75</v>
      </c>
      <c r="I443" s="104">
        <f>IF(ISERR('[1]Общее+'!J756),"-",'[1]Общее+'!J756)</f>
        <v>75</v>
      </c>
      <c r="J443" s="104">
        <f>IF(ISERR('[1]Общее+'!K756),"-",'[1]Общее+'!K756)</f>
        <v>75</v>
      </c>
      <c r="K443" s="104" t="str">
        <f>IF(ISERR('[1]Общее+'!L756),"-",'[1]Общее+'!L756)</f>
        <v>-</v>
      </c>
      <c r="L443" s="104" t="str">
        <f>IF(ISERR('[1]Общее+'!M756),"-",'[1]Общее+'!M756)</f>
        <v>-</v>
      </c>
      <c r="M443" s="104" t="str">
        <f>IF(ISERR('[1]Общее+'!N756),"-",'[1]Общее+'!N756)</f>
        <v>-</v>
      </c>
    </row>
    <row r="444" spans="1:13" s="89" customFormat="1" hidden="1" x14ac:dyDescent="0.25">
      <c r="A444" s="13"/>
      <c r="B444" s="70" t="s">
        <v>1304</v>
      </c>
      <c r="C444" s="13" t="s">
        <v>8</v>
      </c>
      <c r="D444" s="104"/>
      <c r="E444" s="104"/>
      <c r="F444" s="104"/>
      <c r="G444" s="104"/>
      <c r="H444" s="104" t="str">
        <f>IF(ISERR('[1]Общее+'!I757),"-",'[1]Общее+'!I757)</f>
        <v>-</v>
      </c>
      <c r="I444" s="104" t="str">
        <f>IF(ISERR('[1]Общее+'!J757),"-",'[1]Общее+'!J757)</f>
        <v>-</v>
      </c>
      <c r="J444" s="104" t="str">
        <f>IF(ISERR('[1]Общее+'!K757),"-",'[1]Общее+'!K757)</f>
        <v>-</v>
      </c>
      <c r="K444" s="104" t="str">
        <f>IF(ISERR('[1]Общее+'!L757),"-",'[1]Общее+'!L757)</f>
        <v>-</v>
      </c>
      <c r="L444" s="104" t="str">
        <f>IF(ISERR('[1]Общее+'!M757),"-",'[1]Общее+'!M757)</f>
        <v>-</v>
      </c>
      <c r="M444" s="104" t="str">
        <f>IF(ISERR('[1]Общее+'!N757),"-",'[1]Общее+'!N757)</f>
        <v>-</v>
      </c>
    </row>
    <row r="445" spans="1:13" s="89" customFormat="1" ht="45" x14ac:dyDescent="0.25">
      <c r="A445" s="99" t="s">
        <v>229</v>
      </c>
      <c r="B445" s="100" t="s">
        <v>224</v>
      </c>
      <c r="C445" s="87"/>
      <c r="D445" s="90"/>
      <c r="E445" s="90"/>
      <c r="F445" s="90"/>
      <c r="G445" s="90"/>
      <c r="H445" s="104"/>
      <c r="I445" s="104"/>
      <c r="J445" s="104"/>
      <c r="K445" s="104"/>
      <c r="L445" s="104"/>
      <c r="M445" s="104"/>
    </row>
    <row r="446" spans="1:13" s="89" customFormat="1" ht="45" x14ac:dyDescent="0.25">
      <c r="A446" s="13" t="s">
        <v>228</v>
      </c>
      <c r="B446" s="70" t="s">
        <v>2526</v>
      </c>
      <c r="C446" s="87"/>
      <c r="D446" s="90"/>
      <c r="E446" s="90"/>
      <c r="F446" s="90"/>
      <c r="G446" s="90"/>
      <c r="H446" s="104"/>
      <c r="I446" s="104"/>
      <c r="J446" s="104"/>
      <c r="K446" s="104"/>
      <c r="L446" s="104"/>
      <c r="M446" s="104"/>
    </row>
    <row r="447" spans="1:13" s="89" customFormat="1" x14ac:dyDescent="0.25">
      <c r="A447" s="99"/>
      <c r="B447" s="70" t="s">
        <v>1301</v>
      </c>
      <c r="C447" s="13" t="s">
        <v>8</v>
      </c>
      <c r="D447" s="90"/>
      <c r="E447" s="90"/>
      <c r="F447" s="90"/>
      <c r="G447" s="90"/>
      <c r="H447" s="104">
        <f>IF(ISERR('[1]Общее+'!I797),"-",'[1]Общее+'!I797)</f>
        <v>60.334029227557409</v>
      </c>
      <c r="I447" s="104">
        <f>IF(ISERR('[1]Общее+'!J797),"-",'[1]Общее+'!J797)</f>
        <v>75.854700854700852</v>
      </c>
      <c r="J447" s="104">
        <f>IF(ISERR('[1]Общее+'!K797),"-",'[1]Общее+'!K797)</f>
        <v>82.478632478632477</v>
      </c>
      <c r="K447" s="104">
        <f>IF(ISERR('[1]Общее+'!L797),"-",'[1]Общее+'!L797)</f>
        <v>100</v>
      </c>
      <c r="L447" s="104">
        <f>IF(ISERR('[1]Общее+'!M797),"-",'[1]Общее+'!M797)</f>
        <v>100</v>
      </c>
      <c r="M447" s="104">
        <f>IF(ISERR('[1]Общее+'!N797),"-",'[1]Общее+'!N797)</f>
        <v>100</v>
      </c>
    </row>
    <row r="448" spans="1:13" s="89" customFormat="1" x14ac:dyDescent="0.25">
      <c r="A448" s="99"/>
      <c r="B448" s="70" t="s">
        <v>1303</v>
      </c>
      <c r="C448" s="13" t="s">
        <v>8</v>
      </c>
      <c r="D448" s="90"/>
      <c r="E448" s="90"/>
      <c r="F448" s="90"/>
      <c r="G448" s="90"/>
      <c r="H448" s="104">
        <f>IF(ISERR('[1]Общее+'!I798),"-",'[1]Общее+'!I798)</f>
        <v>57.8125</v>
      </c>
      <c r="I448" s="104">
        <f>IF(ISERR('[1]Общее+'!J798),"-",'[1]Общее+'!J798)</f>
        <v>71.698113207547166</v>
      </c>
      <c r="J448" s="104">
        <f>IF(ISERR('[1]Общее+'!K798),"-",'[1]Общее+'!K798)</f>
        <v>80.379746835443029</v>
      </c>
      <c r="K448" s="104">
        <f>IF(ISERR('[1]Общее+'!L798),"-",'[1]Общее+'!L798)</f>
        <v>100</v>
      </c>
      <c r="L448" s="104">
        <f>IF(ISERR('[1]Общее+'!M798),"-",'[1]Общее+'!M798)</f>
        <v>100</v>
      </c>
      <c r="M448" s="104">
        <f>IF(ISERR('[1]Общее+'!N798),"-",'[1]Общее+'!N798)</f>
        <v>100</v>
      </c>
    </row>
    <row r="449" spans="1:13" s="89" customFormat="1" x14ac:dyDescent="0.25">
      <c r="A449" s="99"/>
      <c r="B449" s="70" t="s">
        <v>1304</v>
      </c>
      <c r="C449" s="13" t="s">
        <v>8</v>
      </c>
      <c r="D449" s="90"/>
      <c r="E449" s="90"/>
      <c r="F449" s="90"/>
      <c r="G449" s="90"/>
      <c r="H449" s="104">
        <f>IF(ISERR('[1]Общее+'!I799),"-",'[1]Общее+'!I799)</f>
        <v>65.408805031446533</v>
      </c>
      <c r="I449" s="104">
        <f>IF(ISERR('[1]Общее+'!J799),"-",'[1]Общее+'!J799)</f>
        <v>84.666666666666671</v>
      </c>
      <c r="J449" s="104">
        <f>IF(ISERR('[1]Общее+'!K799),"-",'[1]Общее+'!K799)</f>
        <v>86.842105263157904</v>
      </c>
      <c r="K449" s="104">
        <f>IF(ISERR('[1]Общее+'!L799),"-",'[1]Общее+'!L799)</f>
        <v>100</v>
      </c>
      <c r="L449" s="104">
        <f>IF(ISERR('[1]Общее+'!M799),"-",'[1]Общее+'!M799)</f>
        <v>100</v>
      </c>
      <c r="M449" s="104">
        <f>IF(ISERR('[1]Общее+'!N799),"-",'[1]Общее+'!N799)</f>
        <v>100</v>
      </c>
    </row>
    <row r="450" spans="1:13" s="89" customFormat="1" hidden="1" x14ac:dyDescent="0.25">
      <c r="A450" s="99"/>
      <c r="B450" s="70" t="s">
        <v>1302</v>
      </c>
      <c r="C450" s="13" t="s">
        <v>8</v>
      </c>
      <c r="D450" s="90"/>
      <c r="E450" s="90"/>
      <c r="F450" s="90"/>
      <c r="G450" s="90"/>
      <c r="H450" s="104">
        <f>IF(ISERR('[1]Общее+'!I806),"-",'[1]Общее+'!I806)</f>
        <v>33.333333333333329</v>
      </c>
      <c r="I450" s="104">
        <f>IF(ISERR('[1]Общее+'!J806),"-",'[1]Общее+'!J806)</f>
        <v>33.333333333333329</v>
      </c>
      <c r="J450" s="104">
        <f>IF(ISERR('[1]Общее+'!K806),"-",'[1]Общее+'!K806)</f>
        <v>83.333333333333343</v>
      </c>
      <c r="K450" s="104" t="str">
        <f>IF(ISERR('[1]Общее+'!L806),"-",'[1]Общее+'!L806)</f>
        <v>-</v>
      </c>
      <c r="L450" s="104" t="str">
        <f>IF(ISERR('[1]Общее+'!M806),"-",'[1]Общее+'!M806)</f>
        <v>-</v>
      </c>
      <c r="M450" s="104" t="str">
        <f>IF(ISERR('[1]Общее+'!N806),"-",'[1]Общее+'!N806)</f>
        <v>-</v>
      </c>
    </row>
    <row r="451" spans="1:13" s="89" customFormat="1" hidden="1" x14ac:dyDescent="0.25">
      <c r="A451" s="99"/>
      <c r="B451" s="70" t="s">
        <v>1303</v>
      </c>
      <c r="C451" s="13" t="s">
        <v>8</v>
      </c>
      <c r="D451" s="90"/>
      <c r="E451" s="90"/>
      <c r="F451" s="90"/>
      <c r="G451" s="90"/>
      <c r="H451" s="104">
        <f>IF(ISERR('[1]Общее+'!I807),"-",'[1]Общее+'!I807)</f>
        <v>33.333333333333329</v>
      </c>
      <c r="I451" s="104">
        <f>IF(ISERR('[1]Общее+'!J807),"-",'[1]Общее+'!J807)</f>
        <v>33.333333333333329</v>
      </c>
      <c r="J451" s="104">
        <f>IF(ISERR('[1]Общее+'!K807),"-",'[1]Общее+'!K807)</f>
        <v>83.333333333333343</v>
      </c>
      <c r="K451" s="104" t="str">
        <f>IF(ISERR('[1]Общее+'!L807),"-",'[1]Общее+'!L807)</f>
        <v>-</v>
      </c>
      <c r="L451" s="104" t="str">
        <f>IF(ISERR('[1]Общее+'!M807),"-",'[1]Общее+'!M807)</f>
        <v>-</v>
      </c>
      <c r="M451" s="104" t="str">
        <f>IF(ISERR('[1]Общее+'!N807),"-",'[1]Общее+'!N807)</f>
        <v>-</v>
      </c>
    </row>
    <row r="452" spans="1:13" s="89" customFormat="1" hidden="1" x14ac:dyDescent="0.25">
      <c r="A452" s="99"/>
      <c r="B452" s="70" t="s">
        <v>1304</v>
      </c>
      <c r="C452" s="13" t="s">
        <v>8</v>
      </c>
      <c r="D452" s="90"/>
      <c r="E452" s="90"/>
      <c r="F452" s="90"/>
      <c r="G452" s="90"/>
      <c r="H452" s="104" t="str">
        <f>IF(ISERR('[1]Общее+'!I808),"-",'[1]Общее+'!I808)</f>
        <v>-</v>
      </c>
      <c r="I452" s="104" t="str">
        <f>IF(ISERR('[1]Общее+'!J808),"-",'[1]Общее+'!J808)</f>
        <v>-</v>
      </c>
      <c r="J452" s="104" t="str">
        <f>IF(ISERR('[1]Общее+'!K808),"-",'[1]Общее+'!K808)</f>
        <v>-</v>
      </c>
      <c r="K452" s="104" t="str">
        <f>IF(ISERR('[1]Общее+'!L808),"-",'[1]Общее+'!L808)</f>
        <v>-</v>
      </c>
      <c r="L452" s="104" t="str">
        <f>IF(ISERR('[1]Общее+'!M808),"-",'[1]Общее+'!M808)</f>
        <v>-</v>
      </c>
      <c r="M452" s="104" t="str">
        <f>IF(ISERR('[1]Общее+'!N808),"-",'[1]Общее+'!N808)</f>
        <v>-</v>
      </c>
    </row>
    <row r="453" spans="1:13" s="89" customFormat="1" ht="75" hidden="1" x14ac:dyDescent="0.25">
      <c r="A453" s="13" t="s">
        <v>228</v>
      </c>
      <c r="B453" s="70" t="s">
        <v>225</v>
      </c>
      <c r="C453" s="13"/>
      <c r="D453" s="90"/>
      <c r="E453" s="90"/>
      <c r="F453" s="90"/>
      <c r="G453" s="90"/>
      <c r="H453" s="90"/>
      <c r="I453" s="90"/>
      <c r="J453" s="90"/>
      <c r="K453" s="90"/>
      <c r="L453" s="90"/>
      <c r="M453" s="90"/>
    </row>
    <row r="454" spans="1:13" s="89" customFormat="1" hidden="1" x14ac:dyDescent="0.25">
      <c r="A454" s="13"/>
      <c r="B454" s="70" t="s">
        <v>1301</v>
      </c>
      <c r="C454" s="13" t="s">
        <v>8</v>
      </c>
      <c r="D454" s="104">
        <f>IF(ISERR('[1]Общее+'!E766),"-",'[1]Общее+'!E766)</f>
        <v>29.277899343544856</v>
      </c>
      <c r="E454" s="104">
        <f>IF(ISERR('[1]Общее+'!F766),"-",'[1]Общее+'!F766)</f>
        <v>26.364417705199827</v>
      </c>
      <c r="F454" s="104">
        <f>IF(ISERR('[1]Общее+'!G766),"-",'[1]Общее+'!G766)</f>
        <v>29.990069513406159</v>
      </c>
      <c r="G454" s="104">
        <f>IF(ISERR('[1]Общее+'!H766),"-",'[1]Общее+'!H766)</f>
        <v>41.154225583689573</v>
      </c>
      <c r="H454" s="104" t="str">
        <f>IF(ISERR('[1]Общее+'!I766),"-",'[1]Общее+'!I766)</f>
        <v>-</v>
      </c>
      <c r="I454" s="104" t="str">
        <f>IF(ISERR('[1]Общее+'!J766),"-",'[1]Общее+'!J766)</f>
        <v>-</v>
      </c>
      <c r="J454" s="104" t="str">
        <f>IF(ISERR('[1]Общее+'!K766),"-",'[1]Общее+'!K766)</f>
        <v>-</v>
      </c>
      <c r="K454" s="104" t="str">
        <f>IF(ISERR('[1]Общее+'!L766),"-",'[1]Общее+'!L766)</f>
        <v>-</v>
      </c>
      <c r="L454" s="104" t="str">
        <f>IF(ISERR('[1]Общее+'!M766),"-",'[1]Общее+'!M766)</f>
        <v>-</v>
      </c>
      <c r="M454" s="104" t="str">
        <f>IF(ISERR('[1]Общее+'!N766),"-",'[1]Общее+'!N766)</f>
        <v>-</v>
      </c>
    </row>
    <row r="455" spans="1:13" s="89" customFormat="1" hidden="1" x14ac:dyDescent="0.25">
      <c r="A455" s="13"/>
      <c r="B455" s="70" t="s">
        <v>1303</v>
      </c>
      <c r="C455" s="13" t="s">
        <v>8</v>
      </c>
      <c r="D455" s="104">
        <f>IF(ISERR('[1]Общее+'!E767),"-",'[1]Общее+'!E767)</f>
        <v>23.638709677419357</v>
      </c>
      <c r="E455" s="104">
        <f>IF(ISERR('[1]Общее+'!F767),"-",'[1]Общее+'!F767)</f>
        <v>21.149539686489177</v>
      </c>
      <c r="F455" s="104">
        <f>IF(ISERR('[1]Общее+'!G767),"-",'[1]Общее+'!G767)</f>
        <v>24.851122308749428</v>
      </c>
      <c r="G455" s="104">
        <f>IF(ISERR('[1]Общее+'!H767),"-",'[1]Общее+'!H767)</f>
        <v>35.153903903903903</v>
      </c>
      <c r="H455" s="104" t="str">
        <f>IF(ISERR('[1]Общее+'!I767),"-",'[1]Общее+'!I767)</f>
        <v>-</v>
      </c>
      <c r="I455" s="104" t="str">
        <f>IF(ISERR('[1]Общее+'!J767),"-",'[1]Общее+'!J767)</f>
        <v>-</v>
      </c>
      <c r="J455" s="104" t="str">
        <f>IF(ISERR('[1]Общее+'!K767),"-",'[1]Общее+'!K767)</f>
        <v>-</v>
      </c>
      <c r="K455" s="104" t="str">
        <f>IF(ISERR('[1]Общее+'!L767),"-",'[1]Общее+'!L767)</f>
        <v>-</v>
      </c>
      <c r="L455" s="104" t="str">
        <f>IF(ISERR('[1]Общее+'!M767),"-",'[1]Общее+'!M767)</f>
        <v>-</v>
      </c>
      <c r="M455" s="104" t="str">
        <f>IF(ISERR('[1]Общее+'!N767),"-",'[1]Общее+'!N767)</f>
        <v>-</v>
      </c>
    </row>
    <row r="456" spans="1:13" s="89" customFormat="1" hidden="1" x14ac:dyDescent="0.25">
      <c r="A456" s="13"/>
      <c r="B456" s="70" t="s">
        <v>1304</v>
      </c>
      <c r="C456" s="13" t="s">
        <v>8</v>
      </c>
      <c r="D456" s="104">
        <f>IF(ISERR('[1]Общее+'!E768),"-",'[1]Общее+'!E768)</f>
        <v>60.719424460431661</v>
      </c>
      <c r="E456" s="104">
        <f>IF(ISERR('[1]Общее+'!F768),"-",'[1]Общее+'!F768)</f>
        <v>59.370078740157481</v>
      </c>
      <c r="F456" s="104">
        <f>IF(ISERR('[1]Общее+'!G768),"-",'[1]Общее+'!G768)</f>
        <v>63.527653213751869</v>
      </c>
      <c r="G456" s="104">
        <f>IF(ISERR('[1]Общее+'!H768),"-",'[1]Общее+'!H768)</f>
        <v>83.554376657824932</v>
      </c>
      <c r="H456" s="104" t="str">
        <f>IF(ISERR('[1]Общее+'!I768),"-",'[1]Общее+'!I768)</f>
        <v>-</v>
      </c>
      <c r="I456" s="104" t="str">
        <f>IF(ISERR('[1]Общее+'!J768),"-",'[1]Общее+'!J768)</f>
        <v>-</v>
      </c>
      <c r="J456" s="104" t="str">
        <f>IF(ISERR('[1]Общее+'!K768),"-",'[1]Общее+'!K768)</f>
        <v>-</v>
      </c>
      <c r="K456" s="104" t="str">
        <f>IF(ISERR('[1]Общее+'!L768),"-",'[1]Общее+'!L768)</f>
        <v>-</v>
      </c>
      <c r="L456" s="104" t="str">
        <f>IF(ISERR('[1]Общее+'!M768),"-",'[1]Общее+'!M768)</f>
        <v>-</v>
      </c>
      <c r="M456" s="104" t="str">
        <f>IF(ISERR('[1]Общее+'!N768),"-",'[1]Общее+'!N768)</f>
        <v>-</v>
      </c>
    </row>
    <row r="457" spans="1:13" s="89" customFormat="1" hidden="1" x14ac:dyDescent="0.25">
      <c r="A457" s="13"/>
      <c r="B457" s="70" t="s">
        <v>1302</v>
      </c>
      <c r="C457" s="13" t="s">
        <v>8</v>
      </c>
      <c r="D457" s="104">
        <f>IF(ISERR('[1]Общее+'!E769),"-",'[1]Общее+'!E769)</f>
        <v>100</v>
      </c>
      <c r="E457" s="104">
        <f>IF(ISERR('[1]Общее+'!F769),"-",'[1]Общее+'!F769)</f>
        <v>100</v>
      </c>
      <c r="F457" s="104">
        <f>IF(ISERR('[1]Общее+'!G769),"-",'[1]Общее+'!G769)</f>
        <v>100</v>
      </c>
      <c r="G457" s="104">
        <f>IF(ISERR('[1]Общее+'!H769),"-",'[1]Общее+'!H769)</f>
        <v>100</v>
      </c>
      <c r="H457" s="104" t="str">
        <f>IF(ISERR('[1]Общее+'!I769),"-",'[1]Общее+'!I769)</f>
        <v>-</v>
      </c>
      <c r="I457" s="104" t="str">
        <f>IF(ISERR('[1]Общее+'!J769),"-",'[1]Общее+'!J769)</f>
        <v>-</v>
      </c>
      <c r="J457" s="104" t="str">
        <f>IF(ISERR('[1]Общее+'!K769),"-",'[1]Общее+'!K769)</f>
        <v>-</v>
      </c>
      <c r="K457" s="104" t="str">
        <f>IF(ISERR('[1]Общее+'!L769),"-",'[1]Общее+'!L769)</f>
        <v>-</v>
      </c>
      <c r="L457" s="104" t="str">
        <f>IF(ISERR('[1]Общее+'!M769),"-",'[1]Общее+'!M769)</f>
        <v>-</v>
      </c>
      <c r="M457" s="104" t="str">
        <f>IF(ISERR('[1]Общее+'!N769),"-",'[1]Общее+'!N769)</f>
        <v>-</v>
      </c>
    </row>
    <row r="458" spans="1:13" s="89" customFormat="1" hidden="1" x14ac:dyDescent="0.25">
      <c r="A458" s="13"/>
      <c r="B458" s="70" t="s">
        <v>1303</v>
      </c>
      <c r="C458" s="13" t="s">
        <v>8</v>
      </c>
      <c r="D458" s="104">
        <f>IF(ISERR('[1]Общее+'!E770),"-",'[1]Общее+'!E770)</f>
        <v>100</v>
      </c>
      <c r="E458" s="104">
        <f>IF(ISERR('[1]Общее+'!F770),"-",'[1]Общее+'!F770)</f>
        <v>100</v>
      </c>
      <c r="F458" s="104">
        <f>IF(ISERR('[1]Общее+'!G770),"-",'[1]Общее+'!G770)</f>
        <v>100</v>
      </c>
      <c r="G458" s="104">
        <f>IF(ISERR('[1]Общее+'!H770),"-",'[1]Общее+'!H770)</f>
        <v>100</v>
      </c>
      <c r="H458" s="104" t="str">
        <f>IF(ISERR('[1]Общее+'!I770),"-",'[1]Общее+'!I770)</f>
        <v>-</v>
      </c>
      <c r="I458" s="104" t="str">
        <f>IF(ISERR('[1]Общее+'!J770),"-",'[1]Общее+'!J770)</f>
        <v>-</v>
      </c>
      <c r="J458" s="104" t="str">
        <f>IF(ISERR('[1]Общее+'!K770),"-",'[1]Общее+'!K770)</f>
        <v>-</v>
      </c>
      <c r="K458" s="104" t="str">
        <f>IF(ISERR('[1]Общее+'!L770),"-",'[1]Общее+'!L770)</f>
        <v>-</v>
      </c>
      <c r="L458" s="104" t="str">
        <f>IF(ISERR('[1]Общее+'!M770),"-",'[1]Общее+'!M770)</f>
        <v>-</v>
      </c>
      <c r="M458" s="104" t="str">
        <f>IF(ISERR('[1]Общее+'!N770),"-",'[1]Общее+'!N770)</f>
        <v>-</v>
      </c>
    </row>
    <row r="459" spans="1:13" s="89" customFormat="1" hidden="1" x14ac:dyDescent="0.25">
      <c r="A459" s="13"/>
      <c r="B459" s="70" t="s">
        <v>1304</v>
      </c>
      <c r="C459" s="13" t="s">
        <v>8</v>
      </c>
      <c r="D459" s="104" t="str">
        <f>IF(ISERR('[1]Общее+'!E771),"-",'[1]Общее+'!E771)</f>
        <v>-</v>
      </c>
      <c r="E459" s="104" t="str">
        <f>IF(ISERR('[1]Общее+'!F771),"-",'[1]Общее+'!F771)</f>
        <v>-</v>
      </c>
      <c r="F459" s="104" t="str">
        <f>IF(ISERR('[1]Общее+'!G771),"-",'[1]Общее+'!G771)</f>
        <v>-</v>
      </c>
      <c r="G459" s="104" t="str">
        <f>IF(ISERR('[1]Общее+'!H771),"-",'[1]Общее+'!H771)</f>
        <v>-</v>
      </c>
      <c r="H459" s="104" t="str">
        <f>IF(ISERR('[1]Общее+'!I771),"-",'[1]Общее+'!I771)</f>
        <v>-</v>
      </c>
      <c r="I459" s="104" t="str">
        <f>IF(ISERR('[1]Общее+'!J771),"-",'[1]Общее+'!J771)</f>
        <v>-</v>
      </c>
      <c r="J459" s="104" t="str">
        <f>IF(ISERR('[1]Общее+'!K771),"-",'[1]Общее+'!K771)</f>
        <v>-</v>
      </c>
      <c r="K459" s="104" t="str">
        <f>IF(ISERR('[1]Общее+'!L771),"-",'[1]Общее+'!L771)</f>
        <v>-</v>
      </c>
      <c r="L459" s="104" t="str">
        <f>IF(ISERR('[1]Общее+'!M771),"-",'[1]Общее+'!M771)</f>
        <v>-</v>
      </c>
      <c r="M459" s="104" t="str">
        <f>IF(ISERR('[1]Общее+'!N771),"-",'[1]Общее+'!N771)</f>
        <v>-</v>
      </c>
    </row>
    <row r="460" spans="1:13" s="89" customFormat="1" ht="60" hidden="1" x14ac:dyDescent="0.25">
      <c r="A460" s="13" t="s">
        <v>231</v>
      </c>
      <c r="B460" s="70" t="s">
        <v>230</v>
      </c>
      <c r="C460" s="13"/>
      <c r="D460" s="90"/>
      <c r="E460" s="90"/>
      <c r="F460" s="90"/>
      <c r="G460" s="90"/>
      <c r="H460" s="90"/>
      <c r="I460" s="90"/>
      <c r="J460" s="90"/>
      <c r="K460" s="90"/>
      <c r="L460" s="90"/>
      <c r="M460" s="90"/>
    </row>
    <row r="461" spans="1:13" s="89" customFormat="1" hidden="1" x14ac:dyDescent="0.25">
      <c r="A461" s="13"/>
      <c r="B461" s="70" t="s">
        <v>1301</v>
      </c>
      <c r="C461" s="13" t="s">
        <v>8</v>
      </c>
      <c r="D461" s="104">
        <f>IF(ISERR('[1]Общее+'!E816),"-",'[1]Общее+'!E816)</f>
        <v>58.223684210526315</v>
      </c>
      <c r="E461" s="104">
        <f>IF(ISERR('[1]Общее+'!F816),"-",'[1]Общее+'!F816)</f>
        <v>55.158730158730165</v>
      </c>
      <c r="F461" s="104">
        <f>IF(ISERR('[1]Общее+'!G816),"-",'[1]Общее+'!G816)</f>
        <v>54.661190965092402</v>
      </c>
      <c r="G461" s="104">
        <f>IF(ISERR('[1]Общее+'!H816),"-",'[1]Общее+'!H816)</f>
        <v>58.173251177963024</v>
      </c>
      <c r="H461" s="104" t="str">
        <f>IF(ISERR('[1]Общее+'!I816),"-",'[1]Общее+'!I816)</f>
        <v>-</v>
      </c>
      <c r="I461" s="104" t="str">
        <f>IF(ISERR('[1]Общее+'!J816),"-",'[1]Общее+'!J816)</f>
        <v>-</v>
      </c>
      <c r="J461" s="104" t="str">
        <f>IF(ISERR('[1]Общее+'!K816),"-",'[1]Общее+'!K816)</f>
        <v>-</v>
      </c>
      <c r="K461" s="104" t="str">
        <f>IF(ISERR('[1]Общее+'!L816),"-",'[1]Общее+'!L816)</f>
        <v>-</v>
      </c>
      <c r="L461" s="104" t="str">
        <f>IF(ISERR('[1]Общее+'!M816),"-",'[1]Общее+'!M816)</f>
        <v>-</v>
      </c>
      <c r="M461" s="104" t="str">
        <f>IF(ISERR('[1]Общее+'!N816),"-",'[1]Общее+'!N816)</f>
        <v>-</v>
      </c>
    </row>
    <row r="462" spans="1:13" s="89" customFormat="1" hidden="1" x14ac:dyDescent="0.25">
      <c r="A462" s="13"/>
      <c r="B462" s="70" t="s">
        <v>1303</v>
      </c>
      <c r="C462" s="13" t="s">
        <v>8</v>
      </c>
      <c r="D462" s="104">
        <f>IF(ISERR('[1]Общее+'!E817),"-",'[1]Общее+'!E817)</f>
        <v>57.639243740419012</v>
      </c>
      <c r="E462" s="104">
        <f>IF(ISERR('[1]Общее+'!F817),"-",'[1]Общее+'!F817)</f>
        <v>54.186717998075075</v>
      </c>
      <c r="F462" s="104">
        <f>IF(ISERR('[1]Общее+'!G817),"-",'[1]Общее+'!G817)</f>
        <v>53.657448706512042</v>
      </c>
      <c r="G462" s="104">
        <f>IF(ISERR('[1]Общее+'!H817),"-",'[1]Общее+'!H817)</f>
        <v>56.396255850234013</v>
      </c>
      <c r="H462" s="104" t="str">
        <f>IF(ISERR('[1]Общее+'!I817),"-",'[1]Общее+'!I817)</f>
        <v>-</v>
      </c>
      <c r="I462" s="104" t="str">
        <f>IF(ISERR('[1]Общее+'!J817),"-",'[1]Общее+'!J817)</f>
        <v>-</v>
      </c>
      <c r="J462" s="104" t="str">
        <f>IF(ISERR('[1]Общее+'!K817),"-",'[1]Общее+'!K817)</f>
        <v>-</v>
      </c>
      <c r="K462" s="104" t="str">
        <f>IF(ISERR('[1]Общее+'!L817),"-",'[1]Общее+'!L817)</f>
        <v>-</v>
      </c>
      <c r="L462" s="104" t="str">
        <f>IF(ISERR('[1]Общее+'!M817),"-",'[1]Общее+'!M817)</f>
        <v>-</v>
      </c>
      <c r="M462" s="104" t="str">
        <f>IF(ISERR('[1]Общее+'!N817),"-",'[1]Общее+'!N817)</f>
        <v>-</v>
      </c>
    </row>
    <row r="463" spans="1:13" s="89" customFormat="1" hidden="1" x14ac:dyDescent="0.25">
      <c r="A463" s="13"/>
      <c r="B463" s="70" t="s">
        <v>1304</v>
      </c>
      <c r="C463" s="13" t="s">
        <v>8</v>
      </c>
      <c r="D463" s="104">
        <f>IF(ISERR('[1]Общее+'!E818),"-",'[1]Общее+'!E818)</f>
        <v>64.912280701754383</v>
      </c>
      <c r="E463" s="104">
        <f>IF(ISERR('[1]Общее+'!F818),"-",'[1]Общее+'!F818)</f>
        <v>65.789473684210535</v>
      </c>
      <c r="F463" s="104">
        <f>IF(ISERR('[1]Общее+'!G818),"-",'[1]Общее+'!G818)</f>
        <v>66.32124352331607</v>
      </c>
      <c r="G463" s="104">
        <f>IF(ISERR('[1]Общее+'!H818),"-",'[1]Общее+'!H818)</f>
        <v>81.538461538461533</v>
      </c>
      <c r="H463" s="104" t="str">
        <f>IF(ISERR('[1]Общее+'!I818),"-",'[1]Общее+'!I818)</f>
        <v>-</v>
      </c>
      <c r="I463" s="104" t="str">
        <f>IF(ISERR('[1]Общее+'!J818),"-",'[1]Общее+'!J818)</f>
        <v>-</v>
      </c>
      <c r="J463" s="104" t="str">
        <f>IF(ISERR('[1]Общее+'!K818),"-",'[1]Общее+'!K818)</f>
        <v>-</v>
      </c>
      <c r="K463" s="104" t="str">
        <f>IF(ISERR('[1]Общее+'!L818),"-",'[1]Общее+'!L818)</f>
        <v>-</v>
      </c>
      <c r="L463" s="104" t="str">
        <f>IF(ISERR('[1]Общее+'!M818),"-",'[1]Общее+'!M818)</f>
        <v>-</v>
      </c>
      <c r="M463" s="104" t="str">
        <f>IF(ISERR('[1]Общее+'!N818),"-",'[1]Общее+'!N818)</f>
        <v>-</v>
      </c>
    </row>
    <row r="464" spans="1:13" s="89" customFormat="1" hidden="1" x14ac:dyDescent="0.25">
      <c r="A464" s="13"/>
      <c r="B464" s="70" t="s">
        <v>1302</v>
      </c>
      <c r="C464" s="13" t="s">
        <v>8</v>
      </c>
      <c r="D464" s="104">
        <f>IF(ISERR('[1]Общее+'!E819),"-",'[1]Общее+'!E819)</f>
        <v>100</v>
      </c>
      <c r="E464" s="104">
        <f>IF(ISERR('[1]Общее+'!F819),"-",'[1]Общее+'!F819)</f>
        <v>100</v>
      </c>
      <c r="F464" s="104">
        <f>IF(ISERR('[1]Общее+'!G819),"-",'[1]Общее+'!G819)</f>
        <v>100</v>
      </c>
      <c r="G464" s="104">
        <f>IF(ISERR('[1]Общее+'!H819),"-",'[1]Общее+'!H819)</f>
        <v>100</v>
      </c>
      <c r="H464" s="104" t="str">
        <f>IF(ISERR('[1]Общее+'!I819),"-",'[1]Общее+'!I819)</f>
        <v>-</v>
      </c>
      <c r="I464" s="104" t="str">
        <f>IF(ISERR('[1]Общее+'!J819),"-",'[1]Общее+'!J819)</f>
        <v>-</v>
      </c>
      <c r="J464" s="104" t="str">
        <f>IF(ISERR('[1]Общее+'!K819),"-",'[1]Общее+'!K819)</f>
        <v>-</v>
      </c>
      <c r="K464" s="104" t="str">
        <f>IF(ISERR('[1]Общее+'!L819),"-",'[1]Общее+'!L819)</f>
        <v>-</v>
      </c>
      <c r="L464" s="104" t="str">
        <f>IF(ISERR('[1]Общее+'!M819),"-",'[1]Общее+'!M819)</f>
        <v>-</v>
      </c>
      <c r="M464" s="104" t="str">
        <f>IF(ISERR('[1]Общее+'!N819),"-",'[1]Общее+'!N819)</f>
        <v>-</v>
      </c>
    </row>
    <row r="465" spans="1:13" s="89" customFormat="1" hidden="1" x14ac:dyDescent="0.25">
      <c r="A465" s="13"/>
      <c r="B465" s="70" t="s">
        <v>1303</v>
      </c>
      <c r="C465" s="13" t="s">
        <v>8</v>
      </c>
      <c r="D465" s="104">
        <f>IF(ISERR('[1]Общее+'!E820),"-",'[1]Общее+'!E820)</f>
        <v>100</v>
      </c>
      <c r="E465" s="104">
        <f>IF(ISERR('[1]Общее+'!F820),"-",'[1]Общее+'!F820)</f>
        <v>100</v>
      </c>
      <c r="F465" s="104">
        <f>IF(ISERR('[1]Общее+'!G820),"-",'[1]Общее+'!G820)</f>
        <v>100</v>
      </c>
      <c r="G465" s="104">
        <f>IF(ISERR('[1]Общее+'!H820),"-",'[1]Общее+'!H820)</f>
        <v>100</v>
      </c>
      <c r="H465" s="104" t="str">
        <f>IF(ISERR('[1]Общее+'!I820),"-",'[1]Общее+'!I820)</f>
        <v>-</v>
      </c>
      <c r="I465" s="104" t="str">
        <f>IF(ISERR('[1]Общее+'!J820),"-",'[1]Общее+'!J820)</f>
        <v>-</v>
      </c>
      <c r="J465" s="104" t="str">
        <f>IF(ISERR('[1]Общее+'!K820),"-",'[1]Общее+'!K820)</f>
        <v>-</v>
      </c>
      <c r="K465" s="104" t="str">
        <f>IF(ISERR('[1]Общее+'!L820),"-",'[1]Общее+'!L820)</f>
        <v>-</v>
      </c>
      <c r="L465" s="104" t="str">
        <f>IF(ISERR('[1]Общее+'!M820),"-",'[1]Общее+'!M820)</f>
        <v>-</v>
      </c>
      <c r="M465" s="104" t="str">
        <f>IF(ISERR('[1]Общее+'!N820),"-",'[1]Общее+'!N820)</f>
        <v>-</v>
      </c>
    </row>
    <row r="466" spans="1:13" s="89" customFormat="1" hidden="1" x14ac:dyDescent="0.25">
      <c r="A466" s="13"/>
      <c r="B466" s="70" t="s">
        <v>1304</v>
      </c>
      <c r="C466" s="13" t="s">
        <v>8</v>
      </c>
      <c r="D466" s="104" t="str">
        <f>IF(ISERR('[1]Общее+'!E821),"-",'[1]Общее+'!E821)</f>
        <v>-</v>
      </c>
      <c r="E466" s="104" t="str">
        <f>IF(ISERR('[1]Общее+'!F821),"-",'[1]Общее+'!F821)</f>
        <v>-</v>
      </c>
      <c r="F466" s="104" t="str">
        <f>IF(ISERR('[1]Общее+'!G821),"-",'[1]Общее+'!G821)</f>
        <v>-</v>
      </c>
      <c r="G466" s="104" t="str">
        <f>IF(ISERR('[1]Общее+'!H821),"-",'[1]Общее+'!H821)</f>
        <v>-</v>
      </c>
      <c r="H466" s="104" t="str">
        <f>IF(ISERR('[1]Общее+'!I821),"-",'[1]Общее+'!I821)</f>
        <v>-</v>
      </c>
      <c r="I466" s="104" t="str">
        <f>IF(ISERR('[1]Общее+'!J821),"-",'[1]Общее+'!J821)</f>
        <v>-</v>
      </c>
      <c r="J466" s="104" t="str">
        <f>IF(ISERR('[1]Общее+'!K821),"-",'[1]Общее+'!K821)</f>
        <v>-</v>
      </c>
      <c r="K466" s="104" t="str">
        <f>IF(ISERR('[1]Общее+'!L821),"-",'[1]Общее+'!L821)</f>
        <v>-</v>
      </c>
      <c r="L466" s="104" t="str">
        <f>IF(ISERR('[1]Общее+'!M821),"-",'[1]Общее+'!M821)</f>
        <v>-</v>
      </c>
      <c r="M466" s="104" t="str">
        <f>IF(ISERR('[1]Общее+'!N821),"-",'[1]Общее+'!N821)</f>
        <v>-</v>
      </c>
    </row>
    <row r="467" spans="1:13" s="89" customFormat="1" ht="75" x14ac:dyDescent="0.25">
      <c r="A467" s="13" t="s">
        <v>231</v>
      </c>
      <c r="B467" s="70" t="s">
        <v>2527</v>
      </c>
      <c r="C467" s="13"/>
      <c r="D467" s="104"/>
      <c r="E467" s="104"/>
      <c r="F467" s="104"/>
      <c r="G467" s="104"/>
      <c r="H467" s="104"/>
      <c r="I467" s="104"/>
      <c r="J467" s="104"/>
      <c r="K467" s="104"/>
      <c r="L467" s="104"/>
      <c r="M467" s="104"/>
    </row>
    <row r="468" spans="1:13" s="89" customFormat="1" x14ac:dyDescent="0.25">
      <c r="A468" s="13"/>
      <c r="B468" s="70" t="s">
        <v>1301</v>
      </c>
      <c r="C468" s="13"/>
      <c r="D468" s="104"/>
      <c r="E468" s="104"/>
      <c r="F468" s="104"/>
      <c r="G468" s="104"/>
      <c r="H468" s="104"/>
      <c r="I468" s="104"/>
      <c r="J468" s="104"/>
      <c r="K468" s="104"/>
      <c r="L468" s="104"/>
      <c r="M468" s="104"/>
    </row>
    <row r="469" spans="1:13" s="89" customFormat="1" ht="45" x14ac:dyDescent="0.25">
      <c r="A469" s="13"/>
      <c r="B469" s="70" t="s">
        <v>2663</v>
      </c>
      <c r="C469" s="13" t="s">
        <v>8</v>
      </c>
      <c r="D469" s="104"/>
      <c r="E469" s="104"/>
      <c r="F469" s="104"/>
      <c r="G469" s="104"/>
      <c r="H469" s="104">
        <f>IF(ISERR('[1]Общее+'!I860),"-",'[1]Общее+'!I860)</f>
        <v>30.800268997982517</v>
      </c>
      <c r="I469" s="104">
        <f>IF(ISERR('[1]Общее+'!J860),"-",'[1]Общее+'!J860)</f>
        <v>25.854795737122561</v>
      </c>
      <c r="J469" s="104">
        <v>23.91</v>
      </c>
      <c r="K469" s="104" t="str">
        <f>IF(ISERR('[1]Общее+'!L860),"-",'[1]Общее+'!L860)</f>
        <v>-</v>
      </c>
      <c r="L469" s="104" t="str">
        <f>IF(ISERR('[1]Общее+'!M860),"-",'[1]Общее+'!M860)</f>
        <v>-</v>
      </c>
      <c r="M469" s="104">
        <f>IF(ISERR('[1]Общее+'!N860),"-",'[1]Общее+'!N860)</f>
        <v>0</v>
      </c>
    </row>
    <row r="470" spans="1:13" s="89" customFormat="1" x14ac:dyDescent="0.25">
      <c r="A470" s="13"/>
      <c r="B470" s="70" t="s">
        <v>2665</v>
      </c>
      <c r="C470" s="13" t="s">
        <v>8</v>
      </c>
      <c r="D470" s="104"/>
      <c r="E470" s="104"/>
      <c r="F470" s="104"/>
      <c r="G470" s="104"/>
      <c r="H470" s="104">
        <f>IF(ISERR('[1]Общее+'!I861),"-",'[1]Общее+'!I861)</f>
        <v>14.606590450571622</v>
      </c>
      <c r="I470" s="104">
        <f>IF(ISERR('[1]Общее+'!J861),"-",'[1]Общее+'!J861)</f>
        <v>13.432504440497336</v>
      </c>
      <c r="J470" s="104">
        <v>12.79</v>
      </c>
      <c r="K470" s="104" t="str">
        <f>IF(ISERR('[1]Общее+'!L861),"-",'[1]Общее+'!L861)</f>
        <v>-</v>
      </c>
      <c r="L470" s="104" t="str">
        <f>IF(ISERR('[1]Общее+'!M861),"-",'[1]Общее+'!M861)</f>
        <v>-</v>
      </c>
      <c r="M470" s="104">
        <f>IF(ISERR('[1]Общее+'!N861),"-",'[1]Общее+'!N861)</f>
        <v>0</v>
      </c>
    </row>
    <row r="471" spans="1:13" s="89" customFormat="1" ht="30" x14ac:dyDescent="0.25">
      <c r="A471" s="13"/>
      <c r="B471" s="70" t="s">
        <v>2664</v>
      </c>
      <c r="C471" s="13" t="s">
        <v>8</v>
      </c>
      <c r="D471" s="104"/>
      <c r="E471" s="104"/>
      <c r="F471" s="104"/>
      <c r="G471" s="104"/>
      <c r="H471" s="104">
        <f>IF(ISERR('[1]Общее+'!I862),"-",'[1]Общее+'!I862)</f>
        <v>21.869535978480162</v>
      </c>
      <c r="I471" s="104">
        <f>IF(ISERR('[1]Общее+'!J862),"-",'[1]Общее+'!J862)</f>
        <v>20.259769094138544</v>
      </c>
      <c r="J471" s="104">
        <v>18.21</v>
      </c>
      <c r="K471" s="104" t="str">
        <f>IF(ISERR('[1]Общее+'!L862),"-",'[1]Общее+'!L862)</f>
        <v>-</v>
      </c>
      <c r="L471" s="104" t="str">
        <f>IF(ISERR('[1]Общее+'!M862),"-",'[1]Общее+'!M862)</f>
        <v>-</v>
      </c>
      <c r="M471" s="104">
        <f>IF(ISERR('[1]Общее+'!N862),"-",'[1]Общее+'!N862)</f>
        <v>0</v>
      </c>
    </row>
    <row r="472" spans="1:13" s="89" customFormat="1" x14ac:dyDescent="0.25">
      <c r="A472" s="13"/>
      <c r="B472" s="70" t="s">
        <v>2666</v>
      </c>
      <c r="C472" s="13" t="s">
        <v>8</v>
      </c>
      <c r="D472" s="104"/>
      <c r="E472" s="104"/>
      <c r="F472" s="104"/>
      <c r="G472" s="104"/>
      <c r="H472" s="104">
        <f>IF(ISERR('[1]Общее+'!I863),"-",'[1]Общее+'!I863)</f>
        <v>3.3221250840618692</v>
      </c>
      <c r="I472" s="104">
        <f>IF(ISERR('[1]Общее+'!J863),"-",'[1]Общее+'!J863)</f>
        <v>3.1638543516873887</v>
      </c>
      <c r="J472" s="104">
        <v>3.05</v>
      </c>
      <c r="K472" s="104" t="str">
        <f>IF(ISERR('[1]Общее+'!L863),"-",'[1]Общее+'!L863)</f>
        <v>-</v>
      </c>
      <c r="L472" s="104" t="str">
        <f>IF(ISERR('[1]Общее+'!M863),"-",'[1]Общее+'!M863)</f>
        <v>-</v>
      </c>
      <c r="M472" s="104">
        <f>IF(ISERR('[1]Общее+'!N863),"-",'[1]Общее+'!N863)</f>
        <v>0</v>
      </c>
    </row>
    <row r="473" spans="1:13" s="89" customFormat="1" x14ac:dyDescent="0.25">
      <c r="A473" s="13"/>
      <c r="B473" s="70" t="s">
        <v>2667</v>
      </c>
      <c r="C473" s="13" t="s">
        <v>8</v>
      </c>
      <c r="D473" s="104"/>
      <c r="E473" s="104"/>
      <c r="F473" s="104"/>
      <c r="G473" s="104"/>
      <c r="H473" s="104">
        <f>IF(ISERR('[1]Общее+'!I864),"-",'[1]Общее+'!I864)</f>
        <v>47.330195023537328</v>
      </c>
      <c r="I473" s="104">
        <f>IF(ISERR('[1]Общее+'!J864),"-",'[1]Общее+'!J864)</f>
        <v>53.885435168738894</v>
      </c>
      <c r="J473" s="104">
        <f>IF(ISERR('[1]Общее+'!K864),"-",'[1]Общее+'!K864)</f>
        <v>57.882352941176471</v>
      </c>
      <c r="K473" s="104" t="str">
        <f>IF(ISERR('[1]Общее+'!L864),"-",'[1]Общее+'!L864)</f>
        <v>-</v>
      </c>
      <c r="L473" s="104" t="str">
        <f>IF(ISERR('[1]Общее+'!M864),"-",'[1]Общее+'!M864)</f>
        <v>-</v>
      </c>
      <c r="M473" s="104">
        <f>IF(ISERR('[1]Общее+'!N864),"-",'[1]Общее+'!N864)</f>
        <v>112.72084805653711</v>
      </c>
    </row>
    <row r="474" spans="1:13" s="89" customFormat="1" x14ac:dyDescent="0.25">
      <c r="A474" s="13"/>
      <c r="B474" s="70" t="s">
        <v>2668</v>
      </c>
      <c r="C474" s="13" t="s">
        <v>8</v>
      </c>
      <c r="D474" s="104"/>
      <c r="E474" s="104"/>
      <c r="F474" s="104"/>
      <c r="G474" s="104"/>
      <c r="H474" s="104">
        <f>IF(ISERR('[1]Общее+'!I865),"-",'[1]Общее+'!I865)</f>
        <v>12.575655682582381</v>
      </c>
      <c r="I474" s="104">
        <f>IF(ISERR('[1]Общее+'!J865),"-",'[1]Общее+'!J865)</f>
        <v>12.27797513321492</v>
      </c>
      <c r="J474" s="104">
        <f>IF(ISERR('[1]Общее+'!K865),"-",'[1]Общее+'!K865)</f>
        <v>11.470588235294118</v>
      </c>
      <c r="K474" s="104" t="str">
        <f>IF(ISERR('[1]Общее+'!L865),"-",'[1]Общее+'!L865)</f>
        <v>-</v>
      </c>
      <c r="L474" s="104" t="str">
        <f>IF(ISERR('[1]Общее+'!M865),"-",'[1]Общее+'!M865)</f>
        <v>-</v>
      </c>
      <c r="M474" s="104">
        <f>IF(ISERR('[1]Общее+'!N865),"-",'[1]Общее+'!N865)</f>
        <v>25.795053003533567</v>
      </c>
    </row>
    <row r="475" spans="1:13" s="89" customFormat="1" hidden="1" x14ac:dyDescent="0.25">
      <c r="A475" s="13"/>
      <c r="B475" s="70" t="s">
        <v>1302</v>
      </c>
      <c r="C475" s="13"/>
      <c r="D475" s="104"/>
      <c r="E475" s="104"/>
      <c r="F475" s="104"/>
      <c r="G475" s="104"/>
      <c r="H475" s="104"/>
      <c r="I475" s="104"/>
      <c r="J475" s="104"/>
      <c r="K475" s="104"/>
      <c r="L475" s="104"/>
      <c r="M475" s="104"/>
    </row>
    <row r="476" spans="1:13" s="89" customFormat="1" ht="45" hidden="1" x14ac:dyDescent="0.25">
      <c r="A476" s="13"/>
      <c r="B476" s="70" t="s">
        <v>2663</v>
      </c>
      <c r="C476" s="13" t="s">
        <v>8</v>
      </c>
      <c r="D476" s="104"/>
      <c r="E476" s="104"/>
      <c r="F476" s="104"/>
      <c r="G476" s="104"/>
      <c r="H476" s="104">
        <f>IF(ISERR('[1]Общее+'!I867),"-",'[1]Общее+'!I867)</f>
        <v>0</v>
      </c>
      <c r="I476" s="104">
        <f>IF(ISERR('[1]Общее+'!J867),"-",'[1]Общее+'!J867)</f>
        <v>0</v>
      </c>
      <c r="J476" s="104">
        <f>IF(ISERR('[1]Общее+'!K867),"-",'[1]Общее+'!K867)</f>
        <v>0</v>
      </c>
      <c r="K476" s="104" t="str">
        <f>IF(ISERR('[1]Общее+'!L867),"-",'[1]Общее+'!L867)</f>
        <v>-</v>
      </c>
      <c r="L476" s="104" t="str">
        <f>IF(ISERR('[1]Общее+'!M867),"-",'[1]Общее+'!M867)</f>
        <v>-</v>
      </c>
      <c r="M476" s="104" t="str">
        <f>IF(ISERR('[1]Общее+'!N867),"-",'[1]Общее+'!N867)</f>
        <v>-</v>
      </c>
    </row>
    <row r="477" spans="1:13" s="89" customFormat="1" hidden="1" x14ac:dyDescent="0.25">
      <c r="A477" s="13"/>
      <c r="B477" s="70" t="s">
        <v>2665</v>
      </c>
      <c r="C477" s="13" t="s">
        <v>8</v>
      </c>
      <c r="D477" s="104"/>
      <c r="E477" s="104"/>
      <c r="F477" s="104"/>
      <c r="G477" s="104"/>
      <c r="H477" s="104">
        <f>IF(ISERR('[1]Общее+'!I868),"-",'[1]Общее+'!I868)</f>
        <v>0</v>
      </c>
      <c r="I477" s="104">
        <f>IF(ISERR('[1]Общее+'!J868),"-",'[1]Общее+'!J868)</f>
        <v>0</v>
      </c>
      <c r="J477" s="104">
        <f>IF(ISERR('[1]Общее+'!K868),"-",'[1]Общее+'!K868)</f>
        <v>0</v>
      </c>
      <c r="K477" s="104" t="str">
        <f>IF(ISERR('[1]Общее+'!L868),"-",'[1]Общее+'!L868)</f>
        <v>-</v>
      </c>
      <c r="L477" s="104" t="str">
        <f>IF(ISERR('[1]Общее+'!M868),"-",'[1]Общее+'!M868)</f>
        <v>-</v>
      </c>
      <c r="M477" s="104" t="str">
        <f>IF(ISERR('[1]Общее+'!N868),"-",'[1]Общее+'!N868)</f>
        <v>-</v>
      </c>
    </row>
    <row r="478" spans="1:13" s="89" customFormat="1" ht="30" hidden="1" x14ac:dyDescent="0.25">
      <c r="A478" s="13"/>
      <c r="B478" s="70" t="s">
        <v>2664</v>
      </c>
      <c r="C478" s="13" t="s">
        <v>8</v>
      </c>
      <c r="D478" s="104"/>
      <c r="E478" s="104"/>
      <c r="F478" s="104"/>
      <c r="G478" s="104"/>
      <c r="H478" s="104">
        <f>IF(ISERR('[1]Общее+'!I869),"-",'[1]Общее+'!I869)</f>
        <v>0</v>
      </c>
      <c r="I478" s="104">
        <f>IF(ISERR('[1]Общее+'!J869),"-",'[1]Общее+'!J869)</f>
        <v>0</v>
      </c>
      <c r="J478" s="104">
        <f>IF(ISERR('[1]Общее+'!K869),"-",'[1]Общее+'!K869)</f>
        <v>0</v>
      </c>
      <c r="K478" s="104" t="str">
        <f>IF(ISERR('[1]Общее+'!L869),"-",'[1]Общее+'!L869)</f>
        <v>-</v>
      </c>
      <c r="L478" s="104" t="str">
        <f>IF(ISERR('[1]Общее+'!M869),"-",'[1]Общее+'!M869)</f>
        <v>-</v>
      </c>
      <c r="M478" s="104" t="str">
        <f>IF(ISERR('[1]Общее+'!N869),"-",'[1]Общее+'!N869)</f>
        <v>-</v>
      </c>
    </row>
    <row r="479" spans="1:13" s="89" customFormat="1" hidden="1" x14ac:dyDescent="0.25">
      <c r="A479" s="13"/>
      <c r="B479" s="70" t="s">
        <v>2666</v>
      </c>
      <c r="C479" s="13" t="s">
        <v>8</v>
      </c>
      <c r="D479" s="104"/>
      <c r="E479" s="104"/>
      <c r="F479" s="104"/>
      <c r="G479" s="104"/>
      <c r="H479" s="104">
        <f>IF(ISERR('[1]Общее+'!I870),"-",'[1]Общее+'!I870)</f>
        <v>0</v>
      </c>
      <c r="I479" s="104">
        <f>IF(ISERR('[1]Общее+'!J870),"-",'[1]Общее+'!J870)</f>
        <v>0</v>
      </c>
      <c r="J479" s="104">
        <f>IF(ISERR('[1]Общее+'!K870),"-",'[1]Общее+'!K870)</f>
        <v>0</v>
      </c>
      <c r="K479" s="104" t="str">
        <f>IF(ISERR('[1]Общее+'!L870),"-",'[1]Общее+'!L870)</f>
        <v>-</v>
      </c>
      <c r="L479" s="104" t="str">
        <f>IF(ISERR('[1]Общее+'!M870),"-",'[1]Общее+'!M870)</f>
        <v>-</v>
      </c>
      <c r="M479" s="104" t="str">
        <f>IF(ISERR('[1]Общее+'!N870),"-",'[1]Общее+'!N870)</f>
        <v>-</v>
      </c>
    </row>
    <row r="480" spans="1:13" s="89" customFormat="1" hidden="1" x14ac:dyDescent="0.25">
      <c r="A480" s="13"/>
      <c r="B480" s="70" t="s">
        <v>2667</v>
      </c>
      <c r="C480" s="13" t="s">
        <v>8</v>
      </c>
      <c r="D480" s="104"/>
      <c r="E480" s="104"/>
      <c r="F480" s="104"/>
      <c r="G480" s="104"/>
      <c r="H480" s="104">
        <f>IF(ISERR('[1]Общее+'!I871),"-",'[1]Общее+'!I871)</f>
        <v>100</v>
      </c>
      <c r="I480" s="104">
        <f>IF(ISERR('[1]Общее+'!J871),"-",'[1]Общее+'!J871)</f>
        <v>100</v>
      </c>
      <c r="J480" s="104">
        <f>IF(ISERR('[1]Общее+'!K871),"-",'[1]Общее+'!K871)</f>
        <v>100</v>
      </c>
      <c r="K480" s="104" t="str">
        <f>IF(ISERR('[1]Общее+'!L871),"-",'[1]Общее+'!L871)</f>
        <v>-</v>
      </c>
      <c r="L480" s="104" t="str">
        <f>IF(ISERR('[1]Общее+'!M871),"-",'[1]Общее+'!M871)</f>
        <v>-</v>
      </c>
      <c r="M480" s="104" t="str">
        <f>IF(ISERR('[1]Общее+'!N871),"-",'[1]Общее+'!N871)</f>
        <v>-</v>
      </c>
    </row>
    <row r="481" spans="1:13" s="89" customFormat="1" hidden="1" x14ac:dyDescent="0.25">
      <c r="A481" s="13"/>
      <c r="B481" s="70" t="s">
        <v>2668</v>
      </c>
      <c r="C481" s="13" t="s">
        <v>8</v>
      </c>
      <c r="D481" s="104"/>
      <c r="E481" s="104"/>
      <c r="F481" s="104"/>
      <c r="G481" s="104"/>
      <c r="H481" s="104">
        <f>IF(ISERR('[1]Общее+'!I872),"-",'[1]Общее+'!I872)</f>
        <v>75</v>
      </c>
      <c r="I481" s="104">
        <f>IF(ISERR('[1]Общее+'!J872),"-",'[1]Общее+'!J872)</f>
        <v>66.666666666666657</v>
      </c>
      <c r="J481" s="104">
        <f>IF(ISERR('[1]Общее+'!K872),"-",'[1]Общее+'!K872)</f>
        <v>50</v>
      </c>
      <c r="K481" s="104" t="str">
        <f>IF(ISERR('[1]Общее+'!L872),"-",'[1]Общее+'!L872)</f>
        <v>-</v>
      </c>
      <c r="L481" s="104" t="str">
        <f>IF(ISERR('[1]Общее+'!M872),"-",'[1]Общее+'!M872)</f>
        <v>-</v>
      </c>
      <c r="M481" s="104" t="str">
        <f>IF(ISERR('[1]Общее+'!N872),"-",'[1]Общее+'!N872)</f>
        <v>-</v>
      </c>
    </row>
    <row r="482" spans="1:13" s="89" customFormat="1" ht="75" x14ac:dyDescent="0.25">
      <c r="A482" s="13" t="s">
        <v>1382</v>
      </c>
      <c r="B482" s="242" t="s">
        <v>2746</v>
      </c>
      <c r="C482" s="13"/>
      <c r="D482" s="104"/>
      <c r="E482" s="104"/>
      <c r="F482" s="104"/>
      <c r="G482" s="104"/>
      <c r="H482" s="104">
        <f>IF(ISERR('[1]Общее+'!I890),"-",'[1]Общее+'!I890)</f>
        <v>50.585313941113874</v>
      </c>
      <c r="I482" s="104">
        <f>IF(ISERR('[1]Общее+'!J890),"-",'[1]Общее+'!J890)</f>
        <v>78.065031982942429</v>
      </c>
      <c r="J482" s="104">
        <f>IF(ISERR('[1]Общее+'!K890),"-",'[1]Общее+'!K890)</f>
        <v>100</v>
      </c>
      <c r="K482" s="104">
        <f>IF(ISERR('[1]Общее+'!L890),"-",'[1]Общее+'!L890)</f>
        <v>100</v>
      </c>
      <c r="L482" s="104">
        <f>IF(ISERR('[1]Общее+'!M890),"-",'[1]Общее+'!M890)</f>
        <v>100</v>
      </c>
      <c r="M482" s="104">
        <f>IF(ISERR('[1]Общее+'!N890),"-",'[1]Общее+'!N890)</f>
        <v>100</v>
      </c>
    </row>
    <row r="483" spans="1:13" s="89" customFormat="1" hidden="1" x14ac:dyDescent="0.25">
      <c r="A483" s="13"/>
      <c r="B483" s="70" t="s">
        <v>1301</v>
      </c>
      <c r="C483" s="13" t="s">
        <v>8</v>
      </c>
      <c r="D483" s="104"/>
      <c r="E483" s="104"/>
      <c r="F483" s="104"/>
      <c r="G483" s="104"/>
      <c r="H483" s="104">
        <f>IF(ISERR('[1]Общее+'!I890),"-",'[1]Общее+'!I890)</f>
        <v>50.585313941113874</v>
      </c>
      <c r="I483" s="104">
        <f>IF(ISERR('[1]Общее+'!J890),"-",'[1]Общее+'!J890)</f>
        <v>78.065031982942429</v>
      </c>
      <c r="J483" s="104">
        <f>IF(ISERR('[1]Общее+'!K890),"-",'[1]Общее+'!K890)</f>
        <v>100</v>
      </c>
      <c r="K483" s="104">
        <f>IF(ISERR('[1]Общее+'!L890),"-",'[1]Общее+'!L890)</f>
        <v>100</v>
      </c>
      <c r="L483" s="104">
        <f>IF(ISERR('[1]Общее+'!M890),"-",'[1]Общее+'!M890)</f>
        <v>100</v>
      </c>
      <c r="M483" s="104">
        <f>IF(ISERR('[1]Общее+'!N890),"-",'[1]Общее+'!N890)</f>
        <v>100</v>
      </c>
    </row>
    <row r="484" spans="1:13" s="89" customFormat="1" hidden="1" x14ac:dyDescent="0.25">
      <c r="A484" s="13"/>
      <c r="B484" s="70" t="s">
        <v>1302</v>
      </c>
      <c r="C484" s="13" t="s">
        <v>8</v>
      </c>
      <c r="D484" s="104"/>
      <c r="E484" s="104"/>
      <c r="F484" s="104"/>
      <c r="G484" s="104"/>
      <c r="H484" s="104">
        <f>IF(ISERR('[1]Общее+'!I891),"-",'[1]Общее+'!I891)</f>
        <v>50</v>
      </c>
      <c r="I484" s="104">
        <f>IF(ISERR('[1]Общее+'!J891),"-",'[1]Общее+'!J891)</f>
        <v>100</v>
      </c>
      <c r="J484" s="104">
        <f>IF(ISERR('[1]Общее+'!K891),"-",'[1]Общее+'!K891)</f>
        <v>100</v>
      </c>
      <c r="K484" s="104" t="str">
        <f>IF(ISERR('[1]Общее+'!L891),"-",'[1]Общее+'!L891)</f>
        <v>-</v>
      </c>
      <c r="L484" s="104" t="str">
        <f>IF(ISERR('[1]Общее+'!M891),"-",'[1]Общее+'!M891)</f>
        <v>-</v>
      </c>
      <c r="M484" s="104" t="str">
        <f>IF(ISERR('[1]Общее+'!N891),"-",'[1]Общее+'!N891)</f>
        <v>-</v>
      </c>
    </row>
    <row r="485" spans="1:13" s="89" customFormat="1" ht="90" x14ac:dyDescent="0.25">
      <c r="A485" s="13" t="s">
        <v>1384</v>
      </c>
      <c r="B485" s="70" t="s">
        <v>2037</v>
      </c>
      <c r="C485" s="13"/>
      <c r="D485" s="104"/>
      <c r="E485" s="104"/>
      <c r="F485" s="104"/>
      <c r="G485" s="104"/>
      <c r="H485" s="104">
        <f>IF(ISERR('[1]Общее+'!I899),"-",'[1]Общее+'!I899)</f>
        <v>19.522278364722094</v>
      </c>
      <c r="I485" s="104">
        <f>IF(ISERR('[1]Общее+'!J899),"-",'[1]Общее+'!J899)</f>
        <v>29.032258064516132</v>
      </c>
      <c r="J485" s="104">
        <f>IF(ISERR('[1]Общее+'!K899),"-",'[1]Общее+'!K899)</f>
        <v>40.042372881355931</v>
      </c>
      <c r="K485" s="104" t="str">
        <f>IF(ISERR('[1]Общее+'!L899),"-",'[1]Общее+'!L899)</f>
        <v>-</v>
      </c>
      <c r="L485" s="104" t="str">
        <f>IF(ISERR('[1]Общее+'!M899),"-",'[1]Общее+'!M899)</f>
        <v>-</v>
      </c>
      <c r="M485" s="104" t="str">
        <f>IF(ISERR('[1]Общее+'!N899),"-",'[1]Общее+'!N899)</f>
        <v>-</v>
      </c>
    </row>
    <row r="486" spans="1:13" s="89" customFormat="1" hidden="1" x14ac:dyDescent="0.25">
      <c r="A486" s="13"/>
      <c r="B486" s="70" t="s">
        <v>1301</v>
      </c>
      <c r="C486" s="13" t="s">
        <v>8</v>
      </c>
      <c r="D486" s="104"/>
      <c r="E486" s="104"/>
      <c r="F486" s="104"/>
      <c r="G486" s="104"/>
      <c r="H486" s="104">
        <f>IF(ISERR('[1]Общее+'!I899),"-",'[1]Общее+'!I899)</f>
        <v>19.522278364722094</v>
      </c>
      <c r="I486" s="104">
        <f>IF(ISERR('[1]Общее+'!J899),"-",'[1]Общее+'!J899)</f>
        <v>29.032258064516132</v>
      </c>
      <c r="J486" s="104">
        <f>IF(ISERR('[1]Общее+'!K899),"-",'[1]Общее+'!K899)</f>
        <v>40.042372881355931</v>
      </c>
      <c r="K486" s="104" t="str">
        <f>IF(ISERR('[1]Общее+'!L899),"-",'[1]Общее+'!L899)</f>
        <v>-</v>
      </c>
      <c r="L486" s="104" t="str">
        <f>IF(ISERR('[1]Общее+'!M899),"-",'[1]Общее+'!M899)</f>
        <v>-</v>
      </c>
      <c r="M486" s="104" t="str">
        <f>IF(ISERR('[1]Общее+'!N899),"-",'[1]Общее+'!N899)</f>
        <v>-</v>
      </c>
    </row>
    <row r="487" spans="1:13" s="89" customFormat="1" hidden="1" x14ac:dyDescent="0.25">
      <c r="A487" s="13"/>
      <c r="B487" s="70" t="s">
        <v>1302</v>
      </c>
      <c r="C487" s="13" t="s">
        <v>8</v>
      </c>
      <c r="D487" s="104"/>
      <c r="E487" s="104"/>
      <c r="F487" s="104"/>
      <c r="G487" s="104"/>
      <c r="H487" s="104" t="str">
        <f>IF(ISERR('[1]Общее+'!I900),"-",'[1]Общее+'!I900)</f>
        <v>-</v>
      </c>
      <c r="I487" s="104" t="str">
        <f>IF(ISERR('[1]Общее+'!J900),"-",'[1]Общее+'!J900)</f>
        <v>-</v>
      </c>
      <c r="J487" s="104" t="str">
        <f>IF(ISERR('[1]Общее+'!K900),"-",'[1]Общее+'!K900)</f>
        <v>-</v>
      </c>
      <c r="K487" s="104" t="str">
        <f>IF(ISERR('[1]Общее+'!L900),"-",'[1]Общее+'!L900)</f>
        <v>-</v>
      </c>
      <c r="L487" s="104" t="str">
        <f>IF(ISERR('[1]Общее+'!M900),"-",'[1]Общее+'!M900)</f>
        <v>-</v>
      </c>
      <c r="M487" s="104" t="str">
        <f>IF(ISERR('[1]Общее+'!N900),"-",'[1]Общее+'!N900)</f>
        <v>-</v>
      </c>
    </row>
    <row r="488" spans="1:13" s="89" customFormat="1" ht="75" hidden="1" x14ac:dyDescent="0.25">
      <c r="A488" s="13" t="s">
        <v>1382</v>
      </c>
      <c r="B488" s="70" t="s">
        <v>1383</v>
      </c>
      <c r="C488" s="13"/>
      <c r="D488" s="104"/>
      <c r="E488" s="104"/>
      <c r="F488" s="104"/>
      <c r="G488" s="104"/>
      <c r="H488" s="104"/>
      <c r="I488" s="104"/>
      <c r="J488" s="104"/>
      <c r="K488" s="104"/>
      <c r="L488" s="104"/>
      <c r="M488" s="104"/>
    </row>
    <row r="489" spans="1:13" s="89" customFormat="1" hidden="1" x14ac:dyDescent="0.25">
      <c r="A489" s="13"/>
      <c r="B489" s="70" t="s">
        <v>1364</v>
      </c>
      <c r="C489" s="13" t="s">
        <v>8</v>
      </c>
      <c r="D489" s="104"/>
      <c r="E489" s="104"/>
      <c r="F489" s="104"/>
      <c r="G489" s="104">
        <f>IF(ISERR('[1]Общее+'!H908),"-",'[1]Общее+'!H908)</f>
        <v>1.5</v>
      </c>
      <c r="H489" s="104" t="str">
        <f>IF(ISERR('[1]Общее+'!I908),"-",'[1]Общее+'!I908)</f>
        <v>-</v>
      </c>
      <c r="I489" s="104" t="str">
        <f>IF(ISERR('[1]Общее+'!J908),"-",'[1]Общее+'!J908)</f>
        <v>-</v>
      </c>
      <c r="J489" s="104" t="str">
        <f>IF(ISERR('[1]Общее+'!K908),"-",'[1]Общее+'!K908)</f>
        <v>-</v>
      </c>
      <c r="K489" s="104" t="str">
        <f>IF(ISERR('[1]Общее+'!L908),"-",'[1]Общее+'!L908)</f>
        <v>-</v>
      </c>
      <c r="L489" s="104" t="str">
        <f>IF(ISERR('[1]Общее+'!M908),"-",'[1]Общее+'!M908)</f>
        <v>-</v>
      </c>
      <c r="M489" s="104" t="str">
        <f>IF(ISERR('[1]Общее+'!N908),"-",'[1]Общее+'!N908)</f>
        <v>-</v>
      </c>
    </row>
    <row r="490" spans="1:13" s="89" customFormat="1" hidden="1" x14ac:dyDescent="0.25">
      <c r="A490" s="13"/>
      <c r="B490" s="70" t="s">
        <v>1365</v>
      </c>
      <c r="C490" s="13" t="s">
        <v>8</v>
      </c>
      <c r="D490" s="104"/>
      <c r="E490" s="104"/>
      <c r="F490" s="104"/>
      <c r="G490" s="104">
        <f>IF(ISERR('[1]Общее+'!H909),"-",'[1]Общее+'!H909)</f>
        <v>4.07</v>
      </c>
      <c r="H490" s="104" t="str">
        <f>IF(ISERR('[1]Общее+'!I909),"-",'[1]Общее+'!I909)</f>
        <v>-</v>
      </c>
      <c r="I490" s="104" t="str">
        <f>IF(ISERR('[1]Общее+'!J909),"-",'[1]Общее+'!J909)</f>
        <v>-</v>
      </c>
      <c r="J490" s="104" t="str">
        <f>IF(ISERR('[1]Общее+'!K909),"-",'[1]Общее+'!K909)</f>
        <v>-</v>
      </c>
      <c r="K490" s="104" t="str">
        <f>IF(ISERR('[1]Общее+'!L909),"-",'[1]Общее+'!L909)</f>
        <v>-</v>
      </c>
      <c r="L490" s="104" t="str">
        <f>IF(ISERR('[1]Общее+'!M909),"-",'[1]Общее+'!M909)</f>
        <v>-</v>
      </c>
      <c r="M490" s="104" t="str">
        <f>IF(ISERR('[1]Общее+'!N909),"-",'[1]Общее+'!N909)</f>
        <v>-</v>
      </c>
    </row>
    <row r="491" spans="1:13" s="89" customFormat="1" hidden="1" x14ac:dyDescent="0.25">
      <c r="A491" s="13"/>
      <c r="B491" s="70" t="s">
        <v>1366</v>
      </c>
      <c r="C491" s="13" t="s">
        <v>8</v>
      </c>
      <c r="D491" s="104"/>
      <c r="E491" s="104"/>
      <c r="F491" s="104"/>
      <c r="G491" s="104">
        <f>IF(ISERR('[1]Общее+'!H910),"-",'[1]Общее+'!H910)</f>
        <v>1.27</v>
      </c>
      <c r="H491" s="104" t="str">
        <f>IF(ISERR('[1]Общее+'!I910),"-",'[1]Общее+'!I910)</f>
        <v>-</v>
      </c>
      <c r="I491" s="104" t="str">
        <f>IF(ISERR('[1]Общее+'!J910),"-",'[1]Общее+'!J910)</f>
        <v>-</v>
      </c>
      <c r="J491" s="104" t="str">
        <f>IF(ISERR('[1]Общее+'!K910),"-",'[1]Общее+'!K910)</f>
        <v>-</v>
      </c>
      <c r="K491" s="104" t="str">
        <f>IF(ISERR('[1]Общее+'!L910),"-",'[1]Общее+'!L910)</f>
        <v>-</v>
      </c>
      <c r="L491" s="104" t="str">
        <f>IF(ISERR('[1]Общее+'!M910),"-",'[1]Общее+'!M910)</f>
        <v>-</v>
      </c>
      <c r="M491" s="104" t="str">
        <f>IF(ISERR('[1]Общее+'!N910),"-",'[1]Общее+'!N910)</f>
        <v>-</v>
      </c>
    </row>
    <row r="492" spans="1:13" s="89" customFormat="1" hidden="1" x14ac:dyDescent="0.25">
      <c r="A492" s="13"/>
      <c r="B492" s="70" t="s">
        <v>1367</v>
      </c>
      <c r="C492" s="13" t="s">
        <v>8</v>
      </c>
      <c r="D492" s="104"/>
      <c r="E492" s="104"/>
      <c r="F492" s="104"/>
      <c r="G492" s="104">
        <f>IF(ISERR('[1]Общее+'!H911),"-",'[1]Общее+'!H911)</f>
        <v>44.96</v>
      </c>
      <c r="H492" s="104" t="str">
        <f>IF(ISERR('[1]Общее+'!I911),"-",'[1]Общее+'!I911)</f>
        <v>-</v>
      </c>
      <c r="I492" s="104" t="str">
        <f>IF(ISERR('[1]Общее+'!J911),"-",'[1]Общее+'!J911)</f>
        <v>-</v>
      </c>
      <c r="J492" s="104" t="str">
        <f>IF(ISERR('[1]Общее+'!K911),"-",'[1]Общее+'!K911)</f>
        <v>-</v>
      </c>
      <c r="K492" s="104" t="str">
        <f>IF(ISERR('[1]Общее+'!L911),"-",'[1]Общее+'!L911)</f>
        <v>-</v>
      </c>
      <c r="L492" s="104" t="str">
        <f>IF(ISERR('[1]Общее+'!M911),"-",'[1]Общее+'!M911)</f>
        <v>-</v>
      </c>
      <c r="M492" s="104" t="str">
        <f>IF(ISERR('[1]Общее+'!N911),"-",'[1]Общее+'!N911)</f>
        <v>-</v>
      </c>
    </row>
    <row r="493" spans="1:13" s="89" customFormat="1" hidden="1" x14ac:dyDescent="0.25">
      <c r="A493" s="13"/>
      <c r="B493" s="70" t="s">
        <v>1368</v>
      </c>
      <c r="C493" s="13" t="s">
        <v>8</v>
      </c>
      <c r="D493" s="104"/>
      <c r="E493" s="104"/>
      <c r="F493" s="104"/>
      <c r="G493" s="104">
        <f>IF(ISERR('[1]Общее+'!H912),"-",'[1]Общее+'!H912)</f>
        <v>37.409999999999997</v>
      </c>
      <c r="H493" s="104" t="str">
        <f>IF(ISERR('[1]Общее+'!I912),"-",'[1]Общее+'!I912)</f>
        <v>-</v>
      </c>
      <c r="I493" s="104" t="str">
        <f>IF(ISERR('[1]Общее+'!J912),"-",'[1]Общее+'!J912)</f>
        <v>-</v>
      </c>
      <c r="J493" s="104" t="str">
        <f>IF(ISERR('[1]Общее+'!K912),"-",'[1]Общее+'!K912)</f>
        <v>-</v>
      </c>
      <c r="K493" s="104" t="str">
        <f>IF(ISERR('[1]Общее+'!L912),"-",'[1]Общее+'!L912)</f>
        <v>-</v>
      </c>
      <c r="L493" s="104" t="str">
        <f>IF(ISERR('[1]Общее+'!M912),"-",'[1]Общее+'!M912)</f>
        <v>-</v>
      </c>
      <c r="M493" s="104" t="str">
        <f>IF(ISERR('[1]Общее+'!N912),"-",'[1]Общее+'!N912)</f>
        <v>-</v>
      </c>
    </row>
    <row r="494" spans="1:13" s="89" customFormat="1" hidden="1" x14ac:dyDescent="0.25">
      <c r="A494" s="13"/>
      <c r="B494" s="70" t="s">
        <v>1369</v>
      </c>
      <c r="C494" s="13" t="s">
        <v>8</v>
      </c>
      <c r="D494" s="104"/>
      <c r="E494" s="104"/>
      <c r="F494" s="104"/>
      <c r="G494" s="104">
        <f>IF(ISERR('[1]Общее+'!H913),"-",'[1]Общее+'!H913)</f>
        <v>0</v>
      </c>
      <c r="H494" s="104" t="str">
        <f>IF(ISERR('[1]Общее+'!I913),"-",'[1]Общее+'!I913)</f>
        <v>-</v>
      </c>
      <c r="I494" s="104" t="str">
        <f>IF(ISERR('[1]Общее+'!J913),"-",'[1]Общее+'!J913)</f>
        <v>-</v>
      </c>
      <c r="J494" s="104" t="str">
        <f>IF(ISERR('[1]Общее+'!K913),"-",'[1]Общее+'!K913)</f>
        <v>-</v>
      </c>
      <c r="K494" s="104" t="str">
        <f>IF(ISERR('[1]Общее+'!L913),"-",'[1]Общее+'!L913)</f>
        <v>-</v>
      </c>
      <c r="L494" s="104" t="str">
        <f>IF(ISERR('[1]Общее+'!M913),"-",'[1]Общее+'!M913)</f>
        <v>-</v>
      </c>
      <c r="M494" s="104" t="str">
        <f>IF(ISERR('[1]Общее+'!N913),"-",'[1]Общее+'!N913)</f>
        <v>-</v>
      </c>
    </row>
    <row r="495" spans="1:13" s="89" customFormat="1" hidden="1" x14ac:dyDescent="0.25">
      <c r="A495" s="13"/>
      <c r="B495" s="70" t="s">
        <v>1370</v>
      </c>
      <c r="C495" s="13" t="s">
        <v>8</v>
      </c>
      <c r="D495" s="104"/>
      <c r="E495" s="104"/>
      <c r="F495" s="104"/>
      <c r="G495" s="104">
        <f>IF(ISERR('[1]Общее+'!H914),"-",'[1]Общее+'!H914)</f>
        <v>0</v>
      </c>
      <c r="H495" s="104" t="str">
        <f>IF(ISERR('[1]Общее+'!I914),"-",'[1]Общее+'!I914)</f>
        <v>-</v>
      </c>
      <c r="I495" s="104" t="str">
        <f>IF(ISERR('[1]Общее+'!J914),"-",'[1]Общее+'!J914)</f>
        <v>-</v>
      </c>
      <c r="J495" s="104" t="str">
        <f>IF(ISERR('[1]Общее+'!K914),"-",'[1]Общее+'!K914)</f>
        <v>-</v>
      </c>
      <c r="K495" s="104" t="str">
        <f>IF(ISERR('[1]Общее+'!L914),"-",'[1]Общее+'!L914)</f>
        <v>-</v>
      </c>
      <c r="L495" s="104" t="str">
        <f>IF(ISERR('[1]Общее+'!M914),"-",'[1]Общее+'!M914)</f>
        <v>-</v>
      </c>
      <c r="M495" s="104" t="str">
        <f>IF(ISERR('[1]Общее+'!N914),"-",'[1]Общее+'!N914)</f>
        <v>-</v>
      </c>
    </row>
    <row r="496" spans="1:13" s="89" customFormat="1" hidden="1" x14ac:dyDescent="0.25">
      <c r="A496" s="13"/>
      <c r="B496" s="70" t="s">
        <v>1371</v>
      </c>
      <c r="C496" s="13" t="s">
        <v>8</v>
      </c>
      <c r="D496" s="104"/>
      <c r="E496" s="104"/>
      <c r="F496" s="104"/>
      <c r="G496" s="104">
        <f>IF(ISERR('[1]Общее+'!H915),"-",'[1]Общее+'!H915)</f>
        <v>0</v>
      </c>
      <c r="H496" s="104" t="str">
        <f>IF(ISERR('[1]Общее+'!I915),"-",'[1]Общее+'!I915)</f>
        <v>-</v>
      </c>
      <c r="I496" s="104" t="str">
        <f>IF(ISERR('[1]Общее+'!J915),"-",'[1]Общее+'!J915)</f>
        <v>-</v>
      </c>
      <c r="J496" s="104" t="str">
        <f>IF(ISERR('[1]Общее+'!K915),"-",'[1]Общее+'!K915)</f>
        <v>-</v>
      </c>
      <c r="K496" s="104" t="str">
        <f>IF(ISERR('[1]Общее+'!L915),"-",'[1]Общее+'!L915)</f>
        <v>-</v>
      </c>
      <c r="L496" s="104" t="str">
        <f>IF(ISERR('[1]Общее+'!M915),"-",'[1]Общее+'!M915)</f>
        <v>-</v>
      </c>
      <c r="M496" s="104" t="str">
        <f>IF(ISERR('[1]Общее+'!N915),"-",'[1]Общее+'!N915)</f>
        <v>-</v>
      </c>
    </row>
    <row r="497" spans="1:13" s="89" customFormat="1" hidden="1" x14ac:dyDescent="0.25">
      <c r="A497" s="13"/>
      <c r="B497" s="70" t="s">
        <v>1372</v>
      </c>
      <c r="C497" s="13" t="s">
        <v>8</v>
      </c>
      <c r="D497" s="104"/>
      <c r="E497" s="104"/>
      <c r="F497" s="104"/>
      <c r="G497" s="104">
        <f>IF(ISERR('[1]Общее+'!H916),"-",'[1]Общее+'!H916)</f>
        <v>0</v>
      </c>
      <c r="H497" s="104" t="str">
        <f>IF(ISERR('[1]Общее+'!I916),"-",'[1]Общее+'!I916)</f>
        <v>-</v>
      </c>
      <c r="I497" s="104" t="str">
        <f>IF(ISERR('[1]Общее+'!J916),"-",'[1]Общее+'!J916)</f>
        <v>-</v>
      </c>
      <c r="J497" s="104" t="str">
        <f>IF(ISERR('[1]Общее+'!K916),"-",'[1]Общее+'!K916)</f>
        <v>-</v>
      </c>
      <c r="K497" s="104" t="str">
        <f>IF(ISERR('[1]Общее+'!L916),"-",'[1]Общее+'!L916)</f>
        <v>-</v>
      </c>
      <c r="L497" s="104" t="str">
        <f>IF(ISERR('[1]Общее+'!M916),"-",'[1]Общее+'!M916)</f>
        <v>-</v>
      </c>
      <c r="M497" s="104" t="str">
        <f>IF(ISERR('[1]Общее+'!N916),"-",'[1]Общее+'!N916)</f>
        <v>-</v>
      </c>
    </row>
    <row r="498" spans="1:13" s="89" customFormat="1" ht="60" hidden="1" x14ac:dyDescent="0.25">
      <c r="A498" s="13" t="s">
        <v>1384</v>
      </c>
      <c r="B498" s="70" t="s">
        <v>1385</v>
      </c>
      <c r="C498" s="13"/>
      <c r="D498" s="104"/>
      <c r="E498" s="104"/>
      <c r="F498" s="104"/>
      <c r="G498" s="104"/>
      <c r="H498" s="104"/>
      <c r="I498" s="104"/>
      <c r="J498" s="104"/>
      <c r="K498" s="104"/>
      <c r="L498" s="104"/>
      <c r="M498" s="104"/>
    </row>
    <row r="499" spans="1:13" s="89" customFormat="1" hidden="1" x14ac:dyDescent="0.25">
      <c r="A499" s="13"/>
      <c r="B499" s="70" t="s">
        <v>1364</v>
      </c>
      <c r="C499" s="13" t="s">
        <v>8</v>
      </c>
      <c r="D499" s="104"/>
      <c r="E499" s="104"/>
      <c r="F499" s="104"/>
      <c r="G499" s="104">
        <f>IF(ISERR('[1]Общее+'!H958),"-",'[1]Общее+'!H958)</f>
        <v>7.68</v>
      </c>
      <c r="H499" s="104" t="str">
        <f>IF(ISERR('[1]Общее+'!I958),"-",'[1]Общее+'!I958)</f>
        <v>-</v>
      </c>
      <c r="I499" s="104" t="str">
        <f>IF(ISERR('[1]Общее+'!J958),"-",'[1]Общее+'!J958)</f>
        <v>-</v>
      </c>
      <c r="J499" s="104" t="str">
        <f>IF(ISERR('[1]Общее+'!K958),"-",'[1]Общее+'!K958)</f>
        <v>-</v>
      </c>
      <c r="K499" s="104" t="str">
        <f>IF(ISERR('[1]Общее+'!L958),"-",'[1]Общее+'!L958)</f>
        <v>-</v>
      </c>
      <c r="L499" s="104" t="str">
        <f>IF(ISERR('[1]Общее+'!M958),"-",'[1]Общее+'!M958)</f>
        <v>-</v>
      </c>
      <c r="M499" s="104" t="str">
        <f>IF(ISERR('[1]Общее+'!N958),"-",'[1]Общее+'!N958)</f>
        <v>-</v>
      </c>
    </row>
    <row r="500" spans="1:13" s="89" customFormat="1" hidden="1" x14ac:dyDescent="0.25">
      <c r="A500" s="13"/>
      <c r="B500" s="70" t="s">
        <v>1365</v>
      </c>
      <c r="C500" s="13" t="s">
        <v>8</v>
      </c>
      <c r="D500" s="104"/>
      <c r="E500" s="104"/>
      <c r="F500" s="104"/>
      <c r="G500" s="104">
        <f>IF(ISERR('[1]Общее+'!H959),"-",'[1]Общее+'!H959)</f>
        <v>1.17</v>
      </c>
      <c r="H500" s="104" t="str">
        <f>IF(ISERR('[1]Общее+'!I959),"-",'[1]Общее+'!I959)</f>
        <v>-</v>
      </c>
      <c r="I500" s="104" t="str">
        <f>IF(ISERR('[1]Общее+'!J959),"-",'[1]Общее+'!J959)</f>
        <v>-</v>
      </c>
      <c r="J500" s="104" t="str">
        <f>IF(ISERR('[1]Общее+'!K959),"-",'[1]Общее+'!K959)</f>
        <v>-</v>
      </c>
      <c r="K500" s="104" t="str">
        <f>IF(ISERR('[1]Общее+'!L959),"-",'[1]Общее+'!L959)</f>
        <v>-</v>
      </c>
      <c r="L500" s="104" t="str">
        <f>IF(ISERR('[1]Общее+'!M959),"-",'[1]Общее+'!M959)</f>
        <v>-</v>
      </c>
      <c r="M500" s="104" t="str">
        <f>IF(ISERR('[1]Общее+'!N959),"-",'[1]Общее+'!N959)</f>
        <v>-</v>
      </c>
    </row>
    <row r="501" spans="1:13" s="89" customFormat="1" hidden="1" x14ac:dyDescent="0.25">
      <c r="A501" s="13"/>
      <c r="B501" s="70" t="s">
        <v>1366</v>
      </c>
      <c r="C501" s="13" t="s">
        <v>8</v>
      </c>
      <c r="D501" s="104"/>
      <c r="E501" s="104"/>
      <c r="F501" s="104"/>
      <c r="G501" s="104">
        <f>IF(ISERR('[1]Общее+'!H960),"-",'[1]Общее+'!H960)</f>
        <v>1.0900000000000001</v>
      </c>
      <c r="H501" s="104" t="str">
        <f>IF(ISERR('[1]Общее+'!I960),"-",'[1]Общее+'!I960)</f>
        <v>-</v>
      </c>
      <c r="I501" s="104" t="str">
        <f>IF(ISERR('[1]Общее+'!J960),"-",'[1]Общее+'!J960)</f>
        <v>-</v>
      </c>
      <c r="J501" s="104" t="str">
        <f>IF(ISERR('[1]Общее+'!K960),"-",'[1]Общее+'!K960)</f>
        <v>-</v>
      </c>
      <c r="K501" s="104" t="str">
        <f>IF(ISERR('[1]Общее+'!L960),"-",'[1]Общее+'!L960)</f>
        <v>-</v>
      </c>
      <c r="L501" s="104" t="str">
        <f>IF(ISERR('[1]Общее+'!M960),"-",'[1]Общее+'!M960)</f>
        <v>-</v>
      </c>
      <c r="M501" s="104" t="str">
        <f>IF(ISERR('[1]Общее+'!N960),"-",'[1]Общее+'!N960)</f>
        <v>-</v>
      </c>
    </row>
    <row r="502" spans="1:13" s="89" customFormat="1" hidden="1" x14ac:dyDescent="0.25">
      <c r="A502" s="13"/>
      <c r="B502" s="70" t="s">
        <v>1367</v>
      </c>
      <c r="C502" s="13" t="s">
        <v>8</v>
      </c>
      <c r="D502" s="104"/>
      <c r="E502" s="104"/>
      <c r="F502" s="104"/>
      <c r="G502" s="104">
        <f>IF(ISERR('[1]Общее+'!H961),"-",'[1]Общее+'!H961)</f>
        <v>77.05</v>
      </c>
      <c r="H502" s="104" t="str">
        <f>IF(ISERR('[1]Общее+'!I961),"-",'[1]Общее+'!I961)</f>
        <v>-</v>
      </c>
      <c r="I502" s="104" t="str">
        <f>IF(ISERR('[1]Общее+'!J961),"-",'[1]Общее+'!J961)</f>
        <v>-</v>
      </c>
      <c r="J502" s="104" t="str">
        <f>IF(ISERR('[1]Общее+'!K961),"-",'[1]Общее+'!K961)</f>
        <v>-</v>
      </c>
      <c r="K502" s="104" t="str">
        <f>IF(ISERR('[1]Общее+'!L961),"-",'[1]Общее+'!L961)</f>
        <v>-</v>
      </c>
      <c r="L502" s="104" t="str">
        <f>IF(ISERR('[1]Общее+'!M961),"-",'[1]Общее+'!M961)</f>
        <v>-</v>
      </c>
      <c r="M502" s="104" t="str">
        <f>IF(ISERR('[1]Общее+'!N961),"-",'[1]Общее+'!N961)</f>
        <v>-</v>
      </c>
    </row>
    <row r="503" spans="1:13" s="89" customFormat="1" hidden="1" x14ac:dyDescent="0.25">
      <c r="A503" s="13"/>
      <c r="B503" s="70" t="s">
        <v>1368</v>
      </c>
      <c r="C503" s="13" t="s">
        <v>8</v>
      </c>
      <c r="D503" s="104"/>
      <c r="E503" s="104"/>
      <c r="F503" s="104"/>
      <c r="G503" s="104">
        <f>IF(ISERR('[1]Общее+'!H962),"-",'[1]Общее+'!H962)</f>
        <v>4.84</v>
      </c>
      <c r="H503" s="104" t="str">
        <f>IF(ISERR('[1]Общее+'!I962),"-",'[1]Общее+'!I962)</f>
        <v>-</v>
      </c>
      <c r="I503" s="104" t="str">
        <f>IF(ISERR('[1]Общее+'!J962),"-",'[1]Общее+'!J962)</f>
        <v>-</v>
      </c>
      <c r="J503" s="104" t="str">
        <f>IF(ISERR('[1]Общее+'!K962),"-",'[1]Общее+'!K962)</f>
        <v>-</v>
      </c>
      <c r="K503" s="104" t="str">
        <f>IF(ISERR('[1]Общее+'!L962),"-",'[1]Общее+'!L962)</f>
        <v>-</v>
      </c>
      <c r="L503" s="104" t="str">
        <f>IF(ISERR('[1]Общее+'!M962),"-",'[1]Общее+'!M962)</f>
        <v>-</v>
      </c>
      <c r="M503" s="104" t="str">
        <f>IF(ISERR('[1]Общее+'!N962),"-",'[1]Общее+'!N962)</f>
        <v>-</v>
      </c>
    </row>
    <row r="504" spans="1:13" s="89" customFormat="1" hidden="1" x14ac:dyDescent="0.25">
      <c r="A504" s="13"/>
      <c r="B504" s="70" t="s">
        <v>1369</v>
      </c>
      <c r="C504" s="13" t="s">
        <v>8</v>
      </c>
      <c r="D504" s="104"/>
      <c r="E504" s="104"/>
      <c r="F504" s="104"/>
      <c r="G504" s="104">
        <f>IF(ISERR('[1]Общее+'!H963),"-",'[1]Общее+'!H963)</f>
        <v>1.84</v>
      </c>
      <c r="H504" s="104" t="str">
        <f>IF(ISERR('[1]Общее+'!I963),"-",'[1]Общее+'!I963)</f>
        <v>-</v>
      </c>
      <c r="I504" s="104" t="str">
        <f>IF(ISERR('[1]Общее+'!J963),"-",'[1]Общее+'!J963)</f>
        <v>-</v>
      </c>
      <c r="J504" s="104" t="str">
        <f>IF(ISERR('[1]Общее+'!K963),"-",'[1]Общее+'!K963)</f>
        <v>-</v>
      </c>
      <c r="K504" s="104" t="str">
        <f>IF(ISERR('[1]Общее+'!L963),"-",'[1]Общее+'!L963)</f>
        <v>-</v>
      </c>
      <c r="L504" s="104" t="str">
        <f>IF(ISERR('[1]Общее+'!M963),"-",'[1]Общее+'!M963)</f>
        <v>-</v>
      </c>
      <c r="M504" s="104" t="str">
        <f>IF(ISERR('[1]Общее+'!N963),"-",'[1]Общее+'!N963)</f>
        <v>-</v>
      </c>
    </row>
    <row r="505" spans="1:13" s="89" customFormat="1" hidden="1" x14ac:dyDescent="0.25">
      <c r="A505" s="13"/>
      <c r="B505" s="70" t="s">
        <v>1370</v>
      </c>
      <c r="C505" s="13" t="s">
        <v>8</v>
      </c>
      <c r="D505" s="104"/>
      <c r="E505" s="104"/>
      <c r="F505" s="104"/>
      <c r="G505" s="104">
        <f>IF(ISERR('[1]Общее+'!H964),"-",'[1]Общее+'!H964)</f>
        <v>0.92</v>
      </c>
      <c r="H505" s="104" t="str">
        <f>IF(ISERR('[1]Общее+'!I964),"-",'[1]Общее+'!I964)</f>
        <v>-</v>
      </c>
      <c r="I505" s="104" t="str">
        <f>IF(ISERR('[1]Общее+'!J964),"-",'[1]Общее+'!J964)</f>
        <v>-</v>
      </c>
      <c r="J505" s="104" t="str">
        <f>IF(ISERR('[1]Общее+'!K964),"-",'[1]Общее+'!K964)</f>
        <v>-</v>
      </c>
      <c r="K505" s="104" t="str">
        <f>IF(ISERR('[1]Общее+'!L964),"-",'[1]Общее+'!L964)</f>
        <v>-</v>
      </c>
      <c r="L505" s="104" t="str">
        <f>IF(ISERR('[1]Общее+'!M964),"-",'[1]Общее+'!M964)</f>
        <v>-</v>
      </c>
      <c r="M505" s="104" t="str">
        <f>IF(ISERR('[1]Общее+'!N964),"-",'[1]Общее+'!N964)</f>
        <v>-</v>
      </c>
    </row>
    <row r="506" spans="1:13" s="89" customFormat="1" hidden="1" x14ac:dyDescent="0.25">
      <c r="A506" s="13"/>
      <c r="B506" s="70" t="s">
        <v>1371</v>
      </c>
      <c r="C506" s="13" t="s">
        <v>8</v>
      </c>
      <c r="D506" s="104"/>
      <c r="E506" s="104"/>
      <c r="F506" s="104"/>
      <c r="G506" s="104">
        <f>IF(ISERR('[1]Общее+'!H965),"-",'[1]Общее+'!H965)</f>
        <v>0</v>
      </c>
      <c r="H506" s="104" t="str">
        <f>IF(ISERR('[1]Общее+'!I965),"-",'[1]Общее+'!I965)</f>
        <v>-</v>
      </c>
      <c r="I506" s="104" t="str">
        <f>IF(ISERR('[1]Общее+'!J965),"-",'[1]Общее+'!J965)</f>
        <v>-</v>
      </c>
      <c r="J506" s="104" t="str">
        <f>IF(ISERR('[1]Общее+'!K965),"-",'[1]Общее+'!K965)</f>
        <v>-</v>
      </c>
      <c r="K506" s="104" t="str">
        <f>IF(ISERR('[1]Общее+'!L965),"-",'[1]Общее+'!L965)</f>
        <v>-</v>
      </c>
      <c r="L506" s="104" t="str">
        <f>IF(ISERR('[1]Общее+'!M965),"-",'[1]Общее+'!M965)</f>
        <v>-</v>
      </c>
      <c r="M506" s="104" t="str">
        <f>IF(ISERR('[1]Общее+'!N965),"-",'[1]Общее+'!N965)</f>
        <v>-</v>
      </c>
    </row>
    <row r="507" spans="1:13" s="89" customFormat="1" hidden="1" x14ac:dyDescent="0.25">
      <c r="A507" s="13"/>
      <c r="B507" s="70" t="s">
        <v>1372</v>
      </c>
      <c r="C507" s="13" t="s">
        <v>8</v>
      </c>
      <c r="D507" s="104"/>
      <c r="E507" s="104"/>
      <c r="F507" s="104"/>
      <c r="G507" s="104">
        <f>IF(ISERR('[1]Общее+'!H966),"-",'[1]Общее+'!H966)</f>
        <v>0</v>
      </c>
      <c r="H507" s="104" t="str">
        <f>IF(ISERR('[1]Общее+'!I966),"-",'[1]Общее+'!I966)</f>
        <v>-</v>
      </c>
      <c r="I507" s="104" t="str">
        <f>IF(ISERR('[1]Общее+'!J966),"-",'[1]Общее+'!J966)</f>
        <v>-</v>
      </c>
      <c r="J507" s="104" t="str">
        <f>IF(ISERR('[1]Общее+'!K966),"-",'[1]Общее+'!K966)</f>
        <v>-</v>
      </c>
      <c r="K507" s="104" t="str">
        <f>IF(ISERR('[1]Общее+'!L966),"-",'[1]Общее+'!L966)</f>
        <v>-</v>
      </c>
      <c r="L507" s="104" t="str">
        <f>IF(ISERR('[1]Общее+'!M966),"-",'[1]Общее+'!M966)</f>
        <v>-</v>
      </c>
      <c r="M507" s="104" t="str">
        <f>IF(ISERR('[1]Общее+'!N966),"-",'[1]Общее+'!N966)</f>
        <v>-</v>
      </c>
    </row>
    <row r="508" spans="1:13" s="89" customFormat="1" ht="45" x14ac:dyDescent="0.25">
      <c r="A508" s="13" t="s">
        <v>1386</v>
      </c>
      <c r="B508" s="70" t="s">
        <v>2533</v>
      </c>
      <c r="C508" s="13"/>
      <c r="D508" s="104"/>
      <c r="E508" s="104"/>
      <c r="F508" s="104"/>
      <c r="G508" s="104"/>
      <c r="H508" s="104"/>
      <c r="I508" s="104"/>
      <c r="J508" s="104"/>
      <c r="K508" s="104"/>
      <c r="L508" s="104"/>
      <c r="M508" s="104"/>
    </row>
    <row r="509" spans="1:13" s="89" customFormat="1" x14ac:dyDescent="0.25">
      <c r="A509" s="13"/>
      <c r="B509" s="70" t="s">
        <v>2316</v>
      </c>
      <c r="C509" s="13" t="s">
        <v>8</v>
      </c>
      <c r="D509" s="104"/>
      <c r="E509" s="104"/>
      <c r="F509" s="104"/>
      <c r="G509" s="104"/>
      <c r="H509" s="104">
        <f>IF(ISERR('[1]Общее+'!I1070),"-",'[1]Общее+'!I1070)</f>
        <v>95.513404857069403</v>
      </c>
      <c r="I509" s="104">
        <f>IF(ISERR('[1]Общее+'!J1070),"-",'[1]Общее+'!J1070)</f>
        <v>97.326516105679858</v>
      </c>
      <c r="J509" s="104">
        <f>IF(ISERR('[1]Общее+'!K1070),"-",'[1]Общее+'!K1070)</f>
        <v>98.541939971856849</v>
      </c>
      <c r="K509" s="104">
        <f>IF(ISERR('[1]Общее+'!L1070),"-",'[1]Общее+'!L1070)</f>
        <v>97.313794413832412</v>
      </c>
      <c r="L509" s="104">
        <f>IF(ISERR('[1]Общее+'!M1070),"-",'[1]Общее+'!M1070)</f>
        <v>95.138396836643736</v>
      </c>
      <c r="M509" s="104">
        <f>IF(ISERR('[1]Общее+'!N1070),"-",'[1]Общее+'!N1070)</f>
        <v>99.323318446339144</v>
      </c>
    </row>
    <row r="510" spans="1:13" s="89" customFormat="1" x14ac:dyDescent="0.25">
      <c r="A510" s="13"/>
      <c r="B510" s="70" t="s">
        <v>2528</v>
      </c>
      <c r="C510" s="13" t="s">
        <v>8</v>
      </c>
      <c r="D510" s="104"/>
      <c r="E510" s="104"/>
      <c r="F510" s="104"/>
      <c r="G510" s="104"/>
      <c r="H510" s="104">
        <f>IF(ISERR('[1]Общее+'!I1071),"-",'[1]Общее+'!I1071)</f>
        <v>91.463414634146346</v>
      </c>
      <c r="I510" s="104">
        <f>IF(ISERR('[1]Общее+'!J1071),"-",'[1]Общее+'!J1071)</f>
        <v>85.842111224374236</v>
      </c>
      <c r="J510" s="104">
        <f>IF(ISERR('[1]Общее+'!K1071),"-",'[1]Общее+'!K1071)</f>
        <v>87.422503627489775</v>
      </c>
      <c r="K510" s="104">
        <f>IF(ISERR('[1]Общее+'!L1071),"-",'[1]Общее+'!L1071)</f>
        <v>81.481481481481495</v>
      </c>
      <c r="L510" s="104">
        <f>IF(ISERR('[1]Общее+'!M1071),"-",'[1]Общее+'!M1071)</f>
        <v>100</v>
      </c>
      <c r="M510" s="104">
        <f>IF(ISERR('[1]Общее+'!N1071),"-",'[1]Общее+'!N1071)</f>
        <v>100</v>
      </c>
    </row>
    <row r="511" spans="1:13" s="89" customFormat="1" x14ac:dyDescent="0.25">
      <c r="A511" s="13"/>
      <c r="B511" s="70" t="s">
        <v>2529</v>
      </c>
      <c r="C511" s="13" t="s">
        <v>8</v>
      </c>
      <c r="D511" s="104"/>
      <c r="E511" s="104"/>
      <c r="F511" s="104"/>
      <c r="G511" s="104"/>
      <c r="H511" s="104">
        <f>IF(ISERR('[1]Общее+'!I1072),"-",'[1]Общее+'!I1072)</f>
        <v>93.685773227678482</v>
      </c>
      <c r="I511" s="104">
        <f>IF(ISERR('[1]Общее+'!J1072),"-",'[1]Общее+'!J1072)</f>
        <v>94.608867862251074</v>
      </c>
      <c r="J511" s="104">
        <f>IF(ISERR('[1]Общее+'!K1072),"-",'[1]Общее+'!K1072)</f>
        <v>92.119797388014149</v>
      </c>
      <c r="K511" s="104">
        <f>IF(ISERR('[1]Общее+'!L1072),"-",'[1]Общее+'!L1072)</f>
        <v>98.181818181818187</v>
      </c>
      <c r="L511" s="104">
        <f>IF(ISERR('[1]Общее+'!M1072),"-",'[1]Общее+'!M1072)</f>
        <v>93.103448275862064</v>
      </c>
      <c r="M511" s="104">
        <f>IF(ISERR('[1]Общее+'!N1072),"-",'[1]Общее+'!N1072)</f>
        <v>92.72727272727272</v>
      </c>
    </row>
    <row r="512" spans="1:13" s="89" customFormat="1" x14ac:dyDescent="0.25">
      <c r="A512" s="13"/>
      <c r="B512" s="70" t="s">
        <v>2530</v>
      </c>
      <c r="C512" s="13" t="s">
        <v>8</v>
      </c>
      <c r="D512" s="104"/>
      <c r="E512" s="104"/>
      <c r="F512" s="104"/>
      <c r="G512" s="104"/>
      <c r="H512" s="104">
        <f>IF(ISERR('[1]Общее+'!I1073),"-",'[1]Общее+'!I1073)</f>
        <v>95.248700816629551</v>
      </c>
      <c r="I512" s="104">
        <f>IF(ISERR('[1]Общее+'!J1073),"-",'[1]Общее+'!J1073)</f>
        <v>93.379679995754501</v>
      </c>
      <c r="J512" s="104">
        <f>IF(ISERR('[1]Общее+'!K1073),"-",'[1]Общее+'!K1073)</f>
        <v>95.259374852224894</v>
      </c>
      <c r="K512" s="104">
        <f>IF(ISERR('[1]Общее+'!L1073),"-",'[1]Общее+'!L1073)</f>
        <v>89.235737351991389</v>
      </c>
      <c r="L512" s="104">
        <f>IF(ISERR('[1]Общее+'!M1073),"-",'[1]Общее+'!M1073)</f>
        <v>100</v>
      </c>
      <c r="M512" s="104">
        <f>IF(ISERR('[1]Общее+'!N1073),"-",'[1]Общее+'!N1073)</f>
        <v>100</v>
      </c>
    </row>
    <row r="513" spans="1:13" s="89" customFormat="1" x14ac:dyDescent="0.25">
      <c r="A513" s="13"/>
      <c r="B513" s="70" t="s">
        <v>2531</v>
      </c>
      <c r="C513" s="13" t="s">
        <v>8</v>
      </c>
      <c r="D513" s="104"/>
      <c r="E513" s="104"/>
      <c r="F513" s="104"/>
      <c r="G513" s="104"/>
      <c r="H513" s="104">
        <f>IF(ISERR('[1]Общее+'!I1074),"-",'[1]Общее+'!I1074)</f>
        <v>95.633778564927553</v>
      </c>
      <c r="I513" s="104">
        <f>IF(ISERR('[1]Общее+'!J1074),"-",'[1]Общее+'!J1074)</f>
        <v>95.125161479026005</v>
      </c>
      <c r="J513" s="104">
        <f>IF(ISERR('[1]Общее+'!K1074),"-",'[1]Общее+'!K1074)</f>
        <v>97.107847766550194</v>
      </c>
      <c r="K513" s="104">
        <f>IF(ISERR('[1]Общее+'!L1074),"-",'[1]Общее+'!L1074)</f>
        <v>100</v>
      </c>
      <c r="L513" s="104">
        <f>IF(ISERR('[1]Общее+'!M1074),"-",'[1]Общее+'!M1074)</f>
        <v>100</v>
      </c>
      <c r="M513" s="104">
        <f>IF(ISERR('[1]Общее+'!N1074),"-",'[1]Общее+'!N1074)</f>
        <v>100</v>
      </c>
    </row>
    <row r="514" spans="1:13" s="89" customFormat="1" x14ac:dyDescent="0.25">
      <c r="A514" s="13"/>
      <c r="B514" s="70" t="s">
        <v>2532</v>
      </c>
      <c r="C514" s="13" t="s">
        <v>8</v>
      </c>
      <c r="D514" s="104"/>
      <c r="E514" s="104"/>
      <c r="F514" s="104"/>
      <c r="G514" s="104"/>
      <c r="H514" s="104">
        <f>IF(ISERR('[1]Общее+'!I1075),"-",'[1]Общее+'!I1075)</f>
        <v>79.869149471565166</v>
      </c>
      <c r="I514" s="104">
        <f>IF(ISERR('[1]Общее+'!J1075),"-",'[1]Общее+'!J1075)</f>
        <v>79.442508710801391</v>
      </c>
      <c r="J514" s="104">
        <f>IF(ISERR('[1]Общее+'!K1075),"-",'[1]Общее+'!K1075)</f>
        <v>88.02123802123802</v>
      </c>
      <c r="K514" s="104">
        <f>IF(ISERR('[1]Общее+'!L1075),"-",'[1]Общее+'!L1075)</f>
        <v>69.230769230769226</v>
      </c>
      <c r="L514" s="104">
        <f>IF(ISERR('[1]Общее+'!M1075),"-",'[1]Общее+'!M1075)</f>
        <v>76.470588235294116</v>
      </c>
      <c r="M514" s="104">
        <f>IF(ISERR('[1]Общее+'!N1075),"-",'[1]Общее+'!N1075)</f>
        <v>69.230769230769226</v>
      </c>
    </row>
    <row r="515" spans="1:13" s="89" customFormat="1" ht="45" hidden="1" customHeight="1" x14ac:dyDescent="0.25">
      <c r="A515" s="13" t="s">
        <v>1386</v>
      </c>
      <c r="B515" s="70" t="s">
        <v>1387</v>
      </c>
      <c r="C515" s="13"/>
      <c r="D515" s="104"/>
      <c r="E515" s="104"/>
      <c r="F515" s="104"/>
      <c r="G515" s="104"/>
      <c r="H515" s="104"/>
      <c r="I515" s="104"/>
      <c r="J515" s="104"/>
      <c r="K515" s="104"/>
      <c r="L515" s="104"/>
      <c r="M515" s="104"/>
    </row>
    <row r="516" spans="1:13" s="89" customFormat="1" ht="15" hidden="1" customHeight="1" x14ac:dyDescent="0.25">
      <c r="A516" s="13"/>
      <c r="B516" s="70" t="s">
        <v>1388</v>
      </c>
      <c r="C516" s="13" t="s">
        <v>8</v>
      </c>
      <c r="D516" s="104"/>
      <c r="E516" s="104"/>
      <c r="F516" s="104"/>
      <c r="G516" s="104">
        <f>IF(ISERR('[1]Общее+'!H1039),"-",'[1]Общее+'!H1039)</f>
        <v>85.19</v>
      </c>
      <c r="H516" s="104" t="str">
        <f>IF(ISERR('[1]Общее+'!I1039),"-",'[1]Общее+'!I1039)</f>
        <v>-</v>
      </c>
      <c r="I516" s="104" t="str">
        <f>IF(ISERR('[1]Общее+'!J1039),"-",'[1]Общее+'!J1039)</f>
        <v>-</v>
      </c>
      <c r="J516" s="104" t="str">
        <f>IF(ISERR('[1]Общее+'!K1039),"-",'[1]Общее+'!K1039)</f>
        <v>-</v>
      </c>
      <c r="K516" s="104" t="str">
        <f>IF(ISERR('[1]Общее+'!L1039),"-",'[1]Общее+'!L1039)</f>
        <v>-</v>
      </c>
      <c r="L516" s="104" t="str">
        <f>IF(ISERR('[1]Общее+'!M1039),"-",'[1]Общее+'!M1039)</f>
        <v>-</v>
      </c>
      <c r="M516" s="104" t="str">
        <f>IF(ISERR('[1]Общее+'!N1039),"-",'[1]Общее+'!N1039)</f>
        <v>-</v>
      </c>
    </row>
    <row r="517" spans="1:13" s="89" customFormat="1" ht="15" hidden="1" customHeight="1" x14ac:dyDescent="0.25">
      <c r="A517" s="13"/>
      <c r="B517" s="70" t="s">
        <v>1393</v>
      </c>
      <c r="C517" s="13" t="s">
        <v>8</v>
      </c>
      <c r="D517" s="104"/>
      <c r="E517" s="104"/>
      <c r="F517" s="104"/>
      <c r="G517" s="104">
        <f>IF(ISERR('[1]Общее+'!H1040),"-",'[1]Общее+'!H1040)</f>
        <v>84.39</v>
      </c>
      <c r="H517" s="104" t="str">
        <f>IF(ISERR('[1]Общее+'!I1040),"-",'[1]Общее+'!I1040)</f>
        <v>-</v>
      </c>
      <c r="I517" s="104" t="str">
        <f>IF(ISERR('[1]Общее+'!J1040),"-",'[1]Общее+'!J1040)</f>
        <v>-</v>
      </c>
      <c r="J517" s="104" t="str">
        <f>IF(ISERR('[1]Общее+'!K1040),"-",'[1]Общее+'!K1040)</f>
        <v>-</v>
      </c>
      <c r="K517" s="104" t="str">
        <f>IF(ISERR('[1]Общее+'!L1040),"-",'[1]Общее+'!L1040)</f>
        <v>-</v>
      </c>
      <c r="L517" s="104" t="str">
        <f>IF(ISERR('[1]Общее+'!M1040),"-",'[1]Общее+'!M1040)</f>
        <v>-</v>
      </c>
      <c r="M517" s="104" t="str">
        <f>IF(ISERR('[1]Общее+'!N1040),"-",'[1]Общее+'!N1040)</f>
        <v>-</v>
      </c>
    </row>
    <row r="518" spans="1:13" s="89" customFormat="1" ht="15" hidden="1" customHeight="1" x14ac:dyDescent="0.25">
      <c r="A518" s="13"/>
      <c r="B518" s="70" t="s">
        <v>1389</v>
      </c>
      <c r="C518" s="13" t="s">
        <v>8</v>
      </c>
      <c r="D518" s="104"/>
      <c r="E518" s="104"/>
      <c r="F518" s="104"/>
      <c r="G518" s="104">
        <f>IF(ISERR('[1]Общее+'!H1041),"-",'[1]Общее+'!H1041)</f>
        <v>85.64</v>
      </c>
      <c r="H518" s="104" t="str">
        <f>IF(ISERR('[1]Общее+'!I1041),"-",'[1]Общее+'!I1041)</f>
        <v>-</v>
      </c>
      <c r="I518" s="104" t="str">
        <f>IF(ISERR('[1]Общее+'!J1041),"-",'[1]Общее+'!J1041)</f>
        <v>-</v>
      </c>
      <c r="J518" s="104" t="str">
        <f>IF(ISERR('[1]Общее+'!K1041),"-",'[1]Общее+'!K1041)</f>
        <v>-</v>
      </c>
      <c r="K518" s="104" t="str">
        <f>IF(ISERR('[1]Общее+'!L1041),"-",'[1]Общее+'!L1041)</f>
        <v>-</v>
      </c>
      <c r="L518" s="104" t="str">
        <f>IF(ISERR('[1]Общее+'!M1041),"-",'[1]Общее+'!M1041)</f>
        <v>-</v>
      </c>
      <c r="M518" s="104" t="str">
        <f>IF(ISERR('[1]Общее+'!N1041),"-",'[1]Общее+'!N1041)</f>
        <v>-</v>
      </c>
    </row>
    <row r="519" spans="1:13" s="89" customFormat="1" ht="15" hidden="1" customHeight="1" x14ac:dyDescent="0.25">
      <c r="A519" s="13"/>
      <c r="B519" s="70" t="s">
        <v>1390</v>
      </c>
      <c r="C519" s="13" t="s">
        <v>8</v>
      </c>
      <c r="D519" s="104"/>
      <c r="E519" s="104"/>
      <c r="F519" s="104"/>
      <c r="G519" s="104">
        <f>IF(ISERR('[1]Общее+'!H1042),"-",'[1]Общее+'!H1042)</f>
        <v>83.35</v>
      </c>
      <c r="H519" s="104" t="str">
        <f>IF(ISERR('[1]Общее+'!I1042),"-",'[1]Общее+'!I1042)</f>
        <v>-</v>
      </c>
      <c r="I519" s="104" t="str">
        <f>IF(ISERR('[1]Общее+'!J1042),"-",'[1]Общее+'!J1042)</f>
        <v>-</v>
      </c>
      <c r="J519" s="104" t="str">
        <f>IF(ISERR('[1]Общее+'!K1042),"-",'[1]Общее+'!K1042)</f>
        <v>-</v>
      </c>
      <c r="K519" s="104" t="str">
        <f>IF(ISERR('[1]Общее+'!L1042),"-",'[1]Общее+'!L1042)</f>
        <v>-</v>
      </c>
      <c r="L519" s="104" t="str">
        <f>IF(ISERR('[1]Общее+'!M1042),"-",'[1]Общее+'!M1042)</f>
        <v>-</v>
      </c>
      <c r="M519" s="104" t="str">
        <f>IF(ISERR('[1]Общее+'!N1042),"-",'[1]Общее+'!N1042)</f>
        <v>-</v>
      </c>
    </row>
    <row r="520" spans="1:13" s="89" customFormat="1" ht="15" hidden="1" customHeight="1" x14ac:dyDescent="0.25">
      <c r="A520" s="13"/>
      <c r="B520" s="70" t="s">
        <v>1391</v>
      </c>
      <c r="C520" s="13" t="s">
        <v>8</v>
      </c>
      <c r="D520" s="104"/>
      <c r="E520" s="104"/>
      <c r="F520" s="104"/>
      <c r="G520" s="104">
        <f>IF(ISERR('[1]Общее+'!H1043),"-",'[1]Общее+'!H1043)</f>
        <v>94.12</v>
      </c>
      <c r="H520" s="104" t="str">
        <f>IF(ISERR('[1]Общее+'!I1043),"-",'[1]Общее+'!I1043)</f>
        <v>-</v>
      </c>
      <c r="I520" s="104" t="str">
        <f>IF(ISERR('[1]Общее+'!J1043),"-",'[1]Общее+'!J1043)</f>
        <v>-</v>
      </c>
      <c r="J520" s="104" t="str">
        <f>IF(ISERR('[1]Общее+'!K1043),"-",'[1]Общее+'!K1043)</f>
        <v>-</v>
      </c>
      <c r="K520" s="104" t="str">
        <f>IF(ISERR('[1]Общее+'!L1043),"-",'[1]Общее+'!L1043)</f>
        <v>-</v>
      </c>
      <c r="L520" s="104" t="str">
        <f>IF(ISERR('[1]Общее+'!M1043),"-",'[1]Общее+'!M1043)</f>
        <v>-</v>
      </c>
      <c r="M520" s="104" t="str">
        <f>IF(ISERR('[1]Общее+'!N1043),"-",'[1]Общее+'!N1043)</f>
        <v>-</v>
      </c>
    </row>
    <row r="521" spans="1:13" s="89" customFormat="1" ht="15" hidden="1" customHeight="1" x14ac:dyDescent="0.25">
      <c r="A521" s="13"/>
      <c r="B521" s="70" t="s">
        <v>1392</v>
      </c>
      <c r="C521" s="13" t="s">
        <v>8</v>
      </c>
      <c r="D521" s="104"/>
      <c r="E521" s="104"/>
      <c r="F521" s="104"/>
      <c r="G521" s="104">
        <f>IF(ISERR('[1]Общее+'!H1044),"-",'[1]Общее+'!H1044)</f>
        <v>100</v>
      </c>
      <c r="H521" s="104" t="str">
        <f>IF(ISERR('[1]Общее+'!I1044),"-",'[1]Общее+'!I1044)</f>
        <v>-</v>
      </c>
      <c r="I521" s="104" t="str">
        <f>IF(ISERR('[1]Общее+'!J1044),"-",'[1]Общее+'!J1044)</f>
        <v>-</v>
      </c>
      <c r="J521" s="104" t="str">
        <f>IF(ISERR('[1]Общее+'!K1044),"-",'[1]Общее+'!K1044)</f>
        <v>-</v>
      </c>
      <c r="K521" s="104" t="str">
        <f>IF(ISERR('[1]Общее+'!L1044),"-",'[1]Общее+'!L1044)</f>
        <v>-</v>
      </c>
      <c r="L521" s="104" t="str">
        <f>IF(ISERR('[1]Общее+'!M1044),"-",'[1]Общее+'!M1044)</f>
        <v>-</v>
      </c>
      <c r="M521" s="104" t="str">
        <f>IF(ISERR('[1]Общее+'!N1044),"-",'[1]Общее+'!N1044)</f>
        <v>-</v>
      </c>
    </row>
    <row r="522" spans="1:13" s="89" customFormat="1" ht="30" x14ac:dyDescent="0.25">
      <c r="A522" s="13" t="s">
        <v>1701</v>
      </c>
      <c r="B522" s="70" t="s">
        <v>2534</v>
      </c>
      <c r="C522" s="13"/>
      <c r="D522" s="104"/>
      <c r="E522" s="104"/>
      <c r="F522" s="104"/>
      <c r="G522" s="104"/>
      <c r="H522" s="104"/>
      <c r="I522" s="104"/>
      <c r="J522" s="104"/>
      <c r="K522" s="104"/>
      <c r="L522" s="104"/>
      <c r="M522" s="104"/>
    </row>
    <row r="523" spans="1:13" s="89" customFormat="1" hidden="1" x14ac:dyDescent="0.25">
      <c r="A523" s="13"/>
      <c r="B523" s="70" t="s">
        <v>2398</v>
      </c>
      <c r="C523" s="13"/>
      <c r="D523" s="104"/>
      <c r="E523" s="104"/>
      <c r="F523" s="104"/>
      <c r="G523" s="104"/>
      <c r="H523" s="104"/>
      <c r="I523" s="104"/>
      <c r="J523" s="104"/>
      <c r="K523" s="104"/>
      <c r="L523" s="104"/>
      <c r="M523" s="104"/>
    </row>
    <row r="524" spans="1:13" s="89" customFormat="1" x14ac:dyDescent="0.25">
      <c r="A524" s="13"/>
      <c r="B524" s="70" t="s">
        <v>2414</v>
      </c>
      <c r="C524" s="13" t="s">
        <v>950</v>
      </c>
      <c r="D524" s="104"/>
      <c r="E524" s="104"/>
      <c r="F524" s="104"/>
      <c r="G524" s="104"/>
      <c r="H524" s="104">
        <f>IF(ISERR('[1]Общее+'!I1092),"-",'[1]Общее+'!I1092)</f>
        <v>110.96930533117933</v>
      </c>
      <c r="I524" s="104">
        <f>IF(ISERR('[1]Общее+'!J1092),"-",'[1]Общее+'!J1092)</f>
        <v>89.632738719832105</v>
      </c>
      <c r="J524" s="104">
        <f>IF(ISERR('[1]Общее+'!K1092),"-",'[1]Общее+'!K1092)</f>
        <v>78.439490445859875</v>
      </c>
      <c r="K524" s="104">
        <f>IF(ISERR('[1]Общее+'!L1092),"-",'[1]Общее+'!L1092)</f>
        <v>227</v>
      </c>
      <c r="L524" s="104">
        <f>IF(ISERR('[1]Общее+'!M1092),"-",'[1]Общее+'!M1092)</f>
        <v>227</v>
      </c>
      <c r="M524" s="104">
        <f>IF(ISERR('[1]Общее+'!N1092),"-",'[1]Общее+'!N1092)</f>
        <v>227</v>
      </c>
    </row>
    <row r="525" spans="1:13" s="89" customFormat="1" x14ac:dyDescent="0.25">
      <c r="A525" s="13"/>
      <c r="B525" s="70" t="s">
        <v>2415</v>
      </c>
      <c r="C525" s="13" t="s">
        <v>950</v>
      </c>
      <c r="D525" s="104"/>
      <c r="E525" s="104"/>
      <c r="F525" s="104"/>
      <c r="G525" s="104"/>
      <c r="H525" s="104">
        <f>IF(ISERR('[1]Общее+'!I1093),"-",'[1]Общее+'!I1093)</f>
        <v>22.294709509899381</v>
      </c>
      <c r="I525" s="104">
        <f>IF(ISERR('[1]Общее+'!J1093),"-",'[1]Общее+'!J1093)</f>
        <v>25.377302436125969</v>
      </c>
      <c r="J525" s="104">
        <f>IF(ISERR('[1]Общее+'!K1093),"-",'[1]Общее+'!K1093)</f>
        <v>26.962233169129721</v>
      </c>
      <c r="K525" s="104">
        <f>IF(ISERR('[1]Общее+'!L1093),"-",'[1]Общее+'!L1093)</f>
        <v>37.833333333333336</v>
      </c>
      <c r="L525" s="104">
        <f>IF(ISERR('[1]Общее+'!M1093),"-",'[1]Общее+'!M1093)</f>
        <v>37.833333333333336</v>
      </c>
      <c r="M525" s="104">
        <f>IF(ISERR('[1]Общее+'!N1093),"-",'[1]Общее+'!N1093)</f>
        <v>37.833333333333336</v>
      </c>
    </row>
    <row r="526" spans="1:13" s="89" customFormat="1" x14ac:dyDescent="0.25">
      <c r="A526" s="13"/>
      <c r="B526" s="70" t="s">
        <v>2416</v>
      </c>
      <c r="C526" s="13" t="s">
        <v>950</v>
      </c>
      <c r="D526" s="104"/>
      <c r="E526" s="104"/>
      <c r="F526" s="104"/>
      <c r="G526" s="104"/>
      <c r="H526" s="104">
        <f>IF(ISERR('[1]Общее+'!I1094),"-",'[1]Общее+'!I1094)</f>
        <v>14.636692946942254</v>
      </c>
      <c r="I526" s="104">
        <f>IF(ISERR('[1]Общее+'!J1094),"-",'[1]Общее+'!J1094)</f>
        <v>16.941689805632684</v>
      </c>
      <c r="J526" s="104">
        <f>IF(ISERR('[1]Общее+'!K1094),"-",'[1]Общее+'!K1094)</f>
        <v>18.560663149962323</v>
      </c>
      <c r="K526" s="104">
        <f>IF(ISERR('[1]Общее+'!L1094),"-",'[1]Общее+'!L1094)</f>
        <v>18.916666666666668</v>
      </c>
      <c r="L526" s="104">
        <f>IF(ISERR('[1]Общее+'!M1094),"-",'[1]Общее+'!M1094)</f>
        <v>20.636363636363637</v>
      </c>
      <c r="M526" s="104">
        <f>IF(ISERR('[1]Общее+'!N1094),"-",'[1]Общее+'!N1094)</f>
        <v>20.636363636363637</v>
      </c>
    </row>
    <row r="527" spans="1:13" s="89" customFormat="1" x14ac:dyDescent="0.25">
      <c r="A527" s="13"/>
      <c r="B527" s="70" t="s">
        <v>2417</v>
      </c>
      <c r="C527" s="13" t="s">
        <v>950</v>
      </c>
      <c r="D527" s="104"/>
      <c r="E527" s="104"/>
      <c r="F527" s="104"/>
      <c r="G527" s="104"/>
      <c r="H527" s="104">
        <f>IF(ISERR('[1]Общее+'!I1095),"-",'[1]Общее+'!I1095)</f>
        <v>199.68023255813955</v>
      </c>
      <c r="I527" s="104">
        <f>IF(ISERR('[1]Общее+'!J1095),"-",'[1]Общее+'!J1095)</f>
        <v>151.9928825622776</v>
      </c>
      <c r="J527" s="104">
        <f>IF(ISERR('[1]Общее+'!K1095),"-",'[1]Общее+'!K1095)</f>
        <v>118.6987951807229</v>
      </c>
      <c r="K527" s="104">
        <f>IF(ISERR('[1]Общее+'!L1095),"-",'[1]Общее+'!L1095)</f>
        <v>227</v>
      </c>
      <c r="L527" s="104">
        <f>IF(ISERR('[1]Общее+'!M1095),"-",'[1]Общее+'!M1095)</f>
        <v>113.5</v>
      </c>
      <c r="M527" s="104">
        <f>IF(ISERR('[1]Общее+'!N1095),"-",'[1]Общее+'!N1095)</f>
        <v>227</v>
      </c>
    </row>
    <row r="528" spans="1:13" s="89" customFormat="1" hidden="1" x14ac:dyDescent="0.25">
      <c r="A528" s="13"/>
      <c r="B528" s="70" t="s">
        <v>2402</v>
      </c>
      <c r="C528" s="13"/>
      <c r="D528" s="104"/>
      <c r="E528" s="104"/>
      <c r="F528" s="104"/>
      <c r="G528" s="104"/>
      <c r="H528" s="104"/>
      <c r="I528" s="104"/>
      <c r="J528" s="104"/>
      <c r="K528" s="104"/>
      <c r="L528" s="104"/>
      <c r="M528" s="104"/>
    </row>
    <row r="529" spans="1:13" s="89" customFormat="1" hidden="1" x14ac:dyDescent="0.25">
      <c r="A529" s="13"/>
      <c r="B529" s="70" t="s">
        <v>2414</v>
      </c>
      <c r="C529" s="13" t="s">
        <v>950</v>
      </c>
      <c r="D529" s="104"/>
      <c r="E529" s="104"/>
      <c r="F529" s="104"/>
      <c r="G529" s="104"/>
      <c r="H529" s="104" t="str">
        <f>IF(ISERR('[1]Общее+'!I1097),"-",'[1]Общее+'!I1097)</f>
        <v>-</v>
      </c>
      <c r="I529" s="104" t="str">
        <f>IF(ISERR('[1]Общее+'!J1097),"-",'[1]Общее+'!J1097)</f>
        <v>-</v>
      </c>
      <c r="J529" s="104" t="str">
        <f>IF(ISERR('[1]Общее+'!K1097),"-",'[1]Общее+'!K1097)</f>
        <v>-</v>
      </c>
      <c r="K529" s="104" t="str">
        <f>IF(ISERR('[1]Общее+'!L1097),"-",'[1]Общее+'!L1097)</f>
        <v>-</v>
      </c>
      <c r="L529" s="104" t="str">
        <f>IF(ISERR('[1]Общее+'!M1097),"-",'[1]Общее+'!M1097)</f>
        <v>-</v>
      </c>
      <c r="M529" s="104" t="str">
        <f>IF(ISERR('[1]Общее+'!N1097),"-",'[1]Общее+'!N1097)</f>
        <v>-</v>
      </c>
    </row>
    <row r="530" spans="1:13" s="89" customFormat="1" hidden="1" x14ac:dyDescent="0.25">
      <c r="A530" s="13"/>
      <c r="B530" s="70" t="s">
        <v>2415</v>
      </c>
      <c r="C530" s="13" t="s">
        <v>950</v>
      </c>
      <c r="D530" s="104"/>
      <c r="E530" s="104"/>
      <c r="F530" s="104"/>
      <c r="G530" s="104"/>
      <c r="H530" s="104" t="str">
        <f>IF(ISERR('[1]Общее+'!I1098),"-",'[1]Общее+'!I1098)</f>
        <v>-</v>
      </c>
      <c r="I530" s="104" t="str">
        <f>IF(ISERR('[1]Общее+'!J1098),"-",'[1]Общее+'!J1098)</f>
        <v>-</v>
      </c>
      <c r="J530" s="104" t="str">
        <f>IF(ISERR('[1]Общее+'!K1098),"-",'[1]Общее+'!K1098)</f>
        <v>-</v>
      </c>
      <c r="K530" s="104" t="str">
        <f>IF(ISERR('[1]Общее+'!L1098),"-",'[1]Общее+'!L1098)</f>
        <v>-</v>
      </c>
      <c r="L530" s="104" t="str">
        <f>IF(ISERR('[1]Общее+'!M1098),"-",'[1]Общее+'!M1098)</f>
        <v>-</v>
      </c>
      <c r="M530" s="104" t="str">
        <f>IF(ISERR('[1]Общее+'!N1098),"-",'[1]Общее+'!N1098)</f>
        <v>-</v>
      </c>
    </row>
    <row r="531" spans="1:13" s="89" customFormat="1" hidden="1" x14ac:dyDescent="0.25">
      <c r="A531" s="13"/>
      <c r="B531" s="70" t="s">
        <v>2416</v>
      </c>
      <c r="C531" s="13" t="s">
        <v>950</v>
      </c>
      <c r="D531" s="104"/>
      <c r="E531" s="104"/>
      <c r="F531" s="104"/>
      <c r="G531" s="104"/>
      <c r="H531" s="104">
        <f>IF(ISERR('[1]Общее+'!I1099),"-",'[1]Общее+'!I1099)</f>
        <v>2</v>
      </c>
      <c r="I531" s="104">
        <f>IF(ISERR('[1]Общее+'!J1099),"-",'[1]Общее+'!J1099)</f>
        <v>4</v>
      </c>
      <c r="J531" s="104">
        <f>IF(ISERR('[1]Общее+'!K1099),"-",'[1]Общее+'!K1099)</f>
        <v>10</v>
      </c>
      <c r="K531" s="104" t="str">
        <f>IF(ISERR('[1]Общее+'!L1099),"-",'[1]Общее+'!L1099)</f>
        <v>-</v>
      </c>
      <c r="L531" s="104" t="str">
        <f>IF(ISERR('[1]Общее+'!M1099),"-",'[1]Общее+'!M1099)</f>
        <v>-</v>
      </c>
      <c r="M531" s="104" t="str">
        <f>IF(ISERR('[1]Общее+'!N1099),"-",'[1]Общее+'!N1099)</f>
        <v>-</v>
      </c>
    </row>
    <row r="532" spans="1:13" s="89" customFormat="1" hidden="1" x14ac:dyDescent="0.25">
      <c r="A532" s="13"/>
      <c r="B532" s="70" t="s">
        <v>2417</v>
      </c>
      <c r="C532" s="13" t="s">
        <v>950</v>
      </c>
      <c r="D532" s="104"/>
      <c r="E532" s="104"/>
      <c r="F532" s="104"/>
      <c r="G532" s="104"/>
      <c r="H532" s="104" t="str">
        <f>IF(ISERR('[1]Общее+'!I1100),"-",'[1]Общее+'!I1100)</f>
        <v>-</v>
      </c>
      <c r="I532" s="104" t="str">
        <f>IF(ISERR('[1]Общее+'!J1100),"-",'[1]Общее+'!J1100)</f>
        <v>-</v>
      </c>
      <c r="J532" s="104" t="str">
        <f>IF(ISERR('[1]Общее+'!K1100),"-",'[1]Общее+'!K1100)</f>
        <v>-</v>
      </c>
      <c r="K532" s="104" t="str">
        <f>IF(ISERR('[1]Общее+'!L1100),"-",'[1]Общее+'!L1100)</f>
        <v>-</v>
      </c>
      <c r="L532" s="104" t="str">
        <f>IF(ISERR('[1]Общее+'!M1100),"-",'[1]Общее+'!M1100)</f>
        <v>-</v>
      </c>
      <c r="M532" s="104" t="str">
        <f>IF(ISERR('[1]Общее+'!N1100),"-",'[1]Общее+'!N1100)</f>
        <v>-</v>
      </c>
    </row>
    <row r="533" spans="1:13" s="89" customFormat="1" ht="30" x14ac:dyDescent="0.25">
      <c r="A533" s="13" t="s">
        <v>2535</v>
      </c>
      <c r="B533" s="70" t="s">
        <v>2536</v>
      </c>
      <c r="C533" s="13"/>
      <c r="D533" s="104"/>
      <c r="E533" s="104"/>
      <c r="F533" s="104"/>
      <c r="G533" s="104"/>
      <c r="H533" s="104"/>
      <c r="I533" s="104"/>
      <c r="J533" s="104"/>
      <c r="K533" s="104"/>
      <c r="L533" s="104"/>
      <c r="M533" s="104"/>
    </row>
    <row r="534" spans="1:13" s="89" customFormat="1" x14ac:dyDescent="0.25">
      <c r="A534" s="13"/>
      <c r="B534" s="70" t="s">
        <v>2398</v>
      </c>
      <c r="C534" s="13"/>
      <c r="D534" s="104"/>
      <c r="E534" s="104"/>
      <c r="F534" s="104"/>
      <c r="G534" s="104"/>
      <c r="H534" s="104"/>
      <c r="I534" s="104"/>
      <c r="J534" s="104"/>
      <c r="K534" s="104"/>
      <c r="L534" s="104"/>
      <c r="M534" s="104"/>
    </row>
    <row r="535" spans="1:13" s="89" customFormat="1" x14ac:dyDescent="0.25">
      <c r="A535" s="13"/>
      <c r="B535" s="70" t="s">
        <v>2426</v>
      </c>
      <c r="C535" s="13" t="s">
        <v>8</v>
      </c>
      <c r="D535" s="104"/>
      <c r="E535" s="104"/>
      <c r="F535" s="104"/>
      <c r="G535" s="104"/>
      <c r="H535" s="104">
        <f>IF(ISERR('[1]Общее+'!I1129),"-",'[1]Общее+'!I1129)</f>
        <v>1.0045130295530644</v>
      </c>
      <c r="I535" s="104">
        <f>IF(ISERR('[1]Общее+'!J1129),"-",'[1]Общее+'!J1129)</f>
        <v>0.65558417232498245</v>
      </c>
      <c r="J535" s="104">
        <f>IF(ISERR('[1]Общее+'!K1129),"-",'[1]Общее+'!K1129)</f>
        <v>0.50751116524563544</v>
      </c>
      <c r="K535" s="104">
        <f>IF(ISERR('[1]Общее+'!L1129),"-",'[1]Общее+'!L1129)</f>
        <v>0</v>
      </c>
      <c r="L535" s="104">
        <f>IF(ISERR('[1]Общее+'!M1129),"-",'[1]Общее+'!M1129)</f>
        <v>0</v>
      </c>
      <c r="M535" s="104">
        <f>IF(ISERR('[1]Общее+'!N1129),"-",'[1]Общее+'!N1129)</f>
        <v>0</v>
      </c>
    </row>
    <row r="536" spans="1:13" s="89" customFormat="1" x14ac:dyDescent="0.25">
      <c r="A536" s="13"/>
      <c r="B536" s="70" t="s">
        <v>2427</v>
      </c>
      <c r="C536" s="13" t="s">
        <v>8</v>
      </c>
      <c r="D536" s="104"/>
      <c r="E536" s="104"/>
      <c r="F536" s="104"/>
      <c r="G536" s="104"/>
      <c r="H536" s="104">
        <f>IF(ISERR('[1]Общее+'!I1130),"-",'[1]Общее+'!I1130)</f>
        <v>1.3975833454651332</v>
      </c>
      <c r="I536" s="104">
        <f>IF(ISERR('[1]Общее+'!J1130),"-",'[1]Общее+'!J1130)</f>
        <v>1.5921329899321002</v>
      </c>
      <c r="J536" s="104">
        <f>IF(ISERR('[1]Общее+'!K1130),"-",'[1]Общее+'!K1130)</f>
        <v>1.4920828258221681</v>
      </c>
      <c r="K536" s="104">
        <f>IF(ISERR('[1]Общее+'!L1130),"-",'[1]Общее+'!L1130)</f>
        <v>1.3215859030837005</v>
      </c>
      <c r="L536" s="104">
        <f>IF(ISERR('[1]Общее+'!M1130),"-",'[1]Общее+'!M1130)</f>
        <v>1.1673151750972763</v>
      </c>
      <c r="M536" s="104">
        <f>IF(ISERR('[1]Общее+'!N1130),"-",'[1]Общее+'!N1130)</f>
        <v>1.1673151750972763</v>
      </c>
    </row>
    <row r="537" spans="1:13" s="89" customFormat="1" x14ac:dyDescent="0.25">
      <c r="A537" s="13"/>
      <c r="B537" s="70" t="s">
        <v>2428</v>
      </c>
      <c r="C537" s="13" t="s">
        <v>8</v>
      </c>
      <c r="D537" s="104"/>
      <c r="E537" s="104"/>
      <c r="F537" s="104"/>
      <c r="G537" s="104"/>
      <c r="H537" s="104">
        <f>IF(ISERR('[1]Общее+'!I1131),"-",'[1]Общее+'!I1131)</f>
        <v>0.3493958363662833</v>
      </c>
      <c r="I537" s="104">
        <f>IF(ISERR('[1]Общее+'!J1131),"-",'[1]Общее+'!J1131)</f>
        <v>0.28096464528213533</v>
      </c>
      <c r="J537" s="104">
        <f>IF(ISERR('[1]Общее+'!K1131),"-",'[1]Общее+'!K1131)</f>
        <v>0.25375558262281772</v>
      </c>
      <c r="K537" s="104">
        <f>IF(ISERR('[1]Общее+'!L1131),"-",'[1]Общее+'!L1131)</f>
        <v>0.44052863436123352</v>
      </c>
      <c r="L537" s="104">
        <f>IF(ISERR('[1]Общее+'!M1131),"-",'[1]Общее+'!M1131)</f>
        <v>0.38910505836575876</v>
      </c>
      <c r="M537" s="104">
        <f>IF(ISERR('[1]Общее+'!N1131),"-",'[1]Общее+'!N1131)</f>
        <v>0.38910505836575876</v>
      </c>
    </row>
    <row r="538" spans="1:13" s="89" customFormat="1" x14ac:dyDescent="0.25">
      <c r="A538" s="13"/>
      <c r="B538" s="70" t="s">
        <v>2429</v>
      </c>
      <c r="C538" s="13" t="s">
        <v>8</v>
      </c>
      <c r="D538" s="104"/>
      <c r="E538" s="104"/>
      <c r="F538" s="104"/>
      <c r="G538" s="104"/>
      <c r="H538" s="104">
        <f>IF(ISERR('[1]Общее+'!I1132),"-",'[1]Общее+'!I1132)</f>
        <v>1.6741883825884409</v>
      </c>
      <c r="I538" s="104">
        <f>IF(ISERR('[1]Общее+'!J1132),"-",'[1]Общее+'!J1132)</f>
        <v>1.8730976352142357</v>
      </c>
      <c r="J538" s="104">
        <f>IF(ISERR('[1]Общее+'!K1132),"-",'[1]Общее+'!K1132)</f>
        <v>2.0401948842874544</v>
      </c>
      <c r="K538" s="104">
        <f>IF(ISERR('[1]Общее+'!L1132),"-",'[1]Общее+'!L1132)</f>
        <v>4.4052863436123353</v>
      </c>
      <c r="L538" s="104">
        <f>IF(ISERR('[1]Общее+'!M1132),"-",'[1]Общее+'!M1132)</f>
        <v>3.1128404669260701</v>
      </c>
      <c r="M538" s="104">
        <f>IF(ISERR('[1]Общее+'!N1132),"-",'[1]Общее+'!N1132)</f>
        <v>2.7237354085603114</v>
      </c>
    </row>
    <row r="539" spans="1:13" s="89" customFormat="1" x14ac:dyDescent="0.25">
      <c r="A539" s="13"/>
      <c r="B539" s="70" t="s">
        <v>2430</v>
      </c>
      <c r="C539" s="13" t="s">
        <v>8</v>
      </c>
      <c r="D539" s="104"/>
      <c r="E539" s="104"/>
      <c r="F539" s="104"/>
      <c r="G539" s="104"/>
      <c r="H539" s="104">
        <f>IF(ISERR('[1]Общее+'!I1133),"-",'[1]Общее+'!I1133)</f>
        <v>10.321735332653953</v>
      </c>
      <c r="I539" s="104">
        <f>IF(ISERR('[1]Общее+'!J1133),"-",'[1]Общее+'!J1133)</f>
        <v>14.797471318192459</v>
      </c>
      <c r="J539" s="104">
        <f>IF(ISERR('[1]Общее+'!K1133),"-",'[1]Общее+'!K1133)</f>
        <v>15.966301258627691</v>
      </c>
      <c r="K539" s="104">
        <f>IF(ISERR('[1]Общее+'!L1133),"-",'[1]Общее+'!L1133)</f>
        <v>29.515418502202646</v>
      </c>
      <c r="L539" s="104">
        <f>IF(ISERR('[1]Общее+'!M1133),"-",'[1]Общее+'!M1133)</f>
        <v>31.1284046692607</v>
      </c>
      <c r="M539" s="104">
        <f>IF(ISERR('[1]Общее+'!N1133),"-",'[1]Общее+'!N1133)</f>
        <v>37.354085603112843</v>
      </c>
    </row>
    <row r="540" spans="1:13" s="89" customFormat="1" x14ac:dyDescent="0.25">
      <c r="A540" s="13"/>
      <c r="B540" s="70" t="s">
        <v>2431</v>
      </c>
      <c r="C540" s="13" t="s">
        <v>8</v>
      </c>
      <c r="D540" s="104"/>
      <c r="E540" s="104"/>
      <c r="F540" s="104"/>
      <c r="G540" s="104"/>
      <c r="H540" s="104">
        <f>IF(ISERR('[1]Общее+'!I1134),"-",'[1]Общее+'!I1134)</f>
        <v>2.4166545348667929</v>
      </c>
      <c r="I540" s="104">
        <f>IF(ISERR('[1]Общее+'!J1134),"-",'[1]Общее+'!J1134)</f>
        <v>2.5872161086396628</v>
      </c>
      <c r="J540" s="104">
        <f>IF(ISERR('[1]Общее+'!K1134),"-",'[1]Общее+'!K1134)</f>
        <v>2.4766544863987008</v>
      </c>
      <c r="K540" s="104">
        <f>IF(ISERR('[1]Общее+'!L1134),"-",'[1]Общее+'!L1134)</f>
        <v>9.6916299559471373</v>
      </c>
      <c r="L540" s="104">
        <f>IF(ISERR('[1]Общее+'!M1134),"-",'[1]Общее+'!M1134)</f>
        <v>10.505836575875486</v>
      </c>
      <c r="M540" s="104">
        <f>IF(ISERR('[1]Общее+'!N1134),"-",'[1]Общее+'!N1134)</f>
        <v>7.782101167315175</v>
      </c>
    </row>
    <row r="541" spans="1:13" s="89" customFormat="1" x14ac:dyDescent="0.25">
      <c r="A541" s="13"/>
      <c r="B541" s="70" t="s">
        <v>2432</v>
      </c>
      <c r="C541" s="13" t="s">
        <v>8</v>
      </c>
      <c r="D541" s="104"/>
      <c r="E541" s="104"/>
      <c r="F541" s="104"/>
      <c r="G541" s="104"/>
      <c r="H541" s="104">
        <f>IF(ISERR('[1]Общее+'!I1135),"-",'[1]Общее+'!I1135)</f>
        <v>44.664434415489886</v>
      </c>
      <c r="I541" s="104">
        <f>IF(ISERR('[1]Общее+'!J1135),"-",'[1]Общее+'!J1135)</f>
        <v>46.24209786935144</v>
      </c>
      <c r="J541" s="104">
        <f>IF(ISERR('[1]Общее+'!K1135),"-",'[1]Общее+'!K1135)</f>
        <v>46.579374746244419</v>
      </c>
      <c r="K541" s="104">
        <f>IF(ISERR('[1]Общее+'!L1135),"-",'[1]Общее+'!L1135)</f>
        <v>43.171806167400881</v>
      </c>
      <c r="L541" s="104">
        <f>IF(ISERR('[1]Общее+'!M1135),"-",'[1]Общее+'!M1135)</f>
        <v>47.470817120622563</v>
      </c>
      <c r="M541" s="104">
        <f>IF(ISERR('[1]Общее+'!N1135),"-",'[1]Общее+'!N1135)</f>
        <v>57.198443579766533</v>
      </c>
    </row>
    <row r="542" spans="1:13" s="89" customFormat="1" x14ac:dyDescent="0.25">
      <c r="A542" s="13"/>
      <c r="B542" s="70" t="s">
        <v>2433</v>
      </c>
      <c r="C542" s="13" t="s">
        <v>8</v>
      </c>
      <c r="D542" s="104"/>
      <c r="E542" s="104"/>
      <c r="F542" s="104"/>
      <c r="G542" s="104"/>
      <c r="H542" s="104">
        <f>IF(ISERR('[1]Общее+'!I1136),"-",'[1]Общее+'!I1136)</f>
        <v>1.0045130295530644</v>
      </c>
      <c r="I542" s="104">
        <f>IF(ISERR('[1]Общее+'!J1136),"-",'[1]Общее+'!J1136)</f>
        <v>1.0770311402481854</v>
      </c>
      <c r="J542" s="104">
        <f>IF(ISERR('[1]Общее+'!K1136),"-",'[1]Общее+'!K1136)</f>
        <v>1.3702801461632157</v>
      </c>
      <c r="K542" s="104">
        <f>IF(ISERR('[1]Общее+'!L1136),"-",'[1]Общее+'!L1136)</f>
        <v>2.643171806167401</v>
      </c>
      <c r="L542" s="104">
        <f>IF(ISERR('[1]Общее+'!M1136),"-",'[1]Общее+'!M1136)</f>
        <v>1.9455252918287937</v>
      </c>
      <c r="M542" s="104">
        <f>IF(ISERR('[1]Общее+'!N1136),"-",'[1]Общее+'!N1136)</f>
        <v>2.7237354085603114</v>
      </c>
    </row>
    <row r="543" spans="1:13" s="89" customFormat="1" ht="15" hidden="1" customHeight="1" x14ac:dyDescent="0.25">
      <c r="A543" s="13"/>
      <c r="B543" s="70" t="s">
        <v>2434</v>
      </c>
      <c r="C543" s="13" t="s">
        <v>8</v>
      </c>
      <c r="D543" s="104"/>
      <c r="E543" s="104"/>
      <c r="F543" s="104"/>
      <c r="G543" s="104"/>
      <c r="H543" s="104">
        <f>IF(ISERR('[1]Общее+'!I1137),"-",'[1]Общее+'!I1137)</f>
        <v>37.166982093463389</v>
      </c>
      <c r="I543" s="104">
        <f>IF(ISERR('[1]Общее+'!J1137),"-",'[1]Общее+'!J1137)</f>
        <v>38.418983840442564</v>
      </c>
      <c r="J543" s="104">
        <f>IF(ISERR('[1]Общее+'!K1137),"-",'[1]Общее+'!K1137)</f>
        <v>42.043965642742762</v>
      </c>
      <c r="K543" s="104">
        <f>IF(ISERR('[1]Общее+'!L1137),"-",'[1]Общее+'!L1137)</f>
        <v>0.29116319697190274</v>
      </c>
      <c r="L543" s="104">
        <f>IF(ISERR('[1]Общее+'!M1137),"-",'[1]Общее+'!M1137)</f>
        <v>0.16013975833454652</v>
      </c>
      <c r="M543" s="104">
        <f>IF(ISERR('[1]Общее+'!N1137),"-",'[1]Общее+'!N1137)</f>
        <v>0.3785121560634736</v>
      </c>
    </row>
    <row r="544" spans="1:13" s="89" customFormat="1" x14ac:dyDescent="0.25">
      <c r="A544" s="13"/>
      <c r="B544" s="70" t="s">
        <v>2537</v>
      </c>
      <c r="C544" s="13" t="s">
        <v>8</v>
      </c>
      <c r="D544" s="104"/>
      <c r="E544" s="104"/>
      <c r="F544" s="104"/>
      <c r="G544" s="104"/>
      <c r="H544" s="104"/>
      <c r="I544" s="104"/>
      <c r="J544" s="104"/>
      <c r="K544" s="104"/>
      <c r="L544" s="104"/>
      <c r="M544" s="104"/>
    </row>
    <row r="545" spans="1:13" s="89" customFormat="1" x14ac:dyDescent="0.25">
      <c r="A545" s="13"/>
      <c r="B545" s="70" t="s">
        <v>2539</v>
      </c>
      <c r="C545" s="13" t="s">
        <v>8</v>
      </c>
      <c r="D545" s="104"/>
      <c r="E545" s="104"/>
      <c r="F545" s="104"/>
      <c r="G545" s="104"/>
      <c r="H545" s="104"/>
      <c r="I545" s="104"/>
      <c r="J545" s="104"/>
      <c r="K545" s="104"/>
      <c r="L545" s="104"/>
      <c r="M545" s="104"/>
    </row>
    <row r="546" spans="1:13" s="89" customFormat="1" x14ac:dyDescent="0.25">
      <c r="A546" s="13"/>
      <c r="B546" s="70" t="s">
        <v>2402</v>
      </c>
      <c r="C546" s="13"/>
      <c r="D546" s="104"/>
      <c r="E546" s="104"/>
      <c r="F546" s="104"/>
      <c r="G546" s="104"/>
      <c r="H546" s="104"/>
      <c r="I546" s="104"/>
      <c r="J546" s="104"/>
      <c r="K546" s="104"/>
      <c r="L546" s="104"/>
      <c r="M546" s="104"/>
    </row>
    <row r="547" spans="1:13" s="89" customFormat="1" x14ac:dyDescent="0.25">
      <c r="A547" s="13"/>
      <c r="B547" s="70" t="s">
        <v>2426</v>
      </c>
      <c r="C547" s="13" t="s">
        <v>8</v>
      </c>
      <c r="D547" s="104"/>
      <c r="E547" s="104"/>
      <c r="F547" s="104"/>
      <c r="G547" s="104"/>
      <c r="H547" s="104">
        <f>IF(ISERR('[1]Общее+'!I1141),"-",'[1]Общее+'!I1141)</f>
        <v>0</v>
      </c>
      <c r="I547" s="104">
        <f>IF(ISERR('[1]Общее+'!J1141),"-",'[1]Общее+'!J1141)</f>
        <v>0</v>
      </c>
      <c r="J547" s="104">
        <f>IF(ISERR('[1]Общее+'!K1141),"-",'[1]Общее+'!K1141)</f>
        <v>0</v>
      </c>
      <c r="K547" s="104" t="str">
        <f>IF(ISERR('[1]Общее+'!L1141),"-",'[1]Общее+'!L1141)</f>
        <v>-</v>
      </c>
      <c r="L547" s="104" t="str">
        <f>IF(ISERR('[1]Общее+'!M1141),"-",'[1]Общее+'!M1141)</f>
        <v>-</v>
      </c>
      <c r="M547" s="104" t="str">
        <f>IF(ISERR('[1]Общее+'!N1141),"-",'[1]Общее+'!N1141)</f>
        <v>-</v>
      </c>
    </row>
    <row r="548" spans="1:13" s="89" customFormat="1" x14ac:dyDescent="0.25">
      <c r="A548" s="13"/>
      <c r="B548" s="70" t="s">
        <v>2427</v>
      </c>
      <c r="C548" s="13" t="s">
        <v>8</v>
      </c>
      <c r="D548" s="104"/>
      <c r="E548" s="104"/>
      <c r="F548" s="104"/>
      <c r="G548" s="104"/>
      <c r="H548" s="104">
        <f>IF(ISERR('[1]Общее+'!I1142),"-",'[1]Общее+'!I1142)</f>
        <v>0</v>
      </c>
      <c r="I548" s="104">
        <f>IF(ISERR('[1]Общее+'!J1142),"-",'[1]Общее+'!J1142)</f>
        <v>0</v>
      </c>
      <c r="J548" s="104">
        <f>IF(ISERR('[1]Общее+'!K1142),"-",'[1]Общее+'!K1142)</f>
        <v>0</v>
      </c>
      <c r="K548" s="104" t="str">
        <f>IF(ISERR('[1]Общее+'!L1142),"-",'[1]Общее+'!L1142)</f>
        <v>-</v>
      </c>
      <c r="L548" s="104" t="str">
        <f>IF(ISERR('[1]Общее+'!M1142),"-",'[1]Общее+'!M1142)</f>
        <v>-</v>
      </c>
      <c r="M548" s="104" t="str">
        <f>IF(ISERR('[1]Общее+'!N1142),"-",'[1]Общее+'!N1142)</f>
        <v>-</v>
      </c>
    </row>
    <row r="549" spans="1:13" s="89" customFormat="1" x14ac:dyDescent="0.25">
      <c r="A549" s="13"/>
      <c r="B549" s="70" t="s">
        <v>2428</v>
      </c>
      <c r="C549" s="13" t="s">
        <v>8</v>
      </c>
      <c r="D549" s="104"/>
      <c r="E549" s="104"/>
      <c r="F549" s="104"/>
      <c r="G549" s="104"/>
      <c r="H549" s="104">
        <f>IF(ISERR('[1]Общее+'!I1143),"-",'[1]Общее+'!I1143)</f>
        <v>0</v>
      </c>
      <c r="I549" s="104">
        <f>IF(ISERR('[1]Общее+'!J1143),"-",'[1]Общее+'!J1143)</f>
        <v>0</v>
      </c>
      <c r="J549" s="104">
        <f>IF(ISERR('[1]Общее+'!K1143),"-",'[1]Общее+'!K1143)</f>
        <v>0</v>
      </c>
      <c r="K549" s="104" t="str">
        <f>IF(ISERR('[1]Общее+'!L1143),"-",'[1]Общее+'!L1143)</f>
        <v>-</v>
      </c>
      <c r="L549" s="104" t="str">
        <f>IF(ISERR('[1]Общее+'!M1143),"-",'[1]Общее+'!M1143)</f>
        <v>-</v>
      </c>
      <c r="M549" s="104" t="str">
        <f>IF(ISERR('[1]Общее+'!N1143),"-",'[1]Общее+'!N1143)</f>
        <v>-</v>
      </c>
    </row>
    <row r="550" spans="1:13" s="89" customFormat="1" x14ac:dyDescent="0.25">
      <c r="A550" s="13"/>
      <c r="B550" s="70" t="s">
        <v>2429</v>
      </c>
      <c r="C550" s="13" t="s">
        <v>8</v>
      </c>
      <c r="D550" s="104"/>
      <c r="E550" s="104"/>
      <c r="F550" s="104"/>
      <c r="G550" s="104"/>
      <c r="H550" s="104">
        <f>IF(ISERR('[1]Общее+'!I1144),"-",'[1]Общее+'!I1144)</f>
        <v>16.666666666666664</v>
      </c>
      <c r="I550" s="104">
        <f>IF(ISERR('[1]Общее+'!J1144),"-",'[1]Общее+'!J1144)</f>
        <v>25</v>
      </c>
      <c r="J550" s="104">
        <f>IF(ISERR('[1]Общее+'!K1144),"-",'[1]Общее+'!K1144)</f>
        <v>0</v>
      </c>
      <c r="K550" s="104" t="str">
        <f>IF(ISERR('[1]Общее+'!L1144),"-",'[1]Общее+'!L1144)</f>
        <v>-</v>
      </c>
      <c r="L550" s="104" t="str">
        <f>IF(ISERR('[1]Общее+'!M1144),"-",'[1]Общее+'!M1144)</f>
        <v>-</v>
      </c>
      <c r="M550" s="104" t="str">
        <f>IF(ISERR('[1]Общее+'!N1144),"-",'[1]Общее+'!N1144)</f>
        <v>-</v>
      </c>
    </row>
    <row r="551" spans="1:13" s="89" customFormat="1" x14ac:dyDescent="0.25">
      <c r="A551" s="13"/>
      <c r="B551" s="70" t="s">
        <v>2430</v>
      </c>
      <c r="C551" s="13" t="s">
        <v>8</v>
      </c>
      <c r="D551" s="104"/>
      <c r="E551" s="104"/>
      <c r="F551" s="104"/>
      <c r="G551" s="104"/>
      <c r="H551" s="104">
        <f>IF(ISERR('[1]Общее+'!I1145),"-",'[1]Общее+'!I1145)</f>
        <v>0</v>
      </c>
      <c r="I551" s="104">
        <f>IF(ISERR('[1]Общее+'!J1145),"-",'[1]Общее+'!J1145)</f>
        <v>0</v>
      </c>
      <c r="J551" s="104">
        <f>IF(ISERR('[1]Общее+'!K1145),"-",'[1]Общее+'!K1145)</f>
        <v>0</v>
      </c>
      <c r="K551" s="104" t="str">
        <f>IF(ISERR('[1]Общее+'!L1145),"-",'[1]Общее+'!L1145)</f>
        <v>-</v>
      </c>
      <c r="L551" s="104" t="str">
        <f>IF(ISERR('[1]Общее+'!M1145),"-",'[1]Общее+'!M1145)</f>
        <v>-</v>
      </c>
      <c r="M551" s="104" t="str">
        <f>IF(ISERR('[1]Общее+'!N1145),"-",'[1]Общее+'!N1145)</f>
        <v>-</v>
      </c>
    </row>
    <row r="552" spans="1:13" s="89" customFormat="1" x14ac:dyDescent="0.25">
      <c r="A552" s="13"/>
      <c r="B552" s="70" t="s">
        <v>2431</v>
      </c>
      <c r="C552" s="13" t="s">
        <v>8</v>
      </c>
      <c r="D552" s="104"/>
      <c r="E552" s="104"/>
      <c r="F552" s="104"/>
      <c r="G552" s="104"/>
      <c r="H552" s="104">
        <f>IF(ISERR('[1]Общее+'!I1146),"-",'[1]Общее+'!I1146)</f>
        <v>50</v>
      </c>
      <c r="I552" s="104">
        <f>IF(ISERR('[1]Общее+'!J1146),"-",'[1]Общее+'!J1146)</f>
        <v>50</v>
      </c>
      <c r="J552" s="104">
        <f>IF(ISERR('[1]Общее+'!K1146),"-",'[1]Общее+'!K1146)</f>
        <v>40</v>
      </c>
      <c r="K552" s="104" t="str">
        <f>IF(ISERR('[1]Общее+'!L1146),"-",'[1]Общее+'!L1146)</f>
        <v>-</v>
      </c>
      <c r="L552" s="104" t="str">
        <f>IF(ISERR('[1]Общее+'!M1146),"-",'[1]Общее+'!M1146)</f>
        <v>-</v>
      </c>
      <c r="M552" s="104" t="str">
        <f>IF(ISERR('[1]Общее+'!N1146),"-",'[1]Общее+'!N1146)</f>
        <v>-</v>
      </c>
    </row>
    <row r="553" spans="1:13" s="89" customFormat="1" x14ac:dyDescent="0.25">
      <c r="A553" s="13"/>
      <c r="B553" s="70" t="s">
        <v>2432</v>
      </c>
      <c r="C553" s="13" t="s">
        <v>8</v>
      </c>
      <c r="D553" s="104"/>
      <c r="E553" s="104"/>
      <c r="F553" s="104"/>
      <c r="G553" s="104"/>
      <c r="H553" s="104">
        <f>IF(ISERR('[1]Общее+'!I1147),"-",'[1]Общее+'!I1147)</f>
        <v>33.333333333333329</v>
      </c>
      <c r="I553" s="104">
        <f>IF(ISERR('[1]Общее+'!J1147),"-",'[1]Общее+'!J1147)</f>
        <v>25</v>
      </c>
      <c r="J553" s="104">
        <f>IF(ISERR('[1]Общее+'!K1147),"-",'[1]Общее+'!K1147)</f>
        <v>60</v>
      </c>
      <c r="K553" s="104" t="str">
        <f>IF(ISERR('[1]Общее+'!L1147),"-",'[1]Общее+'!L1147)</f>
        <v>-</v>
      </c>
      <c r="L553" s="104" t="str">
        <f>IF(ISERR('[1]Общее+'!M1147),"-",'[1]Общее+'!M1147)</f>
        <v>-</v>
      </c>
      <c r="M553" s="104" t="str">
        <f>IF(ISERR('[1]Общее+'!N1147),"-",'[1]Общее+'!N1147)</f>
        <v>-</v>
      </c>
    </row>
    <row r="554" spans="1:13" s="89" customFormat="1" x14ac:dyDescent="0.25">
      <c r="A554" s="13"/>
      <c r="B554" s="70" t="s">
        <v>2433</v>
      </c>
      <c r="C554" s="13" t="s">
        <v>8</v>
      </c>
      <c r="D554" s="104"/>
      <c r="E554" s="104"/>
      <c r="F554" s="104"/>
      <c r="G554" s="104"/>
      <c r="H554" s="104">
        <f>IF(ISERR('[1]Общее+'!I1148),"-",'[1]Общее+'!I1148)</f>
        <v>0</v>
      </c>
      <c r="I554" s="104">
        <f>IF(ISERR('[1]Общее+'!J1148),"-",'[1]Общее+'!J1148)</f>
        <v>0</v>
      </c>
      <c r="J554" s="104">
        <f>IF(ISERR('[1]Общее+'!K1148),"-",'[1]Общее+'!K1148)</f>
        <v>0</v>
      </c>
      <c r="K554" s="104" t="str">
        <f>IF(ISERR('[1]Общее+'!L1148),"-",'[1]Общее+'!L1148)</f>
        <v>-</v>
      </c>
      <c r="L554" s="104" t="str">
        <f>IF(ISERR('[1]Общее+'!M1148),"-",'[1]Общее+'!M1148)</f>
        <v>-</v>
      </c>
      <c r="M554" s="104" t="str">
        <f>IF(ISERR('[1]Общее+'!N1148),"-",'[1]Общее+'!N1148)</f>
        <v>-</v>
      </c>
    </row>
    <row r="555" spans="1:13" s="89" customFormat="1" hidden="1" x14ac:dyDescent="0.25">
      <c r="A555" s="13"/>
      <c r="B555" s="70" t="s">
        <v>2434</v>
      </c>
      <c r="C555" s="13" t="s">
        <v>8</v>
      </c>
      <c r="D555" s="104"/>
      <c r="E555" s="104"/>
      <c r="F555" s="104"/>
      <c r="G555" s="104"/>
      <c r="H555" s="104">
        <f>IF(ISERR('[1]Общее+'!I1149),"-",'[1]Общее+'!I1149)</f>
        <v>0</v>
      </c>
      <c r="I555" s="104">
        <f>IF(ISERR('[1]Общее+'!J1149),"-",'[1]Общее+'!J1149)</f>
        <v>0</v>
      </c>
      <c r="J555" s="104">
        <f>IF(ISERR('[1]Общее+'!K1149),"-",'[1]Общее+'!K1149)</f>
        <v>0</v>
      </c>
      <c r="K555" s="104">
        <f>IF(ISERR('[1]Общее+'!L1149),"-",'[1]Общее+'!L1149)</f>
        <v>0</v>
      </c>
      <c r="L555" s="104">
        <f>IF(ISERR('[1]Общее+'!M1149),"-",'[1]Общее+'!M1149)</f>
        <v>0</v>
      </c>
      <c r="M555" s="104">
        <f>IF(ISERR('[1]Общее+'!N1149),"-",'[1]Общее+'!N1149)</f>
        <v>0</v>
      </c>
    </row>
    <row r="556" spans="1:13" s="89" customFormat="1" x14ac:dyDescent="0.25">
      <c r="A556" s="13"/>
      <c r="B556" s="70" t="s">
        <v>2537</v>
      </c>
      <c r="C556" s="13" t="s">
        <v>8</v>
      </c>
      <c r="D556" s="104"/>
      <c r="E556" s="104"/>
      <c r="F556" s="104"/>
      <c r="G556" s="104"/>
      <c r="H556" s="104"/>
      <c r="I556" s="104"/>
      <c r="J556" s="104"/>
      <c r="K556" s="104"/>
      <c r="L556" s="104"/>
      <c r="M556" s="104"/>
    </row>
    <row r="557" spans="1:13" s="89" customFormat="1" x14ac:dyDescent="0.25">
      <c r="A557" s="13"/>
      <c r="B557" s="70" t="s">
        <v>2539</v>
      </c>
      <c r="C557" s="13" t="s">
        <v>8</v>
      </c>
      <c r="D557" s="104"/>
      <c r="E557" s="104"/>
      <c r="F557" s="104"/>
      <c r="G557" s="104"/>
      <c r="H557" s="104"/>
      <c r="I557" s="104"/>
      <c r="J557" s="104"/>
      <c r="K557" s="104"/>
      <c r="L557" s="104"/>
      <c r="M557" s="104"/>
    </row>
    <row r="558" spans="1:13" s="89" customFormat="1" ht="45" hidden="1" x14ac:dyDescent="0.25">
      <c r="A558" s="99" t="s">
        <v>234</v>
      </c>
      <c r="B558" s="100" t="s">
        <v>235</v>
      </c>
      <c r="C558" s="87"/>
      <c r="D558" s="90"/>
      <c r="E558" s="90"/>
      <c r="F558" s="90"/>
      <c r="G558" s="90"/>
      <c r="H558" s="90"/>
      <c r="I558" s="90"/>
      <c r="J558" s="90"/>
      <c r="K558" s="90"/>
      <c r="L558" s="90"/>
      <c r="M558" s="90"/>
    </row>
    <row r="559" spans="1:13" s="89" customFormat="1" ht="60" hidden="1" x14ac:dyDescent="0.25">
      <c r="A559" s="13" t="s">
        <v>237</v>
      </c>
      <c r="B559" s="21" t="s">
        <v>1707</v>
      </c>
      <c r="C559" s="13" t="s">
        <v>8</v>
      </c>
      <c r="D559" s="104" t="s">
        <v>1412</v>
      </c>
      <c r="E559" s="104" t="s">
        <v>1412</v>
      </c>
      <c r="F559" s="104">
        <f>'[1]Общее+'!G1179</f>
        <v>0</v>
      </c>
      <c r="G559" s="104">
        <f>'[1]Общее+'!H1179</f>
        <v>0</v>
      </c>
      <c r="H559" s="104">
        <f>'[1]Общее+'!I1179</f>
        <v>0</v>
      </c>
      <c r="I559" s="104">
        <f>'[1]Общее+'!J1179</f>
        <v>0</v>
      </c>
      <c r="J559" s="104">
        <f>'[1]Общее+'!K1179</f>
        <v>0</v>
      </c>
      <c r="K559" s="104">
        <f>'[1]Общее+'!L1179</f>
        <v>0</v>
      </c>
      <c r="L559" s="104">
        <f>'[1]Общее+'!M1179</f>
        <v>0</v>
      </c>
      <c r="M559" s="104">
        <f>'[1]Общее+'!N1179</f>
        <v>0</v>
      </c>
    </row>
    <row r="560" spans="1:13" s="89" customFormat="1" ht="30" hidden="1" x14ac:dyDescent="0.25">
      <c r="A560" s="13" t="s">
        <v>238</v>
      </c>
      <c r="B560" s="70" t="s">
        <v>1123</v>
      </c>
      <c r="C560" s="87"/>
      <c r="D560" s="136"/>
      <c r="E560" s="136"/>
      <c r="F560" s="136"/>
      <c r="G560" s="136"/>
      <c r="H560" s="136"/>
      <c r="I560" s="136"/>
      <c r="J560" s="136"/>
      <c r="K560" s="136"/>
      <c r="L560" s="136"/>
      <c r="M560" s="136"/>
    </row>
    <row r="561" spans="1:13" s="89" customFormat="1" hidden="1" x14ac:dyDescent="0.25">
      <c r="A561" s="87"/>
      <c r="B561" s="21" t="s">
        <v>1449</v>
      </c>
      <c r="C561" s="13" t="s">
        <v>1116</v>
      </c>
      <c r="D561" s="104">
        <f>'[1]Общее+'!E1184</f>
        <v>42.39</v>
      </c>
      <c r="E561" s="104">
        <f>'[1]Общее+'!F1184</f>
        <v>0</v>
      </c>
      <c r="F561" s="104">
        <f>'[1]Общее+'!G1184</f>
        <v>0</v>
      </c>
      <c r="G561" s="104">
        <f>'[1]Общее+'!H1184</f>
        <v>0</v>
      </c>
      <c r="H561" s="104">
        <f>'[1]Общее+'!I1184</f>
        <v>0</v>
      </c>
      <c r="I561" s="104">
        <f>'[1]Общее+'!J1184</f>
        <v>0</v>
      </c>
      <c r="J561" s="104">
        <f>'[1]Общее+'!K1184</f>
        <v>0</v>
      </c>
      <c r="K561" s="104">
        <f>'[1]Общее+'!L1184</f>
        <v>0</v>
      </c>
      <c r="L561" s="104">
        <f>'[1]Общее+'!M1184</f>
        <v>0</v>
      </c>
      <c r="M561" s="104">
        <f>'[1]Общее+'!N1184</f>
        <v>0</v>
      </c>
    </row>
    <row r="562" spans="1:13" s="89" customFormat="1" hidden="1" x14ac:dyDescent="0.25">
      <c r="A562" s="87"/>
      <c r="B562" s="21" t="s">
        <v>1450</v>
      </c>
      <c r="C562" s="13" t="s">
        <v>1116</v>
      </c>
      <c r="D562" s="104">
        <f>'[1]Общее+'!E1185</f>
        <v>63.44</v>
      </c>
      <c r="E562" s="104">
        <f>'[1]Общее+'!F1185</f>
        <v>0</v>
      </c>
      <c r="F562" s="104">
        <f>'[1]Общее+'!G1185</f>
        <v>0</v>
      </c>
      <c r="G562" s="104">
        <f>'[1]Общее+'!H1185</f>
        <v>0</v>
      </c>
      <c r="H562" s="104">
        <f>'[1]Общее+'!I1185</f>
        <v>0</v>
      </c>
      <c r="I562" s="104">
        <f>'[1]Общее+'!J1185</f>
        <v>0</v>
      </c>
      <c r="J562" s="104">
        <f>'[1]Общее+'!K1185</f>
        <v>0</v>
      </c>
      <c r="K562" s="104">
        <f>'[1]Общее+'!L1185</f>
        <v>0</v>
      </c>
      <c r="L562" s="104">
        <f>'[1]Общее+'!M1185</f>
        <v>0</v>
      </c>
      <c r="M562" s="104">
        <f>'[1]Общее+'!N1185</f>
        <v>0</v>
      </c>
    </row>
    <row r="563" spans="1:13" s="89" customFormat="1" ht="45" hidden="1" x14ac:dyDescent="0.25">
      <c r="A563" s="13" t="s">
        <v>242</v>
      </c>
      <c r="B563" s="70" t="s">
        <v>1708</v>
      </c>
      <c r="C563" s="87"/>
      <c r="D563" s="136"/>
      <c r="E563" s="136"/>
      <c r="F563" s="136"/>
      <c r="G563" s="136"/>
      <c r="H563" s="136"/>
      <c r="I563" s="136"/>
      <c r="J563" s="136"/>
      <c r="K563" s="136"/>
      <c r="L563" s="136"/>
      <c r="M563" s="136"/>
    </row>
    <row r="564" spans="1:13" s="89" customFormat="1" hidden="1" x14ac:dyDescent="0.25">
      <c r="A564" s="13"/>
      <c r="B564" s="21" t="s">
        <v>1449</v>
      </c>
      <c r="C564" s="87"/>
      <c r="D564" s="136"/>
      <c r="E564" s="136"/>
      <c r="F564" s="136"/>
      <c r="G564" s="136"/>
      <c r="H564" s="136"/>
      <c r="I564" s="136"/>
      <c r="J564" s="136"/>
      <c r="K564" s="136"/>
      <c r="L564" s="136"/>
      <c r="M564" s="136"/>
    </row>
    <row r="565" spans="1:13" s="89" customFormat="1" hidden="1" x14ac:dyDescent="0.25">
      <c r="A565" s="13"/>
      <c r="B565" s="21" t="s">
        <v>1450</v>
      </c>
      <c r="C565" s="87"/>
      <c r="D565" s="136"/>
      <c r="E565" s="136"/>
      <c r="F565" s="136"/>
      <c r="G565" s="136"/>
      <c r="H565" s="136"/>
      <c r="I565" s="136"/>
      <c r="J565" s="136"/>
      <c r="K565" s="136"/>
      <c r="L565" s="136"/>
      <c r="M565" s="136"/>
    </row>
    <row r="566" spans="1:13" s="89" customFormat="1" ht="45" hidden="1" x14ac:dyDescent="0.25">
      <c r="A566" s="87"/>
      <c r="B566" s="70" t="s">
        <v>244</v>
      </c>
      <c r="C566" s="87"/>
      <c r="D566" s="136"/>
      <c r="E566" s="136"/>
      <c r="F566" s="136"/>
      <c r="G566" s="136"/>
      <c r="H566" s="136"/>
      <c r="I566" s="136"/>
      <c r="J566" s="136"/>
      <c r="K566" s="136"/>
      <c r="L566" s="136"/>
      <c r="M566" s="136"/>
    </row>
    <row r="567" spans="1:13" s="89" customFormat="1" hidden="1" x14ac:dyDescent="0.25">
      <c r="A567" s="87"/>
      <c r="B567" s="70" t="s">
        <v>240</v>
      </c>
      <c r="C567" s="13" t="s">
        <v>1116</v>
      </c>
      <c r="D567" s="104">
        <f>'[1]Общее+'!E1188</f>
        <v>30.22</v>
      </c>
      <c r="E567" s="104">
        <f>'[1]Общее+'!F1188</f>
        <v>0</v>
      </c>
      <c r="F567" s="104">
        <f>'[1]Общее+'!G1188</f>
        <v>0</v>
      </c>
      <c r="G567" s="104">
        <f>'[1]Общее+'!H1188</f>
        <v>4.22</v>
      </c>
      <c r="H567" s="104">
        <f>'[1]Общее+'!I1188</f>
        <v>0</v>
      </c>
      <c r="I567" s="104">
        <f>'[1]Общее+'!J1188</f>
        <v>0</v>
      </c>
      <c r="J567" s="104">
        <f>'[1]Общее+'!K1188</f>
        <v>0</v>
      </c>
      <c r="K567" s="104">
        <f>'[1]Общее+'!L1188</f>
        <v>0</v>
      </c>
      <c r="L567" s="104">
        <f>'[1]Общее+'!M1188</f>
        <v>0</v>
      </c>
      <c r="M567" s="104">
        <f>'[1]Общее+'!N1188</f>
        <v>0</v>
      </c>
    </row>
    <row r="568" spans="1:13" s="89" customFormat="1" hidden="1" x14ac:dyDescent="0.25">
      <c r="A568" s="87"/>
      <c r="B568" s="70" t="s">
        <v>241</v>
      </c>
      <c r="C568" s="13" t="s">
        <v>1116</v>
      </c>
      <c r="D568" s="104">
        <f>'[1]Общее+'!E1189</f>
        <v>12.32</v>
      </c>
      <c r="E568" s="104">
        <f>'[1]Общее+'!F1189</f>
        <v>0</v>
      </c>
      <c r="F568" s="104">
        <f>'[1]Общее+'!G1189</f>
        <v>0</v>
      </c>
      <c r="G568" s="104">
        <f>'[1]Общее+'!H1189</f>
        <v>3.62</v>
      </c>
      <c r="H568" s="104">
        <f>'[1]Общее+'!I1189</f>
        <v>0</v>
      </c>
      <c r="I568" s="104">
        <f>'[1]Общее+'!J1189</f>
        <v>0</v>
      </c>
      <c r="J568" s="104">
        <f>'[1]Общее+'!K1189</f>
        <v>0</v>
      </c>
      <c r="K568" s="104">
        <f>'[1]Общее+'!L1189</f>
        <v>0</v>
      </c>
      <c r="L568" s="104">
        <f>'[1]Общее+'!M1189</f>
        <v>0</v>
      </c>
      <c r="M568" s="104">
        <f>'[1]Общее+'!N1189</f>
        <v>0</v>
      </c>
    </row>
    <row r="569" spans="1:13" s="89" customFormat="1" ht="60" hidden="1" customHeight="1" x14ac:dyDescent="0.25">
      <c r="A569" s="13" t="s">
        <v>243</v>
      </c>
      <c r="B569" s="70" t="s">
        <v>1117</v>
      </c>
      <c r="C569" s="87"/>
      <c r="D569" s="136"/>
      <c r="E569" s="136"/>
      <c r="F569" s="136"/>
      <c r="G569" s="136"/>
      <c r="H569" s="136"/>
      <c r="I569" s="136"/>
      <c r="J569" s="136"/>
      <c r="K569" s="136"/>
      <c r="L569" s="136"/>
      <c r="M569" s="136"/>
    </row>
    <row r="570" spans="1:13" s="89" customFormat="1" ht="15" hidden="1" customHeight="1" x14ac:dyDescent="0.25">
      <c r="A570" s="87"/>
      <c r="B570" s="21" t="s">
        <v>1449</v>
      </c>
      <c r="C570" s="137" t="s">
        <v>8</v>
      </c>
      <c r="D570" s="104">
        <f>'[1]Общее+'!E1191</f>
        <v>0.17</v>
      </c>
      <c r="E570" s="104">
        <f>'[1]Общее+'!F1191</f>
        <v>0</v>
      </c>
      <c r="F570" s="104">
        <f>'[1]Общее+'!G1191</f>
        <v>0</v>
      </c>
      <c r="G570" s="104">
        <f>'[1]Общее+'!H1191</f>
        <v>0</v>
      </c>
      <c r="H570" s="104">
        <f>'[1]Общее+'!I1191</f>
        <v>0</v>
      </c>
      <c r="I570" s="104">
        <f>'[1]Общее+'!J1191</f>
        <v>0</v>
      </c>
      <c r="J570" s="104">
        <f>'[1]Общее+'!K1191</f>
        <v>0</v>
      </c>
      <c r="K570" s="104">
        <f>'[1]Общее+'!L1191</f>
        <v>0</v>
      </c>
      <c r="L570" s="104">
        <f>'[1]Общее+'!M1191</f>
        <v>0</v>
      </c>
      <c r="M570" s="104">
        <f>'[1]Общее+'!N1191</f>
        <v>0</v>
      </c>
    </row>
    <row r="571" spans="1:13" s="89" customFormat="1" ht="15" hidden="1" customHeight="1" x14ac:dyDescent="0.25">
      <c r="A571" s="87"/>
      <c r="B571" s="21" t="s">
        <v>1450</v>
      </c>
      <c r="C571" s="137" t="s">
        <v>8</v>
      </c>
      <c r="D571" s="104">
        <f>'[1]Общее+'!E1192</f>
        <v>0.08</v>
      </c>
      <c r="E571" s="104">
        <f>'[1]Общее+'!F1192</f>
        <v>0</v>
      </c>
      <c r="F571" s="104">
        <f>'[1]Общее+'!G1192</f>
        <v>0</v>
      </c>
      <c r="G571" s="104">
        <f>'[1]Общее+'!H1192</f>
        <v>0</v>
      </c>
      <c r="H571" s="104">
        <f>'[1]Общее+'!I1192</f>
        <v>0</v>
      </c>
      <c r="I571" s="104">
        <f>'[1]Общее+'!J1192</f>
        <v>0</v>
      </c>
      <c r="J571" s="104">
        <f>'[1]Общее+'!K1192</f>
        <v>0</v>
      </c>
      <c r="K571" s="104">
        <f>'[1]Общее+'!L1192</f>
        <v>0</v>
      </c>
      <c r="L571" s="104">
        <f>'[1]Общее+'!M1192</f>
        <v>0</v>
      </c>
      <c r="M571" s="104">
        <f>'[1]Общее+'!N1192</f>
        <v>0</v>
      </c>
    </row>
    <row r="572" spans="1:13" s="89" customFormat="1" ht="60" hidden="1" x14ac:dyDescent="0.25">
      <c r="A572" s="13" t="s">
        <v>243</v>
      </c>
      <c r="B572" s="70" t="s">
        <v>1709</v>
      </c>
      <c r="C572" s="137"/>
      <c r="D572" s="104"/>
      <c r="E572" s="104"/>
      <c r="F572" s="104"/>
      <c r="G572" s="104"/>
      <c r="H572" s="104"/>
      <c r="I572" s="104"/>
      <c r="J572" s="104"/>
      <c r="K572" s="104"/>
      <c r="L572" s="104"/>
      <c r="M572" s="104"/>
    </row>
    <row r="573" spans="1:13" s="89" customFormat="1" hidden="1" x14ac:dyDescent="0.25">
      <c r="A573" s="13"/>
      <c r="B573" s="70" t="s">
        <v>2398</v>
      </c>
      <c r="C573" s="137"/>
      <c r="D573" s="104"/>
      <c r="E573" s="104"/>
      <c r="F573" s="104"/>
      <c r="G573" s="104"/>
      <c r="H573" s="104"/>
      <c r="I573" s="104"/>
      <c r="J573" s="104"/>
      <c r="K573" s="104"/>
      <c r="L573" s="104"/>
      <c r="M573" s="104"/>
    </row>
    <row r="574" spans="1:13" s="89" customFormat="1" hidden="1" x14ac:dyDescent="0.25">
      <c r="A574" s="13"/>
      <c r="B574" s="70" t="s">
        <v>2399</v>
      </c>
      <c r="C574" s="137"/>
      <c r="D574" s="104"/>
      <c r="E574" s="104"/>
      <c r="F574" s="104"/>
      <c r="G574" s="104"/>
      <c r="H574" s="104"/>
      <c r="I574" s="104"/>
      <c r="J574" s="104"/>
      <c r="K574" s="104"/>
      <c r="L574" s="104"/>
      <c r="M574" s="104"/>
    </row>
    <row r="575" spans="1:13" s="89" customFormat="1" hidden="1" x14ac:dyDescent="0.25">
      <c r="A575" s="13"/>
      <c r="B575" s="70" t="s">
        <v>2396</v>
      </c>
      <c r="C575" s="137" t="s">
        <v>8</v>
      </c>
      <c r="D575" s="104"/>
      <c r="E575" s="104"/>
      <c r="F575" s="104"/>
      <c r="G575" s="104"/>
      <c r="H575" s="104">
        <f>IF(ISERR('[1]Общее+'!I1202),"-",'[1]Общее+'!I1202)</f>
        <v>0.35215470932314669</v>
      </c>
      <c r="I575" s="104">
        <f>IF(ISERR('[1]Общее+'!J1202),"-",'[1]Общее+'!J1202)</f>
        <v>9.9037138927097659E-2</v>
      </c>
      <c r="J575" s="104">
        <f>IF(ISERR('[1]Общее+'!K1202),"-",'[1]Общее+'!K1202)</f>
        <v>9.9037138927097659E-2</v>
      </c>
      <c r="K575" s="104">
        <f>IF(ISERR('[1]Общее+'!L1202),"-",'[1]Общее+'!L1202)</f>
        <v>9.9037138927097659E-2</v>
      </c>
      <c r="L575" s="104">
        <f>IF(ISERR('[1]Общее+'!M1202),"-",'[1]Общее+'!M1202)</f>
        <v>9.9037138927097659E-2</v>
      </c>
      <c r="M575" s="104">
        <f>IF(ISERR('[1]Общее+'!N1202),"-",'[1]Общее+'!N1202)</f>
        <v>9.9037138927097659E-2</v>
      </c>
    </row>
    <row r="576" spans="1:13" s="89" customFormat="1" hidden="1" x14ac:dyDescent="0.25">
      <c r="A576" s="13"/>
      <c r="B576" s="70" t="s">
        <v>2397</v>
      </c>
      <c r="C576" s="137" t="s">
        <v>8</v>
      </c>
      <c r="D576" s="104"/>
      <c r="E576" s="104"/>
      <c r="F576" s="104"/>
      <c r="G576" s="104"/>
      <c r="H576" s="104">
        <f>IF(ISERR('[1]Общее+'!I1203),"-",'[1]Общее+'!I1203)</f>
        <v>0.58053500284575987</v>
      </c>
      <c r="I576" s="104">
        <f>IF(ISERR('[1]Общее+'!J1203),"-",'[1]Общее+'!J1203)</f>
        <v>0.56434657519088194</v>
      </c>
      <c r="J576" s="104">
        <f>IF(ISERR('[1]Общее+'!K1203),"-",'[1]Общее+'!K1203)</f>
        <v>0.56434657519088194</v>
      </c>
      <c r="K576" s="104">
        <f>IF(ISERR('[1]Общее+'!L1203),"-",'[1]Общее+'!L1203)</f>
        <v>0.56434657519088194</v>
      </c>
      <c r="L576" s="104">
        <f>IF(ISERR('[1]Общее+'!M1203),"-",'[1]Общее+'!M1203)</f>
        <v>0.56434657519088194</v>
      </c>
      <c r="M576" s="104">
        <f>IF(ISERR('[1]Общее+'!N1203),"-",'[1]Общее+'!N1203)</f>
        <v>0.56434657519088194</v>
      </c>
    </row>
    <row r="577" spans="1:13" s="89" customFormat="1" hidden="1" x14ac:dyDescent="0.25">
      <c r="A577" s="13"/>
      <c r="B577" s="70" t="s">
        <v>2400</v>
      </c>
      <c r="C577" s="137"/>
      <c r="D577" s="104"/>
      <c r="E577" s="104"/>
      <c r="F577" s="104"/>
      <c r="G577" s="104"/>
      <c r="H577" s="104"/>
      <c r="I577" s="104"/>
      <c r="J577" s="104"/>
      <c r="K577" s="104"/>
      <c r="L577" s="104"/>
      <c r="M577" s="104"/>
    </row>
    <row r="578" spans="1:13" s="89" customFormat="1" hidden="1" x14ac:dyDescent="0.25">
      <c r="A578" s="13"/>
      <c r="B578" s="70" t="s">
        <v>2396</v>
      </c>
      <c r="C578" s="137" t="s">
        <v>8</v>
      </c>
      <c r="D578" s="104"/>
      <c r="E578" s="104"/>
      <c r="F578" s="104"/>
      <c r="G578" s="104"/>
      <c r="H578" s="104">
        <f>IF(ISERR('[1]Общее+'!I1205),"-",'[1]Общее+'!I1205)</f>
        <v>0.34145380524000263</v>
      </c>
      <c r="I578" s="104">
        <f>IF(ISERR('[1]Общее+'!J1205),"-",'[1]Общее+'!J1205)</f>
        <v>0.10880077369439071</v>
      </c>
      <c r="J578" s="104">
        <f>IF(ISERR('[1]Общее+'!K1205),"-",'[1]Общее+'!K1205)</f>
        <v>0.10880077369439071</v>
      </c>
      <c r="K578" s="104">
        <f>IF(ISERR('[1]Общее+'!L1205),"-",'[1]Общее+'!L1205)</f>
        <v>0.10880077369439071</v>
      </c>
      <c r="L578" s="104">
        <f>IF(ISERR('[1]Общее+'!M1205),"-",'[1]Общее+'!M1205)</f>
        <v>0.10880077369439071</v>
      </c>
      <c r="M578" s="104">
        <f>IF(ISERR('[1]Общее+'!N1205),"-",'[1]Общее+'!N1205)</f>
        <v>0.10880077369439071</v>
      </c>
    </row>
    <row r="579" spans="1:13" s="89" customFormat="1" hidden="1" x14ac:dyDescent="0.25">
      <c r="A579" s="13"/>
      <c r="B579" s="70" t="s">
        <v>2397</v>
      </c>
      <c r="C579" s="137" t="s">
        <v>8</v>
      </c>
      <c r="D579" s="104"/>
      <c r="E579" s="104"/>
      <c r="F579" s="104"/>
      <c r="G579" s="104"/>
      <c r="H579" s="104">
        <f>IF(ISERR('[1]Общее+'!I1206),"-",'[1]Общее+'!I1206)</f>
        <v>0.58125154588177097</v>
      </c>
      <c r="I579" s="104">
        <f>IF(ISERR('[1]Общее+'!J1206),"-",'[1]Общее+'!J1206)</f>
        <v>0.58563403848452245</v>
      </c>
      <c r="J579" s="104">
        <f>IF(ISERR('[1]Общее+'!K1206),"-",'[1]Общее+'!K1206)</f>
        <v>0.58563403848452245</v>
      </c>
      <c r="K579" s="104">
        <f>IF(ISERR('[1]Общее+'!L1206),"-",'[1]Общее+'!L1206)</f>
        <v>0.58563403848452245</v>
      </c>
      <c r="L579" s="104">
        <f>IF(ISERR('[1]Общее+'!M1206),"-",'[1]Общее+'!M1206)</f>
        <v>0.58563403848452245</v>
      </c>
      <c r="M579" s="104">
        <f>IF(ISERR('[1]Общее+'!N1206),"-",'[1]Общее+'!N1206)</f>
        <v>0.58563403848452245</v>
      </c>
    </row>
    <row r="580" spans="1:13" s="89" customFormat="1" hidden="1" x14ac:dyDescent="0.25">
      <c r="A580" s="13"/>
      <c r="B580" s="70" t="s">
        <v>2401</v>
      </c>
      <c r="C580" s="137"/>
      <c r="D580" s="104"/>
      <c r="E580" s="104"/>
      <c r="F580" s="104"/>
      <c r="G580" s="104"/>
      <c r="H580" s="104"/>
      <c r="I580" s="104"/>
      <c r="J580" s="104"/>
      <c r="K580" s="104"/>
      <c r="L580" s="104"/>
      <c r="M580" s="104"/>
    </row>
    <row r="581" spans="1:13" s="89" customFormat="1" hidden="1" x14ac:dyDescent="0.25">
      <c r="A581" s="13"/>
      <c r="B581" s="70" t="s">
        <v>2396</v>
      </c>
      <c r="C581" s="137" t="s">
        <v>8</v>
      </c>
      <c r="D581" s="104"/>
      <c r="E581" s="104"/>
      <c r="F581" s="104"/>
      <c r="G581" s="104"/>
      <c r="H581" s="104">
        <f>IF(ISERR('[1]Общее+'!I1208),"-",'[1]Общее+'!I1208)</f>
        <v>0.45901639344262296</v>
      </c>
      <c r="I581" s="104">
        <f>IF(ISERR('[1]Общее+'!J1208),"-",'[1]Общее+'!J1208)</f>
        <v>0</v>
      </c>
      <c r="J581" s="104">
        <f>IF(ISERR('[1]Общее+'!K1208),"-",'[1]Общее+'!K1208)</f>
        <v>0</v>
      </c>
      <c r="K581" s="104">
        <f>IF(ISERR('[1]Общее+'!L1208),"-",'[1]Общее+'!L1208)</f>
        <v>0</v>
      </c>
      <c r="L581" s="104">
        <f>IF(ISERR('[1]Общее+'!M1208),"-",'[1]Общее+'!M1208)</f>
        <v>0</v>
      </c>
      <c r="M581" s="104">
        <f>IF(ISERR('[1]Общее+'!N1208),"-",'[1]Общее+'!N1208)</f>
        <v>0</v>
      </c>
    </row>
    <row r="582" spans="1:13" s="89" customFormat="1" hidden="1" x14ac:dyDescent="0.25">
      <c r="A582" s="13"/>
      <c r="B582" s="70" t="s">
        <v>2397</v>
      </c>
      <c r="C582" s="137" t="s">
        <v>8</v>
      </c>
      <c r="D582" s="104"/>
      <c r="E582" s="104"/>
      <c r="F582" s="104"/>
      <c r="G582" s="104"/>
      <c r="H582" s="104">
        <f>IF(ISERR('[1]Общее+'!I1209),"-",'[1]Общее+'!I1209)</f>
        <v>0.57224606580829751</v>
      </c>
      <c r="I582" s="104">
        <f>IF(ISERR('[1]Общее+'!J1209),"-",'[1]Общее+'!J1209)</f>
        <v>0.29850746268656719</v>
      </c>
      <c r="J582" s="104">
        <f>IF(ISERR('[1]Общее+'!K1209),"-",'[1]Общее+'!K1209)</f>
        <v>0.29850746268656719</v>
      </c>
      <c r="K582" s="104">
        <f>IF(ISERR('[1]Общее+'!L1209),"-",'[1]Общее+'!L1209)</f>
        <v>0.29850746268656719</v>
      </c>
      <c r="L582" s="104">
        <f>IF(ISERR('[1]Общее+'!M1209),"-",'[1]Общее+'!M1209)</f>
        <v>0.29850746268656719</v>
      </c>
      <c r="M582" s="104">
        <f>IF(ISERR('[1]Общее+'!N1209),"-",'[1]Общее+'!N1209)</f>
        <v>0.29850746268656719</v>
      </c>
    </row>
    <row r="583" spans="1:13" s="89" customFormat="1" hidden="1" x14ac:dyDescent="0.25">
      <c r="A583" s="13"/>
      <c r="B583" s="70" t="s">
        <v>2402</v>
      </c>
      <c r="C583" s="137"/>
      <c r="D583" s="104"/>
      <c r="E583" s="104"/>
      <c r="F583" s="104"/>
      <c r="G583" s="104"/>
      <c r="H583" s="104"/>
      <c r="I583" s="104"/>
      <c r="J583" s="104"/>
      <c r="K583" s="104"/>
      <c r="L583" s="104"/>
      <c r="M583" s="104"/>
    </row>
    <row r="584" spans="1:13" s="89" customFormat="1" hidden="1" x14ac:dyDescent="0.25">
      <c r="A584" s="13"/>
      <c r="B584" s="70" t="s">
        <v>2399</v>
      </c>
      <c r="C584" s="137"/>
      <c r="D584" s="104"/>
      <c r="E584" s="104"/>
      <c r="F584" s="104"/>
      <c r="G584" s="104"/>
      <c r="H584" s="104"/>
      <c r="I584" s="104"/>
      <c r="J584" s="104"/>
      <c r="K584" s="104"/>
      <c r="L584" s="104"/>
      <c r="M584" s="104"/>
    </row>
    <row r="585" spans="1:13" s="89" customFormat="1" hidden="1" x14ac:dyDescent="0.25">
      <c r="A585" s="13"/>
      <c r="B585" s="70" t="s">
        <v>2396</v>
      </c>
      <c r="C585" s="137" t="s">
        <v>8</v>
      </c>
      <c r="D585" s="104"/>
      <c r="E585" s="104"/>
      <c r="F585" s="104"/>
      <c r="G585" s="104"/>
      <c r="H585" s="104">
        <f>IF(ISERR('[1]Общее+'!I1212),"-",'[1]Общее+'!I1212)</f>
        <v>0</v>
      </c>
      <c r="I585" s="104">
        <f>IF(ISERR('[1]Общее+'!J1212),"-",'[1]Общее+'!J1212)</f>
        <v>0</v>
      </c>
      <c r="J585" s="104">
        <f>IF(ISERR('[1]Общее+'!K1212),"-",'[1]Общее+'!K1212)</f>
        <v>0</v>
      </c>
      <c r="K585" s="104">
        <f>IF(ISERR('[1]Общее+'!L1212),"-",'[1]Общее+'!L1212)</f>
        <v>0</v>
      </c>
      <c r="L585" s="104">
        <f>IF(ISERR('[1]Общее+'!M1212),"-",'[1]Общее+'!M1212)</f>
        <v>0</v>
      </c>
      <c r="M585" s="104">
        <f>IF(ISERR('[1]Общее+'!N1212),"-",'[1]Общее+'!N1212)</f>
        <v>0</v>
      </c>
    </row>
    <row r="586" spans="1:13" s="89" customFormat="1" hidden="1" x14ac:dyDescent="0.25">
      <c r="A586" s="13"/>
      <c r="B586" s="70" t="s">
        <v>2397</v>
      </c>
      <c r="C586" s="137" t="s">
        <v>8</v>
      </c>
      <c r="D586" s="104"/>
      <c r="E586" s="104"/>
      <c r="F586" s="104"/>
      <c r="G586" s="104"/>
      <c r="H586" s="104">
        <f>IF(ISERR('[1]Общее+'!I1213),"-",'[1]Общее+'!I1213)</f>
        <v>0</v>
      </c>
      <c r="I586" s="104">
        <f>IF(ISERR('[1]Общее+'!J1213),"-",'[1]Общее+'!J1213)</f>
        <v>0</v>
      </c>
      <c r="J586" s="104">
        <f>IF(ISERR('[1]Общее+'!K1213),"-",'[1]Общее+'!K1213)</f>
        <v>0</v>
      </c>
      <c r="K586" s="104">
        <f>IF(ISERR('[1]Общее+'!L1213),"-",'[1]Общее+'!L1213)</f>
        <v>0</v>
      </c>
      <c r="L586" s="104">
        <f>IF(ISERR('[1]Общее+'!M1213),"-",'[1]Общее+'!M1213)</f>
        <v>0</v>
      </c>
      <c r="M586" s="104">
        <f>IF(ISERR('[1]Общее+'!N1213),"-",'[1]Общее+'!N1213)</f>
        <v>0</v>
      </c>
    </row>
    <row r="587" spans="1:13" s="89" customFormat="1" hidden="1" x14ac:dyDescent="0.25">
      <c r="A587" s="13"/>
      <c r="B587" s="70" t="s">
        <v>2400</v>
      </c>
      <c r="C587" s="137"/>
      <c r="D587" s="104"/>
      <c r="E587" s="104"/>
      <c r="F587" s="104"/>
      <c r="G587" s="104"/>
      <c r="H587" s="104"/>
      <c r="I587" s="104"/>
      <c r="J587" s="104"/>
      <c r="K587" s="104"/>
      <c r="L587" s="104"/>
      <c r="M587" s="104"/>
    </row>
    <row r="588" spans="1:13" s="89" customFormat="1" hidden="1" x14ac:dyDescent="0.25">
      <c r="A588" s="13"/>
      <c r="B588" s="70" t="s">
        <v>2396</v>
      </c>
      <c r="C588" s="137" t="s">
        <v>8</v>
      </c>
      <c r="D588" s="104"/>
      <c r="E588" s="104"/>
      <c r="F588" s="104"/>
      <c r="G588" s="104"/>
      <c r="H588" s="104">
        <f>IF(ISERR('[1]Общее+'!I1215),"-",'[1]Общее+'!I1215)</f>
        <v>0</v>
      </c>
      <c r="I588" s="104">
        <f>IF(ISERR('[1]Общее+'!J1215),"-",'[1]Общее+'!J1215)</f>
        <v>0</v>
      </c>
      <c r="J588" s="104">
        <f>IF(ISERR('[1]Общее+'!K1215),"-",'[1]Общее+'!K1215)</f>
        <v>0</v>
      </c>
      <c r="K588" s="104">
        <f>IF(ISERR('[1]Общее+'!L1215),"-",'[1]Общее+'!L1215)</f>
        <v>0</v>
      </c>
      <c r="L588" s="104">
        <f>IF(ISERR('[1]Общее+'!M1215),"-",'[1]Общее+'!M1215)</f>
        <v>0</v>
      </c>
      <c r="M588" s="104">
        <f>IF(ISERR('[1]Общее+'!N1215),"-",'[1]Общее+'!N1215)</f>
        <v>0</v>
      </c>
    </row>
    <row r="589" spans="1:13" s="89" customFormat="1" hidden="1" x14ac:dyDescent="0.25">
      <c r="A589" s="13"/>
      <c r="B589" s="70" t="s">
        <v>2397</v>
      </c>
      <c r="C589" s="137" t="s">
        <v>8</v>
      </c>
      <c r="D589" s="104"/>
      <c r="E589" s="104"/>
      <c r="F589" s="104"/>
      <c r="G589" s="104"/>
      <c r="H589" s="104">
        <f>IF(ISERR('[1]Общее+'!I1216),"-",'[1]Общее+'!I1216)</f>
        <v>0</v>
      </c>
      <c r="I589" s="104">
        <f>IF(ISERR('[1]Общее+'!J1216),"-",'[1]Общее+'!J1216)</f>
        <v>0</v>
      </c>
      <c r="J589" s="104">
        <f>IF(ISERR('[1]Общее+'!K1216),"-",'[1]Общее+'!K1216)</f>
        <v>0</v>
      </c>
      <c r="K589" s="104">
        <f>IF(ISERR('[1]Общее+'!L1216),"-",'[1]Общее+'!L1216)</f>
        <v>0</v>
      </c>
      <c r="L589" s="104">
        <f>IF(ISERR('[1]Общее+'!M1216),"-",'[1]Общее+'!M1216)</f>
        <v>0</v>
      </c>
      <c r="M589" s="104">
        <f>IF(ISERR('[1]Общее+'!N1216),"-",'[1]Общее+'!N1216)</f>
        <v>0</v>
      </c>
    </row>
    <row r="590" spans="1:13" s="89" customFormat="1" hidden="1" x14ac:dyDescent="0.25">
      <c r="A590" s="13"/>
      <c r="B590" s="70" t="s">
        <v>2401</v>
      </c>
      <c r="C590" s="137"/>
      <c r="D590" s="104"/>
      <c r="E590" s="104"/>
      <c r="F590" s="104"/>
      <c r="G590" s="104"/>
      <c r="H590" s="104"/>
      <c r="I590" s="104"/>
      <c r="J590" s="104"/>
      <c r="K590" s="104"/>
      <c r="L590" s="104"/>
      <c r="M590" s="104"/>
    </row>
    <row r="591" spans="1:13" s="89" customFormat="1" hidden="1" x14ac:dyDescent="0.25">
      <c r="A591" s="13"/>
      <c r="B591" s="70" t="s">
        <v>2396</v>
      </c>
      <c r="C591" s="137" t="s">
        <v>8</v>
      </c>
      <c r="D591" s="104"/>
      <c r="E591" s="104"/>
      <c r="F591" s="104"/>
      <c r="G591" s="104"/>
      <c r="H591" s="104" t="str">
        <f>IF(ISERR('[1]Общее+'!I1218),"-",'[1]Общее+'!I1218)</f>
        <v>-</v>
      </c>
      <c r="I591" s="104" t="str">
        <f>IF(ISERR('[1]Общее+'!J1218),"-",'[1]Общее+'!J1218)</f>
        <v>-</v>
      </c>
      <c r="J591" s="104" t="str">
        <f>IF(ISERR('[1]Общее+'!K1218),"-",'[1]Общее+'!K1218)</f>
        <v>-</v>
      </c>
      <c r="K591" s="104" t="str">
        <f>IF(ISERR('[1]Общее+'!L1218),"-",'[1]Общее+'!L1218)</f>
        <v>-</v>
      </c>
      <c r="L591" s="104" t="str">
        <f>IF(ISERR('[1]Общее+'!M1218),"-",'[1]Общее+'!M1218)</f>
        <v>-</v>
      </c>
      <c r="M591" s="104" t="str">
        <f>IF(ISERR('[1]Общее+'!N1218),"-",'[1]Общее+'!N1218)</f>
        <v>-</v>
      </c>
    </row>
    <row r="592" spans="1:13" s="89" customFormat="1" hidden="1" x14ac:dyDescent="0.25">
      <c r="A592" s="13"/>
      <c r="B592" s="70" t="s">
        <v>2397</v>
      </c>
      <c r="C592" s="137" t="s">
        <v>8</v>
      </c>
      <c r="D592" s="104"/>
      <c r="E592" s="104"/>
      <c r="F592" s="104"/>
      <c r="G592" s="104"/>
      <c r="H592" s="104" t="str">
        <f>IF(ISERR('[1]Общее+'!I1219),"-",'[1]Общее+'!I1219)</f>
        <v>-</v>
      </c>
      <c r="I592" s="104" t="str">
        <f>IF(ISERR('[1]Общее+'!J1219),"-",'[1]Общее+'!J1219)</f>
        <v>-</v>
      </c>
      <c r="J592" s="104" t="str">
        <f>IF(ISERR('[1]Общее+'!K1219),"-",'[1]Общее+'!K1219)</f>
        <v>-</v>
      </c>
      <c r="K592" s="104" t="str">
        <f>IF(ISERR('[1]Общее+'!L1219),"-",'[1]Общее+'!L1219)</f>
        <v>-</v>
      </c>
      <c r="L592" s="104" t="str">
        <f>IF(ISERR('[1]Общее+'!M1219),"-",'[1]Общее+'!M1219)</f>
        <v>-</v>
      </c>
      <c r="M592" s="104" t="str">
        <f>IF(ISERR('[1]Общее+'!N1219),"-",'[1]Общее+'!N1219)</f>
        <v>-</v>
      </c>
    </row>
    <row r="593" spans="1:13" s="89" customFormat="1" ht="60" hidden="1" x14ac:dyDescent="0.25">
      <c r="A593" s="13" t="s">
        <v>247</v>
      </c>
      <c r="B593" s="70" t="s">
        <v>1119</v>
      </c>
      <c r="C593" s="87"/>
      <c r="D593" s="136"/>
      <c r="E593" s="136"/>
      <c r="F593" s="136"/>
      <c r="G593" s="136"/>
      <c r="H593" s="136"/>
      <c r="I593" s="136"/>
      <c r="J593" s="136"/>
      <c r="K593" s="136"/>
      <c r="L593" s="136"/>
      <c r="M593" s="136"/>
    </row>
    <row r="594" spans="1:13" s="89" customFormat="1" hidden="1" x14ac:dyDescent="0.25">
      <c r="A594" s="87"/>
      <c r="B594" s="70" t="s">
        <v>1121</v>
      </c>
      <c r="C594" s="137" t="s">
        <v>8</v>
      </c>
      <c r="D594" s="104">
        <f>'[1]Общее+'!E1251</f>
        <v>0.06</v>
      </c>
      <c r="E594" s="104">
        <f>'[1]Общее+'!F1251</f>
        <v>0</v>
      </c>
      <c r="F594" s="104">
        <f>'[1]Общее+'!G1251</f>
        <v>0</v>
      </c>
      <c r="G594" s="104">
        <f>'[1]Общее+'!H1251</f>
        <v>0.02</v>
      </c>
      <c r="H594" s="104">
        <f>'[1]Общее+'!I1251</f>
        <v>0</v>
      </c>
      <c r="I594" s="104">
        <f>'[1]Общее+'!J1251</f>
        <v>0</v>
      </c>
      <c r="J594" s="104">
        <f>'[1]Общее+'!K1251</f>
        <v>0</v>
      </c>
      <c r="K594" s="104">
        <f>'[1]Общее+'!L1251</f>
        <v>0</v>
      </c>
      <c r="L594" s="104">
        <f>'[1]Общее+'!M1251</f>
        <v>0</v>
      </c>
      <c r="M594" s="104">
        <f>'[1]Общее+'!N1251</f>
        <v>0</v>
      </c>
    </row>
    <row r="595" spans="1:13" s="89" customFormat="1" hidden="1" x14ac:dyDescent="0.25">
      <c r="A595" s="87"/>
      <c r="B595" s="70" t="s">
        <v>1120</v>
      </c>
      <c r="C595" s="137" t="s">
        <v>8</v>
      </c>
      <c r="D595" s="104">
        <f>'[1]Общее+'!E1252</f>
        <v>0.08</v>
      </c>
      <c r="E595" s="104">
        <f>'[1]Общее+'!F1252</f>
        <v>0</v>
      </c>
      <c r="F595" s="104">
        <f>'[1]Общее+'!G1252</f>
        <v>0</v>
      </c>
      <c r="G595" s="104">
        <f>'[1]Общее+'!H1252</f>
        <v>0.01</v>
      </c>
      <c r="H595" s="104">
        <f>'[1]Общее+'!I1252</f>
        <v>0</v>
      </c>
      <c r="I595" s="104">
        <f>'[1]Общее+'!J1252</f>
        <v>0</v>
      </c>
      <c r="J595" s="104">
        <f>'[1]Общее+'!K1252</f>
        <v>0</v>
      </c>
      <c r="K595" s="104">
        <f>'[1]Общее+'!L1252</f>
        <v>0</v>
      </c>
      <c r="L595" s="104">
        <f>'[1]Общее+'!M1252</f>
        <v>0</v>
      </c>
      <c r="M595" s="104">
        <f>'[1]Общее+'!N1252</f>
        <v>0</v>
      </c>
    </row>
    <row r="596" spans="1:13" s="89" customFormat="1" ht="90" x14ac:dyDescent="0.25">
      <c r="A596" s="99" t="s">
        <v>234</v>
      </c>
      <c r="B596" s="100" t="s">
        <v>248</v>
      </c>
      <c r="C596" s="87"/>
      <c r="D596" s="90"/>
      <c r="E596" s="90"/>
      <c r="F596" s="90"/>
      <c r="G596" s="90"/>
      <c r="H596" s="90"/>
      <c r="I596" s="90"/>
      <c r="J596" s="90"/>
      <c r="K596" s="90"/>
      <c r="L596" s="90"/>
      <c r="M596" s="90"/>
    </row>
    <row r="597" spans="1:13" s="89" customFormat="1" ht="30" x14ac:dyDescent="0.25">
      <c r="A597" s="13" t="s">
        <v>237</v>
      </c>
      <c r="B597" s="70" t="s">
        <v>2541</v>
      </c>
      <c r="C597" s="13" t="s">
        <v>8</v>
      </c>
      <c r="D597" s="93">
        <f>IF(ISERR('[1]Общее+'!E1261),"-",'[1]Общее+'!E1261)</f>
        <v>98.58930724909554</v>
      </c>
      <c r="E597" s="93">
        <f>IF(ISERR('[1]Общее+'!F1261),"-",'[1]Общее+'!F1261)</f>
        <v>98.779547588203513</v>
      </c>
      <c r="F597" s="93">
        <f>IF(ISERR('[1]Общее+'!G1261),"-",'[1]Общее+'!G1261)</f>
        <v>99.106013670924966</v>
      </c>
      <c r="G597" s="93">
        <f>IF(ISERR('[1]Общее+'!H1261),"-",'[1]Общее+'!H1261)</f>
        <v>99.153262473725789</v>
      </c>
      <c r="H597" s="93">
        <f>IF(ISERR('[1]Общее+'!I1261),"-",'[1]Общее+'!I1261)</f>
        <v>99.37461273542084</v>
      </c>
      <c r="I597" s="93">
        <f>IF(ISERR('[1]Общее+'!J1261),"-",'[1]Общее+'!J1261)</f>
        <v>99.370093414401197</v>
      </c>
      <c r="J597" s="93">
        <f>IF(ISERR('[1]Общее+'!K1261),"-",'[1]Общее+'!K1261)</f>
        <v>95.604957257225564</v>
      </c>
      <c r="K597" s="93">
        <f>IF(ISERR('[1]Общее+'!L1261),"-",'[1]Общее+'!L1261)</f>
        <v>99.414941494149417</v>
      </c>
      <c r="L597" s="93">
        <f>IF(ISERR('[1]Общее+'!M1261),"-",'[1]Общее+'!M1261)</f>
        <v>99.634619776204616</v>
      </c>
      <c r="M597" s="93">
        <f>IF(ISERR('[1]Общее+'!N1261),"-",'[1]Общее+'!N1261)</f>
        <v>99.378309924015667</v>
      </c>
    </row>
    <row r="598" spans="1:13" s="89" customFormat="1" hidden="1" x14ac:dyDescent="0.25">
      <c r="A598" s="13"/>
      <c r="B598" s="70" t="s">
        <v>1301</v>
      </c>
      <c r="C598" s="13" t="s">
        <v>8</v>
      </c>
      <c r="D598" s="104">
        <f>IF(ISERR('[1]Общее+'!E1261),"-",'[1]Общее+'!E1261)</f>
        <v>98.58930724909554</v>
      </c>
      <c r="E598" s="104">
        <f>IF(ISERR('[1]Общее+'!F1261),"-",'[1]Общее+'!F1261)</f>
        <v>98.779547588203513</v>
      </c>
      <c r="F598" s="104">
        <f>IF(ISERR('[1]Общее+'!G1261),"-",'[1]Общее+'!G1261)</f>
        <v>99.106013670924966</v>
      </c>
      <c r="G598" s="104">
        <f>IF(ISERR('[1]Общее+'!H1261),"-",'[1]Общее+'!H1261)</f>
        <v>99.153262473725789</v>
      </c>
      <c r="H598" s="104">
        <f>IF(ISERR('[1]Общее+'!I1261),"-",'[1]Общее+'!I1261)</f>
        <v>99.37461273542084</v>
      </c>
      <c r="I598" s="104">
        <f>IF(ISERR('[1]Общее+'!J1261),"-",'[1]Общее+'!J1261)</f>
        <v>99.370093414401197</v>
      </c>
      <c r="J598" s="104">
        <f>IF(ISERR('[1]Общее+'!K1261),"-",'[1]Общее+'!K1261)</f>
        <v>95.604957257225564</v>
      </c>
      <c r="K598" s="104">
        <f>IF(ISERR('[1]Общее+'!L1261),"-",'[1]Общее+'!L1261)</f>
        <v>99.414941494149417</v>
      </c>
      <c r="L598" s="104">
        <f>IF(ISERR('[1]Общее+'!M1261),"-",'[1]Общее+'!M1261)</f>
        <v>99.634619776204616</v>
      </c>
      <c r="M598" s="104">
        <f>IF(ISERR('[1]Общее+'!N1261),"-",'[1]Общее+'!N1261)</f>
        <v>99.378309924015667</v>
      </c>
    </row>
    <row r="599" spans="1:13" s="89" customFormat="1" hidden="1" x14ac:dyDescent="0.25">
      <c r="A599" s="13"/>
      <c r="B599" s="70" t="s">
        <v>1303</v>
      </c>
      <c r="C599" s="13" t="s">
        <v>8</v>
      </c>
      <c r="D599" s="104"/>
      <c r="E599" s="104"/>
      <c r="F599" s="104"/>
      <c r="G599" s="104">
        <f>IF(ISERR('[1]Общее+'!H1262),"-",'[1]Общее+'!H1262)</f>
        <v>99.163291235462111</v>
      </c>
      <c r="H599" s="104">
        <f>IF(ISERR('[1]Общее+'!I1262),"-",'[1]Общее+'!I1262)</f>
        <v>99.349672740230673</v>
      </c>
      <c r="I599" s="104">
        <f>IF(ISERR('[1]Общее+'!J1262),"-",'[1]Общее+'!J1262)</f>
        <v>99.357353881765292</v>
      </c>
      <c r="J599" s="104">
        <f>IF(ISERR('[1]Общее+'!K1262),"-",'[1]Общее+'!K1262)</f>
        <v>95.269247404844293</v>
      </c>
      <c r="K599" s="104">
        <f>IF(ISERR('[1]Общее+'!L1262),"-",'[1]Общее+'!L1262)</f>
        <v>99.312575818843513</v>
      </c>
      <c r="L599" s="104">
        <f>IF(ISERR('[1]Общее+'!M1262),"-",'[1]Общее+'!M1262)</f>
        <v>99.713701431492836</v>
      </c>
      <c r="M599" s="104">
        <f>IF(ISERR('[1]Общее+'!N1262),"-",'[1]Общее+'!N1262)</f>
        <v>99.432048681541588</v>
      </c>
    </row>
    <row r="600" spans="1:13" s="89" customFormat="1" hidden="1" x14ac:dyDescent="0.25">
      <c r="A600" s="13"/>
      <c r="B600" s="70" t="s">
        <v>1304</v>
      </c>
      <c r="C600" s="13" t="s">
        <v>8</v>
      </c>
      <c r="D600" s="104"/>
      <c r="E600" s="104"/>
      <c r="F600" s="104"/>
      <c r="G600" s="104">
        <f>IF(ISERR('[1]Общее+'!H1263),"-",'[1]Общее+'!H1263)</f>
        <v>99.045052434237505</v>
      </c>
      <c r="H600" s="104">
        <f>IF(ISERR('[1]Общее+'!I1263),"-",'[1]Общее+'!I1263)</f>
        <v>99.648698456576824</v>
      </c>
      <c r="I600" s="104">
        <f>IF(ISERR('[1]Общее+'!J1263),"-",'[1]Общее+'!J1263)</f>
        <v>99.51238872824176</v>
      </c>
      <c r="J600" s="104">
        <f>IF(ISERR('[1]Общее+'!K1263),"-",'[1]Общее+'!K1263)</f>
        <v>99.478280594306455</v>
      </c>
      <c r="K600" s="104">
        <f>IF(ISERR('[1]Общее+'!L1263),"-",'[1]Общее+'!L1263)</f>
        <v>99.543378995433784</v>
      </c>
      <c r="L600" s="104">
        <f>IF(ISERR('[1]Общее+'!M1263),"-",'[1]Общее+'!M1263)</f>
        <v>99.534643226473634</v>
      </c>
      <c r="M600" s="104">
        <f>IF(ISERR('[1]Общее+'!N1263),"-",'[1]Общее+'!N1263)</f>
        <v>99.30777422790203</v>
      </c>
    </row>
    <row r="601" spans="1:13" s="89" customFormat="1" hidden="1" x14ac:dyDescent="0.25">
      <c r="A601" s="13"/>
      <c r="B601" s="70" t="s">
        <v>1302</v>
      </c>
      <c r="C601" s="13" t="s">
        <v>8</v>
      </c>
      <c r="D601" s="104">
        <f>IF(ISERR('[1]Общее+'!E1264),"-",'[1]Общее+'!E1264)</f>
        <v>99.639855942376954</v>
      </c>
      <c r="E601" s="104">
        <f>IF(ISERR('[1]Общее+'!F1264),"-",'[1]Общее+'!F1264)</f>
        <v>100</v>
      </c>
      <c r="F601" s="104">
        <f>IF(ISERR('[1]Общее+'!G1264),"-",'[1]Общее+'!G1264)</f>
        <v>99.578059071729967</v>
      </c>
      <c r="G601" s="104">
        <f>IF(ISERR('[1]Общее+'!H1264),"-",'[1]Общее+'!H1264)</f>
        <v>100</v>
      </c>
      <c r="H601" s="104">
        <f>IF(ISERR('[1]Общее+'!I1264),"-",'[1]Общее+'!I1264)</f>
        <v>99.890109890109898</v>
      </c>
      <c r="I601" s="104">
        <f>IF(ISERR('[1]Общее+'!J1264),"-",'[1]Общее+'!J1264)</f>
        <v>100</v>
      </c>
      <c r="J601" s="104">
        <f>IF(ISERR('[1]Общее+'!K1264),"-",'[1]Общее+'!K1264)</f>
        <v>100</v>
      </c>
      <c r="K601" s="104" t="str">
        <f>IF(ISERR('[1]Общее+'!L1264),"-",'[1]Общее+'!L1264)</f>
        <v>-</v>
      </c>
      <c r="L601" s="104" t="str">
        <f>IF(ISERR('[1]Общее+'!M1264),"-",'[1]Общее+'!M1264)</f>
        <v>-</v>
      </c>
      <c r="M601" s="104" t="str">
        <f>IF(ISERR('[1]Общее+'!N1264),"-",'[1]Общее+'!N1264)</f>
        <v>-</v>
      </c>
    </row>
    <row r="602" spans="1:13" s="89" customFormat="1" hidden="1" x14ac:dyDescent="0.25">
      <c r="A602" s="13"/>
      <c r="B602" s="70" t="s">
        <v>1303</v>
      </c>
      <c r="C602" s="13" t="s">
        <v>8</v>
      </c>
      <c r="D602" s="104"/>
      <c r="E602" s="104"/>
      <c r="F602" s="104"/>
      <c r="G602" s="104">
        <f>IF(ISERR('[1]Общее+'!H1265),"-",'[1]Общее+'!H1265)</f>
        <v>100</v>
      </c>
      <c r="H602" s="104">
        <f>IF(ISERR('[1]Общее+'!I1265),"-",'[1]Общее+'!I1265)</f>
        <v>99.890109890109898</v>
      </c>
      <c r="I602" s="104">
        <f>IF(ISERR('[1]Общее+'!J1265),"-",'[1]Общее+'!J1265)</f>
        <v>100</v>
      </c>
      <c r="J602" s="104">
        <f>IF(ISERR('[1]Общее+'!K1265),"-",'[1]Общее+'!K1265)</f>
        <v>100</v>
      </c>
      <c r="K602" s="104" t="str">
        <f>IF(ISERR('[1]Общее+'!L1265),"-",'[1]Общее+'!L1265)</f>
        <v>-</v>
      </c>
      <c r="L602" s="104" t="str">
        <f>IF(ISERR('[1]Общее+'!M1265),"-",'[1]Общее+'!M1265)</f>
        <v>-</v>
      </c>
      <c r="M602" s="104" t="str">
        <f>IF(ISERR('[1]Общее+'!N1265),"-",'[1]Общее+'!N1265)</f>
        <v>-</v>
      </c>
    </row>
    <row r="603" spans="1:13" s="89" customFormat="1" hidden="1" x14ac:dyDescent="0.25">
      <c r="A603" s="13"/>
      <c r="B603" s="70" t="s">
        <v>1304</v>
      </c>
      <c r="C603" s="13" t="s">
        <v>8</v>
      </c>
      <c r="D603" s="104"/>
      <c r="E603" s="104"/>
      <c r="F603" s="104"/>
      <c r="G603" s="104" t="str">
        <f>IF(ISERR('[1]Общее+'!H1266),"-",'[1]Общее+'!H1266)</f>
        <v>-</v>
      </c>
      <c r="H603" s="104" t="str">
        <f>IF(ISERR('[1]Общее+'!I1266),"-",'[1]Общее+'!I1266)</f>
        <v>-</v>
      </c>
      <c r="I603" s="104" t="str">
        <f>IF(ISERR('[1]Общее+'!J1266),"-",'[1]Общее+'!J1266)</f>
        <v>-</v>
      </c>
      <c r="J603" s="104" t="str">
        <f>IF(ISERR('[1]Общее+'!K1266),"-",'[1]Общее+'!K1266)</f>
        <v>-</v>
      </c>
      <c r="K603" s="104" t="str">
        <f>IF(ISERR('[1]Общее+'!L1266),"-",'[1]Общее+'!L1266)</f>
        <v>-</v>
      </c>
      <c r="L603" s="104" t="str">
        <f>IF(ISERR('[1]Общее+'!M1266),"-",'[1]Общее+'!M1266)</f>
        <v>-</v>
      </c>
      <c r="M603" s="104" t="str">
        <f>IF(ISERR('[1]Общее+'!N1266),"-",'[1]Общее+'!N1266)</f>
        <v>-</v>
      </c>
    </row>
    <row r="604" spans="1:13" s="89" customFormat="1" ht="30" x14ac:dyDescent="0.25">
      <c r="A604" s="13" t="s">
        <v>238</v>
      </c>
      <c r="B604" s="70" t="s">
        <v>2542</v>
      </c>
      <c r="C604" s="13" t="s">
        <v>8</v>
      </c>
      <c r="D604" s="104">
        <f>IF(ISERR('[1]Общее+'!E1292),"-",'[1]Общее+'!E1292)</f>
        <v>63.988095238095234</v>
      </c>
      <c r="E604" s="104">
        <f>IF(ISERR('[1]Общее+'!F1292),"-",'[1]Общее+'!F1292)</f>
        <v>65.269461077844312</v>
      </c>
      <c r="F604" s="104">
        <f>IF(ISERR('[1]Общее+'!G1292),"-",'[1]Общее+'!G1292)</f>
        <v>70.245398773006144</v>
      </c>
      <c r="G604" s="104">
        <f>IF(ISERR('[1]Общее+'!H1292),"-",'[1]Общее+'!H1292)</f>
        <v>68.338557993730404</v>
      </c>
      <c r="H604" s="104">
        <f>IF(ISERR('[1]Общее+'!I1292),"-",'[1]Общее+'!I1292)</f>
        <v>69.496855345911939</v>
      </c>
      <c r="I604" s="104">
        <f>IF(ISERR('[1]Общее+'!J1292),"-",'[1]Общее+'!J1292)</f>
        <v>70.967741935483872</v>
      </c>
      <c r="J604" s="93">
        <f>IF(ISERR('[1]Общее+'!K1292),"-",'[1]Общее+'!K1292)</f>
        <v>73.289902280130292</v>
      </c>
      <c r="K604" s="93">
        <f>IF(ISERR('[1]Общее+'!L1292),"-",'[1]Общее+'!L1292)</f>
        <v>44.444444444444443</v>
      </c>
      <c r="L604" s="93">
        <f>IF(ISERR('[1]Общее+'!M1292),"-",'[1]Общее+'!M1292)</f>
        <v>44.444444444444443</v>
      </c>
      <c r="M604" s="93">
        <f>IF(ISERR('[1]Общее+'!N1292),"-",'[1]Общее+'!N1292)</f>
        <v>44.444444444444443</v>
      </c>
    </row>
    <row r="605" spans="1:13" s="89" customFormat="1" hidden="1" x14ac:dyDescent="0.25">
      <c r="A605" s="13"/>
      <c r="B605" s="70" t="s">
        <v>1301</v>
      </c>
      <c r="C605" s="13" t="s">
        <v>8</v>
      </c>
      <c r="D605" s="104">
        <f>IF(ISERR('[1]Общее+'!E1292),"-",'[1]Общее+'!E1292)</f>
        <v>63.988095238095234</v>
      </c>
      <c r="E605" s="104">
        <f>IF(ISERR('[1]Общее+'!F1292),"-",'[1]Общее+'!F1292)</f>
        <v>65.269461077844312</v>
      </c>
      <c r="F605" s="104">
        <f>IF(ISERR('[1]Общее+'!G1292),"-",'[1]Общее+'!G1292)</f>
        <v>70.245398773006144</v>
      </c>
      <c r="G605" s="104">
        <f>IF(ISERR('[1]Общее+'!H1292),"-",'[1]Общее+'!H1292)</f>
        <v>68.338557993730404</v>
      </c>
      <c r="H605" s="104">
        <f>IF(ISERR('[1]Общее+'!I1292),"-",'[1]Общее+'!I1292)</f>
        <v>69.496855345911939</v>
      </c>
      <c r="I605" s="104">
        <f>IF(ISERR('[1]Общее+'!J1292),"-",'[1]Общее+'!J1292)</f>
        <v>70.967741935483872</v>
      </c>
      <c r="J605" s="104">
        <f>IF(ISERR('[1]Общее+'!K1292),"-",'[1]Общее+'!K1292)</f>
        <v>73.289902280130292</v>
      </c>
      <c r="K605" s="104">
        <f>IF(ISERR('[1]Общее+'!L1292),"-",'[1]Общее+'!L1292)</f>
        <v>44.444444444444443</v>
      </c>
      <c r="L605" s="104">
        <f>IF(ISERR('[1]Общее+'!M1292),"-",'[1]Общее+'!M1292)</f>
        <v>44.444444444444443</v>
      </c>
      <c r="M605" s="104">
        <f>IF(ISERR('[1]Общее+'!N1292),"-",'[1]Общее+'!N1292)</f>
        <v>44.444444444444443</v>
      </c>
    </row>
    <row r="606" spans="1:13" s="89" customFormat="1" hidden="1" x14ac:dyDescent="0.25">
      <c r="A606" s="13"/>
      <c r="B606" s="70" t="s">
        <v>1303</v>
      </c>
      <c r="C606" s="13" t="s">
        <v>8</v>
      </c>
      <c r="D606" s="104"/>
      <c r="E606" s="104"/>
      <c r="F606" s="104"/>
      <c r="G606" s="104">
        <f>IF(ISERR('[1]Общее+'!H1293),"-",'[1]Общее+'!H1293)</f>
        <v>80.365296803652967</v>
      </c>
      <c r="H606" s="104">
        <f>IF(ISERR('[1]Общее+'!I1293),"-",'[1]Общее+'!I1293)</f>
        <v>80.454545454545453</v>
      </c>
      <c r="I606" s="104">
        <f>IF(ISERR('[1]Общее+'!J1293),"-",'[1]Общее+'!J1293)</f>
        <v>78.604651162790702</v>
      </c>
      <c r="J606" s="104">
        <f>IF(ISERR('[1]Общее+'!K1293),"-",'[1]Общее+'!K1293)</f>
        <v>81.690140845070431</v>
      </c>
      <c r="K606" s="104">
        <f>IF(ISERR('[1]Общее+'!L1293),"-",'[1]Общее+'!L1293)</f>
        <v>80</v>
      </c>
      <c r="L606" s="104">
        <f>IF(ISERR('[1]Общее+'!M1293),"-",'[1]Общее+'!M1293)</f>
        <v>80</v>
      </c>
      <c r="M606" s="104">
        <f>IF(ISERR('[1]Общее+'!N1293),"-",'[1]Общее+'!N1293)</f>
        <v>80</v>
      </c>
    </row>
    <row r="607" spans="1:13" s="89" customFormat="1" hidden="1" x14ac:dyDescent="0.25">
      <c r="A607" s="13"/>
      <c r="B607" s="70" t="s">
        <v>1304</v>
      </c>
      <c r="C607" s="13" t="s">
        <v>8</v>
      </c>
      <c r="D607" s="104"/>
      <c r="E607" s="104"/>
      <c r="F607" s="104"/>
      <c r="G607" s="104">
        <f>IF(ISERR('[1]Общее+'!H1294),"-",'[1]Общее+'!H1294)</f>
        <v>42</v>
      </c>
      <c r="H607" s="104">
        <f>IF(ISERR('[1]Общее+'!I1294),"-",'[1]Общее+'!I1294)</f>
        <v>44.897959183673471</v>
      </c>
      <c r="I607" s="104">
        <f>IF(ISERR('[1]Общее+'!J1294),"-",'[1]Общее+'!J1294)</f>
        <v>53.684210526315788</v>
      </c>
      <c r="J607" s="104">
        <f>IF(ISERR('[1]Общее+'!K1294),"-",'[1]Общее+'!K1294)</f>
        <v>54.255319148936167</v>
      </c>
      <c r="K607" s="104">
        <f>IF(ISERR('[1]Общее+'!L1294),"-",'[1]Общее+'!L1294)</f>
        <v>30.76923076923077</v>
      </c>
      <c r="L607" s="104">
        <f>IF(ISERR('[1]Общее+'!M1294),"-",'[1]Общее+'!M1294)</f>
        <v>30.76923076923077</v>
      </c>
      <c r="M607" s="104">
        <f>IF(ISERR('[1]Общее+'!N1294),"-",'[1]Общее+'!N1294)</f>
        <v>30.76923076923077</v>
      </c>
    </row>
    <row r="608" spans="1:13" s="89" customFormat="1" hidden="1" x14ac:dyDescent="0.25">
      <c r="A608" s="13"/>
      <c r="B608" s="70" t="s">
        <v>1302</v>
      </c>
      <c r="C608" s="13" t="s">
        <v>8</v>
      </c>
      <c r="D608" s="104">
        <f>IF(ISERR('[1]Общее+'!E1295),"-",'[1]Общее+'!E1295)</f>
        <v>40</v>
      </c>
      <c r="E608" s="104">
        <f>IF(ISERR('[1]Общее+'!F1295),"-",'[1]Общее+'!F1295)</f>
        <v>20</v>
      </c>
      <c r="F608" s="104">
        <f>IF(ISERR('[1]Общее+'!G1295),"-",'[1]Общее+'!G1295)</f>
        <v>20</v>
      </c>
      <c r="G608" s="104">
        <f>IF(ISERR('[1]Общее+'!H1295),"-",'[1]Общее+'!H1295)</f>
        <v>0</v>
      </c>
      <c r="H608" s="104">
        <f>IF(ISERR('[1]Общее+'!I1295),"-",'[1]Общее+'!I1295)</f>
        <v>0</v>
      </c>
      <c r="I608" s="104">
        <f>IF(ISERR('[1]Общее+'!J1295),"-",'[1]Общее+'!J1295)</f>
        <v>0</v>
      </c>
      <c r="J608" s="104">
        <f>IF(ISERR('[1]Общее+'!K1295),"-",'[1]Общее+'!K1295)</f>
        <v>0</v>
      </c>
      <c r="K608" s="104" t="str">
        <f>IF(ISERR('[1]Общее+'!L1295),"-",'[1]Общее+'!L1295)</f>
        <v>-</v>
      </c>
      <c r="L608" s="104" t="str">
        <f>IF(ISERR('[1]Общее+'!M1295),"-",'[1]Общее+'!M1295)</f>
        <v>-</v>
      </c>
      <c r="M608" s="104" t="str">
        <f>IF(ISERR('[1]Общее+'!N1295),"-",'[1]Общее+'!N1295)</f>
        <v>-</v>
      </c>
    </row>
    <row r="609" spans="1:13" s="89" customFormat="1" hidden="1" x14ac:dyDescent="0.25">
      <c r="A609" s="13"/>
      <c r="B609" s="70" t="s">
        <v>1303</v>
      </c>
      <c r="C609" s="13" t="s">
        <v>8</v>
      </c>
      <c r="D609" s="104"/>
      <c r="E609" s="104"/>
      <c r="F609" s="104"/>
      <c r="G609" s="104">
        <f>IF(ISERR('[1]Общее+'!H1296),"-",'[1]Общее+'!H1296)</f>
        <v>0</v>
      </c>
      <c r="H609" s="104">
        <f>IF(ISERR('[1]Общее+'!I1296),"-",'[1]Общее+'!I1296)</f>
        <v>0</v>
      </c>
      <c r="I609" s="104">
        <f>IF(ISERR('[1]Общее+'!J1296),"-",'[1]Общее+'!J1296)</f>
        <v>0</v>
      </c>
      <c r="J609" s="104">
        <f>IF(ISERR('[1]Общее+'!K1296),"-",'[1]Общее+'!K1296)</f>
        <v>0</v>
      </c>
      <c r="K609" s="104" t="str">
        <f>IF(ISERR('[1]Общее+'!L1296),"-",'[1]Общее+'!L1296)</f>
        <v>-</v>
      </c>
      <c r="L609" s="104" t="str">
        <f>IF(ISERR('[1]Общее+'!M1296),"-",'[1]Общее+'!M1296)</f>
        <v>-</v>
      </c>
      <c r="M609" s="104" t="str">
        <f>IF(ISERR('[1]Общее+'!N1296),"-",'[1]Общее+'!N1296)</f>
        <v>-</v>
      </c>
    </row>
    <row r="610" spans="1:13" s="89" customFormat="1" hidden="1" x14ac:dyDescent="0.25">
      <c r="A610" s="13"/>
      <c r="B610" s="70" t="s">
        <v>1304</v>
      </c>
      <c r="C610" s="13" t="s">
        <v>8</v>
      </c>
      <c r="D610" s="104"/>
      <c r="E610" s="104"/>
      <c r="F610" s="104"/>
      <c r="G610" s="104" t="str">
        <f>IF(ISERR('[1]Общее+'!H1297),"-",'[1]Общее+'!H1297)</f>
        <v>-</v>
      </c>
      <c r="H610" s="104" t="str">
        <f>IF(ISERR('[1]Общее+'!I1297),"-",'[1]Общее+'!I1297)</f>
        <v>-</v>
      </c>
      <c r="I610" s="104" t="str">
        <f>IF(ISERR('[1]Общее+'!J1297),"-",'[1]Общее+'!J1297)</f>
        <v>-</v>
      </c>
      <c r="J610" s="104" t="str">
        <f>IF(ISERR('[1]Общее+'!K1297),"-",'[1]Общее+'!K1297)</f>
        <v>-</v>
      </c>
      <c r="K610" s="104" t="str">
        <f>IF(ISERR('[1]Общее+'!L1297),"-",'[1]Общее+'!L1297)</f>
        <v>-</v>
      </c>
      <c r="L610" s="104" t="str">
        <f>IF(ISERR('[1]Общее+'!M1297),"-",'[1]Общее+'!M1297)</f>
        <v>-</v>
      </c>
      <c r="M610" s="104" t="str">
        <f>IF(ISERR('[1]Общее+'!N1297),"-",'[1]Общее+'!N1297)</f>
        <v>-</v>
      </c>
    </row>
    <row r="611" spans="1:13" s="89" customFormat="1" ht="30" x14ac:dyDescent="0.25">
      <c r="A611" s="13" t="s">
        <v>242</v>
      </c>
      <c r="B611" s="70" t="s">
        <v>2543</v>
      </c>
      <c r="C611" s="13" t="s">
        <v>8</v>
      </c>
      <c r="D611" s="104">
        <f>IF(ISERR('[1]Общее+'!E1319),"-",'[1]Общее+'!E1319)</f>
        <v>95.043731778425652</v>
      </c>
      <c r="E611" s="104">
        <f>IF(ISERR('[1]Общее+'!F1319),"-",'[1]Общее+'!F1319)</f>
        <v>95.575221238938056</v>
      </c>
      <c r="F611" s="104">
        <f>IF(ISERR('[1]Общее+'!G1319),"-",'[1]Общее+'!G1319)</f>
        <v>96.060606060606062</v>
      </c>
      <c r="G611" s="104">
        <f>IF(ISERR('[1]Общее+'!H1319),"-",'[1]Общее+'!H1319)</f>
        <v>98.447204968944106</v>
      </c>
      <c r="H611" s="104">
        <f>IF(ISERR('[1]Общее+'!I1319),"-",'[1]Общее+'!I1319)</f>
        <v>98.742138364779876</v>
      </c>
      <c r="I611" s="104">
        <f>IF(ISERR('[1]Общее+'!J1319),"-",'[1]Общее+'!J1319)</f>
        <v>99.032258064516128</v>
      </c>
      <c r="J611" s="104">
        <f>IF(ISERR('[1]Общее+'!K1319),"-",'[1]Общее+'!K1319)</f>
        <v>99.348534201954394</v>
      </c>
      <c r="K611" s="104" t="str">
        <f>IF(ISERR('[1]Общее+'!L1319),"-",'[1]Общее+'!L1319)</f>
        <v>-</v>
      </c>
      <c r="L611" s="104" t="str">
        <f>IF(ISERR('[1]Общее+'!M1319),"-",'[1]Общее+'!M1319)</f>
        <v>-</v>
      </c>
      <c r="M611" s="104" t="str">
        <f>IF(ISERR('[1]Общее+'!N1319),"-",'[1]Общее+'!N1319)</f>
        <v>-</v>
      </c>
    </row>
    <row r="612" spans="1:13" s="89" customFormat="1" hidden="1" x14ac:dyDescent="0.25">
      <c r="A612" s="13"/>
      <c r="B612" s="70" t="s">
        <v>1301</v>
      </c>
      <c r="C612" s="13" t="s">
        <v>8</v>
      </c>
      <c r="D612" s="104">
        <f>IF(ISERR('[1]Общее+'!E1319),"-",'[1]Общее+'!E1319)</f>
        <v>95.043731778425652</v>
      </c>
      <c r="E612" s="104">
        <f>IF(ISERR('[1]Общее+'!F1319),"-",'[1]Общее+'!F1319)</f>
        <v>95.575221238938056</v>
      </c>
      <c r="F612" s="104">
        <f>IF(ISERR('[1]Общее+'!G1319),"-",'[1]Общее+'!G1319)</f>
        <v>96.060606060606062</v>
      </c>
      <c r="G612" s="104">
        <f>IF(ISERR('[1]Общее+'!H1319),"-",'[1]Общее+'!H1319)</f>
        <v>98.447204968944106</v>
      </c>
      <c r="H612" s="104">
        <f>IF(ISERR('[1]Общее+'!I1319),"-",'[1]Общее+'!I1319)</f>
        <v>98.742138364779876</v>
      </c>
      <c r="I612" s="104">
        <f>IF(ISERR('[1]Общее+'!J1319),"-",'[1]Общее+'!J1319)</f>
        <v>99.032258064516128</v>
      </c>
      <c r="J612" s="104">
        <f>IF(ISERR('[1]Общее+'!K1319),"-",'[1]Общее+'!K1319)</f>
        <v>99.348534201954394</v>
      </c>
      <c r="K612" s="104" t="str">
        <f>IF(ISERR('[1]Общее+'!L1319),"-",'[1]Общее+'!L1319)</f>
        <v>-</v>
      </c>
      <c r="L612" s="104" t="str">
        <f>IF(ISERR('[1]Общее+'!M1319),"-",'[1]Общее+'!M1319)</f>
        <v>-</v>
      </c>
      <c r="M612" s="104" t="str">
        <f>IF(ISERR('[1]Общее+'!N1319),"-",'[1]Общее+'!N1319)</f>
        <v>-</v>
      </c>
    </row>
    <row r="613" spans="1:13" s="89" customFormat="1" hidden="1" x14ac:dyDescent="0.25">
      <c r="A613" s="13"/>
      <c r="B613" s="70" t="s">
        <v>1303</v>
      </c>
      <c r="C613" s="13" t="s">
        <v>8</v>
      </c>
      <c r="D613" s="104"/>
      <c r="E613" s="104"/>
      <c r="F613" s="104"/>
      <c r="G613" s="104">
        <f>IF(ISERR('[1]Общее+'!H1320),"-",'[1]Общее+'!H1320)</f>
        <v>98.198198198198199</v>
      </c>
      <c r="H613" s="104">
        <f>IF(ISERR('[1]Общее+'!I1320),"-",'[1]Общее+'!I1320)</f>
        <v>98.636363636363626</v>
      </c>
      <c r="I613" s="104">
        <f>IF(ISERR('[1]Общее+'!J1320),"-",'[1]Общее+'!J1320)</f>
        <v>99.069767441860463</v>
      </c>
      <c r="J613" s="104">
        <f>IF(ISERR('[1]Общее+'!K1320),"-",'[1]Общее+'!K1320)</f>
        <v>99.53051643192488</v>
      </c>
      <c r="K613" s="104" t="str">
        <f>IF(ISERR('[1]Общее+'!L1320),"-",'[1]Общее+'!L1320)</f>
        <v>-</v>
      </c>
      <c r="L613" s="104" t="str">
        <f>IF(ISERR('[1]Общее+'!M1320),"-",'[1]Общее+'!M1320)</f>
        <v>-</v>
      </c>
      <c r="M613" s="104" t="str">
        <f>IF(ISERR('[1]Общее+'!N1320),"-",'[1]Общее+'!N1320)</f>
        <v>-</v>
      </c>
    </row>
    <row r="614" spans="1:13" s="89" customFormat="1" hidden="1" x14ac:dyDescent="0.25">
      <c r="A614" s="13"/>
      <c r="B614" s="70" t="s">
        <v>1304</v>
      </c>
      <c r="C614" s="13" t="s">
        <v>8</v>
      </c>
      <c r="D614" s="104"/>
      <c r="E614" s="104"/>
      <c r="F614" s="104"/>
      <c r="G614" s="104">
        <f>IF(ISERR('[1]Общее+'!H1321),"-",'[1]Общее+'!H1321)</f>
        <v>99</v>
      </c>
      <c r="H614" s="104">
        <f>IF(ISERR('[1]Общее+'!I1321),"-",'[1]Общее+'!I1321)</f>
        <v>98.979591836734699</v>
      </c>
      <c r="I614" s="104">
        <f>IF(ISERR('[1]Общее+'!J1321),"-",'[1]Общее+'!J1321)</f>
        <v>98.94736842105263</v>
      </c>
      <c r="J614" s="104">
        <f>IF(ISERR('[1]Общее+'!K1321),"-",'[1]Общее+'!K1321)</f>
        <v>98.936170212765958</v>
      </c>
      <c r="K614" s="104" t="str">
        <f>IF(ISERR('[1]Общее+'!L1321),"-",'[1]Общее+'!L1321)</f>
        <v>-</v>
      </c>
      <c r="L614" s="104" t="str">
        <f>IF(ISERR('[1]Общее+'!M1321),"-",'[1]Общее+'!M1321)</f>
        <v>-</v>
      </c>
      <c r="M614" s="104" t="str">
        <f>IF(ISERR('[1]Общее+'!N1321),"-",'[1]Общее+'!N1321)</f>
        <v>-</v>
      </c>
    </row>
    <row r="615" spans="1:13" s="89" customFormat="1" hidden="1" x14ac:dyDescent="0.25">
      <c r="A615" s="13"/>
      <c r="B615" s="70" t="s">
        <v>1302</v>
      </c>
      <c r="C615" s="13" t="s">
        <v>8</v>
      </c>
      <c r="D615" s="104">
        <f>IF(ISERR('[1]Общее+'!E1322),"-",'[1]Общее+'!E1322)</f>
        <v>80</v>
      </c>
      <c r="E615" s="104">
        <f>IF(ISERR('[1]Общее+'!F1322),"-",'[1]Общее+'!F1322)</f>
        <v>80</v>
      </c>
      <c r="F615" s="104">
        <f>IF(ISERR('[1]Общее+'!G1322),"-",'[1]Общее+'!G1322)</f>
        <v>80</v>
      </c>
      <c r="G615" s="104">
        <f>IF(ISERR('[1]Общее+'!H1322),"-",'[1]Общее+'!H1322)</f>
        <v>100</v>
      </c>
      <c r="H615" s="104">
        <f>IF(ISERR('[1]Общее+'!I1322),"-",'[1]Общее+'!I1322)</f>
        <v>100</v>
      </c>
      <c r="I615" s="104">
        <f>IF(ISERR('[1]Общее+'!J1322),"-",'[1]Общее+'!J1322)</f>
        <v>100</v>
      </c>
      <c r="J615" s="104">
        <f>IF(ISERR('[1]Общее+'!K1322),"-",'[1]Общее+'!K1322)</f>
        <v>100</v>
      </c>
      <c r="K615" s="104" t="str">
        <f>IF(ISERR('[1]Общее+'!L1322),"-",'[1]Общее+'!L1322)</f>
        <v>-</v>
      </c>
      <c r="L615" s="104" t="str">
        <f>IF(ISERR('[1]Общее+'!M1322),"-",'[1]Общее+'!M1322)</f>
        <v>-</v>
      </c>
      <c r="M615" s="104" t="str">
        <f>IF(ISERR('[1]Общее+'!N1322),"-",'[1]Общее+'!N1322)</f>
        <v>-</v>
      </c>
    </row>
    <row r="616" spans="1:13" s="89" customFormat="1" hidden="1" x14ac:dyDescent="0.25">
      <c r="A616" s="13"/>
      <c r="B616" s="70" t="s">
        <v>1303</v>
      </c>
      <c r="C616" s="13" t="s">
        <v>8</v>
      </c>
      <c r="D616" s="104"/>
      <c r="E616" s="104"/>
      <c r="F616" s="104"/>
      <c r="G616" s="104">
        <f>IF(ISERR('[1]Общее+'!H1323),"-",'[1]Общее+'!H1323)</f>
        <v>100</v>
      </c>
      <c r="H616" s="104">
        <f>IF(ISERR('[1]Общее+'!I1323),"-",'[1]Общее+'!I1323)</f>
        <v>100</v>
      </c>
      <c r="I616" s="104">
        <f>IF(ISERR('[1]Общее+'!J1323),"-",'[1]Общее+'!J1323)</f>
        <v>100</v>
      </c>
      <c r="J616" s="104">
        <f>IF(ISERR('[1]Общее+'!K1323),"-",'[1]Общее+'!K1323)</f>
        <v>100</v>
      </c>
      <c r="K616" s="104" t="str">
        <f>IF(ISERR('[1]Общее+'!L1323),"-",'[1]Общее+'!L1323)</f>
        <v>-</v>
      </c>
      <c r="L616" s="104" t="str">
        <f>IF(ISERR('[1]Общее+'!M1323),"-",'[1]Общее+'!M1323)</f>
        <v>-</v>
      </c>
      <c r="M616" s="104" t="str">
        <f>IF(ISERR('[1]Общее+'!N1323),"-",'[1]Общее+'!N1323)</f>
        <v>-</v>
      </c>
    </row>
    <row r="617" spans="1:13" s="89" customFormat="1" hidden="1" x14ac:dyDescent="0.25">
      <c r="A617" s="13"/>
      <c r="B617" s="70" t="s">
        <v>1304</v>
      </c>
      <c r="C617" s="13" t="s">
        <v>8</v>
      </c>
      <c r="D617" s="104"/>
      <c r="E617" s="104"/>
      <c r="F617" s="104"/>
      <c r="G617" s="104" t="str">
        <f>IF(ISERR('[1]Общее+'!H1324),"-",'[1]Общее+'!H1324)</f>
        <v>-</v>
      </c>
      <c r="H617" s="104" t="str">
        <f>IF(ISERR('[1]Общее+'!I1324),"-",'[1]Общее+'!I1324)</f>
        <v>-</v>
      </c>
      <c r="I617" s="104" t="str">
        <f>IF(ISERR('[1]Общее+'!J1324),"-",'[1]Общее+'!J1324)</f>
        <v>-</v>
      </c>
      <c r="J617" s="104" t="str">
        <f>IF(ISERR('[1]Общее+'!K1324),"-",'[1]Общее+'!K1324)</f>
        <v>-</v>
      </c>
      <c r="K617" s="104" t="str">
        <f>IF(ISERR('[1]Общее+'!L1324),"-",'[1]Общее+'!L1324)</f>
        <v>-</v>
      </c>
      <c r="L617" s="104" t="str">
        <f>IF(ISERR('[1]Общее+'!M1324),"-",'[1]Общее+'!M1324)</f>
        <v>-</v>
      </c>
      <c r="M617" s="104" t="str">
        <f>IF(ISERR('[1]Общее+'!N1324),"-",'[1]Общее+'!N1324)</f>
        <v>-</v>
      </c>
    </row>
    <row r="618" spans="1:13" s="89" customFormat="1" ht="30" x14ac:dyDescent="0.25">
      <c r="A618" s="13" t="s">
        <v>243</v>
      </c>
      <c r="B618" s="70" t="s">
        <v>2544</v>
      </c>
      <c r="C618" s="13" t="s">
        <v>8</v>
      </c>
      <c r="D618" s="104">
        <f>IF(ISERR('[1]Общее+'!E1348),"-",'[1]Общее+'!E1348)</f>
        <v>11.078717201166182</v>
      </c>
      <c r="E618" s="104">
        <f>IF(ISERR('[1]Общее+'!F1348),"-",'[1]Общее+'!F1348)</f>
        <v>12.684365781710916</v>
      </c>
      <c r="F618" s="104">
        <f>IF(ISERR('[1]Общее+'!G1348),"-",'[1]Общее+'!G1348)</f>
        <v>13.030303030303031</v>
      </c>
      <c r="G618" s="104">
        <f>IF(ISERR('[1]Общее+'!H1348),"-",'[1]Общее+'!H1348)</f>
        <v>13.975155279503104</v>
      </c>
      <c r="H618" s="104">
        <f>IF(ISERR('[1]Общее+'!I1348),"-",'[1]Общее+'!I1348)</f>
        <v>14.779874213836477</v>
      </c>
      <c r="I618" s="104">
        <f>IF(ISERR('[1]Общее+'!J1348),"-",'[1]Общее+'!J1348)</f>
        <v>14.838709677419354</v>
      </c>
      <c r="J618" s="104">
        <f>IF(ISERR('[1]Общее+'!K1348),"-",'[1]Общее+'!K1348)</f>
        <v>14.983713355048861</v>
      </c>
      <c r="K618" s="104" t="str">
        <f>IF(ISERR('[1]Общее+'!L1348),"-",'[1]Общее+'!L1348)</f>
        <v>-</v>
      </c>
      <c r="L618" s="104" t="str">
        <f>IF(ISERR('[1]Общее+'!M1348),"-",'[1]Общее+'!M1348)</f>
        <v>-</v>
      </c>
      <c r="M618" s="104" t="str">
        <f>IF(ISERR('[1]Общее+'!N1348),"-",'[1]Общее+'!N1348)</f>
        <v>-</v>
      </c>
    </row>
    <row r="619" spans="1:13" s="89" customFormat="1" hidden="1" x14ac:dyDescent="0.25">
      <c r="A619" s="13"/>
      <c r="B619" s="70" t="s">
        <v>1301</v>
      </c>
      <c r="C619" s="13" t="s">
        <v>8</v>
      </c>
      <c r="D619" s="104">
        <f>IF(ISERR('[1]Общее+'!E1348),"-",'[1]Общее+'!E1348)</f>
        <v>11.078717201166182</v>
      </c>
      <c r="E619" s="104">
        <f>IF(ISERR('[1]Общее+'!F1348),"-",'[1]Общее+'!F1348)</f>
        <v>12.684365781710916</v>
      </c>
      <c r="F619" s="104">
        <f>IF(ISERR('[1]Общее+'!G1348),"-",'[1]Общее+'!G1348)</f>
        <v>13.030303030303031</v>
      </c>
      <c r="G619" s="104">
        <f>IF(ISERR('[1]Общее+'!H1348),"-",'[1]Общее+'!H1348)</f>
        <v>13.975155279503104</v>
      </c>
      <c r="H619" s="104">
        <f>IF(ISERR('[1]Общее+'!I1348),"-",'[1]Общее+'!I1348)</f>
        <v>14.779874213836477</v>
      </c>
      <c r="I619" s="104">
        <f>IF(ISERR('[1]Общее+'!J1348),"-",'[1]Общее+'!J1348)</f>
        <v>14.838709677419354</v>
      </c>
      <c r="J619" s="104">
        <f>IF(ISERR('[1]Общее+'!K1348),"-",'[1]Общее+'!K1348)</f>
        <v>14.983713355048861</v>
      </c>
      <c r="K619" s="104" t="str">
        <f>IF(ISERR('[1]Общее+'!L1348),"-",'[1]Общее+'!L1348)</f>
        <v>-</v>
      </c>
      <c r="L619" s="104" t="str">
        <f>IF(ISERR('[1]Общее+'!M1348),"-",'[1]Общее+'!M1348)</f>
        <v>-</v>
      </c>
      <c r="M619" s="104" t="str">
        <f>IF(ISERR('[1]Общее+'!N1348),"-",'[1]Общее+'!N1348)</f>
        <v>-</v>
      </c>
    </row>
    <row r="620" spans="1:13" s="89" customFormat="1" hidden="1" x14ac:dyDescent="0.25">
      <c r="A620" s="13"/>
      <c r="B620" s="70" t="s">
        <v>1303</v>
      </c>
      <c r="C620" s="13" t="s">
        <v>8</v>
      </c>
      <c r="D620" s="104"/>
      <c r="E620" s="104"/>
      <c r="F620" s="104"/>
      <c r="G620" s="104">
        <f>IF(ISERR('[1]Общее+'!H1349),"-",'[1]Общее+'!H1349)</f>
        <v>18.468468468468469</v>
      </c>
      <c r="H620" s="104">
        <f>IF(ISERR('[1]Общее+'!I1349),"-",'[1]Общее+'!I1349)</f>
        <v>19.545454545454547</v>
      </c>
      <c r="I620" s="104">
        <f>IF(ISERR('[1]Общее+'!J1349),"-",'[1]Общее+'!J1349)</f>
        <v>19.069767441860467</v>
      </c>
      <c r="J620" s="104">
        <f>IF(ISERR('[1]Общее+'!K1349),"-",'[1]Общее+'!K1349)</f>
        <v>20.187793427230048</v>
      </c>
      <c r="K620" s="104" t="str">
        <f>IF(ISERR('[1]Общее+'!L1349),"-",'[1]Общее+'!L1349)</f>
        <v>-</v>
      </c>
      <c r="L620" s="104" t="str">
        <f>IF(ISERR('[1]Общее+'!M1349),"-",'[1]Общее+'!M1349)</f>
        <v>-</v>
      </c>
      <c r="M620" s="104" t="str">
        <f>IF(ISERR('[1]Общее+'!N1349),"-",'[1]Общее+'!N1349)</f>
        <v>-</v>
      </c>
    </row>
    <row r="621" spans="1:13" s="89" customFormat="1" hidden="1" x14ac:dyDescent="0.25">
      <c r="A621" s="13"/>
      <c r="B621" s="70" t="s">
        <v>1304</v>
      </c>
      <c r="C621" s="13" t="s">
        <v>8</v>
      </c>
      <c r="D621" s="104"/>
      <c r="E621" s="104"/>
      <c r="F621" s="104"/>
      <c r="G621" s="104">
        <f>IF(ISERR('[1]Общее+'!H1350),"-",'[1]Общее+'!H1350)</f>
        <v>4</v>
      </c>
      <c r="H621" s="104">
        <f>IF(ISERR('[1]Общее+'!I1350),"-",'[1]Общее+'!I1350)</f>
        <v>4.0816326530612246</v>
      </c>
      <c r="I621" s="104">
        <f>IF(ISERR('[1]Общее+'!J1350),"-",'[1]Общее+'!J1350)</f>
        <v>5.2631578947368416</v>
      </c>
      <c r="J621" s="104">
        <f>IF(ISERR('[1]Общее+'!K1350),"-",'[1]Общее+'!K1350)</f>
        <v>3.1914893617021276</v>
      </c>
      <c r="K621" s="104" t="str">
        <f>IF(ISERR('[1]Общее+'!L1350),"-",'[1]Общее+'!L1350)</f>
        <v>-</v>
      </c>
      <c r="L621" s="104" t="str">
        <f>IF(ISERR('[1]Общее+'!M1350),"-",'[1]Общее+'!M1350)</f>
        <v>-</v>
      </c>
      <c r="M621" s="104" t="str">
        <f>IF(ISERR('[1]Общее+'!N1350),"-",'[1]Общее+'!N1350)</f>
        <v>-</v>
      </c>
    </row>
    <row r="622" spans="1:13" s="89" customFormat="1" hidden="1" x14ac:dyDescent="0.25">
      <c r="A622" s="13"/>
      <c r="B622" s="70" t="s">
        <v>1302</v>
      </c>
      <c r="C622" s="13" t="s">
        <v>8</v>
      </c>
      <c r="D622" s="104">
        <f>IF(ISERR('[1]Общее+'!E1351),"-",'[1]Общее+'!E1351)</f>
        <v>0</v>
      </c>
      <c r="E622" s="104">
        <f>IF(ISERR('[1]Общее+'!F1351),"-",'[1]Общее+'!F1351)</f>
        <v>0</v>
      </c>
      <c r="F622" s="104">
        <f>IF(ISERR('[1]Общее+'!G1351),"-",'[1]Общее+'!G1351)</f>
        <v>0</v>
      </c>
      <c r="G622" s="104">
        <f>IF(ISERR('[1]Общее+'!H1351),"-",'[1]Общее+'!H1351)</f>
        <v>0</v>
      </c>
      <c r="H622" s="104">
        <f>IF(ISERR('[1]Общее+'!I1351),"-",'[1]Общее+'!I1351)</f>
        <v>0</v>
      </c>
      <c r="I622" s="104">
        <f>IF(ISERR('[1]Общее+'!J1351),"-",'[1]Общее+'!J1351)</f>
        <v>0</v>
      </c>
      <c r="J622" s="104">
        <f>IF(ISERR('[1]Общее+'!K1351),"-",'[1]Общее+'!K1351)</f>
        <v>0</v>
      </c>
      <c r="K622" s="104" t="str">
        <f>IF(ISERR('[1]Общее+'!L1351),"-",'[1]Общее+'!L1351)</f>
        <v>-</v>
      </c>
      <c r="L622" s="104" t="str">
        <f>IF(ISERR('[1]Общее+'!M1351),"-",'[1]Общее+'!M1351)</f>
        <v>-</v>
      </c>
      <c r="M622" s="104" t="str">
        <f>IF(ISERR('[1]Общее+'!N1351),"-",'[1]Общее+'!N1351)</f>
        <v>-</v>
      </c>
    </row>
    <row r="623" spans="1:13" s="89" customFormat="1" hidden="1" x14ac:dyDescent="0.25">
      <c r="A623" s="13"/>
      <c r="B623" s="70" t="s">
        <v>1303</v>
      </c>
      <c r="C623" s="13" t="s">
        <v>8</v>
      </c>
      <c r="D623" s="104"/>
      <c r="E623" s="104"/>
      <c r="F623" s="104"/>
      <c r="G623" s="104">
        <f>IF(ISERR('[1]Общее+'!H1352),"-",'[1]Общее+'!H1352)</f>
        <v>0</v>
      </c>
      <c r="H623" s="104">
        <f>IF(ISERR('[1]Общее+'!I1352),"-",'[1]Общее+'!I1352)</f>
        <v>0</v>
      </c>
      <c r="I623" s="104">
        <f>IF(ISERR('[1]Общее+'!J1352),"-",'[1]Общее+'!J1352)</f>
        <v>0</v>
      </c>
      <c r="J623" s="104">
        <f>IF(ISERR('[1]Общее+'!K1352),"-",'[1]Общее+'!K1352)</f>
        <v>0</v>
      </c>
      <c r="K623" s="104" t="str">
        <f>IF(ISERR('[1]Общее+'!L1352),"-",'[1]Общее+'!L1352)</f>
        <v>-</v>
      </c>
      <c r="L623" s="104" t="str">
        <f>IF(ISERR('[1]Общее+'!M1352),"-",'[1]Общее+'!M1352)</f>
        <v>-</v>
      </c>
      <c r="M623" s="104" t="str">
        <f>IF(ISERR('[1]Общее+'!N1352),"-",'[1]Общее+'!N1352)</f>
        <v>-</v>
      </c>
    </row>
    <row r="624" spans="1:13" s="89" customFormat="1" hidden="1" x14ac:dyDescent="0.25">
      <c r="A624" s="13"/>
      <c r="B624" s="70" t="s">
        <v>1304</v>
      </c>
      <c r="C624" s="13" t="s">
        <v>8</v>
      </c>
      <c r="D624" s="104"/>
      <c r="E624" s="104"/>
      <c r="F624" s="104"/>
      <c r="G624" s="104" t="str">
        <f>IF(ISERR('[1]Общее+'!H1353),"-",'[1]Общее+'!H1353)</f>
        <v>-</v>
      </c>
      <c r="H624" s="104" t="str">
        <f>IF(ISERR('[1]Общее+'!I1353),"-",'[1]Общее+'!I1353)</f>
        <v>-</v>
      </c>
      <c r="I624" s="104" t="str">
        <f>IF(ISERR('[1]Общее+'!J1353),"-",'[1]Общее+'!J1353)</f>
        <v>-</v>
      </c>
      <c r="J624" s="104" t="str">
        <f>IF(ISERR('[1]Общее+'!K1353),"-",'[1]Общее+'!K1353)</f>
        <v>-</v>
      </c>
      <c r="K624" s="104" t="str">
        <f>IF(ISERR('[1]Общее+'!L1353),"-",'[1]Общее+'!L1353)</f>
        <v>-</v>
      </c>
      <c r="L624" s="104" t="str">
        <f>IF(ISERR('[1]Общее+'!M1353),"-",'[1]Общее+'!M1353)</f>
        <v>-</v>
      </c>
      <c r="M624" s="104" t="str">
        <f>IF(ISERR('[1]Общее+'!N1353),"-",'[1]Общее+'!N1353)</f>
        <v>-</v>
      </c>
    </row>
    <row r="625" spans="1:13" s="89" customFormat="1" ht="60" x14ac:dyDescent="0.25">
      <c r="A625" s="99" t="s">
        <v>249</v>
      </c>
      <c r="B625" s="100" t="s">
        <v>262</v>
      </c>
      <c r="C625" s="87"/>
      <c r="D625" s="90"/>
      <c r="E625" s="90"/>
      <c r="F625" s="90"/>
      <c r="G625" s="90"/>
      <c r="H625" s="90"/>
      <c r="I625" s="90"/>
      <c r="J625" s="90"/>
      <c r="K625" s="90"/>
      <c r="L625" s="90"/>
      <c r="M625" s="90"/>
    </row>
    <row r="626" spans="1:13" s="89" customFormat="1" ht="60" x14ac:dyDescent="0.25">
      <c r="A626" s="13" t="s">
        <v>250</v>
      </c>
      <c r="B626" s="70" t="s">
        <v>2545</v>
      </c>
      <c r="C626" s="13"/>
      <c r="D626" s="90"/>
      <c r="E626" s="90"/>
      <c r="F626" s="90"/>
      <c r="G626" s="90"/>
      <c r="H626" s="90"/>
      <c r="I626" s="90"/>
      <c r="J626" s="90"/>
      <c r="K626" s="90"/>
      <c r="L626" s="90"/>
      <c r="M626" s="90"/>
    </row>
    <row r="627" spans="1:13" s="89" customFormat="1" x14ac:dyDescent="0.25">
      <c r="A627" s="13"/>
      <c r="B627" s="70" t="s">
        <v>1301</v>
      </c>
      <c r="C627" s="13" t="s">
        <v>8</v>
      </c>
      <c r="D627" s="104">
        <f>IF(ISERR('[1]Общее+'!E1379),"-",'[1]Общее+'!E1379)</f>
        <v>95.277777777777771</v>
      </c>
      <c r="E627" s="104">
        <f>IF(ISERR('[1]Общее+'!F1379),"-",'[1]Общее+'!F1379)</f>
        <v>98.833819241982511</v>
      </c>
      <c r="F627" s="104">
        <f>IF(ISERR('[1]Общее+'!G1379),"-",'[1]Общее+'!G1379)</f>
        <v>97.345132743362825</v>
      </c>
      <c r="G627" s="104">
        <f>IF(ISERR('[1]Общее+'!H1379),"-",'[1]Общее+'!H1379)</f>
        <v>100.90909090909091</v>
      </c>
      <c r="H627" s="104">
        <f>IF(ISERR('[1]Общее+'!I1379),"-",'[1]Общее+'!I1379)</f>
        <v>98.798798798798799</v>
      </c>
      <c r="I627" s="104">
        <f>IF(ISERR('[1]Общее+'!J1379),"-",'[1]Общее+'!J1379)</f>
        <v>98.784194528875375</v>
      </c>
      <c r="J627" s="104">
        <f>IF(ISERR('[1]Общее+'!K1379),"-",'[1]Общее+'!K1379)</f>
        <v>98.461538461538467</v>
      </c>
      <c r="K627" s="104">
        <f>IF(ISERR('[1]Общее+'!L1379),"-",'[1]Общее+'!L1379)</f>
        <v>100</v>
      </c>
      <c r="L627" s="104">
        <f>IF(ISERR('[1]Общее+'!M1379),"-",'[1]Общее+'!M1379)</f>
        <v>100</v>
      </c>
      <c r="M627" s="104">
        <f>IF(ISERR('[1]Общее+'!N1379),"-",'[1]Общее+'!N1379)</f>
        <v>100</v>
      </c>
    </row>
    <row r="628" spans="1:13" s="89" customFormat="1" x14ac:dyDescent="0.25">
      <c r="A628" s="13"/>
      <c r="B628" s="70" t="s">
        <v>1303</v>
      </c>
      <c r="C628" s="13" t="s">
        <v>8</v>
      </c>
      <c r="D628" s="104">
        <f>IF(ISERR('[1]Общее+'!E1380),"-",'[1]Общее+'!E1380)</f>
        <v>95.435684647302907</v>
      </c>
      <c r="E628" s="104">
        <f>IF(ISERR('[1]Общее+'!F1380),"-",'[1]Общее+'!F1380)</f>
        <v>99.130434782608702</v>
      </c>
      <c r="F628" s="104">
        <f>IF(ISERR('[1]Общее+'!G1380),"-",'[1]Общее+'!G1380)</f>
        <v>97.368421052631575</v>
      </c>
      <c r="G628" s="104">
        <f>IF(ISERR('[1]Общее+'!H1380),"-",'[1]Общее+'!H1380)</f>
        <v>102.25225225225225</v>
      </c>
      <c r="H628" s="104">
        <f>IF(ISERR('[1]Общее+'!I1380),"-",'[1]Общее+'!I1380)</f>
        <v>98.23788546255507</v>
      </c>
      <c r="I628" s="104">
        <f>IF(ISERR('[1]Общее+'!J1380),"-",'[1]Общее+'!J1380)</f>
        <v>99.103139013452918</v>
      </c>
      <c r="J628" s="104">
        <f>IF(ISERR('[1]Общее+'!K1380),"-",'[1]Общее+'!K1380)</f>
        <v>98.19004524886877</v>
      </c>
      <c r="K628" s="104">
        <f>IF(ISERR('[1]Общее+'!L1380),"-",'[1]Общее+'!L1380)</f>
        <v>100</v>
      </c>
      <c r="L628" s="104">
        <f>IF(ISERR('[1]Общее+'!M1380),"-",'[1]Общее+'!M1380)</f>
        <v>100</v>
      </c>
      <c r="M628" s="104">
        <f>IF(ISERR('[1]Общее+'!N1380),"-",'[1]Общее+'!N1380)</f>
        <v>100</v>
      </c>
    </row>
    <row r="629" spans="1:13" s="89" customFormat="1" x14ac:dyDescent="0.25">
      <c r="A629" s="13"/>
      <c r="B629" s="70" t="s">
        <v>1304</v>
      </c>
      <c r="C629" s="13" t="s">
        <v>8</v>
      </c>
      <c r="D629" s="104">
        <f>IF(ISERR('[1]Общее+'!E1381),"-",'[1]Общее+'!E1381)</f>
        <v>94.9579831932773</v>
      </c>
      <c r="E629" s="104">
        <f>IF(ISERR('[1]Общее+'!F1381),"-",'[1]Общее+'!F1381)</f>
        <v>98.230088495575217</v>
      </c>
      <c r="F629" s="104">
        <f>IF(ISERR('[1]Общее+'!G1381),"-",'[1]Общее+'!G1381)</f>
        <v>97.297297297297305</v>
      </c>
      <c r="G629" s="104">
        <f>IF(ISERR('[1]Общее+'!H1381),"-",'[1]Общее+'!H1381)</f>
        <v>98.148148148148152</v>
      </c>
      <c r="H629" s="104">
        <f>IF(ISERR('[1]Общее+'!I1381),"-",'[1]Общее+'!I1381)</f>
        <v>100</v>
      </c>
      <c r="I629" s="104">
        <f>IF(ISERR('[1]Общее+'!J1381),"-",'[1]Общее+'!J1381)</f>
        <v>98.113207547169807</v>
      </c>
      <c r="J629" s="104">
        <f>IF(ISERR('[1]Общее+'!K1381),"-",'[1]Общее+'!K1381)</f>
        <v>99.038461538461547</v>
      </c>
      <c r="K629" s="104">
        <f>IF(ISERR('[1]Общее+'!L1381),"-",'[1]Общее+'!L1381)</f>
        <v>100</v>
      </c>
      <c r="L629" s="104">
        <f>IF(ISERR('[1]Общее+'!M1381),"-",'[1]Общее+'!M1381)</f>
        <v>100</v>
      </c>
      <c r="M629" s="104">
        <f>IF(ISERR('[1]Общее+'!N1381),"-",'[1]Общее+'!N1381)</f>
        <v>100</v>
      </c>
    </row>
    <row r="630" spans="1:13" s="89" customFormat="1" x14ac:dyDescent="0.25">
      <c r="A630" s="13"/>
      <c r="B630" s="70" t="s">
        <v>1302</v>
      </c>
      <c r="C630" s="13" t="s">
        <v>8</v>
      </c>
      <c r="D630" s="104">
        <f>IF(ISERR('[1]Общее+'!E1382),"-",'[1]Общее+'!E1382)</f>
        <v>83.333333333333343</v>
      </c>
      <c r="E630" s="104">
        <f>IF(ISERR('[1]Общее+'!F1382),"-",'[1]Общее+'!F1382)</f>
        <v>100</v>
      </c>
      <c r="F630" s="104">
        <f>IF(ISERR('[1]Общее+'!G1382),"-",'[1]Общее+'!G1382)</f>
        <v>100</v>
      </c>
      <c r="G630" s="104">
        <f>IF(ISERR('[1]Общее+'!H1382),"-",'[1]Общее+'!H1382)</f>
        <v>80</v>
      </c>
      <c r="H630" s="104">
        <f>IF(ISERR('[1]Общее+'!I1382),"-",'[1]Общее+'!I1382)</f>
        <v>100</v>
      </c>
      <c r="I630" s="104">
        <f>IF(ISERR('[1]Общее+'!J1382),"-",'[1]Общее+'!J1382)</f>
        <v>100</v>
      </c>
      <c r="J630" s="104">
        <f>IF(ISERR('[1]Общее+'!K1382),"-",'[1]Общее+'!K1382)</f>
        <v>100</v>
      </c>
      <c r="K630" s="104">
        <f>IF(ISERR('[1]Общее+'!L1382),"-",'[1]Общее+'!L1382)</f>
        <v>100</v>
      </c>
      <c r="L630" s="104">
        <f>IF(ISERR('[1]Общее+'!M1382),"-",'[1]Общее+'!M1382)</f>
        <v>100</v>
      </c>
      <c r="M630" s="104">
        <f>IF(ISERR('[1]Общее+'!N1382),"-",'[1]Общее+'!N1382)</f>
        <v>100</v>
      </c>
    </row>
    <row r="631" spans="1:13" s="89" customFormat="1" x14ac:dyDescent="0.25">
      <c r="A631" s="13"/>
      <c r="B631" s="70" t="s">
        <v>1303</v>
      </c>
      <c r="C631" s="13" t="s">
        <v>8</v>
      </c>
      <c r="D631" s="104">
        <f>IF(ISERR('[1]Общее+'!E1383),"-",'[1]Общее+'!E1383)</f>
        <v>83.333333333333343</v>
      </c>
      <c r="E631" s="104">
        <f>IF(ISERR('[1]Общее+'!F1383),"-",'[1]Общее+'!F1383)</f>
        <v>100</v>
      </c>
      <c r="F631" s="104">
        <f>IF(ISERR('[1]Общее+'!G1383),"-",'[1]Общее+'!G1383)</f>
        <v>100</v>
      </c>
      <c r="G631" s="104">
        <f>IF(ISERR('[1]Общее+'!H1383),"-",'[1]Общее+'!H1383)</f>
        <v>80</v>
      </c>
      <c r="H631" s="104">
        <f>IF(ISERR('[1]Общее+'!I1383),"-",'[1]Общее+'!I1383)</f>
        <v>100</v>
      </c>
      <c r="I631" s="104">
        <f>IF(ISERR('[1]Общее+'!J1383),"-",'[1]Общее+'!J1383)</f>
        <v>100</v>
      </c>
      <c r="J631" s="104">
        <f>IF(ISERR('[1]Общее+'!K1383),"-",'[1]Общее+'!K1383)</f>
        <v>100</v>
      </c>
      <c r="K631" s="104">
        <f>IF(ISERR('[1]Общее+'!L1383),"-",'[1]Общее+'!L1383)</f>
        <v>100</v>
      </c>
      <c r="L631" s="104">
        <f>IF(ISERR('[1]Общее+'!M1383),"-",'[1]Общее+'!M1383)</f>
        <v>100</v>
      </c>
      <c r="M631" s="104">
        <f>IF(ISERR('[1]Общее+'!N1383),"-",'[1]Общее+'!N1383)</f>
        <v>100</v>
      </c>
    </row>
    <row r="632" spans="1:13" s="89" customFormat="1" x14ac:dyDescent="0.25">
      <c r="A632" s="13"/>
      <c r="B632" s="70" t="s">
        <v>1304</v>
      </c>
      <c r="C632" s="13" t="s">
        <v>8</v>
      </c>
      <c r="D632" s="104" t="str">
        <f>IF(ISERR('[1]Общее+'!E1384),"-",'[1]Общее+'!E1384)</f>
        <v>-</v>
      </c>
      <c r="E632" s="104" t="str">
        <f>IF(ISERR('[1]Общее+'!F1384),"-",'[1]Общее+'!F1384)</f>
        <v>-</v>
      </c>
      <c r="F632" s="104" t="str">
        <f>IF(ISERR('[1]Общее+'!G1384),"-",'[1]Общее+'!G1384)</f>
        <v>-</v>
      </c>
      <c r="G632" s="104" t="str">
        <f>IF(ISERR('[1]Общее+'!H1384),"-",'[1]Общее+'!H1384)</f>
        <v>-</v>
      </c>
      <c r="H632" s="104" t="str">
        <f>IF(ISERR('[1]Общее+'!I1384),"-",'[1]Общее+'!I1384)</f>
        <v>-</v>
      </c>
      <c r="I632" s="104" t="str">
        <f>IF(ISERR('[1]Общее+'!J1384),"-",'[1]Общее+'!J1384)</f>
        <v>-</v>
      </c>
      <c r="J632" s="104" t="str">
        <f>IF(ISERR('[1]Общее+'!K1384),"-",'[1]Общее+'!K1384)</f>
        <v>-</v>
      </c>
      <c r="K632" s="104">
        <f>IF(ISERR('[1]Общее+'!L1384),"-",'[1]Общее+'!L1384)</f>
        <v>100</v>
      </c>
      <c r="L632" s="104">
        <f>IF(ISERR('[1]Общее+'!M1384),"-",'[1]Общее+'!M1384)</f>
        <v>100</v>
      </c>
      <c r="M632" s="104">
        <f>IF(ISERR('[1]Общее+'!N1384),"-",'[1]Общее+'!N1384)</f>
        <v>100</v>
      </c>
    </row>
    <row r="633" spans="1:13" s="89" customFormat="1" ht="60" x14ac:dyDescent="0.25">
      <c r="A633" s="99" t="s">
        <v>263</v>
      </c>
      <c r="B633" s="100" t="s">
        <v>1717</v>
      </c>
      <c r="C633" s="87"/>
      <c r="D633" s="90"/>
      <c r="E633" s="90"/>
      <c r="F633" s="90"/>
      <c r="G633" s="90"/>
      <c r="H633" s="90"/>
      <c r="I633" s="90"/>
      <c r="J633" s="90"/>
      <c r="K633" s="90"/>
      <c r="L633" s="90"/>
      <c r="M633" s="90"/>
    </row>
    <row r="634" spans="1:13" s="89" customFormat="1" ht="30" x14ac:dyDescent="0.25">
      <c r="A634" s="13" t="s">
        <v>264</v>
      </c>
      <c r="B634" s="70" t="s">
        <v>2546</v>
      </c>
      <c r="C634" s="13" t="s">
        <v>1114</v>
      </c>
      <c r="D634" s="104">
        <f>IF(ISERR('[1]Общее+'!E1404),"-",'[1]Общее+'!E1404)</f>
        <v>139.91798426750489</v>
      </c>
      <c r="E634" s="104">
        <f>IF(ISERR('[1]Общее+'!F1404),"-",'[1]Общее+'!F1404)</f>
        <v>152.9619181368077</v>
      </c>
      <c r="F634" s="104">
        <f>IF(ISERR('[1]Общее+'!G1404),"-",'[1]Общее+'!G1404)</f>
        <v>151.01476332209356</v>
      </c>
      <c r="G634" s="104">
        <f>IF(ISERR('[1]Общее+'!H1404),"-",'[1]Общее+'!H1404)</f>
        <v>159.84008547068908</v>
      </c>
      <c r="H634" s="104"/>
      <c r="I634" s="104"/>
      <c r="J634" s="104"/>
      <c r="K634" s="104"/>
      <c r="L634" s="104"/>
      <c r="M634" s="104"/>
    </row>
    <row r="635" spans="1:13" s="89" customFormat="1" x14ac:dyDescent="0.25">
      <c r="A635" s="13"/>
      <c r="B635" s="70" t="s">
        <v>1301</v>
      </c>
      <c r="C635" s="13" t="s">
        <v>1114</v>
      </c>
      <c r="D635" s="104">
        <f>IF(ISERR('[1]Общее+'!E1405),"-",'[1]Общее+'!E1405)</f>
        <v>139.95750781377649</v>
      </c>
      <c r="E635" s="104">
        <f>IF(ISERR('[1]Общее+'!F1405),"-",'[1]Общее+'!F1405)</f>
        <v>153.01156218147375</v>
      </c>
      <c r="F635" s="104">
        <f>IF(ISERR('[1]Общее+'!G1405),"-",'[1]Общее+'!G1405)</f>
        <v>151.0857300363044</v>
      </c>
      <c r="G635" s="104">
        <f>IF(ISERR('[1]Общее+'!H1405),"-",'[1]Общее+'!H1405)</f>
        <v>159.93867934562937</v>
      </c>
      <c r="H635" s="104">
        <f>IF(ISERR('[1]Общее+'!I1405),"-",'[1]Общее+'!I1405)</f>
        <v>153.99419320509526</v>
      </c>
      <c r="I635" s="104">
        <f>IF(ISERR('[1]Общее+'!J1405),"-",'[1]Общее+'!J1405)</f>
        <v>163.25577250111741</v>
      </c>
      <c r="J635" s="104">
        <v>168.32</v>
      </c>
      <c r="K635" s="104">
        <f>IF(ISERR('[1]Общее+'!L1405),"-",'[1]Общее+'!L1405)</f>
        <v>284.30156722915541</v>
      </c>
      <c r="L635" s="104">
        <f>IF(ISERR('[1]Общее+'!M1405),"-",'[1]Общее+'!M1405)</f>
        <v>309.48823910003546</v>
      </c>
      <c r="M635" s="104">
        <f>IF(ISERR('[1]Общее+'!N1405),"-",'[1]Общее+'!N1405)</f>
        <v>338.37691237830325</v>
      </c>
    </row>
    <row r="636" spans="1:13" s="89" customFormat="1" x14ac:dyDescent="0.25">
      <c r="A636" s="13"/>
      <c r="B636" s="70" t="s">
        <v>1302</v>
      </c>
      <c r="C636" s="13" t="s">
        <v>1114</v>
      </c>
      <c r="D636" s="104">
        <f>IF(ISERR('[1]Общее+'!E1406),"-",'[1]Общее+'!E1406)</f>
        <v>130.90504807692307</v>
      </c>
      <c r="E636" s="104">
        <f>IF(ISERR('[1]Общее+'!F1406),"-",'[1]Общее+'!F1406)</f>
        <v>141.64319248826291</v>
      </c>
      <c r="F636" s="104">
        <f>IF(ISERR('[1]Общее+'!G1406),"-",'[1]Общее+'!G1406)</f>
        <v>135.2254143646409</v>
      </c>
      <c r="G636" s="104">
        <f>IF(ISERR('[1]Общее+'!H1406),"-",'[1]Общее+'!H1406)</f>
        <v>135.92690417690417</v>
      </c>
      <c r="H636" s="104">
        <f>IF(ISERR('[1]Общее+'!I1406),"-",'[1]Общее+'!I1406)</f>
        <v>140.45652173913044</v>
      </c>
      <c r="I636" s="104">
        <f>IF(ISERR('[1]Общее+'!J1406),"-",'[1]Общее+'!J1406)</f>
        <v>149.12617743702083</v>
      </c>
      <c r="J636" s="104">
        <f>IF(ISERR('[1]Общее+'!K1406),"-",'[1]Общее+'!K1406)</f>
        <v>151.284425349087</v>
      </c>
      <c r="K636" s="104" t="str">
        <f>IF(ISERR('[1]Общее+'!L1406),"-",'[1]Общее+'!L1406)</f>
        <v>-</v>
      </c>
      <c r="L636" s="104" t="str">
        <f>IF(ISERR('[1]Общее+'!M1406),"-",'[1]Общее+'!M1406)</f>
        <v>-</v>
      </c>
      <c r="M636" s="104" t="str">
        <f>IF(ISERR('[1]Общее+'!N1406),"-",'[1]Общее+'!N1406)</f>
        <v>-</v>
      </c>
    </row>
    <row r="637" spans="1:13" s="89" customFormat="1" ht="30" x14ac:dyDescent="0.25">
      <c r="A637" s="13" t="s">
        <v>2547</v>
      </c>
      <c r="B637" s="70" t="s">
        <v>2548</v>
      </c>
      <c r="C637" s="13" t="s">
        <v>8</v>
      </c>
      <c r="D637" s="104">
        <f>IF(ISERR('[1]Общее+'!E1443),"-",'[1]Общее+'!E1443)</f>
        <v>1.2220645644395998</v>
      </c>
      <c r="E637" s="104">
        <f>IF(ISERR('[1]Общее+'!F1443),"-",'[1]Общее+'!F1443)</f>
        <v>1.2452499920264057</v>
      </c>
      <c r="F637" s="104">
        <f>IF(ISERR('[1]Общее+'!G1443),"-",'[1]Общее+'!G1443)</f>
        <v>1.5604752746941191</v>
      </c>
      <c r="G637" s="104">
        <f>IF(ISERR('[1]Общее+'!H1443),"-",'[1]Общее+'!H1443)</f>
        <v>1.8513603310172984</v>
      </c>
      <c r="H637" s="104">
        <f>IF(ISERR('[1]Общее+'!I1443),"-",'[1]Общее+'!I1443)</f>
        <v>1.9785582308560552</v>
      </c>
      <c r="I637" s="104">
        <f>IF(ISERR('[1]Общее+'!J1443),"-",'[1]Общее+'!J1443)</f>
        <v>1.8710606290674079</v>
      </c>
      <c r="J637" s="104">
        <f>IF(ISERR('[1]Общее+'!K1443),"-",'[1]Общее+'!K1443)</f>
        <v>2.2126155837190944</v>
      </c>
      <c r="K637" s="104">
        <f>IF(ISERR('[1]Общее+'!L1443),"-",'[1]Общее+'!L1443)</f>
        <v>0</v>
      </c>
      <c r="L637" s="104">
        <f>IF(ISERR('[1]Общее+'!M1443),"-",'[1]Общее+'!M1443)</f>
        <v>0</v>
      </c>
      <c r="M637" s="104">
        <f>IF(ISERR('[1]Общее+'!N1443),"-",'[1]Общее+'!N1443)</f>
        <v>0</v>
      </c>
    </row>
    <row r="638" spans="1:13" s="89" customFormat="1" hidden="1" x14ac:dyDescent="0.25">
      <c r="A638" s="13"/>
      <c r="B638" s="70" t="s">
        <v>1301</v>
      </c>
      <c r="C638" s="13" t="s">
        <v>8</v>
      </c>
      <c r="D638" s="104">
        <f>IF(ISERR('[1]Общее+'!E1443),"-",'[1]Общее+'!E1443)</f>
        <v>1.2220645644395998</v>
      </c>
      <c r="E638" s="104">
        <f>IF(ISERR('[1]Общее+'!F1443),"-",'[1]Общее+'!F1443)</f>
        <v>1.2452499920264057</v>
      </c>
      <c r="F638" s="104">
        <f>IF(ISERR('[1]Общее+'!G1443),"-",'[1]Общее+'!G1443)</f>
        <v>1.5604752746941191</v>
      </c>
      <c r="G638" s="104">
        <f>IF(ISERR('[1]Общее+'!H1443),"-",'[1]Общее+'!H1443)</f>
        <v>1.8513603310172984</v>
      </c>
      <c r="H638" s="104">
        <f>IF(ISERR('[1]Общее+'!I1443),"-",'[1]Общее+'!I1443)</f>
        <v>1.9785582308560552</v>
      </c>
      <c r="I638" s="104">
        <f>IF(ISERR('[1]Общее+'!J1443),"-",'[1]Общее+'!J1443)</f>
        <v>1.8710606290674079</v>
      </c>
      <c r="J638" s="104">
        <f>IF(ISERR('[1]Общее+'!K1443),"-",'[1]Общее+'!K1443)</f>
        <v>2.2126155837190944</v>
      </c>
      <c r="K638" s="104">
        <f>IF(ISERR('[1]Общее+'!L1443),"-",'[1]Общее+'!L1443)</f>
        <v>0</v>
      </c>
      <c r="L638" s="104">
        <f>IF(ISERR('[1]Общее+'!M1443),"-",'[1]Общее+'!M1443)</f>
        <v>0</v>
      </c>
      <c r="M638" s="104">
        <f>IF(ISERR('[1]Общее+'!N1443),"-",'[1]Общее+'!N1443)</f>
        <v>0</v>
      </c>
    </row>
    <row r="639" spans="1:13" s="89" customFormat="1" hidden="1" x14ac:dyDescent="0.25">
      <c r="A639" s="13"/>
      <c r="B639" s="70" t="s">
        <v>1302</v>
      </c>
      <c r="C639" s="13" t="s">
        <v>8</v>
      </c>
      <c r="D639" s="104">
        <f>IF(ISERR('[1]Общее+'!E1444),"-",'[1]Общее+'!E1444)</f>
        <v>18.256773755199106</v>
      </c>
      <c r="E639" s="104">
        <f>IF(ISERR('[1]Общее+'!F1444),"-",'[1]Общее+'!F1444)</f>
        <v>21.812230692741132</v>
      </c>
      <c r="F639" s="104">
        <f>IF(ISERR('[1]Общее+'!G1444),"-",'[1]Общее+'!G1444)</f>
        <v>17.225994655945872</v>
      </c>
      <c r="G639" s="104">
        <f>IF(ISERR('[1]Общее+'!H1444),"-",'[1]Общее+'!H1444)</f>
        <v>8.1036111148769265</v>
      </c>
      <c r="H639" s="104">
        <f>IF(ISERR('[1]Общее+'!I1444),"-",'[1]Общее+'!I1444)</f>
        <v>5.665510735933271</v>
      </c>
      <c r="I639" s="104">
        <f>IF(ISERR('[1]Общее+'!J1444),"-",'[1]Общее+'!J1444)</f>
        <v>9.6229073052069651</v>
      </c>
      <c r="J639" s="104">
        <f>IF(ISERR('[1]Общее+'!K1444),"-",'[1]Общее+'!K1444)</f>
        <v>8.9313277357223306</v>
      </c>
      <c r="K639" s="104" t="str">
        <f>IF(ISERR('[1]Общее+'!L1444),"-",'[1]Общее+'!L1444)</f>
        <v>-</v>
      </c>
      <c r="L639" s="104" t="str">
        <f>IF(ISERR('[1]Общее+'!M1444),"-",'[1]Общее+'!M1444)</f>
        <v>-</v>
      </c>
      <c r="M639" s="104" t="str">
        <f>IF(ISERR('[1]Общее+'!N1444),"-",'[1]Общее+'!N1444)</f>
        <v>-</v>
      </c>
    </row>
    <row r="640" spans="1:13" s="89" customFormat="1" ht="30" x14ac:dyDescent="0.25">
      <c r="A640" s="99" t="s">
        <v>270</v>
      </c>
      <c r="B640" s="100" t="s">
        <v>289</v>
      </c>
      <c r="C640" s="87"/>
      <c r="D640" s="90"/>
      <c r="E640" s="90"/>
      <c r="F640" s="90"/>
      <c r="G640" s="90"/>
      <c r="H640" s="104"/>
      <c r="I640" s="104"/>
      <c r="J640" s="104"/>
      <c r="K640" s="104"/>
      <c r="L640" s="104"/>
      <c r="M640" s="104"/>
    </row>
    <row r="641" spans="1:13" s="89" customFormat="1" ht="30" x14ac:dyDescent="0.25">
      <c r="A641" s="13" t="s">
        <v>280</v>
      </c>
      <c r="B641" s="70" t="s">
        <v>2549</v>
      </c>
      <c r="C641" s="13"/>
      <c r="D641" s="104">
        <f>IF(ISERR('[1]Общее+'!E1501),"-",'[1]Общее+'!E1501)</f>
        <v>91.83673469387756</v>
      </c>
      <c r="E641" s="104">
        <f>IF(ISERR('[1]Общее+'!F1501),"-",'[1]Общее+'!F1501)</f>
        <v>92.330383480825958</v>
      </c>
      <c r="F641" s="104">
        <f>IF(ISERR('[1]Общее+'!G1501),"-",'[1]Общее+'!G1501)</f>
        <v>91.818181818181827</v>
      </c>
      <c r="G641" s="104">
        <f>IF(ISERR('[1]Общее+'!H1501),"-",'[1]Общее+'!H1501)</f>
        <v>94.099378881987576</v>
      </c>
      <c r="H641" s="104">
        <f>IF(ISERR('[1]Общее+'!I1501),"-",'[1]Общее+'!I1501)</f>
        <v>96.540880503144649</v>
      </c>
      <c r="I641" s="104">
        <f>IF(ISERR('[1]Общее+'!J1501),"-",'[1]Общее+'!J1501)</f>
        <v>94.444444444444443</v>
      </c>
      <c r="J641" s="104">
        <f>IF(ISERR('[1]Общее+'!K1501),"-",'[1]Общее+'!K1501)</f>
        <v>94.658119658119659</v>
      </c>
      <c r="K641" s="104">
        <f>IF(ISERR('[1]Общее+'!L1501),"-",'[1]Общее+'!L1501)</f>
        <v>100</v>
      </c>
      <c r="L641" s="104">
        <f>IF(ISERR('[1]Общее+'!M1501),"-",'[1]Общее+'!M1501)</f>
        <v>100</v>
      </c>
      <c r="M641" s="104">
        <f>IF(ISERR('[1]Общее+'!N1501),"-",'[1]Общее+'!N1501)</f>
        <v>100</v>
      </c>
    </row>
    <row r="642" spans="1:13" s="89" customFormat="1" hidden="1" x14ac:dyDescent="0.25">
      <c r="A642" s="13"/>
      <c r="B642" s="70" t="s">
        <v>1301</v>
      </c>
      <c r="C642" s="13" t="s">
        <v>8</v>
      </c>
      <c r="D642" s="104">
        <f>IF(ISERR('[1]Общее+'!E1501),"-",'[1]Общее+'!E1501)</f>
        <v>91.83673469387756</v>
      </c>
      <c r="E642" s="104">
        <f>IF(ISERR('[1]Общее+'!F1501),"-",'[1]Общее+'!F1501)</f>
        <v>92.330383480825958</v>
      </c>
      <c r="F642" s="104">
        <f>IF(ISERR('[1]Общее+'!G1501),"-",'[1]Общее+'!G1501)</f>
        <v>91.818181818181827</v>
      </c>
      <c r="G642" s="104">
        <f>IF(ISERR('[1]Общее+'!H1501),"-",'[1]Общее+'!H1501)</f>
        <v>94.099378881987576</v>
      </c>
      <c r="H642" s="104">
        <f>IF(ISERR('[1]Общее+'!I1501),"-",'[1]Общее+'!I1501)</f>
        <v>96.540880503144649</v>
      </c>
      <c r="I642" s="104">
        <f>IF(ISERR('[1]Общее+'!J1501),"-",'[1]Общее+'!J1501)</f>
        <v>94.444444444444443</v>
      </c>
      <c r="J642" s="104">
        <f>IF(ISERR('[1]Общее+'!K1501),"-",'[1]Общее+'!K1501)</f>
        <v>94.658119658119659</v>
      </c>
      <c r="K642" s="104">
        <f>IF(ISERR('[1]Общее+'!L1501),"-",'[1]Общее+'!L1501)</f>
        <v>100</v>
      </c>
      <c r="L642" s="104">
        <f>IF(ISERR('[1]Общее+'!M1501),"-",'[1]Общее+'!M1501)</f>
        <v>100</v>
      </c>
      <c r="M642" s="104">
        <f>IF(ISERR('[1]Общее+'!N1501),"-",'[1]Общее+'!N1501)</f>
        <v>100</v>
      </c>
    </row>
    <row r="643" spans="1:13" s="89" customFormat="1" hidden="1" x14ac:dyDescent="0.25">
      <c r="A643" s="13"/>
      <c r="B643" s="70" t="s">
        <v>1303</v>
      </c>
      <c r="C643" s="13" t="s">
        <v>8</v>
      </c>
      <c r="D643" s="104"/>
      <c r="E643" s="104"/>
      <c r="F643" s="104"/>
      <c r="G643" s="104">
        <f>IF(ISERR('[1]Общее+'!H1502),"-",'[1]Общее+'!H1502)</f>
        <v>99.099099099099092</v>
      </c>
      <c r="H643" s="104">
        <f>IF(ISERR('[1]Общее+'!I1502),"-",'[1]Общее+'!I1502)</f>
        <v>100</v>
      </c>
      <c r="I643" s="104">
        <f>IF(ISERR('[1]Общее+'!J1502),"-",'[1]Общее+'!J1502)</f>
        <v>95.283018867924525</v>
      </c>
      <c r="J643" s="104">
        <f>IF(ISERR('[1]Общее+'!K1502),"-",'[1]Общее+'!K1502)</f>
        <v>95.25316455696202</v>
      </c>
      <c r="K643" s="104">
        <f>IF(ISERR('[1]Общее+'!L1502),"-",'[1]Общее+'!L1502)</f>
        <v>100</v>
      </c>
      <c r="L643" s="104">
        <f>IF(ISERR('[1]Общее+'!M1502),"-",'[1]Общее+'!M1502)</f>
        <v>100</v>
      </c>
      <c r="M643" s="104">
        <f>IF(ISERR('[1]Общее+'!N1502),"-",'[1]Общее+'!N1502)</f>
        <v>100</v>
      </c>
    </row>
    <row r="644" spans="1:13" s="89" customFormat="1" hidden="1" x14ac:dyDescent="0.25">
      <c r="A644" s="13"/>
      <c r="B644" s="70" t="s">
        <v>1304</v>
      </c>
      <c r="C644" s="13" t="s">
        <v>8</v>
      </c>
      <c r="D644" s="104"/>
      <c r="E644" s="104"/>
      <c r="F644" s="104"/>
      <c r="G644" s="104">
        <f>IF(ISERR('[1]Общее+'!H1503),"-",'[1]Общее+'!H1503)</f>
        <v>83</v>
      </c>
      <c r="H644" s="104">
        <f>IF(ISERR('[1]Общее+'!I1503),"-",'[1]Общее+'!I1503)</f>
        <v>88.775510204081627</v>
      </c>
      <c r="I644" s="104">
        <f>IF(ISERR('[1]Общее+'!J1503),"-",'[1]Общее+'!J1503)</f>
        <v>92.666666666666657</v>
      </c>
      <c r="J644" s="104">
        <f>IF(ISERR('[1]Общее+'!K1503),"-",'[1]Общее+'!K1503)</f>
        <v>93.421052631578945</v>
      </c>
      <c r="K644" s="104">
        <f>IF(ISERR('[1]Общее+'!L1503),"-",'[1]Общее+'!L1503)</f>
        <v>100</v>
      </c>
      <c r="L644" s="104">
        <f>IF(ISERR('[1]Общее+'!M1503),"-",'[1]Общее+'!M1503)</f>
        <v>100</v>
      </c>
      <c r="M644" s="104">
        <f>IF(ISERR('[1]Общее+'!N1503),"-",'[1]Общее+'!N1503)</f>
        <v>100</v>
      </c>
    </row>
    <row r="645" spans="1:13" s="89" customFormat="1" hidden="1" x14ac:dyDescent="0.25">
      <c r="A645" s="13"/>
      <c r="B645" s="70" t="s">
        <v>1302</v>
      </c>
      <c r="C645" s="13" t="s">
        <v>8</v>
      </c>
      <c r="D645" s="104">
        <f>IF(ISERR('[1]Общее+'!E1504),"-",'[1]Общее+'!E1504)</f>
        <v>80</v>
      </c>
      <c r="E645" s="104">
        <f>IF(ISERR('[1]Общее+'!F1504),"-",'[1]Общее+'!F1504)</f>
        <v>60</v>
      </c>
      <c r="F645" s="104">
        <f>IF(ISERR('[1]Общее+'!G1504),"-",'[1]Общее+'!G1504)</f>
        <v>60</v>
      </c>
      <c r="G645" s="104">
        <f>IF(ISERR('[1]Общее+'!H1504),"-",'[1]Общее+'!H1504)</f>
        <v>75</v>
      </c>
      <c r="H645" s="104">
        <f>IF(ISERR('[1]Общее+'!I1504),"-",'[1]Общее+'!I1504)</f>
        <v>75</v>
      </c>
      <c r="I645" s="104">
        <f>IF(ISERR('[1]Общее+'!J1504),"-",'[1]Общее+'!J1504)</f>
        <v>100</v>
      </c>
      <c r="J645" s="104">
        <f>IF(ISERR('[1]Общее+'!K1504),"-",'[1]Общее+'!K1504)</f>
        <v>100</v>
      </c>
      <c r="K645" s="104" t="str">
        <f>IF(ISERR('[1]Общее+'!L1504),"-",'[1]Общее+'!L1504)</f>
        <v>-</v>
      </c>
      <c r="L645" s="104" t="str">
        <f>IF(ISERR('[1]Общее+'!M1504),"-",'[1]Общее+'!M1504)</f>
        <v>-</v>
      </c>
      <c r="M645" s="104" t="str">
        <f>IF(ISERR('[1]Общее+'!N1504),"-",'[1]Общее+'!N1504)</f>
        <v>-</v>
      </c>
    </row>
    <row r="646" spans="1:13" s="89" customFormat="1" hidden="1" x14ac:dyDescent="0.25">
      <c r="A646" s="13"/>
      <c r="B646" s="70" t="s">
        <v>1303</v>
      </c>
      <c r="C646" s="13" t="s">
        <v>8</v>
      </c>
      <c r="D646" s="104"/>
      <c r="E646" s="104"/>
      <c r="F646" s="104"/>
      <c r="G646" s="104">
        <f>IF(ISERR('[1]Общее+'!H1505),"-",'[1]Общее+'!H1505)</f>
        <v>75</v>
      </c>
      <c r="H646" s="104">
        <f>IF(ISERR('[1]Общее+'!I1505),"-",'[1]Общее+'!I1505)</f>
        <v>75</v>
      </c>
      <c r="I646" s="104">
        <f>IF(ISERR('[1]Общее+'!J1505),"-",'[1]Общее+'!J1505)</f>
        <v>100</v>
      </c>
      <c r="J646" s="104">
        <f>IF(ISERR('[1]Общее+'!K1505),"-",'[1]Общее+'!K1505)</f>
        <v>100</v>
      </c>
      <c r="K646" s="104" t="str">
        <f>IF(ISERR('[1]Общее+'!L1505),"-",'[1]Общее+'!L1505)</f>
        <v>-</v>
      </c>
      <c r="L646" s="104" t="str">
        <f>IF(ISERR('[1]Общее+'!M1505),"-",'[1]Общее+'!M1505)</f>
        <v>-</v>
      </c>
      <c r="M646" s="104" t="str">
        <f>IF(ISERR('[1]Общее+'!N1505),"-",'[1]Общее+'!N1505)</f>
        <v>-</v>
      </c>
    </row>
    <row r="647" spans="1:13" s="89" customFormat="1" hidden="1" x14ac:dyDescent="0.25">
      <c r="A647" s="13"/>
      <c r="B647" s="70" t="s">
        <v>1304</v>
      </c>
      <c r="C647" s="13" t="s">
        <v>8</v>
      </c>
      <c r="D647" s="104"/>
      <c r="E647" s="104"/>
      <c r="F647" s="104"/>
      <c r="G647" s="104" t="str">
        <f>IF(ISERR('[1]Общее+'!H1506),"-",'[1]Общее+'!H1506)</f>
        <v>-</v>
      </c>
      <c r="H647" s="104" t="str">
        <f>IF(ISERR('[1]Общее+'!I1506),"-",'[1]Общее+'!I1506)</f>
        <v>-</v>
      </c>
      <c r="I647" s="104" t="str">
        <f>IF(ISERR('[1]Общее+'!J1506),"-",'[1]Общее+'!J1506)</f>
        <v>-</v>
      </c>
      <c r="J647" s="104" t="str">
        <f>IF(ISERR('[1]Общее+'!K1506),"-",'[1]Общее+'!K1506)</f>
        <v>-</v>
      </c>
      <c r="K647" s="104" t="str">
        <f>IF(ISERR('[1]Общее+'!L1506),"-",'[1]Общее+'!L1506)</f>
        <v>-</v>
      </c>
      <c r="L647" s="104" t="str">
        <f>IF(ISERR('[1]Общее+'!M1506),"-",'[1]Общее+'!M1506)</f>
        <v>-</v>
      </c>
      <c r="M647" s="104" t="str">
        <f>IF(ISERR('[1]Общее+'!N1506),"-",'[1]Общее+'!N1506)</f>
        <v>-</v>
      </c>
    </row>
    <row r="648" spans="1:13" s="89" customFormat="1" ht="30" hidden="1" x14ac:dyDescent="0.25">
      <c r="A648" s="13" t="s">
        <v>291</v>
      </c>
      <c r="B648" s="70" t="s">
        <v>290</v>
      </c>
      <c r="C648" s="13"/>
      <c r="D648" s="90"/>
      <c r="E648" s="90"/>
      <c r="F648" s="90"/>
      <c r="G648" s="90"/>
      <c r="H648" s="104"/>
      <c r="I648" s="104"/>
      <c r="J648" s="104"/>
      <c r="K648" s="104"/>
      <c r="L648" s="104"/>
      <c r="M648" s="104"/>
    </row>
    <row r="649" spans="1:13" s="89" customFormat="1" hidden="1" x14ac:dyDescent="0.25">
      <c r="A649" s="13"/>
      <c r="B649" s="70" t="s">
        <v>1301</v>
      </c>
      <c r="C649" s="13" t="s">
        <v>8</v>
      </c>
      <c r="D649" s="104">
        <f>IF(ISERR('[1]Общее+'!E1461),"-",'[1]Общее+'!E1461)</f>
        <v>67.638483965014572</v>
      </c>
      <c r="E649" s="104">
        <f>IF(ISERR('[1]Общее+'!F1461),"-",'[1]Общее+'!F1461)</f>
        <v>67.846607669616517</v>
      </c>
      <c r="F649" s="104">
        <f>IF(ISERR('[1]Общее+'!G1461),"-",'[1]Общее+'!G1461)</f>
        <v>70</v>
      </c>
      <c r="G649" s="104">
        <f>IF(ISERR('[1]Общее+'!H1461),"-",'[1]Общее+'!H1461)</f>
        <v>78.571428571428569</v>
      </c>
      <c r="H649" s="104" t="str">
        <f>IF(ISERR('[1]Общее+'!I1461),"-",'[1]Общее+'!I1461)</f>
        <v>-</v>
      </c>
      <c r="I649" s="104" t="str">
        <f>IF(ISERR('[1]Общее+'!J1461),"-",'[1]Общее+'!J1461)</f>
        <v>-</v>
      </c>
      <c r="J649" s="104" t="str">
        <f>IF(ISERR('[1]Общее+'!K1461),"-",'[1]Общее+'!K1461)</f>
        <v>-</v>
      </c>
      <c r="K649" s="104" t="str">
        <f>IF(ISERR('[1]Общее+'!L1461),"-",'[1]Общее+'!L1461)</f>
        <v>-</v>
      </c>
      <c r="L649" s="104" t="str">
        <f>IF(ISERR('[1]Общее+'!M1461),"-",'[1]Общее+'!M1461)</f>
        <v>-</v>
      </c>
      <c r="M649" s="104" t="str">
        <f>IF(ISERR('[1]Общее+'!N1461),"-",'[1]Общее+'!N1461)</f>
        <v>-</v>
      </c>
    </row>
    <row r="650" spans="1:13" s="89" customFormat="1" hidden="1" x14ac:dyDescent="0.25">
      <c r="A650" s="13"/>
      <c r="B650" s="70" t="s">
        <v>1303</v>
      </c>
      <c r="C650" s="13" t="s">
        <v>8</v>
      </c>
      <c r="D650" s="104"/>
      <c r="E650" s="104"/>
      <c r="F650" s="104"/>
      <c r="G650" s="104">
        <f>IF(ISERR('[1]Общее+'!H1462),"-",'[1]Общее+'!H1462)</f>
        <v>83.333333333333343</v>
      </c>
      <c r="H650" s="104" t="str">
        <f>IF(ISERR('[1]Общее+'!I1462),"-",'[1]Общее+'!I1462)</f>
        <v>-</v>
      </c>
      <c r="I650" s="104" t="str">
        <f>IF(ISERR('[1]Общее+'!J1462),"-",'[1]Общее+'!J1462)</f>
        <v>-</v>
      </c>
      <c r="J650" s="104" t="str">
        <f>IF(ISERR('[1]Общее+'!K1462),"-",'[1]Общее+'!K1462)</f>
        <v>-</v>
      </c>
      <c r="K650" s="104" t="str">
        <f>IF(ISERR('[1]Общее+'!L1462),"-",'[1]Общее+'!L1462)</f>
        <v>-</v>
      </c>
      <c r="L650" s="104" t="str">
        <f>IF(ISERR('[1]Общее+'!M1462),"-",'[1]Общее+'!M1462)</f>
        <v>-</v>
      </c>
      <c r="M650" s="104" t="str">
        <f>IF(ISERR('[1]Общее+'!N1462),"-",'[1]Общее+'!N1462)</f>
        <v>-</v>
      </c>
    </row>
    <row r="651" spans="1:13" s="89" customFormat="1" hidden="1" x14ac:dyDescent="0.25">
      <c r="A651" s="13"/>
      <c r="B651" s="70" t="s">
        <v>1304</v>
      </c>
      <c r="C651" s="13" t="s">
        <v>8</v>
      </c>
      <c r="D651" s="104"/>
      <c r="E651" s="104"/>
      <c r="F651" s="104"/>
      <c r="G651" s="104">
        <f>IF(ISERR('[1]Общее+'!H1463),"-",'[1]Общее+'!H1463)</f>
        <v>68</v>
      </c>
      <c r="H651" s="104" t="str">
        <f>IF(ISERR('[1]Общее+'!I1463),"-",'[1]Общее+'!I1463)</f>
        <v>-</v>
      </c>
      <c r="I651" s="104" t="str">
        <f>IF(ISERR('[1]Общее+'!J1463),"-",'[1]Общее+'!J1463)</f>
        <v>-</v>
      </c>
      <c r="J651" s="104" t="str">
        <f>IF(ISERR('[1]Общее+'!K1463),"-",'[1]Общее+'!K1463)</f>
        <v>-</v>
      </c>
      <c r="K651" s="104" t="str">
        <f>IF(ISERR('[1]Общее+'!L1463),"-",'[1]Общее+'!L1463)</f>
        <v>-</v>
      </c>
      <c r="L651" s="104" t="str">
        <f>IF(ISERR('[1]Общее+'!M1463),"-",'[1]Общее+'!M1463)</f>
        <v>-</v>
      </c>
      <c r="M651" s="104" t="str">
        <f>IF(ISERR('[1]Общее+'!N1463),"-",'[1]Общее+'!N1463)</f>
        <v>-</v>
      </c>
    </row>
    <row r="652" spans="1:13" s="89" customFormat="1" hidden="1" x14ac:dyDescent="0.25">
      <c r="A652" s="13"/>
      <c r="B652" s="70" t="s">
        <v>1302</v>
      </c>
      <c r="C652" s="13" t="s">
        <v>8</v>
      </c>
      <c r="D652" s="104">
        <f>IF(ISERR('[1]Общее+'!E1464),"-",'[1]Общее+'!E1464)</f>
        <v>60</v>
      </c>
      <c r="E652" s="104">
        <f>IF(ISERR('[1]Общее+'!F1464),"-",'[1]Общее+'!F1464)</f>
        <v>60</v>
      </c>
      <c r="F652" s="104">
        <f>IF(ISERR('[1]Общее+'!G1464),"-",'[1]Общее+'!G1464)</f>
        <v>60</v>
      </c>
      <c r="G652" s="104">
        <f>IF(ISERR('[1]Общее+'!H1464),"-",'[1]Общее+'!H1464)</f>
        <v>75</v>
      </c>
      <c r="H652" s="104" t="str">
        <f>IF(ISERR('[1]Общее+'!I1464),"-",'[1]Общее+'!I1464)</f>
        <v>-</v>
      </c>
      <c r="I652" s="104" t="str">
        <f>IF(ISERR('[1]Общее+'!J1464),"-",'[1]Общее+'!J1464)</f>
        <v>-</v>
      </c>
      <c r="J652" s="104" t="str">
        <f>IF(ISERR('[1]Общее+'!K1464),"-",'[1]Общее+'!K1464)</f>
        <v>-</v>
      </c>
      <c r="K652" s="104" t="str">
        <f>IF(ISERR('[1]Общее+'!L1464),"-",'[1]Общее+'!L1464)</f>
        <v>-</v>
      </c>
      <c r="L652" s="104" t="str">
        <f>IF(ISERR('[1]Общее+'!M1464),"-",'[1]Общее+'!M1464)</f>
        <v>-</v>
      </c>
      <c r="M652" s="104" t="str">
        <f>IF(ISERR('[1]Общее+'!N1464),"-",'[1]Общее+'!N1464)</f>
        <v>-</v>
      </c>
    </row>
    <row r="653" spans="1:13" s="89" customFormat="1" hidden="1" x14ac:dyDescent="0.25">
      <c r="A653" s="13"/>
      <c r="B653" s="70" t="s">
        <v>1303</v>
      </c>
      <c r="C653" s="13" t="s">
        <v>8</v>
      </c>
      <c r="D653" s="104"/>
      <c r="E653" s="104"/>
      <c r="F653" s="104"/>
      <c r="G653" s="104">
        <f>IF(ISERR('[1]Общее+'!H1465),"-",'[1]Общее+'!H1465)</f>
        <v>75</v>
      </c>
      <c r="H653" s="104" t="str">
        <f>IF(ISERR('[1]Общее+'!I1465),"-",'[1]Общее+'!I1465)</f>
        <v>-</v>
      </c>
      <c r="I653" s="104" t="str">
        <f>IF(ISERR('[1]Общее+'!J1465),"-",'[1]Общее+'!J1465)</f>
        <v>-</v>
      </c>
      <c r="J653" s="104" t="str">
        <f>IF(ISERR('[1]Общее+'!K1465),"-",'[1]Общее+'!K1465)</f>
        <v>-</v>
      </c>
      <c r="K653" s="104" t="str">
        <f>IF(ISERR('[1]Общее+'!L1465),"-",'[1]Общее+'!L1465)</f>
        <v>-</v>
      </c>
      <c r="L653" s="104" t="str">
        <f>IF(ISERR('[1]Общее+'!M1465),"-",'[1]Общее+'!M1465)</f>
        <v>-</v>
      </c>
      <c r="M653" s="104" t="str">
        <f>IF(ISERR('[1]Общее+'!N1465),"-",'[1]Общее+'!N1465)</f>
        <v>-</v>
      </c>
    </row>
    <row r="654" spans="1:13" s="89" customFormat="1" hidden="1" x14ac:dyDescent="0.25">
      <c r="A654" s="13"/>
      <c r="B654" s="70" t="s">
        <v>1304</v>
      </c>
      <c r="C654" s="13" t="s">
        <v>8</v>
      </c>
      <c r="D654" s="104"/>
      <c r="E654" s="104"/>
      <c r="F654" s="104"/>
      <c r="G654" s="104" t="str">
        <f>IF(ISERR('[1]Общее+'!H1466),"-",'[1]Общее+'!H1466)</f>
        <v>-</v>
      </c>
      <c r="H654" s="104" t="str">
        <f>IF(ISERR('[1]Общее+'!I1466),"-",'[1]Общее+'!I1466)</f>
        <v>-</v>
      </c>
      <c r="I654" s="104" t="str">
        <f>IF(ISERR('[1]Общее+'!J1466),"-",'[1]Общее+'!J1466)</f>
        <v>-</v>
      </c>
      <c r="J654" s="104" t="str">
        <f>IF(ISERR('[1]Общее+'!K1466),"-",'[1]Общее+'!K1466)</f>
        <v>-</v>
      </c>
      <c r="K654" s="104" t="str">
        <f>IF(ISERR('[1]Общее+'!L1466),"-",'[1]Общее+'!L1466)</f>
        <v>-</v>
      </c>
      <c r="L654" s="104" t="str">
        <f>IF(ISERR('[1]Общее+'!M1466),"-",'[1]Общее+'!M1466)</f>
        <v>-</v>
      </c>
      <c r="M654" s="104" t="str">
        <f>IF(ISERR('[1]Общее+'!N1466),"-",'[1]Общее+'!N1466)</f>
        <v>-</v>
      </c>
    </row>
    <row r="655" spans="1:13" s="89" customFormat="1" ht="30" hidden="1" x14ac:dyDescent="0.25">
      <c r="A655" s="13" t="s">
        <v>296</v>
      </c>
      <c r="B655" s="70" t="s">
        <v>295</v>
      </c>
      <c r="C655" s="13"/>
      <c r="D655" s="90"/>
      <c r="E655" s="90"/>
      <c r="F655" s="90"/>
      <c r="G655" s="90"/>
      <c r="H655" s="104"/>
      <c r="I655" s="104"/>
      <c r="J655" s="104"/>
      <c r="K655" s="104"/>
      <c r="L655" s="104"/>
      <c r="M655" s="104"/>
    </row>
    <row r="656" spans="1:13" s="89" customFormat="1" hidden="1" x14ac:dyDescent="0.25">
      <c r="A656" s="13"/>
      <c r="B656" s="70" t="s">
        <v>1301</v>
      </c>
      <c r="C656" s="13" t="s">
        <v>8</v>
      </c>
      <c r="D656" s="104">
        <f>IF(ISERR('[1]Общее+'!E1530),"-",'[1]Общее+'!E1530)</f>
        <v>94.169096209912539</v>
      </c>
      <c r="E656" s="104">
        <f>IF(ISERR('[1]Общее+'!F1530),"-",'[1]Общее+'!F1530)</f>
        <v>93.805309734513273</v>
      </c>
      <c r="F656" s="104">
        <f>IF(ISERR('[1]Общее+'!G1530),"-",'[1]Общее+'!G1530)</f>
        <v>95.757575757575751</v>
      </c>
      <c r="G656" s="104">
        <f>IF(ISERR('[1]Общее+'!H1530),"-",'[1]Общее+'!H1530)</f>
        <v>97.204968944099377</v>
      </c>
      <c r="H656" s="104" t="str">
        <f>IF(ISERR('[1]Общее+'!I1530),"-",'[1]Общее+'!I1530)</f>
        <v>-</v>
      </c>
      <c r="I656" s="104" t="str">
        <f>IF(ISERR('[1]Общее+'!J1530),"-",'[1]Общее+'!J1530)</f>
        <v>-</v>
      </c>
      <c r="J656" s="104" t="str">
        <f>IF(ISERR('[1]Общее+'!K1530),"-",'[1]Общее+'!K1530)</f>
        <v>-</v>
      </c>
      <c r="K656" s="104" t="str">
        <f>IF(ISERR('[1]Общее+'!L1530),"-",'[1]Общее+'!L1530)</f>
        <v>-</v>
      </c>
      <c r="L656" s="104" t="str">
        <f>IF(ISERR('[1]Общее+'!M1530),"-",'[1]Общее+'!M1530)</f>
        <v>-</v>
      </c>
      <c r="M656" s="104" t="str">
        <f>IF(ISERR('[1]Общее+'!N1530),"-",'[1]Общее+'!N1530)</f>
        <v>-</v>
      </c>
    </row>
    <row r="657" spans="1:13" s="89" customFormat="1" hidden="1" x14ac:dyDescent="0.25">
      <c r="A657" s="13"/>
      <c r="B657" s="70" t="s">
        <v>1303</v>
      </c>
      <c r="C657" s="13" t="s">
        <v>8</v>
      </c>
      <c r="D657" s="104"/>
      <c r="E657" s="104"/>
      <c r="F657" s="104"/>
      <c r="G657" s="104">
        <f>IF(ISERR('[1]Общее+'!H1531),"-",'[1]Общее+'!H1531)</f>
        <v>97.747747747747752</v>
      </c>
      <c r="H657" s="104" t="str">
        <f>IF(ISERR('[1]Общее+'!I1531),"-",'[1]Общее+'!I1531)</f>
        <v>-</v>
      </c>
      <c r="I657" s="104" t="str">
        <f>IF(ISERR('[1]Общее+'!J1531),"-",'[1]Общее+'!J1531)</f>
        <v>-</v>
      </c>
      <c r="J657" s="104" t="str">
        <f>IF(ISERR('[1]Общее+'!K1531),"-",'[1]Общее+'!K1531)</f>
        <v>-</v>
      </c>
      <c r="K657" s="104" t="str">
        <f>IF(ISERR('[1]Общее+'!L1531),"-",'[1]Общее+'!L1531)</f>
        <v>-</v>
      </c>
      <c r="L657" s="104" t="str">
        <f>IF(ISERR('[1]Общее+'!M1531),"-",'[1]Общее+'!M1531)</f>
        <v>-</v>
      </c>
      <c r="M657" s="104" t="str">
        <f>IF(ISERR('[1]Общее+'!N1531),"-",'[1]Общее+'!N1531)</f>
        <v>-</v>
      </c>
    </row>
    <row r="658" spans="1:13" s="89" customFormat="1" hidden="1" x14ac:dyDescent="0.25">
      <c r="A658" s="13"/>
      <c r="B658" s="70" t="s">
        <v>1304</v>
      </c>
      <c r="C658" s="13" t="s">
        <v>8</v>
      </c>
      <c r="D658" s="104"/>
      <c r="E658" s="104"/>
      <c r="F658" s="104"/>
      <c r="G658" s="104">
        <f>IF(ISERR('[1]Общее+'!H1532),"-",'[1]Общее+'!H1532)</f>
        <v>96</v>
      </c>
      <c r="H658" s="104" t="str">
        <f>IF(ISERR('[1]Общее+'!I1532),"-",'[1]Общее+'!I1532)</f>
        <v>-</v>
      </c>
      <c r="I658" s="104" t="str">
        <f>IF(ISERR('[1]Общее+'!J1532),"-",'[1]Общее+'!J1532)</f>
        <v>-</v>
      </c>
      <c r="J658" s="104" t="str">
        <f>IF(ISERR('[1]Общее+'!K1532),"-",'[1]Общее+'!K1532)</f>
        <v>-</v>
      </c>
      <c r="K658" s="104" t="str">
        <f>IF(ISERR('[1]Общее+'!L1532),"-",'[1]Общее+'!L1532)</f>
        <v>-</v>
      </c>
      <c r="L658" s="104" t="str">
        <f>IF(ISERR('[1]Общее+'!M1532),"-",'[1]Общее+'!M1532)</f>
        <v>-</v>
      </c>
      <c r="M658" s="104" t="str">
        <f>IF(ISERR('[1]Общее+'!N1532),"-",'[1]Общее+'!N1532)</f>
        <v>-</v>
      </c>
    </row>
    <row r="659" spans="1:13" s="89" customFormat="1" hidden="1" x14ac:dyDescent="0.25">
      <c r="A659" s="13"/>
      <c r="B659" s="70" t="s">
        <v>1302</v>
      </c>
      <c r="C659" s="13" t="s">
        <v>8</v>
      </c>
      <c r="D659" s="104">
        <f>IF(ISERR('[1]Общее+'!E1533),"-",'[1]Общее+'!E1533)</f>
        <v>100</v>
      </c>
      <c r="E659" s="104">
        <f>IF(ISERR('[1]Общее+'!F1533),"-",'[1]Общее+'!F1533)</f>
        <v>100</v>
      </c>
      <c r="F659" s="104">
        <f>IF(ISERR('[1]Общее+'!G1533),"-",'[1]Общее+'!G1533)</f>
        <v>100</v>
      </c>
      <c r="G659" s="104">
        <f>IF(ISERR('[1]Общее+'!H1533),"-",'[1]Общее+'!H1533)</f>
        <v>100</v>
      </c>
      <c r="H659" s="104" t="str">
        <f>IF(ISERR('[1]Общее+'!I1533),"-",'[1]Общее+'!I1533)</f>
        <v>-</v>
      </c>
      <c r="I659" s="104" t="str">
        <f>IF(ISERR('[1]Общее+'!J1533),"-",'[1]Общее+'!J1533)</f>
        <v>-</v>
      </c>
      <c r="J659" s="104" t="str">
        <f>IF(ISERR('[1]Общее+'!K1533),"-",'[1]Общее+'!K1533)</f>
        <v>-</v>
      </c>
      <c r="K659" s="104" t="str">
        <f>IF(ISERR('[1]Общее+'!L1533),"-",'[1]Общее+'!L1533)</f>
        <v>-</v>
      </c>
      <c r="L659" s="104" t="str">
        <f>IF(ISERR('[1]Общее+'!M1533),"-",'[1]Общее+'!M1533)</f>
        <v>-</v>
      </c>
      <c r="M659" s="104" t="str">
        <f>IF(ISERR('[1]Общее+'!N1533),"-",'[1]Общее+'!N1533)</f>
        <v>-</v>
      </c>
    </row>
    <row r="660" spans="1:13" s="89" customFormat="1" hidden="1" x14ac:dyDescent="0.25">
      <c r="A660" s="13"/>
      <c r="B660" s="70" t="s">
        <v>1303</v>
      </c>
      <c r="C660" s="13" t="s">
        <v>8</v>
      </c>
      <c r="D660" s="104"/>
      <c r="E660" s="104"/>
      <c r="F660" s="104"/>
      <c r="G660" s="104">
        <f>IF(ISERR('[1]Общее+'!H1534),"-",'[1]Общее+'!H1534)</f>
        <v>100</v>
      </c>
      <c r="H660" s="104" t="str">
        <f>IF(ISERR('[1]Общее+'!I1534),"-",'[1]Общее+'!I1534)</f>
        <v>-</v>
      </c>
      <c r="I660" s="104" t="str">
        <f>IF(ISERR('[1]Общее+'!J1534),"-",'[1]Общее+'!J1534)</f>
        <v>-</v>
      </c>
      <c r="J660" s="104" t="str">
        <f>IF(ISERR('[1]Общее+'!K1534),"-",'[1]Общее+'!K1534)</f>
        <v>-</v>
      </c>
      <c r="K660" s="104" t="str">
        <f>IF(ISERR('[1]Общее+'!L1534),"-",'[1]Общее+'!L1534)</f>
        <v>-</v>
      </c>
      <c r="L660" s="104" t="str">
        <f>IF(ISERR('[1]Общее+'!M1534),"-",'[1]Общее+'!M1534)</f>
        <v>-</v>
      </c>
      <c r="M660" s="104" t="str">
        <f>IF(ISERR('[1]Общее+'!N1534),"-",'[1]Общее+'!N1534)</f>
        <v>-</v>
      </c>
    </row>
    <row r="661" spans="1:13" s="89" customFormat="1" hidden="1" x14ac:dyDescent="0.25">
      <c r="A661" s="13"/>
      <c r="B661" s="70" t="s">
        <v>1304</v>
      </c>
      <c r="C661" s="13" t="s">
        <v>8</v>
      </c>
      <c r="D661" s="104"/>
      <c r="E661" s="104"/>
      <c r="F661" s="104"/>
      <c r="G661" s="104" t="str">
        <f>IF(ISERR('[1]Общее+'!H1535),"-",'[1]Общее+'!H1535)</f>
        <v>-</v>
      </c>
      <c r="H661" s="104" t="str">
        <f>IF(ISERR('[1]Общее+'!I1535),"-",'[1]Общее+'!I1535)</f>
        <v>-</v>
      </c>
      <c r="I661" s="104" t="str">
        <f>IF(ISERR('[1]Общее+'!J1535),"-",'[1]Общее+'!J1535)</f>
        <v>-</v>
      </c>
      <c r="J661" s="104" t="str">
        <f>IF(ISERR('[1]Общее+'!K1535),"-",'[1]Общее+'!K1535)</f>
        <v>-</v>
      </c>
      <c r="K661" s="104" t="str">
        <f>IF(ISERR('[1]Общее+'!L1535),"-",'[1]Общее+'!L1535)</f>
        <v>-</v>
      </c>
      <c r="L661" s="104" t="str">
        <f>IF(ISERR('[1]Общее+'!M1535),"-",'[1]Общее+'!M1535)</f>
        <v>-</v>
      </c>
      <c r="M661" s="104" t="str">
        <f>IF(ISERR('[1]Общее+'!N1535),"-",'[1]Общее+'!N1535)</f>
        <v>-</v>
      </c>
    </row>
    <row r="662" spans="1:13" s="89" customFormat="1" ht="30" hidden="1" x14ac:dyDescent="0.25">
      <c r="A662" s="13" t="s">
        <v>301</v>
      </c>
      <c r="B662" s="70" t="s">
        <v>300</v>
      </c>
      <c r="C662" s="13"/>
      <c r="D662" s="90"/>
      <c r="E662" s="90"/>
      <c r="F662" s="90"/>
      <c r="G662" s="90"/>
      <c r="H662" s="104"/>
      <c r="I662" s="104"/>
      <c r="J662" s="104"/>
      <c r="K662" s="104"/>
      <c r="L662" s="104"/>
      <c r="M662" s="104"/>
    </row>
    <row r="663" spans="1:13" s="89" customFormat="1" hidden="1" x14ac:dyDescent="0.25">
      <c r="A663" s="13"/>
      <c r="B663" s="70" t="s">
        <v>1301</v>
      </c>
      <c r="C663" s="13" t="s">
        <v>8</v>
      </c>
      <c r="D663" s="104">
        <f>IF(ISERR('[1]Общее+'!E1559),"-",'[1]Общее+'!E1559)</f>
        <v>81.341107871720126</v>
      </c>
      <c r="E663" s="104">
        <f>IF(ISERR('[1]Общее+'!F1559),"-",'[1]Общее+'!F1559)</f>
        <v>83.48082595870207</v>
      </c>
      <c r="F663" s="104">
        <f>IF(ISERR('[1]Общее+'!G1559),"-",'[1]Общее+'!G1559)</f>
        <v>85.151515151515156</v>
      </c>
      <c r="G663" s="104">
        <f>IF(ISERR('[1]Общее+'!H1559),"-",'[1]Общее+'!H1559)</f>
        <v>97.204968944099377</v>
      </c>
      <c r="H663" s="104" t="str">
        <f>IF(ISERR('[1]Общее+'!I1559),"-",'[1]Общее+'!I1559)</f>
        <v>-</v>
      </c>
      <c r="I663" s="104" t="str">
        <f>IF(ISERR('[1]Общее+'!J1559),"-",'[1]Общее+'!J1559)</f>
        <v>-</v>
      </c>
      <c r="J663" s="104" t="str">
        <f>IF(ISERR('[1]Общее+'!K1559),"-",'[1]Общее+'!K1559)</f>
        <v>-</v>
      </c>
      <c r="K663" s="104" t="str">
        <f>IF(ISERR('[1]Общее+'!L1559),"-",'[1]Общее+'!L1559)</f>
        <v>-</v>
      </c>
      <c r="L663" s="104" t="str">
        <f>IF(ISERR('[1]Общее+'!M1559),"-",'[1]Общее+'!M1559)</f>
        <v>-</v>
      </c>
      <c r="M663" s="104" t="str">
        <f>IF(ISERR('[1]Общее+'!N1559),"-",'[1]Общее+'!N1559)</f>
        <v>-</v>
      </c>
    </row>
    <row r="664" spans="1:13" s="89" customFormat="1" hidden="1" x14ac:dyDescent="0.25">
      <c r="A664" s="13"/>
      <c r="B664" s="70" t="s">
        <v>1303</v>
      </c>
      <c r="C664" s="13" t="s">
        <v>8</v>
      </c>
      <c r="D664" s="104"/>
      <c r="E664" s="104"/>
      <c r="F664" s="104"/>
      <c r="G664" s="104">
        <f>IF(ISERR('[1]Общее+'!H1560),"-",'[1]Общее+'!H1560)</f>
        <v>98.198198198198199</v>
      </c>
      <c r="H664" s="104" t="str">
        <f>IF(ISERR('[1]Общее+'!I1560),"-",'[1]Общее+'!I1560)</f>
        <v>-</v>
      </c>
      <c r="I664" s="104" t="str">
        <f>IF(ISERR('[1]Общее+'!J1560),"-",'[1]Общее+'!J1560)</f>
        <v>-</v>
      </c>
      <c r="J664" s="104" t="str">
        <f>IF(ISERR('[1]Общее+'!K1560),"-",'[1]Общее+'!K1560)</f>
        <v>-</v>
      </c>
      <c r="K664" s="104" t="str">
        <f>IF(ISERR('[1]Общее+'!L1560),"-",'[1]Общее+'!L1560)</f>
        <v>-</v>
      </c>
      <c r="L664" s="104" t="str">
        <f>IF(ISERR('[1]Общее+'!M1560),"-",'[1]Общее+'!M1560)</f>
        <v>-</v>
      </c>
      <c r="M664" s="104" t="str">
        <f>IF(ISERR('[1]Общее+'!N1560),"-",'[1]Общее+'!N1560)</f>
        <v>-</v>
      </c>
    </row>
    <row r="665" spans="1:13" s="89" customFormat="1" hidden="1" x14ac:dyDescent="0.25">
      <c r="A665" s="13"/>
      <c r="B665" s="70" t="s">
        <v>1304</v>
      </c>
      <c r="C665" s="13" t="s">
        <v>8</v>
      </c>
      <c r="D665" s="104"/>
      <c r="E665" s="104"/>
      <c r="F665" s="104"/>
      <c r="G665" s="104">
        <f>IF(ISERR('[1]Общее+'!H1561),"-",'[1]Общее+'!H1561)</f>
        <v>95</v>
      </c>
      <c r="H665" s="104" t="str">
        <f>IF(ISERR('[1]Общее+'!I1561),"-",'[1]Общее+'!I1561)</f>
        <v>-</v>
      </c>
      <c r="I665" s="104" t="str">
        <f>IF(ISERR('[1]Общее+'!J1561),"-",'[1]Общее+'!J1561)</f>
        <v>-</v>
      </c>
      <c r="J665" s="104" t="str">
        <f>IF(ISERR('[1]Общее+'!K1561),"-",'[1]Общее+'!K1561)</f>
        <v>-</v>
      </c>
      <c r="K665" s="104" t="str">
        <f>IF(ISERR('[1]Общее+'!L1561),"-",'[1]Общее+'!L1561)</f>
        <v>-</v>
      </c>
      <c r="L665" s="104" t="str">
        <f>IF(ISERR('[1]Общее+'!M1561),"-",'[1]Общее+'!M1561)</f>
        <v>-</v>
      </c>
      <c r="M665" s="104" t="str">
        <f>IF(ISERR('[1]Общее+'!N1561),"-",'[1]Общее+'!N1561)</f>
        <v>-</v>
      </c>
    </row>
    <row r="666" spans="1:13" s="89" customFormat="1" hidden="1" x14ac:dyDescent="0.25">
      <c r="A666" s="13"/>
      <c r="B666" s="70" t="s">
        <v>1302</v>
      </c>
      <c r="C666" s="13" t="s">
        <v>8</v>
      </c>
      <c r="D666" s="104">
        <f>IF(ISERR('[1]Общее+'!E1562),"-",'[1]Общее+'!E1562)</f>
        <v>100</v>
      </c>
      <c r="E666" s="104">
        <f>IF(ISERR('[1]Общее+'!F1562),"-",'[1]Общее+'!F1562)</f>
        <v>100</v>
      </c>
      <c r="F666" s="104">
        <f>IF(ISERR('[1]Общее+'!G1562),"-",'[1]Общее+'!G1562)</f>
        <v>100</v>
      </c>
      <c r="G666" s="104">
        <f>IF(ISERR('[1]Общее+'!H1562),"-",'[1]Общее+'!H1562)</f>
        <v>100</v>
      </c>
      <c r="H666" s="104" t="str">
        <f>IF(ISERR('[1]Общее+'!I1562),"-",'[1]Общее+'!I1562)</f>
        <v>-</v>
      </c>
      <c r="I666" s="104" t="str">
        <f>IF(ISERR('[1]Общее+'!J1562),"-",'[1]Общее+'!J1562)</f>
        <v>-</v>
      </c>
      <c r="J666" s="104" t="str">
        <f>IF(ISERR('[1]Общее+'!K1562),"-",'[1]Общее+'!K1562)</f>
        <v>-</v>
      </c>
      <c r="K666" s="104" t="str">
        <f>IF(ISERR('[1]Общее+'!L1562),"-",'[1]Общее+'!L1562)</f>
        <v>-</v>
      </c>
      <c r="L666" s="104" t="str">
        <f>IF(ISERR('[1]Общее+'!M1562),"-",'[1]Общее+'!M1562)</f>
        <v>-</v>
      </c>
      <c r="M666" s="104" t="str">
        <f>IF(ISERR('[1]Общее+'!N1562),"-",'[1]Общее+'!N1562)</f>
        <v>-</v>
      </c>
    </row>
    <row r="667" spans="1:13" s="89" customFormat="1" hidden="1" x14ac:dyDescent="0.25">
      <c r="A667" s="13"/>
      <c r="B667" s="70" t="s">
        <v>1303</v>
      </c>
      <c r="C667" s="13" t="s">
        <v>8</v>
      </c>
      <c r="D667" s="104"/>
      <c r="E667" s="104"/>
      <c r="F667" s="104"/>
      <c r="G667" s="104">
        <f>IF(ISERR('[1]Общее+'!H1563),"-",'[1]Общее+'!H1563)</f>
        <v>100</v>
      </c>
      <c r="H667" s="104" t="str">
        <f>IF(ISERR('[1]Общее+'!I1563),"-",'[1]Общее+'!I1563)</f>
        <v>-</v>
      </c>
      <c r="I667" s="104" t="str">
        <f>IF(ISERR('[1]Общее+'!J1563),"-",'[1]Общее+'!J1563)</f>
        <v>-</v>
      </c>
      <c r="J667" s="104" t="str">
        <f>IF(ISERR('[1]Общее+'!K1563),"-",'[1]Общее+'!K1563)</f>
        <v>-</v>
      </c>
      <c r="K667" s="104" t="str">
        <f>IF(ISERR('[1]Общее+'!L1563),"-",'[1]Общее+'!L1563)</f>
        <v>-</v>
      </c>
      <c r="L667" s="104" t="str">
        <f>IF(ISERR('[1]Общее+'!M1563),"-",'[1]Общее+'!M1563)</f>
        <v>-</v>
      </c>
      <c r="M667" s="104" t="str">
        <f>IF(ISERR('[1]Общее+'!N1563),"-",'[1]Общее+'!N1563)</f>
        <v>-</v>
      </c>
    </row>
    <row r="668" spans="1:13" s="89" customFormat="1" hidden="1" x14ac:dyDescent="0.25">
      <c r="A668" s="13"/>
      <c r="B668" s="70" t="s">
        <v>1304</v>
      </c>
      <c r="C668" s="13" t="s">
        <v>8</v>
      </c>
      <c r="D668" s="104"/>
      <c r="E668" s="104"/>
      <c r="F668" s="104"/>
      <c r="G668" s="104" t="str">
        <f>IF(ISERR('[1]Общее+'!H1564),"-",'[1]Общее+'!H1564)</f>
        <v>-</v>
      </c>
      <c r="H668" s="104" t="str">
        <f>IF(ISERR('[1]Общее+'!I1564),"-",'[1]Общее+'!I1564)</f>
        <v>-</v>
      </c>
      <c r="I668" s="104" t="str">
        <f>IF(ISERR('[1]Общее+'!J1564),"-",'[1]Общее+'!J1564)</f>
        <v>-</v>
      </c>
      <c r="J668" s="104" t="str">
        <f>IF(ISERR('[1]Общее+'!K1564),"-",'[1]Общее+'!K1564)</f>
        <v>-</v>
      </c>
      <c r="K668" s="104" t="str">
        <f>IF(ISERR('[1]Общее+'!L1564),"-",'[1]Общее+'!L1564)</f>
        <v>-</v>
      </c>
      <c r="L668" s="104" t="str">
        <f>IF(ISERR('[1]Общее+'!M1564),"-",'[1]Общее+'!M1564)</f>
        <v>-</v>
      </c>
      <c r="M668" s="104" t="str">
        <f>IF(ISERR('[1]Общее+'!N1564),"-",'[1]Общее+'!N1564)</f>
        <v>-</v>
      </c>
    </row>
    <row r="669" spans="1:13" s="89" customFormat="1" ht="30" hidden="1" x14ac:dyDescent="0.25">
      <c r="A669" s="13" t="s">
        <v>309</v>
      </c>
      <c r="B669" s="70" t="s">
        <v>310</v>
      </c>
      <c r="C669" s="13"/>
      <c r="D669" s="90"/>
      <c r="E669" s="90"/>
      <c r="F669" s="90"/>
      <c r="G669" s="90"/>
      <c r="H669" s="104"/>
      <c r="I669" s="104"/>
      <c r="J669" s="104"/>
      <c r="K669" s="104"/>
      <c r="L669" s="104"/>
      <c r="M669" s="104"/>
    </row>
    <row r="670" spans="1:13" s="89" customFormat="1" hidden="1" x14ac:dyDescent="0.25">
      <c r="A670" s="13"/>
      <c r="B670" s="70" t="s">
        <v>1301</v>
      </c>
      <c r="C670" s="13" t="s">
        <v>8</v>
      </c>
      <c r="D670" s="104">
        <f>IF(ISERR('[1]Общее+'!E1588),"-",'[1]Общее+'!E1588)</f>
        <v>91.83673469387756</v>
      </c>
      <c r="E670" s="104">
        <f>IF(ISERR('[1]Общее+'!F1588),"-",'[1]Общее+'!F1588)</f>
        <v>94.395280235988196</v>
      </c>
      <c r="F670" s="104">
        <f>IF(ISERR('[1]Общее+'!G1588),"-",'[1]Общее+'!G1588)</f>
        <v>97.27272727272728</v>
      </c>
      <c r="G670" s="104">
        <f>IF(ISERR('[1]Общее+'!H1588),"-",'[1]Общее+'!H1588)</f>
        <v>99.689440993788821</v>
      </c>
      <c r="H670" s="104" t="str">
        <f>IF(ISERR('[1]Общее+'!I1588),"-",'[1]Общее+'!I1588)</f>
        <v>-</v>
      </c>
      <c r="I670" s="104" t="str">
        <f>IF(ISERR('[1]Общее+'!J1588),"-",'[1]Общее+'!J1588)</f>
        <v>-</v>
      </c>
      <c r="J670" s="104" t="str">
        <f>IF(ISERR('[1]Общее+'!K1588),"-",'[1]Общее+'!K1588)</f>
        <v>-</v>
      </c>
      <c r="K670" s="104" t="str">
        <f>IF(ISERR('[1]Общее+'!L1588),"-",'[1]Общее+'!L1588)</f>
        <v>-</v>
      </c>
      <c r="L670" s="104" t="str">
        <f>IF(ISERR('[1]Общее+'!M1588),"-",'[1]Общее+'!M1588)</f>
        <v>-</v>
      </c>
      <c r="M670" s="104" t="str">
        <f>IF(ISERR('[1]Общее+'!N1588),"-",'[1]Общее+'!N1588)</f>
        <v>-</v>
      </c>
    </row>
    <row r="671" spans="1:13" s="89" customFormat="1" hidden="1" x14ac:dyDescent="0.25">
      <c r="A671" s="13"/>
      <c r="B671" s="70" t="s">
        <v>1303</v>
      </c>
      <c r="C671" s="13" t="s">
        <v>8</v>
      </c>
      <c r="D671" s="104"/>
      <c r="E671" s="104"/>
      <c r="F671" s="104"/>
      <c r="G671" s="104">
        <f>IF(ISERR('[1]Общее+'!H1589),"-",'[1]Общее+'!H1589)</f>
        <v>100</v>
      </c>
      <c r="H671" s="104" t="str">
        <f>IF(ISERR('[1]Общее+'!I1589),"-",'[1]Общее+'!I1589)</f>
        <v>-</v>
      </c>
      <c r="I671" s="104" t="str">
        <f>IF(ISERR('[1]Общее+'!J1589),"-",'[1]Общее+'!J1589)</f>
        <v>-</v>
      </c>
      <c r="J671" s="104" t="str">
        <f>IF(ISERR('[1]Общее+'!K1589),"-",'[1]Общее+'!K1589)</f>
        <v>-</v>
      </c>
      <c r="K671" s="104" t="str">
        <f>IF(ISERR('[1]Общее+'!L1589),"-",'[1]Общее+'!L1589)</f>
        <v>-</v>
      </c>
      <c r="L671" s="104" t="str">
        <f>IF(ISERR('[1]Общее+'!M1589),"-",'[1]Общее+'!M1589)</f>
        <v>-</v>
      </c>
      <c r="M671" s="104" t="str">
        <f>IF(ISERR('[1]Общее+'!N1589),"-",'[1]Общее+'!N1589)</f>
        <v>-</v>
      </c>
    </row>
    <row r="672" spans="1:13" s="89" customFormat="1" hidden="1" x14ac:dyDescent="0.25">
      <c r="A672" s="13"/>
      <c r="B672" s="70" t="s">
        <v>1304</v>
      </c>
      <c r="C672" s="13" t="s">
        <v>8</v>
      </c>
      <c r="D672" s="104"/>
      <c r="E672" s="104"/>
      <c r="F672" s="104"/>
      <c r="G672" s="104">
        <f>IF(ISERR('[1]Общее+'!H1590),"-",'[1]Общее+'!H1590)</f>
        <v>99</v>
      </c>
      <c r="H672" s="104" t="str">
        <f>IF(ISERR('[1]Общее+'!I1590),"-",'[1]Общее+'!I1590)</f>
        <v>-</v>
      </c>
      <c r="I672" s="104" t="str">
        <f>IF(ISERR('[1]Общее+'!J1590),"-",'[1]Общее+'!J1590)</f>
        <v>-</v>
      </c>
      <c r="J672" s="104" t="str">
        <f>IF(ISERR('[1]Общее+'!K1590),"-",'[1]Общее+'!K1590)</f>
        <v>-</v>
      </c>
      <c r="K672" s="104" t="str">
        <f>IF(ISERR('[1]Общее+'!L1590),"-",'[1]Общее+'!L1590)</f>
        <v>-</v>
      </c>
      <c r="L672" s="104" t="str">
        <f>IF(ISERR('[1]Общее+'!M1590),"-",'[1]Общее+'!M1590)</f>
        <v>-</v>
      </c>
      <c r="M672" s="104" t="str">
        <f>IF(ISERR('[1]Общее+'!N1590),"-",'[1]Общее+'!N1590)</f>
        <v>-</v>
      </c>
    </row>
    <row r="673" spans="1:13" s="89" customFormat="1" hidden="1" x14ac:dyDescent="0.25">
      <c r="A673" s="13"/>
      <c r="B673" s="70" t="s">
        <v>1302</v>
      </c>
      <c r="C673" s="13" t="s">
        <v>8</v>
      </c>
      <c r="D673" s="104">
        <f>IF(ISERR('[1]Общее+'!E1591),"-",'[1]Общее+'!E1591)</f>
        <v>80</v>
      </c>
      <c r="E673" s="104">
        <f>IF(ISERR('[1]Общее+'!F1591),"-",'[1]Общее+'!F1591)</f>
        <v>60</v>
      </c>
      <c r="F673" s="104">
        <f>IF(ISERR('[1]Общее+'!G1591),"-",'[1]Общее+'!G1591)</f>
        <v>60</v>
      </c>
      <c r="G673" s="104">
        <f>IF(ISERR('[1]Общее+'!H1591),"-",'[1]Общее+'!H1591)</f>
        <v>100</v>
      </c>
      <c r="H673" s="104" t="str">
        <f>IF(ISERR('[1]Общее+'!I1591),"-",'[1]Общее+'!I1591)</f>
        <v>-</v>
      </c>
      <c r="I673" s="104" t="str">
        <f>IF(ISERR('[1]Общее+'!J1591),"-",'[1]Общее+'!J1591)</f>
        <v>-</v>
      </c>
      <c r="J673" s="104" t="str">
        <f>IF(ISERR('[1]Общее+'!K1591),"-",'[1]Общее+'!K1591)</f>
        <v>-</v>
      </c>
      <c r="K673" s="104" t="str">
        <f>IF(ISERR('[1]Общее+'!L1591),"-",'[1]Общее+'!L1591)</f>
        <v>-</v>
      </c>
      <c r="L673" s="104" t="str">
        <f>IF(ISERR('[1]Общее+'!M1591),"-",'[1]Общее+'!M1591)</f>
        <v>-</v>
      </c>
      <c r="M673" s="104" t="str">
        <f>IF(ISERR('[1]Общее+'!N1591),"-",'[1]Общее+'!N1591)</f>
        <v>-</v>
      </c>
    </row>
    <row r="674" spans="1:13" s="89" customFormat="1" hidden="1" x14ac:dyDescent="0.25">
      <c r="A674" s="13"/>
      <c r="B674" s="70" t="s">
        <v>1303</v>
      </c>
      <c r="C674" s="13" t="s">
        <v>8</v>
      </c>
      <c r="D674" s="104"/>
      <c r="E674" s="104"/>
      <c r="F674" s="104"/>
      <c r="G674" s="104">
        <f>IF(ISERR('[1]Общее+'!H1592),"-",'[1]Общее+'!H1592)</f>
        <v>100</v>
      </c>
      <c r="H674" s="104" t="str">
        <f>IF(ISERR('[1]Общее+'!I1592),"-",'[1]Общее+'!I1592)</f>
        <v>-</v>
      </c>
      <c r="I674" s="104" t="str">
        <f>IF(ISERR('[1]Общее+'!J1592),"-",'[1]Общее+'!J1592)</f>
        <v>-</v>
      </c>
      <c r="J674" s="104" t="str">
        <f>IF(ISERR('[1]Общее+'!K1592),"-",'[1]Общее+'!K1592)</f>
        <v>-</v>
      </c>
      <c r="K674" s="104" t="str">
        <f>IF(ISERR('[1]Общее+'!L1592),"-",'[1]Общее+'!L1592)</f>
        <v>-</v>
      </c>
      <c r="L674" s="104" t="str">
        <f>IF(ISERR('[1]Общее+'!M1592),"-",'[1]Общее+'!M1592)</f>
        <v>-</v>
      </c>
      <c r="M674" s="104" t="str">
        <f>IF(ISERR('[1]Общее+'!N1592),"-",'[1]Общее+'!N1592)</f>
        <v>-</v>
      </c>
    </row>
    <row r="675" spans="1:13" s="89" customFormat="1" hidden="1" x14ac:dyDescent="0.25">
      <c r="A675" s="13"/>
      <c r="B675" s="70" t="s">
        <v>1304</v>
      </c>
      <c r="C675" s="13" t="s">
        <v>8</v>
      </c>
      <c r="D675" s="104"/>
      <c r="E675" s="104"/>
      <c r="F675" s="104"/>
      <c r="G675" s="104" t="str">
        <f>IF(ISERR('[1]Общее+'!H1593),"-",'[1]Общее+'!H1593)</f>
        <v>-</v>
      </c>
      <c r="H675" s="104" t="str">
        <f>IF(ISERR('[1]Общее+'!I1593),"-",'[1]Общее+'!I1593)</f>
        <v>-</v>
      </c>
      <c r="I675" s="104" t="str">
        <f>IF(ISERR('[1]Общее+'!J1593),"-",'[1]Общее+'!J1593)</f>
        <v>-</v>
      </c>
      <c r="J675" s="104" t="str">
        <f>IF(ISERR('[1]Общее+'!K1593),"-",'[1]Общее+'!K1593)</f>
        <v>-</v>
      </c>
      <c r="K675" s="104" t="str">
        <f>IF(ISERR('[1]Общее+'!L1593),"-",'[1]Общее+'!L1593)</f>
        <v>-</v>
      </c>
      <c r="L675" s="104" t="str">
        <f>IF(ISERR('[1]Общее+'!M1593),"-",'[1]Общее+'!M1593)</f>
        <v>-</v>
      </c>
      <c r="M675" s="104" t="str">
        <f>IF(ISERR('[1]Общее+'!N1593),"-",'[1]Общее+'!N1593)</f>
        <v>-</v>
      </c>
    </row>
    <row r="676" spans="1:13" s="89" customFormat="1" ht="45" x14ac:dyDescent="0.25">
      <c r="A676" s="13" t="s">
        <v>279</v>
      </c>
      <c r="B676" s="70" t="s">
        <v>2550</v>
      </c>
      <c r="C676" s="13"/>
      <c r="D676" s="90"/>
      <c r="E676" s="90"/>
      <c r="F676" s="90"/>
      <c r="G676" s="90"/>
      <c r="H676" s="104"/>
      <c r="I676" s="104"/>
      <c r="J676" s="104"/>
      <c r="K676" s="104"/>
      <c r="L676" s="104"/>
      <c r="M676" s="104"/>
    </row>
    <row r="677" spans="1:13" s="89" customFormat="1" x14ac:dyDescent="0.25">
      <c r="A677" s="13"/>
      <c r="B677" s="70" t="s">
        <v>1301</v>
      </c>
      <c r="C677" s="13" t="s">
        <v>8</v>
      </c>
      <c r="D677" s="104">
        <f>IF(ISERR('[1]Общее+'!E1617),"-",'[1]Общее+'!E1617)</f>
        <v>0.29154518950437319</v>
      </c>
      <c r="E677" s="104">
        <f>IF(ISERR('[1]Общее+'!F1617),"-",'[1]Общее+'!F1617)</f>
        <v>0</v>
      </c>
      <c r="F677" s="104">
        <f>IF(ISERR('[1]Общее+'!G1617),"-",'[1]Общее+'!G1617)</f>
        <v>0</v>
      </c>
      <c r="G677" s="104">
        <f>IF(ISERR('[1]Общее+'!H1617),"-",'[1]Общее+'!H1617)</f>
        <v>0</v>
      </c>
      <c r="H677" s="104">
        <f>IF(ISERR('[1]Общее+'!I1617),"-",'[1]Общее+'!I1617)</f>
        <v>0</v>
      </c>
      <c r="I677" s="104">
        <f>IF(ISERR('[1]Общее+'!J1617),"-",'[1]Общее+'!J1617)</f>
        <v>0</v>
      </c>
      <c r="J677" s="104">
        <f>IF(ISERR('[1]Общее+'!K1617),"-",'[1]Общее+'!K1617)</f>
        <v>0</v>
      </c>
      <c r="K677" s="104">
        <f>IF(ISERR('[1]Общее+'!L1617),"-",'[1]Общее+'!L1617)</f>
        <v>0</v>
      </c>
      <c r="L677" s="104">
        <f>IF(ISERR('[1]Общее+'!M1617),"-",'[1]Общее+'!M1617)</f>
        <v>0</v>
      </c>
      <c r="M677" s="104">
        <f>IF(ISERR('[1]Общее+'!N1617),"-",'[1]Общее+'!N1617)</f>
        <v>0</v>
      </c>
    </row>
    <row r="678" spans="1:13" s="89" customFormat="1" x14ac:dyDescent="0.25">
      <c r="A678" s="13"/>
      <c r="B678" s="70" t="s">
        <v>1303</v>
      </c>
      <c r="C678" s="13" t="s">
        <v>8</v>
      </c>
      <c r="D678" s="104"/>
      <c r="E678" s="104"/>
      <c r="F678" s="104"/>
      <c r="G678" s="104">
        <f>IF(ISERR('[1]Общее+'!H1618),"-",'[1]Общее+'!H1618)</f>
        <v>0</v>
      </c>
      <c r="H678" s="104">
        <f>IF(ISERR('[1]Общее+'!I1618),"-",'[1]Общее+'!I1618)</f>
        <v>0</v>
      </c>
      <c r="I678" s="104">
        <f>IF(ISERR('[1]Общее+'!J1618),"-",'[1]Общее+'!J1618)</f>
        <v>0</v>
      </c>
      <c r="J678" s="104">
        <f>IF(ISERR('[1]Общее+'!K1618),"-",'[1]Общее+'!K1618)</f>
        <v>0</v>
      </c>
      <c r="K678" s="104">
        <f>IF(ISERR('[1]Общее+'!L1618),"-",'[1]Общее+'!L1618)</f>
        <v>0</v>
      </c>
      <c r="L678" s="104">
        <f>IF(ISERR('[1]Общее+'!M1618),"-",'[1]Общее+'!M1618)</f>
        <v>0</v>
      </c>
      <c r="M678" s="104">
        <f>IF(ISERR('[1]Общее+'!N1618),"-",'[1]Общее+'!N1618)</f>
        <v>0</v>
      </c>
    </row>
    <row r="679" spans="1:13" s="89" customFormat="1" x14ac:dyDescent="0.25">
      <c r="A679" s="13"/>
      <c r="B679" s="70" t="s">
        <v>1304</v>
      </c>
      <c r="C679" s="13" t="s">
        <v>8</v>
      </c>
      <c r="D679" s="104"/>
      <c r="E679" s="104"/>
      <c r="F679" s="104"/>
      <c r="G679" s="104">
        <f>IF(ISERR('[1]Общее+'!H1619),"-",'[1]Общее+'!H1619)</f>
        <v>0</v>
      </c>
      <c r="H679" s="104">
        <f>IF(ISERR('[1]Общее+'!I1619),"-",'[1]Общее+'!I1619)</f>
        <v>0</v>
      </c>
      <c r="I679" s="104">
        <f>IF(ISERR('[1]Общее+'!J1619),"-",'[1]Общее+'!J1619)</f>
        <v>0</v>
      </c>
      <c r="J679" s="104">
        <f>IF(ISERR('[1]Общее+'!K1619),"-",'[1]Общее+'!K1619)</f>
        <v>0</v>
      </c>
      <c r="K679" s="104">
        <f>IF(ISERR('[1]Общее+'!L1619),"-",'[1]Общее+'!L1619)</f>
        <v>0</v>
      </c>
      <c r="L679" s="104">
        <f>IF(ISERR('[1]Общее+'!M1619),"-",'[1]Общее+'!M1619)</f>
        <v>0</v>
      </c>
      <c r="M679" s="104">
        <f>IF(ISERR('[1]Общее+'!N1619),"-",'[1]Общее+'!N1619)</f>
        <v>0</v>
      </c>
    </row>
    <row r="680" spans="1:13" s="89" customFormat="1" hidden="1" x14ac:dyDescent="0.25">
      <c r="A680" s="13"/>
      <c r="B680" s="70" t="s">
        <v>1302</v>
      </c>
      <c r="C680" s="13" t="s">
        <v>8</v>
      </c>
      <c r="D680" s="104">
        <f>IF(ISERR('[1]Общее+'!E1620),"-",'[1]Общее+'!E1620)</f>
        <v>0</v>
      </c>
      <c r="E680" s="104">
        <f>IF(ISERR('[1]Общее+'!F1620),"-",'[1]Общее+'!F1620)</f>
        <v>0</v>
      </c>
      <c r="F680" s="104">
        <f>IF(ISERR('[1]Общее+'!G1620),"-",'[1]Общее+'!G1620)</f>
        <v>0</v>
      </c>
      <c r="G680" s="104">
        <f>IF(ISERR('[1]Общее+'!H1620),"-",'[1]Общее+'!H1620)</f>
        <v>0</v>
      </c>
      <c r="H680" s="104">
        <f>IF(ISERR('[1]Общее+'!I1620),"-",'[1]Общее+'!I1620)</f>
        <v>0</v>
      </c>
      <c r="I680" s="104">
        <f>IF(ISERR('[1]Общее+'!J1620),"-",'[1]Общее+'!J1620)</f>
        <v>0</v>
      </c>
      <c r="J680" s="104">
        <f>IF(ISERR('[1]Общее+'!K1620),"-",'[1]Общее+'!K1620)</f>
        <v>0</v>
      </c>
      <c r="K680" s="104" t="str">
        <f>IF(ISERR('[1]Общее+'!L1620),"-",'[1]Общее+'!L1620)</f>
        <v>-</v>
      </c>
      <c r="L680" s="104" t="str">
        <f>IF(ISERR('[1]Общее+'!M1620),"-",'[1]Общее+'!M1620)</f>
        <v>-</v>
      </c>
      <c r="M680" s="104" t="str">
        <f>IF(ISERR('[1]Общее+'!N1620),"-",'[1]Общее+'!N1620)</f>
        <v>-</v>
      </c>
    </row>
    <row r="681" spans="1:13" s="89" customFormat="1" hidden="1" x14ac:dyDescent="0.25">
      <c r="A681" s="13"/>
      <c r="B681" s="70" t="s">
        <v>1303</v>
      </c>
      <c r="C681" s="13" t="s">
        <v>8</v>
      </c>
      <c r="D681" s="104"/>
      <c r="E681" s="104"/>
      <c r="F681" s="104"/>
      <c r="G681" s="104">
        <f>IF(ISERR('[1]Общее+'!H1621),"-",'[1]Общее+'!H1621)</f>
        <v>0</v>
      </c>
      <c r="H681" s="104">
        <f>IF(ISERR('[1]Общее+'!I1621),"-",'[1]Общее+'!I1621)</f>
        <v>0</v>
      </c>
      <c r="I681" s="104">
        <f>IF(ISERR('[1]Общее+'!J1621),"-",'[1]Общее+'!J1621)</f>
        <v>0</v>
      </c>
      <c r="J681" s="104">
        <f>IF(ISERR('[1]Общее+'!K1621),"-",'[1]Общее+'!K1621)</f>
        <v>0</v>
      </c>
      <c r="K681" s="104" t="str">
        <f>IF(ISERR('[1]Общее+'!L1621),"-",'[1]Общее+'!L1621)</f>
        <v>-</v>
      </c>
      <c r="L681" s="104" t="str">
        <f>IF(ISERR('[1]Общее+'!M1621),"-",'[1]Общее+'!M1621)</f>
        <v>-</v>
      </c>
      <c r="M681" s="104" t="str">
        <f>IF(ISERR('[1]Общее+'!N1621),"-",'[1]Общее+'!N1621)</f>
        <v>-</v>
      </c>
    </row>
    <row r="682" spans="1:13" s="89" customFormat="1" hidden="1" x14ac:dyDescent="0.25">
      <c r="A682" s="13"/>
      <c r="B682" s="70" t="s">
        <v>1304</v>
      </c>
      <c r="C682" s="13" t="s">
        <v>8</v>
      </c>
      <c r="D682" s="104"/>
      <c r="E682" s="104"/>
      <c r="F682" s="104"/>
      <c r="G682" s="104" t="str">
        <f>IF(ISERR('[1]Общее+'!H1622),"-",'[1]Общее+'!H1622)</f>
        <v>-</v>
      </c>
      <c r="H682" s="104" t="str">
        <f>IF(ISERR('[1]Общее+'!I1622),"-",'[1]Общее+'!I1622)</f>
        <v>-</v>
      </c>
      <c r="I682" s="104" t="str">
        <f>IF(ISERR('[1]Общее+'!J1622),"-",'[1]Общее+'!J1622)</f>
        <v>-</v>
      </c>
      <c r="J682" s="104" t="str">
        <f>IF(ISERR('[1]Общее+'!K1622),"-",'[1]Общее+'!K1622)</f>
        <v>-</v>
      </c>
      <c r="K682" s="104" t="str">
        <f>IF(ISERR('[1]Общее+'!L1622),"-",'[1]Общее+'!L1622)</f>
        <v>-</v>
      </c>
      <c r="L682" s="104" t="str">
        <f>IF(ISERR('[1]Общее+'!M1622),"-",'[1]Общее+'!M1622)</f>
        <v>-</v>
      </c>
      <c r="M682" s="104" t="str">
        <f>IF(ISERR('[1]Общее+'!N1622),"-",'[1]Общее+'!N1622)</f>
        <v>-</v>
      </c>
    </row>
    <row r="683" spans="1:13" s="89" customFormat="1" ht="45" x14ac:dyDescent="0.25">
      <c r="A683" s="13" t="s">
        <v>2551</v>
      </c>
      <c r="B683" s="70" t="s">
        <v>2552</v>
      </c>
      <c r="C683" s="13"/>
      <c r="D683" s="90"/>
      <c r="E683" s="90"/>
      <c r="F683" s="90"/>
      <c r="G683" s="90"/>
      <c r="H683" s="90"/>
      <c r="I683" s="90"/>
      <c r="J683" s="90"/>
      <c r="K683" s="90"/>
      <c r="L683" s="90"/>
      <c r="M683" s="90"/>
    </row>
    <row r="684" spans="1:13" s="89" customFormat="1" x14ac:dyDescent="0.25">
      <c r="A684" s="13"/>
      <c r="B684" s="70" t="s">
        <v>1301</v>
      </c>
      <c r="C684" s="13" t="s">
        <v>8</v>
      </c>
      <c r="D684" s="104">
        <f>IF(ISERR('[1]Общее+'!E1646),"-",'[1]Общее+'!E1646)</f>
        <v>11.370262390670554</v>
      </c>
      <c r="E684" s="104">
        <f>IF(ISERR('[1]Общее+'!F1646),"-",'[1]Общее+'!F1646)</f>
        <v>10.029498525073747</v>
      </c>
      <c r="F684" s="104">
        <f>IF(ISERR('[1]Общее+'!G1646),"-",'[1]Общее+'!G1646)</f>
        <v>8.7878787878787872</v>
      </c>
      <c r="G684" s="104">
        <f>IF(ISERR('[1]Общее+'!H1646),"-",'[1]Общее+'!H1646)</f>
        <v>8.3850931677018643</v>
      </c>
      <c r="H684" s="104">
        <f>IF(ISERR('[1]Общее+'!I1646),"-",'[1]Общее+'!I1646)</f>
        <v>6.2893081761006293</v>
      </c>
      <c r="I684" s="104">
        <f>IF(ISERR('[1]Общее+'!J1646),"-",'[1]Общее+'!J1646)</f>
        <v>5.1282051282051277</v>
      </c>
      <c r="J684" s="104">
        <f>IF(ISERR('[1]Общее+'!K1646),"-",'[1]Общее+'!K1646)</f>
        <v>2.9914529914529915</v>
      </c>
      <c r="K684" s="104">
        <f>IF(ISERR('[1]Общее+'!L1646),"-",'[1]Общее+'!L1646)</f>
        <v>0</v>
      </c>
      <c r="L684" s="104">
        <f>IF(ISERR('[1]Общее+'!M1646),"-",'[1]Общее+'!M1646)</f>
        <v>0</v>
      </c>
      <c r="M684" s="104">
        <f>IF(ISERR('[1]Общее+'!N1646),"-",'[1]Общее+'!N1646)</f>
        <v>0</v>
      </c>
    </row>
    <row r="685" spans="1:13" s="89" customFormat="1" x14ac:dyDescent="0.25">
      <c r="A685" s="13"/>
      <c r="B685" s="70" t="s">
        <v>1303</v>
      </c>
      <c r="C685" s="13" t="s">
        <v>8</v>
      </c>
      <c r="D685" s="104"/>
      <c r="E685" s="104"/>
      <c r="F685" s="104"/>
      <c r="G685" s="104">
        <f>IF(ISERR('[1]Общее+'!H1647),"-",'[1]Общее+'!H1647)</f>
        <v>8.5585585585585591</v>
      </c>
      <c r="H685" s="104">
        <f>IF(ISERR('[1]Общее+'!I1647),"-",'[1]Общее+'!I1647)</f>
        <v>5.9090909090909092</v>
      </c>
      <c r="I685" s="104">
        <f>IF(ISERR('[1]Общее+'!J1647),"-",'[1]Общее+'!J1647)</f>
        <v>4.4025157232704402</v>
      </c>
      <c r="J685" s="104">
        <f>IF(ISERR('[1]Общее+'!K1647),"-",'[1]Общее+'!K1647)</f>
        <v>3.1645569620253164</v>
      </c>
      <c r="K685" s="104">
        <f>IF(ISERR('[1]Общее+'!L1647),"-",'[1]Общее+'!L1647)</f>
        <v>0</v>
      </c>
      <c r="L685" s="104">
        <f>IF(ISERR('[1]Общее+'!M1647),"-",'[1]Общее+'!M1647)</f>
        <v>0</v>
      </c>
      <c r="M685" s="104">
        <f>IF(ISERR('[1]Общее+'!N1647),"-",'[1]Общее+'!N1647)</f>
        <v>0</v>
      </c>
    </row>
    <row r="686" spans="1:13" s="89" customFormat="1" x14ac:dyDescent="0.25">
      <c r="A686" s="13"/>
      <c r="B686" s="70" t="s">
        <v>1304</v>
      </c>
      <c r="C686" s="13" t="s">
        <v>8</v>
      </c>
      <c r="D686" s="104"/>
      <c r="E686" s="104"/>
      <c r="F686" s="104"/>
      <c r="G686" s="104">
        <f>IF(ISERR('[1]Общее+'!H1648),"-",'[1]Общее+'!H1648)</f>
        <v>8</v>
      </c>
      <c r="H686" s="104">
        <f>IF(ISERR('[1]Общее+'!I1648),"-",'[1]Общее+'!I1648)</f>
        <v>7.1428571428571423</v>
      </c>
      <c r="I686" s="104">
        <f>IF(ISERR('[1]Общее+'!J1648),"-",'[1]Общее+'!J1648)</f>
        <v>6.666666666666667</v>
      </c>
      <c r="J686" s="104">
        <f>IF(ISERR('[1]Общее+'!K1648),"-",'[1]Общее+'!K1648)</f>
        <v>2.6315789473684208</v>
      </c>
      <c r="K686" s="104">
        <f>IF(ISERR('[1]Общее+'!L1648),"-",'[1]Общее+'!L1648)</f>
        <v>0</v>
      </c>
      <c r="L686" s="104">
        <f>IF(ISERR('[1]Общее+'!M1648),"-",'[1]Общее+'!M1648)</f>
        <v>0</v>
      </c>
      <c r="M686" s="104">
        <f>IF(ISERR('[1]Общее+'!N1648),"-",'[1]Общее+'!N1648)</f>
        <v>0</v>
      </c>
    </row>
    <row r="687" spans="1:13" s="89" customFormat="1" hidden="1" x14ac:dyDescent="0.25">
      <c r="A687" s="13"/>
      <c r="B687" s="70" t="s">
        <v>1302</v>
      </c>
      <c r="C687" s="13" t="s">
        <v>8</v>
      </c>
      <c r="D687" s="104">
        <f>IF(ISERR('[1]Общее+'!E1649),"-",'[1]Общее+'!E1649)</f>
        <v>0</v>
      </c>
      <c r="E687" s="104">
        <f>IF(ISERR('[1]Общее+'!F1649),"-",'[1]Общее+'!F1649)</f>
        <v>0</v>
      </c>
      <c r="F687" s="104">
        <f>IF(ISERR('[1]Общее+'!G1649),"-",'[1]Общее+'!G1649)</f>
        <v>20</v>
      </c>
      <c r="G687" s="104">
        <f>IF(ISERR('[1]Общее+'!H1649),"-",'[1]Общее+'!H1649)</f>
        <v>0</v>
      </c>
      <c r="H687" s="104">
        <f>IF(ISERR('[1]Общее+'!I1649),"-",'[1]Общее+'!I1649)</f>
        <v>0</v>
      </c>
      <c r="I687" s="104">
        <f>IF(ISERR('[1]Общее+'!J1649),"-",'[1]Общее+'!J1649)</f>
        <v>0</v>
      </c>
      <c r="J687" s="104">
        <f>IF(ISERR('[1]Общее+'!K1649),"-",'[1]Общее+'!K1649)</f>
        <v>0</v>
      </c>
      <c r="K687" s="104" t="str">
        <f>IF(ISERR('[1]Общее+'!N1649),"-",'[1]Общее+'!N1649)</f>
        <v>-</v>
      </c>
      <c r="L687" s="104" t="str">
        <f>IF(ISERR('[1]Общее+'!O1649),"-",'[1]Общее+'!O1649)</f>
        <v>-</v>
      </c>
      <c r="M687" s="104" t="str">
        <f>IF(ISERR('[1]Общее+'!P1649),"-",'[1]Общее+'!P1649)</f>
        <v>-</v>
      </c>
    </row>
    <row r="688" spans="1:13" s="89" customFormat="1" hidden="1" x14ac:dyDescent="0.25">
      <c r="A688" s="13"/>
      <c r="B688" s="70" t="s">
        <v>1303</v>
      </c>
      <c r="C688" s="13" t="s">
        <v>8</v>
      </c>
      <c r="D688" s="104"/>
      <c r="E688" s="104"/>
      <c r="F688" s="104"/>
      <c r="G688" s="104">
        <f>IF(ISERR('[1]Общее+'!H1650),"-",'[1]Общее+'!H1650)</f>
        <v>0</v>
      </c>
      <c r="H688" s="104">
        <f>IF(ISERR('[1]Общее+'!I1650),"-",'[1]Общее+'!I1650)</f>
        <v>0</v>
      </c>
      <c r="I688" s="104">
        <f>IF(ISERR('[1]Общее+'!J1650),"-",'[1]Общее+'!J1650)</f>
        <v>0</v>
      </c>
      <c r="J688" s="104">
        <f>IF(ISERR('[1]Общее+'!K1650),"-",'[1]Общее+'!K1650)</f>
        <v>0</v>
      </c>
      <c r="K688" s="104" t="str">
        <f>IF(ISERR('[1]Общее+'!N1650),"-",'[1]Общее+'!N1650)</f>
        <v>-</v>
      </c>
      <c r="L688" s="104" t="str">
        <f>IF(ISERR('[1]Общее+'!O1650),"-",'[1]Общее+'!O1650)</f>
        <v>-</v>
      </c>
      <c r="M688" s="104" t="str">
        <f>IF(ISERR('[1]Общее+'!P1650),"-",'[1]Общее+'!P1650)</f>
        <v>-</v>
      </c>
    </row>
    <row r="689" spans="1:13" s="89" customFormat="1" hidden="1" x14ac:dyDescent="0.25">
      <c r="A689" s="13"/>
      <c r="B689" s="70" t="s">
        <v>1304</v>
      </c>
      <c r="C689" s="13" t="s">
        <v>8</v>
      </c>
      <c r="D689" s="104"/>
      <c r="E689" s="104"/>
      <c r="F689" s="104"/>
      <c r="G689" s="104" t="str">
        <f>IF(ISERR('[1]Общее+'!H1651),"-",'[1]Общее+'!H1651)</f>
        <v>-</v>
      </c>
      <c r="H689" s="104" t="str">
        <f>IF(ISERR('[1]Общее+'!I1651),"-",'[1]Общее+'!I1651)</f>
        <v>-</v>
      </c>
      <c r="I689" s="104" t="str">
        <f>IF(ISERR('[1]Общее+'!J1651),"-",'[1]Общее+'!J1651)</f>
        <v>-</v>
      </c>
      <c r="J689" s="104" t="str">
        <f>IF(ISERR('[1]Общее+'!K1651),"-",'[1]Общее+'!K1651)</f>
        <v>-</v>
      </c>
      <c r="K689" s="104" t="str">
        <f>IF(ISERR('[1]Общее+'!N1651),"-",'[1]Общее+'!N1651)</f>
        <v>-</v>
      </c>
      <c r="L689" s="104" t="str">
        <f>IF(ISERR('[1]Общее+'!O1651),"-",'[1]Общее+'!O1651)</f>
        <v>-</v>
      </c>
      <c r="M689" s="104" t="str">
        <f>IF(ISERR('[1]Общее+'!P1651),"-",'[1]Общее+'!P1651)</f>
        <v>-</v>
      </c>
    </row>
    <row r="690" spans="1:13" s="89" customFormat="1" x14ac:dyDescent="0.25">
      <c r="A690" s="443" t="s">
        <v>2553</v>
      </c>
      <c r="B690" s="443"/>
      <c r="C690" s="443"/>
      <c r="D690" s="443"/>
      <c r="E690" s="443"/>
      <c r="F690" s="443"/>
      <c r="G690" s="443"/>
      <c r="H690" s="443"/>
      <c r="I690" s="443"/>
      <c r="J690" s="443"/>
      <c r="K690" s="443"/>
      <c r="L690" s="440"/>
      <c r="M690" s="440"/>
    </row>
    <row r="691" spans="1:13" s="89" customFormat="1" x14ac:dyDescent="0.25">
      <c r="A691" s="443" t="s">
        <v>321</v>
      </c>
      <c r="B691" s="443"/>
      <c r="C691" s="443"/>
      <c r="D691" s="443"/>
      <c r="E691" s="443"/>
      <c r="F691" s="443"/>
      <c r="G691" s="443"/>
      <c r="H691" s="443"/>
      <c r="I691" s="443"/>
      <c r="J691" s="443"/>
      <c r="K691" s="443"/>
      <c r="L691" s="440"/>
      <c r="M691" s="440"/>
    </row>
    <row r="692" spans="1:13" s="89" customFormat="1" ht="30" x14ac:dyDescent="0.25">
      <c r="A692" s="99" t="s">
        <v>322</v>
      </c>
      <c r="B692" s="100" t="s">
        <v>323</v>
      </c>
      <c r="C692" s="87"/>
      <c r="D692" s="90"/>
      <c r="E692" s="90"/>
      <c r="F692" s="90"/>
      <c r="G692" s="90"/>
      <c r="H692" s="90"/>
      <c r="I692" s="90"/>
      <c r="J692" s="90"/>
      <c r="K692" s="90"/>
      <c r="L692" s="90"/>
      <c r="M692" s="90"/>
    </row>
    <row r="693" spans="1:13" s="89" customFormat="1" ht="75" x14ac:dyDescent="0.25">
      <c r="A693" s="13" t="s">
        <v>324</v>
      </c>
      <c r="B693" s="70" t="s">
        <v>1722</v>
      </c>
      <c r="C693" s="13" t="s">
        <v>8</v>
      </c>
      <c r="D693" s="104">
        <f>IF(ISERR([1]Профессиональное!E10),"-",[1]Профессиональное!E10)</f>
        <v>7.15</v>
      </c>
      <c r="E693" s="104">
        <f>IF(ISERR([1]Профессиональное!F10),"-",[1]Профессиональное!F10)</f>
        <v>6.99</v>
      </c>
      <c r="F693" s="104">
        <f>IF(ISERR([1]Профессиональное!G10),"-",[1]Профессиональное!G10)</f>
        <v>6.93</v>
      </c>
      <c r="G693" s="104">
        <f>IF(ISERR([1]Профессиональное!H10),"-",[1]Профессиональное!H10)</f>
        <v>10.983655164745562</v>
      </c>
      <c r="H693" s="104">
        <f>IF(ISERR([1]Профессиональное!I10),"-",[1]Профессиональное!I10)</f>
        <v>10.12094994261499</v>
      </c>
      <c r="I693" s="104">
        <f>IF(ISERR([1]Профессиональное!J10),"-",[1]Профессиональное!J10)</f>
        <v>9.5939206839230593</v>
      </c>
      <c r="J693" s="104">
        <v>9.1199999999999992</v>
      </c>
      <c r="K693" s="104" t="str">
        <f>IF(ISERR([1]Профессиональное!L10),"-",[1]Профессиональное!L10)</f>
        <v>-</v>
      </c>
      <c r="L693" s="104"/>
      <c r="M693" s="104"/>
    </row>
    <row r="694" spans="1:13" s="89" customFormat="1" ht="75" x14ac:dyDescent="0.25">
      <c r="A694" s="13" t="s">
        <v>329</v>
      </c>
      <c r="B694" s="70" t="s">
        <v>2999</v>
      </c>
      <c r="C694" s="13" t="s">
        <v>8</v>
      </c>
      <c r="D694" s="104">
        <f>IF(ISERR([1]Профессиональное!E15),"-",[1]Профессиональное!E15)</f>
        <v>14.9</v>
      </c>
      <c r="E694" s="104">
        <f>IF(ISERR([1]Профессиональное!F15),"-",[1]Профессиональное!F15)</f>
        <v>22.46</v>
      </c>
      <c r="F694" s="104">
        <f>IF(ISERR([1]Профессиональное!G15),"-",[1]Профессиональное!G15)</f>
        <v>15.86</v>
      </c>
      <c r="G694" s="104">
        <f>IF(ISERR([1]Профессиональное!H15),"-",[1]Профессиональное!H15)</f>
        <v>28.18</v>
      </c>
      <c r="H694" s="104">
        <f>IF(ISERR([1]Профессиональное!I15),"-",[1]Профессиональное!I15)</f>
        <v>17.948864676799118</v>
      </c>
      <c r="I694" s="104">
        <f>IF(ISERR([1]Профессиональное!J15),"-",[1]Профессиональное!J15)</f>
        <v>19.581656028289927</v>
      </c>
      <c r="J694" s="104">
        <v>18.78</v>
      </c>
      <c r="K694" s="104" t="str">
        <f>IF(ISERR([1]Профессиональное!L15),"-",[1]Профессиональное!L15)</f>
        <v>-</v>
      </c>
      <c r="L694" s="104"/>
      <c r="M694" s="104"/>
    </row>
    <row r="695" spans="1:13" s="89" customFormat="1" ht="45" x14ac:dyDescent="0.25">
      <c r="A695" s="13" t="s">
        <v>1451</v>
      </c>
      <c r="B695" s="21" t="s">
        <v>2554</v>
      </c>
      <c r="C695" s="13" t="s">
        <v>1112</v>
      </c>
      <c r="D695" s="104" t="str">
        <f>IF(ISERR([1]Профессиональное!E20),"-",[1]Профессиональное!E20)</f>
        <v>-</v>
      </c>
      <c r="E695" s="104" t="str">
        <f>IF(ISERR([1]Профессиональное!F20),"-",[1]Профессиональное!F20)</f>
        <v>-</v>
      </c>
      <c r="F695" s="104" t="str">
        <f>IF(ISERR([1]Профессиональное!G20),"-",[1]Профессиональное!G20)</f>
        <v>-</v>
      </c>
      <c r="G695" s="104" t="str">
        <f>IF(ISERR([1]Профессиональное!H20),"-",[1]Профессиональное!H20)</f>
        <v>-</v>
      </c>
      <c r="H695" s="104">
        <f>IF(ISERR([1]Профессиональное!I20),"-",[1]Профессиональное!I20)</f>
        <v>254.61058045554742</v>
      </c>
      <c r="I695" s="104">
        <f>IF(ISERR([1]Профессиональное!J20),"-",[1]Профессиональное!J20)</f>
        <v>295.82875960482988</v>
      </c>
      <c r="J695" s="104">
        <v>302.76</v>
      </c>
      <c r="K695" s="104" t="str">
        <f>IF(ISERR([1]Профессиональное!L20),"-",[1]Профессиональное!L20)</f>
        <v>-</v>
      </c>
      <c r="L695" s="104"/>
      <c r="M695" s="104"/>
    </row>
    <row r="696" spans="1:13" s="89" customFormat="1" ht="45" x14ac:dyDescent="0.25">
      <c r="A696" s="99" t="s">
        <v>333</v>
      </c>
      <c r="B696" s="100" t="s">
        <v>334</v>
      </c>
      <c r="C696" s="13"/>
      <c r="D696" s="90"/>
      <c r="E696" s="90"/>
      <c r="F696" s="90"/>
      <c r="G696" s="90"/>
      <c r="H696" s="90"/>
      <c r="I696" s="90"/>
      <c r="J696" s="90"/>
      <c r="K696" s="90"/>
      <c r="L696" s="90"/>
      <c r="M696" s="90"/>
    </row>
    <row r="697" spans="1:13" s="89" customFormat="1" ht="75" x14ac:dyDescent="0.25">
      <c r="A697" s="13" t="s">
        <v>336</v>
      </c>
      <c r="B697" s="70" t="s">
        <v>2555</v>
      </c>
      <c r="C697" s="13" t="s">
        <v>8</v>
      </c>
      <c r="D697" s="104">
        <f>IF(ISERR([1]Профессиональное!E24),"-",[1]Профессиональное!E24)</f>
        <v>0.34</v>
      </c>
      <c r="E697" s="104">
        <f>IF(ISERR([1]Профессиональное!F24),"-",[1]Профессиональное!F24)</f>
        <v>0</v>
      </c>
      <c r="F697" s="104">
        <f>IF(ISERR([1]Профессиональное!G24),"-",[1]Профессиональное!G24)</f>
        <v>0</v>
      </c>
      <c r="G697" s="104"/>
      <c r="H697" s="104"/>
      <c r="I697" s="104"/>
      <c r="J697" s="104"/>
      <c r="K697" s="104"/>
      <c r="L697" s="104"/>
      <c r="M697" s="104"/>
    </row>
    <row r="698" spans="1:13" s="89" customFormat="1" x14ac:dyDescent="0.25">
      <c r="A698" s="13"/>
      <c r="B698" s="70" t="s">
        <v>2104</v>
      </c>
      <c r="C698" s="13"/>
      <c r="D698" s="104"/>
      <c r="E698" s="104"/>
      <c r="F698" s="104"/>
      <c r="G698" s="104"/>
      <c r="H698" s="104"/>
      <c r="I698" s="104"/>
      <c r="J698" s="104"/>
      <c r="K698" s="104"/>
      <c r="L698" s="104"/>
      <c r="M698" s="104"/>
    </row>
    <row r="699" spans="1:13" s="89" customFormat="1" x14ac:dyDescent="0.25">
      <c r="A699" s="13"/>
      <c r="B699" s="70" t="s">
        <v>2105</v>
      </c>
      <c r="C699" s="13" t="s">
        <v>8</v>
      </c>
      <c r="D699" s="104"/>
      <c r="E699" s="104"/>
      <c r="F699" s="104"/>
      <c r="G699" s="104"/>
      <c r="H699" s="104">
        <f>IF(ISERR([1]Профессиональное!I26),"-",[1]Профессиональное!I26)</f>
        <v>52.893455922120069</v>
      </c>
      <c r="I699" s="104">
        <f>IF(ISERR([1]Профессиональное!J26),"-",[1]Профессиональное!J26)</f>
        <v>32.114467408585057</v>
      </c>
      <c r="J699" s="104">
        <v>46.74</v>
      </c>
      <c r="K699" s="104"/>
      <c r="L699" s="104"/>
      <c r="M699" s="104"/>
    </row>
    <row r="700" spans="1:13" s="89" customFormat="1" x14ac:dyDescent="0.25">
      <c r="A700" s="13"/>
      <c r="B700" s="70" t="s">
        <v>2557</v>
      </c>
      <c r="C700" s="13" t="s">
        <v>8</v>
      </c>
      <c r="D700" s="104"/>
      <c r="E700" s="104"/>
      <c r="F700" s="104"/>
      <c r="G700" s="104"/>
      <c r="H700" s="104">
        <f>IF(ISERR([1]Профессиональное!I27),"-",[1]Профессиональное!I27)</f>
        <v>13.034072471606272</v>
      </c>
      <c r="I700" s="104">
        <f>IF(ISERR([1]Профессиональное!J27),"-",[1]Профессиональное!J27)</f>
        <v>13.937466878643349</v>
      </c>
      <c r="J700" s="104">
        <v>31.26</v>
      </c>
      <c r="K700" s="104"/>
      <c r="L700" s="104"/>
      <c r="M700" s="104"/>
    </row>
    <row r="701" spans="1:13" s="89" customFormat="1" x14ac:dyDescent="0.25">
      <c r="A701" s="13"/>
      <c r="B701" s="70" t="s">
        <v>2556</v>
      </c>
      <c r="C701" s="13" t="s">
        <v>8</v>
      </c>
      <c r="D701" s="104"/>
      <c r="E701" s="104"/>
      <c r="F701" s="104"/>
      <c r="G701" s="104"/>
      <c r="H701" s="104"/>
      <c r="I701" s="104">
        <f>IF(ISERR([1]Профессиональное!J28),"-",[1]Профессиональное!J28)</f>
        <v>13.937466878643349</v>
      </c>
      <c r="J701" s="104">
        <v>6.8</v>
      </c>
      <c r="K701" s="104"/>
      <c r="L701" s="104"/>
      <c r="M701" s="104"/>
    </row>
    <row r="702" spans="1:13" s="89" customFormat="1" x14ac:dyDescent="0.25">
      <c r="A702" s="13"/>
      <c r="B702" s="70" t="s">
        <v>2106</v>
      </c>
      <c r="C702" s="13"/>
      <c r="D702" s="104"/>
      <c r="E702" s="104"/>
      <c r="F702" s="104"/>
      <c r="G702" s="104">
        <f>IF(ISERR([1]Профессиональное!H29),"-",[1]Профессиональное!H29)</f>
        <v>11.66</v>
      </c>
      <c r="H702" s="104"/>
      <c r="I702" s="104"/>
      <c r="J702" s="104"/>
      <c r="K702" s="104"/>
      <c r="L702" s="104"/>
      <c r="M702" s="104"/>
    </row>
    <row r="703" spans="1:13" s="89" customFormat="1" x14ac:dyDescent="0.25">
      <c r="A703" s="13"/>
      <c r="B703" s="70" t="s">
        <v>2105</v>
      </c>
      <c r="C703" s="13" t="s">
        <v>8</v>
      </c>
      <c r="D703" s="104"/>
      <c r="E703" s="104"/>
      <c r="F703" s="104"/>
      <c r="G703" s="104"/>
      <c r="H703" s="104">
        <f>IF(ISERR([1]Профессиональное!I30),"-",[1]Профессиональное!I30)</f>
        <v>19.755533531549389</v>
      </c>
      <c r="I703" s="104">
        <f>IF(ISERR([1]Профессиональное!J30),"-",[1]Профессиональное!J30)</f>
        <v>17.603686635944701</v>
      </c>
      <c r="J703" s="104">
        <v>25.93</v>
      </c>
      <c r="K703" s="104"/>
      <c r="L703" s="104"/>
      <c r="M703" s="104"/>
    </row>
    <row r="704" spans="1:13" s="89" customFormat="1" x14ac:dyDescent="0.25">
      <c r="A704" s="13"/>
      <c r="B704" s="70" t="s">
        <v>2557</v>
      </c>
      <c r="C704" s="13" t="s">
        <v>8</v>
      </c>
      <c r="D704" s="104"/>
      <c r="E704" s="104"/>
      <c r="F704" s="104"/>
      <c r="G704" s="104"/>
      <c r="H704" s="104">
        <f>IF(ISERR([1]Профессиональное!I31),"-",[1]Профессиональное!I31)</f>
        <v>12.586719524281467</v>
      </c>
      <c r="I704" s="104">
        <f>IF(ISERR([1]Профессиональное!J31),"-",[1]Профессиональное!J31)</f>
        <v>14.654377880184333</v>
      </c>
      <c r="J704" s="104">
        <v>17.332999999999998</v>
      </c>
      <c r="K704" s="104"/>
      <c r="L704" s="104"/>
      <c r="M704" s="104"/>
    </row>
    <row r="705" spans="1:13" s="89" customFormat="1" x14ac:dyDescent="0.25">
      <c r="A705" s="13"/>
      <c r="B705" s="70" t="s">
        <v>2556</v>
      </c>
      <c r="C705" s="13" t="s">
        <v>8</v>
      </c>
      <c r="D705" s="104"/>
      <c r="E705" s="104"/>
      <c r="F705" s="104"/>
      <c r="G705" s="104"/>
      <c r="H705" s="104"/>
      <c r="I705" s="104">
        <f>IF(ISERR([1]Профессиональное!J32),"-",[1]Профессиональное!J32)</f>
        <v>0.64516129032258063</v>
      </c>
      <c r="J705" s="104">
        <v>8.06</v>
      </c>
      <c r="K705" s="104"/>
      <c r="L705" s="104"/>
      <c r="M705" s="104"/>
    </row>
    <row r="706" spans="1:13" s="89" customFormat="1" ht="105" x14ac:dyDescent="0.25">
      <c r="A706" s="13" t="s">
        <v>338</v>
      </c>
      <c r="B706" s="70" t="s">
        <v>1728</v>
      </c>
      <c r="C706" s="13"/>
      <c r="D706" s="90"/>
      <c r="E706" s="90"/>
      <c r="F706" s="90"/>
      <c r="G706" s="90"/>
      <c r="H706" s="90"/>
      <c r="I706" s="90"/>
      <c r="J706" s="90"/>
      <c r="K706" s="90"/>
      <c r="L706" s="90"/>
      <c r="M706" s="90"/>
    </row>
    <row r="707" spans="1:13" s="89" customFormat="1" x14ac:dyDescent="0.25">
      <c r="A707" s="87"/>
      <c r="B707" s="70" t="s">
        <v>1296</v>
      </c>
      <c r="C707" s="13"/>
      <c r="D707" s="104">
        <f>IF(ISERR([1]Профессиональное!E44),"-",[1]Профессиональное!E44)</f>
        <v>90.93</v>
      </c>
      <c r="E707" s="104">
        <f>IF(ISERR([1]Профессиональное!F44),"-",[1]Профессиональное!F44)</f>
        <v>93.69747899159664</v>
      </c>
      <c r="F707" s="104">
        <f>IF(ISERR([1]Профессиональное!G44),"-",[1]Профессиональное!G44)</f>
        <v>89.79294254884806</v>
      </c>
      <c r="G707" s="104">
        <f>IF(ISERR([1]Профессиональное!H44),"-",[1]Профессиональное!H44)</f>
        <v>96.34</v>
      </c>
      <c r="H707" s="104"/>
      <c r="I707" s="104"/>
      <c r="J707" s="104"/>
      <c r="K707" s="104"/>
      <c r="L707" s="104"/>
      <c r="M707" s="104"/>
    </row>
    <row r="708" spans="1:13" s="89" customFormat="1" x14ac:dyDescent="0.25">
      <c r="A708" s="87"/>
      <c r="B708" s="70" t="s">
        <v>2682</v>
      </c>
      <c r="C708" s="13" t="s">
        <v>8</v>
      </c>
      <c r="D708" s="104"/>
      <c r="E708" s="104"/>
      <c r="F708" s="104"/>
      <c r="G708" s="104"/>
      <c r="H708" s="104">
        <f>IF(ISERR([1]Профессиональное!I45),"-",[1]Профессиональное!I45)</f>
        <v>95.818754373687895</v>
      </c>
      <c r="I708" s="104">
        <f>IF(ISERR([1]Профессиональное!J45),"-",[1]Профессиональное!J45)</f>
        <v>95.947875758657617</v>
      </c>
      <c r="J708" s="104">
        <f>IF(ISERR([1]Профессиональное!K45),"-",[1]Профессиональное!K45)</f>
        <v>95.710407239819006</v>
      </c>
      <c r="K708" s="104"/>
      <c r="L708" s="104"/>
      <c r="M708" s="104"/>
    </row>
    <row r="709" spans="1:13" s="89" customFormat="1" x14ac:dyDescent="0.25">
      <c r="A709" s="87"/>
      <c r="B709" s="70" t="s">
        <v>2683</v>
      </c>
      <c r="C709" s="13" t="s">
        <v>8</v>
      </c>
      <c r="D709" s="104"/>
      <c r="E709" s="104"/>
      <c r="F709" s="104"/>
      <c r="G709" s="104"/>
      <c r="H709" s="104">
        <f>IF(ISERR([1]Профессиональное!I62),"-",[1]Профессиональное!I62)</f>
        <v>4.1812456263121067</v>
      </c>
      <c r="I709" s="104">
        <f>IF(ISERR([1]Профессиональное!J62),"-",[1]Профессиональное!J62)</f>
        <v>4.0521242413423781</v>
      </c>
      <c r="J709" s="104">
        <f>IF(ISERR([1]Профессиональное!K62),"-",[1]Профессиональное!K62)</f>
        <v>4.2895927601809953</v>
      </c>
      <c r="K709" s="104"/>
      <c r="L709" s="104"/>
      <c r="M709" s="104"/>
    </row>
    <row r="710" spans="1:13" s="89" customFormat="1" x14ac:dyDescent="0.25">
      <c r="A710" s="87"/>
      <c r="B710" s="70" t="s">
        <v>1297</v>
      </c>
      <c r="C710" s="13"/>
      <c r="D710" s="104">
        <f>IF(ISERR([1]Профессиональное!E61),"-",[1]Профессиональное!E61)</f>
        <v>3.1</v>
      </c>
      <c r="E710" s="104">
        <f>IF(ISERR([1]Профессиональное!F61),"-",[1]Профессиональное!F61)</f>
        <v>3.8565426170468187</v>
      </c>
      <c r="F710" s="104">
        <f>IF(ISERR([1]Профессиональное!G61),"-",[1]Профессиональное!G61)</f>
        <v>4.913969087197434</v>
      </c>
      <c r="G710" s="104">
        <f>IF(ISERR([1]Профессиональное!H61),"-",[1]Профессиональное!H61)</f>
        <v>3.66</v>
      </c>
      <c r="H710" s="104"/>
      <c r="I710" s="104"/>
      <c r="J710" s="104"/>
      <c r="K710" s="104"/>
      <c r="L710" s="104"/>
      <c r="M710" s="104"/>
    </row>
    <row r="711" spans="1:13" s="89" customFormat="1" x14ac:dyDescent="0.25">
      <c r="A711" s="87"/>
      <c r="B711" s="70" t="s">
        <v>2682</v>
      </c>
      <c r="C711" s="13" t="s">
        <v>8</v>
      </c>
      <c r="D711" s="104"/>
      <c r="E711" s="104"/>
      <c r="F711" s="104"/>
      <c r="G711" s="104"/>
      <c r="H711" s="104">
        <f>IF(ISERR([1]Профессиональное!I46),"-",[1]Профессиональное!I46)</f>
        <v>100</v>
      </c>
      <c r="I711" s="104">
        <f>IF(ISERR([1]Профессиональное!J46),"-",[1]Профессиональное!J46)</f>
        <v>100</v>
      </c>
      <c r="J711" s="104">
        <f>IF(ISERR([1]Профессиональное!K46),"-",[1]Профессиональное!K46)</f>
        <v>100</v>
      </c>
      <c r="K711" s="104"/>
      <c r="L711" s="104"/>
      <c r="M711" s="104"/>
    </row>
    <row r="712" spans="1:13" s="89" customFormat="1" x14ac:dyDescent="0.25">
      <c r="A712" s="87"/>
      <c r="B712" s="70" t="s">
        <v>2683</v>
      </c>
      <c r="C712" s="13" t="s">
        <v>8</v>
      </c>
      <c r="D712" s="104"/>
      <c r="E712" s="104"/>
      <c r="F712" s="104"/>
      <c r="G712" s="104"/>
      <c r="H712" s="104">
        <f>IF(ISERR([1]Профессиональное!I63),"-",[1]Профессиональное!I63)</f>
        <v>0</v>
      </c>
      <c r="I712" s="104">
        <f>IF(ISERR([1]Профессиональное!J63),"-",[1]Профессиональное!J63)</f>
        <v>0</v>
      </c>
      <c r="J712" s="104">
        <f>IF(ISERR([1]Профессиональное!K63),"-",[1]Профессиональное!K63)</f>
        <v>0</v>
      </c>
      <c r="K712" s="104"/>
      <c r="L712" s="104"/>
      <c r="M712" s="104"/>
    </row>
    <row r="713" spans="1:13" s="89" customFormat="1" ht="105" x14ac:dyDescent="0.25">
      <c r="A713" s="13" t="s">
        <v>353</v>
      </c>
      <c r="B713" s="70" t="s">
        <v>1729</v>
      </c>
      <c r="C713" s="13"/>
      <c r="D713" s="90"/>
      <c r="E713" s="90"/>
      <c r="F713" s="90"/>
      <c r="G713" s="90"/>
      <c r="H713" s="90"/>
      <c r="I713" s="90"/>
      <c r="J713" s="90"/>
      <c r="K713" s="90"/>
      <c r="L713" s="90"/>
      <c r="M713" s="90"/>
    </row>
    <row r="714" spans="1:13" s="89" customFormat="1" x14ac:dyDescent="0.25">
      <c r="A714" s="87"/>
      <c r="B714" s="70" t="s">
        <v>1296</v>
      </c>
      <c r="C714" s="13"/>
      <c r="D714" s="90"/>
      <c r="E714" s="90"/>
      <c r="F714" s="90"/>
      <c r="G714" s="90"/>
      <c r="H714" s="90"/>
      <c r="I714" s="90"/>
      <c r="J714" s="90"/>
      <c r="K714" s="90"/>
      <c r="L714" s="90"/>
      <c r="M714" s="90"/>
    </row>
    <row r="715" spans="1:13" s="89" customFormat="1" x14ac:dyDescent="0.25">
      <c r="A715" s="87"/>
      <c r="B715" s="70" t="s">
        <v>2682</v>
      </c>
      <c r="C715" s="13" t="s">
        <v>8</v>
      </c>
      <c r="D715" s="104">
        <f>IF(ISERR([1]Профессиональное!E80),"-",[1]Профессиональное!E80)</f>
        <v>63.46</v>
      </c>
      <c r="E715" s="104">
        <f>IF(ISERR([1]Профессиональное!F80),"-",[1]Профессиональное!F80)</f>
        <v>64.047929409405384</v>
      </c>
      <c r="F715" s="104">
        <f>IF(ISERR([1]Профессиональное!G80),"-",[1]Профессиональное!G80)</f>
        <v>69.64</v>
      </c>
      <c r="G715" s="104">
        <f>IF(ISERR([1]Профессиональное!H80),"-",[1]Профессиональное!H80)</f>
        <v>71.77</v>
      </c>
      <c r="H715" s="104">
        <f>IF(ISERR([1]Профессиональное!I80),"-",[1]Профессиональное!I80)</f>
        <v>72.748848910618506</v>
      </c>
      <c r="I715" s="104">
        <f>IF(ISERR([1]Профессиональное!J80),"-",[1]Профессиональное!J80)</f>
        <v>74.898261191268958</v>
      </c>
      <c r="J715" s="104">
        <v>76.09</v>
      </c>
      <c r="K715" s="104"/>
      <c r="L715" s="104"/>
      <c r="M715" s="104"/>
    </row>
    <row r="716" spans="1:13" s="89" customFormat="1" x14ac:dyDescent="0.25">
      <c r="A716" s="87"/>
      <c r="B716" s="70" t="s">
        <v>2683</v>
      </c>
      <c r="C716" s="13" t="s">
        <v>8</v>
      </c>
      <c r="D716" s="104">
        <f>IF(ISERR([1]Профессиональное!E89),"-",[1]Профессиональное!E89)</f>
        <v>36.54</v>
      </c>
      <c r="E716" s="104">
        <f>IF(ISERR([1]Профессиональное!F89),"-",[1]Профессиональное!F89)</f>
        <v>35.952070590594602</v>
      </c>
      <c r="F716" s="104">
        <f>IF(ISERR([1]Профессиональное!G89),"-",[1]Профессиональное!G89)</f>
        <v>30.36</v>
      </c>
      <c r="G716" s="104">
        <f>IF(ISERR([1]Профессиональное!H89),"-",[1]Профессиональное!H89)</f>
        <v>28.23</v>
      </c>
      <c r="H716" s="104">
        <f>IF(ISERR([1]Профессиональное!I89),"-",[1]Профессиональное!I89)</f>
        <v>27.251151089381498</v>
      </c>
      <c r="I716" s="104">
        <f>IF(ISERR([1]Профессиональное!J89),"-",[1]Профессиональное!J89)</f>
        <v>25.101738808731039</v>
      </c>
      <c r="J716" s="104">
        <v>23.91</v>
      </c>
      <c r="K716" s="104"/>
      <c r="L716" s="104"/>
      <c r="M716" s="104"/>
    </row>
    <row r="717" spans="1:13" s="89" customFormat="1" x14ac:dyDescent="0.25">
      <c r="A717" s="87"/>
      <c r="B717" s="70" t="s">
        <v>1297</v>
      </c>
      <c r="C717" s="13"/>
      <c r="D717" s="90"/>
      <c r="E717" s="90"/>
      <c r="F717" s="90"/>
      <c r="G717" s="90"/>
      <c r="H717" s="90"/>
      <c r="I717" s="90"/>
      <c r="J717" s="90"/>
      <c r="K717" s="90"/>
      <c r="L717" s="90"/>
      <c r="M717" s="90"/>
    </row>
    <row r="718" spans="1:13" s="89" customFormat="1" x14ac:dyDescent="0.25">
      <c r="A718" s="87"/>
      <c r="B718" s="70" t="s">
        <v>2682</v>
      </c>
      <c r="C718" s="13" t="s">
        <v>8</v>
      </c>
      <c r="D718" s="104" t="str">
        <f>IF(ISERR([1]Профессиональное!D81),"-",[1]Профессиональное!D81)</f>
        <v>процент</v>
      </c>
      <c r="E718" s="104">
        <f>IF(ISERR([1]Профессиональное!F81),"-",[1]Профессиональное!F81)</f>
        <v>66.417910447761201</v>
      </c>
      <c r="F718" s="104">
        <f>IF(ISERR([1]Профессиональное!G81),"-",[1]Профессиональное!G81)</f>
        <v>76.724137931034491</v>
      </c>
      <c r="G718" s="104">
        <f>IF(ISERR([1]Профессиональное!H81),"-",[1]Профессиональное!H81)</f>
        <v>73.67</v>
      </c>
      <c r="H718" s="104">
        <f>IF(ISERR([1]Профессиональное!I81),"-",[1]Профессиональное!I81)</f>
        <v>67.365661861074713</v>
      </c>
      <c r="I718" s="104">
        <f>IF(ISERR([1]Профессиональное!J81),"-",[1]Профессиональное!J81)</f>
        <v>69.882352941176478</v>
      </c>
      <c r="J718" s="104">
        <f>IF(ISERR([1]Профессиональное!K81),"-",[1]Профессиональное!K81)</f>
        <v>74.413279908414424</v>
      </c>
      <c r="K718" s="104"/>
      <c r="L718" s="104"/>
      <c r="M718" s="104"/>
    </row>
    <row r="719" spans="1:13" s="89" customFormat="1" x14ac:dyDescent="0.25">
      <c r="A719" s="87"/>
      <c r="B719" s="70" t="s">
        <v>2683</v>
      </c>
      <c r="C719" s="13" t="s">
        <v>8</v>
      </c>
      <c r="D719" s="104">
        <f>IF(ISERR([1]Профессиональное!E90),"-",[1]Профессиональное!E90)</f>
        <v>27.78</v>
      </c>
      <c r="E719" s="104">
        <f>IF(ISERR([1]Профессиональное!F90),"-",[1]Профессиональное!F90)</f>
        <v>33.582089552238806</v>
      </c>
      <c r="F719" s="104">
        <f>IF(ISERR([1]Профессиональное!G90),"-",[1]Профессиональное!G90)</f>
        <v>23.275862068965516</v>
      </c>
      <c r="G719" s="104">
        <f>IF(ISERR([1]Профессиональное!H90),"-",[1]Профессиональное!H90)</f>
        <v>26.33</v>
      </c>
      <c r="H719" s="104">
        <f>IF(ISERR([1]Профессиональное!I90),"-",[1]Профессиональное!I90)</f>
        <v>32.634338138925294</v>
      </c>
      <c r="I719" s="104">
        <f>IF(ISERR([1]Профессиональное!J90),"-",[1]Профессиональное!J90)</f>
        <v>30.117647058823525</v>
      </c>
      <c r="J719" s="104">
        <f>IF(ISERR([1]Профессиональное!K90),"-",[1]Профессиональное!K90)</f>
        <v>25.586720091585573</v>
      </c>
      <c r="K719" s="104"/>
      <c r="L719" s="104"/>
      <c r="M719" s="104"/>
    </row>
    <row r="720" spans="1:13" s="89" customFormat="1" ht="60" hidden="1" x14ac:dyDescent="0.25">
      <c r="A720" s="13" t="s">
        <v>358</v>
      </c>
      <c r="B720" s="70" t="s">
        <v>359</v>
      </c>
      <c r="C720" s="13" t="s">
        <v>8</v>
      </c>
      <c r="D720" s="104">
        <f>IF(ISERR([1]Профессиональное!E97),"-",[1]Профессиональное!E97)</f>
        <v>97.09</v>
      </c>
      <c r="E720" s="104">
        <f>IF(ISERR([1]Профессиональное!F97),"-",[1]Профессиональное!F97)</f>
        <v>97.674069627851139</v>
      </c>
      <c r="F720" s="104">
        <f>IF(ISERR([1]Профессиональное!G97),"-",[1]Профессиональное!G97)</f>
        <v>98.585593467483235</v>
      </c>
      <c r="G720" s="104">
        <f>IF(ISERR([1]Профессиональное!H97),"-",[1]Профессиональное!H97)</f>
        <v>100</v>
      </c>
      <c r="H720" s="104">
        <f>IF(ISERR([1]Профессиональное!I97),"-",[1]Профессиональное!I97)</f>
        <v>100</v>
      </c>
      <c r="I720" s="104">
        <f>IF(ISERR([1]Профессиональное!J97),"-",[1]Профессиональное!J97)</f>
        <v>100</v>
      </c>
      <c r="J720" s="104">
        <f>IF(ISERR([1]Профессиональное!K97),"-",[1]Профессиональное!K97)</f>
        <v>100</v>
      </c>
      <c r="K720" s="104"/>
      <c r="L720" s="104"/>
      <c r="M720" s="104"/>
    </row>
    <row r="721" spans="1:13" s="89" customFormat="1" ht="105" x14ac:dyDescent="0.25">
      <c r="A721" s="396" t="s">
        <v>358</v>
      </c>
      <c r="B721" s="70" t="s">
        <v>3000</v>
      </c>
      <c r="C721" s="13"/>
      <c r="D721" s="104"/>
      <c r="E721" s="104"/>
      <c r="F721" s="104"/>
      <c r="G721" s="104"/>
      <c r="H721" s="104"/>
      <c r="I721" s="104"/>
      <c r="J721" s="104"/>
      <c r="K721" s="104"/>
      <c r="L721" s="104"/>
      <c r="M721" s="104"/>
    </row>
    <row r="722" spans="1:13" s="89" customFormat="1" x14ac:dyDescent="0.25">
      <c r="A722" s="396"/>
      <c r="B722" s="70" t="s">
        <v>1296</v>
      </c>
      <c r="C722" s="13"/>
      <c r="D722" s="104"/>
      <c r="E722" s="104"/>
      <c r="F722" s="104"/>
      <c r="G722" s="104"/>
      <c r="H722" s="104"/>
      <c r="I722" s="104"/>
      <c r="J722" s="104"/>
      <c r="K722" s="104"/>
      <c r="L722" s="104"/>
      <c r="M722" s="104"/>
    </row>
    <row r="723" spans="1:13" s="89" customFormat="1" x14ac:dyDescent="0.25">
      <c r="A723" s="396"/>
      <c r="B723" s="70" t="s">
        <v>2684</v>
      </c>
      <c r="C723" s="13" t="s">
        <v>8</v>
      </c>
      <c r="D723" s="104"/>
      <c r="E723" s="104"/>
      <c r="F723" s="104"/>
      <c r="G723" s="104"/>
      <c r="H723" s="104">
        <f>IF(ISERR([1]Профессиональное!I108),"-",[1]Профессиональное!I108)</f>
        <v>100</v>
      </c>
      <c r="I723" s="104">
        <f>IF(ISERR([1]Профессиональное!J108),"-",[1]Профессиональное!J108)</f>
        <v>100</v>
      </c>
      <c r="J723" s="104">
        <f>IF(ISERR([1]Профессиональное!K108),"-",[1]Профессиональное!K108)</f>
        <v>99.23981900452489</v>
      </c>
      <c r="K723" s="104"/>
      <c r="L723" s="104"/>
      <c r="M723" s="104"/>
    </row>
    <row r="724" spans="1:13" s="89" customFormat="1" x14ac:dyDescent="0.25">
      <c r="A724" s="396"/>
      <c r="B724" s="70" t="s">
        <v>2685</v>
      </c>
      <c r="C724" s="13" t="s">
        <v>8</v>
      </c>
      <c r="D724" s="104"/>
      <c r="E724" s="104"/>
      <c r="F724" s="104"/>
      <c r="G724" s="104"/>
      <c r="H724" s="104">
        <f>IF(ISERR([1]Профессиональное!I111),"-",[1]Профессиональное!I111)</f>
        <v>0</v>
      </c>
      <c r="I724" s="104">
        <f>IF(ISERR([1]Профессиональное!J111),"-",[1]Профессиональное!J111)</f>
        <v>0</v>
      </c>
      <c r="J724" s="104">
        <f>IF(ISERR([1]Профессиональное!K111),"-",[1]Профессиональное!K111)</f>
        <v>0.7601809954751132</v>
      </c>
      <c r="K724" s="104"/>
      <c r="L724" s="104"/>
      <c r="M724" s="104"/>
    </row>
    <row r="725" spans="1:13" s="89" customFormat="1" x14ac:dyDescent="0.25">
      <c r="A725" s="396"/>
      <c r="B725" s="70" t="s">
        <v>2686</v>
      </c>
      <c r="C725" s="13" t="s">
        <v>8</v>
      </c>
      <c r="D725" s="104"/>
      <c r="E725" s="104"/>
      <c r="F725" s="104"/>
      <c r="G725" s="104"/>
      <c r="H725" s="104">
        <f>IF(ISERR([1]Профессиональное!I114),"-",[1]Профессиональное!I114)</f>
        <v>0</v>
      </c>
      <c r="I725" s="104">
        <f>IF(ISERR([1]Профессиональное!J114),"-",[1]Профессиональное!J114)</f>
        <v>0</v>
      </c>
      <c r="J725" s="104">
        <f>IF(ISERR([1]Профессиональное!K114),"-",[1]Профессиональное!K114)</f>
        <v>0</v>
      </c>
      <c r="K725" s="104"/>
      <c r="L725" s="104"/>
      <c r="M725" s="104"/>
    </row>
    <row r="726" spans="1:13" s="89" customFormat="1" x14ac:dyDescent="0.25">
      <c r="A726" s="396"/>
      <c r="B726" s="70" t="s">
        <v>1297</v>
      </c>
      <c r="C726" s="13"/>
      <c r="D726" s="104"/>
      <c r="E726" s="104"/>
      <c r="F726" s="104"/>
      <c r="G726" s="104"/>
      <c r="H726" s="104"/>
      <c r="I726" s="104"/>
      <c r="J726" s="104"/>
      <c r="K726" s="104"/>
      <c r="L726" s="104"/>
      <c r="M726" s="104"/>
    </row>
    <row r="727" spans="1:13" s="89" customFormat="1" x14ac:dyDescent="0.25">
      <c r="A727" s="396"/>
      <c r="B727" s="70" t="s">
        <v>2684</v>
      </c>
      <c r="C727" s="13" t="s">
        <v>8</v>
      </c>
      <c r="D727" s="104"/>
      <c r="E727" s="104"/>
      <c r="F727" s="104"/>
      <c r="G727" s="104"/>
      <c r="H727" s="104">
        <f>IF(ISERR([1]Профессиональное!I109),"-",[1]Профессиональное!I109)</f>
        <v>100</v>
      </c>
      <c r="I727" s="104">
        <f>IF(ISERR([1]Профессиональное!J109),"-",[1]Профессиональное!J109)</f>
        <v>100</v>
      </c>
      <c r="J727" s="104">
        <f>IF(ISERR([1]Профессиональное!K109),"-",[1]Профессиональное!K109)</f>
        <v>100</v>
      </c>
      <c r="K727" s="104"/>
      <c r="L727" s="104"/>
      <c r="M727" s="104"/>
    </row>
    <row r="728" spans="1:13" s="89" customFormat="1" x14ac:dyDescent="0.25">
      <c r="A728" s="396"/>
      <c r="B728" s="70" t="s">
        <v>2685</v>
      </c>
      <c r="C728" s="13" t="s">
        <v>8</v>
      </c>
      <c r="D728" s="104"/>
      <c r="E728" s="104"/>
      <c r="F728" s="104"/>
      <c r="G728" s="104"/>
      <c r="H728" s="104">
        <f>IF(ISERR([1]Профессиональное!I112),"-",[1]Профессиональное!I112)</f>
        <v>0</v>
      </c>
      <c r="I728" s="104">
        <f>IF(ISERR([1]Профессиональное!J112),"-",[1]Профессиональное!J112)</f>
        <v>0</v>
      </c>
      <c r="J728" s="104">
        <f>IF(ISERR([1]Профессиональное!K112),"-",[1]Профессиональное!K112)</f>
        <v>0</v>
      </c>
      <c r="K728" s="104"/>
      <c r="L728" s="104"/>
      <c r="M728" s="104"/>
    </row>
    <row r="729" spans="1:13" s="89" customFormat="1" x14ac:dyDescent="0.25">
      <c r="A729" s="396"/>
      <c r="B729" s="70" t="s">
        <v>2686</v>
      </c>
      <c r="C729" s="13" t="s">
        <v>8</v>
      </c>
      <c r="D729" s="104"/>
      <c r="E729" s="104"/>
      <c r="F729" s="104"/>
      <c r="G729" s="104"/>
      <c r="H729" s="104">
        <f>IF(ISERR([1]Профессиональное!I115),"-",[1]Профессиональное!I115)</f>
        <v>0</v>
      </c>
      <c r="I729" s="104">
        <f>IF(ISERR([1]Профессиональное!J115),"-",[1]Профессиональное!J115)</f>
        <v>0</v>
      </c>
      <c r="J729" s="104">
        <f>IF(ISERR([1]Профессиональное!K115),"-",[1]Профессиональное!K115)</f>
        <v>0</v>
      </c>
      <c r="K729" s="104"/>
      <c r="L729" s="104"/>
      <c r="M729" s="104"/>
    </row>
    <row r="730" spans="1:13" s="89" customFormat="1" ht="105" x14ac:dyDescent="0.25">
      <c r="A730" s="396" t="s">
        <v>368</v>
      </c>
      <c r="B730" s="70" t="s">
        <v>615</v>
      </c>
      <c r="C730" s="13"/>
      <c r="D730" s="90"/>
      <c r="E730" s="90"/>
      <c r="F730" s="90"/>
      <c r="G730" s="90"/>
      <c r="H730" s="90"/>
      <c r="I730" s="90"/>
      <c r="J730" s="90"/>
      <c r="K730" s="90"/>
      <c r="L730" s="90"/>
      <c r="M730" s="90"/>
    </row>
    <row r="731" spans="1:13" s="89" customFormat="1" x14ac:dyDescent="0.25">
      <c r="A731" s="396"/>
      <c r="B731" s="70" t="s">
        <v>1296</v>
      </c>
      <c r="C731" s="13"/>
      <c r="D731" s="90"/>
      <c r="E731" s="90"/>
      <c r="F731" s="90"/>
      <c r="G731" s="90"/>
      <c r="H731" s="90"/>
      <c r="I731" s="90"/>
      <c r="J731" s="90"/>
      <c r="K731" s="90"/>
      <c r="L731" s="90"/>
      <c r="M731" s="90"/>
    </row>
    <row r="732" spans="1:13" s="89" customFormat="1" x14ac:dyDescent="0.25">
      <c r="A732" s="396"/>
      <c r="B732" s="70" t="s">
        <v>2564</v>
      </c>
      <c r="C732" s="13" t="s">
        <v>8</v>
      </c>
      <c r="D732" s="93">
        <f>IF(ISERR([1]Профессиональное!E130),"-",[1]Профессиональное!E130)</f>
        <v>71.069999999999993</v>
      </c>
      <c r="E732" s="93">
        <f>IF(ISERR([1]Профессиональное!F130),"-",[1]Профессиональное!F130)</f>
        <v>67.251579264012832</v>
      </c>
      <c r="F732" s="93">
        <f>IF(ISERR([1]Профессиональное!G130),"-",[1]Профессиональное!G130)</f>
        <v>75.2</v>
      </c>
      <c r="G732" s="93">
        <f>IF(ISERR([1]Профессиональное!H130),"-",[1]Профессиональное!H130)</f>
        <v>73.17</v>
      </c>
      <c r="H732" s="93">
        <f>IF(ISERR([1]Профессиональное!I130),"-",[1]Профессиональное!I130)</f>
        <v>76.10480846822044</v>
      </c>
      <c r="I732" s="93">
        <f>IF(ISERR([1]Профессиональное!J130),"-",[1]Профессиональное!J130)</f>
        <v>78.001294857565668</v>
      </c>
      <c r="J732" s="93">
        <v>78.73</v>
      </c>
      <c r="K732" s="93"/>
      <c r="L732" s="93"/>
      <c r="M732" s="93"/>
    </row>
    <row r="733" spans="1:13" s="89" customFormat="1" x14ac:dyDescent="0.25">
      <c r="A733" s="396"/>
      <c r="B733" s="70" t="s">
        <v>2565</v>
      </c>
      <c r="C733" s="13" t="s">
        <v>8</v>
      </c>
      <c r="D733" s="104">
        <f>IF(ISERR([1]Профессиональное!E133),"-",[1]Профессиональное!E133)</f>
        <v>2.42</v>
      </c>
      <c r="E733" s="104">
        <f>IF(ISERR([1]Профессиональное!F133),"-",[1]Профессиональное!F133)</f>
        <v>2.266118520004011</v>
      </c>
      <c r="F733" s="104">
        <f>IF(ISERR([1]Профессиональное!G133),"-",[1]Профессиональное!G133)</f>
        <v>2.5</v>
      </c>
      <c r="G733" s="104">
        <f>IF(ISERR([1]Профессиональное!H133),"-",[1]Профессиональное!H133)</f>
        <v>2.4300000000000002</v>
      </c>
      <c r="H733" s="104">
        <f>IF(ISERR([1]Профессиональное!I133),"-",[1]Профессиональное!I133)</f>
        <v>1.8180092087150521</v>
      </c>
      <c r="I733" s="104">
        <f>IF(ISERR([1]Профессиональное!J133),"-",[1]Профессиональное!J133)</f>
        <v>2.4139844617092123</v>
      </c>
      <c r="J733" s="104">
        <v>2.86</v>
      </c>
      <c r="K733" s="104"/>
      <c r="L733" s="104"/>
      <c r="M733" s="104"/>
    </row>
    <row r="734" spans="1:13" s="89" customFormat="1" x14ac:dyDescent="0.25">
      <c r="A734" s="396"/>
      <c r="B734" s="70" t="s">
        <v>2566</v>
      </c>
      <c r="C734" s="13" t="s">
        <v>8</v>
      </c>
      <c r="D734" s="104">
        <f>IF(ISERR([1]Профессиональное!E136),"-",[1]Профессиональное!E136)</f>
        <v>26.51</v>
      </c>
      <c r="E734" s="104">
        <f>IF(ISERR([1]Профессиональное!F136),"-",[1]Профессиональное!F136)</f>
        <v>30.482302215983154</v>
      </c>
      <c r="F734" s="104">
        <f>IF(ISERR([1]Профессиональное!G136),"-",[1]Профессиональное!G136)</f>
        <v>22.3</v>
      </c>
      <c r="G734" s="104">
        <f>IF(ISERR([1]Профессиональное!H136),"-",[1]Профессиональное!H136)</f>
        <v>24.39</v>
      </c>
      <c r="H734" s="104">
        <f>IF(ISERR([1]Профессиональное!I136),"-",[1]Профессиональное!I136)</f>
        <v>22.077182323064509</v>
      </c>
      <c r="I734" s="104">
        <f>IF(ISERR([1]Профессиональное!J136),"-",[1]Профессиональное!J136)</f>
        <v>19.58472068072512</v>
      </c>
      <c r="J734" s="104">
        <v>18.41</v>
      </c>
      <c r="K734" s="104"/>
      <c r="L734" s="104"/>
      <c r="M734" s="104"/>
    </row>
    <row r="735" spans="1:13" s="89" customFormat="1" x14ac:dyDescent="0.25">
      <c r="A735" s="396"/>
      <c r="B735" s="70" t="s">
        <v>1297</v>
      </c>
      <c r="C735" s="13"/>
      <c r="D735" s="104"/>
      <c r="E735" s="104"/>
      <c r="F735" s="104"/>
      <c r="G735" s="104"/>
      <c r="H735" s="104"/>
      <c r="I735" s="104"/>
      <c r="J735" s="104"/>
      <c r="K735" s="104"/>
      <c r="L735" s="104"/>
      <c r="M735" s="104"/>
    </row>
    <row r="736" spans="1:13" s="89" customFormat="1" x14ac:dyDescent="0.25">
      <c r="A736" s="396"/>
      <c r="B736" s="70" t="s">
        <v>2564</v>
      </c>
      <c r="C736" s="13" t="s">
        <v>8</v>
      </c>
      <c r="D736" s="93">
        <f>IF(ISERR([1]Профессиональное!E131),"-",[1]Профессиональное!E131)</f>
        <v>69.44</v>
      </c>
      <c r="E736" s="93">
        <f>IF(ISERR([1]Профессиональное!F131),"-",[1]Профессиональное!F131)</f>
        <v>58.208955223880601</v>
      </c>
      <c r="F736" s="93">
        <f>IF(ISERR([1]Профессиональное!G131),"-",[1]Профессиональное!G131)</f>
        <v>63.79</v>
      </c>
      <c r="G736" s="93">
        <f>IF(ISERR([1]Профессиональное!H131),"-",[1]Профессиональное!H131)</f>
        <v>88.41</v>
      </c>
      <c r="H736" s="93">
        <f>IF(ISERR([1]Профессиональное!I131),"-",[1]Профессиональное!I131)</f>
        <v>83.486238532110093</v>
      </c>
      <c r="I736" s="93">
        <f>IF(ISERR([1]Профессиональное!J131),"-",[1]Профессиональное!J131)</f>
        <v>72.470588235294116</v>
      </c>
      <c r="J736" s="93">
        <f>IF(ISERR([1]Профессиональное!K131),"-",[1]Профессиональное!K131)</f>
        <v>82.655981682884942</v>
      </c>
      <c r="K736" s="93"/>
      <c r="L736" s="93"/>
      <c r="M736" s="93"/>
    </row>
    <row r="737" spans="1:13" s="89" customFormat="1" x14ac:dyDescent="0.25">
      <c r="A737" s="396"/>
      <c r="B737" s="70" t="s">
        <v>2565</v>
      </c>
      <c r="C737" s="13" t="s">
        <v>8</v>
      </c>
      <c r="D737" s="104">
        <f>IF(ISERR([1]Профессиональное!E137),"-",[1]Профессиональное!E137)</f>
        <v>30.56</v>
      </c>
      <c r="E737" s="104">
        <f>IF(ISERR([1]Профессиональное!F137),"-",[1]Профессиональное!F137)</f>
        <v>41.791044776119399</v>
      </c>
      <c r="F737" s="104">
        <f>IF(ISERR([1]Профессиональное!G137),"-",[1]Профессиональное!G137)</f>
        <v>36.21</v>
      </c>
      <c r="G737" s="104">
        <f>IF(ISERR([1]Профессиональное!H137),"-",[1]Профессиональное!H137)</f>
        <v>11.59</v>
      </c>
      <c r="H737" s="104">
        <f>IF(ISERR([1]Профессиональное!I137),"-",[1]Профессиональное!I137)</f>
        <v>4.0629095674967228</v>
      </c>
      <c r="I737" s="104">
        <f>IF(ISERR([1]Профессиональное!J134),"-",[1]Профессиональное!J134)</f>
        <v>3.215686274509804</v>
      </c>
      <c r="J737" s="104">
        <f>IF(ISERR([1]Профессиональное!K137),"-",[1]Профессиональное!K134)</f>
        <v>4.4075558099599315</v>
      </c>
      <c r="K737" s="104"/>
      <c r="L737" s="104"/>
      <c r="M737" s="104"/>
    </row>
    <row r="738" spans="1:13" s="89" customFormat="1" x14ac:dyDescent="0.25">
      <c r="A738" s="396"/>
      <c r="B738" s="70" t="s">
        <v>2566</v>
      </c>
      <c r="C738" s="13" t="s">
        <v>8</v>
      </c>
      <c r="D738" s="104">
        <f>IF(ISERR([1]Профессиональное!E134),"-",[1]Профессиональное!E134)</f>
        <v>0</v>
      </c>
      <c r="E738" s="104">
        <f>IF(ISERR([1]Профессиональное!F134),"-",[1]Профессиональное!F134)</f>
        <v>0</v>
      </c>
      <c r="F738" s="104">
        <f>IF(ISERR([1]Профессиональное!G134),"-",[1]Профессиональное!G134)</f>
        <v>0</v>
      </c>
      <c r="G738" s="104">
        <f>IF(ISERR([1]Профессиональное!H134),"-",[1]Профессиональное!H134)</f>
        <v>0</v>
      </c>
      <c r="H738" s="104">
        <f>IF(ISERR([1]Профессиональное!I134),"-",[1]Профессиональное!I134)</f>
        <v>12.450851900393186</v>
      </c>
      <c r="I738" s="104">
        <f>IF(ISERR([1]Профессиональное!J137),"-",[1]Профессиональное!J137)</f>
        <v>24.313725490196077</v>
      </c>
      <c r="J738" s="104">
        <f>IF(ISERR([1]Профессиональное!K137),"-",[1]Профессиональное!K137)</f>
        <v>12.936462507155122</v>
      </c>
      <c r="K738" s="104"/>
      <c r="L738" s="104"/>
      <c r="M738" s="104"/>
    </row>
    <row r="739" spans="1:13" s="89" customFormat="1" ht="45" x14ac:dyDescent="0.25">
      <c r="A739" s="396" t="s">
        <v>377</v>
      </c>
      <c r="B739" s="70" t="s">
        <v>1730</v>
      </c>
      <c r="C739" s="13"/>
      <c r="D739" s="90"/>
      <c r="E739" s="90"/>
      <c r="F739" s="90"/>
      <c r="G739" s="90"/>
      <c r="H739" s="90"/>
      <c r="I739" s="90"/>
      <c r="J739" s="90"/>
      <c r="K739" s="90"/>
      <c r="L739" s="90"/>
      <c r="M739" s="90"/>
    </row>
    <row r="740" spans="1:13" s="89" customFormat="1" x14ac:dyDescent="0.25">
      <c r="A740" s="396"/>
      <c r="B740" s="70" t="s">
        <v>1296</v>
      </c>
      <c r="C740" s="13"/>
      <c r="D740" s="90"/>
      <c r="E740" s="90"/>
      <c r="F740" s="90"/>
      <c r="G740" s="90"/>
      <c r="H740" s="90"/>
      <c r="I740" s="90"/>
      <c r="J740" s="90"/>
      <c r="K740" s="90"/>
      <c r="L740" s="90"/>
      <c r="M740" s="90"/>
    </row>
    <row r="741" spans="1:13" s="89" customFormat="1" x14ac:dyDescent="0.25">
      <c r="A741" s="396"/>
      <c r="B741" s="70" t="s">
        <v>2316</v>
      </c>
      <c r="C741" s="13" t="s">
        <v>8</v>
      </c>
      <c r="D741" s="90"/>
      <c r="E741" s="90"/>
      <c r="F741" s="90"/>
      <c r="G741" s="90"/>
      <c r="H741" s="104">
        <f>IF(ISERR([1]Профессиональное!I152),"-",[1]Профессиональное!I152)</f>
        <v>24.377403576895791</v>
      </c>
      <c r="I741" s="104">
        <f>IF(ISERR([1]Профессиональное!J152),"-",[1]Профессиональное!J152)</f>
        <v>24.788804818923087</v>
      </c>
      <c r="J741" s="104">
        <v>24.04</v>
      </c>
      <c r="K741" s="104"/>
      <c r="L741" s="104"/>
      <c r="M741" s="104"/>
    </row>
    <row r="742" spans="1:13" s="89" customFormat="1" x14ac:dyDescent="0.25">
      <c r="A742" s="396"/>
      <c r="B742" s="70" t="s">
        <v>2687</v>
      </c>
      <c r="C742" s="13" t="s">
        <v>8</v>
      </c>
      <c r="D742" s="90"/>
      <c r="E742" s="90"/>
      <c r="F742" s="90"/>
      <c r="G742" s="90"/>
      <c r="H742" s="104">
        <f>IF(ISERR([1]Профессиональное!I155),"-",[1]Профессиональное!I155)</f>
        <v>1.7319804058782367</v>
      </c>
      <c r="I742" s="104">
        <f>IF(ISERR([1]Профессиональное!J155),"-",[1]Профессиональное!J155)</f>
        <v>2.7133166726169224</v>
      </c>
      <c r="J742" s="104">
        <f>IF(ISERR([1]Профессиональное!K155),"-",[1]Профессиональное!K155)</f>
        <v>6.4615384615384617</v>
      </c>
      <c r="K742" s="104"/>
      <c r="L742" s="104"/>
      <c r="M742" s="104"/>
    </row>
    <row r="743" spans="1:13" s="89" customFormat="1" x14ac:dyDescent="0.25">
      <c r="A743" s="396"/>
      <c r="B743" s="70" t="s">
        <v>2688</v>
      </c>
      <c r="C743" s="13" t="s">
        <v>8</v>
      </c>
      <c r="D743" s="93">
        <f>IF(ISERR([1]Профессиональное!E158),"-",[1]Профессиональное!E158)</f>
        <v>34.83</v>
      </c>
      <c r="E743" s="93">
        <f>IF(ISERR([1]Профессиональное!F158),"-",[1]Профессиональное!F158)</f>
        <v>33.370099268023665</v>
      </c>
      <c r="F743" s="93">
        <f>IF(ISERR([1]Профессиональное!G158),"-",[1]Профессиональное!G158)</f>
        <v>26.18</v>
      </c>
      <c r="G743" s="93">
        <f>IF(ISERR([1]Профессиональное!H158),"-",[1]Профессиональное!H158)</f>
        <v>31.13</v>
      </c>
      <c r="H743" s="93">
        <f>IF(ISERR([1]Профессиональное!I158),"-",[1]Профессиональное!I158)</f>
        <v>30.521668960934161</v>
      </c>
      <c r="I743" s="93">
        <f>IF(ISERR([1]Профессиональное!J158),"-",[1]Профессиональное!J158)</f>
        <v>30.507769145394008</v>
      </c>
      <c r="J743" s="93">
        <v>30.12</v>
      </c>
      <c r="K743" s="93"/>
      <c r="L743" s="93"/>
      <c r="M743" s="93"/>
    </row>
    <row r="744" spans="1:13" s="89" customFormat="1" x14ac:dyDescent="0.25">
      <c r="A744" s="396"/>
      <c r="B744" s="70" t="s">
        <v>1297</v>
      </c>
      <c r="C744" s="13"/>
      <c r="D744" s="90"/>
      <c r="E744" s="90"/>
      <c r="F744" s="90"/>
      <c r="G744" s="90"/>
      <c r="H744" s="104"/>
      <c r="I744" s="104"/>
      <c r="J744" s="104"/>
      <c r="K744" s="104"/>
      <c r="L744" s="104"/>
      <c r="M744" s="104"/>
    </row>
    <row r="745" spans="1:13" s="89" customFormat="1" x14ac:dyDescent="0.25">
      <c r="A745" s="396"/>
      <c r="B745" s="70" t="s">
        <v>2316</v>
      </c>
      <c r="C745" s="13" t="s">
        <v>8</v>
      </c>
      <c r="D745" s="90"/>
      <c r="E745" s="90"/>
      <c r="F745" s="90"/>
      <c r="G745" s="90"/>
      <c r="H745" s="104">
        <f>IF(ISERR([1]Профессиональное!I153),"-",[1]Профессиональное!I153)</f>
        <v>100</v>
      </c>
      <c r="I745" s="104">
        <f>IF(ISERR([1]Профессиональное!J153),"-",[1]Профессиональное!J153)</f>
        <v>98.118886380737393</v>
      </c>
      <c r="J745" s="104">
        <f>IF(ISERR([1]Профессиональное!K153),"-",[1]Профессиональное!K153)</f>
        <v>94.610778443113773</v>
      </c>
      <c r="K745" s="104"/>
      <c r="L745" s="104"/>
      <c r="M745" s="104"/>
    </row>
    <row r="746" spans="1:13" s="89" customFormat="1" x14ac:dyDescent="0.25">
      <c r="A746" s="396"/>
      <c r="B746" s="70" t="s">
        <v>2687</v>
      </c>
      <c r="C746" s="13" t="s">
        <v>8</v>
      </c>
      <c r="D746" s="90"/>
      <c r="E746" s="90"/>
      <c r="F746" s="90"/>
      <c r="G746" s="90"/>
      <c r="H746" s="104">
        <f>IF(ISERR([1]Профессиональное!I156),"-",[1]Профессиональное!I156)</f>
        <v>100</v>
      </c>
      <c r="I746" s="104">
        <f>IF(ISERR([1]Профессиональное!J156),"-",[1]Профессиональное!J156)</f>
        <v>100</v>
      </c>
      <c r="J746" s="104">
        <f>IF(ISERR([1]Профессиональное!K156),"-",[1]Профессиональное!K156)</f>
        <v>88.888888888888886</v>
      </c>
      <c r="K746" s="104"/>
      <c r="L746" s="104"/>
      <c r="M746" s="104"/>
    </row>
    <row r="747" spans="1:13" s="89" customFormat="1" x14ac:dyDescent="0.25">
      <c r="A747" s="396"/>
      <c r="B747" s="70" t="s">
        <v>2688</v>
      </c>
      <c r="C747" s="13" t="s">
        <v>8</v>
      </c>
      <c r="D747" s="93">
        <f>IF(ISERR([1]Профессиональное!E159),"-",[1]Профессиональное!E159)</f>
        <v>100</v>
      </c>
      <c r="E747" s="93">
        <f>IF(ISERR([1]Профессиональное!F159),"-",[1]Профессиональное!F159)</f>
        <v>100</v>
      </c>
      <c r="F747" s="93">
        <f>IF(ISERR([1]Профессиональное!G159),"-",[1]Профессиональное!G159)</f>
        <v>100</v>
      </c>
      <c r="G747" s="93">
        <f>IF(ISERR([1]Профессиональное!H159),"-",[1]Профессиональное!H159)</f>
        <v>100</v>
      </c>
      <c r="H747" s="93">
        <f>IF(ISERR([1]Профессиональное!I159),"-",[1]Профессиональное!I159)</f>
        <v>100</v>
      </c>
      <c r="I747" s="93">
        <f>IF(ISERR([1]Профессиональное!J159),"-",[1]Профессиональное!J159)</f>
        <v>98.039215686274503</v>
      </c>
      <c r="J747" s="93">
        <f>IF(ISERR([1]Профессиональное!K159),"-",[1]Профессиональное!K159)</f>
        <v>94.905552375500861</v>
      </c>
      <c r="K747" s="93"/>
      <c r="L747" s="93"/>
      <c r="M747" s="93"/>
    </row>
    <row r="748" spans="1:13" s="89" customFormat="1" ht="90" x14ac:dyDescent="0.25">
      <c r="A748" s="396" t="s">
        <v>1733</v>
      </c>
      <c r="B748" s="70" t="s">
        <v>2559</v>
      </c>
      <c r="C748" s="13"/>
      <c r="D748" s="104"/>
      <c r="E748" s="104"/>
      <c r="F748" s="104"/>
      <c r="G748" s="104"/>
      <c r="H748" s="104"/>
      <c r="I748" s="104"/>
      <c r="J748" s="104"/>
      <c r="K748" s="104"/>
      <c r="L748" s="104"/>
      <c r="M748" s="104"/>
    </row>
    <row r="749" spans="1:13" s="89" customFormat="1" x14ac:dyDescent="0.25">
      <c r="A749" s="396"/>
      <c r="B749" s="70" t="s">
        <v>1296</v>
      </c>
      <c r="C749" s="13" t="s">
        <v>8</v>
      </c>
      <c r="D749" s="104"/>
      <c r="E749" s="104"/>
      <c r="F749" s="104"/>
      <c r="G749" s="104"/>
      <c r="H749" s="93">
        <f>IF(ISERR([1]Профессиональное!I175),"-",[1]Профессиональное!I175)</f>
        <v>45.71</v>
      </c>
      <c r="I749" s="93">
        <f>IF(ISERR([1]Профессиональное!J175),"-",[1]Профессиональное!J175)</f>
        <v>56.25</v>
      </c>
      <c r="J749" s="93">
        <f>IF(ISERR([1]Профессиональное!K175),"-",[1]Профессиональное!K175)</f>
        <v>56.25</v>
      </c>
      <c r="K749" s="93"/>
      <c r="L749" s="93"/>
      <c r="M749" s="93"/>
    </row>
    <row r="750" spans="1:13" s="89" customFormat="1" x14ac:dyDescent="0.25">
      <c r="A750" s="396"/>
      <c r="B750" s="70" t="s">
        <v>1297</v>
      </c>
      <c r="C750" s="13" t="s">
        <v>8</v>
      </c>
      <c r="D750" s="104"/>
      <c r="E750" s="104"/>
      <c r="F750" s="104"/>
      <c r="G750" s="104"/>
      <c r="H750" s="93">
        <f>IF(ISERR([1]Профессиональное!I176),"-",[1]Профессиональное!I176)</f>
        <v>0</v>
      </c>
      <c r="I750" s="93">
        <f>IF(ISERR([1]Профессиональное!J176),"-",[1]Профессиональное!J176)</f>
        <v>0</v>
      </c>
      <c r="J750" s="93">
        <f>IF(ISERR([1]Профессиональное!K176),"-",[1]Профессиональное!K176)</f>
        <v>50</v>
      </c>
      <c r="K750" s="93"/>
      <c r="L750" s="93"/>
      <c r="M750" s="93"/>
    </row>
    <row r="751" spans="1:13" s="89" customFormat="1" ht="45" hidden="1" x14ac:dyDescent="0.25">
      <c r="A751" s="396" t="s">
        <v>1735</v>
      </c>
      <c r="B751" s="70" t="s">
        <v>1736</v>
      </c>
      <c r="C751" s="13" t="s">
        <v>8</v>
      </c>
      <c r="D751" s="104"/>
      <c r="E751" s="104"/>
      <c r="F751" s="104"/>
      <c r="G751" s="104"/>
      <c r="H751" s="104"/>
      <c r="I751" s="104"/>
      <c r="J751" s="104"/>
      <c r="K751" s="104"/>
      <c r="L751" s="104"/>
      <c r="M751" s="104"/>
    </row>
    <row r="752" spans="1:13" s="89" customFormat="1" ht="60" x14ac:dyDescent="0.25">
      <c r="A752" s="99" t="s">
        <v>379</v>
      </c>
      <c r="B752" s="100" t="s">
        <v>2560</v>
      </c>
      <c r="C752" s="87"/>
      <c r="D752" s="90"/>
      <c r="E752" s="90"/>
      <c r="F752" s="90"/>
      <c r="G752" s="90"/>
      <c r="H752" s="90"/>
      <c r="I752" s="90"/>
      <c r="J752" s="90"/>
      <c r="K752" s="90"/>
      <c r="L752" s="90"/>
      <c r="M752" s="90"/>
    </row>
    <row r="753" spans="1:13" s="89" customFormat="1" ht="90" hidden="1" x14ac:dyDescent="0.25">
      <c r="A753" s="13" t="s">
        <v>391</v>
      </c>
      <c r="B753" s="70" t="s">
        <v>381</v>
      </c>
      <c r="C753" s="13"/>
      <c r="D753" s="90"/>
      <c r="E753" s="90"/>
      <c r="F753" s="90"/>
      <c r="G753" s="90"/>
      <c r="H753" s="90"/>
      <c r="I753" s="90"/>
      <c r="J753" s="90"/>
      <c r="K753" s="90"/>
      <c r="L753" s="90"/>
      <c r="M753" s="90"/>
    </row>
    <row r="754" spans="1:13" s="89" customFormat="1" hidden="1" x14ac:dyDescent="0.25">
      <c r="A754" s="13"/>
      <c r="B754" s="70" t="s">
        <v>180</v>
      </c>
      <c r="C754" s="13" t="s">
        <v>8</v>
      </c>
      <c r="D754" s="104">
        <f>IF(ISERR([1]Профессиональное!E230),"-",[1]Профессиональное!E230)</f>
        <v>86.67</v>
      </c>
      <c r="E754" s="104" t="str">
        <f>IF(ISERR([1]Профессиональное!F230),"-",[1]Профессиональное!F230)</f>
        <v>-</v>
      </c>
      <c r="F754" s="104" t="str">
        <f>IF(ISERR([1]Профессиональное!G230),"-",[1]Профессиональное!G230)</f>
        <v>-</v>
      </c>
      <c r="G754" s="104">
        <f>IF(ISERR([1]Профессиональное!H230),"-",[1]Профессиональное!H230)</f>
        <v>80</v>
      </c>
      <c r="H754" s="104">
        <f>IF(ISERR([1]Профессиональное!I230),"-",[1]Профессиональное!I230)</f>
        <v>85.921325051759837</v>
      </c>
      <c r="I754" s="104">
        <f>IF(ISERR([1]Профессиональное!J230),"-",[1]Профессиональное!J230)</f>
        <v>85.921325051759837</v>
      </c>
      <c r="J754" s="104">
        <f>IF(ISERR([1]Профессиональное!M230),"-",[1]Профессиональное!M230)</f>
        <v>0</v>
      </c>
      <c r="K754" s="104"/>
      <c r="L754" s="104"/>
      <c r="M754" s="104"/>
    </row>
    <row r="755" spans="1:13" s="89" customFormat="1" hidden="1" x14ac:dyDescent="0.25">
      <c r="A755" s="13"/>
      <c r="B755" s="70" t="s">
        <v>382</v>
      </c>
      <c r="C755" s="13" t="s">
        <v>8</v>
      </c>
      <c r="D755" s="104">
        <f>IF(ISERR([1]Профессиональное!E231),"-",[1]Профессиональное!E231)</f>
        <v>100</v>
      </c>
      <c r="E755" s="104" t="str">
        <f>IF(ISERR([1]Профессиональное!F231),"-",[1]Профессиональное!F231)</f>
        <v>-</v>
      </c>
      <c r="F755" s="104" t="str">
        <f>IF(ISERR([1]Профессиональное!G231),"-",[1]Профессиональное!G231)</f>
        <v>-</v>
      </c>
      <c r="G755" s="104">
        <f>IF(ISERR([1]Профессиональное!H231),"-",[1]Профессиональное!H231)</f>
        <v>100</v>
      </c>
      <c r="H755" s="104">
        <f>IF(ISERR([1]Профессиональное!I231),"-",[1]Профессиональное!I231)</f>
        <v>93.170731707317074</v>
      </c>
      <c r="I755" s="104">
        <f>IF(ISERR([1]Профессиональное!J231),"-",[1]Профессиональное!J231)</f>
        <v>93.170731707317074</v>
      </c>
      <c r="J755" s="104">
        <f>IF(ISERR([1]Профессиональное!M231),"-",[1]Профессиональное!M231)</f>
        <v>0</v>
      </c>
      <c r="K755" s="104"/>
      <c r="L755" s="104"/>
      <c r="M755" s="104"/>
    </row>
    <row r="756" spans="1:13" s="89" customFormat="1" ht="90" x14ac:dyDescent="0.25">
      <c r="A756" s="13" t="s">
        <v>391</v>
      </c>
      <c r="B756" s="70" t="s">
        <v>1737</v>
      </c>
      <c r="C756" s="13"/>
      <c r="D756" s="90"/>
      <c r="E756" s="90"/>
      <c r="F756" s="90"/>
      <c r="G756" s="90"/>
      <c r="H756" s="90"/>
      <c r="I756" s="90"/>
      <c r="J756" s="90"/>
      <c r="K756" s="90"/>
      <c r="L756" s="90"/>
      <c r="M756" s="90"/>
    </row>
    <row r="757" spans="1:13" s="89" customFormat="1" x14ac:dyDescent="0.25">
      <c r="A757" s="395"/>
      <c r="B757" s="70" t="s">
        <v>1296</v>
      </c>
      <c r="C757" s="13"/>
      <c r="D757" s="90"/>
      <c r="E757" s="90"/>
      <c r="F757" s="90"/>
      <c r="G757" s="90"/>
      <c r="H757" s="90"/>
      <c r="I757" s="90"/>
      <c r="J757" s="90"/>
      <c r="K757" s="90"/>
      <c r="L757" s="90"/>
      <c r="M757" s="90"/>
    </row>
    <row r="758" spans="1:13" s="89" customFormat="1" x14ac:dyDescent="0.25">
      <c r="A758" s="395"/>
      <c r="B758" s="70" t="s">
        <v>2689</v>
      </c>
      <c r="C758" s="13"/>
      <c r="D758" s="90"/>
      <c r="E758" s="90"/>
      <c r="F758" s="90"/>
      <c r="G758" s="90"/>
      <c r="H758" s="90"/>
      <c r="I758" s="90"/>
      <c r="J758" s="90"/>
      <c r="K758" s="90"/>
      <c r="L758" s="90"/>
      <c r="M758" s="90"/>
    </row>
    <row r="759" spans="1:13" s="89" customFormat="1" x14ac:dyDescent="0.25">
      <c r="A759" s="395"/>
      <c r="B759" s="70" t="s">
        <v>2338</v>
      </c>
      <c r="C759" s="13" t="s">
        <v>8</v>
      </c>
      <c r="D759" s="90"/>
      <c r="E759" s="90"/>
      <c r="F759" s="90"/>
      <c r="G759" s="90"/>
      <c r="H759" s="93">
        <f>IF(ISERR([1]Профессиональное!I181),"-",[1]Профессиональное!I181)</f>
        <v>90.706126687435102</v>
      </c>
      <c r="I759" s="93">
        <f>IF(ISERR([1]Профессиональное!J181),"-",[1]Профессиональное!J181)</f>
        <v>91.451292246520879</v>
      </c>
      <c r="J759" s="93">
        <v>90.41</v>
      </c>
      <c r="K759" s="93"/>
      <c r="L759" s="93"/>
      <c r="M759" s="93"/>
    </row>
    <row r="760" spans="1:13" s="89" customFormat="1" x14ac:dyDescent="0.25">
      <c r="A760" s="395"/>
      <c r="B760" s="70" t="s">
        <v>2690</v>
      </c>
      <c r="C760" s="13" t="s">
        <v>8</v>
      </c>
      <c r="D760" s="90"/>
      <c r="E760" s="90"/>
      <c r="F760" s="90"/>
      <c r="G760" s="90"/>
      <c r="H760" s="93">
        <f>IF(ISERR([1]Профессиональное!I184),"-",[1]Профессиональное!I184)</f>
        <v>98.530612244897966</v>
      </c>
      <c r="I760" s="93">
        <f>IF(ISERR([1]Профессиональное!J184),"-",[1]Профессиональное!J184)</f>
        <v>98.428908091123333</v>
      </c>
      <c r="J760" s="93">
        <v>98.06</v>
      </c>
      <c r="K760" s="93"/>
      <c r="L760" s="93"/>
      <c r="M760" s="93"/>
    </row>
    <row r="761" spans="1:13" s="89" customFormat="1" x14ac:dyDescent="0.25">
      <c r="A761" s="395"/>
      <c r="B761" s="70" t="s">
        <v>2691</v>
      </c>
      <c r="C761" s="13" t="s">
        <v>8</v>
      </c>
      <c r="D761" s="90"/>
      <c r="E761" s="90"/>
      <c r="F761" s="90"/>
      <c r="G761" s="90"/>
      <c r="H761" s="93">
        <f>IF(ISERR([1]Профессиональное!I187),"-",[1]Профессиональное!I187)</f>
        <v>66.865671641791053</v>
      </c>
      <c r="I761" s="93">
        <f>IF(ISERR([1]Профессиональное!J187),"-",[1]Профессиональное!J187)</f>
        <v>67.664670658682638</v>
      </c>
      <c r="J761" s="93">
        <v>64.5</v>
      </c>
      <c r="K761" s="93"/>
      <c r="L761" s="93"/>
      <c r="M761" s="93"/>
    </row>
    <row r="762" spans="1:13" s="89" customFormat="1" ht="30" x14ac:dyDescent="0.25">
      <c r="A762" s="395"/>
      <c r="B762" s="29" t="s">
        <v>2092</v>
      </c>
      <c r="C762" s="13"/>
      <c r="D762" s="90"/>
      <c r="E762" s="90"/>
      <c r="F762" s="90"/>
      <c r="G762" s="90"/>
      <c r="H762" s="93"/>
      <c r="I762" s="93"/>
      <c r="J762" s="93"/>
      <c r="K762" s="93"/>
      <c r="L762" s="93"/>
      <c r="M762" s="93"/>
    </row>
    <row r="763" spans="1:13" s="89" customFormat="1" x14ac:dyDescent="0.25">
      <c r="A763" s="395"/>
      <c r="B763" s="70" t="s">
        <v>2338</v>
      </c>
      <c r="C763" s="13" t="s">
        <v>8</v>
      </c>
      <c r="D763" s="90"/>
      <c r="E763" s="90"/>
      <c r="F763" s="90"/>
      <c r="G763" s="90"/>
      <c r="H763" s="93">
        <f>IF(ISERR([1]Профессиональное!I191),"-",[1]Профессиональное!I191)</f>
        <v>8.4631360332294925</v>
      </c>
      <c r="I763" s="93">
        <f>IF(ISERR([1]Профессиональное!J191),"-",[1]Профессиональное!J191)</f>
        <v>8.001988071570576</v>
      </c>
      <c r="J763" s="93">
        <v>9.19</v>
      </c>
      <c r="K763" s="93"/>
      <c r="L763" s="93"/>
      <c r="M763" s="93"/>
    </row>
    <row r="764" spans="1:13" s="89" customFormat="1" x14ac:dyDescent="0.25">
      <c r="A764" s="395"/>
      <c r="B764" s="70" t="s">
        <v>2690</v>
      </c>
      <c r="C764" s="13" t="s">
        <v>8</v>
      </c>
      <c r="D764" s="90"/>
      <c r="E764" s="90"/>
      <c r="F764" s="90"/>
      <c r="G764" s="90"/>
      <c r="H764" s="93">
        <f>IF(ISERR([1]Профессиональное!I194),"-",[1]Профессиональное!I194)</f>
        <v>1.5510204081632653</v>
      </c>
      <c r="I764" s="93">
        <f>IF(ISERR([1]Профессиональное!J194),"-",[1]Профессиональное!J194)</f>
        <v>1.4925373134328357</v>
      </c>
      <c r="J764" s="93">
        <v>1.84</v>
      </c>
      <c r="K764" s="93"/>
      <c r="L764" s="93"/>
      <c r="M764" s="93"/>
    </row>
    <row r="765" spans="1:13" s="89" customFormat="1" x14ac:dyDescent="0.25">
      <c r="A765" s="395"/>
      <c r="B765" s="70" t="s">
        <v>2691</v>
      </c>
      <c r="C765" s="13" t="s">
        <v>8</v>
      </c>
      <c r="D765" s="90"/>
      <c r="E765" s="90"/>
      <c r="F765" s="90"/>
      <c r="G765" s="90"/>
      <c r="H765" s="93">
        <f>IF(ISERR([1]Профессиональное!I197),"-",[1]Профессиональное!I197)</f>
        <v>30.149253731343283</v>
      </c>
      <c r="I765" s="93">
        <f>IF(ISERR([1]Профессиональное!J197),"-",[1]Профессиональное!J197)</f>
        <v>30.538922155688624</v>
      </c>
      <c r="J765" s="93">
        <v>35.18</v>
      </c>
      <c r="K765" s="93"/>
      <c r="L765" s="93"/>
      <c r="M765" s="93"/>
    </row>
    <row r="766" spans="1:13" s="89" customFormat="1" x14ac:dyDescent="0.25">
      <c r="A766" s="395"/>
      <c r="B766" s="70" t="s">
        <v>1297</v>
      </c>
      <c r="C766" s="13"/>
      <c r="D766" s="90"/>
      <c r="E766" s="90"/>
      <c r="F766" s="90"/>
      <c r="G766" s="90"/>
      <c r="H766" s="90"/>
      <c r="I766" s="90"/>
      <c r="J766" s="90"/>
      <c r="K766" s="90"/>
      <c r="L766" s="90"/>
      <c r="M766" s="90"/>
    </row>
    <row r="767" spans="1:13" s="89" customFormat="1" x14ac:dyDescent="0.25">
      <c r="A767" s="395"/>
      <c r="B767" s="70" t="s">
        <v>2689</v>
      </c>
      <c r="C767" s="13"/>
      <c r="D767" s="90"/>
      <c r="E767" s="90"/>
      <c r="F767" s="90"/>
      <c r="G767" s="90"/>
      <c r="H767" s="90"/>
      <c r="I767" s="90"/>
      <c r="J767" s="90"/>
      <c r="K767" s="90"/>
      <c r="L767" s="90"/>
      <c r="M767" s="90"/>
    </row>
    <row r="768" spans="1:13" s="89" customFormat="1" x14ac:dyDescent="0.25">
      <c r="A768" s="395"/>
      <c r="B768" s="70" t="s">
        <v>2338</v>
      </c>
      <c r="C768" s="13" t="s">
        <v>8</v>
      </c>
      <c r="D768" s="90"/>
      <c r="E768" s="90"/>
      <c r="F768" s="90"/>
      <c r="G768" s="90"/>
      <c r="H768" s="93">
        <f>IF(ISERR([1]Профессиональное!I182),"-",[1]Профессиональное!I182)</f>
        <v>97.368421052631575</v>
      </c>
      <c r="I768" s="93">
        <f>IF(ISERR([1]Профессиональное!J182),"-",[1]Профессиональное!J182)</f>
        <v>98.412698412698404</v>
      </c>
      <c r="J768" s="93">
        <f>IF(ISERR([1]Профессиональное!K182),"-",[1]Профессиональное!K182)</f>
        <v>98.76543209876543</v>
      </c>
      <c r="K768" s="93"/>
      <c r="L768" s="93"/>
      <c r="M768" s="93"/>
    </row>
    <row r="769" spans="1:13" s="89" customFormat="1" x14ac:dyDescent="0.25">
      <c r="A769" s="395"/>
      <c r="B769" s="70" t="s">
        <v>2690</v>
      </c>
      <c r="C769" s="13" t="s">
        <v>8</v>
      </c>
      <c r="D769" s="90"/>
      <c r="E769" s="90"/>
      <c r="F769" s="90"/>
      <c r="G769" s="90"/>
      <c r="H769" s="93">
        <f>IF(ISERR([1]Профессиональное!I185),"-",[1]Профессиональное!I185)</f>
        <v>97.142857142857139</v>
      </c>
      <c r="I769" s="93">
        <f>IF(ISERR([1]Профессиональное!J185),"-",[1]Профессиональное!J185)</f>
        <v>100</v>
      </c>
      <c r="J769" s="93">
        <f>IF(ISERR([1]Профессиональное!K185),"-",[1]Профессиональное!K185)</f>
        <v>100</v>
      </c>
      <c r="K769" s="93"/>
      <c r="L769" s="93"/>
      <c r="M769" s="93"/>
    </row>
    <row r="770" spans="1:13" s="89" customFormat="1" x14ac:dyDescent="0.25">
      <c r="A770" s="395"/>
      <c r="B770" s="70" t="s">
        <v>2691</v>
      </c>
      <c r="C770" s="13" t="s">
        <v>8</v>
      </c>
      <c r="D770" s="104"/>
      <c r="E770" s="104"/>
      <c r="F770" s="104"/>
      <c r="G770" s="104"/>
      <c r="H770" s="104" t="str">
        <f>IF(ISERR([1]Профессиональное!I188),"-",[1]Профессиональное!I188)</f>
        <v>-</v>
      </c>
      <c r="I770" s="104" t="str">
        <f>IF(ISERR([1]Профессиональное!J188),"-",[1]Профессиональное!J188)</f>
        <v>-</v>
      </c>
      <c r="J770" s="104">
        <f>IF(ISERR([1]Профессиональное!K188),"-",[1]Профессиональное!K188)</f>
        <v>100</v>
      </c>
      <c r="K770" s="104"/>
      <c r="L770" s="104"/>
      <c r="M770" s="104"/>
    </row>
    <row r="771" spans="1:13" s="89" customFormat="1" ht="30" x14ac:dyDescent="0.25">
      <c r="A771" s="395"/>
      <c r="B771" s="29" t="s">
        <v>2092</v>
      </c>
      <c r="C771" s="13"/>
      <c r="D771" s="104"/>
      <c r="E771" s="104"/>
      <c r="F771" s="104"/>
      <c r="G771" s="104"/>
      <c r="H771" s="104"/>
      <c r="I771" s="104"/>
      <c r="J771" s="104"/>
      <c r="K771" s="104"/>
      <c r="L771" s="104"/>
      <c r="M771" s="104"/>
    </row>
    <row r="772" spans="1:13" s="89" customFormat="1" x14ac:dyDescent="0.25">
      <c r="A772" s="395"/>
      <c r="B772" s="70" t="s">
        <v>2023</v>
      </c>
      <c r="C772" s="13" t="s">
        <v>8</v>
      </c>
      <c r="D772" s="104"/>
      <c r="E772" s="104"/>
      <c r="F772" s="104"/>
      <c r="G772" s="104"/>
      <c r="H772" s="104">
        <f>IF(ISERR([1]Профессиональное!I192),"-",[1]Профессиональное!I192)</f>
        <v>0</v>
      </c>
      <c r="I772" s="104">
        <f>IF(ISERR([1]Профессиональное!J192),"-",[1]Профессиональное!J192)</f>
        <v>1.5873015873015872</v>
      </c>
      <c r="J772" s="104">
        <f>IF(ISERR([1]Профессиональное!K192),"-",[1]Профессиональное!K192)</f>
        <v>1.2345679012345678</v>
      </c>
      <c r="K772" s="104"/>
      <c r="L772" s="104"/>
      <c r="M772" s="104"/>
    </row>
    <row r="773" spans="1:13" s="89" customFormat="1" x14ac:dyDescent="0.25">
      <c r="A773" s="395"/>
      <c r="B773" s="70" t="s">
        <v>2091</v>
      </c>
      <c r="C773" s="13" t="s">
        <v>8</v>
      </c>
      <c r="D773" s="104"/>
      <c r="E773" s="104"/>
      <c r="F773" s="104"/>
      <c r="G773" s="104"/>
      <c r="H773" s="104" t="str">
        <f>IF(ISERR([1]Профессиональное!I195),"-",[1]Профессиональное!I195)</f>
        <v>-</v>
      </c>
      <c r="I773" s="104" t="str">
        <f>IF(ISERR([1]Профессиональное!J195),"-",[1]Профессиональное!J195)</f>
        <v>-</v>
      </c>
      <c r="J773" s="104">
        <f>IF(ISERR([1]Профессиональное!K195),"-",[1]Профессиональное!K195)</f>
        <v>0</v>
      </c>
      <c r="K773" s="104"/>
      <c r="L773" s="104"/>
      <c r="M773" s="104"/>
    </row>
    <row r="774" spans="1:13" s="89" customFormat="1" x14ac:dyDescent="0.25">
      <c r="A774" s="395"/>
      <c r="B774" s="70" t="s">
        <v>2093</v>
      </c>
      <c r="C774" s="13" t="s">
        <v>8</v>
      </c>
      <c r="D774" s="104"/>
      <c r="E774" s="104"/>
      <c r="F774" s="104"/>
      <c r="G774" s="104"/>
      <c r="H774" s="104" t="str">
        <f>IF(ISERR([1]Профессиональное!I198),"-",[1]Профессиональное!I198)</f>
        <v>-</v>
      </c>
      <c r="I774" s="104" t="str">
        <f>IF(ISERR([1]Профессиональное!J198),"-",[1]Профессиональное!J198)</f>
        <v>-</v>
      </c>
      <c r="J774" s="104">
        <f>IF(ISERR([1]Профессиональное!K198),"-",[1]Профессиональное!K198)</f>
        <v>0</v>
      </c>
      <c r="K774" s="104"/>
      <c r="L774" s="104"/>
      <c r="M774" s="104"/>
    </row>
    <row r="775" spans="1:13" s="89" customFormat="1" ht="90" hidden="1" x14ac:dyDescent="0.25">
      <c r="A775" s="13" t="s">
        <v>404</v>
      </c>
      <c r="B775" s="70" t="s">
        <v>399</v>
      </c>
      <c r="C775" s="13"/>
      <c r="D775" s="90"/>
      <c r="E775" s="90"/>
      <c r="F775" s="90"/>
      <c r="G775" s="90"/>
      <c r="H775" s="90"/>
      <c r="I775" s="90"/>
      <c r="J775" s="90"/>
      <c r="K775" s="90"/>
      <c r="L775" s="90"/>
      <c r="M775" s="90"/>
    </row>
    <row r="776" spans="1:13" s="89" customFormat="1" hidden="1" x14ac:dyDescent="0.25">
      <c r="A776" s="396"/>
      <c r="B776" s="70" t="s">
        <v>1126</v>
      </c>
      <c r="C776" s="13" t="s">
        <v>8</v>
      </c>
      <c r="D776" s="104">
        <f>IF(ISERR([1]Профессиональное!E277),"-",[1]Профессиональное!E277)</f>
        <v>10</v>
      </c>
      <c r="E776" s="104" t="str">
        <f>IF(ISERR([1]Профессиональное!F277),"-",[1]Профессиональное!F277)</f>
        <v>-</v>
      </c>
      <c r="F776" s="104" t="str">
        <f>IF(ISERR([1]Профессиональное!G277),"-",[1]Профессиональное!G277)</f>
        <v>-</v>
      </c>
      <c r="G776" s="104">
        <f>IF(ISERR([1]Профессиональное!H277),"-",[1]Профессиональное!H277)</f>
        <v>20</v>
      </c>
      <c r="H776" s="104" t="str">
        <f>IF(ISERR([1]Профессиональное!I277),"-",[1]Профессиональное!I277)</f>
        <v>-</v>
      </c>
      <c r="I776" s="104" t="str">
        <f>IF(ISERR([1]Профессиональное!J277),"-",[1]Профессиональное!J277)</f>
        <v>-</v>
      </c>
      <c r="J776" s="104" t="str">
        <f>IF(ISERR([1]Профессиональное!K277),"-",[1]Профессиональное!K277)</f>
        <v>-</v>
      </c>
      <c r="K776" s="104"/>
      <c r="L776" s="104"/>
      <c r="M776" s="104"/>
    </row>
    <row r="777" spans="1:13" s="89" customFormat="1" hidden="1" x14ac:dyDescent="0.25">
      <c r="A777" s="396"/>
      <c r="B777" s="70" t="s">
        <v>407</v>
      </c>
      <c r="C777" s="13" t="s">
        <v>8</v>
      </c>
      <c r="D777" s="104">
        <f>IF(ISERR([1]Профессиональное!E278),"-",[1]Профессиональное!E278)</f>
        <v>28.89</v>
      </c>
      <c r="E777" s="104" t="str">
        <f>IF(ISERR([1]Профессиональное!F278),"-",[1]Профессиональное!F278)</f>
        <v>-</v>
      </c>
      <c r="F777" s="104" t="str">
        <f>IF(ISERR([1]Профессиональное!G278),"-",[1]Профессиональное!G278)</f>
        <v>-</v>
      </c>
      <c r="G777" s="104">
        <f>IF(ISERR([1]Профессиональное!H278),"-",[1]Профессиональное!H278)</f>
        <v>40</v>
      </c>
      <c r="H777" s="104" t="str">
        <f>IF(ISERR([1]Профессиональное!I278),"-",[1]Профессиональное!I278)</f>
        <v>-</v>
      </c>
      <c r="I777" s="104" t="str">
        <f>IF(ISERR([1]Профессиональное!J278),"-",[1]Профессиональное!J278)</f>
        <v>-</v>
      </c>
      <c r="J777" s="104" t="str">
        <f>IF(ISERR([1]Профессиональное!K278),"-",[1]Профессиональное!K278)</f>
        <v>-</v>
      </c>
      <c r="K777" s="104"/>
      <c r="L777" s="104"/>
      <c r="M777" s="104"/>
    </row>
    <row r="778" spans="1:13" s="89" customFormat="1" ht="75" x14ac:dyDescent="0.25">
      <c r="A778" s="13" t="s">
        <v>392</v>
      </c>
      <c r="B778" s="70" t="s">
        <v>1741</v>
      </c>
      <c r="C778" s="13"/>
      <c r="D778" s="90"/>
      <c r="E778" s="90"/>
      <c r="F778" s="90"/>
      <c r="G778" s="90"/>
      <c r="H778" s="90"/>
      <c r="I778" s="90"/>
      <c r="J778" s="90"/>
      <c r="K778" s="90"/>
      <c r="L778" s="90"/>
      <c r="M778" s="90"/>
    </row>
    <row r="779" spans="1:13" s="89" customFormat="1" x14ac:dyDescent="0.25">
      <c r="A779" s="396"/>
      <c r="B779" s="70" t="s">
        <v>1296</v>
      </c>
      <c r="C779" s="13"/>
      <c r="D779" s="90"/>
      <c r="E779" s="90"/>
      <c r="F779" s="90"/>
      <c r="G779" s="90"/>
      <c r="H779" s="90"/>
      <c r="I779" s="90"/>
      <c r="J779" s="90"/>
      <c r="K779" s="90"/>
      <c r="L779" s="90"/>
      <c r="M779" s="90"/>
    </row>
    <row r="780" spans="1:13" s="89" customFormat="1" x14ac:dyDescent="0.25">
      <c r="A780" s="396"/>
      <c r="B780" s="70" t="s">
        <v>2701</v>
      </c>
      <c r="C780" s="13" t="s">
        <v>8</v>
      </c>
      <c r="D780" s="90"/>
      <c r="E780" s="90"/>
      <c r="F780" s="90"/>
      <c r="G780" s="90"/>
      <c r="H780" s="93">
        <f>IF(ISERR([1]Профессиональное!I261),"-",[1]Профессиональное!I261)</f>
        <v>30.114226375908622</v>
      </c>
      <c r="I780" s="93">
        <f>IF(ISERR([1]Профессиональное!J261),"-",[1]Профессиональное!J261)</f>
        <v>29.473161033797219</v>
      </c>
      <c r="J780" s="93">
        <v>31.92</v>
      </c>
      <c r="K780" s="93"/>
      <c r="L780" s="93"/>
      <c r="M780" s="93"/>
    </row>
    <row r="781" spans="1:13" s="89" customFormat="1" x14ac:dyDescent="0.25">
      <c r="A781" s="396"/>
      <c r="B781" s="70" t="s">
        <v>2702</v>
      </c>
      <c r="C781" s="13" t="s">
        <v>8</v>
      </c>
      <c r="D781" s="90"/>
      <c r="E781" s="90"/>
      <c r="F781" s="90"/>
      <c r="G781" s="90"/>
      <c r="H781" s="93">
        <f>IF(ISERR([1]Профессиональное!I264),"-",[1]Профессиональное!I264)</f>
        <v>24.143302180685357</v>
      </c>
      <c r="I781" s="93">
        <f>IF(ISERR([1]Профессиональное!J264),"-",[1]Профессиональное!J264)</f>
        <v>22.266401590457257</v>
      </c>
      <c r="J781" s="93">
        <v>18.440000000000001</v>
      </c>
      <c r="K781" s="93"/>
      <c r="L781" s="93"/>
      <c r="M781" s="93"/>
    </row>
    <row r="782" spans="1:13" s="89" customFormat="1" x14ac:dyDescent="0.25">
      <c r="A782" s="396"/>
      <c r="B782" s="70" t="s">
        <v>1297</v>
      </c>
      <c r="C782" s="13"/>
      <c r="D782" s="104"/>
      <c r="E782" s="104"/>
      <c r="F782" s="104"/>
      <c r="G782" s="104"/>
      <c r="H782" s="104"/>
      <c r="I782" s="104"/>
      <c r="J782" s="104"/>
      <c r="K782" s="104"/>
      <c r="L782" s="104"/>
      <c r="M782" s="104"/>
    </row>
    <row r="783" spans="1:13" s="89" customFormat="1" x14ac:dyDescent="0.25">
      <c r="A783" s="396"/>
      <c r="B783" s="70" t="s">
        <v>2701</v>
      </c>
      <c r="C783" s="13" t="s">
        <v>8</v>
      </c>
      <c r="D783" s="90"/>
      <c r="E783" s="90"/>
      <c r="F783" s="90"/>
      <c r="G783" s="90"/>
      <c r="H783" s="93">
        <f>IF(ISERR([1]Профессиональное!I262),"-",[1]Профессиональное!I262)</f>
        <v>2.6315789473684208</v>
      </c>
      <c r="I783" s="93">
        <f>IF(ISERR([1]Профессиональное!J262),"-",[1]Профессиональное!J262)</f>
        <v>3.1746031746031744</v>
      </c>
      <c r="J783" s="93">
        <f>IF(ISERR([1]Профессиональное!K262),"-",[1]Профессиональное!K262)</f>
        <v>11.111111111111111</v>
      </c>
      <c r="K783" s="93"/>
      <c r="L783" s="93"/>
      <c r="M783" s="93"/>
    </row>
    <row r="784" spans="1:13" s="89" customFormat="1" x14ac:dyDescent="0.25">
      <c r="A784" s="396"/>
      <c r="B784" s="70" t="s">
        <v>2702</v>
      </c>
      <c r="C784" s="13" t="s">
        <v>8</v>
      </c>
      <c r="D784" s="104"/>
      <c r="E784" s="104"/>
      <c r="F784" s="104"/>
      <c r="G784" s="104"/>
      <c r="H784" s="104">
        <f>IF(ISERR([1]Профессиональное!I265),"-",[1]Профессиональное!I265)</f>
        <v>47.368421052631575</v>
      </c>
      <c r="I784" s="104">
        <f>IF(ISERR([1]Профессиональное!J265),"-",[1]Профессиональное!J265)</f>
        <v>25.396825396825395</v>
      </c>
      <c r="J784" s="104">
        <f>IF(ISERR([1]Профессиональное!K265),"-",[1]Профессиональное!K265)</f>
        <v>18.518518518518519</v>
      </c>
      <c r="K784" s="104"/>
      <c r="L784" s="104"/>
      <c r="M784" s="104"/>
    </row>
    <row r="785" spans="1:13" s="89" customFormat="1" ht="75" x14ac:dyDescent="0.25">
      <c r="A785" s="13" t="s">
        <v>404</v>
      </c>
      <c r="B785" s="70" t="s">
        <v>1742</v>
      </c>
      <c r="C785" s="87"/>
      <c r="D785" s="90"/>
      <c r="E785" s="90"/>
      <c r="F785" s="90"/>
      <c r="G785" s="90"/>
      <c r="H785" s="90"/>
      <c r="I785" s="90"/>
      <c r="J785" s="90"/>
      <c r="K785" s="90"/>
      <c r="L785" s="90"/>
      <c r="M785" s="90"/>
    </row>
    <row r="786" spans="1:13" s="89" customFormat="1" x14ac:dyDescent="0.25">
      <c r="A786" s="396"/>
      <c r="B786" s="70" t="s">
        <v>1296</v>
      </c>
      <c r="C786" s="87"/>
      <c r="D786" s="93"/>
      <c r="E786" s="93"/>
      <c r="F786" s="93"/>
      <c r="G786" s="90"/>
      <c r="H786" s="90"/>
      <c r="I786" s="90"/>
      <c r="J786" s="90"/>
      <c r="K786" s="90"/>
      <c r="L786" s="90"/>
      <c r="M786" s="90"/>
    </row>
    <row r="787" spans="1:13" s="89" customFormat="1" x14ac:dyDescent="0.25">
      <c r="A787" s="396"/>
      <c r="B787" s="70" t="s">
        <v>2703</v>
      </c>
      <c r="C787" s="13" t="s">
        <v>8</v>
      </c>
      <c r="D787" s="93">
        <f>IF(ISERR([1]Профессиональное!E308),"-",[1]Профессиональное!E308)</f>
        <v>12.93</v>
      </c>
      <c r="E787" s="93" t="str">
        <f>IF(ISERR([1]Профессиональное!F308),"-",[1]Профессиональное!F308)</f>
        <v>-</v>
      </c>
      <c r="F787" s="93" t="str">
        <f>IF(ISERR([1]Профессиональное!G308),"-",[1]Профессиональное!G308)</f>
        <v>-</v>
      </c>
      <c r="G787" s="93">
        <f>IF(ISERR([1]Профессиональное!H309),"-",[1]Профессиональное!H309)</f>
        <v>11.85</v>
      </c>
      <c r="H787" s="93">
        <f>IF(ISERR([1]Профессиональное!I309),"-",[1]Профессиональное!I309)</f>
        <v>20.39971448965025</v>
      </c>
      <c r="I787" s="93">
        <f>IF(ISERR([1]Профессиональное!J309),"-",[1]Профессиональное!J309)</f>
        <v>17.949375200256327</v>
      </c>
      <c r="J787" s="93">
        <f>IF(ISERR([1]Профессиональное!K309),"-",[1]Профессиональное!K309)</f>
        <v>12.049791620969511</v>
      </c>
      <c r="K787" s="93"/>
      <c r="L787" s="93"/>
      <c r="M787" s="93"/>
    </row>
    <row r="788" spans="1:13" s="89" customFormat="1" x14ac:dyDescent="0.25">
      <c r="A788" s="396"/>
      <c r="B788" s="70" t="s">
        <v>2704</v>
      </c>
      <c r="C788" s="13" t="s">
        <v>8</v>
      </c>
      <c r="D788" s="93">
        <f>IF(ISERR([1]Профессиональное!E333),"-",[1]Профессиональное!E333)</f>
        <v>8.0299999999999994</v>
      </c>
      <c r="E788" s="93">
        <f>IF(ISERR([1]Профессиональное!F333),"-",[1]Профессиональное!F333)</f>
        <v>8.31</v>
      </c>
      <c r="F788" s="93">
        <f>IF(ISERR([1]Профессиональное!G333),"-",[1]Профессиональное!G333)</f>
        <v>7.79</v>
      </c>
      <c r="G788" s="93">
        <f>IF(ISERR([1]Профессиональное!H334),"-",[1]Профессиональное!H334)</f>
        <v>14.35</v>
      </c>
      <c r="H788" s="93">
        <f>IF(ISERR([1]Профессиональное!I334),"-",[1]Профессиональное!I334)</f>
        <v>20.127066017005827</v>
      </c>
      <c r="I788" s="93">
        <f>IF(ISERR([1]Профессиональное!J334),"-",[1]Профессиональное!J334)</f>
        <v>16.048686358913461</v>
      </c>
      <c r="J788" s="93">
        <f>IF(ISERR([1]Профессиональное!K334),"-",[1]Профессиональное!K334)</f>
        <v>14.375574637869718</v>
      </c>
      <c r="K788" s="93"/>
      <c r="L788" s="93"/>
      <c r="M788" s="93"/>
    </row>
    <row r="789" spans="1:13" s="89" customFormat="1" x14ac:dyDescent="0.25">
      <c r="A789" s="396"/>
      <c r="B789" s="70" t="s">
        <v>1297</v>
      </c>
      <c r="C789" s="13"/>
      <c r="D789" s="93"/>
      <c r="E789" s="93"/>
      <c r="F789" s="93"/>
      <c r="G789" s="93"/>
      <c r="H789" s="93"/>
      <c r="I789" s="93"/>
      <c r="J789" s="93"/>
      <c r="K789" s="93"/>
      <c r="L789" s="93"/>
      <c r="M789" s="93"/>
    </row>
    <row r="790" spans="1:13" s="89" customFormat="1" x14ac:dyDescent="0.25">
      <c r="A790" s="394"/>
      <c r="B790" s="70" t="s">
        <v>2703</v>
      </c>
      <c r="C790" s="13" t="s">
        <v>8</v>
      </c>
      <c r="D790" s="104"/>
      <c r="E790" s="104"/>
      <c r="F790" s="104"/>
      <c r="G790" s="104">
        <f>IF(ISERR([1]Профессиональное!H310),"-",[1]Профессиональное!H310)</f>
        <v>0</v>
      </c>
      <c r="H790" s="104" t="str">
        <f>IF(ISERR([1]Профессиональное!I310),"-",[1]Профессиональное!I310)</f>
        <v>-</v>
      </c>
      <c r="I790" s="104" t="str">
        <f>IF(ISERR([1]Профессиональное!J310),"-",[1]Профессиональное!J310)</f>
        <v>-</v>
      </c>
      <c r="J790" s="104">
        <f>IF(ISERR([1]Профессиональное!K310),"-",[1]Профессиональное!K310)</f>
        <v>10.112359550561797</v>
      </c>
      <c r="K790" s="104"/>
      <c r="L790" s="104"/>
      <c r="M790" s="104"/>
    </row>
    <row r="791" spans="1:13" s="89" customFormat="1" x14ac:dyDescent="0.25">
      <c r="A791" s="394"/>
      <c r="B791" s="70" t="s">
        <v>2704</v>
      </c>
      <c r="C791" s="13" t="s">
        <v>8</v>
      </c>
      <c r="D791" s="104"/>
      <c r="E791" s="104"/>
      <c r="F791" s="104"/>
      <c r="G791" s="104">
        <f>IF(ISERR([1]Профессиональное!H335),"-",[1]Профессиональное!H335)</f>
        <v>17.66</v>
      </c>
      <c r="H791" s="104" t="str">
        <f>IF(ISERR([1]Профессиональное!I335),"-",[1]Профессиональное!I335)</f>
        <v>-</v>
      </c>
      <c r="I791" s="104">
        <f>IF(ISERR([1]Профессиональное!J335),"-",[1]Профессиональное!J335)</f>
        <v>128.75536480686696</v>
      </c>
      <c r="J791" s="104">
        <f>IF(ISERR([1]Профессиональное!K335),"-",[1]Профессиональное!K335)</f>
        <v>18.12012195121951</v>
      </c>
      <c r="K791" s="104"/>
      <c r="L791" s="104"/>
      <c r="M791" s="104"/>
    </row>
    <row r="792" spans="1:13" s="89" customFormat="1" ht="105" x14ac:dyDescent="0.25">
      <c r="A792" s="13" t="s">
        <v>357</v>
      </c>
      <c r="B792" s="70" t="s">
        <v>1743</v>
      </c>
      <c r="C792" s="13" t="s">
        <v>8</v>
      </c>
      <c r="D792" s="90" t="str">
        <f>IF(ISERR([1]Профессиональное!E348),"-",[1]Профессиональное!E348)</f>
        <v>-</v>
      </c>
      <c r="E792" s="93">
        <f>IF(ISERR([1]Профессиональное!F348),"-",[1]Профессиональное!F348)</f>
        <v>106.5</v>
      </c>
      <c r="F792" s="93">
        <f>IF(ISERR([1]Профессиональное!G348),"-",[1]Профессиональное!G348)</f>
        <v>109.9</v>
      </c>
      <c r="G792" s="93">
        <f>IF(ISERR([1]Профессиональное!H348),"-",[1]Профессиональное!H348)</f>
        <v>109.14</v>
      </c>
      <c r="H792" s="93">
        <f>IF(ISERR([1]Профессиональное!I348),"-",[1]Профессиональное!I348)</f>
        <v>106.17</v>
      </c>
      <c r="I792" s="93">
        <f>IF(ISERR([1]Профессиональное!J348),"-",[1]Профессиональное!J348)</f>
        <v>102.84</v>
      </c>
      <c r="J792" s="93">
        <f>IF(ISERR([1]Профессиональное!K348),"-",[1]Профессиональное!K348)</f>
        <v>106.35</v>
      </c>
      <c r="K792" s="93"/>
      <c r="L792" s="93"/>
      <c r="M792" s="93"/>
    </row>
    <row r="793" spans="1:13" s="89" customFormat="1" ht="90" x14ac:dyDescent="0.25">
      <c r="A793" s="77" t="s">
        <v>413</v>
      </c>
      <c r="B793" s="80" t="s">
        <v>2561</v>
      </c>
      <c r="C793" s="13"/>
      <c r="D793" s="90"/>
      <c r="E793" s="90"/>
      <c r="F793" s="90"/>
      <c r="G793" s="90"/>
      <c r="H793" s="90"/>
      <c r="I793" s="90"/>
      <c r="J793" s="90"/>
      <c r="K793" s="90"/>
      <c r="L793" s="90"/>
      <c r="M793" s="90"/>
    </row>
    <row r="794" spans="1:13" s="89" customFormat="1" x14ac:dyDescent="0.25">
      <c r="A794" s="77"/>
      <c r="B794" s="70" t="s">
        <v>1301</v>
      </c>
      <c r="C794" s="13" t="s">
        <v>8</v>
      </c>
      <c r="D794" s="90"/>
      <c r="E794" s="90"/>
      <c r="F794" s="90"/>
      <c r="G794" s="90"/>
      <c r="H794" s="93">
        <f>IF(ISERR([1]Профессиональное!I367),"-",[1]Профессиональное!I367)</f>
        <v>13.551401869158877</v>
      </c>
      <c r="I794" s="93">
        <f>IF(ISERR([1]Профессиональное!J367),"-",[1]Профессиональное!J367)</f>
        <v>9.393638170974155</v>
      </c>
      <c r="J794" s="93">
        <v>7.5</v>
      </c>
      <c r="K794" s="93"/>
      <c r="L794" s="93"/>
      <c r="M794" s="93"/>
    </row>
    <row r="795" spans="1:13" s="89" customFormat="1" x14ac:dyDescent="0.25">
      <c r="A795" s="77"/>
      <c r="B795" s="70" t="s">
        <v>1302</v>
      </c>
      <c r="C795" s="13" t="s">
        <v>8</v>
      </c>
      <c r="D795" s="90"/>
      <c r="E795" s="90"/>
      <c r="F795" s="90"/>
      <c r="G795" s="90"/>
      <c r="H795" s="93">
        <f>IF(ISERR([1]Профессиональное!I368),"-",[1]Профессиональное!I368)</f>
        <v>0</v>
      </c>
      <c r="I795" s="93">
        <f>IF(ISERR([1]Профессиональное!J368),"-",[1]Профессиональное!J368)</f>
        <v>26.984126984126984</v>
      </c>
      <c r="J795" s="93">
        <f>IF(ISERR([1]Профессиональное!K368),"-",[1]Профессиональное!K368)</f>
        <v>28.39506172839506</v>
      </c>
      <c r="K795" s="93"/>
      <c r="L795" s="93"/>
      <c r="M795" s="93"/>
    </row>
    <row r="796" spans="1:13" s="89" customFormat="1" ht="90" x14ac:dyDescent="0.25">
      <c r="A796" s="77" t="s">
        <v>433</v>
      </c>
      <c r="B796" s="80" t="s">
        <v>2562</v>
      </c>
      <c r="C796" s="13"/>
      <c r="D796" s="90"/>
      <c r="E796" s="90"/>
      <c r="F796" s="90"/>
      <c r="G796" s="90"/>
      <c r="H796" s="90"/>
      <c r="I796" s="90"/>
      <c r="J796" s="90"/>
      <c r="K796" s="90"/>
      <c r="L796" s="90"/>
      <c r="M796" s="90"/>
    </row>
    <row r="797" spans="1:13" s="89" customFormat="1" x14ac:dyDescent="0.25">
      <c r="A797" s="77"/>
      <c r="B797" s="70" t="s">
        <v>1301</v>
      </c>
      <c r="C797" s="13" t="s">
        <v>8</v>
      </c>
      <c r="D797" s="90"/>
      <c r="E797" s="90"/>
      <c r="F797" s="90"/>
      <c r="G797" s="90"/>
      <c r="H797" s="93">
        <f>IF(ISERR([1]Профессиональное!I376),"-",[1]Профессиональное!I376)</f>
        <v>6.12668743509865</v>
      </c>
      <c r="I797" s="93">
        <f>IF(ISERR([1]Профессиональное!J376),"-",[1]Профессиональное!J376)</f>
        <v>4.1749502982107352</v>
      </c>
      <c r="J797" s="93">
        <v>7.72</v>
      </c>
      <c r="K797" s="93"/>
      <c r="L797" s="93"/>
      <c r="M797" s="93"/>
    </row>
    <row r="798" spans="1:13" s="89" customFormat="1" x14ac:dyDescent="0.25">
      <c r="A798" s="77"/>
      <c r="B798" s="70" t="s">
        <v>1302</v>
      </c>
      <c r="C798" s="13" t="s">
        <v>8</v>
      </c>
      <c r="D798" s="90"/>
      <c r="E798" s="90"/>
      <c r="F798" s="90"/>
      <c r="G798" s="90"/>
      <c r="H798" s="93">
        <f>IF(ISERR([1]Профессиональное!I377),"-",[1]Профессиональное!I377)</f>
        <v>0</v>
      </c>
      <c r="I798" s="93">
        <f>IF(ISERR([1]Профессиональное!J377),"-",[1]Профессиональное!J377)</f>
        <v>0</v>
      </c>
      <c r="J798" s="93">
        <v>0</v>
      </c>
      <c r="K798" s="93"/>
      <c r="L798" s="93"/>
      <c r="M798" s="93"/>
    </row>
    <row r="799" spans="1:13" s="89" customFormat="1" ht="45" hidden="1" x14ac:dyDescent="0.25">
      <c r="A799" s="13" t="s">
        <v>446</v>
      </c>
      <c r="B799" s="80" t="s">
        <v>1453</v>
      </c>
      <c r="C799" s="13" t="s">
        <v>8</v>
      </c>
      <c r="D799" s="90">
        <f>IF(ISERR([1]Профессиональное!E358),"-",[1]Профессиональное!E358)</f>
        <v>0</v>
      </c>
      <c r="E799" s="90">
        <f>IF(ISERR([1]Профессиональное!F358),"-",[1]Профессиональное!F358)</f>
        <v>0</v>
      </c>
      <c r="F799" s="90">
        <f>IF(ISERR([1]Профессиональное!G358),"-",[1]Профессиональное!G358)</f>
        <v>0</v>
      </c>
      <c r="G799" s="90">
        <f>IF(ISERR([1]Профессиональное!H358),"-",[1]Профессиональное!H358)</f>
        <v>0</v>
      </c>
      <c r="H799" s="90">
        <f>IF(ISERR([1]Профессиональное!I358),"-",[1]Профессиональное!I358)</f>
        <v>0</v>
      </c>
      <c r="I799" s="90">
        <f>IF(ISERR([1]Профессиональное!J358),"-",[1]Профессиональное!J358)</f>
        <v>0</v>
      </c>
      <c r="J799" s="90" t="str">
        <f>IF(ISERR([1]Профессиональное!M358),"-",[1]Профессиональное!M358)</f>
        <v>Российская Федерация</v>
      </c>
      <c r="K799" s="90"/>
      <c r="L799" s="90"/>
      <c r="M799" s="90"/>
    </row>
    <row r="800" spans="1:13" s="89" customFormat="1" ht="75" hidden="1" x14ac:dyDescent="0.25">
      <c r="A800" s="13" t="s">
        <v>447</v>
      </c>
      <c r="B800" s="80" t="s">
        <v>1957</v>
      </c>
      <c r="C800" s="13" t="s">
        <v>8</v>
      </c>
      <c r="D800" s="90">
        <f>IF(ISERR([1]Профессиональное!E359),"-",[1]Профессиональное!E359)</f>
        <v>0</v>
      </c>
      <c r="E800" s="90">
        <f>IF(ISERR([1]Профессиональное!F359),"-",[1]Профессиональное!F359)</f>
        <v>0</v>
      </c>
      <c r="F800" s="90">
        <f>IF(ISERR([1]Профессиональное!G359),"-",[1]Профессиональное!G359)</f>
        <v>0</v>
      </c>
      <c r="G800" s="90">
        <f>IF(ISERR([1]Профессиональное!H359),"-",[1]Профессиональное!H359)</f>
        <v>0</v>
      </c>
      <c r="H800" s="90">
        <f>IF(ISERR([1]Профессиональное!I359),"-",[1]Профессиональное!I359)</f>
        <v>0</v>
      </c>
      <c r="I800" s="90">
        <f>IF(ISERR([1]Профессиональное!J359),"-",[1]Профессиональное!J359)</f>
        <v>0</v>
      </c>
      <c r="J800" s="90" t="str">
        <f>IF(ISERR([1]Профессиональное!M359),"-",[1]Профессиональное!M359)</f>
        <v>Российская Федерация</v>
      </c>
      <c r="K800" s="90"/>
      <c r="L800" s="90"/>
      <c r="M800" s="90"/>
    </row>
    <row r="801" spans="1:13" s="89" customFormat="1" ht="60" x14ac:dyDescent="0.25">
      <c r="A801" s="99" t="s">
        <v>448</v>
      </c>
      <c r="B801" s="100" t="s">
        <v>449</v>
      </c>
      <c r="C801" s="13"/>
      <c r="D801" s="90"/>
      <c r="E801" s="90"/>
      <c r="F801" s="90"/>
      <c r="G801" s="90"/>
      <c r="H801" s="90"/>
      <c r="I801" s="90"/>
      <c r="J801" s="90"/>
      <c r="K801" s="90"/>
      <c r="L801" s="90"/>
      <c r="M801" s="90"/>
    </row>
    <row r="802" spans="1:13" s="89" customFormat="1" ht="60" x14ac:dyDescent="0.25">
      <c r="A802" s="13" t="s">
        <v>451</v>
      </c>
      <c r="B802" s="70" t="s">
        <v>1958</v>
      </c>
      <c r="C802" s="13"/>
      <c r="D802" s="90"/>
      <c r="E802" s="90"/>
      <c r="F802" s="90"/>
      <c r="G802" s="90"/>
      <c r="H802" s="90"/>
      <c r="I802" s="90"/>
      <c r="J802" s="90"/>
      <c r="K802" s="90"/>
      <c r="L802" s="90"/>
      <c r="M802" s="90"/>
    </row>
    <row r="803" spans="1:13" s="89" customFormat="1" x14ac:dyDescent="0.25">
      <c r="A803" s="13"/>
      <c r="B803" s="70" t="s">
        <v>1296</v>
      </c>
      <c r="C803" s="13"/>
      <c r="D803" s="90"/>
      <c r="E803" s="90"/>
      <c r="F803" s="90"/>
      <c r="G803" s="90"/>
      <c r="H803" s="90"/>
      <c r="I803" s="90"/>
      <c r="J803" s="93">
        <v>96.99</v>
      </c>
      <c r="K803" s="93"/>
      <c r="L803" s="93"/>
      <c r="M803" s="93"/>
    </row>
    <row r="804" spans="1:13" s="89" customFormat="1" x14ac:dyDescent="0.25">
      <c r="A804" s="13"/>
      <c r="B804" s="70" t="s">
        <v>2687</v>
      </c>
      <c r="C804" s="13" t="s">
        <v>8</v>
      </c>
      <c r="D804" s="90"/>
      <c r="E804" s="90"/>
      <c r="F804" s="90"/>
      <c r="G804" s="90"/>
      <c r="H804" s="93">
        <f>IF(ISERR([1]Профессиональное!I387),"-",[1]Профессиональное!I387)</f>
        <v>87.891440501043832</v>
      </c>
      <c r="I804" s="93">
        <f>IF(ISERR([1]Профессиональное!J387),"-",[1]Профессиональное!J387)</f>
        <v>94.594594594594597</v>
      </c>
      <c r="J804" s="93">
        <f>IF(ISERR([1]Профессиональное!K387),"-",[1]Профессиональное!K387)</f>
        <v>96.991929567131336</v>
      </c>
      <c r="K804" s="93"/>
      <c r="L804" s="93"/>
      <c r="M804" s="93"/>
    </row>
    <row r="805" spans="1:13" s="89" customFormat="1" x14ac:dyDescent="0.25">
      <c r="A805" s="13"/>
      <c r="B805" s="70" t="s">
        <v>2688</v>
      </c>
      <c r="C805" s="13" t="s">
        <v>8</v>
      </c>
      <c r="D805" s="93">
        <f>IF(ISERR([1]Профессиональное!E396),"-",[1]Профессиональное!E396)</f>
        <v>85.94</v>
      </c>
      <c r="E805" s="93">
        <f>IF(ISERR([1]Профессиональное!F396),"-",[1]Профессиональное!F396)</f>
        <v>88.349195930423363</v>
      </c>
      <c r="F805" s="93">
        <f>IF(ISERR([1]Профессиональное!G396),"-",[1]Профессиональное!G396)</f>
        <v>89.381153305203938</v>
      </c>
      <c r="G805" s="93">
        <f>IF(ISERR([1]Профессиональное!H396),"-",[1]Профессиональное!H396)</f>
        <v>89.94</v>
      </c>
      <c r="H805" s="93">
        <f>IF(ISERR([1]Профессиональное!I396),"-",[1]Профессиональное!I396)</f>
        <v>93.274929141973715</v>
      </c>
      <c r="I805" s="93">
        <f>IF(ISERR([1]Профессиональное!J396),"-",[1]Профессиональное!J396)</f>
        <v>91.047120418848166</v>
      </c>
      <c r="J805" s="93">
        <f>IF(ISERR([1]Профессиональное!K396),"-",[1]Профессиональное!K396)</f>
        <v>96.684491978609628</v>
      </c>
      <c r="K805" s="93"/>
      <c r="L805" s="93"/>
      <c r="M805" s="93"/>
    </row>
    <row r="806" spans="1:13" s="89" customFormat="1" x14ac:dyDescent="0.25">
      <c r="A806" s="13"/>
      <c r="B806" s="70" t="s">
        <v>1297</v>
      </c>
      <c r="C806" s="13"/>
      <c r="D806" s="90"/>
      <c r="E806" s="90"/>
      <c r="F806" s="90"/>
      <c r="G806" s="90"/>
      <c r="H806" s="90"/>
      <c r="I806" s="90"/>
      <c r="J806" s="93">
        <v>0</v>
      </c>
      <c r="K806" s="104"/>
      <c r="L806" s="104"/>
      <c r="M806" s="104"/>
    </row>
    <row r="807" spans="1:13" s="89" customFormat="1" x14ac:dyDescent="0.25">
      <c r="A807" s="13"/>
      <c r="B807" s="70" t="s">
        <v>2687</v>
      </c>
      <c r="C807" s="13" t="s">
        <v>8</v>
      </c>
      <c r="D807" s="104"/>
      <c r="E807" s="104"/>
      <c r="F807" s="104"/>
      <c r="G807" s="104"/>
      <c r="H807" s="104" t="str">
        <f>IF(ISERR([1]Профессиональное!I388),"-",[1]Профессиональное!I388)</f>
        <v>-</v>
      </c>
      <c r="I807" s="104" t="str">
        <f>IF(ISERR([1]Профессиональное!J388),"-",[1]Профессиональное!J388)</f>
        <v>-</v>
      </c>
      <c r="J807" s="104" t="str">
        <f>IF(ISERR([1]Профессиональное!K388),"-",[1]Профессиональное!K388)</f>
        <v>-</v>
      </c>
      <c r="K807" s="104"/>
      <c r="L807" s="104"/>
      <c r="M807" s="104"/>
    </row>
    <row r="808" spans="1:13" s="89" customFormat="1" x14ac:dyDescent="0.25">
      <c r="A808" s="13"/>
      <c r="B808" s="70" t="s">
        <v>2688</v>
      </c>
      <c r="C808" s="13" t="s">
        <v>8</v>
      </c>
      <c r="D808" s="104">
        <f>IF(ISERR([1]Профессиональное!E397),"-",[1]Профессиональное!E397)</f>
        <v>0</v>
      </c>
      <c r="E808" s="104" t="str">
        <f>IF(ISERR([1]Профессиональное!F397),"-",[1]Профессиональное!F397)</f>
        <v>-</v>
      </c>
      <c r="F808" s="104" t="str">
        <f>IF(ISERR([1]Профессиональное!G397),"-",[1]Профессиональное!G397)</f>
        <v>-</v>
      </c>
      <c r="G808" s="104">
        <f>IF(ISERR([1]Профессиональное!H397),"-",[1]Профессиональное!H397)</f>
        <v>0</v>
      </c>
      <c r="H808" s="104">
        <f>IF(ISERR([1]Профессиональное!I397),"-",[1]Профессиональное!I397)</f>
        <v>100</v>
      </c>
      <c r="I808" s="104" t="str">
        <f>IF(ISERR([1]Профессиональное!J397),"-",[1]Профессиональное!J397)</f>
        <v>-</v>
      </c>
      <c r="J808" s="104" t="str">
        <f>IF(ISERR([1]Профессиональное!K397),"-",[1]Профессиональное!K397)</f>
        <v>-</v>
      </c>
      <c r="K808" s="104"/>
      <c r="L808" s="104"/>
      <c r="M808" s="104"/>
    </row>
    <row r="809" spans="1:13" s="89" customFormat="1" ht="30" x14ac:dyDescent="0.25">
      <c r="A809" s="13" t="s">
        <v>454</v>
      </c>
      <c r="B809" s="70" t="s">
        <v>1961</v>
      </c>
      <c r="C809" s="13"/>
      <c r="D809" s="90"/>
      <c r="E809" s="90"/>
      <c r="F809" s="90"/>
      <c r="G809" s="90"/>
      <c r="H809" s="90"/>
      <c r="I809" s="90"/>
      <c r="J809" s="90"/>
      <c r="K809" s="90"/>
      <c r="L809" s="90"/>
      <c r="M809" s="90"/>
    </row>
    <row r="810" spans="1:13" s="89" customFormat="1" x14ac:dyDescent="0.25">
      <c r="A810" s="13"/>
      <c r="B810" s="70" t="s">
        <v>1301</v>
      </c>
      <c r="C810" s="13" t="s">
        <v>8</v>
      </c>
      <c r="D810" s="104">
        <f>IF(ISERR([1]Профессиональное!E405),"-",[1]Профессиональное!E405)</f>
        <v>162.6</v>
      </c>
      <c r="E810" s="104">
        <f>IF(ISERR([1]Профессиональное!F405),"-",[1]Профессиональное!F405)</f>
        <v>162.13</v>
      </c>
      <c r="F810" s="104">
        <f>IF(ISERR([1]Профессиональное!G405),"-",[1]Профессиональное!G405)</f>
        <v>156.47999999999999</v>
      </c>
      <c r="G810" s="104">
        <f>IF(ISERR([1]Профессиональное!H405),"-",[1]Профессиональное!H405)</f>
        <v>125.98</v>
      </c>
      <c r="H810" s="104">
        <f>IF(ISERR([1]Профессиональное!I405),"-",[1]Профессиональное!I405)</f>
        <v>88.431134373350474</v>
      </c>
      <c r="I810" s="104">
        <f>IF(ISERR([1]Профессиональное!J405),"-",[1]Профессиональное!J405)</f>
        <v>83.097880928355195</v>
      </c>
      <c r="J810" s="104">
        <v>113.03</v>
      </c>
      <c r="K810" s="104"/>
      <c r="L810" s="104"/>
      <c r="M810" s="104"/>
    </row>
    <row r="811" spans="1:13" s="89" customFormat="1" x14ac:dyDescent="0.25">
      <c r="A811" s="13"/>
      <c r="B811" s="70" t="s">
        <v>1302</v>
      </c>
      <c r="C811" s="13" t="s">
        <v>8</v>
      </c>
      <c r="D811" s="104">
        <f>IF(ISERR([1]Профессиональное!E406),"-",[1]Профессиональное!E406)</f>
        <v>85.14</v>
      </c>
      <c r="E811" s="104">
        <f>IF(ISERR([1]Профессиональное!F406),"-",[1]Профессиональное!F406)</f>
        <v>797.45</v>
      </c>
      <c r="F811" s="104">
        <f>IF(ISERR([1]Профессиональное!G406),"-",[1]Профессиональное!G406)</f>
        <v>85.25</v>
      </c>
      <c r="G811" s="104">
        <f>IF(ISERR([1]Профессиональное!H406),"-",[1]Профессиональное!H406)</f>
        <v>94.19</v>
      </c>
      <c r="H811" s="104">
        <f>IF(ISERR([1]Профессиональное!I406),"-",[1]Профессиональное!I406)</f>
        <v>325.47097564711282</v>
      </c>
      <c r="I811" s="104">
        <f>IF(ISERR([1]Профессиональное!J406),"-",[1]Профессиональное!J406)</f>
        <v>4847.6454293628813</v>
      </c>
      <c r="J811" s="104">
        <v>128.09</v>
      </c>
      <c r="K811" s="104"/>
      <c r="L811" s="104"/>
      <c r="M811" s="104"/>
    </row>
    <row r="812" spans="1:13" s="89" customFormat="1" ht="60" x14ac:dyDescent="0.25">
      <c r="A812" s="13" t="s">
        <v>691</v>
      </c>
      <c r="B812" s="70" t="s">
        <v>1963</v>
      </c>
      <c r="C812" s="13"/>
      <c r="D812" s="104"/>
      <c r="E812" s="104"/>
      <c r="F812" s="104"/>
      <c r="G812" s="104"/>
      <c r="H812" s="104"/>
      <c r="I812" s="104"/>
      <c r="J812" s="104"/>
      <c r="K812" s="104"/>
      <c r="L812" s="104"/>
      <c r="M812" s="104"/>
    </row>
    <row r="813" spans="1:13" s="89" customFormat="1" x14ac:dyDescent="0.25">
      <c r="A813" s="395"/>
      <c r="B813" s="70" t="s">
        <v>1296</v>
      </c>
      <c r="C813" s="13"/>
      <c r="D813" s="104"/>
      <c r="E813" s="104"/>
      <c r="F813" s="104"/>
      <c r="G813" s="104"/>
      <c r="H813" s="104"/>
      <c r="I813" s="104"/>
      <c r="J813" s="104"/>
      <c r="K813" s="104"/>
      <c r="L813" s="104"/>
      <c r="M813" s="104"/>
    </row>
    <row r="814" spans="1:13" s="89" customFormat="1" x14ac:dyDescent="0.25">
      <c r="A814" s="395"/>
      <c r="B814" s="70" t="s">
        <v>2023</v>
      </c>
      <c r="C814" s="13" t="s">
        <v>1112</v>
      </c>
      <c r="D814" s="104"/>
      <c r="E814" s="104"/>
      <c r="F814" s="104"/>
      <c r="G814" s="104"/>
      <c r="H814" s="104">
        <f>IF(ISERR([1]Профессиональное!I415),"-",[1]Профессиональное!I415)</f>
        <v>21.151201321777016</v>
      </c>
      <c r="I814" s="104">
        <f>IF(ISERR([1]Профессиональное!J415),"-",[1]Профессиональное!J415)</f>
        <v>21.639807276956304</v>
      </c>
      <c r="J814" s="104">
        <f>IF(ISERR([1]Профессиональное!K415),"-",[1]Профессиональное!K415)</f>
        <v>25.14656331863404</v>
      </c>
      <c r="K814" s="104"/>
      <c r="L814" s="104"/>
      <c r="M814" s="104"/>
    </row>
    <row r="815" spans="1:13" s="89" customFormat="1" x14ac:dyDescent="0.25">
      <c r="A815" s="395"/>
      <c r="B815" s="70" t="s">
        <v>2319</v>
      </c>
      <c r="C815" s="13" t="s">
        <v>1112</v>
      </c>
      <c r="D815" s="104"/>
      <c r="E815" s="104"/>
      <c r="F815" s="104"/>
      <c r="G815" s="104"/>
      <c r="H815" s="104">
        <f>IF(ISERR([1]Профессиональное!I418),"-",[1]Профессиональное!I418)</f>
        <v>19.6882009248747</v>
      </c>
      <c r="I815" s="104">
        <f>IF(ISERR([1]Профессиональное!J418),"-",[1]Профессиональное!J418)</f>
        <v>19.20307913828432</v>
      </c>
      <c r="J815" s="104">
        <f>IF(ISERR([1]Профессиональное!K418),"-",[1]Профессиональное!K418)</f>
        <v>22.259816579111387</v>
      </c>
      <c r="K815" s="104"/>
      <c r="L815" s="104"/>
      <c r="M815" s="104"/>
    </row>
    <row r="816" spans="1:13" s="89" customFormat="1" x14ac:dyDescent="0.25">
      <c r="A816" s="395"/>
      <c r="B816" s="70" t="s">
        <v>1297</v>
      </c>
      <c r="C816" s="13"/>
      <c r="D816" s="104"/>
      <c r="E816" s="104"/>
      <c r="F816" s="104"/>
      <c r="G816" s="104"/>
      <c r="H816" s="104"/>
      <c r="I816" s="104"/>
      <c r="J816" s="104"/>
      <c r="K816" s="104"/>
      <c r="L816" s="104"/>
      <c r="M816" s="104"/>
    </row>
    <row r="817" spans="1:13" s="89" customFormat="1" x14ac:dyDescent="0.25">
      <c r="A817" s="395"/>
      <c r="B817" s="70" t="s">
        <v>2023</v>
      </c>
      <c r="C817" s="13" t="s">
        <v>1112</v>
      </c>
      <c r="D817" s="104"/>
      <c r="E817" s="104"/>
      <c r="F817" s="104"/>
      <c r="G817" s="104"/>
      <c r="H817" s="104">
        <f>IF(ISERR([1]Профессиональное!I416),"-",[1]Профессиональное!I416)</f>
        <v>22.765469824293355</v>
      </c>
      <c r="I817" s="104">
        <f>IF(ISERR([1]Профессиональное!J416),"-",[1]Профессиональное!J416)</f>
        <v>16.092182378066951</v>
      </c>
      <c r="J817" s="104">
        <f>IF(ISERR([1]Профессиональное!K416),"-",[1]Профессиональное!K416)</f>
        <v>12.51646903820817</v>
      </c>
      <c r="K817" s="104"/>
      <c r="L817" s="104"/>
      <c r="M817" s="104"/>
    </row>
    <row r="818" spans="1:13" s="89" customFormat="1" x14ac:dyDescent="0.25">
      <c r="A818" s="395"/>
      <c r="B818" s="70" t="s">
        <v>2319</v>
      </c>
      <c r="C818" s="13" t="s">
        <v>1112</v>
      </c>
      <c r="D818" s="104"/>
      <c r="E818" s="104"/>
      <c r="F818" s="104"/>
      <c r="G818" s="104"/>
      <c r="H818" s="104">
        <f>IF(ISERR([1]Профессиональное!I419),"-",[1]Профессиональное!I419)</f>
        <v>22.765469824293355</v>
      </c>
      <c r="I818" s="104">
        <f>IF(ISERR([1]Профессиональное!J419),"-",[1]Профессиональное!J419)</f>
        <v>16.092182378066951</v>
      </c>
      <c r="J818" s="104">
        <f>IF(ISERR([1]Профессиональное!K419),"-",[1]Профессиональное!K419)</f>
        <v>12.51646903820817</v>
      </c>
      <c r="K818" s="104"/>
      <c r="L818" s="104"/>
      <c r="M818" s="104"/>
    </row>
    <row r="819" spans="1:13" s="89" customFormat="1" ht="60" hidden="1" x14ac:dyDescent="0.25">
      <c r="A819" s="13" t="s">
        <v>691</v>
      </c>
      <c r="B819" s="70" t="s">
        <v>1963</v>
      </c>
      <c r="C819" s="13"/>
      <c r="D819" s="90"/>
      <c r="E819" s="90"/>
      <c r="F819" s="90"/>
      <c r="G819" s="90"/>
      <c r="H819" s="90"/>
      <c r="I819" s="90"/>
      <c r="J819" s="90"/>
      <c r="K819" s="90"/>
      <c r="L819" s="90"/>
      <c r="M819" s="90"/>
    </row>
    <row r="820" spans="1:13" s="89" customFormat="1" hidden="1" x14ac:dyDescent="0.25">
      <c r="A820" s="395"/>
      <c r="B820" s="70" t="s">
        <v>1305</v>
      </c>
      <c r="C820" s="13" t="s">
        <v>1112</v>
      </c>
      <c r="D820" s="104">
        <f>IF(ISERR([1]Профессиональное!E431),"-",[1]Профессиональное!E431)</f>
        <v>20.02</v>
      </c>
      <c r="E820" s="104" t="str">
        <f>IF(ISERR([1]Профессиональное!F431),"-",[1]Профессиональное!F431)</f>
        <v>-</v>
      </c>
      <c r="F820" s="104" t="str">
        <f>IF(ISERR([1]Профессиональное!G431),"-",[1]Профессиональное!G431)</f>
        <v>-</v>
      </c>
      <c r="G820" s="104">
        <f>IF(ISERR([1]Профессиональное!H431),"-",[1]Профессиональное!H431)</f>
        <v>10.91</v>
      </c>
      <c r="H820" s="104"/>
      <c r="I820" s="104"/>
      <c r="J820" s="104"/>
      <c r="K820" s="104"/>
      <c r="L820" s="104"/>
      <c r="M820" s="104"/>
    </row>
    <row r="821" spans="1:13" s="89" customFormat="1" hidden="1" x14ac:dyDescent="0.25">
      <c r="A821" s="395"/>
      <c r="B821" s="70" t="s">
        <v>1683</v>
      </c>
      <c r="C821" s="13" t="s">
        <v>1112</v>
      </c>
      <c r="D821" s="104">
        <f>IF(ISERR([1]Профессиональное!E432),"-",[1]Профессиональное!E432)</f>
        <v>7.16</v>
      </c>
      <c r="E821" s="104" t="str">
        <f>IF(ISERR([1]Профессиональное!F432),"-",[1]Профессиональное!F432)</f>
        <v>-</v>
      </c>
      <c r="F821" s="104" t="str">
        <f>IF(ISERR([1]Профессиональное!G432),"-",[1]Профессиональное!G432)</f>
        <v>-</v>
      </c>
      <c r="G821" s="104">
        <f>IF(ISERR([1]Профессиональное!H432),"-",[1]Профессиональное!H432)</f>
        <v>19.71</v>
      </c>
      <c r="H821" s="104"/>
      <c r="I821" s="104"/>
      <c r="J821" s="104"/>
      <c r="K821" s="104"/>
      <c r="L821" s="104"/>
      <c r="M821" s="104"/>
    </row>
    <row r="822" spans="1:13" s="89" customFormat="1" ht="60" hidden="1" x14ac:dyDescent="0.25">
      <c r="A822" s="13" t="s">
        <v>462</v>
      </c>
      <c r="B822" s="70" t="s">
        <v>464</v>
      </c>
      <c r="C822" s="13"/>
      <c r="D822" s="90"/>
      <c r="E822" s="90"/>
      <c r="F822" s="90"/>
      <c r="G822" s="90"/>
      <c r="H822" s="90"/>
      <c r="I822" s="90"/>
      <c r="J822" s="90"/>
      <c r="K822" s="90"/>
      <c r="L822" s="90"/>
      <c r="M822" s="90"/>
    </row>
    <row r="823" spans="1:13" s="89" customFormat="1" hidden="1" x14ac:dyDescent="0.25">
      <c r="A823" s="13"/>
      <c r="B823" s="70" t="s">
        <v>1305</v>
      </c>
      <c r="C823" s="13"/>
      <c r="D823" s="90"/>
      <c r="E823" s="90"/>
      <c r="F823" s="90"/>
      <c r="G823" s="90"/>
      <c r="H823" s="90"/>
      <c r="I823" s="90"/>
      <c r="J823" s="90"/>
      <c r="K823" s="90"/>
      <c r="L823" s="90"/>
      <c r="M823" s="90"/>
    </row>
    <row r="824" spans="1:13" s="89" customFormat="1" hidden="1" x14ac:dyDescent="0.25">
      <c r="A824" s="13"/>
      <c r="B824" s="70" t="s">
        <v>1301</v>
      </c>
      <c r="C824" s="13" t="s">
        <v>1112</v>
      </c>
      <c r="D824" s="104">
        <f>IF(ISERR([1]Профессиональное!E445),"-",[1]Профессиональное!E445)</f>
        <v>28.14</v>
      </c>
      <c r="E824" s="104">
        <f>IF(ISERR([1]Профессиональное!F445),"-",[1]Профессиональное!F445)</f>
        <v>29.02</v>
      </c>
      <c r="F824" s="104">
        <f>IF(ISERR([1]Профессиональное!G445),"-",[1]Профессиональное!G445)</f>
        <v>32.43</v>
      </c>
      <c r="G824" s="104">
        <f>IF(ISERR([1]Профессиональное!H445),"-",[1]Профессиональное!H445)</f>
        <v>24.59</v>
      </c>
      <c r="H824" s="104">
        <f>IF(ISERR([1]Профессиональное!I445),"-",[1]Профессиональное!I445)</f>
        <v>0</v>
      </c>
      <c r="I824" s="104">
        <f>IF(ISERR([1]Профессиональное!J445),"-",[1]Профессиональное!J445)</f>
        <v>0</v>
      </c>
      <c r="J824" s="104">
        <f>IF(ISERR([1]Профессиональное!K445),"-",[1]Профессиональное!K445)</f>
        <v>0</v>
      </c>
      <c r="K824" s="104"/>
      <c r="L824" s="104"/>
      <c r="M824" s="104"/>
    </row>
    <row r="825" spans="1:13" s="89" customFormat="1" hidden="1" x14ac:dyDescent="0.25">
      <c r="A825" s="13"/>
      <c r="B825" s="70" t="s">
        <v>1302</v>
      </c>
      <c r="C825" s="13" t="s">
        <v>1112</v>
      </c>
      <c r="D825" s="104">
        <f>IF(ISERR([1]Профессиональное!E446),"-",[1]Профессиональное!E446)</f>
        <v>19.16</v>
      </c>
      <c r="E825" s="104">
        <f>IF(ISERR([1]Профессиональное!F446),"-",[1]Профессиональное!F446)</f>
        <v>23.92</v>
      </c>
      <c r="F825" s="104">
        <f>IF(ISERR([1]Профессиональное!G446),"-",[1]Профессиональное!G446)</f>
        <v>25.575447570332482</v>
      </c>
      <c r="G825" s="104">
        <f>IF(ISERR([1]Профессиональное!H446),"-",[1]Профессиональное!H446)</f>
        <v>28.25</v>
      </c>
      <c r="H825" s="104">
        <f>IF(ISERR([1]Профессиональное!I446),"-",[1]Профессиональное!I446)</f>
        <v>0</v>
      </c>
      <c r="I825" s="104">
        <f>IF(ISERR([1]Профессиональное!J446),"-",[1]Профессиональное!J446)</f>
        <v>0</v>
      </c>
      <c r="J825" s="104">
        <f>IF(ISERR([1]Профессиональное!K446),"-",[1]Профессиональное!K446)</f>
        <v>0</v>
      </c>
      <c r="K825" s="104"/>
      <c r="L825" s="104"/>
      <c r="M825" s="104"/>
    </row>
    <row r="826" spans="1:13" s="89" customFormat="1" hidden="1" x14ac:dyDescent="0.25">
      <c r="A826" s="13"/>
      <c r="B826" s="70" t="s">
        <v>1306</v>
      </c>
      <c r="C826" s="13"/>
      <c r="D826" s="90"/>
      <c r="E826" s="90"/>
      <c r="F826" s="90"/>
      <c r="G826" s="90"/>
      <c r="H826" s="90"/>
      <c r="I826" s="90"/>
      <c r="J826" s="90"/>
      <c r="K826" s="90"/>
      <c r="L826" s="90"/>
      <c r="M826" s="90"/>
    </row>
    <row r="827" spans="1:13" s="89" customFormat="1" hidden="1" x14ac:dyDescent="0.25">
      <c r="A827" s="13"/>
      <c r="B827" s="70" t="s">
        <v>1301</v>
      </c>
      <c r="C827" s="13" t="s">
        <v>1112</v>
      </c>
      <c r="D827" s="104">
        <f>IF(ISERR([1]Профессиональное!E448),"-",[1]Профессиональное!E448)</f>
        <v>22.89</v>
      </c>
      <c r="E827" s="104">
        <f>IF(ISERR([1]Профессиональное!F448),"-",[1]Профессиональное!F448)</f>
        <v>25.68</v>
      </c>
      <c r="F827" s="104">
        <f>IF(ISERR([1]Профессиональное!G448),"-",[1]Профессиональное!G448)</f>
        <v>28.15</v>
      </c>
      <c r="G827" s="104">
        <f>IF(ISERR([1]Профессиональное!H448),"-",[1]Профессиональное!H448)</f>
        <v>28.18</v>
      </c>
      <c r="H827" s="104">
        <f>IF(ISERR([1]Профессиональное!I448),"-",[1]Профессиональное!I448)</f>
        <v>0</v>
      </c>
      <c r="I827" s="104">
        <f>IF(ISERR([1]Профессиональное!J448),"-",[1]Профессиональное!J448)</f>
        <v>0</v>
      </c>
      <c r="J827" s="104">
        <f>IF(ISERR([1]Профессиональное!K448),"-",[1]Профессиональное!K448)</f>
        <v>0</v>
      </c>
      <c r="K827" s="104"/>
      <c r="L827" s="104"/>
      <c r="M827" s="104"/>
    </row>
    <row r="828" spans="1:13" s="89" customFormat="1" hidden="1" x14ac:dyDescent="0.25">
      <c r="A828" s="13"/>
      <c r="B828" s="70" t="s">
        <v>1302</v>
      </c>
      <c r="C828" s="13" t="s">
        <v>1112</v>
      </c>
      <c r="D828" s="104">
        <f>IF(ISERR([1]Профессиональное!E449),"-",[1]Профессиональное!E449)</f>
        <v>19.16</v>
      </c>
      <c r="E828" s="104">
        <f>IF(ISERR([1]Профессиональное!F449),"-",[1]Профессиональное!F449)</f>
        <v>15.55</v>
      </c>
      <c r="F828" s="104">
        <f>IF(ISERR([1]Профессиональное!G449),"-",[1]Профессиональное!G449)</f>
        <v>25.575447570332482</v>
      </c>
      <c r="G828" s="104">
        <f>IF(ISERR([1]Профессиональное!H449),"-",[1]Профессиональное!H449)</f>
        <v>28.25</v>
      </c>
      <c r="H828" s="104">
        <f>IF(ISERR([1]Профессиональное!I449),"-",[1]Профессиональное!I449)</f>
        <v>0</v>
      </c>
      <c r="I828" s="104">
        <f>IF(ISERR([1]Профессиональное!J449),"-",[1]Профессиональное!J449)</f>
        <v>0</v>
      </c>
      <c r="J828" s="104">
        <f>IF(ISERR([1]Профессиональное!K449),"-",[1]Профессиональное!K449)</f>
        <v>0</v>
      </c>
      <c r="K828" s="104"/>
      <c r="L828" s="104"/>
      <c r="M828" s="104"/>
    </row>
    <row r="829" spans="1:13" s="89" customFormat="1" ht="75" x14ac:dyDescent="0.25">
      <c r="A829" s="13" t="s">
        <v>462</v>
      </c>
      <c r="B829" s="70" t="s">
        <v>1964</v>
      </c>
      <c r="C829" s="13"/>
      <c r="D829" s="90"/>
      <c r="E829" s="90"/>
      <c r="F829" s="90"/>
      <c r="G829" s="90"/>
      <c r="H829" s="90"/>
      <c r="I829" s="90"/>
      <c r="J829" s="90"/>
      <c r="K829" s="90"/>
      <c r="L829" s="90"/>
      <c r="M829" s="90"/>
    </row>
    <row r="830" spans="1:13" s="89" customFormat="1" x14ac:dyDescent="0.25">
      <c r="A830" s="87"/>
      <c r="B830" s="70" t="s">
        <v>1301</v>
      </c>
      <c r="C830" s="13" t="s">
        <v>8</v>
      </c>
      <c r="D830" s="104">
        <f>IF(ISERR([1]Профессиональное!E460),"-",[1]Профессиональное!E460)</f>
        <v>65.22</v>
      </c>
      <c r="E830" s="104">
        <f>IF(ISERR([1]Профессиональное!F460),"-",[1]Профессиональное!F460)</f>
        <v>78.569999999999993</v>
      </c>
      <c r="F830" s="104">
        <f>IF(ISERR([1]Профессиональное!G460),"-",[1]Профессиональное!G460)</f>
        <v>76</v>
      </c>
      <c r="G830" s="104">
        <f>IF(ISERR([1]Профессиональное!H460),"-",[1]Профессиональное!H460)</f>
        <v>80.77</v>
      </c>
      <c r="H830" s="104">
        <f>IF(ISERR([1]Профессиональное!I460),"-",[1]Профессиональное!I460)</f>
        <v>84</v>
      </c>
      <c r="I830" s="104">
        <f>IF(ISERR([1]Профессиональное!J460),"-",[1]Профессиональное!J460)</f>
        <v>84</v>
      </c>
      <c r="J830" s="104">
        <f>IF(ISERR([1]Профессиональное!K460),"-",[1]Профессиональное!K460)</f>
        <v>96.875</v>
      </c>
      <c r="K830" s="104"/>
      <c r="L830" s="104"/>
      <c r="M830" s="104"/>
    </row>
    <row r="831" spans="1:13" s="89" customFormat="1" x14ac:dyDescent="0.25">
      <c r="A831" s="87"/>
      <c r="B831" s="70" t="s">
        <v>1302</v>
      </c>
      <c r="C831" s="13" t="s">
        <v>8</v>
      </c>
      <c r="D831" s="104">
        <f>IF(ISERR([1]Профессиональное!E461),"-",[1]Профессиональное!E461)</f>
        <v>100</v>
      </c>
      <c r="E831" s="104">
        <f>IF(ISERR([1]Профессиональное!F461),"-",[1]Профессиональное!F461)</f>
        <v>100</v>
      </c>
      <c r="F831" s="104">
        <f>IF(ISERR([1]Профессиональное!G461),"-",[1]Профессиональное!G461)</f>
        <v>100</v>
      </c>
      <c r="G831" s="104">
        <f>IF(ISERR([1]Профессиональное!H461),"-",[1]Профессиональное!H461)</f>
        <v>100</v>
      </c>
      <c r="H831" s="104">
        <f>IF(ISERR([1]Профессиональное!I461),"-",[1]Профессиональное!I461)</f>
        <v>100</v>
      </c>
      <c r="I831" s="104">
        <f>IF(ISERR([1]Профессиональное!J461),"-",[1]Профессиональное!J461)</f>
        <v>100</v>
      </c>
      <c r="J831" s="104">
        <f>IF(ISERR([1]Профессиональное!K461),"-",[1]Профессиональное!K461)</f>
        <v>100</v>
      </c>
      <c r="K831" s="104"/>
      <c r="L831" s="104"/>
      <c r="M831" s="104"/>
    </row>
    <row r="832" spans="1:13" s="89" customFormat="1" ht="90" x14ac:dyDescent="0.25">
      <c r="A832" s="13" t="s">
        <v>462</v>
      </c>
      <c r="B832" s="21" t="s">
        <v>2961</v>
      </c>
      <c r="C832" s="21"/>
      <c r="D832" s="104"/>
      <c r="E832" s="104"/>
      <c r="F832" s="104"/>
      <c r="G832" s="104"/>
      <c r="H832" s="104"/>
      <c r="I832" s="104"/>
      <c r="J832" s="104"/>
      <c r="K832" s="104"/>
      <c r="L832" s="104"/>
      <c r="M832" s="104"/>
    </row>
    <row r="833" spans="1:13" s="89" customFormat="1" x14ac:dyDescent="0.25">
      <c r="A833" s="87"/>
      <c r="B833" s="70" t="s">
        <v>1301</v>
      </c>
      <c r="C833" s="13" t="s">
        <v>8</v>
      </c>
      <c r="D833" s="104"/>
      <c r="E833" s="104"/>
      <c r="F833" s="104"/>
      <c r="G833" s="104"/>
      <c r="H833" s="104"/>
      <c r="I833" s="104"/>
      <c r="J833" s="104"/>
      <c r="K833" s="104"/>
      <c r="L833" s="104"/>
      <c r="M833" s="104"/>
    </row>
    <row r="834" spans="1:13" s="89" customFormat="1" x14ac:dyDescent="0.25">
      <c r="A834" s="87"/>
      <c r="B834" s="70" t="s">
        <v>1302</v>
      </c>
      <c r="C834" s="13" t="s">
        <v>8</v>
      </c>
      <c r="D834" s="104"/>
      <c r="E834" s="104"/>
      <c r="F834" s="104"/>
      <c r="G834" s="104"/>
      <c r="H834" s="104"/>
      <c r="I834" s="104"/>
      <c r="J834" s="104"/>
      <c r="K834" s="104"/>
      <c r="L834" s="104"/>
      <c r="M834" s="104"/>
    </row>
    <row r="835" spans="1:13" s="89" customFormat="1" ht="45" x14ac:dyDescent="0.25">
      <c r="A835" s="13" t="s">
        <v>471</v>
      </c>
      <c r="B835" s="21" t="s">
        <v>1965</v>
      </c>
      <c r="C835" s="13"/>
      <c r="D835" s="90"/>
      <c r="E835" s="90"/>
      <c r="F835" s="90"/>
      <c r="G835" s="90"/>
      <c r="H835" s="90"/>
      <c r="I835" s="90"/>
      <c r="J835" s="90"/>
      <c r="K835" s="90"/>
      <c r="L835" s="90"/>
      <c r="M835" s="90"/>
    </row>
    <row r="836" spans="1:13" s="89" customFormat="1" ht="30" x14ac:dyDescent="0.25">
      <c r="A836" s="13"/>
      <c r="B836" s="70" t="s">
        <v>1301</v>
      </c>
      <c r="C836" s="13" t="s">
        <v>1111</v>
      </c>
      <c r="D836" s="90"/>
      <c r="E836" s="90"/>
      <c r="F836" s="90"/>
      <c r="G836" s="90"/>
      <c r="H836" s="104">
        <f>IF(ISERR([1]Профессиональное!I491),"-",[1]Профессиональное!I491)</f>
        <v>14.893713251922208</v>
      </c>
      <c r="I836" s="104">
        <f>IF(ISERR([1]Профессиональное!J491),"-",[1]Профессиональное!J491)</f>
        <v>13.409896439054105</v>
      </c>
      <c r="J836" s="104">
        <v>16.28</v>
      </c>
      <c r="K836" s="104"/>
      <c r="L836" s="104"/>
      <c r="M836" s="104"/>
    </row>
    <row r="837" spans="1:13" s="89" customFormat="1" ht="30" x14ac:dyDescent="0.25">
      <c r="A837" s="13"/>
      <c r="B837" s="70" t="s">
        <v>1302</v>
      </c>
      <c r="C837" s="13" t="s">
        <v>1111</v>
      </c>
      <c r="D837" s="90"/>
      <c r="E837" s="90"/>
      <c r="F837" s="90"/>
      <c r="G837" s="90"/>
      <c r="H837" s="104">
        <f>IF(ISERR([1]Профессиональное!I492),"-",[1]Профессиональное!I492)</f>
        <v>10.663101604278076</v>
      </c>
      <c r="I837" s="104">
        <f>IF(ISERR([1]Профессиональное!J492),"-",[1]Профессиональное!J492)</f>
        <v>4.7630873149895701</v>
      </c>
      <c r="J837" s="104">
        <v>3.16</v>
      </c>
      <c r="K837" s="104"/>
      <c r="L837" s="104"/>
      <c r="M837" s="104"/>
    </row>
    <row r="838" spans="1:13" s="89" customFormat="1" ht="30" hidden="1" x14ac:dyDescent="0.25">
      <c r="A838" s="87"/>
      <c r="B838" s="21" t="s">
        <v>476</v>
      </c>
      <c r="C838" s="13" t="s">
        <v>1111</v>
      </c>
      <c r="D838" s="104">
        <f>IF(ISERR([1]Профессиональное!E506),"-",[1]Профессиональное!E506)</f>
        <v>17.489999999999998</v>
      </c>
      <c r="E838" s="104" t="str">
        <f>IF(ISERR([1]Профессиональное!F506),"-",[1]Профессиональное!F506)</f>
        <v>-</v>
      </c>
      <c r="F838" s="104" t="str">
        <f>IF(ISERR([1]Профессиональное!G506),"-",[1]Профессиональное!G506)</f>
        <v>-</v>
      </c>
      <c r="G838" s="104"/>
      <c r="H838" s="104"/>
      <c r="I838" s="104"/>
      <c r="J838" s="104"/>
      <c r="K838" s="104"/>
      <c r="L838" s="104"/>
      <c r="M838" s="104"/>
    </row>
    <row r="839" spans="1:13" s="89" customFormat="1" ht="30" hidden="1" x14ac:dyDescent="0.25">
      <c r="A839" s="87"/>
      <c r="B839" s="70" t="s">
        <v>1301</v>
      </c>
      <c r="C839" s="13" t="s">
        <v>1111</v>
      </c>
      <c r="D839" s="104"/>
      <c r="E839" s="104"/>
      <c r="F839" s="104"/>
      <c r="G839" s="104">
        <f>IF(ISERR([1]Профессиональное!H507),"-",[1]Профессиональное!H507)</f>
        <v>9.61</v>
      </c>
      <c r="H839" s="104">
        <f>IF(ISERR([1]Профессиональное!I507),"-",[1]Профессиональное!I507)</f>
        <v>0</v>
      </c>
      <c r="I839" s="104">
        <f>IF(ISERR([1]Профессиональное!J507),"-",[1]Профессиональное!J507)</f>
        <v>0</v>
      </c>
      <c r="J839" s="104">
        <f>IF(ISERR([1]Профессиональное!M507),"-",[1]Профессиональное!M507)</f>
        <v>0</v>
      </c>
      <c r="K839" s="104"/>
      <c r="L839" s="104"/>
      <c r="M839" s="104"/>
    </row>
    <row r="840" spans="1:13" s="89" customFormat="1" ht="30" hidden="1" x14ac:dyDescent="0.25">
      <c r="A840" s="87"/>
      <c r="B840" s="70" t="s">
        <v>1302</v>
      </c>
      <c r="C840" s="13" t="s">
        <v>1111</v>
      </c>
      <c r="D840" s="104"/>
      <c r="E840" s="104"/>
      <c r="F840" s="104"/>
      <c r="G840" s="104">
        <f>IF(ISERR([1]Профессиональное!H508),"-",[1]Профессиональное!H508)</f>
        <v>0</v>
      </c>
      <c r="H840" s="104">
        <f>IF(ISERR([1]Профессиональное!I508),"-",[1]Профессиональное!I508)</f>
        <v>0</v>
      </c>
      <c r="I840" s="104">
        <f>IF(ISERR([1]Профессиональное!J508),"-",[1]Профессиональное!J508)</f>
        <v>0</v>
      </c>
      <c r="J840" s="104">
        <f>IF(ISERR([1]Профессиональное!M508),"-",[1]Профессиональное!M508)</f>
        <v>0</v>
      </c>
      <c r="K840" s="104"/>
      <c r="L840" s="104"/>
      <c r="M840" s="104"/>
    </row>
    <row r="841" spans="1:13" s="89" customFormat="1" ht="30" hidden="1" x14ac:dyDescent="0.25">
      <c r="A841" s="87"/>
      <c r="B841" s="21" t="s">
        <v>481</v>
      </c>
      <c r="C841" s="13" t="s">
        <v>1111</v>
      </c>
      <c r="D841" s="104">
        <f>IF(ISERR([1]Профессиональное!E520),"-",[1]Профессиональное!E520)</f>
        <v>24.07</v>
      </c>
      <c r="E841" s="104">
        <f>IF(ISERR([1]Профессиональное!F520),"-",[1]Профессиональное!F520)</f>
        <v>26.16</v>
      </c>
      <c r="F841" s="104">
        <f>IF(ISERR([1]Профессиональное!G520),"-",[1]Профессиональное!G520)</f>
        <v>16.18</v>
      </c>
      <c r="G841" s="104"/>
      <c r="H841" s="104"/>
      <c r="I841" s="104"/>
      <c r="J841" s="104"/>
      <c r="K841" s="104"/>
      <c r="L841" s="104"/>
      <c r="M841" s="104"/>
    </row>
    <row r="842" spans="1:13" s="89" customFormat="1" ht="30" hidden="1" x14ac:dyDescent="0.25">
      <c r="A842" s="87"/>
      <c r="B842" s="70" t="s">
        <v>1301</v>
      </c>
      <c r="C842" s="13" t="s">
        <v>1111</v>
      </c>
      <c r="D842" s="104"/>
      <c r="E842" s="104"/>
      <c r="F842" s="104"/>
      <c r="G842" s="104">
        <f>IF(ISERR([1]Профессиональное!H521),"-",[1]Профессиональное!H521)</f>
        <v>17.190000000000001</v>
      </c>
      <c r="H842" s="104">
        <f>IF(ISERR([1]Профессиональное!I521),"-",[1]Профессиональное!I521)</f>
        <v>0</v>
      </c>
      <c r="I842" s="104">
        <f>IF(ISERR([1]Профессиональное!J521),"-",[1]Профессиональное!J521)</f>
        <v>0</v>
      </c>
      <c r="J842" s="104">
        <f>IF(ISERR([1]Профессиональное!M521),"-",[1]Профессиональное!M521)</f>
        <v>0</v>
      </c>
      <c r="K842" s="104"/>
      <c r="L842" s="104"/>
      <c r="M842" s="104"/>
    </row>
    <row r="843" spans="1:13" s="89" customFormat="1" ht="30" hidden="1" x14ac:dyDescent="0.25">
      <c r="A843" s="87"/>
      <c r="B843" s="70" t="s">
        <v>1302</v>
      </c>
      <c r="C843" s="13" t="s">
        <v>1111</v>
      </c>
      <c r="D843" s="104"/>
      <c r="E843" s="104"/>
      <c r="F843" s="104"/>
      <c r="G843" s="104">
        <f>IF(ISERR([1]Профессиональное!H522),"-",[1]Профессиональное!H522)</f>
        <v>61.06</v>
      </c>
      <c r="H843" s="104">
        <f>IF(ISERR([1]Профессиональное!I522),"-",[1]Профессиональное!I522)</f>
        <v>0</v>
      </c>
      <c r="I843" s="104">
        <f>IF(ISERR([1]Профессиональное!J522),"-",[1]Профессиональное!J522)</f>
        <v>0</v>
      </c>
      <c r="J843" s="104">
        <f>IF(ISERR([1]Профессиональное!M522),"-",[1]Профессиональное!M522)</f>
        <v>0</v>
      </c>
      <c r="K843" s="104"/>
      <c r="L843" s="104"/>
      <c r="M843" s="104"/>
    </row>
    <row r="844" spans="1:13" s="89" customFormat="1" ht="30" x14ac:dyDescent="0.25">
      <c r="A844" s="99" t="s">
        <v>487</v>
      </c>
      <c r="B844" s="100" t="s">
        <v>488</v>
      </c>
      <c r="C844" s="87"/>
      <c r="D844" s="90"/>
      <c r="E844" s="90"/>
      <c r="F844" s="90"/>
      <c r="G844" s="90"/>
      <c r="H844" s="90"/>
      <c r="I844" s="90"/>
      <c r="J844" s="90"/>
      <c r="K844" s="90"/>
      <c r="L844" s="90"/>
      <c r="M844" s="90"/>
    </row>
    <row r="845" spans="1:13" s="89" customFormat="1" ht="75" hidden="1" x14ac:dyDescent="0.25">
      <c r="A845" s="13" t="s">
        <v>490</v>
      </c>
      <c r="B845" s="70" t="s">
        <v>489</v>
      </c>
      <c r="C845" s="13"/>
      <c r="D845" s="90"/>
      <c r="E845" s="90"/>
      <c r="F845" s="90"/>
      <c r="G845" s="90"/>
      <c r="H845" s="90"/>
      <c r="I845" s="90"/>
      <c r="J845" s="90"/>
      <c r="K845" s="90"/>
      <c r="L845" s="90"/>
      <c r="M845" s="90"/>
    </row>
    <row r="846" spans="1:13" s="89" customFormat="1" hidden="1" x14ac:dyDescent="0.25">
      <c r="A846" s="13"/>
      <c r="B846" s="70" t="s">
        <v>1301</v>
      </c>
      <c r="C846" s="13" t="s">
        <v>8</v>
      </c>
      <c r="D846" s="104">
        <f>IF(ISERR([1]Профессиональное!E550),"-",[1]Профессиональное!E550)</f>
        <v>50</v>
      </c>
      <c r="E846" s="104">
        <f>IF(ISERR([1]Профессиональное!F550),"-",[1]Профессиональное!F550)</f>
        <v>53.57</v>
      </c>
      <c r="F846" s="104">
        <f>IF(ISERR([1]Профессиональное!G550),"-",[1]Профессиональное!G550)</f>
        <v>48.15</v>
      </c>
      <c r="G846" s="104">
        <f>IF(ISERR([1]Профессиональное!H550),"-",[1]Профессиональное!H550)</f>
        <v>73.08</v>
      </c>
      <c r="H846" s="104">
        <f>IF(ISERR([1]Профессиональное!I550),"-",[1]Профессиональное!I550)</f>
        <v>0</v>
      </c>
      <c r="I846" s="104">
        <f>IF(ISERR([1]Профессиональное!J550),"-",[1]Профессиональное!J550)</f>
        <v>0</v>
      </c>
      <c r="J846" s="104">
        <f>IF(ISERR([1]Профессиональное!M550),"-",[1]Профессиональное!M550)</f>
        <v>0</v>
      </c>
      <c r="K846" s="104"/>
      <c r="L846" s="104"/>
      <c r="M846" s="104"/>
    </row>
    <row r="847" spans="1:13" s="89" customFormat="1" hidden="1" x14ac:dyDescent="0.25">
      <c r="A847" s="13"/>
      <c r="B847" s="70" t="s">
        <v>1302</v>
      </c>
      <c r="C847" s="13" t="s">
        <v>8</v>
      </c>
      <c r="D847" s="104">
        <f>IF(ISERR([1]Профессиональное!E551),"-",[1]Профессиональное!E551)</f>
        <v>100</v>
      </c>
      <c r="E847" s="104">
        <f>IF(ISERR([1]Профессиональное!F551),"-",[1]Профессиональное!F551)</f>
        <v>100</v>
      </c>
      <c r="F847" s="104">
        <f>IF(ISERR([1]Профессиональное!G551),"-",[1]Профессиональное!G551)</f>
        <v>0</v>
      </c>
      <c r="G847" s="104">
        <f>IF(ISERR([1]Профессиональное!H551),"-",[1]Профессиональное!H551)</f>
        <v>100</v>
      </c>
      <c r="H847" s="104">
        <f>IF(ISERR([1]Профессиональное!I551),"-",[1]Профессиональное!I551)</f>
        <v>0</v>
      </c>
      <c r="I847" s="104">
        <f>IF(ISERR([1]Профессиональное!J551),"-",[1]Профессиональное!J551)</f>
        <v>0</v>
      </c>
      <c r="J847" s="104">
        <f>IF(ISERR([1]Профессиональное!M551),"-",[1]Профессиональное!M551)</f>
        <v>0</v>
      </c>
      <c r="K847" s="104"/>
      <c r="L847" s="104"/>
      <c r="M847" s="104"/>
    </row>
    <row r="848" spans="1:13" s="89" customFormat="1" ht="60" x14ac:dyDescent="0.25">
      <c r="A848" s="13" t="s">
        <v>490</v>
      </c>
      <c r="B848" s="70" t="s">
        <v>1966</v>
      </c>
      <c r="C848" s="13"/>
      <c r="D848" s="104"/>
      <c r="E848" s="104"/>
      <c r="F848" s="104"/>
      <c r="G848" s="104"/>
      <c r="H848" s="104"/>
      <c r="I848" s="104"/>
      <c r="J848" s="104"/>
      <c r="K848" s="104"/>
      <c r="L848" s="104"/>
      <c r="M848" s="104"/>
    </row>
    <row r="849" spans="1:13" s="89" customFormat="1" x14ac:dyDescent="0.25">
      <c r="A849" s="13"/>
      <c r="B849" s="70" t="s">
        <v>1296</v>
      </c>
      <c r="C849" s="13"/>
      <c r="D849" s="104"/>
      <c r="E849" s="104"/>
      <c r="F849" s="104"/>
      <c r="G849" s="104"/>
      <c r="H849" s="104"/>
      <c r="I849" s="104"/>
      <c r="J849" s="104"/>
      <c r="K849" s="104"/>
      <c r="L849" s="104"/>
      <c r="M849" s="104"/>
    </row>
    <row r="850" spans="1:13" s="89" customFormat="1" x14ac:dyDescent="0.25">
      <c r="A850" s="13"/>
      <c r="B850" s="70" t="s">
        <v>2706</v>
      </c>
      <c r="C850" s="13" t="s">
        <v>8</v>
      </c>
      <c r="D850" s="104"/>
      <c r="E850" s="104"/>
      <c r="F850" s="104"/>
      <c r="G850" s="104"/>
      <c r="H850" s="104">
        <f>IF(ISERR([1]Профессиональное!I530),"-",[1]Профессиональное!I530)</f>
        <v>63.541666666666664</v>
      </c>
      <c r="I850" s="104">
        <f>IF(ISERR([1]Профессиональное!J530),"-",[1]Профессиональное!J530)</f>
        <v>66.666666666666657</v>
      </c>
      <c r="J850" s="104">
        <v>71.599999999999994</v>
      </c>
      <c r="K850" s="104"/>
      <c r="L850" s="104"/>
      <c r="M850" s="104"/>
    </row>
    <row r="851" spans="1:13" s="89" customFormat="1" x14ac:dyDescent="0.25">
      <c r="A851" s="13"/>
      <c r="B851" s="70" t="s">
        <v>2707</v>
      </c>
      <c r="C851" s="13" t="s">
        <v>8</v>
      </c>
      <c r="D851" s="104"/>
      <c r="E851" s="104"/>
      <c r="F851" s="104"/>
      <c r="G851" s="104"/>
      <c r="H851" s="104">
        <f>IF(ISERR([1]Профессиональное!I533),"-",[1]Профессиональное!I533)</f>
        <v>58.82352941176471</v>
      </c>
      <c r="I851" s="104">
        <f>IF(ISERR([1]Профессиональное!J533),"-",[1]Профессиональное!J533)</f>
        <v>61.904761904761905</v>
      </c>
      <c r="J851" s="104">
        <v>52.17</v>
      </c>
      <c r="K851" s="104"/>
      <c r="L851" s="104"/>
      <c r="M851" s="104"/>
    </row>
    <row r="852" spans="1:13" s="89" customFormat="1" x14ac:dyDescent="0.25">
      <c r="A852" s="13"/>
      <c r="B852" s="70" t="s">
        <v>1297</v>
      </c>
      <c r="C852" s="13"/>
      <c r="D852" s="104"/>
      <c r="E852" s="104"/>
      <c r="F852" s="104"/>
      <c r="G852" s="104"/>
      <c r="H852" s="104"/>
      <c r="I852" s="104"/>
      <c r="J852" s="104"/>
      <c r="K852" s="104"/>
      <c r="L852" s="104"/>
      <c r="M852" s="104"/>
    </row>
    <row r="853" spans="1:13" s="89" customFormat="1" x14ac:dyDescent="0.25">
      <c r="A853" s="13"/>
      <c r="B853" s="70" t="s">
        <v>2706</v>
      </c>
      <c r="C853" s="13" t="s">
        <v>8</v>
      </c>
      <c r="D853" s="104"/>
      <c r="E853" s="104"/>
      <c r="F853" s="104"/>
      <c r="G853" s="104"/>
      <c r="H853" s="104">
        <f>IF(ISERR([1]Профессиональное!I531),"-",[1]Профессиональное!I531)</f>
        <v>100</v>
      </c>
      <c r="I853" s="104">
        <f>IF(ISERR([1]Профессиональное!J532),"-",[1]Профессиональное!J532)</f>
        <v>0</v>
      </c>
      <c r="J853" s="104">
        <v>100</v>
      </c>
      <c r="K853" s="104"/>
      <c r="L853" s="104"/>
      <c r="M853" s="104"/>
    </row>
    <row r="854" spans="1:13" s="89" customFormat="1" x14ac:dyDescent="0.25">
      <c r="A854" s="13"/>
      <c r="B854" s="70" t="s">
        <v>2707</v>
      </c>
      <c r="C854" s="13" t="s">
        <v>8</v>
      </c>
      <c r="D854" s="104"/>
      <c r="E854" s="104"/>
      <c r="F854" s="104"/>
      <c r="G854" s="104"/>
      <c r="H854" s="104" t="str">
        <f>IF(ISERR([1]Профессиональное!I534),"-",[1]Профессиональное!I534)</f>
        <v>-</v>
      </c>
      <c r="I854" s="104" t="str">
        <f>IF(ISERR([1]Профессиональное!J534),"-",[1]Профессиональное!J534)</f>
        <v>-</v>
      </c>
      <c r="J854" s="104" t="str">
        <f>IF(ISERR([1]Профессиональное!K534),"-",[1]Профессиональное!K534)</f>
        <v>-</v>
      </c>
      <c r="K854" s="104"/>
      <c r="L854" s="104"/>
      <c r="M854" s="104"/>
    </row>
    <row r="855" spans="1:13" s="89" customFormat="1" ht="60" x14ac:dyDescent="0.25">
      <c r="A855" s="13" t="s">
        <v>496</v>
      </c>
      <c r="B855" s="70" t="s">
        <v>1968</v>
      </c>
      <c r="C855" s="13"/>
      <c r="D855" s="90"/>
      <c r="E855" s="90"/>
      <c r="F855" s="90"/>
      <c r="G855" s="90"/>
      <c r="H855" s="90"/>
      <c r="I855" s="90"/>
      <c r="J855" s="90"/>
      <c r="K855" s="90"/>
      <c r="L855" s="90"/>
      <c r="M855" s="90"/>
    </row>
    <row r="856" spans="1:13" s="89" customFormat="1" hidden="1" x14ac:dyDescent="0.25">
      <c r="A856" s="13"/>
      <c r="B856" s="70" t="s">
        <v>1310</v>
      </c>
      <c r="C856" s="13" t="s">
        <v>8</v>
      </c>
      <c r="D856" s="104">
        <f>IF(ISERR([1]Профессиональное!E557),"-",[1]Профессиональное!E557)</f>
        <v>1.27</v>
      </c>
      <c r="E856" s="104">
        <f>IF(ISERR([1]Профессиональное!F557),"-",[1]Профессиональное!F557)</f>
        <v>1.86</v>
      </c>
      <c r="F856" s="104">
        <f>IF(ISERR([1]Профессиональное!G557),"-",[1]Профессиональное!G557)</f>
        <v>1.76</v>
      </c>
      <c r="G856" s="104">
        <f>IF(ISERR([1]Профессиональное!H557),"-",[1]Профессиональное!H557)</f>
        <v>1</v>
      </c>
      <c r="H856" s="104">
        <f>IF(ISERR([1]Профессиональное!I557),"-",[1]Профессиональное!I557)</f>
        <v>0</v>
      </c>
      <c r="I856" s="104">
        <f>IF(ISERR([1]Профессиональное!J557),"-",[1]Профессиональное!J557)</f>
        <v>0</v>
      </c>
      <c r="J856" s="104">
        <f>IF(ISERR([1]Профессиональное!K557),"-",[1]Профессиональное!K557)</f>
        <v>0</v>
      </c>
      <c r="K856" s="104"/>
      <c r="L856" s="104"/>
      <c r="M856" s="104"/>
    </row>
    <row r="857" spans="1:13" s="89" customFormat="1" hidden="1" x14ac:dyDescent="0.25">
      <c r="A857" s="13"/>
      <c r="B857" s="70" t="s">
        <v>1311</v>
      </c>
      <c r="C857" s="13" t="s">
        <v>8</v>
      </c>
      <c r="D857" s="104" t="str">
        <f>IF(ISERR([1]Профессиональное!E564),"-",[1]Профессиональное!E564)</f>
        <v>-</v>
      </c>
      <c r="E857" s="104">
        <f>IF(ISERR([1]Профессиональное!F564),"-",[1]Профессиональное!F564)</f>
        <v>0.69</v>
      </c>
      <c r="F857" s="104">
        <f>IF(ISERR([1]Профессиональное!G564),"-",[1]Профессиональное!G564)</f>
        <v>0.9</v>
      </c>
      <c r="G857" s="104">
        <f>IF(ISERR([1]Профессиональное!H564),"-",[1]Профессиональное!H564)</f>
        <v>1.03</v>
      </c>
      <c r="H857" s="104">
        <f>IF(ISERR([1]Профессиональное!I564),"-",[1]Профессиональное!I564)</f>
        <v>0</v>
      </c>
      <c r="I857" s="104">
        <f>IF(ISERR([1]Профессиональное!J564),"-",[1]Профессиональное!J564)</f>
        <v>0</v>
      </c>
      <c r="J857" s="104">
        <f>IF(ISERR([1]Профессиональное!K564),"-",[1]Профессиональное!K564)</f>
        <v>0</v>
      </c>
      <c r="K857" s="104"/>
      <c r="L857" s="104"/>
      <c r="M857" s="104"/>
    </row>
    <row r="858" spans="1:13" s="89" customFormat="1" x14ac:dyDescent="0.25">
      <c r="A858" s="13"/>
      <c r="B858" s="70" t="s">
        <v>1296</v>
      </c>
      <c r="C858" s="13"/>
      <c r="D858" s="104"/>
      <c r="E858" s="104"/>
      <c r="F858" s="104"/>
      <c r="G858" s="104"/>
      <c r="H858" s="104"/>
      <c r="I858" s="104"/>
      <c r="J858" s="104"/>
      <c r="K858" s="104"/>
      <c r="L858" s="104"/>
      <c r="M858" s="104"/>
    </row>
    <row r="859" spans="1:13" s="89" customFormat="1" x14ac:dyDescent="0.25">
      <c r="A859" s="13"/>
      <c r="B859" s="70" t="s">
        <v>2078</v>
      </c>
      <c r="C859" s="13" t="s">
        <v>8</v>
      </c>
      <c r="D859" s="104"/>
      <c r="E859" s="104"/>
      <c r="F859" s="104"/>
      <c r="G859" s="104"/>
      <c r="H859" s="104">
        <f>IF(ISERR([1]Профессиональное!I567),"-",[1]Профессиональное!I567)</f>
        <v>0.33603405145054699</v>
      </c>
      <c r="I859" s="104">
        <f>IF(ISERR([1]Профессиональное!J567),"-",[1]Профессиональное!J567)</f>
        <v>0.45911995886285173</v>
      </c>
      <c r="J859" s="104">
        <v>0.34</v>
      </c>
      <c r="K859" s="104"/>
      <c r="L859" s="104"/>
      <c r="M859" s="104"/>
    </row>
    <row r="860" spans="1:13" s="89" customFormat="1" x14ac:dyDescent="0.25">
      <c r="A860" s="13"/>
      <c r="B860" s="70" t="s">
        <v>2563</v>
      </c>
      <c r="C860" s="13" t="s">
        <v>8</v>
      </c>
      <c r="D860" s="104"/>
      <c r="E860" s="104"/>
      <c r="F860" s="104"/>
      <c r="G860" s="104"/>
      <c r="H860" s="104">
        <f>IF(ISERR([1]Профессиональное!I568),"-",[1]Профессиональное!I568)</f>
        <v>0.32483291640219542</v>
      </c>
      <c r="I860" s="104">
        <f>IF(ISERR([1]Профессиональное!J568),"-",[1]Профессиональное!J568)</f>
        <v>0.43340924116653201</v>
      </c>
      <c r="J860" s="104">
        <v>0.28000000000000003</v>
      </c>
      <c r="K860" s="104"/>
      <c r="L860" s="104"/>
      <c r="M860" s="104"/>
    </row>
    <row r="861" spans="1:13" s="89" customFormat="1" ht="30" x14ac:dyDescent="0.25">
      <c r="A861" s="13"/>
      <c r="B861" s="70" t="s">
        <v>1969</v>
      </c>
      <c r="C861" s="13" t="s">
        <v>8</v>
      </c>
      <c r="D861" s="104"/>
      <c r="E861" s="104"/>
      <c r="F861" s="104"/>
      <c r="G861" s="104"/>
      <c r="H861" s="104">
        <f>IF(ISERR([1]Профессиональное!I569),"-",[1]Профессиональное!I569)</f>
        <v>0.39577343837508872</v>
      </c>
      <c r="I861" s="104">
        <f>IF(ISERR([1]Профессиональное!J569),"-",[1]Профессиональное!J569)</f>
        <v>0.45177403952104611</v>
      </c>
      <c r="J861" s="104">
        <v>0.74</v>
      </c>
      <c r="K861" s="104"/>
      <c r="L861" s="104"/>
      <c r="M861" s="104"/>
    </row>
    <row r="862" spans="1:13" s="89" customFormat="1" x14ac:dyDescent="0.25">
      <c r="A862" s="13"/>
      <c r="B862" s="70" t="s">
        <v>1297</v>
      </c>
      <c r="C862" s="13"/>
      <c r="D862" s="104"/>
      <c r="E862" s="104"/>
      <c r="F862" s="104"/>
      <c r="G862" s="104"/>
      <c r="H862" s="104"/>
      <c r="I862" s="104"/>
      <c r="J862" s="104"/>
      <c r="K862" s="104"/>
      <c r="L862" s="104"/>
      <c r="M862" s="104"/>
    </row>
    <row r="863" spans="1:13" s="89" customFormat="1" x14ac:dyDescent="0.25">
      <c r="A863" s="13"/>
      <c r="B863" s="70" t="s">
        <v>2078</v>
      </c>
      <c r="C863" s="13" t="s">
        <v>8</v>
      </c>
      <c r="D863" s="104"/>
      <c r="E863" s="104"/>
      <c r="F863" s="104"/>
      <c r="G863" s="104"/>
      <c r="H863" s="104">
        <f>IF(ISERR([1]Профессиональное!I571),"-",[1]Профессиональное!I571)</f>
        <v>0</v>
      </c>
      <c r="I863" s="104">
        <f>IF(ISERR([1]Профессиональное!J571),"-",[1]Профессиональное!J571)</f>
        <v>0</v>
      </c>
      <c r="J863" s="104">
        <f>IF(ISERR([1]Профессиональное!K571),"-",[1]Профессиональное!K571)</f>
        <v>0.38105606967882416</v>
      </c>
      <c r="K863" s="104"/>
      <c r="L863" s="104"/>
      <c r="M863" s="104"/>
    </row>
    <row r="864" spans="1:13" s="89" customFormat="1" x14ac:dyDescent="0.25">
      <c r="A864" s="13"/>
      <c r="B864" s="70" t="s">
        <v>2563</v>
      </c>
      <c r="C864" s="13" t="s">
        <v>8</v>
      </c>
      <c r="D864" s="104"/>
      <c r="E864" s="104"/>
      <c r="F864" s="104"/>
      <c r="G864" s="104"/>
      <c r="H864" s="104">
        <f>IF(ISERR([1]Профессиональное!I572),"-",[1]Профессиональное!I572)</f>
        <v>0</v>
      </c>
      <c r="I864" s="104">
        <f>IF(ISERR([1]Профессиональное!J572),"-",[1]Профессиональное!J572)</f>
        <v>0</v>
      </c>
      <c r="J864" s="104">
        <f>IF(ISERR([1]Профессиональное!K572),"-",[1]Профессиональное!K572)</f>
        <v>0.38105606967882416</v>
      </c>
      <c r="K864" s="104"/>
      <c r="L864" s="104"/>
      <c r="M864" s="104"/>
    </row>
    <row r="865" spans="1:13" s="89" customFormat="1" ht="30" x14ac:dyDescent="0.25">
      <c r="A865" s="13"/>
      <c r="B865" s="70" t="s">
        <v>1969</v>
      </c>
      <c r="C865" s="13" t="s">
        <v>8</v>
      </c>
      <c r="D865" s="104"/>
      <c r="E865" s="104"/>
      <c r="F865" s="104"/>
      <c r="G865" s="104"/>
      <c r="H865" s="104">
        <f>IF(ISERR([1]Профессиональное!I573),"-",[1]Профессиональное!I573)</f>
        <v>0</v>
      </c>
      <c r="I865" s="104">
        <f>IF(ISERR([1]Профессиональное!J573),"-",[1]Профессиональное!J573)</f>
        <v>0</v>
      </c>
      <c r="J865" s="104">
        <f>IF(ISERR([1]Профессиональное!K573),"-",[1]Профессиональное!K573)</f>
        <v>0</v>
      </c>
      <c r="K865" s="104"/>
      <c r="L865" s="104"/>
      <c r="M865" s="104"/>
    </row>
    <row r="866" spans="1:13" s="89" customFormat="1" ht="45" x14ac:dyDescent="0.25">
      <c r="A866" s="13" t="s">
        <v>511</v>
      </c>
      <c r="B866" s="70" t="s">
        <v>2026</v>
      </c>
      <c r="C866" s="13"/>
      <c r="D866" s="104"/>
      <c r="E866" s="104"/>
      <c r="F866" s="104"/>
      <c r="G866" s="104"/>
      <c r="H866" s="104"/>
      <c r="I866" s="104"/>
      <c r="J866" s="104"/>
      <c r="K866" s="104"/>
      <c r="L866" s="104"/>
      <c r="M866" s="104"/>
    </row>
    <row r="867" spans="1:13" s="89" customFormat="1" x14ac:dyDescent="0.25">
      <c r="A867" s="13"/>
      <c r="B867" s="70" t="s">
        <v>1296</v>
      </c>
      <c r="C867" s="13"/>
      <c r="D867" s="104"/>
      <c r="E867" s="104"/>
      <c r="F867" s="104"/>
      <c r="G867" s="104"/>
      <c r="H867" s="104"/>
      <c r="I867" s="104"/>
      <c r="J867" s="104"/>
      <c r="K867" s="104"/>
      <c r="L867" s="104"/>
      <c r="M867" s="104"/>
    </row>
    <row r="868" spans="1:13" s="89" customFormat="1" x14ac:dyDescent="0.25">
      <c r="A868" s="13"/>
      <c r="B868" s="21" t="s">
        <v>2564</v>
      </c>
      <c r="C868" s="13" t="s">
        <v>8</v>
      </c>
      <c r="D868" s="104"/>
      <c r="E868" s="104"/>
      <c r="F868" s="104"/>
      <c r="G868" s="104"/>
      <c r="H868" s="104">
        <f>IF(ISERR([1]Профессиональное!I601),"-",[1]Профессиональное!I601)</f>
        <v>99.428571428571431</v>
      </c>
      <c r="I868" s="104">
        <f>IF(ISERR([1]Профессиональное!J601),"-",[1]Профессиональное!J601)</f>
        <v>99.541284403669721</v>
      </c>
      <c r="J868" s="104">
        <v>98.71</v>
      </c>
      <c r="K868" s="104"/>
      <c r="L868" s="104"/>
      <c r="M868" s="104"/>
    </row>
    <row r="869" spans="1:13" s="89" customFormat="1" x14ac:dyDescent="0.25">
      <c r="A869" s="13"/>
      <c r="B869" s="21" t="s">
        <v>2565</v>
      </c>
      <c r="C869" s="13" t="s">
        <v>8</v>
      </c>
      <c r="D869" s="104"/>
      <c r="E869" s="104"/>
      <c r="F869" s="104"/>
      <c r="G869" s="104"/>
      <c r="H869" s="104">
        <f>IF(ISERR([1]Профессиональное!I602),"-",[1]Профессиональное!I602)</f>
        <v>0</v>
      </c>
      <c r="I869" s="104">
        <f>IF(ISERR([1]Профессиональное!J602),"-",[1]Профессиональное!J602)</f>
        <v>0</v>
      </c>
      <c r="J869" s="104">
        <v>0.43</v>
      </c>
      <c r="K869" s="104"/>
      <c r="L869" s="104"/>
      <c r="M869" s="104"/>
    </row>
    <row r="870" spans="1:13" s="89" customFormat="1" x14ac:dyDescent="0.25">
      <c r="A870" s="13"/>
      <c r="B870" s="21" t="s">
        <v>2566</v>
      </c>
      <c r="C870" s="13" t="s">
        <v>8</v>
      </c>
      <c r="D870" s="104"/>
      <c r="E870" s="104"/>
      <c r="F870" s="104"/>
      <c r="G870" s="104"/>
      <c r="H870" s="104">
        <f>IF(ISERR([1]Профессиональное!I603),"-",[1]Профессиональное!I603)</f>
        <v>0.5714285714285714</v>
      </c>
      <c r="I870" s="104">
        <f>IF(ISERR([1]Профессиональное!J603),"-",[1]Профессиональное!J603)</f>
        <v>0.45871559633027525</v>
      </c>
      <c r="J870" s="104">
        <v>0.86</v>
      </c>
      <c r="K870" s="104"/>
      <c r="L870" s="104"/>
      <c r="M870" s="104"/>
    </row>
    <row r="871" spans="1:13" s="89" customFormat="1" x14ac:dyDescent="0.25">
      <c r="A871" s="394"/>
      <c r="B871" s="70" t="s">
        <v>1297</v>
      </c>
      <c r="C871" s="13"/>
      <c r="D871" s="104"/>
      <c r="E871" s="104"/>
      <c r="F871" s="104"/>
      <c r="G871" s="104"/>
      <c r="H871" s="104"/>
      <c r="I871" s="104"/>
      <c r="J871" s="104"/>
      <c r="K871" s="104"/>
      <c r="L871" s="104"/>
      <c r="M871" s="104"/>
    </row>
    <row r="872" spans="1:13" s="89" customFormat="1" x14ac:dyDescent="0.25">
      <c r="A872" s="394"/>
      <c r="B872" s="21" t="s">
        <v>2564</v>
      </c>
      <c r="C872" s="13" t="s">
        <v>8</v>
      </c>
      <c r="D872" s="104"/>
      <c r="E872" s="104"/>
      <c r="F872" s="104"/>
      <c r="G872" s="104"/>
      <c r="H872" s="104" t="str">
        <f>IF(ISERR([1]Профессиональное!I605),"-",[1]Профессиональное!I605)</f>
        <v>-</v>
      </c>
      <c r="I872" s="104" t="str">
        <f>IF(ISERR([1]Профессиональное!J605),"-",[1]Профессиональное!J605)</f>
        <v>-</v>
      </c>
      <c r="J872" s="104">
        <f>IF(ISERR([1]Профессиональное!K605),"-",[1]Профессиональное!K605)</f>
        <v>100</v>
      </c>
      <c r="K872" s="104"/>
      <c r="L872" s="104"/>
      <c r="M872" s="104"/>
    </row>
    <row r="873" spans="1:13" s="89" customFormat="1" x14ac:dyDescent="0.25">
      <c r="A873" s="394"/>
      <c r="B873" s="21" t="s">
        <v>2565</v>
      </c>
      <c r="C873" s="13" t="s">
        <v>8</v>
      </c>
      <c r="D873" s="104"/>
      <c r="E873" s="104"/>
      <c r="F873" s="104"/>
      <c r="G873" s="104"/>
      <c r="H873" s="104" t="str">
        <f>IF(ISERR([1]Профессиональное!I606),"-",[1]Профессиональное!I606)</f>
        <v>-</v>
      </c>
      <c r="I873" s="104" t="str">
        <f>IF(ISERR([1]Профессиональное!J606),"-",[1]Профессиональное!J606)</f>
        <v>-</v>
      </c>
      <c r="J873" s="104">
        <f>IF(ISERR([1]Профессиональное!K606),"-",[1]Профессиональное!K606)</f>
        <v>0</v>
      </c>
      <c r="K873" s="104"/>
      <c r="L873" s="104"/>
      <c r="M873" s="104"/>
    </row>
    <row r="874" spans="1:13" s="89" customFormat="1" x14ac:dyDescent="0.25">
      <c r="A874" s="394"/>
      <c r="B874" s="21" t="s">
        <v>2566</v>
      </c>
      <c r="C874" s="13" t="s">
        <v>8</v>
      </c>
      <c r="D874" s="104"/>
      <c r="E874" s="104"/>
      <c r="F874" s="104"/>
      <c r="G874" s="104"/>
      <c r="H874" s="104" t="str">
        <f>IF(ISERR([1]Профессиональное!I607),"-",[1]Профессиональное!I607)</f>
        <v>-</v>
      </c>
      <c r="I874" s="104" t="str">
        <f>IF(ISERR([1]Профессиональное!J607),"-",[1]Профессиональное!J607)</f>
        <v>-</v>
      </c>
      <c r="J874" s="104">
        <f>IF(ISERR([1]Профессиональное!K607),"-",[1]Профессиональное!K607)</f>
        <v>0</v>
      </c>
      <c r="K874" s="104"/>
      <c r="L874" s="104"/>
      <c r="M874" s="104"/>
    </row>
    <row r="875" spans="1:13" s="89" customFormat="1" ht="45" hidden="1" x14ac:dyDescent="0.25">
      <c r="A875" s="13" t="s">
        <v>511</v>
      </c>
      <c r="B875" s="70" t="s">
        <v>504</v>
      </c>
      <c r="C875" s="13"/>
      <c r="D875" s="90"/>
      <c r="E875" s="90"/>
      <c r="F875" s="90"/>
      <c r="G875" s="90"/>
      <c r="H875" s="90"/>
      <c r="I875" s="90"/>
      <c r="J875" s="90"/>
      <c r="K875" s="90"/>
      <c r="L875" s="90"/>
      <c r="M875" s="90"/>
    </row>
    <row r="876" spans="1:13" s="89" customFormat="1" hidden="1" x14ac:dyDescent="0.25">
      <c r="A876" s="394"/>
      <c r="B876" s="70" t="s">
        <v>1310</v>
      </c>
      <c r="C876" s="13" t="s">
        <v>8</v>
      </c>
      <c r="D876" s="104">
        <f>IF(ISERR([1]Профессиональное!E584),"-",[1]Профессиональное!E584)</f>
        <v>0.94</v>
      </c>
      <c r="E876" s="104">
        <f>IF(ISERR([1]Профессиональное!F584),"-",[1]Профессиональное!F584)</f>
        <v>0.93</v>
      </c>
      <c r="F876" s="104">
        <f>IF(ISERR([1]Профессиональное!G584),"-",[1]Профессиональное!G584)</f>
        <v>0.79</v>
      </c>
      <c r="G876" s="104"/>
      <c r="H876" s="104"/>
      <c r="I876" s="104"/>
      <c r="J876" s="104"/>
      <c r="K876" s="104"/>
      <c r="L876" s="104"/>
      <c r="M876" s="104"/>
    </row>
    <row r="877" spans="1:13" s="89" customFormat="1" hidden="1" x14ac:dyDescent="0.25">
      <c r="A877" s="394"/>
      <c r="B877" s="70" t="s">
        <v>1301</v>
      </c>
      <c r="C877" s="13" t="s">
        <v>8</v>
      </c>
      <c r="D877" s="104"/>
      <c r="E877" s="104"/>
      <c r="F877" s="104"/>
      <c r="G877" s="104">
        <f>IF(ISERR([1]Профессиональное!H585),"-",[1]Профессиональное!H585)</f>
        <v>0.61</v>
      </c>
      <c r="H877" s="104">
        <f>IF(ISERR([1]Профессиональное!I585),"-",[1]Профессиональное!I585)</f>
        <v>0</v>
      </c>
      <c r="I877" s="104">
        <f>IF(ISERR([1]Профессиональное!J585),"-",[1]Профессиональное!J585)</f>
        <v>0</v>
      </c>
      <c r="J877" s="104">
        <f>IF(ISERR([1]Профессиональное!M585),"-",[1]Профессиональное!M585)</f>
        <v>0</v>
      </c>
      <c r="K877" s="104"/>
      <c r="L877" s="104"/>
      <c r="M877" s="104"/>
    </row>
    <row r="878" spans="1:13" s="89" customFormat="1" hidden="1" x14ac:dyDescent="0.25">
      <c r="A878" s="394"/>
      <c r="B878" s="70" t="s">
        <v>1302</v>
      </c>
      <c r="C878" s="13" t="s">
        <v>8</v>
      </c>
      <c r="D878" s="104"/>
      <c r="E878" s="104"/>
      <c r="F878" s="104"/>
      <c r="G878" s="104">
        <f>IF(ISERR([1]Профессиональное!H586),"-",[1]Профессиональное!H586)</f>
        <v>0</v>
      </c>
      <c r="H878" s="104">
        <f>IF(ISERR([1]Профессиональное!I586),"-",[1]Профессиональное!I586)</f>
        <v>0</v>
      </c>
      <c r="I878" s="104">
        <f>IF(ISERR([1]Профессиональное!J586),"-",[1]Профессиональное!J586)</f>
        <v>0</v>
      </c>
      <c r="J878" s="104">
        <f>IF(ISERR([1]Профессиональное!M586),"-",[1]Профессиональное!M586)</f>
        <v>0</v>
      </c>
      <c r="K878" s="104"/>
      <c r="L878" s="104"/>
      <c r="M878" s="104"/>
    </row>
    <row r="879" spans="1:13" s="89" customFormat="1" hidden="1" x14ac:dyDescent="0.25">
      <c r="A879" s="394"/>
      <c r="B879" s="70" t="s">
        <v>1312</v>
      </c>
      <c r="C879" s="13" t="s">
        <v>8</v>
      </c>
      <c r="D879" s="104">
        <f>IF(ISERR([1]Профессиональное!E593),"-",[1]Профессиональное!E593)</f>
        <v>0.39</v>
      </c>
      <c r="E879" s="104">
        <f>IF(ISERR([1]Профессиональное!F593),"-",[1]Профессиональное!F593)</f>
        <v>0.62</v>
      </c>
      <c r="F879" s="104">
        <f>IF(ISERR([1]Профессиональное!G593),"-",[1]Профессиональное!G593)</f>
        <v>0.83</v>
      </c>
      <c r="G879" s="104"/>
      <c r="H879" s="104"/>
      <c r="I879" s="104"/>
      <c r="J879" s="104"/>
      <c r="K879" s="104"/>
      <c r="L879" s="104"/>
      <c r="M879" s="104"/>
    </row>
    <row r="880" spans="1:13" s="89" customFormat="1" hidden="1" x14ac:dyDescent="0.25">
      <c r="A880" s="394"/>
      <c r="B880" s="70" t="s">
        <v>1301</v>
      </c>
      <c r="C880" s="13" t="s">
        <v>8</v>
      </c>
      <c r="D880" s="104"/>
      <c r="E880" s="104"/>
      <c r="F880" s="104"/>
      <c r="G880" s="104">
        <f>IF(ISERR([1]Профессиональное!H594),"-",[1]Профессиональное!H594)</f>
        <v>0.72</v>
      </c>
      <c r="H880" s="104">
        <f>IF(ISERR([1]Профессиональное!I594),"-",[1]Профессиональное!I594)</f>
        <v>0</v>
      </c>
      <c r="I880" s="104">
        <f>IF(ISERR([1]Профессиональное!J594),"-",[1]Профессиональное!J594)</f>
        <v>0</v>
      </c>
      <c r="J880" s="104">
        <f>IF(ISERR([1]Профессиональное!M594),"-",[1]Профессиональное!M594)</f>
        <v>0</v>
      </c>
      <c r="K880" s="104"/>
      <c r="L880" s="104"/>
      <c r="M880" s="104"/>
    </row>
    <row r="881" spans="1:13" s="89" customFormat="1" hidden="1" x14ac:dyDescent="0.25">
      <c r="A881" s="394"/>
      <c r="B881" s="70" t="s">
        <v>1302</v>
      </c>
      <c r="C881" s="13" t="s">
        <v>8</v>
      </c>
      <c r="D881" s="104"/>
      <c r="E881" s="104"/>
      <c r="F881" s="104"/>
      <c r="G881" s="104">
        <f>IF(ISERR([1]Профессиональное!H595),"-",[1]Профессиональное!H595)</f>
        <v>0</v>
      </c>
      <c r="H881" s="104">
        <f>IF(ISERR([1]Профессиональное!I595),"-",[1]Профессиональное!I595)</f>
        <v>0</v>
      </c>
      <c r="I881" s="104">
        <f>IF(ISERR([1]Профессиональное!J595),"-",[1]Профессиональное!J595)</f>
        <v>0</v>
      </c>
      <c r="J881" s="104">
        <f>IF(ISERR([1]Профессиональное!M595),"-",[1]Профессиональное!M595)</f>
        <v>0</v>
      </c>
      <c r="K881" s="104"/>
      <c r="L881" s="104"/>
      <c r="M881" s="104"/>
    </row>
    <row r="882" spans="1:13" s="89" customFormat="1" ht="45" hidden="1" x14ac:dyDescent="0.25">
      <c r="A882" s="13" t="s">
        <v>1463</v>
      </c>
      <c r="B882" s="21" t="s">
        <v>1464</v>
      </c>
      <c r="C882" s="13"/>
      <c r="D882" s="104"/>
      <c r="E882" s="104"/>
      <c r="F882" s="104"/>
      <c r="G882" s="104"/>
      <c r="H882" s="104"/>
      <c r="I882" s="104"/>
      <c r="J882" s="104"/>
      <c r="K882" s="104"/>
      <c r="L882" s="104"/>
      <c r="M882" s="104"/>
    </row>
    <row r="883" spans="1:13" s="89" customFormat="1" hidden="1" x14ac:dyDescent="0.25">
      <c r="A883" s="394"/>
      <c r="B883" s="21" t="s">
        <v>1465</v>
      </c>
      <c r="C883" s="13" t="s">
        <v>950</v>
      </c>
      <c r="D883" s="104">
        <f>IF(ISERR([1]Профессиональное!E601),"-",[1]Профессиональное!E601)</f>
        <v>0</v>
      </c>
      <c r="E883" s="104">
        <f>IF(ISERR([1]Профессиональное!F601),"-",[1]Профессиональное!F601)</f>
        <v>0</v>
      </c>
      <c r="F883" s="104">
        <f>IF(ISERR([1]Профессиональное!G601),"-",[1]Профессиональное!G601)</f>
        <v>0</v>
      </c>
      <c r="G883" s="104">
        <f>IF(ISERR([1]Профессиональное!H601),"-",[1]Профессиональное!H601)</f>
        <v>0</v>
      </c>
      <c r="H883" s="104">
        <f>IF(ISERR([1]Профессиональное!I601),"-",[1]Профессиональное!I601)</f>
        <v>99.428571428571431</v>
      </c>
      <c r="I883" s="104">
        <f>IF(ISERR([1]Профессиональное!J601),"-",[1]Профессиональное!J601)</f>
        <v>99.541284403669721</v>
      </c>
      <c r="J883" s="104">
        <f>IF(ISERR([1]Профессиональное!M601),"-",[1]Профессиональное!M601)</f>
        <v>0</v>
      </c>
      <c r="K883" s="104"/>
      <c r="L883" s="104"/>
      <c r="M883" s="104"/>
    </row>
    <row r="884" spans="1:13" s="89" customFormat="1" hidden="1" x14ac:dyDescent="0.25">
      <c r="A884" s="394"/>
      <c r="B884" s="21" t="s">
        <v>1466</v>
      </c>
      <c r="C884" s="13" t="s">
        <v>950</v>
      </c>
      <c r="D884" s="104">
        <f>IF(ISERR([1]Профессиональное!E602),"-",[1]Профессиональное!E602)</f>
        <v>0</v>
      </c>
      <c r="E884" s="104">
        <f>IF(ISERR([1]Профессиональное!F602),"-",[1]Профессиональное!F602)</f>
        <v>0</v>
      </c>
      <c r="F884" s="104">
        <f>IF(ISERR([1]Профессиональное!G602),"-",[1]Профессиональное!G602)</f>
        <v>0</v>
      </c>
      <c r="G884" s="104">
        <f>IF(ISERR([1]Профессиональное!H602),"-",[1]Профессиональное!H602)</f>
        <v>0</v>
      </c>
      <c r="H884" s="104">
        <f>IF(ISERR([1]Профессиональное!I602),"-",[1]Профессиональное!I602)</f>
        <v>0</v>
      </c>
      <c r="I884" s="104">
        <f>IF(ISERR([1]Профессиональное!J602),"-",[1]Профессиональное!J602)</f>
        <v>0</v>
      </c>
      <c r="J884" s="104">
        <f>IF(ISERR([1]Профессиональное!M602),"-",[1]Профессиональное!M602)</f>
        <v>0</v>
      </c>
      <c r="K884" s="104"/>
      <c r="L884" s="104"/>
      <c r="M884" s="104"/>
    </row>
    <row r="885" spans="1:13" s="89" customFormat="1" hidden="1" x14ac:dyDescent="0.25">
      <c r="A885" s="394"/>
      <c r="B885" s="21" t="s">
        <v>1467</v>
      </c>
      <c r="C885" s="13" t="s">
        <v>950</v>
      </c>
      <c r="D885" s="104">
        <f>IF(ISERR([1]Профессиональное!E603),"-",[1]Профессиональное!E603)</f>
        <v>0</v>
      </c>
      <c r="E885" s="104">
        <f>IF(ISERR([1]Профессиональное!F603),"-",[1]Профессиональное!F603)</f>
        <v>0</v>
      </c>
      <c r="F885" s="104">
        <f>IF(ISERR([1]Профессиональное!G603),"-",[1]Профессиональное!G603)</f>
        <v>0</v>
      </c>
      <c r="G885" s="104">
        <f>IF(ISERR([1]Профессиональное!H603),"-",[1]Профессиональное!H603)</f>
        <v>0</v>
      </c>
      <c r="H885" s="104">
        <f>IF(ISERR([1]Профессиональное!I603),"-",[1]Профессиональное!I603)</f>
        <v>0.5714285714285714</v>
      </c>
      <c r="I885" s="104">
        <f>IF(ISERR([1]Профессиональное!J603),"-",[1]Профессиональное!J603)</f>
        <v>0.45871559633027525</v>
      </c>
      <c r="J885" s="104">
        <f>IF(ISERR([1]Профессиональное!M603),"-",[1]Профессиональное!M603)</f>
        <v>0</v>
      </c>
      <c r="K885" s="104"/>
      <c r="L885" s="104"/>
      <c r="M885" s="104"/>
    </row>
    <row r="886" spans="1:13" s="89" customFormat="1" ht="90" x14ac:dyDescent="0.25">
      <c r="A886" s="13" t="s">
        <v>1463</v>
      </c>
      <c r="B886" s="21" t="s">
        <v>2025</v>
      </c>
      <c r="C886" s="13"/>
      <c r="D886" s="104"/>
      <c r="E886" s="104"/>
      <c r="F886" s="104"/>
      <c r="G886" s="104"/>
      <c r="H886" s="104"/>
      <c r="I886" s="104"/>
      <c r="J886" s="104"/>
      <c r="K886" s="104"/>
      <c r="L886" s="104"/>
      <c r="M886" s="104"/>
    </row>
    <row r="887" spans="1:13" s="89" customFormat="1" x14ac:dyDescent="0.25">
      <c r="A887" s="396"/>
      <c r="B887" s="70" t="s">
        <v>1296</v>
      </c>
      <c r="C887" s="13"/>
      <c r="D887" s="104"/>
      <c r="E887" s="104"/>
      <c r="F887" s="104"/>
      <c r="G887" s="104"/>
      <c r="H887" s="104"/>
      <c r="I887" s="104"/>
      <c r="J887" s="104"/>
      <c r="K887" s="104"/>
      <c r="L887" s="104"/>
      <c r="M887" s="104"/>
    </row>
    <row r="888" spans="1:13" s="89" customFormat="1" x14ac:dyDescent="0.25">
      <c r="A888" s="396"/>
      <c r="B888" s="21" t="s">
        <v>2023</v>
      </c>
      <c r="C888" s="13" t="s">
        <v>8</v>
      </c>
      <c r="D888" s="104"/>
      <c r="E888" s="104"/>
      <c r="F888" s="104"/>
      <c r="G888" s="104"/>
      <c r="H888" s="104">
        <f>IF(ISERR([1]Профессиональное!I622),"-",[1]Профессиональное!I622)</f>
        <v>8.5714285714285712</v>
      </c>
      <c r="I888" s="104">
        <f>IF(ISERR([1]Профессиональное!J622),"-",[1]Профессиональное!J622)</f>
        <v>15.137614678899084</v>
      </c>
      <c r="J888" s="104">
        <v>16.309999999999999</v>
      </c>
      <c r="K888" s="104"/>
      <c r="L888" s="104"/>
      <c r="M888" s="104"/>
    </row>
    <row r="889" spans="1:13" s="89" customFormat="1" x14ac:dyDescent="0.25">
      <c r="A889" s="396"/>
      <c r="B889" s="21" t="s">
        <v>2703</v>
      </c>
      <c r="C889" s="13" t="s">
        <v>8</v>
      </c>
      <c r="D889" s="104">
        <f>IF(ISERR([1]Профессиональное!E624),"-",[1]Профессиональное!E624)</f>
        <v>0</v>
      </c>
      <c r="E889" s="104">
        <f>IF(ISERR([1]Профессиональное!F624),"-",[1]Профессиональное!F624)</f>
        <v>0</v>
      </c>
      <c r="F889" s="104">
        <f>IF(ISERR([1]Профессиональное!G624),"-",[1]Профессиональное!G624)</f>
        <v>0</v>
      </c>
      <c r="G889" s="104">
        <f>IF(ISERR([1]Профессиональное!H624),"-",[1]Профессиональное!H624)</f>
        <v>0</v>
      </c>
      <c r="H889" s="104">
        <f>IF(ISERR([1]Профессиональное!I625),"-",[1]Профессиональное!I625)</f>
        <v>5.4545454545454541</v>
      </c>
      <c r="I889" s="104">
        <f>IF(ISERR([1]Профессиональное!J625),"-",[1]Профессиональное!J625)</f>
        <v>5.2631578947368416</v>
      </c>
      <c r="J889" s="104">
        <f>IF(ISERR([1]Профессиональное!K625),"-",[1]Профессиональное!K625)</f>
        <v>12.307692307692308</v>
      </c>
      <c r="K889" s="104"/>
      <c r="L889" s="104"/>
      <c r="M889" s="104"/>
    </row>
    <row r="890" spans="1:13" s="89" customFormat="1" x14ac:dyDescent="0.25">
      <c r="A890" s="396"/>
      <c r="B890" s="21" t="s">
        <v>2704</v>
      </c>
      <c r="C890" s="13" t="s">
        <v>8</v>
      </c>
      <c r="D890" s="104">
        <f>IF(ISERR([1]Профессиональное!E627),"-",[1]Профессиональное!E627)</f>
        <v>0</v>
      </c>
      <c r="E890" s="104">
        <f>IF(ISERR([1]Профессиональное!F627),"-",[1]Профессиональное!F627)</f>
        <v>0</v>
      </c>
      <c r="F890" s="104">
        <f>IF(ISERR([1]Профессиональное!G627),"-",[1]Профессиональное!G627)</f>
        <v>0</v>
      </c>
      <c r="G890" s="104">
        <f>IF(ISERR([1]Профессиональное!H627),"-",[1]Профессиональное!H627)</f>
        <v>0</v>
      </c>
      <c r="H890" s="104">
        <f>IF(ISERR([1]Профессиональное!I628),"-",[1]Профессиональное!I628)</f>
        <v>10</v>
      </c>
      <c r="I890" s="104">
        <f>IF(ISERR([1]Профессиональное!J628),"-",[1]Профессиональное!J628)</f>
        <v>18.633540372670808</v>
      </c>
      <c r="J890" s="104">
        <v>17.86</v>
      </c>
      <c r="K890" s="104"/>
      <c r="L890" s="104"/>
      <c r="M890" s="104"/>
    </row>
    <row r="891" spans="1:13" s="89" customFormat="1" x14ac:dyDescent="0.25">
      <c r="A891" s="396"/>
      <c r="B891" s="70" t="s">
        <v>1297</v>
      </c>
      <c r="C891" s="13"/>
      <c r="D891" s="104"/>
      <c r="E891" s="104"/>
      <c r="F891" s="104"/>
      <c r="G891" s="104"/>
      <c r="H891" s="104"/>
      <c r="I891" s="104"/>
      <c r="J891" s="104"/>
      <c r="K891" s="104"/>
      <c r="L891" s="104"/>
      <c r="M891" s="104"/>
    </row>
    <row r="892" spans="1:13" s="89" customFormat="1" x14ac:dyDescent="0.25">
      <c r="A892" s="396"/>
      <c r="B892" s="21" t="s">
        <v>2023</v>
      </c>
      <c r="C892" s="13" t="s">
        <v>8</v>
      </c>
      <c r="D892" s="104"/>
      <c r="E892" s="104"/>
      <c r="F892" s="104"/>
      <c r="G892" s="104"/>
      <c r="H892" s="104" t="str">
        <f>IF(ISERR([1]Профессиональное!I623),"-",[1]Профессиональное!I623)</f>
        <v>-</v>
      </c>
      <c r="I892" s="104" t="str">
        <f>IF(ISERR([1]Профессиональное!J623),"-",[1]Профессиональное!J623)</f>
        <v>-</v>
      </c>
      <c r="J892" s="104">
        <f>IF(ISERR([1]Профессиональное!K623),"-",[1]Профессиональное!K623)</f>
        <v>100</v>
      </c>
      <c r="K892" s="104"/>
      <c r="L892" s="104"/>
      <c r="M892" s="104"/>
    </row>
    <row r="893" spans="1:13" s="89" customFormat="1" x14ac:dyDescent="0.25">
      <c r="A893" s="396"/>
      <c r="B893" s="21" t="s">
        <v>2703</v>
      </c>
      <c r="C893" s="13" t="s">
        <v>8</v>
      </c>
      <c r="D893" s="104"/>
      <c r="E893" s="104"/>
      <c r="F893" s="104"/>
      <c r="G893" s="104"/>
      <c r="H893" s="104" t="str">
        <f>IF(ISERR([1]Профессиональное!I626),"-",[1]Профессиональное!I626)</f>
        <v>-</v>
      </c>
      <c r="I893" s="104" t="str">
        <f>IF(ISERR([1]Профессиональное!J626),"-",[1]Профессиональное!J626)</f>
        <v>-</v>
      </c>
      <c r="J893" s="104">
        <f>IF(ISERR([1]Профессиональное!K626),"-",[1]Профессиональное!K626)</f>
        <v>100</v>
      </c>
      <c r="K893" s="104"/>
      <c r="L893" s="104"/>
      <c r="M893" s="104"/>
    </row>
    <row r="894" spans="1:13" s="89" customFormat="1" x14ac:dyDescent="0.25">
      <c r="A894" s="394"/>
      <c r="B894" s="21" t="s">
        <v>2704</v>
      </c>
      <c r="C894" s="13" t="s">
        <v>8</v>
      </c>
      <c r="D894" s="104">
        <f>IF(ISERR([1]Профессиональное!E627),"-",[1]Профессиональное!E627)</f>
        <v>0</v>
      </c>
      <c r="E894" s="104">
        <f>IF(ISERR([1]Профессиональное!F627),"-",[1]Профессиональное!F627)</f>
        <v>0</v>
      </c>
      <c r="F894" s="104">
        <f>IF(ISERR([1]Профессиональное!G627),"-",[1]Профессиональное!G627)</f>
        <v>0</v>
      </c>
      <c r="G894" s="104">
        <f>IF(ISERR([1]Профессиональное!H627),"-",[1]Профессиональное!H627)</f>
        <v>0</v>
      </c>
      <c r="H894" s="104" t="str">
        <f>IF(ISERR([1]Профессиональное!I629),"-",[1]Профессиональное!I629)</f>
        <v>-</v>
      </c>
      <c r="I894" s="104" t="str">
        <f>IF(ISERR([1]Профессиональное!J629),"-",[1]Профессиональное!J629)</f>
        <v>-</v>
      </c>
      <c r="J894" s="104">
        <f>IF(ISERR([1]Профессиональное!K629),"-",[1]Профессиональное!K629)</f>
        <v>100</v>
      </c>
      <c r="K894" s="104"/>
      <c r="L894" s="104"/>
      <c r="M894" s="104"/>
    </row>
    <row r="895" spans="1:13" s="89" customFormat="1" ht="45" x14ac:dyDescent="0.25">
      <c r="A895" s="99" t="s">
        <v>515</v>
      </c>
      <c r="B895" s="100" t="s">
        <v>516</v>
      </c>
      <c r="C895" s="87"/>
      <c r="D895" s="90"/>
      <c r="E895" s="90"/>
      <c r="F895" s="90"/>
      <c r="G895" s="90"/>
      <c r="H895" s="90"/>
      <c r="I895" s="90"/>
      <c r="J895" s="90"/>
      <c r="K895" s="90"/>
      <c r="L895" s="90"/>
      <c r="M895" s="90"/>
    </row>
    <row r="896" spans="1:13" s="89" customFormat="1" ht="60" x14ac:dyDescent="0.25">
      <c r="A896" s="13" t="s">
        <v>517</v>
      </c>
      <c r="B896" s="70" t="s">
        <v>2024</v>
      </c>
      <c r="C896" s="13"/>
      <c r="D896" s="90"/>
      <c r="E896" s="90"/>
      <c r="F896" s="90"/>
      <c r="G896" s="90"/>
      <c r="H896" s="90"/>
      <c r="I896" s="90"/>
      <c r="J896" s="90"/>
      <c r="K896" s="90"/>
      <c r="L896" s="90"/>
      <c r="M896" s="90"/>
    </row>
    <row r="897" spans="1:13" s="89" customFormat="1" x14ac:dyDescent="0.25">
      <c r="A897" s="13"/>
      <c r="B897" s="70" t="s">
        <v>2023</v>
      </c>
      <c r="C897" s="13" t="s">
        <v>8</v>
      </c>
      <c r="D897" s="90"/>
      <c r="E897" s="90"/>
      <c r="F897" s="90"/>
      <c r="G897" s="90"/>
      <c r="H897" s="104">
        <f>IF(ISERR([1]Профессиональное!I646),"-",[1]Профессиональное!I646)</f>
        <v>60.129012097674206</v>
      </c>
      <c r="I897" s="104">
        <f>IF(ISERR([1]Профессиональное!J646),"-",[1]Профессиональное!J646)</f>
        <v>54.066618330703285</v>
      </c>
      <c r="J897" s="104">
        <v>58.83</v>
      </c>
      <c r="K897" s="104"/>
      <c r="L897" s="104"/>
      <c r="M897" s="104"/>
    </row>
    <row r="898" spans="1:13" s="89" customFormat="1" x14ac:dyDescent="0.25">
      <c r="A898" s="13"/>
      <c r="B898" s="21" t="s">
        <v>2703</v>
      </c>
      <c r="C898" s="13" t="s">
        <v>8</v>
      </c>
      <c r="D898" s="104"/>
      <c r="E898" s="90"/>
      <c r="F898" s="90"/>
      <c r="G898" s="90"/>
      <c r="H898" s="104">
        <f>IF(ISERR([1]Профессиональное!I649),"-",[1]Профессиональное!I649)</f>
        <v>64.273250741580881</v>
      </c>
      <c r="I898" s="104">
        <f>IF(ISERR([1]Профессиональное!J649),"-",[1]Профессиональное!J649)</f>
        <v>52.192362093352195</v>
      </c>
      <c r="J898" s="104">
        <v>47.1</v>
      </c>
      <c r="K898" s="104"/>
      <c r="L898" s="104"/>
      <c r="M898" s="104"/>
    </row>
    <row r="899" spans="1:13" s="89" customFormat="1" x14ac:dyDescent="0.25">
      <c r="A899" s="13"/>
      <c r="B899" s="21" t="s">
        <v>2704</v>
      </c>
      <c r="C899" s="13" t="s">
        <v>8</v>
      </c>
      <c r="D899" s="90"/>
      <c r="E899" s="90"/>
      <c r="F899" s="90"/>
      <c r="G899" s="90"/>
      <c r="H899" s="104">
        <f>IF(ISERR([1]Профессиональное!I652),"-",[1]Профессиональное!I652)</f>
        <v>58.704259148170365</v>
      </c>
      <c r="I899" s="104">
        <f>IF(ISERR([1]Профессиональное!J652),"-",[1]Профессиональное!J652)</f>
        <v>54.662469788095102</v>
      </c>
      <c r="J899" s="104">
        <v>64.33</v>
      </c>
      <c r="K899" s="104"/>
      <c r="L899" s="104"/>
      <c r="M899" s="104"/>
    </row>
    <row r="900" spans="1:13" s="89" customFormat="1" hidden="1" x14ac:dyDescent="0.25">
      <c r="A900" s="13"/>
      <c r="B900" s="70" t="s">
        <v>1301</v>
      </c>
      <c r="C900" s="13" t="s">
        <v>8</v>
      </c>
      <c r="D900" s="104"/>
      <c r="E900" s="104"/>
      <c r="F900" s="104"/>
      <c r="G900" s="104"/>
      <c r="H900" s="104"/>
      <c r="I900" s="104"/>
      <c r="J900" s="104"/>
      <c r="K900" s="104"/>
      <c r="L900" s="104"/>
      <c r="M900" s="104"/>
    </row>
    <row r="901" spans="1:13" s="89" customFormat="1" hidden="1" x14ac:dyDescent="0.25">
      <c r="A901" s="13"/>
      <c r="B901" s="21" t="s">
        <v>2066</v>
      </c>
      <c r="C901" s="13" t="s">
        <v>8</v>
      </c>
      <c r="D901" s="104"/>
      <c r="E901" s="104"/>
      <c r="F901" s="104"/>
      <c r="G901" s="104"/>
      <c r="H901" s="104">
        <f>IF(ISERR([1]Профессиональное!I650),"-",[1]Профессиональное!I650)</f>
        <v>64.441917424772569</v>
      </c>
      <c r="I901" s="104">
        <f>IF(ISERR([1]Профессиональное!J650),"-",[1]Профессиональное!J650)</f>
        <v>52.695465905033913</v>
      </c>
      <c r="J901" s="104">
        <f>IF(ISERR([1]Профессиональное!K650),"-",[1]Профессиональное!K650)</f>
        <v>44.300565383913913</v>
      </c>
      <c r="K901" s="104"/>
      <c r="L901" s="104"/>
      <c r="M901" s="104"/>
    </row>
    <row r="902" spans="1:13" s="89" customFormat="1" hidden="1" x14ac:dyDescent="0.25">
      <c r="A902" s="13"/>
      <c r="B902" s="21" t="s">
        <v>2067</v>
      </c>
      <c r="C902" s="13" t="s">
        <v>8</v>
      </c>
      <c r="D902" s="104">
        <f>IF(ISERR([1]Профессиональное!E653),"-",[1]Профессиональное!E653)</f>
        <v>51.55</v>
      </c>
      <c r="E902" s="104">
        <f>IF(ISERR([1]Профессиональное!F653),"-",[1]Профессиональное!F653)</f>
        <v>53.15</v>
      </c>
      <c r="F902" s="104">
        <f>IF(ISERR([1]Профессиональное!G653),"-",[1]Профессиональное!G653)</f>
        <v>56.82</v>
      </c>
      <c r="G902" s="104">
        <f>IF(ISERR([1]Профессиональное!H653),"-",[1]Профессиональное!H653)</f>
        <v>51.64</v>
      </c>
      <c r="H902" s="104">
        <f>IF(ISERR([1]Профессиональное!I653),"-",[1]Профессиональное!I653)</f>
        <v>61.036611987775217</v>
      </c>
      <c r="I902" s="104">
        <f>IF(ISERR([1]Профессиональное!J653),"-",[1]Профессиональное!J653)</f>
        <v>57.656963301120534</v>
      </c>
      <c r="J902" s="104">
        <f>IF(ISERR([1]Профессиональное!K653),"-",[1]Профессиональное!K653)</f>
        <v>54.289602276241723</v>
      </c>
      <c r="K902" s="104"/>
      <c r="L902" s="104"/>
      <c r="M902" s="104"/>
    </row>
    <row r="903" spans="1:13" s="89" customFormat="1" hidden="1" x14ac:dyDescent="0.25">
      <c r="A903" s="13"/>
      <c r="B903" s="70" t="s">
        <v>1302</v>
      </c>
      <c r="C903" s="13" t="s">
        <v>8</v>
      </c>
      <c r="D903" s="104"/>
      <c r="E903" s="104"/>
      <c r="F903" s="104"/>
      <c r="G903" s="104"/>
      <c r="H903" s="104"/>
      <c r="I903" s="104"/>
      <c r="J903" s="104"/>
      <c r="K903" s="104"/>
      <c r="L903" s="104"/>
      <c r="M903" s="104"/>
    </row>
    <row r="904" spans="1:13" s="89" customFormat="1" hidden="1" x14ac:dyDescent="0.25">
      <c r="A904" s="13"/>
      <c r="B904" s="21" t="s">
        <v>2066</v>
      </c>
      <c r="C904" s="13" t="s">
        <v>8</v>
      </c>
      <c r="D904" s="104"/>
      <c r="E904" s="104"/>
      <c r="F904" s="104"/>
      <c r="G904" s="104"/>
      <c r="H904" s="104">
        <f>IF(ISERR([1]Профессиональное!I651),"-",[1]Профессиональное!I651)</f>
        <v>0</v>
      </c>
      <c r="I904" s="104">
        <f>IF(ISERR([1]Профессиональное!J651),"-",[1]Профессиональное!J651)</f>
        <v>0</v>
      </c>
      <c r="J904" s="104">
        <f>IF(ISERR([1]Профессиональное!K651),"-",[1]Профессиональное!K651)</f>
        <v>11.111111111111111</v>
      </c>
      <c r="K904" s="104"/>
      <c r="L904" s="104"/>
      <c r="M904" s="104"/>
    </row>
    <row r="905" spans="1:13" s="89" customFormat="1" hidden="1" x14ac:dyDescent="0.25">
      <c r="A905" s="13"/>
      <c r="B905" s="21" t="s">
        <v>2067</v>
      </c>
      <c r="C905" s="13" t="s">
        <v>8</v>
      </c>
      <c r="D905" s="104">
        <f>IF(ISERR([1]Профессиональное!E654),"-",[1]Профессиональное!E654)</f>
        <v>0</v>
      </c>
      <c r="E905" s="104">
        <f>IF(ISERR([1]Профессиональное!F654),"-",[1]Профессиональное!F654)</f>
        <v>0</v>
      </c>
      <c r="F905" s="104">
        <f>IF(ISERR([1]Профессиональное!G654),"-",[1]Профессиональное!G654)</f>
        <v>0</v>
      </c>
      <c r="G905" s="104">
        <f>IF(ISERR([1]Профессиональное!H654),"-",[1]Профессиональное!H654)</f>
        <v>0</v>
      </c>
      <c r="H905" s="104">
        <f>IF(ISERR([1]Профессиональное!I654),"-",[1]Профессиональное!I654)</f>
        <v>0</v>
      </c>
      <c r="I905" s="104">
        <f>IF(ISERR([1]Профессиональное!J654),"-",[1]Профессиональное!J654)</f>
        <v>0</v>
      </c>
      <c r="J905" s="104">
        <f>IF(ISERR([1]Профессиональное!K654),"-",[1]Профессиональное!K654)</f>
        <v>5.609418282548476</v>
      </c>
      <c r="K905" s="104"/>
      <c r="L905" s="104"/>
      <c r="M905" s="104"/>
    </row>
    <row r="906" spans="1:13" s="89" customFormat="1" ht="45" hidden="1" x14ac:dyDescent="0.25">
      <c r="A906" s="13" t="s">
        <v>520</v>
      </c>
      <c r="B906" s="70" t="s">
        <v>521</v>
      </c>
      <c r="C906" s="87"/>
      <c r="D906" s="90"/>
      <c r="E906" s="90"/>
      <c r="F906" s="90"/>
      <c r="G906" s="90"/>
      <c r="H906" s="90"/>
      <c r="I906" s="90"/>
      <c r="J906" s="90"/>
      <c r="K906" s="90"/>
      <c r="L906" s="90"/>
      <c r="M906" s="90"/>
    </row>
    <row r="907" spans="1:13" s="89" customFormat="1" hidden="1" x14ac:dyDescent="0.25">
      <c r="A907" s="87"/>
      <c r="B907" s="70" t="s">
        <v>1313</v>
      </c>
      <c r="C907" s="13" t="s">
        <v>8</v>
      </c>
      <c r="D907" s="90"/>
      <c r="E907" s="90"/>
      <c r="F907" s="90"/>
      <c r="G907" s="90"/>
      <c r="H907" s="90"/>
      <c r="I907" s="90"/>
      <c r="J907" s="90"/>
      <c r="K907" s="90"/>
      <c r="L907" s="90"/>
      <c r="M907" s="90"/>
    </row>
    <row r="908" spans="1:13" s="89" customFormat="1" hidden="1" x14ac:dyDescent="0.25">
      <c r="A908" s="87"/>
      <c r="B908" s="70" t="s">
        <v>1314</v>
      </c>
      <c r="C908" s="13" t="s">
        <v>8</v>
      </c>
      <c r="D908" s="90"/>
      <c r="E908" s="90"/>
      <c r="F908" s="90"/>
      <c r="G908" s="90"/>
      <c r="H908" s="90"/>
      <c r="I908" s="90"/>
      <c r="J908" s="90"/>
      <c r="K908" s="90"/>
      <c r="L908" s="90"/>
      <c r="M908" s="90"/>
    </row>
    <row r="909" spans="1:13" s="89" customFormat="1" ht="75" hidden="1" x14ac:dyDescent="0.25">
      <c r="A909" s="13" t="s">
        <v>1473</v>
      </c>
      <c r="B909" s="21" t="s">
        <v>1474</v>
      </c>
      <c r="C909" s="13"/>
      <c r="D909" s="104"/>
      <c r="E909" s="104"/>
      <c r="F909" s="104"/>
      <c r="G909" s="104"/>
      <c r="H909" s="104"/>
      <c r="I909" s="104"/>
      <c r="J909" s="104"/>
      <c r="K909" s="104"/>
      <c r="L909" s="104"/>
      <c r="M909" s="104"/>
    </row>
    <row r="910" spans="1:13" s="89" customFormat="1" hidden="1" x14ac:dyDescent="0.25">
      <c r="A910" s="394"/>
      <c r="B910" s="21" t="s">
        <v>1475</v>
      </c>
      <c r="C910" s="13" t="s">
        <v>8</v>
      </c>
      <c r="D910" s="104" t="str">
        <f>IF(ISERR([1]Профессиональное!E677),"-",[1]Профессиональное!E677)</f>
        <v>-</v>
      </c>
      <c r="E910" s="104" t="str">
        <f>IF(ISERR([1]Профессиональное!F677),"-",[1]Профессиональное!F677)</f>
        <v>-</v>
      </c>
      <c r="F910" s="104" t="str">
        <f>IF(ISERR([1]Профессиональное!G677),"-",[1]Профессиональное!G677)</f>
        <v>-</v>
      </c>
      <c r="G910" s="104" t="str">
        <f>IF(ISERR([1]Профессиональное!H677),"-",[1]Профессиональное!H677)</f>
        <v>-</v>
      </c>
      <c r="H910" s="104" t="str">
        <f>IF(ISERR([1]Профессиональное!I677),"-",[1]Профессиональное!I677)</f>
        <v>-</v>
      </c>
      <c r="I910" s="104" t="str">
        <f>IF(ISERR([1]Профессиональное!J677),"-",[1]Профессиональное!J677)</f>
        <v>-</v>
      </c>
      <c r="J910" s="104" t="str">
        <f>IF(ISERR([1]Профессиональное!K677),"-",[1]Профессиональное!K677)</f>
        <v>-</v>
      </c>
      <c r="K910" s="104"/>
      <c r="L910" s="104"/>
      <c r="M910" s="104"/>
    </row>
    <row r="911" spans="1:13" s="89" customFormat="1" hidden="1" x14ac:dyDescent="0.25">
      <c r="A911" s="394"/>
      <c r="B911" s="21" t="s">
        <v>1478</v>
      </c>
      <c r="C911" s="13" t="s">
        <v>8</v>
      </c>
      <c r="D911" s="104" t="str">
        <f>IF(ISERR([1]Профессиональное!E680),"-",[1]Профессиональное!E680)</f>
        <v>-</v>
      </c>
      <c r="E911" s="104" t="str">
        <f>IF(ISERR([1]Профессиональное!F680),"-",[1]Профессиональное!F680)</f>
        <v>-</v>
      </c>
      <c r="F911" s="104" t="str">
        <f>IF(ISERR([1]Профессиональное!G680),"-",[1]Профессиональное!G680)</f>
        <v>-</v>
      </c>
      <c r="G911" s="104" t="str">
        <f>IF(ISERR([1]Профессиональное!H680),"-",[1]Профессиональное!H680)</f>
        <v>-</v>
      </c>
      <c r="H911" s="104" t="str">
        <f>IF(ISERR([1]Профессиональное!I680),"-",[1]Профессиональное!I680)</f>
        <v>-</v>
      </c>
      <c r="I911" s="104" t="str">
        <f>IF(ISERR([1]Профессиональное!J680),"-",[1]Профессиональное!J680)</f>
        <v>-</v>
      </c>
      <c r="J911" s="104" t="str">
        <f>IF(ISERR([1]Профессиональное!K680),"-",[1]Профессиональное!K680)</f>
        <v>-</v>
      </c>
      <c r="K911" s="104"/>
      <c r="L911" s="104"/>
      <c r="M911" s="104"/>
    </row>
    <row r="912" spans="1:13" s="89" customFormat="1" ht="75" x14ac:dyDescent="0.25">
      <c r="A912" s="13" t="s">
        <v>520</v>
      </c>
      <c r="B912" s="21" t="s">
        <v>2567</v>
      </c>
      <c r="C912" s="13"/>
      <c r="D912" s="104"/>
      <c r="E912" s="104"/>
      <c r="F912" s="104"/>
      <c r="G912" s="104"/>
      <c r="H912" s="104"/>
      <c r="I912" s="104"/>
      <c r="J912" s="104"/>
      <c r="K912" s="104"/>
      <c r="L912" s="104"/>
      <c r="M912" s="104"/>
    </row>
    <row r="913" spans="1:13" s="89" customFormat="1" x14ac:dyDescent="0.25">
      <c r="A913" s="396"/>
      <c r="B913" s="70" t="s">
        <v>1301</v>
      </c>
      <c r="C913" s="13" t="s">
        <v>8</v>
      </c>
      <c r="D913" s="104"/>
      <c r="E913" s="104"/>
      <c r="F913" s="104"/>
      <c r="G913" s="104"/>
      <c r="H913" s="104">
        <f>IF(ISERR([1]Профессиональное!I684),"-",[1]Профессиональное!I684)</f>
        <v>0</v>
      </c>
      <c r="I913" s="104">
        <f>IF(ISERR([1]Профессиональное!J684),"-",[1]Профессиональное!J684)</f>
        <v>14.2</v>
      </c>
      <c r="J913" s="104">
        <v>21.6</v>
      </c>
      <c r="K913" s="104"/>
      <c r="L913" s="104"/>
      <c r="M913" s="104"/>
    </row>
    <row r="914" spans="1:13" s="89" customFormat="1" x14ac:dyDescent="0.25">
      <c r="A914" s="396"/>
      <c r="B914" s="70" t="s">
        <v>1302</v>
      </c>
      <c r="C914" s="13" t="s">
        <v>8</v>
      </c>
      <c r="D914" s="104"/>
      <c r="E914" s="104"/>
      <c r="F914" s="104"/>
      <c r="G914" s="104"/>
      <c r="H914" s="104">
        <f>IF(ISERR([1]Профессиональное!I685),"-",[1]Профессиональное!I685)</f>
        <v>0</v>
      </c>
      <c r="I914" s="104">
        <f>IF(ISERR([1]Профессиональное!J685),"-",[1]Профессиональное!J685)</f>
        <v>0</v>
      </c>
      <c r="J914" s="104">
        <v>2.78</v>
      </c>
      <c r="K914" s="104"/>
      <c r="L914" s="104"/>
      <c r="M914" s="104"/>
    </row>
    <row r="915" spans="1:13" s="89" customFormat="1" ht="75" x14ac:dyDescent="0.25">
      <c r="A915" s="396" t="s">
        <v>1473</v>
      </c>
      <c r="B915" s="21" t="s">
        <v>2568</v>
      </c>
      <c r="C915" s="13"/>
      <c r="D915" s="104"/>
      <c r="E915" s="104"/>
      <c r="F915" s="104"/>
      <c r="G915" s="104"/>
      <c r="H915" s="104"/>
      <c r="I915" s="104"/>
      <c r="J915" s="104"/>
      <c r="K915" s="104"/>
      <c r="L915" s="104"/>
      <c r="M915" s="104"/>
    </row>
    <row r="916" spans="1:13" s="89" customFormat="1" x14ac:dyDescent="0.25">
      <c r="A916" s="396"/>
      <c r="B916" s="70" t="s">
        <v>1301</v>
      </c>
      <c r="C916" s="13" t="s">
        <v>8</v>
      </c>
      <c r="D916" s="104"/>
      <c r="E916" s="104"/>
      <c r="F916" s="104"/>
      <c r="G916" s="104"/>
      <c r="H916" s="104">
        <f>IF(ISERR([1]Профессиональное!I689),"-",[1]Профессиональное!I689)</f>
        <v>6.52</v>
      </c>
      <c r="I916" s="104">
        <f>IF(ISERR([1]Профессиональное!J689),"-",[1]Профессиональное!J689)</f>
        <v>1.56</v>
      </c>
      <c r="J916" s="104">
        <f>IF(ISERR([1]Профессиональное!K689),"-",[1]Профессиональное!K689)</f>
        <v>0</v>
      </c>
      <c r="K916" s="104"/>
      <c r="L916" s="104"/>
      <c r="M916" s="104"/>
    </row>
    <row r="917" spans="1:13" s="89" customFormat="1" x14ac:dyDescent="0.25">
      <c r="A917" s="396"/>
      <c r="B917" s="70" t="s">
        <v>1302</v>
      </c>
      <c r="C917" s="13" t="s">
        <v>8</v>
      </c>
      <c r="D917" s="104"/>
      <c r="E917" s="104"/>
      <c r="F917" s="104"/>
      <c r="G917" s="104"/>
      <c r="H917" s="104">
        <f>IF(ISERR([1]Профессиональное!I690),"-",[1]Профессиональное!I690)</f>
        <v>0</v>
      </c>
      <c r="I917" s="104">
        <f>IF(ISERR([1]Профессиональное!J690),"-",[1]Профессиональное!J690)</f>
        <v>0.2</v>
      </c>
      <c r="J917" s="104">
        <f>IF(ISERR([1]Профессиональное!K690),"-",[1]Профессиональное!K690)</f>
        <v>0</v>
      </c>
      <c r="K917" s="104"/>
      <c r="L917" s="104"/>
      <c r="M917" s="104"/>
    </row>
    <row r="918" spans="1:13" s="89" customFormat="1" ht="60" x14ac:dyDescent="0.25">
      <c r="A918" s="396" t="s">
        <v>2022</v>
      </c>
      <c r="B918" s="21" t="s">
        <v>2569</v>
      </c>
      <c r="C918" s="13"/>
      <c r="D918" s="104"/>
      <c r="E918" s="104"/>
      <c r="F918" s="104"/>
      <c r="G918" s="104"/>
      <c r="H918" s="104"/>
      <c r="I918" s="104"/>
      <c r="J918" s="104"/>
      <c r="K918" s="104"/>
      <c r="L918" s="104"/>
      <c r="M918" s="104"/>
    </row>
    <row r="919" spans="1:13" s="89" customFormat="1" x14ac:dyDescent="0.25">
      <c r="A919" s="396"/>
      <c r="B919" s="70" t="s">
        <v>1301</v>
      </c>
      <c r="C919" s="13" t="s">
        <v>8</v>
      </c>
      <c r="D919" s="104"/>
      <c r="E919" s="104"/>
      <c r="F919" s="104"/>
      <c r="G919" s="104"/>
      <c r="H919" s="104">
        <f>IF(ISERR([1]Профессиональное!I694),"-",[1]Профессиональное!I694)</f>
        <v>1.61</v>
      </c>
      <c r="I919" s="104">
        <f>IF(ISERR([1]Профессиональное!J694),"-",[1]Профессиональное!J694)</f>
        <v>0</v>
      </c>
      <c r="J919" s="104">
        <f>IF(ISERR([1]Профессиональное!K694),"-",[1]Профессиональное!K694)</f>
        <v>0</v>
      </c>
      <c r="K919" s="104"/>
      <c r="L919" s="104"/>
      <c r="M919" s="104"/>
    </row>
    <row r="920" spans="1:13" s="89" customFormat="1" x14ac:dyDescent="0.25">
      <c r="A920" s="396"/>
      <c r="B920" s="70" t="s">
        <v>1302</v>
      </c>
      <c r="C920" s="13" t="s">
        <v>8</v>
      </c>
      <c r="D920" s="104"/>
      <c r="E920" s="104"/>
      <c r="F920" s="104"/>
      <c r="G920" s="104"/>
      <c r="H920" s="104">
        <f>IF(ISERR([1]Профессиональное!I695),"-",[1]Профессиональное!I695)</f>
        <v>0.34</v>
      </c>
      <c r="I920" s="104">
        <f>IF(ISERR([1]Профессиональное!J695),"-",[1]Профессиональное!J695)</f>
        <v>0</v>
      </c>
      <c r="J920" s="104">
        <f>IF(ISERR([1]Профессиональное!K695),"-",[1]Профессиональное!K695)</f>
        <v>0</v>
      </c>
      <c r="K920" s="104"/>
      <c r="L920" s="104"/>
      <c r="M920" s="104"/>
    </row>
    <row r="921" spans="1:13" s="89" customFormat="1" ht="60" x14ac:dyDescent="0.25">
      <c r="A921" s="396" t="s">
        <v>2021</v>
      </c>
      <c r="B921" s="21" t="s">
        <v>2570</v>
      </c>
      <c r="C921" s="13"/>
      <c r="D921" s="104"/>
      <c r="E921" s="104"/>
      <c r="F921" s="104"/>
      <c r="G921" s="104"/>
      <c r="H921" s="104"/>
      <c r="I921" s="104"/>
      <c r="J921" s="104"/>
      <c r="K921" s="104"/>
      <c r="L921" s="104"/>
      <c r="M921" s="104"/>
    </row>
    <row r="922" spans="1:13" s="89" customFormat="1" x14ac:dyDescent="0.25">
      <c r="A922" s="13"/>
      <c r="B922" s="70" t="s">
        <v>1301</v>
      </c>
      <c r="C922" s="13" t="s">
        <v>8</v>
      </c>
      <c r="D922" s="90"/>
      <c r="E922" s="90"/>
      <c r="F922" s="90"/>
      <c r="G922" s="90"/>
      <c r="H922" s="104">
        <f>IF(ISERR([1]Профессиональное!I699),"-",[1]Профессиональное!I699)</f>
        <v>0.05</v>
      </c>
      <c r="I922" s="104">
        <f>IF(ISERR([1]Профессиональное!J699),"-",[1]Профессиональное!J699)</f>
        <v>7.0000000000000007E-2</v>
      </c>
      <c r="J922" s="104">
        <f>IF(ISERR([1]Профессиональное!K699),"-",[1]Профессиональное!K699)</f>
        <v>0</v>
      </c>
      <c r="K922" s="104"/>
      <c r="L922" s="104"/>
      <c r="M922" s="104"/>
    </row>
    <row r="923" spans="1:13" s="89" customFormat="1" x14ac:dyDescent="0.25">
      <c r="A923" s="13"/>
      <c r="B923" s="70" t="s">
        <v>1302</v>
      </c>
      <c r="C923" s="13" t="s">
        <v>8</v>
      </c>
      <c r="D923" s="90"/>
      <c r="E923" s="90"/>
      <c r="F923" s="90"/>
      <c r="G923" s="90"/>
      <c r="H923" s="104">
        <f>IF(ISERR([1]Профессиональное!I700),"-",[1]Профессиональное!I700)</f>
        <v>0</v>
      </c>
      <c r="I923" s="104">
        <f>IF(ISERR([1]Профессиональное!J700),"-",[1]Профессиональное!J700)</f>
        <v>0</v>
      </c>
      <c r="J923" s="104">
        <f>IF(ISERR([1]Профессиональное!K700),"-",[1]Профессиональное!K700)</f>
        <v>0</v>
      </c>
      <c r="K923" s="104"/>
      <c r="L923" s="104"/>
      <c r="M923" s="104"/>
    </row>
    <row r="924" spans="1:13" s="89" customFormat="1" ht="60" x14ac:dyDescent="0.25">
      <c r="A924" s="99" t="s">
        <v>527</v>
      </c>
      <c r="B924" s="100" t="s">
        <v>528</v>
      </c>
      <c r="C924" s="87"/>
      <c r="D924" s="90"/>
      <c r="E924" s="90"/>
      <c r="F924" s="90"/>
      <c r="G924" s="90"/>
      <c r="H924" s="90"/>
      <c r="I924" s="90"/>
      <c r="J924" s="90"/>
      <c r="K924" s="90"/>
      <c r="L924" s="90"/>
      <c r="M924" s="90"/>
    </row>
    <row r="925" spans="1:13" s="89" customFormat="1" ht="45" x14ac:dyDescent="0.25">
      <c r="A925" s="13" t="s">
        <v>529</v>
      </c>
      <c r="B925" s="70" t="s">
        <v>2020</v>
      </c>
      <c r="C925" s="13"/>
      <c r="D925" s="90"/>
      <c r="E925" s="90"/>
      <c r="F925" s="90"/>
      <c r="G925" s="90"/>
      <c r="H925" s="90"/>
      <c r="I925" s="90"/>
      <c r="J925" s="90"/>
      <c r="K925" s="90"/>
      <c r="L925" s="90"/>
      <c r="M925" s="90"/>
    </row>
    <row r="926" spans="1:13" s="89" customFormat="1" x14ac:dyDescent="0.25">
      <c r="A926" s="13"/>
      <c r="B926" s="70" t="s">
        <v>1301</v>
      </c>
      <c r="C926" s="13" t="s">
        <v>8</v>
      </c>
      <c r="D926" s="90"/>
      <c r="E926" s="90"/>
      <c r="F926" s="90"/>
      <c r="G926" s="90"/>
      <c r="H926" s="104">
        <f>IF(ISERR([1]Профессиональное!I705),"-",[1]Профессиональное!I705)</f>
        <v>97.22</v>
      </c>
      <c r="I926" s="104">
        <f>IF(ISERR([1]Профессиональное!J705),"-",[1]Профессиональное!J705)</f>
        <v>91.43</v>
      </c>
      <c r="J926" s="104">
        <v>100</v>
      </c>
      <c r="K926" s="104"/>
      <c r="L926" s="104"/>
      <c r="M926" s="104"/>
    </row>
    <row r="927" spans="1:13" s="89" customFormat="1" x14ac:dyDescent="0.25">
      <c r="A927" s="13"/>
      <c r="B927" s="70" t="s">
        <v>1302</v>
      </c>
      <c r="C927" s="13" t="s">
        <v>8</v>
      </c>
      <c r="D927" s="90"/>
      <c r="E927" s="90"/>
      <c r="F927" s="90"/>
      <c r="G927" s="90"/>
      <c r="H927" s="104">
        <f>IF(ISERR([1]Профессиональное!I706),"-",[1]Профессиональное!I706)</f>
        <v>100</v>
      </c>
      <c r="I927" s="104">
        <f>IF(ISERR([1]Профессиональное!J706),"-",[1]Профессиональное!J706)</f>
        <v>100</v>
      </c>
      <c r="J927" s="104">
        <v>66.67</v>
      </c>
      <c r="K927" s="104"/>
      <c r="L927" s="104"/>
      <c r="M927" s="104"/>
    </row>
    <row r="928" spans="1:13" s="89" customFormat="1" hidden="1" x14ac:dyDescent="0.25">
      <c r="A928" s="13"/>
      <c r="B928" s="70" t="s">
        <v>1315</v>
      </c>
      <c r="C928" s="13"/>
      <c r="D928" s="90"/>
      <c r="E928" s="90"/>
      <c r="F928" s="90"/>
      <c r="G928" s="90"/>
      <c r="H928" s="90"/>
      <c r="I928" s="90"/>
      <c r="J928" s="90"/>
      <c r="K928" s="90"/>
      <c r="L928" s="90"/>
      <c r="M928" s="90"/>
    </row>
    <row r="929" spans="1:13" s="89" customFormat="1" hidden="1" x14ac:dyDescent="0.25">
      <c r="A929" s="13"/>
      <c r="B929" s="70" t="s">
        <v>1416</v>
      </c>
      <c r="C929" s="13" t="s">
        <v>8</v>
      </c>
      <c r="D929" s="90" t="str">
        <f>IF(ISERR([1]Профессиональное!E713),"-",[1]Профессиональное!E713)</f>
        <v>-</v>
      </c>
      <c r="E929" s="93">
        <f>IF(ISERR([1]Профессиональное!F713),"-",[1]Профессиональное!F713)</f>
        <v>100</v>
      </c>
      <c r="F929" s="93">
        <f>IF(ISERR([1]Профессиональное!G713),"-",[1]Профессиональное!G713)</f>
        <v>100</v>
      </c>
      <c r="G929" s="93">
        <f>IF(ISERR([1]Профессиональное!H713),"-",[1]Профессиональное!H713)</f>
        <v>106.25</v>
      </c>
      <c r="H929" s="93">
        <f>IF(ISERR([1]Профессиональное!I713),"-",[1]Профессиональное!I713)</f>
        <v>100</v>
      </c>
      <c r="I929" s="93">
        <f>IF(ISERR([1]Профессиональное!J713),"-",[1]Профессиональное!J713)</f>
        <v>100</v>
      </c>
      <c r="J929" s="93" t="str">
        <f>IF(ISERR([1]Профессиональное!K713),"-",[1]Профессиональное!K713)</f>
        <v>-</v>
      </c>
      <c r="K929" s="93"/>
      <c r="L929" s="93"/>
      <c r="M929" s="93"/>
    </row>
    <row r="930" spans="1:13" s="89" customFormat="1" ht="45" hidden="1" x14ac:dyDescent="0.25">
      <c r="A930" s="87"/>
      <c r="B930" s="70" t="s">
        <v>1415</v>
      </c>
      <c r="C930" s="13" t="s">
        <v>8</v>
      </c>
      <c r="D930" s="90" t="str">
        <f>IF(ISERR([1]Профессиональное!E716),"-",[1]Профессиональное!E716)</f>
        <v>-</v>
      </c>
      <c r="E930" s="90" t="str">
        <f>IF(ISERR([1]Профессиональное!F716),"-",[1]Профессиональное!F716)</f>
        <v>-</v>
      </c>
      <c r="F930" s="90" t="str">
        <f>IF(ISERR([1]Профессиональное!G716),"-",[1]Профессиональное!G716)</f>
        <v>-</v>
      </c>
      <c r="G930" s="93" t="str">
        <f>IF(ISERR([1]Профессиональное!H716),"-",[1]Профессиональное!H716)</f>
        <v>-</v>
      </c>
      <c r="H930" s="93" t="str">
        <f>IF(ISERR([1]Профессиональное!I716),"-",[1]Профессиональное!I716)</f>
        <v>-</v>
      </c>
      <c r="I930" s="93" t="str">
        <f>IF(ISERR([1]Профессиональное!J716),"-",[1]Профессиональное!J716)</f>
        <v>-</v>
      </c>
      <c r="J930" s="93" t="str">
        <f>IF(ISERR([1]Профессиональное!K716),"-",[1]Профессиональное!K716)</f>
        <v>-</v>
      </c>
      <c r="K930" s="93"/>
      <c r="L930" s="93"/>
      <c r="M930" s="93"/>
    </row>
    <row r="931" spans="1:13" s="89" customFormat="1" hidden="1" x14ac:dyDescent="0.25">
      <c r="A931" s="87"/>
      <c r="B931" s="70" t="s">
        <v>1316</v>
      </c>
      <c r="C931" s="87"/>
      <c r="D931" s="90"/>
      <c r="E931" s="90"/>
      <c r="F931" s="90"/>
      <c r="G931" s="90"/>
      <c r="H931" s="90"/>
      <c r="I931" s="90"/>
      <c r="J931" s="90"/>
      <c r="K931" s="90"/>
      <c r="L931" s="90"/>
      <c r="M931" s="90"/>
    </row>
    <row r="932" spans="1:13" s="89" customFormat="1" hidden="1" x14ac:dyDescent="0.25">
      <c r="A932" s="87"/>
      <c r="B932" s="70" t="s">
        <v>1414</v>
      </c>
      <c r="C932" s="13" t="s">
        <v>8</v>
      </c>
      <c r="D932" s="90" t="str">
        <f>IF(ISERR([1]Профессиональное!E721),"-",[1]Профессиональное!E721)</f>
        <v>-</v>
      </c>
      <c r="E932" s="93">
        <f>IF(ISERR([1]Профессиональное!F721),"-",[1]Профессиональное!F721)</f>
        <v>117.1</v>
      </c>
      <c r="F932" s="93">
        <f>IF(ISERR([1]Профессиональное!G721),"-",[1]Профессиональное!G721)</f>
        <v>85.4</v>
      </c>
      <c r="G932" s="93">
        <f>IF(ISERR([1]Профессиональное!H721),"-",[1]Профессиональное!H721)</f>
        <v>94.12</v>
      </c>
      <c r="H932" s="93">
        <f>IF(ISERR([1]Профессиональное!I721),"-",[1]Профессиональное!I721)</f>
        <v>100</v>
      </c>
      <c r="I932" s="93">
        <f>IF(ISERR([1]Профессиональное!J721),"-",[1]Профессиональное!J721)</f>
        <v>100</v>
      </c>
      <c r="J932" s="93" t="str">
        <f>IF(ISERR([1]Профессиональное!K721),"-",[1]Профессиональное!K721)</f>
        <v>-</v>
      </c>
      <c r="K932" s="93"/>
      <c r="L932" s="93"/>
      <c r="M932" s="93"/>
    </row>
    <row r="933" spans="1:13" s="89" customFormat="1" hidden="1" x14ac:dyDescent="0.25">
      <c r="A933" s="87"/>
      <c r="B933" s="70" t="s">
        <v>1413</v>
      </c>
      <c r="C933" s="13" t="s">
        <v>8</v>
      </c>
      <c r="D933" s="90" t="str">
        <f>IF(ISERR([1]Профессиональное!E722),"-",[1]Профессиональное!E722)</f>
        <v>-</v>
      </c>
      <c r="E933" s="93">
        <f>IF(ISERR([1]Профессиональное!F722),"-",[1]Профессиональное!F722)</f>
        <v>100</v>
      </c>
      <c r="F933" s="93">
        <f>IF(ISERR([1]Профессиональное!G722),"-",[1]Профессиональное!G722)</f>
        <v>50</v>
      </c>
      <c r="G933" s="93">
        <f>IF(ISERR([1]Профессиональное!H722),"-",[1]Профессиональное!H722)</f>
        <v>100</v>
      </c>
      <c r="H933" s="93">
        <f>IF(ISERR([1]Профессиональное!I722),"-",[1]Профессиональное!I722)</f>
        <v>100</v>
      </c>
      <c r="I933" s="93">
        <f>IF(ISERR([1]Профессиональное!J722),"-",[1]Профессиональное!J722)</f>
        <v>200</v>
      </c>
      <c r="J933" s="93" t="str">
        <f>IF(ISERR([1]Профессиональное!K722),"-",[1]Профессиональное!K722)</f>
        <v>-</v>
      </c>
      <c r="K933" s="93"/>
      <c r="L933" s="93"/>
      <c r="M933" s="93"/>
    </row>
    <row r="934" spans="1:13" s="89" customFormat="1" ht="45" hidden="1" x14ac:dyDescent="0.25">
      <c r="A934" s="87"/>
      <c r="B934" s="70" t="s">
        <v>1417</v>
      </c>
      <c r="C934" s="13" t="s">
        <v>8</v>
      </c>
      <c r="D934" s="90" t="str">
        <f>IF(ISERR([1]Профессиональное!E730),"-",[1]Профессиональное!E730)</f>
        <v>-</v>
      </c>
      <c r="E934" s="93">
        <f>IF(ISERR([1]Профессиональное!F730),"-",[1]Профессиональное!F730)</f>
        <v>100</v>
      </c>
      <c r="F934" s="93" t="s">
        <v>1598</v>
      </c>
      <c r="G934" s="93">
        <f>IF(ISERR([1]Профессиональное!H730),"-",[1]Профессиональное!H730)</f>
        <v>100</v>
      </c>
      <c r="H934" s="93">
        <f>IF(ISERR([1]Профессиональное!I730),"-",[1]Профессиональное!I730)</f>
        <v>100</v>
      </c>
      <c r="I934" s="93">
        <f>IF(ISERR([1]Профессиональное!J730),"-",[1]Профессиональное!J730)</f>
        <v>100</v>
      </c>
      <c r="J934" s="93" t="str">
        <f>IF(ISERR([1]Профессиональное!K730),"-",[1]Профессиональное!K730)</f>
        <v>-</v>
      </c>
      <c r="K934" s="93"/>
      <c r="L934" s="93"/>
      <c r="M934" s="93"/>
    </row>
    <row r="935" spans="1:13" s="89" customFormat="1" ht="45" hidden="1" x14ac:dyDescent="0.25">
      <c r="A935" s="87"/>
      <c r="B935" s="70" t="s">
        <v>1418</v>
      </c>
      <c r="C935" s="13" t="s">
        <v>8</v>
      </c>
      <c r="D935" s="90" t="str">
        <f>IF(ISERR([1]Профессиональное!E731),"-",[1]Профессиональное!E731)</f>
        <v>-</v>
      </c>
      <c r="E935" s="90" t="str">
        <f>IF(ISERR([1]Профессиональное!F731),"-",[1]Профессиональное!F731)</f>
        <v>-</v>
      </c>
      <c r="F935" s="90" t="str">
        <f>IF(ISERR([1]Профессиональное!G731),"-",[1]Профессиональное!G731)</f>
        <v>-</v>
      </c>
      <c r="G935" s="93">
        <f>IF(ISERR([1]Профессиональное!H731),"-",[1]Профессиональное!H731)</f>
        <v>100</v>
      </c>
      <c r="H935" s="93">
        <f>IF(ISERR([1]Профессиональное!I731),"-",[1]Профессиональное!I731)</f>
        <v>100</v>
      </c>
      <c r="I935" s="93">
        <f>IF(ISERR([1]Профессиональное!J731),"-",[1]Профессиональное!J731)</f>
        <v>0</v>
      </c>
      <c r="J935" s="93" t="str">
        <f>IF(ISERR([1]Профессиональное!K731),"-",[1]Профессиональное!K731)</f>
        <v>-</v>
      </c>
      <c r="K935" s="93"/>
      <c r="L935" s="93"/>
      <c r="M935" s="93"/>
    </row>
    <row r="936" spans="1:13" s="89" customFormat="1" ht="60" hidden="1" x14ac:dyDescent="0.25">
      <c r="A936" s="99" t="s">
        <v>546</v>
      </c>
      <c r="B936" s="100" t="s">
        <v>547</v>
      </c>
      <c r="C936" s="87"/>
      <c r="D936" s="90"/>
      <c r="E936" s="90"/>
      <c r="F936" s="90"/>
      <c r="G936" s="90"/>
      <c r="H936" s="90"/>
      <c r="I936" s="90"/>
      <c r="J936" s="90"/>
      <c r="K936" s="90"/>
      <c r="L936" s="90"/>
      <c r="M936" s="90"/>
    </row>
    <row r="937" spans="1:13" s="89" customFormat="1" ht="75" hidden="1" x14ac:dyDescent="0.25">
      <c r="A937" s="13" t="s">
        <v>549</v>
      </c>
      <c r="B937" s="70" t="s">
        <v>2019</v>
      </c>
      <c r="C937" s="13"/>
      <c r="D937" s="90"/>
      <c r="E937" s="90"/>
      <c r="F937" s="90"/>
      <c r="G937" s="90"/>
      <c r="H937" s="90"/>
      <c r="I937" s="90"/>
      <c r="J937" s="90"/>
      <c r="K937" s="90"/>
      <c r="L937" s="90"/>
      <c r="M937" s="90"/>
    </row>
    <row r="938" spans="1:13" s="89" customFormat="1" hidden="1" x14ac:dyDescent="0.25">
      <c r="A938" s="87"/>
      <c r="B938" s="70" t="s">
        <v>1317</v>
      </c>
      <c r="C938" s="13"/>
      <c r="D938" s="90"/>
      <c r="E938" s="90"/>
      <c r="F938" s="90"/>
      <c r="G938" s="90"/>
      <c r="H938" s="90"/>
      <c r="I938" s="90"/>
      <c r="J938" s="90"/>
      <c r="K938" s="90"/>
      <c r="L938" s="90"/>
      <c r="M938" s="90"/>
    </row>
    <row r="939" spans="1:13" s="89" customFormat="1" hidden="1" x14ac:dyDescent="0.25">
      <c r="A939" s="87"/>
      <c r="B939" s="70" t="s">
        <v>1301</v>
      </c>
      <c r="C939" s="13" t="s">
        <v>8</v>
      </c>
      <c r="D939" s="104">
        <f>IF(ISERR([1]Профессиональное!E766),"-",[1]Профессиональное!E766)</f>
        <v>13</v>
      </c>
      <c r="E939" s="104">
        <f>IF(ISERR([1]Профессиональное!F766),"-",[1]Профессиональное!F766)</f>
        <v>6.7848083931005734</v>
      </c>
      <c r="F939" s="104">
        <f>IF(ISERR([1]Профессиональное!G766),"-",[1]Профессиональное!G766)</f>
        <v>4.32</v>
      </c>
      <c r="G939" s="104">
        <f>IF(ISERR([1]Профессиональное!H766),"-",[1]Профессиональное!H766)</f>
        <v>11.33</v>
      </c>
      <c r="H939" s="104">
        <f>IF(ISERR([1]Профессиональное!I766),"-",[1]Профессиональное!I766)</f>
        <v>8.6379042086759306</v>
      </c>
      <c r="I939" s="104" t="str">
        <f>IF(ISERR([1]Профессиональное!J766),"-",[1]Профессиональное!J766)</f>
        <v>-</v>
      </c>
      <c r="J939" s="104" t="str">
        <f>IF(ISERR([1]Профессиональное!K766),"-",[1]Профессиональное!K766)</f>
        <v>-</v>
      </c>
      <c r="K939" s="104"/>
      <c r="L939" s="104"/>
      <c r="M939" s="104"/>
    </row>
    <row r="940" spans="1:13" s="89" customFormat="1" hidden="1" x14ac:dyDescent="0.25">
      <c r="A940" s="87"/>
      <c r="B940" s="70" t="s">
        <v>1302</v>
      </c>
      <c r="C940" s="13" t="s">
        <v>8</v>
      </c>
      <c r="D940" s="104">
        <f>IF(ISERR([1]Профессиональное!E767),"-",[1]Профессиональное!E767)</f>
        <v>100</v>
      </c>
      <c r="E940" s="104">
        <f>IF(ISERR([1]Профессиональное!F767),"-",[1]Профессиональное!F767)</f>
        <v>100</v>
      </c>
      <c r="F940" s="104">
        <f>IF(ISERR([1]Профессиональное!G767),"-",[1]Профессиональное!G767)</f>
        <v>100</v>
      </c>
      <c r="G940" s="104">
        <f>IF(ISERR([1]Профессиональное!H767),"-",[1]Профессиональное!H767)</f>
        <v>100</v>
      </c>
      <c r="H940" s="104">
        <f>IF(ISERR([1]Профессиональное!I767),"-",[1]Профессиональное!I767)</f>
        <v>100</v>
      </c>
      <c r="I940" s="104" t="str">
        <f>IF(ISERR([1]Профессиональное!J767),"-",[1]Профессиональное!J767)</f>
        <v>-</v>
      </c>
      <c r="J940" s="104" t="str">
        <f>IF(ISERR([1]Профессиональное!K767),"-",[1]Профессиональное!K767)</f>
        <v>-</v>
      </c>
      <c r="K940" s="104"/>
      <c r="L940" s="104"/>
      <c r="M940" s="104"/>
    </row>
    <row r="941" spans="1:13" s="89" customFormat="1" hidden="1" x14ac:dyDescent="0.25">
      <c r="A941" s="87"/>
      <c r="B941" s="70" t="s">
        <v>1318</v>
      </c>
      <c r="C941" s="13"/>
      <c r="D941" s="90"/>
      <c r="E941" s="90"/>
      <c r="F941" s="90"/>
      <c r="G941" s="90"/>
      <c r="H941" s="90"/>
      <c r="I941" s="90"/>
      <c r="J941" s="90"/>
      <c r="K941" s="90"/>
      <c r="L941" s="90"/>
      <c r="M941" s="90"/>
    </row>
    <row r="942" spans="1:13" s="89" customFormat="1" hidden="1" x14ac:dyDescent="0.25">
      <c r="A942" s="87"/>
      <c r="B942" s="70" t="s">
        <v>1301</v>
      </c>
      <c r="C942" s="13" t="s">
        <v>8</v>
      </c>
      <c r="D942" s="104">
        <f>IF(ISERR([1]Профессиональное!E775),"-",[1]Профессиональное!E775)</f>
        <v>0</v>
      </c>
      <c r="E942" s="104">
        <f>IF(ISERR([1]Профессиональное!F775),"-",[1]Профессиональное!F775)</f>
        <v>0</v>
      </c>
      <c r="F942" s="104">
        <f>IF(ISERR([1]Профессиональное!G775),"-",[1]Профессиональное!G775)</f>
        <v>25.99</v>
      </c>
      <c r="G942" s="104">
        <f>IF(ISERR([1]Профессиональное!H775),"-",[1]Профессиональное!H775)</f>
        <v>0</v>
      </c>
      <c r="H942" s="104">
        <f>IF(ISERR([1]Профессиональное!I775),"-",[1]Профессиональное!I775)</f>
        <v>0</v>
      </c>
      <c r="I942" s="104">
        <f>IF(ISERR([1]Профессиональное!J775),"-",[1]Профессиональное!J775)</f>
        <v>0</v>
      </c>
      <c r="J942" s="104">
        <f>IF(ISERR([1]Профессиональное!K775),"-",[1]Профессиональное!K775)</f>
        <v>0</v>
      </c>
      <c r="K942" s="104"/>
      <c r="L942" s="104"/>
      <c r="M942" s="104"/>
    </row>
    <row r="943" spans="1:13" s="89" customFormat="1" hidden="1" x14ac:dyDescent="0.25">
      <c r="A943" s="87"/>
      <c r="B943" s="70" t="s">
        <v>1302</v>
      </c>
      <c r="C943" s="13" t="s">
        <v>8</v>
      </c>
      <c r="D943" s="104">
        <f>IF(ISERR([1]Профессиональное!E776),"-",[1]Профессиональное!E776)</f>
        <v>0</v>
      </c>
      <c r="E943" s="104">
        <f>IF(ISERR([1]Профессиональное!F776),"-",[1]Профессиональное!F776)</f>
        <v>0</v>
      </c>
      <c r="F943" s="104">
        <f>IF(ISERR([1]Профессиональное!G776),"-",[1]Профессиональное!G776)</f>
        <v>0</v>
      </c>
      <c r="G943" s="104">
        <f>IF(ISERR([1]Профессиональное!H757),"-",[1]Профессиональное!H757)</f>
        <v>0</v>
      </c>
      <c r="H943" s="104">
        <f>IF(ISERR([1]Профессиональное!I757),"-",[1]Профессиональное!I757)</f>
        <v>0</v>
      </c>
      <c r="I943" s="104">
        <f>IF(ISERR([1]Профессиональное!J757),"-",[1]Профессиональное!J757)</f>
        <v>0</v>
      </c>
      <c r="J943" s="104">
        <f>IF(ISERR([1]Профессиональное!K757),"-",[1]Профессиональное!K757)</f>
        <v>0</v>
      </c>
      <c r="K943" s="104"/>
      <c r="L943" s="104"/>
      <c r="M943" s="104"/>
    </row>
    <row r="944" spans="1:13" s="89" customFormat="1" ht="60" hidden="1" x14ac:dyDescent="0.25">
      <c r="A944" s="13" t="s">
        <v>562</v>
      </c>
      <c r="B944" s="21" t="s">
        <v>563</v>
      </c>
      <c r="C944" s="13"/>
      <c r="D944" s="90"/>
      <c r="E944" s="90"/>
      <c r="F944" s="90"/>
      <c r="G944" s="90"/>
      <c r="H944" s="90"/>
      <c r="I944" s="90"/>
      <c r="J944" s="90"/>
      <c r="K944" s="90"/>
      <c r="L944" s="90"/>
      <c r="M944" s="90"/>
    </row>
    <row r="945" spans="1:13" s="89" customFormat="1" hidden="1" x14ac:dyDescent="0.25">
      <c r="A945" s="13"/>
      <c r="B945" s="70" t="s">
        <v>1317</v>
      </c>
      <c r="C945" s="13"/>
      <c r="D945" s="90"/>
      <c r="E945" s="90"/>
      <c r="F945" s="90"/>
      <c r="G945" s="90"/>
      <c r="H945" s="90"/>
      <c r="I945" s="90"/>
      <c r="J945" s="90"/>
      <c r="K945" s="90"/>
      <c r="L945" s="90"/>
      <c r="M945" s="90"/>
    </row>
    <row r="946" spans="1:13" s="89" customFormat="1" hidden="1" x14ac:dyDescent="0.25">
      <c r="A946" s="13"/>
      <c r="B946" s="70" t="s">
        <v>1301</v>
      </c>
      <c r="C946" s="13" t="s">
        <v>8</v>
      </c>
      <c r="D946" s="104">
        <f>D939</f>
        <v>13</v>
      </c>
      <c r="E946" s="104">
        <f>IF(ISERR([1]Профессиональное!F766),"-",[1]Профессиональное!F766)</f>
        <v>6.7848083931005734</v>
      </c>
      <c r="F946" s="104">
        <f>IF(ISERR([1]Профессиональное!G766),"-",[1]Профессиональное!G766)</f>
        <v>4.32</v>
      </c>
      <c r="G946" s="104">
        <f>IF(ISERR([1]Профессиональное!H766),"-",[1]Профессиональное!H766)</f>
        <v>11.33</v>
      </c>
      <c r="H946" s="104">
        <f>IF(ISERR([1]Профессиональное!I766),"-",[1]Профессиональное!I766)</f>
        <v>8.6379042086759306</v>
      </c>
      <c r="I946" s="104" t="str">
        <f>IF(ISERR([1]Профессиональное!J766),"-",[1]Профессиональное!J766)</f>
        <v>-</v>
      </c>
      <c r="J946" s="104" t="str">
        <f>IF(ISERR([1]Профессиональное!K766),"-",[1]Профессиональное!K766)</f>
        <v>-</v>
      </c>
      <c r="K946" s="104"/>
      <c r="L946" s="104"/>
      <c r="M946" s="104"/>
    </row>
    <row r="947" spans="1:13" s="89" customFormat="1" hidden="1" x14ac:dyDescent="0.25">
      <c r="A947" s="13"/>
      <c r="B947" s="70" t="s">
        <v>1302</v>
      </c>
      <c r="C947" s="13" t="s">
        <v>8</v>
      </c>
      <c r="D947" s="104">
        <f>IF(ISERR([1]Профессиональное!E767),"-",[1]Профессиональное!E767)</f>
        <v>100</v>
      </c>
      <c r="E947" s="104">
        <f>IF(ISERR([1]Профессиональное!F767),"-",[1]Профессиональное!F767)</f>
        <v>100</v>
      </c>
      <c r="F947" s="104">
        <f>IF(ISERR([1]Профессиональное!G767),"-",[1]Профессиональное!G767)</f>
        <v>100</v>
      </c>
      <c r="G947" s="104">
        <f>IF(ISERR([1]Профессиональное!H767),"-",[1]Профессиональное!H767)</f>
        <v>100</v>
      </c>
      <c r="H947" s="104">
        <f>IF(ISERR([1]Профессиональное!I767),"-",[1]Профессиональное!I767)</f>
        <v>100</v>
      </c>
      <c r="I947" s="104" t="str">
        <f>IF(ISERR([1]Профессиональное!J767),"-",[1]Профессиональное!J767)</f>
        <v>-</v>
      </c>
      <c r="J947" s="104" t="str">
        <f>IF(ISERR([1]Профессиональное!K767),"-",[1]Профессиональное!K767)</f>
        <v>-</v>
      </c>
      <c r="K947" s="104"/>
      <c r="L947" s="104"/>
      <c r="M947" s="104"/>
    </row>
    <row r="948" spans="1:13" s="89" customFormat="1" hidden="1" x14ac:dyDescent="0.25">
      <c r="A948" s="87"/>
      <c r="B948" s="70" t="s">
        <v>1319</v>
      </c>
      <c r="C948" s="13"/>
      <c r="D948" s="90"/>
      <c r="E948" s="90"/>
      <c r="F948" s="90"/>
      <c r="G948" s="90"/>
      <c r="H948" s="90"/>
      <c r="I948" s="90"/>
      <c r="J948" s="90"/>
      <c r="K948" s="90"/>
      <c r="L948" s="90"/>
      <c r="M948" s="90"/>
    </row>
    <row r="949" spans="1:13" s="89" customFormat="1" hidden="1" x14ac:dyDescent="0.25">
      <c r="A949" s="87"/>
      <c r="B949" s="70" t="s">
        <v>1301</v>
      </c>
      <c r="C949" s="13" t="s">
        <v>8</v>
      </c>
      <c r="D949" s="104">
        <f>IF(ISERR([1]Профессиональное!E775),"-",[1]Профессиональное!E775)</f>
        <v>0</v>
      </c>
      <c r="E949" s="104">
        <f>IF(ISERR([1]Профессиональное!F775),"-",[1]Профессиональное!F775)</f>
        <v>0</v>
      </c>
      <c r="F949" s="104">
        <f>IF(ISERR([1]Профессиональное!G775),"-",[1]Профессиональное!G775)</f>
        <v>25.99</v>
      </c>
      <c r="G949" s="104">
        <f>IF(ISERR([1]Профессиональное!H775),"-",[1]Профессиональное!H775)</f>
        <v>0</v>
      </c>
      <c r="H949" s="104">
        <f>IF(ISERR([1]Профессиональное!I775),"-",[1]Профессиональное!I775)</f>
        <v>0</v>
      </c>
      <c r="I949" s="104">
        <f>IF(ISERR([1]Профессиональное!J775),"-",[1]Профессиональное!J775)</f>
        <v>0</v>
      </c>
      <c r="J949" s="104">
        <f>IF(ISERR([1]Профессиональное!K775),"-",[1]Профессиональное!K775)</f>
        <v>0</v>
      </c>
      <c r="K949" s="104"/>
      <c r="L949" s="104"/>
      <c r="M949" s="104"/>
    </row>
    <row r="950" spans="1:13" s="89" customFormat="1" hidden="1" x14ac:dyDescent="0.25">
      <c r="A950" s="87"/>
      <c r="B950" s="70" t="s">
        <v>1302</v>
      </c>
      <c r="C950" s="13" t="s">
        <v>8</v>
      </c>
      <c r="D950" s="104">
        <f>IF(ISERR([1]Профессиональное!E776),"-",[1]Профессиональное!E776)</f>
        <v>0</v>
      </c>
      <c r="E950" s="104">
        <f>IF(ISERR([1]Профессиональное!F776),"-",[1]Профессиональное!F776)</f>
        <v>0</v>
      </c>
      <c r="F950" s="104">
        <f>IF(ISERR([1]Профессиональное!G776),"-",[1]Профессиональное!G776)</f>
        <v>0</v>
      </c>
      <c r="G950" s="104">
        <f>IF(ISERR([1]Профессиональное!H776),"-",[1]Профессиональное!H776)</f>
        <v>0</v>
      </c>
      <c r="H950" s="104">
        <f>IF(ISERR([1]Профессиональное!I776),"-",[1]Профессиональное!I776)</f>
        <v>0</v>
      </c>
      <c r="I950" s="104">
        <f>IF(ISERR([1]Профессиональное!J776),"-",[1]Профессиональное!J776)</f>
        <v>0</v>
      </c>
      <c r="J950" s="104">
        <f>IF(ISERR([1]Профессиональное!K776),"-",[1]Профессиональное!K776)</f>
        <v>0</v>
      </c>
      <c r="K950" s="104"/>
      <c r="L950" s="104"/>
      <c r="M950" s="104"/>
    </row>
    <row r="951" spans="1:13" s="89" customFormat="1" ht="75" hidden="1" x14ac:dyDescent="0.25">
      <c r="A951" s="13" t="s">
        <v>562</v>
      </c>
      <c r="B951" s="70" t="s">
        <v>2018</v>
      </c>
      <c r="C951" s="87"/>
      <c r="D951" s="90"/>
      <c r="E951" s="90"/>
      <c r="F951" s="90"/>
      <c r="G951" s="90"/>
      <c r="H951" s="90"/>
      <c r="I951" s="90"/>
      <c r="J951" s="90"/>
      <c r="K951" s="90"/>
      <c r="L951" s="90"/>
      <c r="M951" s="90"/>
    </row>
    <row r="952" spans="1:13" s="89" customFormat="1" ht="60" hidden="1" x14ac:dyDescent="0.25">
      <c r="A952" s="87"/>
      <c r="B952" s="70" t="s">
        <v>1320</v>
      </c>
      <c r="C952" s="13" t="s">
        <v>1114</v>
      </c>
      <c r="D952" s="104">
        <f>IF(ISERR([1]Профессиональное!E784),"-",[1]Профессиональное!E784)</f>
        <v>188.48</v>
      </c>
      <c r="E952" s="104">
        <f>IF(ISERR([1]Профессиональное!F784),"-",[1]Профессиональное!F784)</f>
        <v>0</v>
      </c>
      <c r="F952" s="104" t="str">
        <f>IF(ISERR([1]Профессиональное!G784),"-",[1]Профессиональное!G784)</f>
        <v>-</v>
      </c>
      <c r="G952" s="104"/>
      <c r="H952" s="104"/>
      <c r="I952" s="104"/>
      <c r="J952" s="104"/>
      <c r="K952" s="104"/>
      <c r="L952" s="104"/>
      <c r="M952" s="104"/>
    </row>
    <row r="953" spans="1:13" s="89" customFormat="1" hidden="1" x14ac:dyDescent="0.25">
      <c r="A953" s="87"/>
      <c r="B953" s="70" t="s">
        <v>1301</v>
      </c>
      <c r="C953" s="13" t="s">
        <v>1114</v>
      </c>
      <c r="D953" s="104"/>
      <c r="E953" s="104"/>
      <c r="F953" s="104"/>
      <c r="G953" s="104">
        <f>IF(ISERR([1]Профессиональное!H785),"-",[1]Профессиональное!H785)</f>
        <v>0</v>
      </c>
      <c r="H953" s="104">
        <f>IF(ISERR([1]Профессиональное!I785),"-",[1]Профессиональное!I785)</f>
        <v>269.03483713638735</v>
      </c>
      <c r="I953" s="104" t="str">
        <f>IF(ISERR([1]Профессиональное!J785),"-",[1]Профессиональное!J785)</f>
        <v>-</v>
      </c>
      <c r="J953" s="104" t="str">
        <f>IF(ISERR([1]Профессиональное!K785),"-",[1]Профессиональное!K785)</f>
        <v>-</v>
      </c>
      <c r="K953" s="104"/>
      <c r="L953" s="104"/>
      <c r="M953" s="104"/>
    </row>
    <row r="954" spans="1:13" s="89" customFormat="1" hidden="1" x14ac:dyDescent="0.25">
      <c r="A954" s="87"/>
      <c r="B954" s="70" t="s">
        <v>1302</v>
      </c>
      <c r="C954" s="13" t="s">
        <v>1114</v>
      </c>
      <c r="D954" s="104"/>
      <c r="E954" s="104"/>
      <c r="F954" s="104"/>
      <c r="G954" s="104">
        <f>IF(ISERR([1]Профессиональное!H786),"-",[1]Профессиональное!H786)</f>
        <v>0</v>
      </c>
      <c r="H954" s="104">
        <f>IF(ISERR([1]Профессиональное!I786),"-",[1]Профессиональное!I786)</f>
        <v>74.666666666666671</v>
      </c>
      <c r="I954" s="104" t="str">
        <f>IF(ISERR([1]Профессиональное!J786),"-",[1]Профессиональное!J786)</f>
        <v>-</v>
      </c>
      <c r="J954" s="104" t="str">
        <f>IF(ISERR([1]Профессиональное!K786),"-",[1]Профессиональное!K786)</f>
        <v>-</v>
      </c>
      <c r="K954" s="104"/>
      <c r="L954" s="104"/>
      <c r="M954" s="104"/>
    </row>
    <row r="955" spans="1:13" s="89" customFormat="1" ht="45" hidden="1" x14ac:dyDescent="0.25">
      <c r="A955" s="87"/>
      <c r="B955" s="70" t="s">
        <v>1321</v>
      </c>
      <c r="C955" s="13"/>
      <c r="D955" s="90"/>
      <c r="E955" s="90"/>
      <c r="F955" s="90"/>
      <c r="G955" s="90"/>
      <c r="H955" s="90"/>
      <c r="I955" s="90"/>
      <c r="J955" s="90"/>
      <c r="K955" s="90"/>
      <c r="L955" s="90"/>
      <c r="M955" s="90"/>
    </row>
    <row r="956" spans="1:13" s="89" customFormat="1" hidden="1" x14ac:dyDescent="0.25">
      <c r="A956" s="87"/>
      <c r="B956" s="70" t="s">
        <v>1301</v>
      </c>
      <c r="C956" s="13" t="s">
        <v>1114</v>
      </c>
      <c r="D956" s="104">
        <f>IF(ISERR([1]Профессиональное!E803),"-",[1]Профессиональное!E803)</f>
        <v>387.3</v>
      </c>
      <c r="E956" s="104">
        <f>IF(ISERR([1]Профессиональное!F803),"-",[1]Профессиональное!F803)</f>
        <v>428.31</v>
      </c>
      <c r="F956" s="104">
        <f>IF(ISERR([1]Профессиональное!G803),"-",[1]Профессиональное!G803)</f>
        <v>291.89</v>
      </c>
      <c r="G956" s="104">
        <f>IF(ISERR([1]Профессиональное!H803),"-",[1]Профессиональное!H803)</f>
        <v>286.87</v>
      </c>
      <c r="H956" s="104">
        <f>IF(ISERR([1]Профессиональное!I803),"-",[1]Профессиональное!I803)</f>
        <v>169.49590424867563</v>
      </c>
      <c r="I956" s="104" t="str">
        <f>IF(ISERR([1]Профессиональное!J803),"-",[1]Профессиональное!J803)</f>
        <v>-</v>
      </c>
      <c r="J956" s="104" t="str">
        <f>IF(ISERR([1]Профессиональное!K803),"-",[1]Профессиональное!K803)</f>
        <v>-</v>
      </c>
      <c r="K956" s="104"/>
      <c r="L956" s="104"/>
      <c r="M956" s="104"/>
    </row>
    <row r="957" spans="1:13" s="89" customFormat="1" hidden="1" x14ac:dyDescent="0.25">
      <c r="A957" s="87"/>
      <c r="B957" s="70" t="s">
        <v>1302</v>
      </c>
      <c r="C957" s="13" t="s">
        <v>1114</v>
      </c>
      <c r="D957" s="104">
        <f>IF(ISERR([1]Профессиональное!E804),"-",[1]Профессиональное!E804)</f>
        <v>29.2</v>
      </c>
      <c r="E957" s="104">
        <f>IF(ISERR([1]Профессиональное!F804),"-",[1]Профессиональное!F804)</f>
        <v>37.46</v>
      </c>
      <c r="F957" s="104">
        <f>IF(ISERR([1]Профессиональное!G804),"-",[1]Профессиональное!G804)</f>
        <v>42.03</v>
      </c>
      <c r="G957" s="104">
        <f>IF(ISERR([1]Профессиональное!H804),"-",[1]Профессиональное!H804)</f>
        <v>43.04</v>
      </c>
      <c r="H957" s="104">
        <f>IF(ISERR([1]Профессиональное!I804),"-",[1]Профессиональное!I804)</f>
        <v>3.5673034450614898</v>
      </c>
      <c r="I957" s="104" t="str">
        <f>IF(ISERR([1]Профессиональное!J804),"-",[1]Профессиональное!J804)</f>
        <v>-</v>
      </c>
      <c r="J957" s="104" t="str">
        <f>IF(ISERR([1]Профессиональное!K804),"-",[1]Профессиональное!K804)</f>
        <v>-</v>
      </c>
      <c r="K957" s="104"/>
      <c r="L957" s="104"/>
      <c r="M957" s="104"/>
    </row>
    <row r="958" spans="1:13" s="89" customFormat="1" ht="45" x14ac:dyDescent="0.25">
      <c r="A958" s="99" t="s">
        <v>546</v>
      </c>
      <c r="B958" s="100" t="s">
        <v>2571</v>
      </c>
      <c r="C958" s="87"/>
      <c r="D958" s="90"/>
      <c r="E958" s="90"/>
      <c r="F958" s="90"/>
      <c r="G958" s="90"/>
      <c r="H958" s="90"/>
      <c r="I958" s="90"/>
      <c r="J958" s="90"/>
      <c r="K958" s="90"/>
      <c r="L958" s="90"/>
      <c r="M958" s="90"/>
    </row>
    <row r="959" spans="1:13" s="89" customFormat="1" ht="60" x14ac:dyDescent="0.25">
      <c r="A959" s="13" t="s">
        <v>549</v>
      </c>
      <c r="B959" s="70" t="s">
        <v>2017</v>
      </c>
      <c r="C959" s="13"/>
      <c r="D959" s="90"/>
      <c r="E959" s="90"/>
      <c r="F959" s="90"/>
      <c r="G959" s="90"/>
      <c r="H959" s="90"/>
      <c r="I959" s="90"/>
      <c r="J959" s="90"/>
      <c r="K959" s="90"/>
      <c r="L959" s="90"/>
      <c r="M959" s="90"/>
    </row>
    <row r="960" spans="1:13" s="89" customFormat="1" x14ac:dyDescent="0.25">
      <c r="A960" s="13"/>
      <c r="B960" s="70" t="s">
        <v>1301</v>
      </c>
      <c r="C960" s="13" t="s">
        <v>8</v>
      </c>
      <c r="D960" s="104">
        <f>IF(ISERR([1]Профессиональное!E813),"-",[1]Профессиональное!E813)</f>
        <v>0</v>
      </c>
      <c r="E960" s="104">
        <f>IF(ISERR([1]Профессиональное!F813),"-",[1]Профессиональное!F813)</f>
        <v>12.5</v>
      </c>
      <c r="F960" s="104">
        <f>IF(ISERR([1]Профессиональное!G813),"-",[1]Профессиональное!G813)</f>
        <v>12.5</v>
      </c>
      <c r="G960" s="104">
        <f>IF(ISERR([1]Профессиональное!H813),"-",[1]Профессиональное!H813)</f>
        <v>0</v>
      </c>
      <c r="H960" s="104">
        <f>IF(ISERR([1]Профессиональное!I813),"-",[1]Профессиональное!I813)</f>
        <v>12.5</v>
      </c>
      <c r="I960" s="104">
        <f>IF(ISERR([1]Профессиональное!J813),"-",[1]Профессиональное!J813)</f>
        <v>4.1666666666666661</v>
      </c>
      <c r="J960" s="104">
        <f>IF(ISERR([1]Профессиональное!K813),"-",[1]Профессиональное!K813)</f>
        <v>4.1666666666666661</v>
      </c>
      <c r="K960" s="104"/>
      <c r="L960" s="104"/>
      <c r="M960" s="104"/>
    </row>
    <row r="961" spans="1:13" s="89" customFormat="1" x14ac:dyDescent="0.25">
      <c r="A961" s="13"/>
      <c r="B961" s="70" t="s">
        <v>1302</v>
      </c>
      <c r="C961" s="13" t="s">
        <v>8</v>
      </c>
      <c r="D961" s="104">
        <f>IF(ISERR([1]Профессиональное!E814),"-",[1]Профессиональное!E814)</f>
        <v>0</v>
      </c>
      <c r="E961" s="104" t="str">
        <f>IF(ISERR([1]Профессиональное!F814),"-",[1]Профессиональное!F814)</f>
        <v>-</v>
      </c>
      <c r="F961" s="104" t="str">
        <f>IF(ISERR([1]Профессиональное!G814),"-",[1]Профессиональное!G814)</f>
        <v>-</v>
      </c>
      <c r="G961" s="104">
        <f>IF(ISERR([1]Профессиональное!H814),"-",[1]Профессиональное!H814)</f>
        <v>0</v>
      </c>
      <c r="H961" s="104">
        <f>IF(ISERR([1]Профессиональное!I814),"-",[1]Профессиональное!I814)</f>
        <v>0</v>
      </c>
      <c r="I961" s="104">
        <f>IF(ISERR([1]Профессиональное!J814),"-",[1]Профессиональное!J814)</f>
        <v>0</v>
      </c>
      <c r="J961" s="104">
        <f>IF(ISERR([1]Профессиональное!K814),"-",[1]Профессиональное!K814)</f>
        <v>0</v>
      </c>
      <c r="K961" s="104"/>
      <c r="L961" s="104"/>
      <c r="M961" s="104"/>
    </row>
    <row r="962" spans="1:13" s="89" customFormat="1" ht="105" hidden="1" x14ac:dyDescent="0.25">
      <c r="A962" s="13" t="s">
        <v>1481</v>
      </c>
      <c r="B962" s="21" t="s">
        <v>2016</v>
      </c>
      <c r="C962" s="13" t="s">
        <v>8</v>
      </c>
      <c r="D962" s="104" t="str">
        <f>IF(ISERR([1]Профессиональное!E821),"-",[1]Профессиональное!E821)</f>
        <v>-</v>
      </c>
      <c r="E962" s="104" t="str">
        <f>IF(ISERR([1]Профессиональное!F821),"-",[1]Профессиональное!F821)</f>
        <v>-</v>
      </c>
      <c r="F962" s="104" t="str">
        <f>IF(ISERR([1]Профессиональное!G821),"-",[1]Профессиональное!G821)</f>
        <v>-</v>
      </c>
      <c r="G962" s="104" t="str">
        <f>IF(ISERR([1]Профессиональное!H821),"-",[1]Профессиональное!H821)</f>
        <v>-</v>
      </c>
      <c r="H962" s="104" t="str">
        <f>IF(ISERR([1]Профессиональное!I821),"-",[1]Профессиональное!I821)</f>
        <v>-</v>
      </c>
      <c r="I962" s="104" t="str">
        <f>IF(ISERR([1]Профессиональное!J821),"-",[1]Профессиональное!J821)</f>
        <v>-</v>
      </c>
      <c r="J962" s="104" t="str">
        <f>IF(ISERR([1]Профессиональное!K821),"-",[1]Профессиональное!K821)</f>
        <v>-</v>
      </c>
      <c r="K962" s="104"/>
      <c r="L962" s="104"/>
      <c r="M962" s="104"/>
    </row>
    <row r="963" spans="1:13" s="89" customFormat="1" ht="60" x14ac:dyDescent="0.25">
      <c r="A963" s="99" t="s">
        <v>601</v>
      </c>
      <c r="B963" s="100" t="s">
        <v>587</v>
      </c>
      <c r="C963" s="87"/>
      <c r="D963" s="90"/>
      <c r="E963" s="90"/>
      <c r="F963" s="90"/>
      <c r="G963" s="90"/>
      <c r="H963" s="90"/>
      <c r="I963" s="90"/>
      <c r="J963" s="90"/>
      <c r="K963" s="90"/>
      <c r="L963" s="90"/>
      <c r="M963" s="90"/>
    </row>
    <row r="964" spans="1:13" s="89" customFormat="1" ht="60" x14ac:dyDescent="0.25">
      <c r="A964" s="13" t="s">
        <v>602</v>
      </c>
      <c r="B964" s="70" t="s">
        <v>2015</v>
      </c>
      <c r="C964" s="13"/>
      <c r="D964" s="90"/>
      <c r="E964" s="90"/>
      <c r="F964" s="90"/>
      <c r="G964" s="90"/>
      <c r="H964" s="90"/>
      <c r="I964" s="90"/>
      <c r="J964" s="90"/>
      <c r="K964" s="90"/>
      <c r="L964" s="90"/>
      <c r="M964" s="90"/>
    </row>
    <row r="965" spans="1:13" s="89" customFormat="1" x14ac:dyDescent="0.25">
      <c r="A965" s="13"/>
      <c r="B965" s="70" t="s">
        <v>1296</v>
      </c>
      <c r="C965" s="13"/>
      <c r="D965" s="90"/>
      <c r="E965" s="90"/>
      <c r="F965" s="90"/>
      <c r="G965" s="90"/>
      <c r="H965" s="90"/>
      <c r="I965" s="90"/>
      <c r="J965" s="90"/>
      <c r="K965" s="90"/>
      <c r="L965" s="90"/>
      <c r="M965" s="90"/>
    </row>
    <row r="966" spans="1:13" s="89" customFormat="1" x14ac:dyDescent="0.25">
      <c r="A966" s="13"/>
      <c r="B966" s="70" t="s">
        <v>2706</v>
      </c>
      <c r="C966" s="13" t="s">
        <v>8</v>
      </c>
      <c r="D966" s="93">
        <f>IF(ISERR([1]Профессиональное!E827),"-",[1]Профессиональное!E827)</f>
        <v>76.989999999999995</v>
      </c>
      <c r="E966" s="93">
        <f>IF(ISERR([1]Профессиональное!F827),"-",[1]Профессиональное!F827)</f>
        <v>72.454078876283091</v>
      </c>
      <c r="F966" s="93">
        <f>IF(ISERR([1]Профессиональное!G827),"-",[1]Профессиональное!G827)</f>
        <v>66.42</v>
      </c>
      <c r="G966" s="93">
        <f>IF(ISERR([1]Профессиональное!H827),"-",[1]Профессиональное!H827)</f>
        <v>72.8</v>
      </c>
      <c r="H966" s="93">
        <f>IF(ISERR([1]Профессиональное!I827),"-",[1]Профессиональное!I827)</f>
        <v>71.440246836489194</v>
      </c>
      <c r="I966" s="93">
        <f>IF(ISERR([1]Профессиональное!J827),"-",[1]Профессиональное!J827)</f>
        <v>90.129702938431336</v>
      </c>
      <c r="J966" s="93">
        <v>92.71</v>
      </c>
      <c r="K966" s="93"/>
      <c r="L966" s="93"/>
      <c r="M966" s="93"/>
    </row>
    <row r="967" spans="1:13" s="89" customFormat="1" x14ac:dyDescent="0.25">
      <c r="A967" s="13"/>
      <c r="B967" s="70" t="s">
        <v>2707</v>
      </c>
      <c r="C967" s="13" t="s">
        <v>8</v>
      </c>
      <c r="D967" s="93">
        <f>IF(ISERR([1]Профессиональное!E830),"-",[1]Профессиональное!E830)</f>
        <v>87.98</v>
      </c>
      <c r="E967" s="93">
        <f>IF(ISERR([1]Профессиональное!F830),"-",[1]Профессиональное!F830)</f>
        <v>72.408239382893953</v>
      </c>
      <c r="F967" s="93">
        <f>IF(ISERR([1]Профессиональное!G830),"-",[1]Профессиональное!G830)</f>
        <v>89.187723328228685</v>
      </c>
      <c r="G967" s="93">
        <f>IF(ISERR([1]Профессиональное!H830),"-",[1]Профессиональное!H830)</f>
        <v>90.97372974673587</v>
      </c>
      <c r="H967" s="93">
        <f>IF(ISERR([1]Профессиональное!I830),"-",[1]Профессиональное!I830)</f>
        <v>91.65134706814581</v>
      </c>
      <c r="I967" s="93">
        <f>IF(ISERR([1]Профессиональное!J830),"-",[1]Профессиональное!J830)</f>
        <v>99.127729479836006</v>
      </c>
      <c r="J967" s="93">
        <v>100</v>
      </c>
      <c r="K967" s="93"/>
      <c r="L967" s="93"/>
      <c r="M967" s="93"/>
    </row>
    <row r="968" spans="1:13" s="89" customFormat="1" x14ac:dyDescent="0.25">
      <c r="A968" s="13"/>
      <c r="B968" s="70" t="s">
        <v>1297</v>
      </c>
      <c r="C968" s="13"/>
      <c r="D968" s="90"/>
      <c r="E968" s="90"/>
      <c r="F968" s="90"/>
      <c r="G968" s="90"/>
      <c r="H968" s="90"/>
      <c r="I968" s="90"/>
      <c r="J968" s="90"/>
      <c r="K968" s="90"/>
      <c r="L968" s="90"/>
      <c r="M968" s="90"/>
    </row>
    <row r="969" spans="1:13" s="89" customFormat="1" x14ac:dyDescent="0.25">
      <c r="A969" s="13"/>
      <c r="B969" s="70" t="s">
        <v>2706</v>
      </c>
      <c r="C969" s="13" t="s">
        <v>8</v>
      </c>
      <c r="D969" s="104">
        <f>IF(ISERR([1]Профессиональное!E828),"-",[1]Профессиональное!E828)</f>
        <v>100</v>
      </c>
      <c r="E969" s="104">
        <f>IF(ISERR([1]Профессиональное!F828),"-",[1]Профессиональное!F828)</f>
        <v>100</v>
      </c>
      <c r="F969" s="104">
        <f>IF(ISERR([1]Профессиональное!G828),"-",[1]Профессиональное!G828)</f>
        <v>100</v>
      </c>
      <c r="G969" s="104">
        <f>IF(ISERR([1]Профессиональное!H828),"-",[1]Профессиональное!H828)</f>
        <v>100</v>
      </c>
      <c r="H969" s="104">
        <f>IF(ISERR([1]Профессиональное!I828),"-",[1]Профессиональное!I828)</f>
        <v>100</v>
      </c>
      <c r="I969" s="104">
        <f>IF(ISERR([1]Профессиональное!J828),"-",[1]Профессиональное!J828)</f>
        <v>100</v>
      </c>
      <c r="J969" s="104">
        <v>100</v>
      </c>
      <c r="K969" s="104"/>
      <c r="L969" s="104"/>
      <c r="M969" s="104"/>
    </row>
    <row r="970" spans="1:13" s="89" customFormat="1" x14ac:dyDescent="0.25">
      <c r="A970" s="13"/>
      <c r="B970" s="70" t="s">
        <v>2707</v>
      </c>
      <c r="C970" s="13" t="s">
        <v>8</v>
      </c>
      <c r="D970" s="93">
        <f>IF(ISERR([1]Профессиональное!E831),"-",[1]Профессиональное!E831)</f>
        <v>0</v>
      </c>
      <c r="E970" s="93">
        <f>IF(ISERR([1]Профессиональное!F831),"-",[1]Профессиональное!F831)</f>
        <v>0</v>
      </c>
      <c r="F970" s="93">
        <f>IF(ISERR([1]Профессиональное!G831),"-",[1]Профессиональное!G831)</f>
        <v>0</v>
      </c>
      <c r="G970" s="93" t="str">
        <f>IF(ISERR([1]Профессиональное!H831),"-",[1]Профессиональное!H831)</f>
        <v>-</v>
      </c>
      <c r="H970" s="93" t="str">
        <f>IF(ISERR([1]Профессиональное!I831),"-",[1]Профессиональное!I831)</f>
        <v>-</v>
      </c>
      <c r="I970" s="93" t="str">
        <f>IF(ISERR([1]Профессиональное!J831),"-",[1]Профессиональное!J831)</f>
        <v>-</v>
      </c>
      <c r="J970" s="93" t="str">
        <f>IF(ISERR([1]Профессиональное!K831),"-",[1]Профессиональное!K831)</f>
        <v>-</v>
      </c>
      <c r="K970" s="93"/>
      <c r="L970" s="93"/>
      <c r="M970" s="93"/>
    </row>
    <row r="971" spans="1:13" s="89" customFormat="1" ht="75" hidden="1" x14ac:dyDescent="0.25">
      <c r="A971" s="13" t="s">
        <v>596</v>
      </c>
      <c r="B971" s="70" t="s">
        <v>595</v>
      </c>
      <c r="C971" s="13" t="s">
        <v>8</v>
      </c>
      <c r="D971" s="93">
        <f>IF(ISERR([1]Профессиональное!E844),"-",[1]Профессиональное!E844)</f>
        <v>0</v>
      </c>
      <c r="E971" s="93">
        <f>IF(ISERR([1]Профессиональное!F844),"-",[1]Профессиональное!F844)</f>
        <v>0</v>
      </c>
      <c r="F971" s="93">
        <f>IF(ISERR([1]Профессиональное!G844),"-",[1]Профессиональное!G844)</f>
        <v>0</v>
      </c>
      <c r="G971" s="93">
        <f>IF(ISERR([1]Профессиональное!H844),"-",[1]Профессиональное!H844)</f>
        <v>88.52</v>
      </c>
      <c r="H971" s="93">
        <f>IF(ISERR([1]Профессиональное!I844),"-",[1]Профессиональное!I844)</f>
        <v>0</v>
      </c>
      <c r="I971" s="93">
        <f>IF(ISERR([1]Профессиональное!J844),"-",[1]Профессиональное!J844)</f>
        <v>0</v>
      </c>
      <c r="J971" s="93" t="str">
        <f>IF(ISERR([1]Профессиональное!M844),"-",[1]Профессиональное!M844)</f>
        <v>Российская Федерация; субъекты Российской Федерации.</v>
      </c>
      <c r="K971" s="93"/>
      <c r="L971" s="93"/>
      <c r="M971" s="93"/>
    </row>
    <row r="972" spans="1:13" s="89" customFormat="1" ht="75" hidden="1" x14ac:dyDescent="0.25">
      <c r="A972" s="13" t="s">
        <v>604</v>
      </c>
      <c r="B972" s="70" t="s">
        <v>603</v>
      </c>
      <c r="C972" s="13" t="s">
        <v>8</v>
      </c>
      <c r="D972" s="93">
        <f>IF(ISERR([1]Профессиональное!E847),"-",[1]Профессиональное!E847)</f>
        <v>0</v>
      </c>
      <c r="E972" s="93">
        <f>IF(ISERR([1]Профессиональное!F847),"-",[1]Профессиональное!F847)</f>
        <v>0</v>
      </c>
      <c r="F972" s="93">
        <f>IF(ISERR([1]Профессиональное!G847),"-",[1]Профессиональное!G847)</f>
        <v>0</v>
      </c>
      <c r="G972" s="93">
        <f>IF(ISERR([1]Профессиональное!H847),"-",[1]Профессиональное!H847)</f>
        <v>0</v>
      </c>
      <c r="H972" s="93">
        <f>IF(ISERR([1]Профессиональное!I847),"-",[1]Профессиональное!I847)</f>
        <v>0</v>
      </c>
      <c r="I972" s="93">
        <f>IF(ISERR([1]Профессиональное!J847),"-",[1]Профессиональное!J847)</f>
        <v>0</v>
      </c>
      <c r="J972" s="93" t="str">
        <f>IF(ISERR([1]Профессиональное!M847),"-",[1]Профессиональное!M847)</f>
        <v>Российская Федерация; субъекты Российской Федерации.</v>
      </c>
      <c r="K972" s="93"/>
      <c r="L972" s="93"/>
      <c r="M972" s="93"/>
    </row>
    <row r="973" spans="1:13" s="89" customFormat="1" ht="60" x14ac:dyDescent="0.25">
      <c r="A973" s="13" t="s">
        <v>1481</v>
      </c>
      <c r="B973" s="70" t="s">
        <v>2014</v>
      </c>
      <c r="C973" s="13"/>
      <c r="D973" s="93"/>
      <c r="E973" s="93"/>
      <c r="F973" s="93"/>
      <c r="G973" s="93"/>
      <c r="H973" s="93"/>
      <c r="I973" s="93"/>
      <c r="J973" s="93"/>
      <c r="K973" s="93"/>
      <c r="L973" s="93"/>
      <c r="M973" s="93"/>
    </row>
    <row r="974" spans="1:13" s="89" customFormat="1" x14ac:dyDescent="0.25">
      <c r="A974" s="13"/>
      <c r="B974" s="70" t="s">
        <v>1296</v>
      </c>
      <c r="C974" s="13"/>
      <c r="D974" s="93"/>
      <c r="E974" s="93"/>
      <c r="F974" s="93"/>
      <c r="G974" s="93"/>
      <c r="H974" s="93"/>
      <c r="I974" s="93"/>
      <c r="J974" s="93"/>
      <c r="K974" s="93"/>
      <c r="L974" s="93"/>
      <c r="M974" s="93"/>
    </row>
    <row r="975" spans="1:13" s="89" customFormat="1" x14ac:dyDescent="0.25">
      <c r="A975" s="13"/>
      <c r="B975" s="70" t="s">
        <v>2706</v>
      </c>
      <c r="C975" s="13" t="s">
        <v>8</v>
      </c>
      <c r="D975" s="93">
        <f>IF(ISERR([1]Профессиональное!E852),"-",[1]Профессиональное!E852)</f>
        <v>0.23</v>
      </c>
      <c r="E975" s="93">
        <f>IF(ISERR([1]Профессиональное!F852),"-",[1]Профессиональное!F852)</f>
        <v>1.3843868179362506</v>
      </c>
      <c r="F975" s="93">
        <f>IF(ISERR([1]Профессиональное!G852),"-",[1]Профессиональное!G852)</f>
        <v>1.34</v>
      </c>
      <c r="G975" s="93">
        <f>IF(ISERR([1]Профессиональное!H852),"-",[1]Профессиональное!H852)</f>
        <v>1.28</v>
      </c>
      <c r="H975" s="93">
        <f>IF(ISERR([1]Профессиональное!I852),"-",[1]Профессиональное!I852)</f>
        <v>1.2561093409841266</v>
      </c>
      <c r="I975" s="93">
        <f>IF(ISERR([1]Профессиональное!J852),"-",[1]Профессиональное!J852)</f>
        <v>1.7823694119918896</v>
      </c>
      <c r="J975" s="93">
        <v>1.18</v>
      </c>
      <c r="K975" s="93"/>
      <c r="L975" s="93"/>
      <c r="M975" s="93"/>
    </row>
    <row r="976" spans="1:13" s="89" customFormat="1" x14ac:dyDescent="0.25">
      <c r="A976" s="13"/>
      <c r="B976" s="70" t="s">
        <v>2707</v>
      </c>
      <c r="C976" s="13" t="s">
        <v>8</v>
      </c>
      <c r="D976" s="93">
        <f>IF(ISERR([1]Профессиональное!E893),"-",[1]Профессиональное!E893)</f>
        <v>0</v>
      </c>
      <c r="E976" s="93">
        <f>IF(ISERR([1]Профессиональное!F893),"-",[1]Профессиональное!F893)</f>
        <v>0</v>
      </c>
      <c r="F976" s="93">
        <f>IF(ISERR([1]Профессиональное!G893),"-",[1]Профессиональное!G893)</f>
        <v>0</v>
      </c>
      <c r="G976" s="93">
        <f>IF(ISERR([1]Профессиональное!H893),"-",[1]Профессиональное!H893)</f>
        <v>0</v>
      </c>
      <c r="H976" s="93" t="str">
        <f>IF(ISERR([1]Профессиональное!I893),"-",[1]Профессиональное!I893)</f>
        <v>-</v>
      </c>
      <c r="I976" s="93" t="str">
        <f>IF(ISERR([1]Профессиональное!J893),"-",[1]Профессиональное!J893)</f>
        <v>-</v>
      </c>
      <c r="J976" s="93" t="str">
        <f>IF(ISERR([1]Профессиональное!K893),"-",[1]Профессиональное!K893)</f>
        <v>-</v>
      </c>
      <c r="K976" s="93"/>
      <c r="L976" s="93"/>
      <c r="M976" s="93"/>
    </row>
    <row r="977" spans="1:13" s="89" customFormat="1" x14ac:dyDescent="0.25">
      <c r="A977" s="13"/>
      <c r="B977" s="70" t="s">
        <v>1297</v>
      </c>
      <c r="C977" s="13"/>
      <c r="D977" s="93"/>
      <c r="E977" s="93"/>
      <c r="F977" s="93"/>
      <c r="G977" s="93"/>
      <c r="H977" s="93"/>
      <c r="I977" s="93"/>
      <c r="J977" s="93"/>
      <c r="K977" s="93"/>
      <c r="L977" s="93"/>
      <c r="M977" s="93"/>
    </row>
    <row r="978" spans="1:13" s="89" customFormat="1" x14ac:dyDescent="0.25">
      <c r="A978" s="13"/>
      <c r="B978" s="70" t="s">
        <v>2706</v>
      </c>
      <c r="C978" s="13" t="s">
        <v>8</v>
      </c>
      <c r="D978" s="93">
        <f>IF(ISERR([1]Профессиональное!E853),"-",[1]Профессиональное!E853)</f>
        <v>0</v>
      </c>
      <c r="E978" s="93">
        <f>IF(ISERR([1]Профессиональное!F853),"-",[1]Профессиональное!F853)</f>
        <v>0</v>
      </c>
      <c r="F978" s="93">
        <f>IF(ISERR([1]Профессиональное!G853),"-",[1]Профессиональное!G853)</f>
        <v>0</v>
      </c>
      <c r="G978" s="93">
        <f>IF(ISERR([1]Профессиональное!H853),"-",[1]Профессиональное!H853)</f>
        <v>0</v>
      </c>
      <c r="H978" s="93">
        <f>IF(ISERR([1]Профессиональное!I853),"-",[1]Профессиональное!I853)</f>
        <v>0</v>
      </c>
      <c r="I978" s="93">
        <f>IF(ISERR([1]Профессиональное!J853),"-",[1]Профессиональное!J853)</f>
        <v>0</v>
      </c>
      <c r="J978" s="93">
        <v>0</v>
      </c>
      <c r="K978" s="93"/>
      <c r="L978" s="93"/>
      <c r="M978" s="93"/>
    </row>
    <row r="979" spans="1:13" s="89" customFormat="1" x14ac:dyDescent="0.25">
      <c r="A979" s="13"/>
      <c r="B979" s="70" t="s">
        <v>2707</v>
      </c>
      <c r="C979" s="13" t="s">
        <v>8</v>
      </c>
      <c r="D979" s="93">
        <f>IF(ISERR([1]Профессиональное!E894),"-",[1]Профессиональное!E894)</f>
        <v>0</v>
      </c>
      <c r="E979" s="93">
        <f>IF(ISERR([1]Профессиональное!F894),"-",[1]Профессиональное!F894)</f>
        <v>0</v>
      </c>
      <c r="F979" s="93">
        <f>IF(ISERR([1]Профессиональное!G894),"-",[1]Профессиональное!G894)</f>
        <v>0</v>
      </c>
      <c r="G979" s="93" t="str">
        <f>IF(ISERR([1]Профессиональное!H856),"-",[1]Профессиональное!H856)</f>
        <v>-</v>
      </c>
      <c r="H979" s="93" t="str">
        <f>IF(ISERR([1]Профессиональное!I856),"-",[1]Профессиональное!I856)</f>
        <v>-</v>
      </c>
      <c r="I979" s="93" t="str">
        <f>IF(ISERR([1]Профессиональное!J856),"-",[1]Профессиональное!J856)</f>
        <v>-</v>
      </c>
      <c r="J979" s="93" t="str">
        <f>IF(ISERR([1]Профессиональное!K856),"-",[1]Профессиональное!K856)</f>
        <v>-</v>
      </c>
      <c r="K979" s="93"/>
      <c r="L979" s="93"/>
      <c r="M979" s="93"/>
    </row>
    <row r="980" spans="1:13" s="89" customFormat="1" ht="60" x14ac:dyDescent="0.25">
      <c r="A980" s="13" t="s">
        <v>2572</v>
      </c>
      <c r="B980" s="70" t="s">
        <v>2013</v>
      </c>
      <c r="C980" s="13"/>
      <c r="D980" s="90"/>
      <c r="E980" s="90"/>
      <c r="F980" s="90"/>
      <c r="G980" s="90"/>
      <c r="H980" s="90"/>
      <c r="I980" s="90"/>
      <c r="J980" s="90"/>
      <c r="K980" s="90"/>
      <c r="L980" s="90"/>
      <c r="M980" s="90"/>
    </row>
    <row r="981" spans="1:13" s="89" customFormat="1" x14ac:dyDescent="0.25">
      <c r="A981" s="13"/>
      <c r="B981" s="70" t="s">
        <v>1296</v>
      </c>
      <c r="C981" s="13"/>
      <c r="D981" s="90"/>
      <c r="E981" s="90"/>
      <c r="F981" s="90"/>
      <c r="G981" s="90"/>
      <c r="H981" s="90"/>
      <c r="I981" s="90"/>
      <c r="J981" s="90"/>
      <c r="K981" s="90"/>
      <c r="L981" s="90"/>
      <c r="M981" s="90"/>
    </row>
    <row r="982" spans="1:13" s="89" customFormat="1" x14ac:dyDescent="0.25">
      <c r="A982" s="13"/>
      <c r="B982" s="70" t="s">
        <v>2706</v>
      </c>
      <c r="C982" s="13" t="s">
        <v>8</v>
      </c>
      <c r="D982" s="93">
        <f>IF(ISERR([1]Профессиональное!E873),"-",[1]Профессиональное!E873)</f>
        <v>1.96</v>
      </c>
      <c r="E982" s="93">
        <f>IF(ISERR([1]Профессиональное!F873),"-",[1]Профессиональное!F873)</f>
        <v>11.489020243429625</v>
      </c>
      <c r="F982" s="93">
        <f>IF(ISERR([1]Профессиональное!G873),"-",[1]Профессиональное!G873)</f>
        <v>9.91</v>
      </c>
      <c r="G982" s="93">
        <f>IF(ISERR([1]Профессиональное!H873),"-",[1]Профессиональное!H873)</f>
        <v>7.96</v>
      </c>
      <c r="H982" s="93">
        <f>IF(ISERR([1]Профессиональное!I873),"-",[1]Профессиональное!I873)</f>
        <v>7.7451997924234561</v>
      </c>
      <c r="I982" s="93">
        <f>IF(ISERR([1]Профессиональное!J873),"-",[1]Профессиональное!J873)</f>
        <v>7.7133017926684051</v>
      </c>
      <c r="J982" s="93">
        <v>6.78</v>
      </c>
      <c r="K982" s="93"/>
      <c r="L982" s="93"/>
      <c r="M982" s="93"/>
    </row>
    <row r="983" spans="1:13" s="89" customFormat="1" x14ac:dyDescent="0.25">
      <c r="A983" s="13"/>
      <c r="B983" s="70" t="s">
        <v>2707</v>
      </c>
      <c r="C983" s="13" t="s">
        <v>8</v>
      </c>
      <c r="D983" s="93">
        <f>IF(ISERR([1]Профессиональное!E902),"-",[1]Профессиональное!E902)</f>
        <v>0</v>
      </c>
      <c r="E983" s="93">
        <f>IF(ISERR([1]Профессиональное!F902),"-",[1]Профессиональное!F902)</f>
        <v>1.1782656607612105</v>
      </c>
      <c r="F983" s="93">
        <f>IF(ISERR([1]Профессиональное!G902),"-",[1]Профессиональное!G902)</f>
        <v>1.1086651352730985</v>
      </c>
      <c r="G983" s="93">
        <f>IF(ISERR([1]Профессиональное!H902),"-",[1]Профессиональное!H902)</f>
        <v>0</v>
      </c>
      <c r="H983" s="93" t="str">
        <f>IF(ISERR([1]Профессиональное!I902),"-",[1]Профессиональное!I902)</f>
        <v>-</v>
      </c>
      <c r="I983" s="93" t="str">
        <f>IF(ISERR([1]Профессиональное!J902),"-",[1]Профессиональное!J902)</f>
        <v>-</v>
      </c>
      <c r="J983" s="93" t="str">
        <f>IF(ISERR([1]Профессиональное!K902),"-",[1]Профессиональное!K902)</f>
        <v>-</v>
      </c>
      <c r="K983" s="93"/>
      <c r="L983" s="93"/>
      <c r="M983" s="93"/>
    </row>
    <row r="984" spans="1:13" s="89" customFormat="1" x14ac:dyDescent="0.25">
      <c r="A984" s="13"/>
      <c r="B984" s="70" t="s">
        <v>1297</v>
      </c>
      <c r="C984" s="13"/>
      <c r="D984" s="93"/>
      <c r="E984" s="93"/>
      <c r="F984" s="93"/>
      <c r="G984" s="93"/>
      <c r="H984" s="93"/>
      <c r="I984" s="93"/>
      <c r="J984" s="93"/>
      <c r="K984" s="93"/>
      <c r="L984" s="93"/>
      <c r="M984" s="93"/>
    </row>
    <row r="985" spans="1:13" s="89" customFormat="1" x14ac:dyDescent="0.25">
      <c r="A985" s="395"/>
      <c r="B985" s="70" t="s">
        <v>2706</v>
      </c>
      <c r="C985" s="13" t="s">
        <v>8</v>
      </c>
      <c r="D985" s="93">
        <f>IF(ISERR([1]Профессиональное!E874),"-",[1]Профессиональное!E874)</f>
        <v>0</v>
      </c>
      <c r="E985" s="93">
        <f>IF(ISERR([1]Профессиональное!F874),"-",[1]Профессиональное!F874)</f>
        <v>0</v>
      </c>
      <c r="F985" s="93">
        <f>IF(ISERR([1]Профессиональное!G874),"-",[1]Профессиональное!G874)</f>
        <v>0</v>
      </c>
      <c r="G985" s="93">
        <f>IF(ISERR([1]Профессиональное!H874),"-",[1]Профессиональное!H874)</f>
        <v>0</v>
      </c>
      <c r="H985" s="93">
        <f>IF(ISERR([1]Профессиональное!I874),"-",[1]Профессиональное!I874)</f>
        <v>0</v>
      </c>
      <c r="I985" s="93">
        <f>IF(ISERR([1]Профессиональное!J874),"-",[1]Профессиональное!J874)</f>
        <v>0</v>
      </c>
      <c r="J985" s="93">
        <v>0</v>
      </c>
      <c r="K985" s="93"/>
      <c r="L985" s="93"/>
      <c r="M985" s="93"/>
    </row>
    <row r="986" spans="1:13" s="89" customFormat="1" x14ac:dyDescent="0.25">
      <c r="A986" s="13"/>
      <c r="B986" s="70" t="s">
        <v>2707</v>
      </c>
      <c r="C986" s="13" t="s">
        <v>8</v>
      </c>
      <c r="D986" s="93">
        <f>IF(ISERR([1]Профессиональное!E903),"-",[1]Профессиональное!E903)</f>
        <v>0</v>
      </c>
      <c r="E986" s="93">
        <f>IF(ISERR([1]Профессиональное!F903),"-",[1]Профессиональное!F903)</f>
        <v>0</v>
      </c>
      <c r="F986" s="93">
        <f>IF(ISERR([1]Профессиональное!G903),"-",[1]Профессиональное!G903)</f>
        <v>0</v>
      </c>
      <c r="G986" s="93" t="str">
        <f>IF(ISERR([1]Профессиональное!H877),"-",[1]Профессиональное!H877)</f>
        <v>-</v>
      </c>
      <c r="H986" s="93" t="str">
        <f>IF(ISERR([1]Профессиональное!I877),"-",[1]Профессиональное!I877)</f>
        <v>-</v>
      </c>
      <c r="I986" s="93" t="str">
        <f>IF(ISERR([1]Профессиональное!J877),"-",[1]Профессиональное!J877)</f>
        <v>-</v>
      </c>
      <c r="J986" s="93" t="str">
        <f>IF(ISERR([1]Профессиональное!K877),"-",[1]Профессиональное!K877)</f>
        <v>-</v>
      </c>
      <c r="K986" s="93"/>
      <c r="L986" s="93"/>
      <c r="M986" s="93"/>
    </row>
    <row r="987" spans="1:13" s="89" customFormat="1" ht="60" hidden="1" x14ac:dyDescent="0.25">
      <c r="A987" s="13" t="s">
        <v>772</v>
      </c>
      <c r="B987" s="70" t="s">
        <v>610</v>
      </c>
      <c r="C987" s="13"/>
      <c r="D987" s="90"/>
      <c r="E987" s="90"/>
      <c r="F987" s="90"/>
      <c r="G987" s="90"/>
      <c r="H987" s="90"/>
      <c r="I987" s="90"/>
      <c r="J987" s="90"/>
      <c r="K987" s="90"/>
      <c r="L987" s="90"/>
      <c r="M987" s="90"/>
    </row>
    <row r="988" spans="1:13" s="89" customFormat="1" hidden="1" x14ac:dyDescent="0.25">
      <c r="A988" s="395"/>
      <c r="B988" s="70" t="s">
        <v>1301</v>
      </c>
      <c r="C988" s="13" t="s">
        <v>8</v>
      </c>
      <c r="D988" s="93">
        <f>IF(ISERR([1]Профессиональное!E893),"-",[1]Профессиональное!E893)</f>
        <v>0</v>
      </c>
      <c r="E988" s="93">
        <f>IF(ISERR([1]Профессиональное!F893),"-",[1]Профессиональное!F893)</f>
        <v>0</v>
      </c>
      <c r="F988" s="93">
        <f>IF(ISERR([1]Профессиональное!G893),"-",[1]Профессиональное!G893)</f>
        <v>0</v>
      </c>
      <c r="G988" s="93">
        <f>IF(ISERR([1]Профессиональное!H893),"-",[1]Профессиональное!H893)</f>
        <v>0</v>
      </c>
      <c r="H988" s="93" t="str">
        <f>IF(ISERR([1]Профессиональное!I893),"-",[1]Профессиональное!I893)</f>
        <v>-</v>
      </c>
      <c r="I988" s="93">
        <f>IF(ISERR([1]Профессиональное!M893),"-",[1]Профессиональное!M893)</f>
        <v>0</v>
      </c>
      <c r="J988" s="93" t="str">
        <f>IF(ISERR([1]Профессиональное!N893),"-",[1]Профессиональное!N893)</f>
        <v>-</v>
      </c>
      <c r="K988" s="93" t="str">
        <f>IF(ISERR([1]Профессиональное!O893),"-",[1]Профессиональное!O893)</f>
        <v>-</v>
      </c>
      <c r="L988" s="93" t="str">
        <f>IF(ISERR([1]Профессиональное!P893),"-",[1]Профессиональное!P893)</f>
        <v>-</v>
      </c>
      <c r="M988" s="93" t="str">
        <f>IF(ISERR([1]Профессиональное!Q893),"-",[1]Профессиональное!Q893)</f>
        <v>-</v>
      </c>
    </row>
    <row r="989" spans="1:13" s="89" customFormat="1" hidden="1" x14ac:dyDescent="0.25">
      <c r="A989" s="395"/>
      <c r="B989" s="70" t="s">
        <v>1302</v>
      </c>
      <c r="C989" s="13" t="s">
        <v>8</v>
      </c>
      <c r="D989" s="93">
        <f>IF(ISERR([1]Профессиональное!E894),"-",[1]Профессиональное!E894)</f>
        <v>0</v>
      </c>
      <c r="E989" s="93">
        <f>IF(ISERR([1]Профессиональное!F894),"-",[1]Профессиональное!F894)</f>
        <v>0</v>
      </c>
      <c r="F989" s="93">
        <f>IF(ISERR([1]Профессиональное!G894),"-",[1]Профессиональное!G894)</f>
        <v>0</v>
      </c>
      <c r="G989" s="93" t="str">
        <f>IF(ISERR([1]Профессиональное!H894),"-",[1]Профессиональное!H894)</f>
        <v>-</v>
      </c>
      <c r="H989" s="93" t="str">
        <f>IF(ISERR([1]Профессиональное!I894),"-",[1]Профессиональное!I894)</f>
        <v>-</v>
      </c>
      <c r="I989" s="93">
        <f>IF(ISERR([1]Профессиональное!M894),"-",[1]Профессиональное!M894)</f>
        <v>0</v>
      </c>
      <c r="J989" s="93" t="str">
        <f>IF(ISERR([1]Профессиональное!N894),"-",[1]Профессиональное!N894)</f>
        <v>-</v>
      </c>
      <c r="K989" s="93" t="str">
        <f>IF(ISERR([1]Профессиональное!O894),"-",[1]Профессиональное!O894)</f>
        <v>-</v>
      </c>
      <c r="L989" s="93" t="str">
        <f>IF(ISERR([1]Профессиональное!P894),"-",[1]Профессиональное!P894)</f>
        <v>-</v>
      </c>
      <c r="M989" s="93" t="str">
        <f>IF(ISERR([1]Профессиональное!Q894),"-",[1]Профессиональное!Q894)</f>
        <v>-</v>
      </c>
    </row>
    <row r="990" spans="1:13" s="89" customFormat="1" ht="60" hidden="1" x14ac:dyDescent="0.25">
      <c r="A990" s="395" t="s">
        <v>773</v>
      </c>
      <c r="B990" s="70" t="s">
        <v>612</v>
      </c>
      <c r="C990" s="395"/>
      <c r="D990" s="444"/>
      <c r="E990" s="444"/>
      <c r="F990" s="444"/>
      <c r="G990" s="444"/>
      <c r="H990" s="444"/>
      <c r="I990" s="444"/>
      <c r="J990" s="444"/>
      <c r="K990" s="444"/>
      <c r="L990" s="444"/>
      <c r="M990" s="444"/>
    </row>
    <row r="991" spans="1:13" s="89" customFormat="1" hidden="1" x14ac:dyDescent="0.25">
      <c r="A991" s="395"/>
      <c r="B991" s="70" t="s">
        <v>1301</v>
      </c>
      <c r="C991" s="395" t="s">
        <v>8</v>
      </c>
      <c r="D991" s="93">
        <f>IF(ISERR([1]Профессиональное!E902),"-",[1]Профессиональное!E902)</f>
        <v>0</v>
      </c>
      <c r="E991" s="93">
        <f>IF(ISERR([1]Профессиональное!F902),"-",[1]Профессиональное!F902)</f>
        <v>1.1782656607612105</v>
      </c>
      <c r="F991" s="93">
        <f>IF(ISERR([1]Профессиональное!G902),"-",[1]Профессиональное!G902)</f>
        <v>1.1086651352730985</v>
      </c>
      <c r="G991" s="93">
        <f>IF(ISERR([1]Профессиональное!H902),"-",[1]Профессиональное!H902)</f>
        <v>0</v>
      </c>
      <c r="H991" s="93" t="str">
        <f>IF(ISERR([1]Профессиональное!I902),"-",[1]Профессиональное!I902)</f>
        <v>-</v>
      </c>
      <c r="I991" s="93">
        <f>IF(ISERR([1]Профессиональное!M902),"-",[1]Профессиональное!M902)</f>
        <v>0</v>
      </c>
      <c r="J991" s="93" t="str">
        <f>IF(ISERR([1]Профессиональное!N902),"-",[1]Профессиональное!N902)</f>
        <v>-</v>
      </c>
      <c r="K991" s="93" t="str">
        <f>IF(ISERR([1]Профессиональное!O902),"-",[1]Профессиональное!O902)</f>
        <v>-</v>
      </c>
      <c r="L991" s="93" t="str">
        <f>IF(ISERR([1]Профессиональное!P902),"-",[1]Профессиональное!P902)</f>
        <v>-</v>
      </c>
      <c r="M991" s="93" t="str">
        <f>IF(ISERR([1]Профессиональное!Q902),"-",[1]Профессиональное!Q902)</f>
        <v>-</v>
      </c>
    </row>
    <row r="992" spans="1:13" s="89" customFormat="1" hidden="1" x14ac:dyDescent="0.25">
      <c r="A992" s="395"/>
      <c r="B992" s="70" t="s">
        <v>1302</v>
      </c>
      <c r="C992" s="395" t="s">
        <v>8</v>
      </c>
      <c r="D992" s="93">
        <f>IF(ISERR([1]Профессиональное!E903),"-",[1]Профессиональное!E903)</f>
        <v>0</v>
      </c>
      <c r="E992" s="93">
        <f>IF(ISERR([1]Профессиональное!F903),"-",[1]Профессиональное!F903)</f>
        <v>0</v>
      </c>
      <c r="F992" s="93">
        <f>IF(ISERR([1]Профессиональное!G903),"-",[1]Профессиональное!G903)</f>
        <v>0</v>
      </c>
      <c r="G992" s="93" t="str">
        <f>IF(ISERR([1]Профессиональное!H903),"-",[1]Профессиональное!H903)</f>
        <v>-</v>
      </c>
      <c r="H992" s="93" t="str">
        <f>IF(ISERR([1]Профессиональное!I903),"-",[1]Профессиональное!I903)</f>
        <v>-</v>
      </c>
      <c r="I992" s="93">
        <f>IF(ISERR([1]Профессиональное!M903),"-",[1]Профессиональное!M903)</f>
        <v>0</v>
      </c>
      <c r="J992" s="93" t="str">
        <f>IF(ISERR([1]Профессиональное!N903),"-",[1]Профессиональное!N903)</f>
        <v>-</v>
      </c>
      <c r="K992" s="93" t="str">
        <f>IF(ISERR([1]Профессиональное!O903),"-",[1]Профессиональное!O903)</f>
        <v>-</v>
      </c>
      <c r="L992" s="93" t="str">
        <f>IF(ISERR([1]Профессиональное!P903),"-",[1]Профессиональное!P903)</f>
        <v>-</v>
      </c>
      <c r="M992" s="93" t="str">
        <f>IF(ISERR([1]Профессиональное!Q903),"-",[1]Профессиональное!Q903)</f>
        <v>-</v>
      </c>
    </row>
    <row r="993" spans="1:13" s="89" customFormat="1" hidden="1" x14ac:dyDescent="0.25">
      <c r="A993" s="443" t="s">
        <v>616</v>
      </c>
      <c r="B993" s="443"/>
      <c r="C993" s="443"/>
      <c r="D993" s="443"/>
      <c r="E993" s="443"/>
      <c r="F993" s="443"/>
      <c r="G993" s="443"/>
      <c r="H993" s="443"/>
      <c r="I993" s="443"/>
    </row>
    <row r="994" spans="1:13" s="89" customFormat="1" ht="30" hidden="1" x14ac:dyDescent="0.25">
      <c r="A994" s="445" t="s">
        <v>618</v>
      </c>
      <c r="B994" s="100" t="s">
        <v>617</v>
      </c>
      <c r="C994" s="446"/>
      <c r="D994" s="109"/>
      <c r="E994" s="109"/>
      <c r="F994" s="109"/>
      <c r="G994" s="109"/>
      <c r="H994" s="109"/>
      <c r="I994" s="109"/>
      <c r="J994" s="109"/>
      <c r="K994" s="109"/>
      <c r="L994" s="109"/>
      <c r="M994" s="109"/>
    </row>
    <row r="995" spans="1:13" s="89" customFormat="1" ht="75" hidden="1" x14ac:dyDescent="0.25">
      <c r="A995" s="13" t="s">
        <v>623</v>
      </c>
      <c r="B995" s="242" t="s">
        <v>2368</v>
      </c>
      <c r="C995" s="13" t="s">
        <v>8</v>
      </c>
      <c r="D995" s="93">
        <f>IF(ISERR('[1]Высшее (исключен) +'!E10),"-",'[1]Высшее (исключен) +'!E10)</f>
        <v>3.56</v>
      </c>
      <c r="E995" s="93">
        <f>IF(ISERR('[1]Высшее (исключен) +'!F10),"-",'[1]Высшее (исключен) +'!F10)</f>
        <v>8.26</v>
      </c>
      <c r="F995" s="93">
        <f>IF(ISERR('[1]Высшее (исключен) +'!G10),"-",'[1]Высшее (исключен) +'!G10)</f>
        <v>7.34</v>
      </c>
      <c r="G995" s="93">
        <f>IF(ISERR('[1]Высшее (исключен) +'!H10),"-",'[1]Высшее (исключен) +'!H10)</f>
        <v>6.8997384824114674</v>
      </c>
      <c r="H995" s="93">
        <f>IF(ISERR('[1]Высшее (исключен) +'!I10),"-",'[1]Высшее (исключен) +'!I10)</f>
        <v>6.9264416174162751</v>
      </c>
      <c r="I995" s="93">
        <f>IF(ISERR('[1]Высшее (исключен) +'!J10),"-",'[1]Высшее (исключен) +'!J10)</f>
        <v>6.5876222883879203</v>
      </c>
      <c r="J995" s="93" t="str">
        <f>IF(ISERR('[1]Высшее (исключен) +'!M10),"-",'[1]Высшее (исключен) +'!M10)</f>
        <v>Российская Федерация, субъекты Российской Федерации</v>
      </c>
      <c r="K995" s="93" t="str">
        <f>IF(ISERR('[1]Высшее (исключен) +'!N10),"-",'[1]Высшее (исключен) +'!N10)</f>
        <v>-</v>
      </c>
      <c r="L995" s="93" t="str">
        <f>IF(ISERR('[1]Высшее (исключен) +'!O10),"-",'[1]Высшее (исключен) +'!O10)</f>
        <v>-</v>
      </c>
      <c r="M995" s="93" t="str">
        <f>IF(ISERR('[1]Высшее (исключен) +'!P10),"-",'[1]Высшее (исключен) +'!P10)</f>
        <v>-</v>
      </c>
    </row>
    <row r="996" spans="1:13" s="89" customFormat="1" ht="90" hidden="1" x14ac:dyDescent="0.25">
      <c r="A996" s="13" t="s">
        <v>628</v>
      </c>
      <c r="B996" s="242" t="s">
        <v>2369</v>
      </c>
      <c r="C996" s="13" t="s">
        <v>8</v>
      </c>
      <c r="D996" s="93" t="str">
        <f>IF(ISERR('[1]Высшее (исключен) +'!E13),"-",'[1]Высшее (исключен) +'!E13)</f>
        <v>-</v>
      </c>
      <c r="E996" s="93" t="str">
        <f>IF(ISERR('[1]Высшее (исключен) +'!F13),"-",'[1]Высшее (исключен) +'!F13)</f>
        <v>-</v>
      </c>
      <c r="F996" s="93" t="str">
        <f>IF(ISERR('[1]Высшее (исключен) +'!G13),"-",'[1]Высшее (исключен) +'!G13)</f>
        <v>-</v>
      </c>
      <c r="G996" s="93" t="str">
        <f>IF(ISERR('[1]Высшее (исключен) +'!H13),"-",'[1]Высшее (исключен) +'!H13)</f>
        <v>-</v>
      </c>
      <c r="H996" s="93">
        <f>IF(ISERR('[1]Высшее (исключен) +'!I13),"-",'[1]Высшее (исключен) +'!I13)</f>
        <v>4.93</v>
      </c>
      <c r="I996" s="93">
        <f>IF(ISERR('[1]Высшее (исключен) +'!J13),"-",'[1]Высшее (исключен) +'!J13)</f>
        <v>0</v>
      </c>
      <c r="J996" s="93" t="str">
        <f>IF(ISERR('[1]Высшее (исключен) +'!M13),"-",'[1]Высшее (исключен) +'!M13)</f>
        <v>Российская Федерация, субъекты Российской Федерации</v>
      </c>
      <c r="K996" s="93">
        <f>IF(ISERR('[1]Высшее (исключен) +'!N13),"-",'[1]Высшее (исключен) +'!N13)</f>
        <v>0</v>
      </c>
      <c r="L996" s="93">
        <f>IF(ISERR('[1]Высшее (исключен) +'!O13),"-",'[1]Высшее (исключен) +'!O13)</f>
        <v>0</v>
      </c>
      <c r="M996" s="93">
        <f>IF(ISERR('[1]Высшее (исключен) +'!P13),"-",'[1]Высшее (исключен) +'!P13)</f>
        <v>0</v>
      </c>
    </row>
    <row r="997" spans="1:13" s="89" customFormat="1" ht="30" hidden="1" x14ac:dyDescent="0.25">
      <c r="A997" s="99" t="s">
        <v>630</v>
      </c>
      <c r="B997" s="100" t="s">
        <v>629</v>
      </c>
      <c r="C997" s="13"/>
      <c r="D997" s="109"/>
      <c r="E997" s="109"/>
      <c r="F997" s="109"/>
      <c r="G997" s="109"/>
      <c r="H997" s="109"/>
      <c r="I997" s="109"/>
      <c r="J997" s="109"/>
      <c r="K997" s="109"/>
      <c r="L997" s="109"/>
      <c r="M997" s="109"/>
    </row>
    <row r="998" spans="1:13" s="89" customFormat="1" ht="105" hidden="1" x14ac:dyDescent="0.25">
      <c r="A998" s="13" t="s">
        <v>631</v>
      </c>
      <c r="B998" s="242" t="s">
        <v>632</v>
      </c>
      <c r="C998" s="13"/>
      <c r="D998" s="109"/>
      <c r="E998" s="109"/>
      <c r="F998" s="109"/>
      <c r="G998" s="109"/>
      <c r="H998" s="109"/>
      <c r="I998" s="109"/>
      <c r="J998" s="109"/>
      <c r="K998" s="109"/>
      <c r="L998" s="109"/>
      <c r="M998" s="109"/>
    </row>
    <row r="999" spans="1:13" s="89" customFormat="1" hidden="1" x14ac:dyDescent="0.25">
      <c r="A999" s="13"/>
      <c r="B999" s="242" t="s">
        <v>1301</v>
      </c>
      <c r="C999" s="13"/>
      <c r="D999" s="109"/>
      <c r="E999" s="109"/>
      <c r="F999" s="109"/>
      <c r="G999" s="109"/>
      <c r="H999" s="109"/>
      <c r="I999" s="109"/>
      <c r="J999" s="109"/>
      <c r="K999" s="109"/>
      <c r="L999" s="109"/>
      <c r="M999" s="109"/>
    </row>
    <row r="1000" spans="1:13" s="89" customFormat="1" hidden="1" x14ac:dyDescent="0.25">
      <c r="A1000" s="13"/>
      <c r="B1000" s="242" t="s">
        <v>2370</v>
      </c>
      <c r="C1000" s="13" t="s">
        <v>8</v>
      </c>
      <c r="D1000" s="122">
        <f>IF(ISERR('[1]Высшее (исключен) +'!E19),"-",'[1]Высшее (исключен) +'!E19)</f>
        <v>72.25</v>
      </c>
      <c r="E1000" s="122">
        <f>IF(ISERR('[1]Высшее (исключен) +'!F19),"-",'[1]Высшее (исключен) +'!F19)</f>
        <v>72.739999999999995</v>
      </c>
      <c r="F1000" s="122">
        <f>IF(ISERR('[1]Высшее (исключен) +'!G19),"-",'[1]Высшее (исключен) +'!G19)</f>
        <v>71</v>
      </c>
      <c r="G1000" s="122">
        <f>IF(ISERR('[1]Высшее (исключен) +'!H19),"-",'[1]Высшее (исключен) +'!H19)</f>
        <v>73.625274945011</v>
      </c>
      <c r="H1000" s="122">
        <f>IF(ISERR('[1]Высшее (исключен) +'!I19),"-",'[1]Высшее (исключен) +'!I19)</f>
        <v>72.628487518355357</v>
      </c>
      <c r="I1000" s="122">
        <f>IF(ISERR('[1]Высшее (исключен) +'!J19),"-",'[1]Высшее (исключен) +'!J19)</f>
        <v>75.524616626311541</v>
      </c>
      <c r="J1000" s="122">
        <f>IF(ISERR('[1]Высшее (исключен) +'!M19),"-",'[1]Высшее (исключен) +'!M19)</f>
        <v>0</v>
      </c>
      <c r="K1000" s="122">
        <f>IF(ISERR('[1]Высшее (исключен) +'!N19),"-",'[1]Высшее (исключен) +'!N19)</f>
        <v>75.052327319844508</v>
      </c>
      <c r="L1000" s="122">
        <f>IF(ISERR('[1]Высшее (исключен) +'!O19),"-",'[1]Высшее (исключен) +'!O19)</f>
        <v>76.897587242414829</v>
      </c>
      <c r="M1000" s="122">
        <f>IF(ISERR('[1]Высшее (исключен) +'!P19),"-",'[1]Высшее (исключен) +'!P19)</f>
        <v>6.2294428386325134</v>
      </c>
    </row>
    <row r="1001" spans="1:13" s="89" customFormat="1" hidden="1" x14ac:dyDescent="0.25">
      <c r="A1001" s="13"/>
      <c r="B1001" s="242" t="s">
        <v>2371</v>
      </c>
      <c r="C1001" s="13" t="s">
        <v>8</v>
      </c>
      <c r="D1001" s="122">
        <f>IF(ISERR('[1]Высшее (исключен) +'!E22),"-",'[1]Высшее (исключен) +'!E22)</f>
        <v>0.13</v>
      </c>
      <c r="E1001" s="122">
        <f>IF(ISERR('[1]Высшее (исключен) +'!F22),"-",'[1]Высшее (исключен) +'!F22)</f>
        <v>0.05</v>
      </c>
      <c r="F1001" s="122">
        <f>IF(ISERR('[1]Высшее (исключен) +'!G22),"-",'[1]Высшее (исключен) +'!G22)</f>
        <v>0</v>
      </c>
      <c r="G1001" s="122">
        <f>IF(ISERR('[1]Высшее (исключен) +'!H22),"-",'[1]Высшее (исключен) +'!H22)</f>
        <v>0.10997800439912019</v>
      </c>
      <c r="H1001" s="122">
        <f>IF(ISERR('[1]Высшее (исключен) +'!I22),"-",'[1]Высшее (исключен) +'!I22)</f>
        <v>0.32305433186490456</v>
      </c>
      <c r="I1001" s="122">
        <f>IF(ISERR('[1]Высшее (исключен) +'!J22),"-",'[1]Высшее (исключен) +'!J22)</f>
        <v>0.57506053268765134</v>
      </c>
      <c r="J1001" s="122">
        <f>IF(ISERR('[1]Высшее (исключен) +'!M22),"-",'[1]Высшее (исключен) +'!M22)</f>
        <v>0</v>
      </c>
      <c r="K1001" s="122">
        <f>IF(ISERR('[1]Высшее (исключен) +'!N22),"-",'[1]Высшее (исключен) +'!N22)</f>
        <v>0.64786205521778129</v>
      </c>
      <c r="L1001" s="122">
        <f>IF(ISERR('[1]Высшее (исключен) +'!O22),"-",'[1]Высшее (исключен) +'!O22)</f>
        <v>0.65237651444547995</v>
      </c>
      <c r="M1001" s="122">
        <f>IF(ISERR('[1]Высшее (исключен) +'!P22),"-",'[1]Высшее (исключен) +'!P22)</f>
        <v>0</v>
      </c>
    </row>
    <row r="1002" spans="1:13" s="89" customFormat="1" hidden="1" x14ac:dyDescent="0.25">
      <c r="A1002" s="13"/>
      <c r="B1002" s="242" t="s">
        <v>2372</v>
      </c>
      <c r="C1002" s="13" t="s">
        <v>8</v>
      </c>
      <c r="D1002" s="122">
        <f>IF(ISERR('[1]Высшее (исключен) +'!E25),"-",'[1]Высшее (исключен) +'!E25)</f>
        <v>27.61</v>
      </c>
      <c r="E1002" s="122">
        <f>IF(ISERR('[1]Высшее (исключен) +'!F25),"-",'[1]Высшее (исключен) +'!F25)</f>
        <v>27.21</v>
      </c>
      <c r="F1002" s="122">
        <f>IF(ISERR('[1]Высшее (исключен) +'!G25),"-",'[1]Высшее (исключен) +'!G25)</f>
        <v>29</v>
      </c>
      <c r="G1002" s="122">
        <f>IF(ISERR('[1]Высшее (исключен) +'!H25),"-",'[1]Высшее (исключен) +'!H25)</f>
        <v>26.264747050589882</v>
      </c>
      <c r="H1002" s="122">
        <f>IF(ISERR('[1]Высшее (исключен) +'!I25),"-",'[1]Высшее (исключен) +'!I25)</f>
        <v>27.048458149779737</v>
      </c>
      <c r="I1002" s="122">
        <f>IF(ISERR('[1]Высшее (исключен) +'!J25),"-",'[1]Высшее (исключен) +'!J25)</f>
        <v>23.900322841000808</v>
      </c>
      <c r="J1002" s="122">
        <f>IF(ISERR('[1]Высшее (исключен) +'!M25),"-",'[1]Высшее (исключен) +'!M25)</f>
        <v>0</v>
      </c>
      <c r="K1002" s="122">
        <f>IF(ISERR('[1]Высшее (исключен) +'!N25),"-",'[1]Высшее (исключен) +'!N25)</f>
        <v>24.299810624937706</v>
      </c>
      <c r="L1002" s="122">
        <f>IF(ISERR('[1]Высшее (исключен) +'!O25),"-",'[1]Высшее (исключен) +'!O25)</f>
        <v>22.450036243139692</v>
      </c>
      <c r="M1002" s="122">
        <f>IF(ISERR('[1]Высшее (исключен) +'!P25),"-",'[1]Высшее (исключен) +'!P25)</f>
        <v>0</v>
      </c>
    </row>
    <row r="1003" spans="1:13" s="89" customFormat="1" hidden="1" x14ac:dyDescent="0.25">
      <c r="A1003" s="13"/>
      <c r="B1003" s="242" t="s">
        <v>1302</v>
      </c>
      <c r="C1003" s="13" t="s">
        <v>8</v>
      </c>
      <c r="D1003" s="109">
        <f>IF(ISERR('[1]Высшее (исключен) +'!E20),"-",'[1]Высшее (исключен) +'!E20)</f>
        <v>3.09</v>
      </c>
      <c r="E1003" s="109">
        <f>IF(ISERR('[1]Высшее (исключен) +'!F20),"-",'[1]Высшее (исключен) +'!F20)</f>
        <v>2.1712907117008444</v>
      </c>
      <c r="F1003" s="109">
        <f>IF(ISERR('[1]Высшее (исключен) +'!G20),"-",'[1]Высшее (исключен) +'!G20)</f>
        <v>1.72</v>
      </c>
      <c r="G1003" s="109">
        <f>IF(ISERR('[1]Высшее (исключен) +'!H20),"-",'[1]Высшее (исключен) +'!H20)</f>
        <v>0.56000000000000005</v>
      </c>
      <c r="H1003" s="122"/>
      <c r="I1003" s="122"/>
      <c r="J1003" s="122"/>
      <c r="K1003" s="122"/>
      <c r="L1003" s="122"/>
      <c r="M1003" s="122"/>
    </row>
    <row r="1004" spans="1:13" s="89" customFormat="1" hidden="1" x14ac:dyDescent="0.25">
      <c r="A1004" s="13"/>
      <c r="B1004" s="242" t="s">
        <v>2370</v>
      </c>
      <c r="C1004" s="13"/>
      <c r="D1004" s="109"/>
      <c r="E1004" s="109"/>
      <c r="F1004" s="109"/>
      <c r="G1004" s="109"/>
      <c r="H1004" s="122">
        <f>IF(ISERR('[1]Высшее (исключен) +'!I20),"-",'[1]Высшее (исключен) +'!I20)</f>
        <v>0.45662100456621002</v>
      </c>
      <c r="I1004" s="122" t="str">
        <f>IF(ISERR('[1]Высшее (исключен) +'!J20),"-",'[1]Высшее (исключен) +'!J20)</f>
        <v>-</v>
      </c>
      <c r="J1004" s="122">
        <f>IF(ISERR('[1]Высшее (исключен) +'!M20),"-",'[1]Высшее (исключен) +'!M20)</f>
        <v>0</v>
      </c>
      <c r="K1004" s="122">
        <f>IF(ISERR('[1]Высшее (исключен) +'!N20),"-",'[1]Высшее (исключен) +'!N20)</f>
        <v>0</v>
      </c>
      <c r="L1004" s="122">
        <f>IF(ISERR('[1]Высшее (исключен) +'!O20),"-",'[1]Высшее (исключен) +'!O20)</f>
        <v>0</v>
      </c>
      <c r="M1004" s="122">
        <f>IF(ISERR('[1]Высшее (исключен) +'!P20),"-",'[1]Высшее (исключен) +'!P20)</f>
        <v>0</v>
      </c>
    </row>
    <row r="1005" spans="1:13" s="89" customFormat="1" hidden="1" x14ac:dyDescent="0.25">
      <c r="A1005" s="13"/>
      <c r="B1005" s="242" t="s">
        <v>2371</v>
      </c>
      <c r="C1005" s="13"/>
      <c r="D1005" s="109"/>
      <c r="E1005" s="109"/>
      <c r="F1005" s="109"/>
      <c r="G1005" s="109"/>
      <c r="H1005" s="122">
        <f>IF(ISERR('[1]Высшее (исключен) +'!I23),"-",'[1]Высшее (исключен) +'!I23)</f>
        <v>0</v>
      </c>
      <c r="I1005" s="122" t="str">
        <f>IF(ISERR('[1]Высшее (исключен) +'!J23),"-",'[1]Высшее (исключен) +'!J23)</f>
        <v>-</v>
      </c>
      <c r="J1005" s="122">
        <f>IF(ISERR('[1]Высшее (исключен) +'!M23),"-",'[1]Высшее (исключен) +'!M23)</f>
        <v>0</v>
      </c>
      <c r="K1005" s="122">
        <f>IF(ISERR('[1]Высшее (исключен) +'!N23),"-",'[1]Высшее (исключен) +'!N23)</f>
        <v>43.292682926829265</v>
      </c>
      <c r="L1005" s="122">
        <f>IF(ISERR('[1]Высшее (исключен) +'!O23),"-",'[1]Высшее (исключен) +'!O23)</f>
        <v>44.49152542372881</v>
      </c>
      <c r="M1005" s="122">
        <f>IF(ISERR('[1]Высшее (исключен) +'!P23),"-",'[1]Высшее (исключен) +'!P23)</f>
        <v>0</v>
      </c>
    </row>
    <row r="1006" spans="1:13" s="89" customFormat="1" hidden="1" x14ac:dyDescent="0.25">
      <c r="A1006" s="13"/>
      <c r="B1006" s="242" t="s">
        <v>2372</v>
      </c>
      <c r="C1006" s="13"/>
      <c r="D1006" s="109"/>
      <c r="E1006" s="109"/>
      <c r="F1006" s="109"/>
      <c r="G1006" s="109"/>
      <c r="H1006" s="122">
        <f>IF(ISERR('[1]Высшее (исключен) +'!I26),"-",'[1]Высшее (исключен) +'!I26)</f>
        <v>99.543378995433784</v>
      </c>
      <c r="I1006" s="122" t="str">
        <f>IF(ISERR('[1]Высшее (исключен) +'!J26),"-",'[1]Высшее (исключен) +'!J26)</f>
        <v>-</v>
      </c>
      <c r="J1006" s="122">
        <f>IF(ISERR('[1]Высшее (исключен) +'!M26),"-",'[1]Высшее (исключен) +'!M26)</f>
        <v>0</v>
      </c>
      <c r="K1006" s="122">
        <f>IF(ISERR('[1]Высшее (исключен) +'!N26),"-",'[1]Высшее (исключен) +'!N26)</f>
        <v>56.707317073170728</v>
      </c>
      <c r="L1006" s="122">
        <f>IF(ISERR('[1]Высшее (исключен) +'!O26),"-",'[1]Высшее (исключен) +'!O26)</f>
        <v>55.508474576271183</v>
      </c>
      <c r="M1006" s="122">
        <f>IF(ISERR('[1]Высшее (исключен) +'!P26),"-",'[1]Высшее (исключен) +'!P26)</f>
        <v>0</v>
      </c>
    </row>
    <row r="1007" spans="1:13" s="89" customFormat="1" ht="60" hidden="1" x14ac:dyDescent="0.25">
      <c r="A1007" s="13" t="s">
        <v>641</v>
      </c>
      <c r="B1007" s="242" t="s">
        <v>1931</v>
      </c>
      <c r="C1007" s="13"/>
      <c r="D1007" s="109"/>
      <c r="E1007" s="109"/>
      <c r="F1007" s="109"/>
      <c r="G1007" s="109"/>
      <c r="H1007" s="109"/>
      <c r="I1007" s="109"/>
      <c r="J1007" s="109"/>
      <c r="K1007" s="109"/>
      <c r="L1007" s="109"/>
      <c r="M1007" s="109"/>
    </row>
    <row r="1008" spans="1:13" s="89" customFormat="1" hidden="1" x14ac:dyDescent="0.25">
      <c r="A1008" s="13"/>
      <c r="B1008" s="242" t="s">
        <v>1301</v>
      </c>
      <c r="C1008" s="13" t="s">
        <v>8</v>
      </c>
      <c r="D1008" s="93">
        <f>IF(ISERR('[1]Высшее (исключен) +'!E40),"-",'[1]Высшее (исключен) +'!E40)</f>
        <v>41.94</v>
      </c>
      <c r="E1008" s="93">
        <f>IF(ISERR('[1]Высшее (исключен) +'!F40),"-",'[1]Высшее (исключен) +'!F40)</f>
        <v>44.44</v>
      </c>
      <c r="F1008" s="93">
        <f>IF(ISERR('[1]Высшее (исключен) +'!G40),"-",'[1]Высшее (исключен) +'!G40)</f>
        <v>46.8</v>
      </c>
      <c r="G1008" s="93">
        <f>IF(ISERR('[1]Высшее (исключен) +'!H40),"-",'[1]Высшее (исключен) +'!H40)</f>
        <v>44.521095780843837</v>
      </c>
      <c r="H1008" s="93">
        <f>IF(ISERR('[1]Высшее (исключен) +'!I40),"-",'[1]Высшее (исключен) +'!I40)</f>
        <v>43.661282427802249</v>
      </c>
      <c r="I1008" s="93">
        <f>IF(ISERR('[1]Высшее (исключен) +'!J40),"-",'[1]Высшее (исключен) +'!J40)</f>
        <v>40.284503631961257</v>
      </c>
      <c r="J1008" s="93">
        <f>IF(ISERR('[1]Высшее (исключен) +'!M40),"-",'[1]Высшее (исключен) +'!M40)</f>
        <v>0</v>
      </c>
      <c r="K1008" s="93">
        <f>IF(ISERR('[1]Высшее (исключен) +'!N40),"-",'[1]Высшее (исключен) +'!N40)</f>
        <v>38.712249576397888</v>
      </c>
      <c r="L1008" s="93">
        <f>IF(ISERR('[1]Высшее (исключен) +'!O40),"-",'[1]Высшее (исключен) +'!O40)</f>
        <v>35.114424769597186</v>
      </c>
      <c r="M1008" s="93">
        <f>IF(ISERR('[1]Высшее (исключен) +'!P40),"-",'[1]Высшее (исключен) +'!P40)</f>
        <v>24.32</v>
      </c>
    </row>
    <row r="1009" spans="1:13" s="89" customFormat="1" hidden="1" x14ac:dyDescent="0.25">
      <c r="A1009" s="13"/>
      <c r="B1009" s="242" t="s">
        <v>1302</v>
      </c>
      <c r="C1009" s="13" t="s">
        <v>8</v>
      </c>
      <c r="D1009" s="93">
        <f>IF(ISERR('[1]Высшее (исключен) +'!E41),"-",'[1]Высшее (исключен) +'!E41)</f>
        <v>100</v>
      </c>
      <c r="E1009" s="93">
        <f>IF(ISERR('[1]Высшее (исключен) +'!F41),"-",'[1]Высшее (исключен) +'!F41)</f>
        <v>100</v>
      </c>
      <c r="F1009" s="93">
        <f>IF(ISERR('[1]Высшее (исключен) +'!G41),"-",'[1]Высшее (исключен) +'!G41)</f>
        <v>100</v>
      </c>
      <c r="G1009" s="93">
        <f>IF(ISERR('[1]Высшее (исключен) +'!H41),"-",'[1]Высшее (исключен) +'!H41)</f>
        <v>100</v>
      </c>
      <c r="H1009" s="93">
        <f>IF(ISERR('[1]Высшее (исключен) +'!I41),"-",'[1]Высшее (исключен) +'!I41)</f>
        <v>100</v>
      </c>
      <c r="I1009" s="93" t="str">
        <f>IF(ISERR('[1]Высшее (исключен) +'!J41),"-",'[1]Высшее (исключен) +'!J41)</f>
        <v>-</v>
      </c>
      <c r="J1009" s="93">
        <f>IF(ISERR('[1]Высшее (исключен) +'!M41),"-",'[1]Высшее (исключен) +'!M41)</f>
        <v>0</v>
      </c>
      <c r="K1009" s="93">
        <f>IF(ISERR('[1]Высшее (исключен) +'!N41),"-",'[1]Высшее (исключен) +'!N41)</f>
        <v>0</v>
      </c>
      <c r="L1009" s="93">
        <f>IF(ISERR('[1]Высшее (исключен) +'!O41),"-",'[1]Высшее (исключен) +'!O41)</f>
        <v>100</v>
      </c>
      <c r="M1009" s="93" t="str">
        <f>IF(ISERR('[1]Высшее (исключен) +'!P41),"-",'[1]Высшее (исключен) +'!P41)</f>
        <v>-</v>
      </c>
    </row>
    <row r="1010" spans="1:13" s="89" customFormat="1" ht="60" hidden="1" x14ac:dyDescent="0.25">
      <c r="A1010" s="13" t="s">
        <v>644</v>
      </c>
      <c r="B1010" s="242" t="s">
        <v>1932</v>
      </c>
      <c r="C1010" s="13"/>
      <c r="D1010" s="109"/>
      <c r="E1010" s="109"/>
      <c r="F1010" s="109"/>
      <c r="G1010" s="109"/>
      <c r="H1010" s="109"/>
      <c r="I1010" s="109"/>
      <c r="J1010" s="109"/>
      <c r="K1010" s="109"/>
      <c r="L1010" s="109"/>
      <c r="M1010" s="109"/>
    </row>
    <row r="1011" spans="1:13" s="89" customFormat="1" hidden="1" x14ac:dyDescent="0.25">
      <c r="A1011" s="13"/>
      <c r="B1011" s="242" t="s">
        <v>1301</v>
      </c>
      <c r="C1011" s="13"/>
      <c r="D1011" s="109"/>
      <c r="E1011" s="109"/>
      <c r="F1011" s="109"/>
      <c r="G1011" s="109"/>
      <c r="H1011" s="109"/>
      <c r="I1011" s="109"/>
      <c r="J1011" s="109"/>
      <c r="K1011" s="109"/>
      <c r="L1011" s="109"/>
      <c r="M1011" s="109"/>
    </row>
    <row r="1012" spans="1:13" s="89" customFormat="1" hidden="1" x14ac:dyDescent="0.25">
      <c r="A1012" s="13"/>
      <c r="B1012" s="242" t="s">
        <v>2373</v>
      </c>
      <c r="C1012" s="13"/>
      <c r="D1012" s="109"/>
      <c r="E1012" s="109"/>
      <c r="F1012" s="109"/>
      <c r="G1012" s="109"/>
      <c r="H1012" s="109"/>
      <c r="I1012" s="109"/>
      <c r="J1012" s="109"/>
      <c r="K1012" s="109"/>
      <c r="L1012" s="109"/>
      <c r="M1012" s="109"/>
    </row>
    <row r="1013" spans="1:13" s="89" customFormat="1" hidden="1" x14ac:dyDescent="0.25">
      <c r="A1013" s="13"/>
      <c r="B1013" s="242" t="s">
        <v>2374</v>
      </c>
      <c r="C1013" s="13"/>
      <c r="D1013" s="109"/>
      <c r="E1013" s="109"/>
      <c r="F1013" s="109"/>
      <c r="G1013" s="109"/>
      <c r="H1013" s="122">
        <f>IF(ISERR('[1]Высшее (исключен) +'!I51),"-",'[1]Высшее (исключен) +'!I51)</f>
        <v>36.503155479059096</v>
      </c>
      <c r="I1013" s="122">
        <f>IF(ISERR('[1]Высшее (исключен) +'!J51),"-",'[1]Высшее (исключен) +'!J51)</f>
        <v>35.214650255178626</v>
      </c>
      <c r="J1013" s="122" t="str">
        <f>IF(ISERR('[1]Высшее (исключен) +'!M51),"-",'[1]Высшее (исключен) +'!M51)</f>
        <v>-</v>
      </c>
      <c r="K1013" s="122">
        <f>IF(ISERR('[1]Высшее (исключен) +'!N51),"-",'[1]Высшее (исключен) +'!N51)</f>
        <v>33.184590212702666</v>
      </c>
      <c r="L1013" s="122">
        <f>IF(ISERR('[1]Высшее (исключен) +'!O51),"-",'[1]Высшее (исключен) +'!O51)</f>
        <v>32.684584491813403</v>
      </c>
      <c r="M1013" s="122" t="str">
        <f>IF(ISERR('[1]Высшее (исключен) +'!P51),"-",'[1]Высшее (исключен) +'!P51)</f>
        <v>-</v>
      </c>
    </row>
    <row r="1014" spans="1:13" s="89" customFormat="1" hidden="1" x14ac:dyDescent="0.25">
      <c r="A1014" s="13"/>
      <c r="B1014" s="242" t="s">
        <v>2375</v>
      </c>
      <c r="C1014" s="13"/>
      <c r="D1014" s="109"/>
      <c r="E1014" s="109"/>
      <c r="F1014" s="109"/>
      <c r="G1014" s="109"/>
      <c r="H1014" s="122">
        <f>IF(ISERR('[1]Высшее (исключен) +'!I54),"-",'[1]Высшее (исключен) +'!I54)</f>
        <v>1.0658914728682169</v>
      </c>
      <c r="I1014" s="122">
        <f>IF(ISERR('[1]Высшее (исключен) +'!J54),"-",'[1]Высшее (исключен) +'!J54)</f>
        <v>0</v>
      </c>
      <c r="J1014" s="122" t="str">
        <f>IF(ISERR('[1]Высшее (исключен) +'!M54),"-",'[1]Высшее (исключен) +'!M54)</f>
        <v>-</v>
      </c>
      <c r="K1014" s="122">
        <f>IF(ISERR('[1]Высшее (исключен) +'!N54),"-",'[1]Высшее (исключен) +'!N54)</f>
        <v>0</v>
      </c>
      <c r="L1014" s="122">
        <f>IF(ISERR('[1]Высшее (исключен) +'!O54),"-",'[1]Высшее (исключен) +'!O54)</f>
        <v>0</v>
      </c>
      <c r="M1014" s="122">
        <f>IF(ISERR('[1]Высшее (исключен) +'!P54),"-",'[1]Высшее (исключен) +'!P54)</f>
        <v>0</v>
      </c>
    </row>
    <row r="1015" spans="1:13" s="89" customFormat="1" hidden="1" x14ac:dyDescent="0.25">
      <c r="A1015" s="13"/>
      <c r="B1015" s="242" t="s">
        <v>2376</v>
      </c>
      <c r="C1015" s="13"/>
      <c r="D1015" s="109"/>
      <c r="E1015" s="109"/>
      <c r="F1015" s="109"/>
      <c r="G1015" s="109"/>
      <c r="H1015" s="93">
        <f>IF(ISERR('[1]Высшее (исключен) +'!I57),"-",'[1]Высшее (исключен) +'!I57)</f>
        <v>38.167938931297712</v>
      </c>
      <c r="I1015" s="93">
        <f>IF(ISERR('[1]Высшее (исключен) +'!J57),"-",'[1]Высшее (исключен) +'!J57)</f>
        <v>27.092320966350304</v>
      </c>
      <c r="J1015" s="93" t="str">
        <f>IF(ISERR('[1]Высшее (исключен) +'!M57),"-",'[1]Высшее (исключен) +'!M57)</f>
        <v>-</v>
      </c>
      <c r="K1015" s="93">
        <f>IF(ISERR('[1]Высшее (исключен) +'!N57),"-",'[1]Высшее (исключен) +'!N57)</f>
        <v>24.832775919732441</v>
      </c>
      <c r="L1015" s="93">
        <f>IF(ISERR('[1]Высшее (исключен) +'!O57),"-",'[1]Высшее (исключен) +'!O57)</f>
        <v>26.111111111111114</v>
      </c>
      <c r="M1015" s="93" t="str">
        <f>IF(ISERR('[1]Высшее (исключен) +'!P57),"-",'[1]Высшее (исключен) +'!P57)</f>
        <v>-</v>
      </c>
    </row>
    <row r="1016" spans="1:13" s="89" customFormat="1" hidden="1" x14ac:dyDescent="0.25">
      <c r="A1016" s="13"/>
      <c r="B1016" s="242" t="s">
        <v>2377</v>
      </c>
      <c r="C1016" s="13"/>
      <c r="D1016" s="109"/>
      <c r="E1016" s="109"/>
      <c r="F1016" s="109"/>
      <c r="G1016" s="109"/>
      <c r="H1016" s="93"/>
      <c r="I1016" s="93"/>
      <c r="J1016" s="93"/>
      <c r="K1016" s="93"/>
      <c r="L1016" s="93"/>
      <c r="M1016" s="93"/>
    </row>
    <row r="1017" spans="1:13" s="89" customFormat="1" hidden="1" x14ac:dyDescent="0.25">
      <c r="A1017" s="13"/>
      <c r="B1017" s="242" t="s">
        <v>2374</v>
      </c>
      <c r="C1017" s="13"/>
      <c r="D1017" s="109"/>
      <c r="E1017" s="109"/>
      <c r="F1017" s="109"/>
      <c r="G1017" s="109"/>
      <c r="H1017" s="93">
        <f>IF(ISERR('[1]Высшее (исключен) +'!I81),"-",'[1]Высшее (исключен) +'!I81)</f>
        <v>0</v>
      </c>
      <c r="I1017" s="93">
        <f>IF(ISERR('[1]Высшее (исключен) +'!J81),"-",'[1]Высшее (исключен) +'!J81)</f>
        <v>35.214650255178626</v>
      </c>
      <c r="J1017" s="93" t="str">
        <f>IF(ISERR('[1]Высшее (исключен) +'!M81),"-",'[1]Высшее (исключен) +'!M81)</f>
        <v>-</v>
      </c>
      <c r="K1017" s="93">
        <f>IF(ISERR('[1]Высшее (исключен) +'!N81),"-",'[1]Высшее (исключен) +'!N81)</f>
        <v>33.184590212702666</v>
      </c>
      <c r="L1017" s="93">
        <f>IF(ISERR('[1]Высшее (исключен) +'!O81),"-",'[1]Высшее (исключен) +'!O81)</f>
        <v>32.684584491813403</v>
      </c>
      <c r="M1017" s="93" t="str">
        <f>IF(ISERR('[1]Высшее (исключен) +'!P81),"-",'[1]Высшее (исключен) +'!P81)</f>
        <v>-</v>
      </c>
    </row>
    <row r="1018" spans="1:13" s="89" customFormat="1" hidden="1" x14ac:dyDescent="0.25">
      <c r="A1018" s="13"/>
      <c r="B1018" s="242" t="s">
        <v>2375</v>
      </c>
      <c r="C1018" s="13"/>
      <c r="D1018" s="109"/>
      <c r="E1018" s="109"/>
      <c r="F1018" s="109"/>
      <c r="G1018" s="109"/>
      <c r="H1018" s="93" t="str">
        <f>IF(ISERR('[1]Высшее (исключен) +'!I84),"-",'[1]Высшее (исключен) +'!I84)</f>
        <v>-</v>
      </c>
      <c r="I1018" s="93">
        <f>IF(ISERR('[1]Высшее (исключен) +'!J84),"-",'[1]Высшее (исключен) +'!J84)</f>
        <v>0</v>
      </c>
      <c r="J1018" s="93" t="str">
        <f>IF(ISERR('[1]Высшее (исключен) +'!M84),"-",'[1]Высшее (исключен) +'!M84)</f>
        <v>-</v>
      </c>
      <c r="K1018" s="93">
        <f>IF(ISERR('[1]Высшее (исключен) +'!N84),"-",'[1]Высшее (исключен) +'!N84)</f>
        <v>0</v>
      </c>
      <c r="L1018" s="93">
        <f>IF(ISERR('[1]Высшее (исключен) +'!O84),"-",'[1]Высшее (исключен) +'!O84)</f>
        <v>23.537803138373754</v>
      </c>
      <c r="M1018" s="93">
        <f>IF(ISERR('[1]Высшее (исключен) +'!P84),"-",'[1]Высшее (исключен) +'!P84)</f>
        <v>0</v>
      </c>
    </row>
    <row r="1019" spans="1:13" s="89" customFormat="1" hidden="1" x14ac:dyDescent="0.25">
      <c r="A1019" s="13"/>
      <c r="B1019" s="242" t="s">
        <v>2376</v>
      </c>
      <c r="C1019" s="13"/>
      <c r="D1019" s="109"/>
      <c r="E1019" s="109"/>
      <c r="F1019" s="109"/>
      <c r="G1019" s="109"/>
      <c r="H1019" s="93">
        <f>IF(ISERR('[1]Высшее (исключен) +'!I87),"-",'[1]Высшее (исключен) +'!I87)</f>
        <v>8.4817642069550461E-2</v>
      </c>
      <c r="I1019" s="93">
        <f>IF(ISERR('[1]Высшее (исключен) +'!J87),"-",'[1]Высшее (исключен) +'!J87)</f>
        <v>27.092320966350304</v>
      </c>
      <c r="J1019" s="93" t="str">
        <f>IF(ISERR('[1]Высшее (исключен) +'!M87),"-",'[1]Высшее (исключен) +'!M87)</f>
        <v>-</v>
      </c>
      <c r="K1019" s="93">
        <f>IF(ISERR('[1]Высшее (исключен) +'!N87),"-",'[1]Высшее (исключен) +'!N87)</f>
        <v>24.832775919732441</v>
      </c>
      <c r="L1019" s="93">
        <f>IF(ISERR('[1]Высшее (исключен) +'!O87),"-",'[1]Высшее (исключен) +'!O87)</f>
        <v>26.111111111111114</v>
      </c>
      <c r="M1019" s="93" t="str">
        <f>IF(ISERR('[1]Высшее (исключен) +'!P87),"-",'[1]Высшее (исключен) +'!P87)</f>
        <v>-</v>
      </c>
    </row>
    <row r="1020" spans="1:13" s="89" customFormat="1" hidden="1" x14ac:dyDescent="0.25">
      <c r="A1020" s="13"/>
      <c r="B1020" s="242" t="s">
        <v>1302</v>
      </c>
      <c r="C1020" s="13" t="s">
        <v>8</v>
      </c>
      <c r="D1020" s="109"/>
      <c r="E1020" s="109"/>
      <c r="F1020" s="109"/>
      <c r="G1020" s="93"/>
      <c r="H1020" s="93"/>
      <c r="I1020" s="93"/>
      <c r="J1020" s="93"/>
      <c r="K1020" s="93"/>
      <c r="L1020" s="93"/>
      <c r="M1020" s="93"/>
    </row>
    <row r="1021" spans="1:13" s="89" customFormat="1" hidden="1" x14ac:dyDescent="0.25">
      <c r="A1021" s="13"/>
      <c r="B1021" s="242" t="s">
        <v>2373</v>
      </c>
      <c r="C1021" s="13"/>
      <c r="D1021" s="109"/>
      <c r="E1021" s="109"/>
      <c r="F1021" s="109"/>
      <c r="G1021" s="93"/>
      <c r="H1021" s="93"/>
      <c r="I1021" s="93"/>
      <c r="J1021" s="93"/>
      <c r="K1021" s="93"/>
      <c r="L1021" s="93"/>
      <c r="M1021" s="93"/>
    </row>
    <row r="1022" spans="1:13" s="89" customFormat="1" hidden="1" x14ac:dyDescent="0.25">
      <c r="A1022" s="13"/>
      <c r="B1022" s="242" t="s">
        <v>2374</v>
      </c>
      <c r="C1022" s="13"/>
      <c r="D1022" s="109"/>
      <c r="E1022" s="109"/>
      <c r="F1022" s="109"/>
      <c r="G1022" s="93"/>
      <c r="H1022" s="93">
        <f>IF(ISERR('[1]Высшее (исключен) +'!I52),"-",'[1]Высшее (исключен) +'!I52)</f>
        <v>9.2592592592592595</v>
      </c>
      <c r="I1022" s="93" t="str">
        <f>IF(ISERR('[1]Высшее (исключен) +'!J52),"-",'[1]Высшее (исключен) +'!J52)</f>
        <v>-</v>
      </c>
      <c r="J1022" s="93" t="str">
        <f>IF(ISERR('[1]Высшее (исключен) +'!M52),"-",'[1]Высшее (исключен) +'!M52)</f>
        <v>-</v>
      </c>
      <c r="K1022" s="93" t="str">
        <f>IF(ISERR('[1]Высшее (исключен) +'!N52),"-",'[1]Высшее (исключен) +'!N52)</f>
        <v>-</v>
      </c>
      <c r="L1022" s="93">
        <f>IF(ISERR('[1]Высшее (исключен) +'!O52),"-",'[1]Высшее (исключен) +'!O52)</f>
        <v>0</v>
      </c>
      <c r="M1022" s="93" t="str">
        <f>IF(ISERR('[1]Высшее (исключен) +'!P52),"-",'[1]Высшее (исключен) +'!P52)</f>
        <v>-</v>
      </c>
    </row>
    <row r="1023" spans="1:13" s="89" customFormat="1" hidden="1" x14ac:dyDescent="0.25">
      <c r="A1023" s="13"/>
      <c r="B1023" s="242" t="s">
        <v>2375</v>
      </c>
      <c r="C1023" s="13"/>
      <c r="D1023" s="109"/>
      <c r="E1023" s="109"/>
      <c r="F1023" s="109"/>
      <c r="G1023" s="93"/>
      <c r="H1023" s="93" t="str">
        <f>IF(ISERR('[1]Высшее (исключен) +'!I55),"-",'[1]Высшее (исключен) +'!I55)</f>
        <v>-</v>
      </c>
      <c r="I1023" s="93" t="str">
        <f>IF(ISERR('[1]Высшее (исключен) +'!J55),"-",'[1]Высшее (исключен) +'!J55)</f>
        <v>-</v>
      </c>
      <c r="J1023" s="93" t="str">
        <f>IF(ISERR('[1]Высшее (исключен) +'!M55),"-",'[1]Высшее (исключен) +'!M55)</f>
        <v>-</v>
      </c>
      <c r="K1023" s="93" t="str">
        <f>IF(ISERR('[1]Высшее (исключен) +'!N55),"-",'[1]Высшее (исключен) +'!N55)</f>
        <v>-</v>
      </c>
      <c r="L1023" s="93" t="str">
        <f>IF(ISERR('[1]Высшее (исключен) +'!O55),"-",'[1]Высшее (исключен) +'!O55)</f>
        <v>-</v>
      </c>
      <c r="M1023" s="93" t="str">
        <f>IF(ISERR('[1]Высшее (исключен) +'!P55),"-",'[1]Высшее (исключен) +'!P55)</f>
        <v>-</v>
      </c>
    </row>
    <row r="1024" spans="1:13" s="89" customFormat="1" hidden="1" x14ac:dyDescent="0.25">
      <c r="A1024" s="13"/>
      <c r="B1024" s="242" t="s">
        <v>2376</v>
      </c>
      <c r="C1024" s="13"/>
      <c r="D1024" s="109"/>
      <c r="E1024" s="109"/>
      <c r="F1024" s="109"/>
      <c r="G1024" s="93"/>
      <c r="H1024" s="93" t="str">
        <f>IF(ISERR('[1]Высшее (исключен) +'!I58),"-",'[1]Высшее (исключен) +'!I58)</f>
        <v>-</v>
      </c>
      <c r="I1024" s="93" t="str">
        <f>IF(ISERR('[1]Высшее (исключен) +'!J58),"-",'[1]Высшее (исключен) +'!J58)</f>
        <v>-</v>
      </c>
      <c r="J1024" s="93" t="str">
        <f>IF(ISERR('[1]Высшее (исключен) +'!M58),"-",'[1]Высшее (исключен) +'!M58)</f>
        <v>-</v>
      </c>
      <c r="K1024" s="93" t="str">
        <f>IF(ISERR('[1]Высшее (исключен) +'!N58),"-",'[1]Высшее (исключен) +'!N58)</f>
        <v>-</v>
      </c>
      <c r="L1024" s="93" t="str">
        <f>IF(ISERR('[1]Высшее (исключен) +'!O58),"-",'[1]Высшее (исключен) +'!O58)</f>
        <v>-</v>
      </c>
      <c r="M1024" s="93" t="str">
        <f>IF(ISERR('[1]Высшее (исключен) +'!P58),"-",'[1]Высшее (исключен) +'!P58)</f>
        <v>-</v>
      </c>
    </row>
    <row r="1025" spans="1:13" s="89" customFormat="1" hidden="1" x14ac:dyDescent="0.25">
      <c r="A1025" s="13"/>
      <c r="B1025" s="242" t="s">
        <v>2377</v>
      </c>
      <c r="C1025" s="13"/>
      <c r="D1025" s="109"/>
      <c r="E1025" s="109"/>
      <c r="F1025" s="109"/>
      <c r="G1025" s="93"/>
      <c r="H1025" s="93"/>
      <c r="I1025" s="93"/>
      <c r="J1025" s="93"/>
      <c r="K1025" s="93"/>
      <c r="L1025" s="93"/>
      <c r="M1025" s="93"/>
    </row>
    <row r="1026" spans="1:13" s="89" customFormat="1" hidden="1" x14ac:dyDescent="0.25">
      <c r="A1026" s="13"/>
      <c r="B1026" s="242" t="s">
        <v>2374</v>
      </c>
      <c r="C1026" s="13"/>
      <c r="D1026" s="109"/>
      <c r="E1026" s="109"/>
      <c r="F1026" s="109"/>
      <c r="G1026" s="93"/>
      <c r="H1026" s="93">
        <f>IF(ISERR('[1]Высшее (исключен) +'!I82),"-",'[1]Высшее (исключен) +'!I82)</f>
        <v>6.9444444444444446</v>
      </c>
      <c r="I1026" s="93" t="str">
        <f>IF(ISERR('[1]Высшее (исключен) +'!J82),"-",'[1]Высшее (исключен) +'!J82)</f>
        <v>-</v>
      </c>
      <c r="J1026" s="93" t="str">
        <f>IF(ISERR('[1]Высшее (исключен) +'!M82),"-",'[1]Высшее (исключен) +'!M82)</f>
        <v>-</v>
      </c>
      <c r="K1026" s="93" t="str">
        <f>IF(ISERR('[1]Высшее (исключен) +'!N82),"-",'[1]Высшее (исключен) +'!N82)</f>
        <v>-</v>
      </c>
      <c r="L1026" s="93">
        <f>IF(ISERR('[1]Высшее (исключен) +'!O82),"-",'[1]Высшее (исключен) +'!O82)</f>
        <v>0</v>
      </c>
      <c r="M1026" s="93" t="str">
        <f>IF(ISERR('[1]Высшее (исключен) +'!P82),"-",'[1]Высшее (исключен) +'!P82)</f>
        <v>-</v>
      </c>
    </row>
    <row r="1027" spans="1:13" s="89" customFormat="1" hidden="1" x14ac:dyDescent="0.25">
      <c r="A1027" s="13"/>
      <c r="B1027" s="242" t="s">
        <v>2375</v>
      </c>
      <c r="C1027" s="13"/>
      <c r="D1027" s="109"/>
      <c r="E1027" s="109"/>
      <c r="F1027" s="109"/>
      <c r="G1027" s="93"/>
      <c r="H1027" s="93" t="str">
        <f>IF(ISERR('[1]Высшее (исключен) +'!I85),"-",'[1]Высшее (исключен) +'!I85)</f>
        <v>-</v>
      </c>
      <c r="I1027" s="93" t="str">
        <f>IF(ISERR('[1]Высшее (исключен) +'!J85),"-",'[1]Высшее (исключен) +'!J85)</f>
        <v>-</v>
      </c>
      <c r="J1027" s="93" t="str">
        <f>IF(ISERR('[1]Высшее (исключен) +'!M85),"-",'[1]Высшее (исключен) +'!M85)</f>
        <v>-</v>
      </c>
      <c r="K1027" s="93" t="str">
        <f>IF(ISERR('[1]Высшее (исключен) +'!N85),"-",'[1]Высшее (исключен) +'!N85)</f>
        <v>-</v>
      </c>
      <c r="L1027" s="93" t="str">
        <f>IF(ISERR('[1]Высшее (исключен) +'!O85),"-",'[1]Высшее (исключен) +'!O85)</f>
        <v>-</v>
      </c>
      <c r="M1027" s="93" t="str">
        <f>IF(ISERR('[1]Высшее (исключен) +'!P85),"-",'[1]Высшее (исключен) +'!P85)</f>
        <v>-</v>
      </c>
    </row>
    <row r="1028" spans="1:13" s="89" customFormat="1" hidden="1" x14ac:dyDescent="0.25">
      <c r="A1028" s="13"/>
      <c r="B1028" s="242" t="s">
        <v>2376</v>
      </c>
      <c r="C1028" s="13"/>
      <c r="D1028" s="109"/>
      <c r="E1028" s="109"/>
      <c r="F1028" s="109"/>
      <c r="G1028" s="93"/>
      <c r="H1028" s="93" t="str">
        <f>IF(ISERR('[1]Высшее (исключен) +'!I88),"-",'[1]Высшее (исключен) +'!I88)</f>
        <v>-</v>
      </c>
      <c r="I1028" s="93" t="str">
        <f>IF(ISERR('[1]Высшее (исключен) +'!J88),"-",'[1]Высшее (исключен) +'!J88)</f>
        <v>-</v>
      </c>
      <c r="J1028" s="93" t="str">
        <f>IF(ISERR('[1]Высшее (исключен) +'!M88),"-",'[1]Высшее (исключен) +'!M88)</f>
        <v>-</v>
      </c>
      <c r="K1028" s="93" t="str">
        <f>IF(ISERR('[1]Высшее (исключен) +'!N88),"-",'[1]Высшее (исключен) +'!N88)</f>
        <v>-</v>
      </c>
      <c r="L1028" s="93" t="str">
        <f>IF(ISERR('[1]Высшее (исключен) +'!O88),"-",'[1]Высшее (исключен) +'!O88)</f>
        <v>-</v>
      </c>
      <c r="M1028" s="93" t="str">
        <f>IF(ISERR('[1]Высшее (исключен) +'!P88),"-",'[1]Высшее (исключен) +'!P88)</f>
        <v>-</v>
      </c>
    </row>
    <row r="1029" spans="1:13" s="89" customFormat="1" hidden="1" x14ac:dyDescent="0.25">
      <c r="A1029" s="13"/>
      <c r="B1029" s="242" t="s">
        <v>1302</v>
      </c>
      <c r="C1029" s="13" t="s">
        <v>8</v>
      </c>
      <c r="D1029" s="109"/>
      <c r="E1029" s="109"/>
      <c r="F1029" s="109"/>
      <c r="G1029" s="109"/>
      <c r="H1029" s="93"/>
      <c r="I1029" s="93"/>
      <c r="J1029" s="93"/>
      <c r="K1029" s="93"/>
      <c r="L1029" s="93"/>
      <c r="M1029" s="93"/>
    </row>
    <row r="1030" spans="1:13" s="89" customFormat="1" hidden="1" x14ac:dyDescent="0.25">
      <c r="A1030" s="13"/>
      <c r="B1030" s="242" t="s">
        <v>1324</v>
      </c>
      <c r="C1030" s="13"/>
      <c r="D1030" s="109"/>
      <c r="E1030" s="109"/>
      <c r="F1030" s="109"/>
      <c r="G1030" s="109"/>
      <c r="H1030" s="109"/>
      <c r="I1030" s="109"/>
      <c r="J1030" s="109"/>
      <c r="K1030" s="109"/>
      <c r="L1030" s="109"/>
      <c r="M1030" s="109"/>
    </row>
    <row r="1031" spans="1:13" s="89" customFormat="1" hidden="1" x14ac:dyDescent="0.25">
      <c r="A1031" s="13"/>
      <c r="B1031" s="242" t="s">
        <v>1301</v>
      </c>
      <c r="C1031" s="13" t="s">
        <v>8</v>
      </c>
      <c r="D1031" s="109"/>
      <c r="E1031" s="109"/>
      <c r="F1031" s="109"/>
      <c r="G1031" s="109"/>
      <c r="H1031" s="93"/>
      <c r="I1031" s="93"/>
      <c r="J1031" s="93"/>
      <c r="K1031" s="93"/>
      <c r="L1031" s="93"/>
      <c r="M1031" s="93"/>
    </row>
    <row r="1032" spans="1:13" s="89" customFormat="1" hidden="1" x14ac:dyDescent="0.25">
      <c r="A1032" s="13"/>
      <c r="B1032" s="242" t="s">
        <v>1302</v>
      </c>
      <c r="C1032" s="13" t="s">
        <v>8</v>
      </c>
      <c r="D1032" s="109"/>
      <c r="E1032" s="109"/>
      <c r="F1032" s="109"/>
      <c r="G1032" s="109"/>
      <c r="H1032" s="93"/>
      <c r="I1032" s="93"/>
      <c r="J1032" s="93"/>
      <c r="K1032" s="93"/>
      <c r="L1032" s="93"/>
      <c r="M1032" s="93"/>
    </row>
    <row r="1033" spans="1:13" s="89" customFormat="1" hidden="1" x14ac:dyDescent="0.25">
      <c r="A1033" s="87"/>
      <c r="B1033" s="242" t="s">
        <v>1322</v>
      </c>
      <c r="C1033" s="13"/>
      <c r="D1033" s="109"/>
      <c r="E1033" s="109"/>
      <c r="F1033" s="109"/>
      <c r="G1033" s="109"/>
      <c r="H1033" s="109"/>
      <c r="I1033" s="109"/>
      <c r="J1033" s="109"/>
      <c r="K1033" s="109"/>
      <c r="L1033" s="109"/>
      <c r="M1033" s="109"/>
    </row>
    <row r="1034" spans="1:13" s="89" customFormat="1" hidden="1" x14ac:dyDescent="0.25">
      <c r="A1034" s="87"/>
      <c r="B1034" s="242" t="s">
        <v>1301</v>
      </c>
      <c r="C1034" s="13" t="s">
        <v>8</v>
      </c>
      <c r="D1034" s="93">
        <f>IF(ISERR('[1]Высшее (исключен) +'!E51),"-",'[1]Высшее (исключен) +'!E51)</f>
        <v>0</v>
      </c>
      <c r="E1034" s="93">
        <f>IF(ISERR('[1]Высшее (исключен) +'!F51),"-",'[1]Высшее (исключен) +'!F51)</f>
        <v>0</v>
      </c>
      <c r="F1034" s="93">
        <f>IF(ISERR('[1]Высшее (исключен) +'!G51),"-",'[1]Высшее (исключен) +'!G51)</f>
        <v>0</v>
      </c>
      <c r="G1034" s="93">
        <f>IF(ISERR('[1]Высшее (исключен) +'!H51),"-",'[1]Высшее (исключен) +'!H51)</f>
        <v>39.096126255380206</v>
      </c>
      <c r="H1034" s="93">
        <f>IF(ISERR('[1]Высшее (исключен) +'!I51),"-",'[1]Высшее (исключен) +'!I51)</f>
        <v>36.503155479059096</v>
      </c>
      <c r="I1034" s="93">
        <f>IF(ISERR('[1]Высшее (исключен) +'!J51),"-",'[1]Высшее (исключен) +'!J51)</f>
        <v>35.214650255178626</v>
      </c>
      <c r="J1034" s="93" t="str">
        <f>IF(ISERR('[1]Высшее (исключен) +'!M51),"-",'[1]Высшее (исключен) +'!M51)</f>
        <v>-</v>
      </c>
      <c r="K1034" s="93">
        <f>IF(ISERR('[1]Высшее (исключен) +'!N51),"-",'[1]Высшее (исключен) +'!N51)</f>
        <v>33.184590212702666</v>
      </c>
      <c r="L1034" s="93">
        <f>IF(ISERR('[1]Высшее (исключен) +'!O51),"-",'[1]Высшее (исключен) +'!O51)</f>
        <v>32.684584491813403</v>
      </c>
      <c r="M1034" s="93" t="str">
        <f>IF(ISERR('[1]Высшее (исключен) +'!P51),"-",'[1]Высшее (исключен) +'!P51)</f>
        <v>-</v>
      </c>
    </row>
    <row r="1035" spans="1:13" s="89" customFormat="1" hidden="1" x14ac:dyDescent="0.25">
      <c r="A1035" s="87"/>
      <c r="B1035" s="242" t="s">
        <v>1302</v>
      </c>
      <c r="C1035" s="13" t="s">
        <v>8</v>
      </c>
      <c r="D1035" s="93">
        <f>IF(ISERR('[1]Высшее (исключен) +'!E52),"-",'[1]Высшее (исключен) +'!E52)</f>
        <v>0</v>
      </c>
      <c r="E1035" s="93">
        <f>IF(ISERR('[1]Высшее (исключен) +'!F52),"-",'[1]Высшее (исключен) +'!F52)</f>
        <v>1.79</v>
      </c>
      <c r="F1035" s="93">
        <f>IF(ISERR('[1]Высшее (исключен) +'!G52),"-",'[1]Высшее (исключен) +'!G52)</f>
        <v>0</v>
      </c>
      <c r="G1035" s="93">
        <f>IF(ISERR('[1]Высшее (исключен) +'!H52),"-",'[1]Высшее (исключен) +'!H52)</f>
        <v>6.74</v>
      </c>
      <c r="H1035" s="93">
        <f>IF(ISERR('[1]Высшее (исключен) +'!I52),"-",'[1]Высшее (исключен) +'!I52)</f>
        <v>9.2592592592592595</v>
      </c>
      <c r="I1035" s="93" t="str">
        <f>IF(ISERR('[1]Высшее (исключен) +'!J52),"-",'[1]Высшее (исключен) +'!J52)</f>
        <v>-</v>
      </c>
      <c r="J1035" s="93" t="str">
        <f>IF(ISERR('[1]Высшее (исключен) +'!M52),"-",'[1]Высшее (исключен) +'!M52)</f>
        <v>-</v>
      </c>
      <c r="K1035" s="93" t="str">
        <f>IF(ISERR('[1]Высшее (исключен) +'!N52),"-",'[1]Высшее (исключен) +'!N52)</f>
        <v>-</v>
      </c>
      <c r="L1035" s="93">
        <f>IF(ISERR('[1]Высшее (исключен) +'!O52),"-",'[1]Высшее (исключен) +'!O52)</f>
        <v>0</v>
      </c>
      <c r="M1035" s="93" t="str">
        <f>IF(ISERR('[1]Высшее (исключен) +'!P52),"-",'[1]Высшее (исключен) +'!P52)</f>
        <v>-</v>
      </c>
    </row>
    <row r="1036" spans="1:13" s="89" customFormat="1" hidden="1" x14ac:dyDescent="0.25">
      <c r="A1036" s="87"/>
      <c r="B1036" s="242" t="s">
        <v>1323</v>
      </c>
      <c r="C1036" s="13"/>
      <c r="D1036" s="109"/>
      <c r="E1036" s="109"/>
      <c r="F1036" s="109"/>
      <c r="G1036" s="109"/>
      <c r="H1036" s="109"/>
      <c r="I1036" s="109"/>
      <c r="J1036" s="109"/>
      <c r="K1036" s="109"/>
      <c r="L1036" s="109"/>
      <c r="M1036" s="109"/>
    </row>
    <row r="1037" spans="1:13" s="89" customFormat="1" hidden="1" x14ac:dyDescent="0.25">
      <c r="A1037" s="87"/>
      <c r="B1037" s="242" t="s">
        <v>1301</v>
      </c>
      <c r="C1037" s="13" t="s">
        <v>8</v>
      </c>
      <c r="D1037" s="93">
        <f>IF(ISERR('[1]Высшее (исключен) +'!E54),"-",'[1]Высшее (исключен) +'!E54)</f>
        <v>0</v>
      </c>
      <c r="E1037" s="93">
        <f>IF(ISERR('[1]Высшее (исключен) +'!F54),"-",'[1]Высшее (исключен) +'!F54)</f>
        <v>0</v>
      </c>
      <c r="F1037" s="93">
        <f>IF(ISERR('[1]Высшее (исключен) +'!G54),"-",'[1]Высшее (исключен) +'!G54)</f>
        <v>0</v>
      </c>
      <c r="G1037" s="93">
        <f>IF(ISERR('[1]Высшее (исключен) +'!H54),"-",'[1]Высшее (исключен) +'!H54)</f>
        <v>4.3753038405444826</v>
      </c>
      <c r="H1037" s="93">
        <f>IF(ISERR('[1]Высшее (исключен) +'!I54),"-",'[1]Высшее (исключен) +'!I54)</f>
        <v>1.0658914728682169</v>
      </c>
      <c r="I1037" s="93">
        <f>IF(ISERR('[1]Высшее (исключен) +'!J54),"-",'[1]Высшее (исключен) +'!J54)</f>
        <v>0</v>
      </c>
      <c r="J1037" s="93" t="str">
        <f>IF(ISERR('[1]Высшее (исключен) +'!M54),"-",'[1]Высшее (исключен) +'!M54)</f>
        <v>-</v>
      </c>
      <c r="K1037" s="93">
        <f>IF(ISERR('[1]Высшее (исключен) +'!N54),"-",'[1]Высшее (исключен) +'!N54)</f>
        <v>0</v>
      </c>
      <c r="L1037" s="93">
        <f>IF(ISERR('[1]Высшее (исключен) +'!O54),"-",'[1]Высшее (исключен) +'!O54)</f>
        <v>0</v>
      </c>
      <c r="M1037" s="93">
        <f>IF(ISERR('[1]Высшее (исключен) +'!P54),"-",'[1]Высшее (исключен) +'!P54)</f>
        <v>0</v>
      </c>
    </row>
    <row r="1038" spans="1:13" s="89" customFormat="1" hidden="1" x14ac:dyDescent="0.25">
      <c r="A1038" s="87"/>
      <c r="B1038" s="242" t="s">
        <v>1302</v>
      </c>
      <c r="C1038" s="13" t="s">
        <v>8</v>
      </c>
      <c r="D1038" s="93">
        <f>IF(ISERR('[1]Высшее (исключен) +'!E55),"-",'[1]Высшее (исключен) +'!E55)</f>
        <v>0</v>
      </c>
      <c r="E1038" s="93">
        <f>IF(ISERR('[1]Высшее (исключен) +'!F55),"-",'[1]Высшее (исключен) +'!F55)</f>
        <v>0</v>
      </c>
      <c r="F1038" s="93">
        <f>IF(ISERR('[1]Высшее (исключен) +'!G55),"-",'[1]Высшее (исключен) +'!G55)</f>
        <v>0</v>
      </c>
      <c r="G1038" s="93" t="str">
        <f>IF(ISERR('[1]Высшее (исключен) +'!H55),"-",'[1]Высшее (исключен) +'!H55)</f>
        <v>-</v>
      </c>
      <c r="H1038" s="93" t="str">
        <f>IF(ISERR('[1]Высшее (исключен) +'!I55),"-",'[1]Высшее (исключен) +'!I55)</f>
        <v>-</v>
      </c>
      <c r="I1038" s="93" t="str">
        <f>IF(ISERR('[1]Высшее (исключен) +'!J55),"-",'[1]Высшее (исключен) +'!J55)</f>
        <v>-</v>
      </c>
      <c r="J1038" s="93" t="str">
        <f>IF(ISERR('[1]Высшее (исключен) +'!M55),"-",'[1]Высшее (исключен) +'!M55)</f>
        <v>-</v>
      </c>
      <c r="K1038" s="93" t="str">
        <f>IF(ISERR('[1]Высшее (исключен) +'!N55),"-",'[1]Высшее (исключен) +'!N55)</f>
        <v>-</v>
      </c>
      <c r="L1038" s="93" t="str">
        <f>IF(ISERR('[1]Высшее (исключен) +'!O55),"-",'[1]Высшее (исключен) +'!O55)</f>
        <v>-</v>
      </c>
      <c r="M1038" s="93" t="str">
        <f>IF(ISERR('[1]Высшее (исключен) +'!P55),"-",'[1]Высшее (исключен) +'!P55)</f>
        <v>-</v>
      </c>
    </row>
    <row r="1039" spans="1:13" s="89" customFormat="1" hidden="1" x14ac:dyDescent="0.25">
      <c r="A1039" s="87"/>
      <c r="B1039" s="242" t="s">
        <v>1324</v>
      </c>
      <c r="C1039" s="13"/>
      <c r="D1039" s="109"/>
      <c r="E1039" s="109"/>
      <c r="F1039" s="109"/>
      <c r="G1039" s="109"/>
      <c r="H1039" s="109"/>
      <c r="I1039" s="109"/>
      <c r="J1039" s="109"/>
      <c r="K1039" s="109"/>
      <c r="L1039" s="109"/>
      <c r="M1039" s="109"/>
    </row>
    <row r="1040" spans="1:13" s="89" customFormat="1" hidden="1" x14ac:dyDescent="0.25">
      <c r="A1040" s="87"/>
      <c r="B1040" s="242" t="s">
        <v>1301</v>
      </c>
      <c r="C1040" s="13" t="s">
        <v>8</v>
      </c>
      <c r="D1040" s="93">
        <f>IF(ISERR('[1]Высшее (исключен) +'!E57),"-",'[1]Высшее (исключен) +'!E57)</f>
        <v>0</v>
      </c>
      <c r="E1040" s="93">
        <f>IF(ISERR('[1]Высшее (исключен) +'!F57),"-",'[1]Высшее (исключен) +'!F57)</f>
        <v>0</v>
      </c>
      <c r="F1040" s="93">
        <f>IF(ISERR('[1]Высшее (исключен) +'!G57),"-",'[1]Высшее (исключен) +'!G57)</f>
        <v>0</v>
      </c>
      <c r="G1040" s="93">
        <f>IF(ISERR('[1]Высшее (исключен) +'!H57),"-",'[1]Высшее (исключен) +'!H57)</f>
        <v>37.096774193548384</v>
      </c>
      <c r="H1040" s="93">
        <f>IF(ISERR('[1]Высшее (исключен) +'!I57),"-",'[1]Высшее (исключен) +'!I57)</f>
        <v>38.167938931297712</v>
      </c>
      <c r="I1040" s="93">
        <f>IF(ISERR('[1]Высшее (исключен) +'!J57),"-",'[1]Высшее (исключен) +'!J57)</f>
        <v>27.092320966350304</v>
      </c>
      <c r="J1040" s="93" t="str">
        <f>IF(ISERR('[1]Высшее (исключен) +'!M57),"-",'[1]Высшее (исключен) +'!M57)</f>
        <v>-</v>
      </c>
      <c r="K1040" s="93">
        <f>IF(ISERR('[1]Высшее (исключен) +'!N57),"-",'[1]Высшее (исключен) +'!N57)</f>
        <v>24.832775919732441</v>
      </c>
      <c r="L1040" s="93">
        <f>IF(ISERR('[1]Высшее (исключен) +'!O57),"-",'[1]Высшее (исключен) +'!O57)</f>
        <v>26.111111111111114</v>
      </c>
      <c r="M1040" s="93" t="str">
        <f>IF(ISERR('[1]Высшее (исключен) +'!P57),"-",'[1]Высшее (исключен) +'!P57)</f>
        <v>-</v>
      </c>
    </row>
    <row r="1041" spans="1:13" s="89" customFormat="1" hidden="1" x14ac:dyDescent="0.25">
      <c r="A1041" s="87"/>
      <c r="B1041" s="242" t="s">
        <v>1302</v>
      </c>
      <c r="C1041" s="13" t="s">
        <v>8</v>
      </c>
      <c r="D1041" s="93">
        <f>IF(ISERR('[1]Высшее (исключен) +'!E58),"-",'[1]Высшее (исключен) +'!E58)</f>
        <v>0</v>
      </c>
      <c r="E1041" s="93">
        <f>IF(ISERR('[1]Высшее (исключен) +'!F58),"-",'[1]Высшее (исключен) +'!F58)</f>
        <v>0</v>
      </c>
      <c r="F1041" s="93">
        <f>IF(ISERR('[1]Высшее (исключен) +'!G58),"-",'[1]Высшее (исключен) +'!G58)</f>
        <v>0</v>
      </c>
      <c r="G1041" s="93" t="str">
        <f>IF(ISERR('[1]Высшее (исключен) +'!H58),"-",'[1]Высшее (исключен) +'!H58)</f>
        <v>-</v>
      </c>
      <c r="H1041" s="93" t="str">
        <f>IF(ISERR('[1]Высшее (исключен) +'!I58),"-",'[1]Высшее (исключен) +'!I58)</f>
        <v>-</v>
      </c>
      <c r="I1041" s="93" t="str">
        <f>IF(ISERR('[1]Высшее (исключен) +'!J58),"-",'[1]Высшее (исключен) +'!J58)</f>
        <v>-</v>
      </c>
      <c r="J1041" s="93" t="str">
        <f>IF(ISERR('[1]Высшее (исключен) +'!M58),"-",'[1]Высшее (исключен) +'!M58)</f>
        <v>-</v>
      </c>
      <c r="K1041" s="93" t="str">
        <f>IF(ISERR('[1]Высшее (исключен) +'!N58),"-",'[1]Высшее (исключен) +'!N58)</f>
        <v>-</v>
      </c>
      <c r="L1041" s="93" t="str">
        <f>IF(ISERR('[1]Высшее (исключен) +'!O58),"-",'[1]Высшее (исключен) +'!O58)</f>
        <v>-</v>
      </c>
      <c r="M1041" s="93" t="str">
        <f>IF(ISERR('[1]Высшее (исключен) +'!P58),"-",'[1]Высшее (исключен) +'!P58)</f>
        <v>-</v>
      </c>
    </row>
    <row r="1042" spans="1:13" s="89" customFormat="1" ht="30" hidden="1" x14ac:dyDescent="0.25">
      <c r="A1042" s="62" t="s">
        <v>1935</v>
      </c>
      <c r="B1042" s="242" t="s">
        <v>1936</v>
      </c>
      <c r="C1042" s="62" t="s">
        <v>8</v>
      </c>
      <c r="D1042" s="93"/>
      <c r="E1042" s="93"/>
      <c r="F1042" s="93"/>
      <c r="G1042" s="93"/>
      <c r="H1042" s="93"/>
      <c r="I1042" s="93"/>
      <c r="J1042" s="93"/>
      <c r="K1042" s="93"/>
      <c r="L1042" s="93"/>
      <c r="M1042" s="93"/>
    </row>
    <row r="1043" spans="1:13" s="89" customFormat="1" ht="60" hidden="1" x14ac:dyDescent="0.25">
      <c r="A1043" s="99" t="s">
        <v>655</v>
      </c>
      <c r="B1043" s="100" t="s">
        <v>654</v>
      </c>
      <c r="C1043" s="87"/>
      <c r="D1043" s="109"/>
      <c r="E1043" s="109"/>
      <c r="F1043" s="109"/>
      <c r="G1043" s="109"/>
      <c r="H1043" s="109"/>
      <c r="I1043" s="109"/>
      <c r="J1043" s="109"/>
      <c r="K1043" s="109"/>
      <c r="L1043" s="109"/>
      <c r="M1043" s="109"/>
    </row>
    <row r="1044" spans="1:13" s="89" customFormat="1" ht="90" hidden="1" x14ac:dyDescent="0.25">
      <c r="A1044" s="13" t="s">
        <v>656</v>
      </c>
      <c r="B1044" s="242" t="s">
        <v>1937</v>
      </c>
      <c r="C1044" s="13"/>
      <c r="D1044" s="109"/>
      <c r="E1044" s="109"/>
      <c r="F1044" s="109"/>
      <c r="G1044" s="109"/>
      <c r="H1044" s="109"/>
      <c r="I1044" s="109"/>
      <c r="J1044" s="109"/>
      <c r="K1044" s="109"/>
      <c r="L1044" s="109"/>
      <c r="M1044" s="109"/>
    </row>
    <row r="1045" spans="1:13" s="89" customFormat="1" hidden="1" x14ac:dyDescent="0.25">
      <c r="A1045" s="13"/>
      <c r="B1045" s="242" t="s">
        <v>1301</v>
      </c>
      <c r="C1045" s="13"/>
      <c r="D1045" s="109"/>
      <c r="E1045" s="109"/>
      <c r="F1045" s="109"/>
      <c r="G1045" s="109"/>
      <c r="H1045" s="109"/>
      <c r="I1045" s="109"/>
      <c r="J1045" s="109"/>
      <c r="K1045" s="109"/>
      <c r="L1045" s="109"/>
      <c r="M1045" s="109"/>
    </row>
    <row r="1046" spans="1:13" s="89" customFormat="1" hidden="1" x14ac:dyDescent="0.25">
      <c r="A1046" s="13"/>
      <c r="B1046" s="242" t="s">
        <v>2378</v>
      </c>
      <c r="C1046" s="13" t="s">
        <v>8</v>
      </c>
      <c r="D1046" s="122">
        <f>IF(ISERR('[1]Высшее (исключен) +'!E111),"-",'[1]Высшее (исключен) +'!E111)</f>
        <v>14.45</v>
      </c>
      <c r="E1046" s="122">
        <f>IF(ISERR('[1]Высшее (исключен) +'!F111),"-",'[1]Высшее (исключен) +'!F111)</f>
        <v>14.33</v>
      </c>
      <c r="F1046" s="122">
        <f>IF(ISERR('[1]Высшее (исключен) +'!G111),"-",'[1]Высшее (исключен) +'!G111)</f>
        <v>13.68</v>
      </c>
      <c r="G1046" s="122">
        <f>IF(ISERR('[1]Высшее (исключен) +'!H111),"-",'[1]Высшее (исключен) +'!H111)</f>
        <v>13.282442748091603</v>
      </c>
      <c r="H1046" s="122">
        <f>IF(ISERR('[1]Высшее (исключен) +'!I111),"-",'[1]Высшее (исключен) +'!I111)</f>
        <v>13.841368584758943</v>
      </c>
      <c r="I1046" s="122">
        <f>IF(ISERR('[1]Высшее (исключен) +'!J111),"-",'[1]Высшее (исключен) +'!J111)</f>
        <v>13.513513513513514</v>
      </c>
      <c r="J1046" s="122" t="str">
        <f>IF(ISERR('[1]Высшее (исключен) +'!M111),"-",'[1]Высшее (исключен) +'!M111)</f>
        <v>-</v>
      </c>
      <c r="K1046" s="122">
        <f>IF(ISERR('[1]Высшее (исключен) +'!N111),"-",'[1]Высшее (исключен) +'!N111)</f>
        <v>12.695924764890282</v>
      </c>
      <c r="L1046" s="122">
        <f>IF(ISERR('[1]Высшее (исключен) +'!O111),"-",'[1]Высшее (исключен) +'!O111)</f>
        <v>12.333333333333334</v>
      </c>
      <c r="M1046" s="122">
        <f>IF(ISERR('[1]Высшее (исключен) +'!P111),"-",'[1]Высшее (исключен) +'!P111)</f>
        <v>24.615384615384617</v>
      </c>
    </row>
    <row r="1047" spans="1:13" s="89" customFormat="1" hidden="1" x14ac:dyDescent="0.25">
      <c r="A1047" s="13"/>
      <c r="B1047" s="242" t="s">
        <v>2379</v>
      </c>
      <c r="C1047" s="13" t="s">
        <v>8</v>
      </c>
      <c r="D1047" s="93">
        <f>IF(ISERR('[1]Высшее (исключен) +'!E114),"-",'[1]Высшее (исключен) +'!E114)</f>
        <v>56.35</v>
      </c>
      <c r="E1047" s="93">
        <f>IF(ISERR('[1]Высшее (исключен) +'!F114),"-",'[1]Высшее (исключен) +'!F114)</f>
        <v>57.89</v>
      </c>
      <c r="F1047" s="93">
        <f>IF(ISERR('[1]Высшее (исключен) +'!G114),"-",'[1]Высшее (исключен) +'!G114)</f>
        <v>59.12</v>
      </c>
      <c r="G1047" s="93">
        <f>IF(ISERR('[1]Высшее (исключен) +'!H114),"-",'[1]Высшее (исключен) +'!H114)</f>
        <v>57.557251908396942</v>
      </c>
      <c r="H1047" s="93">
        <f>IF(ISERR('[1]Высшее (исключен) +'!I114),"-",'[1]Высшее (исключен) +'!I114)</f>
        <v>59.097978227060658</v>
      </c>
      <c r="I1047" s="93">
        <f>IF(ISERR('[1]Высшее (исключен) +'!J114),"-",'[1]Высшее (исключен) +'!J114)</f>
        <v>58.82352941176471</v>
      </c>
      <c r="J1047" s="93" t="str">
        <f>IF(ISERR('[1]Высшее (исключен) +'!M114),"-",'[1]Высшее (исключен) +'!M114)</f>
        <v>-</v>
      </c>
      <c r="K1047" s="93">
        <f>IF(ISERR('[1]Высшее (исключен) +'!N114),"-",'[1]Высшее (исключен) +'!N114)</f>
        <v>58.934169278996862</v>
      </c>
      <c r="L1047" s="93">
        <f>IF(ISERR('[1]Высшее (исключен) +'!O114),"-",'[1]Высшее (исключен) +'!O114)</f>
        <v>59.166666666666664</v>
      </c>
      <c r="M1047" s="93">
        <f>IF(ISERR('[1]Высшее (исключен) +'!P114),"-",'[1]Высшее (исключен) +'!P114)</f>
        <v>52.307692307692314</v>
      </c>
    </row>
    <row r="1048" spans="1:13" s="89" customFormat="1" hidden="1" x14ac:dyDescent="0.25">
      <c r="A1048" s="13"/>
      <c r="B1048" s="242" t="s">
        <v>1302</v>
      </c>
      <c r="C1048" s="13"/>
      <c r="D1048" s="93"/>
      <c r="E1048" s="93"/>
      <c r="F1048" s="93"/>
      <c r="G1048" s="93"/>
      <c r="H1048" s="93"/>
      <c r="I1048" s="93"/>
      <c r="J1048" s="93"/>
      <c r="K1048" s="93"/>
      <c r="L1048" s="93"/>
      <c r="M1048" s="93"/>
    </row>
    <row r="1049" spans="1:13" s="89" customFormat="1" hidden="1" x14ac:dyDescent="0.25">
      <c r="A1049" s="13"/>
      <c r="B1049" s="242" t="s">
        <v>2378</v>
      </c>
      <c r="C1049" s="13" t="s">
        <v>8</v>
      </c>
      <c r="D1049" s="93">
        <f>IF(ISERR('[1]Высшее (исключен) +'!E112),"-",'[1]Высшее (исключен) +'!E112)</f>
        <v>8.4</v>
      </c>
      <c r="E1049" s="93">
        <f>IF(ISERR('[1]Высшее (исключен) +'!F112),"-",'[1]Высшее (исключен) +'!F112)</f>
        <v>12.5</v>
      </c>
      <c r="F1049" s="93">
        <f>IF(ISERR('[1]Высшее (исключен) +'!G112),"-",'[1]Высшее (исключен) +'!G112)</f>
        <v>15.71</v>
      </c>
      <c r="G1049" s="93">
        <f>IF(ISERR('[1]Высшее (исключен) +'!H112),"-",'[1]Высшее (исключен) +'!H112)</f>
        <v>14.285714285714285</v>
      </c>
      <c r="H1049" s="93">
        <f>IF(ISERR('[1]Высшее (исключен) +'!I112),"-",'[1]Высшее (исключен) +'!I112)</f>
        <v>13.043478260869565</v>
      </c>
      <c r="I1049" s="93" t="str">
        <f>IF(ISERR('[1]Высшее (исключен) +'!J112),"-",'[1]Высшее (исключен) +'!J112)</f>
        <v>-</v>
      </c>
      <c r="J1049" s="93" t="str">
        <f>IF(ISERR('[1]Высшее (исключен) +'!M112),"-",'[1]Высшее (исключен) +'!M112)</f>
        <v>-</v>
      </c>
      <c r="K1049" s="93" t="str">
        <f>IF(ISERR('[1]Высшее (исключен) +'!N112),"-",'[1]Высшее (исключен) +'!N112)</f>
        <v>-</v>
      </c>
      <c r="L1049" s="93">
        <f>IF(ISERR('[1]Высшее (исключен) +'!O112),"-",'[1]Высшее (исключен) +'!O112)</f>
        <v>0</v>
      </c>
      <c r="M1049" s="93" t="str">
        <f>IF(ISERR('[1]Высшее (исключен) +'!P112),"-",'[1]Высшее (исключен) +'!P112)</f>
        <v>-</v>
      </c>
    </row>
    <row r="1050" spans="1:13" s="89" customFormat="1" hidden="1" x14ac:dyDescent="0.25">
      <c r="A1050" s="13"/>
      <c r="B1050" s="242" t="s">
        <v>2379</v>
      </c>
      <c r="C1050" s="13" t="s">
        <v>8</v>
      </c>
      <c r="D1050" s="93">
        <f>IF(ISERR('[1]Высшее (исключен) +'!E115),"-",'[1]Высшее (исключен) +'!E115)</f>
        <v>52.94</v>
      </c>
      <c r="E1050" s="93">
        <f>IF(ISERR('[1]Высшее (исключен) +'!F115),"-",'[1]Высшее (исключен) +'!F115)</f>
        <v>70.19</v>
      </c>
      <c r="F1050" s="93">
        <f>IF(ISERR('[1]Высшее (исключен) +'!G115),"-",'[1]Высшее (исключен) +'!G115)</f>
        <v>65.709999999999994</v>
      </c>
      <c r="G1050" s="93">
        <f>IF(ISERR('[1]Высшее (исключен) +'!H115),"-",'[1]Высшее (исключен) +'!H115)</f>
        <v>67.857142857142861</v>
      </c>
      <c r="H1050" s="93">
        <f>IF(ISERR('[1]Высшее (исключен) +'!I115),"-",'[1]Высшее (исключен) +'!I115)</f>
        <v>65.217391304347828</v>
      </c>
      <c r="I1050" s="93" t="str">
        <f>IF(ISERR('[1]Высшее (исключен) +'!J115),"-",'[1]Высшее (исключен) +'!J115)</f>
        <v>-</v>
      </c>
      <c r="J1050" s="93" t="str">
        <f>IF(ISERR('[1]Высшее (исключен) +'!M115),"-",'[1]Высшее (исключен) +'!M115)</f>
        <v>-</v>
      </c>
      <c r="K1050" s="93" t="str">
        <f>IF(ISERR('[1]Высшее (исключен) +'!N115),"-",'[1]Высшее (исключен) +'!N115)</f>
        <v>-</v>
      </c>
      <c r="L1050" s="93">
        <f>IF(ISERR('[1]Высшее (исключен) +'!O115),"-",'[1]Высшее (исключен) +'!O115)</f>
        <v>100</v>
      </c>
      <c r="M1050" s="93" t="str">
        <f>IF(ISERR('[1]Высшее (исключен) +'!P115),"-",'[1]Высшее (исключен) +'!P115)</f>
        <v>-</v>
      </c>
    </row>
    <row r="1051" spans="1:13" s="89" customFormat="1" ht="90" hidden="1" x14ac:dyDescent="0.25">
      <c r="A1051" s="13" t="s">
        <v>660</v>
      </c>
      <c r="B1051" s="242" t="s">
        <v>1938</v>
      </c>
      <c r="C1051" s="13"/>
      <c r="D1051" s="109"/>
      <c r="E1051" s="109"/>
      <c r="F1051" s="109"/>
      <c r="G1051" s="109"/>
      <c r="H1051" s="109"/>
      <c r="I1051" s="109"/>
      <c r="J1051" s="109"/>
      <c r="K1051" s="109"/>
      <c r="L1051" s="109"/>
      <c r="M1051" s="109"/>
    </row>
    <row r="1052" spans="1:13" s="89" customFormat="1" hidden="1" x14ac:dyDescent="0.25">
      <c r="A1052" s="13"/>
      <c r="B1052" s="242" t="s">
        <v>1301</v>
      </c>
      <c r="C1052" s="13" t="s">
        <v>8</v>
      </c>
      <c r="D1052" s="93">
        <f>IF(ISERR('[1]Высшее (исключен) +'!E126),"-",'[1]Высшее (исключен) +'!E126)</f>
        <v>11.68</v>
      </c>
      <c r="E1052" s="93">
        <f>IF(ISERR('[1]Высшее (исключен) +'!F126),"-",'[1]Высшее (исключен) +'!F126)</f>
        <v>13.01</v>
      </c>
      <c r="F1052" s="93">
        <f>IF(ISERR('[1]Высшее (исключен) +'!G126),"-",'[1]Высшее (исключен) +'!G126)</f>
        <v>8.51</v>
      </c>
      <c r="G1052" s="93">
        <f>IF(ISERR('[1]Высшее (исключен) +'!H126),"-",'[1]Высшее (исключен) +'!H126)</f>
        <v>10.076335877862595</v>
      </c>
      <c r="H1052" s="93">
        <f>IF(ISERR('[1]Высшее (исключен) +'!I126),"-",'[1]Высшее (исключен) +'!I126)</f>
        <v>9.6423017107309477</v>
      </c>
      <c r="I1052" s="93">
        <f>IF(ISERR('[1]Высшее (исключен) +'!J126),"-",'[1]Высшее (исключен) +'!J126)</f>
        <v>7.7901430842607313</v>
      </c>
      <c r="J1052" s="93">
        <f>IF(ISERR('[1]Высшее (исключен) +'!M126),"-",'[1]Высшее (исключен) +'!M126)</f>
        <v>0</v>
      </c>
      <c r="K1052" s="93">
        <f>IF(ISERR('[1]Высшее (исключен) +'!N126),"-",'[1]Высшее (исключен) +'!N126)</f>
        <v>8.1504702194357357</v>
      </c>
      <c r="L1052" s="93">
        <f>IF(ISERR('[1]Высшее (исключен) +'!O126),"-",'[1]Высшее (исключен) +'!O126)</f>
        <v>6.666666666666667</v>
      </c>
      <c r="M1052" s="93">
        <f>IF(ISERR('[1]Высшее (исключен) +'!P126),"-",'[1]Высшее (исключен) +'!P126)</f>
        <v>9.2307692307692317</v>
      </c>
    </row>
    <row r="1053" spans="1:13" s="89" customFormat="1" hidden="1" x14ac:dyDescent="0.25">
      <c r="A1053" s="13"/>
      <c r="B1053" s="242" t="s">
        <v>1302</v>
      </c>
      <c r="C1053" s="13" t="s">
        <v>8</v>
      </c>
      <c r="D1053" s="93">
        <f>IF(ISERR('[1]Высшее (исключен) +'!E127),"-",'[1]Высшее (исключен) +'!E127)</f>
        <v>5.04</v>
      </c>
      <c r="E1053" s="93">
        <f>IF(ISERR('[1]Высшее (исключен) +'!F127),"-",'[1]Высшее (исключен) +'!F127)</f>
        <v>3.85</v>
      </c>
      <c r="F1053" s="93">
        <f>IF(ISERR('[1]Высшее (исключен) +'!G127),"-",'[1]Высшее (исключен) +'!G127)</f>
        <v>1.43</v>
      </c>
      <c r="G1053" s="93">
        <f>IF(ISERR('[1]Высшее (исключен) +'!H127),"-",'[1]Высшее (исключен) +'!H127)</f>
        <v>3.5714285714285712</v>
      </c>
      <c r="H1053" s="93">
        <f>IF(ISERR('[1]Высшее (исключен) +'!I127),"-",'[1]Высшее (исключен) +'!I127)</f>
        <v>4.3478260869565215</v>
      </c>
      <c r="I1053" s="93" t="str">
        <f>IF(ISERR('[1]Высшее (исключен) +'!J127),"-",'[1]Высшее (исключен) +'!J127)</f>
        <v>-</v>
      </c>
      <c r="J1053" s="93">
        <f>IF(ISERR('[1]Высшее (исключен) +'!M127),"-",'[1]Высшее (исключен) +'!M127)</f>
        <v>0</v>
      </c>
      <c r="K1053" s="93" t="str">
        <f>IF(ISERR('[1]Высшее (исключен) +'!N127),"-",'[1]Высшее (исключен) +'!N127)</f>
        <v>-</v>
      </c>
      <c r="L1053" s="93">
        <f>IF(ISERR('[1]Высшее (исключен) +'!O127),"-",'[1]Высшее (исключен) +'!O127)</f>
        <v>0</v>
      </c>
      <c r="M1053" s="93" t="str">
        <f>IF(ISERR('[1]Высшее (исключен) +'!P127),"-",'[1]Высшее (исключен) +'!P127)</f>
        <v>-</v>
      </c>
    </row>
    <row r="1054" spans="1:13" s="89" customFormat="1" ht="105" hidden="1" x14ac:dyDescent="0.25">
      <c r="A1054" s="13" t="s">
        <v>662</v>
      </c>
      <c r="B1054" s="242" t="s">
        <v>1939</v>
      </c>
      <c r="C1054" s="13"/>
      <c r="D1054" s="109"/>
      <c r="E1054" s="109"/>
      <c r="F1054" s="109"/>
      <c r="G1054" s="109"/>
      <c r="H1054" s="109"/>
      <c r="I1054" s="109"/>
      <c r="J1054" s="109"/>
      <c r="K1054" s="109"/>
      <c r="L1054" s="109"/>
      <c r="M1054" s="109"/>
    </row>
    <row r="1055" spans="1:13" s="89" customFormat="1" hidden="1" x14ac:dyDescent="0.25">
      <c r="A1055" s="13"/>
      <c r="B1055" s="242" t="s">
        <v>1301</v>
      </c>
      <c r="C1055" s="13" t="s">
        <v>950</v>
      </c>
      <c r="D1055" s="93">
        <f>IF(ISERR('[1]Высшее (исключен) +'!E135),"-",'[1]Высшее (исключен) +'!E135)</f>
        <v>35.18</v>
      </c>
      <c r="E1055" s="93">
        <f>IF(ISERR('[1]Высшее (исключен) +'!F135),"-",'[1]Высшее (исключен) +'!F135)</f>
        <v>41.08</v>
      </c>
      <c r="F1055" s="93">
        <f>IF(ISERR('[1]Высшее (исключен) +'!G135),"-",'[1]Высшее (исключен) +'!G135)</f>
        <v>39.06</v>
      </c>
      <c r="G1055" s="93">
        <f>IF(ISERR('[1]Высшее (исключен) +'!H135),"-",'[1]Высшее (исключен) +'!H135)</f>
        <v>45.038167938931295</v>
      </c>
      <c r="H1055" s="93">
        <f>IF(ISERR('[1]Высшее (исключен) +'!I135),"-",'[1]Высшее (исключен) +'!I135)</f>
        <v>46.500777604976676</v>
      </c>
      <c r="I1055" s="93">
        <f>IF(ISERR('[1]Высшее (исключен) +'!J135),"-",'[1]Высшее (исключен) +'!J135)</f>
        <v>40.06359300476948</v>
      </c>
      <c r="J1055" s="93">
        <f>IF(ISERR('[1]Высшее (исключен) +'!M135),"-",'[1]Высшее (исключен) +'!M135)</f>
        <v>0</v>
      </c>
      <c r="K1055" s="93">
        <f>IF(ISERR('[1]Высшее (исключен) +'!N135),"-",'[1]Высшее (исключен) +'!N135)</f>
        <v>49.373040752351102</v>
      </c>
      <c r="L1055" s="93">
        <f>IF(ISERR('[1]Высшее (исключен) +'!O135),"-",'[1]Высшее (исключен) +'!O135)</f>
        <v>51</v>
      </c>
      <c r="M1055" s="93">
        <f>IF(ISERR('[1]Высшее (исключен) +'!P135),"-",'[1]Высшее (исключен) +'!P135)</f>
        <v>53.846153846153847</v>
      </c>
    </row>
    <row r="1056" spans="1:13" s="89" customFormat="1" hidden="1" x14ac:dyDescent="0.25">
      <c r="A1056" s="13"/>
      <c r="B1056" s="242" t="s">
        <v>1302</v>
      </c>
      <c r="C1056" s="13" t="s">
        <v>950</v>
      </c>
      <c r="D1056" s="93">
        <f>IF(ISERR('[1]Высшее (исключен) +'!E136),"-",'[1]Высшее (исключен) +'!E136)</f>
        <v>48.74</v>
      </c>
      <c r="E1056" s="93">
        <f>IF(ISERR('[1]Высшее (исключен) +'!F136),"-",'[1]Высшее (исключен) +'!F136)</f>
        <v>47.12</v>
      </c>
      <c r="F1056" s="93">
        <f>IF(ISERR('[1]Высшее (исключен) +'!G136),"-",'[1]Высшее (исключен) +'!G136)</f>
        <v>38.57</v>
      </c>
      <c r="G1056" s="93">
        <f>IF(ISERR('[1]Высшее (исключен) +'!H136),"-",'[1]Высшее (исключен) +'!H136)</f>
        <v>28.571428571428569</v>
      </c>
      <c r="H1056" s="93">
        <f>IF(ISERR('[1]Высшее (исключен) +'!I136),"-",'[1]Высшее (исключен) +'!I136)</f>
        <v>34.782608695652172</v>
      </c>
      <c r="I1056" s="93" t="str">
        <f>IF(ISERR('[1]Высшее (исключен) +'!J136),"-",'[1]Высшее (исключен) +'!J136)</f>
        <v>-</v>
      </c>
      <c r="J1056" s="93">
        <f>IF(ISERR('[1]Высшее (исключен) +'!M136),"-",'[1]Высшее (исключен) +'!M136)</f>
        <v>0</v>
      </c>
      <c r="K1056" s="93" t="str">
        <f>IF(ISERR('[1]Высшее (исключен) +'!N136),"-",'[1]Высшее (исключен) +'!N136)</f>
        <v>-</v>
      </c>
      <c r="L1056" s="93">
        <f>IF(ISERR('[1]Высшее (исключен) +'!O136),"-",'[1]Высшее (исключен) +'!O136)</f>
        <v>50</v>
      </c>
      <c r="M1056" s="93" t="str">
        <f>IF(ISERR('[1]Высшее (исключен) +'!P136),"-",'[1]Высшее (исключен) +'!P136)</f>
        <v>-</v>
      </c>
    </row>
    <row r="1057" spans="1:13" s="89" customFormat="1" ht="60" hidden="1" x14ac:dyDescent="0.25">
      <c r="A1057" s="13" t="s">
        <v>664</v>
      </c>
      <c r="B1057" s="242" t="s">
        <v>1940</v>
      </c>
      <c r="C1057" s="13"/>
      <c r="D1057" s="109"/>
      <c r="E1057" s="109"/>
      <c r="F1057" s="109"/>
      <c r="G1057" s="109"/>
      <c r="H1057" s="109"/>
      <c r="I1057" s="109"/>
      <c r="J1057" s="109"/>
      <c r="K1057" s="109"/>
      <c r="L1057" s="109"/>
      <c r="M1057" s="109"/>
    </row>
    <row r="1058" spans="1:13" s="89" customFormat="1" hidden="1" x14ac:dyDescent="0.25">
      <c r="A1058" s="13"/>
      <c r="B1058" s="242" t="s">
        <v>1301</v>
      </c>
      <c r="C1058" s="13" t="s">
        <v>950</v>
      </c>
      <c r="D1058" s="93">
        <f>IF(ISERR('[1]Высшее (исключен) +'!E144),"-",'[1]Высшее (исключен) +'!E144)</f>
        <v>10.87</v>
      </c>
      <c r="E1058" s="93">
        <f>IF(ISERR('[1]Высшее (исключен) +'!F144),"-",'[1]Высшее (исключен) +'!F144)</f>
        <v>11.33</v>
      </c>
      <c r="F1058" s="93">
        <f>IF(ISERR('[1]Высшее (исключен) +'!G144),"-",'[1]Высшее (исключен) +'!G144)</f>
        <v>10.96</v>
      </c>
      <c r="G1058" s="93">
        <f>IF(ISERR('[1]Высшее (исключен) +'!H144),"-",'[1]Высшее (исключен) +'!H144)</f>
        <v>11.648015267175571</v>
      </c>
      <c r="H1058" s="93">
        <f>IF(ISERR('[1]Высшее (исключен) +'!I144),"-",'[1]Высшее (исключен) +'!I144)</f>
        <v>11.980637636080871</v>
      </c>
      <c r="I1058" s="93">
        <f>IF(ISERR('[1]Высшее (исключен) +'!J144),"-",'[1]Высшее (исключен) +'!J144)</f>
        <v>12.300715421303655</v>
      </c>
      <c r="J1058" s="93">
        <f>IF(ISERR('[1]Высшее (исключен) +'!M144),"-",'[1]Высшее (исключен) +'!M144)</f>
        <v>0</v>
      </c>
      <c r="K1058" s="93">
        <f>IF(ISERR('[1]Высшее (исключен) +'!N144),"-",'[1]Высшее (исключен) +'!N144)</f>
        <v>10.773129580970823</v>
      </c>
      <c r="L1058" s="93">
        <f>IF(ISERR('[1]Высшее (исключен) +'!O144),"-",'[1]Высшее (исключен) +'!O144)</f>
        <v>11.149439510845827</v>
      </c>
      <c r="M1058" s="93">
        <f>IF(ISERR('[1]Высшее (исключен) +'!P144),"-",'[1]Высшее (исключен) +'!P144)</f>
        <v>8.5969738651994501</v>
      </c>
    </row>
    <row r="1059" spans="1:13" s="89" customFormat="1" hidden="1" x14ac:dyDescent="0.25">
      <c r="A1059" s="13"/>
      <c r="B1059" s="242" t="s">
        <v>1302</v>
      </c>
      <c r="C1059" s="13" t="s">
        <v>950</v>
      </c>
      <c r="D1059" s="93">
        <f>IF(ISERR('[1]Высшее (исключен) +'!E145),"-",'[1]Высшее (исключен) +'!E145)</f>
        <v>4.41</v>
      </c>
      <c r="E1059" s="93">
        <f>IF(ISERR('[1]Высшее (исключен) +'!F145),"-",'[1]Высшее (исключен) +'!F145)</f>
        <v>3.84</v>
      </c>
      <c r="F1059" s="93">
        <f>IF(ISERR('[1]Высшее (исключен) +'!G145),"-",'[1]Высшее (исключен) +'!G145)</f>
        <v>2.98</v>
      </c>
      <c r="G1059" s="93">
        <f>IF(ISERR('[1]Высшее (исключен) +'!H145),"-",'[1]Высшее (исключен) +'!H145)</f>
        <v>2</v>
      </c>
      <c r="H1059" s="93">
        <f>IF(ISERR('[1]Высшее (исключен) +'!I145),"-",'[1]Высшее (исключен) +'!I145)</f>
        <v>2.5043478260869567</v>
      </c>
      <c r="I1059" s="93" t="str">
        <f>IF(ISERR('[1]Высшее (исключен) +'!J145),"-",'[1]Высшее (исключен) +'!J145)</f>
        <v>-</v>
      </c>
      <c r="J1059" s="93">
        <f>IF(ISERR('[1]Высшее (исключен) +'!M145),"-",'[1]Высшее (исключен) +'!M145)</f>
        <v>0</v>
      </c>
      <c r="K1059" s="93" t="str">
        <f>IF(ISERR('[1]Высшее (исключен) +'!N145),"-",'[1]Высшее (исключен) +'!N145)</f>
        <v>-</v>
      </c>
      <c r="L1059" s="93">
        <f>IF(ISERR('[1]Высшее (исключен) +'!O145),"-",'[1]Высшее (исключен) +'!O145)</f>
        <v>11.242857142857144</v>
      </c>
      <c r="M1059" s="93" t="str">
        <f>IF(ISERR('[1]Высшее (исключен) +'!P145),"-",'[1]Высшее (исключен) +'!P145)</f>
        <v>-</v>
      </c>
    </row>
    <row r="1060" spans="1:13" s="89" customFormat="1" ht="90" hidden="1" x14ac:dyDescent="0.25">
      <c r="A1060" s="13" t="s">
        <v>667</v>
      </c>
      <c r="B1060" s="242" t="s">
        <v>1941</v>
      </c>
      <c r="C1060" s="13" t="s">
        <v>8</v>
      </c>
      <c r="D1060" s="93">
        <f>IF(ISERR('[1]Высшее (исключен) +'!E159),"-",'[1]Высшее (исключен) +'!E159)</f>
        <v>121.1</v>
      </c>
      <c r="E1060" s="93">
        <f>IF(ISERR('[1]Высшее (исключен) +'!F159),"-",'[1]Высшее (исключен) +'!F159)</f>
        <v>159.85</v>
      </c>
      <c r="F1060" s="93">
        <f>IF(ISERR('[1]Высшее (исключен) +'!G159),"-",'[1]Высшее (исключен) +'!G159)</f>
        <v>168.8</v>
      </c>
      <c r="G1060" s="93">
        <f>IF(ISERR('[1]Высшее (исключен) +'!H159),"-",'[1]Высшее (исключен) +'!H159)</f>
        <v>159.51</v>
      </c>
      <c r="H1060" s="93">
        <f>IF(ISERR('[1]Высшее (исключен) +'!I159),"-",'[1]Высшее (исключен) +'!I159)</f>
        <v>181.59</v>
      </c>
      <c r="I1060" s="93">
        <f>IF(ISERR('[1]Высшее (исключен) +'!J159),"-",'[1]Высшее (исключен) +'!J159)</f>
        <v>201.85</v>
      </c>
      <c r="J1060" s="93" t="str">
        <f>IF(ISERR('[1]Высшее (исключен) +'!M159),"-",'[1]Высшее (исключен) +'!M159)</f>
        <v>Российская Федерация; субъекты Российской Федерации</v>
      </c>
      <c r="K1060" s="93" t="str">
        <f>IF(ISERR('[1]Высшее (исключен) +'!N159),"-",'[1]Высшее (исключен) +'!N159)</f>
        <v>-</v>
      </c>
      <c r="L1060" s="93" t="str">
        <f>IF(ISERR('[1]Высшее (исключен) +'!O159),"-",'[1]Высшее (исключен) +'!O159)</f>
        <v>-</v>
      </c>
      <c r="M1060" s="93" t="str">
        <f>IF(ISERR('[1]Высшее (исключен) +'!P159),"-",'[1]Высшее (исключен) +'!P159)</f>
        <v>-</v>
      </c>
    </row>
    <row r="1061" spans="1:13" s="89" customFormat="1" ht="60" hidden="1" x14ac:dyDescent="0.25">
      <c r="A1061" s="13" t="s">
        <v>673</v>
      </c>
      <c r="B1061" s="242" t="s">
        <v>1325</v>
      </c>
      <c r="C1061" s="13" t="s">
        <v>8</v>
      </c>
      <c r="D1061" s="109"/>
      <c r="E1061" s="109"/>
      <c r="F1061" s="109"/>
      <c r="G1061" s="109"/>
      <c r="H1061" s="109"/>
      <c r="I1061" s="109"/>
      <c r="J1061" s="109"/>
      <c r="K1061" s="109"/>
      <c r="L1061" s="109"/>
      <c r="M1061" s="109"/>
    </row>
    <row r="1062" spans="1:13" s="89" customFormat="1" ht="75" hidden="1" x14ac:dyDescent="0.25">
      <c r="A1062" s="13" t="s">
        <v>678</v>
      </c>
      <c r="B1062" s="242" t="s">
        <v>1326</v>
      </c>
      <c r="C1062" s="13" t="s">
        <v>8</v>
      </c>
      <c r="D1062" s="109"/>
      <c r="E1062" s="109"/>
      <c r="F1062" s="109"/>
      <c r="G1062" s="109"/>
      <c r="H1062" s="109"/>
      <c r="I1062" s="109"/>
      <c r="J1062" s="109"/>
      <c r="K1062" s="109"/>
      <c r="L1062" s="109"/>
      <c r="M1062" s="109"/>
    </row>
    <row r="1063" spans="1:13" s="89" customFormat="1" ht="60" hidden="1" x14ac:dyDescent="0.25">
      <c r="A1063" s="99" t="s">
        <v>682</v>
      </c>
      <c r="B1063" s="100" t="s">
        <v>683</v>
      </c>
      <c r="C1063" s="13"/>
      <c r="D1063" s="109"/>
      <c r="E1063" s="109"/>
      <c r="F1063" s="109"/>
      <c r="G1063" s="109"/>
      <c r="H1063" s="109"/>
      <c r="I1063" s="109"/>
      <c r="J1063" s="109"/>
      <c r="K1063" s="109"/>
      <c r="L1063" s="109"/>
      <c r="M1063" s="109"/>
    </row>
    <row r="1064" spans="1:13" s="89" customFormat="1" ht="75" hidden="1" x14ac:dyDescent="0.25">
      <c r="A1064" s="13" t="s">
        <v>684</v>
      </c>
      <c r="B1064" s="242" t="s">
        <v>1942</v>
      </c>
      <c r="C1064" s="13"/>
      <c r="D1064" s="109"/>
      <c r="E1064" s="109"/>
      <c r="F1064" s="109"/>
      <c r="G1064" s="109"/>
      <c r="H1064" s="109"/>
      <c r="I1064" s="109"/>
      <c r="J1064" s="109"/>
      <c r="K1064" s="109"/>
      <c r="L1064" s="109"/>
      <c r="M1064" s="109"/>
    </row>
    <row r="1065" spans="1:13" s="89" customFormat="1" hidden="1" x14ac:dyDescent="0.25">
      <c r="A1065" s="13"/>
      <c r="B1065" s="242" t="s">
        <v>1301</v>
      </c>
      <c r="C1065" s="13" t="s">
        <v>8</v>
      </c>
      <c r="D1065" s="93">
        <f>IF(ISERR('[1]Высшее (исключен) +'!E171),"-",'[1]Высшее (исключен) +'!E171)</f>
        <v>68.52</v>
      </c>
      <c r="E1065" s="93">
        <f>IF(ISERR('[1]Высшее (исключен) +'!F171),"-",'[1]Высшее (исключен) +'!F171)</f>
        <v>68.83</v>
      </c>
      <c r="F1065" s="93">
        <f>IF(ISERR('[1]Высшее (исключен) +'!G171),"-",'[1]Высшее (исключен) +'!G171)</f>
        <v>84.79</v>
      </c>
      <c r="G1065" s="93">
        <f>IF(ISERR('[1]Высшее (исключен) +'!H171),"-",'[1]Высшее (исключен) +'!H171)</f>
        <v>84.207459207459209</v>
      </c>
      <c r="H1065" s="93">
        <f>IF(ISERR('[1]Высшее (исключен) +'!I171),"-",'[1]Высшее (исключен) +'!I171)</f>
        <v>82.049830124575308</v>
      </c>
      <c r="I1065" s="93">
        <f>IF(ISERR('[1]Высшее (исключен) +'!J171),"-",'[1]Высшее (исключен) +'!J171)</f>
        <v>83.202247191011239</v>
      </c>
      <c r="J1065" s="93">
        <f>IF(ISERR('[1]Высшее (исключен) +'!M171),"-",'[1]Высшее (исключен) +'!M171)</f>
        <v>0</v>
      </c>
      <c r="K1065" s="93">
        <f>IF(ISERR('[1]Высшее (исключен) +'!N171),"-",'[1]Высшее (исключен) +'!N171)</f>
        <v>83.281573498964804</v>
      </c>
      <c r="L1065" s="93">
        <f>IF(ISERR('[1]Высшее (исключен) +'!O171),"-",'[1]Высшее (исключен) +'!O171)</f>
        <v>75.66616390145802</v>
      </c>
      <c r="M1065" s="93">
        <f>IF(ISERR('[1]Высшее (исключен) +'!P171),"-",'[1]Высшее (исключен) +'!P171)</f>
        <v>100</v>
      </c>
    </row>
    <row r="1066" spans="1:13" s="89" customFormat="1" hidden="1" x14ac:dyDescent="0.25">
      <c r="A1066" s="13"/>
      <c r="B1066" s="242" t="s">
        <v>1302</v>
      </c>
      <c r="C1066" s="13" t="s">
        <v>8</v>
      </c>
      <c r="D1066" s="93">
        <f>IF(ISERR('[1]Высшее (исключен) +'!E172),"-",'[1]Высшее (исключен) +'!E172)</f>
        <v>0</v>
      </c>
      <c r="E1066" s="93">
        <f>IF(ISERR('[1]Высшее (исключен) +'!F172),"-",'[1]Высшее (исключен) +'!F172)</f>
        <v>100</v>
      </c>
      <c r="F1066" s="93">
        <f>IF(ISERR('[1]Высшее (исключен) +'!G172),"-",'[1]Высшее (исключен) +'!G172)</f>
        <v>100</v>
      </c>
      <c r="G1066" s="93" t="str">
        <f>IF(ISERR('[1]Высшее (исключен) +'!H172),"-",'[1]Высшее (исключен) +'!H172)</f>
        <v>-</v>
      </c>
      <c r="H1066" s="93" t="str">
        <f>IF(ISERR('[1]Высшее (исключен) +'!I172),"-",'[1]Высшее (исключен) +'!I172)</f>
        <v>-</v>
      </c>
      <c r="I1066" s="93" t="str">
        <f>IF(ISERR('[1]Высшее (исключен) +'!J172),"-",'[1]Высшее (исключен) +'!J172)</f>
        <v>-</v>
      </c>
      <c r="J1066" s="93">
        <f>IF(ISERR('[1]Высшее (исключен) +'!M172),"-",'[1]Высшее (исключен) +'!M172)</f>
        <v>0</v>
      </c>
      <c r="K1066" s="93" t="str">
        <f>IF(ISERR('[1]Высшее (исключен) +'!N172),"-",'[1]Высшее (исключен) +'!N172)</f>
        <v>-</v>
      </c>
      <c r="L1066" s="93" t="str">
        <f>IF(ISERR('[1]Высшее (исключен) +'!O172),"-",'[1]Высшее (исключен) +'!O172)</f>
        <v>-</v>
      </c>
      <c r="M1066" s="93" t="str">
        <f>IF(ISERR('[1]Высшее (исключен) +'!P172),"-",'[1]Высшее (исключен) +'!P172)</f>
        <v>-</v>
      </c>
    </row>
    <row r="1067" spans="1:13" s="89" customFormat="1" ht="45" hidden="1" x14ac:dyDescent="0.25">
      <c r="A1067" s="13" t="s">
        <v>687</v>
      </c>
      <c r="B1067" s="242" t="s">
        <v>1943</v>
      </c>
      <c r="C1067" s="13"/>
      <c r="D1067" s="109"/>
      <c r="E1067" s="109"/>
      <c r="F1067" s="109"/>
      <c r="G1067" s="109"/>
      <c r="H1067" s="109"/>
      <c r="I1067" s="109"/>
      <c r="J1067" s="109"/>
      <c r="K1067" s="109"/>
      <c r="L1067" s="109"/>
      <c r="M1067" s="109"/>
    </row>
    <row r="1068" spans="1:13" s="89" customFormat="1" hidden="1" x14ac:dyDescent="0.25">
      <c r="A1068" s="13"/>
      <c r="B1068" s="242" t="s">
        <v>1301</v>
      </c>
      <c r="C1068" s="13" t="s">
        <v>8</v>
      </c>
      <c r="D1068" s="93">
        <f>IF(ISERR('[1]Высшее (исключен) +'!E180),"-",'[1]Высшее (исключен) +'!E180)</f>
        <v>76.84</v>
      </c>
      <c r="E1068" s="93">
        <f>IF(ISERR('[1]Высшее (исключен) +'!F180),"-",'[1]Высшее (исключен) +'!F180)</f>
        <v>73.680000000000007</v>
      </c>
      <c r="F1068" s="93">
        <f>IF(ISERR('[1]Высшее (исключен) +'!G180),"-",'[1]Высшее (исключен) +'!G180)</f>
        <v>79.180000000000007</v>
      </c>
      <c r="G1068" s="93">
        <f>IF(ISERR('[1]Высшее (исключен) +'!H180),"-",'[1]Высшее (исключен) +'!H180)</f>
        <v>66.220170754517753</v>
      </c>
      <c r="H1068" s="93">
        <f>IF(ISERR('[1]Высшее (исключен) +'!I180),"-",'[1]Высшее (исключен) +'!I180)</f>
        <v>1.06</v>
      </c>
      <c r="I1068" s="93">
        <f>IF(ISERR('[1]Высшее (исключен) +'!J180),"-",'[1]Высшее (исключен) +'!J180)</f>
        <v>76.975448444512367</v>
      </c>
      <c r="J1068" s="93">
        <f>IF(ISERR('[1]Высшее (исключен) +'!M180),"-",'[1]Высшее (исключен) +'!M180)</f>
        <v>0</v>
      </c>
      <c r="K1068" s="93">
        <f>IF(ISERR('[1]Высшее (исключен) +'!N180),"-",'[1]Высшее (исключен) +'!N180)</f>
        <v>27.297036825888064</v>
      </c>
      <c r="L1068" s="93">
        <f>IF(ISERR('[1]Высшее (исключен) +'!O180),"-",'[1]Высшее (исключен) +'!O180)</f>
        <v>64.581102034944124</v>
      </c>
      <c r="M1068" s="93">
        <f>IF(ISERR('[1]Высшее (исключен) +'!P180),"-",'[1]Высшее (исключен) +'!P180)</f>
        <v>76.034063260340631</v>
      </c>
    </row>
    <row r="1069" spans="1:13" s="89" customFormat="1" hidden="1" x14ac:dyDescent="0.25">
      <c r="A1069" s="13"/>
      <c r="B1069" s="242" t="s">
        <v>1302</v>
      </c>
      <c r="C1069" s="13" t="s">
        <v>8</v>
      </c>
      <c r="D1069" s="93">
        <f>IF(ISERR('[1]Высшее (исключен) +'!E181),"-",'[1]Высшее (исключен) +'!E181)</f>
        <v>831.3</v>
      </c>
      <c r="E1069" s="93">
        <f>IF(ISERR('[1]Высшее (исключен) +'!F181),"-",'[1]Высшее (исключен) +'!F181)</f>
        <v>1056.19</v>
      </c>
      <c r="F1069" s="93">
        <f>IF(ISERR('[1]Высшее (исключен) +'!G181),"-",'[1]Высшее (исключен) +'!G181)</f>
        <v>688.11</v>
      </c>
      <c r="G1069" s="93">
        <f>IF(ISERR('[1]Высшее (исключен) +'!H181),"-",'[1]Высшее (исключен) +'!H181)</f>
        <v>2222.2199999999998</v>
      </c>
      <c r="H1069" s="93">
        <f>IF(ISERR('[1]Высшее (исключен) +'!I181),"-",'[1]Высшее (исключен) +'!I181)</f>
        <v>0</v>
      </c>
      <c r="I1069" s="93" t="str">
        <f>IF(ISERR('[1]Высшее (исключен) +'!J181),"-",'[1]Высшее (исключен) +'!J181)</f>
        <v>-</v>
      </c>
      <c r="J1069" s="93">
        <f>IF(ISERR('[1]Высшее (исключен) +'!M181),"-",'[1]Высшее (исключен) +'!M181)</f>
        <v>0</v>
      </c>
      <c r="K1069" s="93">
        <f>IF(ISERR('[1]Высшее (исключен) +'!N181),"-",'[1]Высшее (исключен) +'!N181)</f>
        <v>1194.7427983539094</v>
      </c>
      <c r="L1069" s="93">
        <f>IF(ISERR('[1]Высшее (исключен) +'!O181),"-",'[1]Высшее (исключен) +'!O181)</f>
        <v>0</v>
      </c>
      <c r="M1069" s="93" t="str">
        <f>IF(ISERR('[1]Высшее (исключен) +'!P181),"-",'[1]Высшее (исключен) +'!P181)</f>
        <v>-</v>
      </c>
    </row>
    <row r="1070" spans="1:13" s="89" customFormat="1" ht="30" hidden="1" x14ac:dyDescent="0.25">
      <c r="A1070" s="13" t="s">
        <v>1134</v>
      </c>
      <c r="B1070" s="242" t="s">
        <v>1944</v>
      </c>
      <c r="C1070" s="13"/>
      <c r="D1070" s="109"/>
      <c r="E1070" s="109"/>
      <c r="F1070" s="109"/>
      <c r="G1070" s="109"/>
      <c r="H1070" s="109"/>
      <c r="I1070" s="109"/>
      <c r="J1070" s="109"/>
      <c r="K1070" s="109"/>
      <c r="L1070" s="109"/>
      <c r="M1070" s="109"/>
    </row>
    <row r="1071" spans="1:13" s="89" customFormat="1" hidden="1" x14ac:dyDescent="0.25">
      <c r="A1071" s="395"/>
      <c r="B1071" s="242" t="s">
        <v>1305</v>
      </c>
      <c r="C1071" s="13"/>
      <c r="D1071" s="109"/>
      <c r="E1071" s="109"/>
      <c r="F1071" s="109"/>
      <c r="G1071" s="109"/>
      <c r="H1071" s="109"/>
      <c r="I1071" s="109"/>
      <c r="J1071" s="109"/>
      <c r="K1071" s="109"/>
      <c r="L1071" s="109"/>
      <c r="M1071" s="109"/>
    </row>
    <row r="1072" spans="1:13" s="89" customFormat="1" hidden="1" x14ac:dyDescent="0.25">
      <c r="A1072" s="395"/>
      <c r="B1072" s="242" t="s">
        <v>1301</v>
      </c>
      <c r="C1072" s="13" t="s">
        <v>1112</v>
      </c>
      <c r="D1072" s="93">
        <f>IF(ISERR('[1]Высшее (исключен) +'!E190),"-",'[1]Высшее (исключен) +'!E190)</f>
        <v>20.77</v>
      </c>
      <c r="E1072" s="93">
        <f>IF(ISERR('[1]Высшее (исключен) +'!F190),"-",'[1]Высшее (исключен) +'!F190)</f>
        <v>21.61</v>
      </c>
      <c r="F1072" s="93">
        <f>IF(ISERR('[1]Высшее (исключен) +'!G190),"-",'[1]Высшее (исключен) +'!G190)</f>
        <v>27.88</v>
      </c>
      <c r="G1072" s="93">
        <f>IF(ISERR('[1]Высшее (исключен) +'!H190),"-",'[1]Высшее (исключен) +'!H190)</f>
        <v>29.032236924024669</v>
      </c>
      <c r="H1072" s="93">
        <f>IF(ISERR('[1]Высшее (исключен) +'!I190),"-",'[1]Высшее (исключен) +'!I190)</f>
        <v>30.079887981797043</v>
      </c>
      <c r="I1072" s="93">
        <f>IF(ISERR('[1]Высшее (исключен) +'!J190),"-",'[1]Высшее (исключен) +'!J190)</f>
        <v>28.305641229728383</v>
      </c>
      <c r="J1072" s="93" t="str">
        <f>IF(ISERR('[1]Высшее (исключен) +'!M190),"-",'[1]Высшее (исключен) +'!M190)</f>
        <v>-</v>
      </c>
      <c r="K1072" s="93">
        <f>IF(ISERR('[1]Высшее (исключен) +'!N190),"-",'[1]Высшее (исключен) +'!N190)</f>
        <v>31.660380475181015</v>
      </c>
      <c r="L1072" s="93">
        <f>IF(ISERR('[1]Высшее (исключен) +'!O190),"-",'[1]Высшее (исключен) +'!O190)</f>
        <v>32.374509333703571</v>
      </c>
      <c r="M1072" s="93">
        <f>IF(ISERR('[1]Высшее (исключен) +'!P190),"-",'[1]Высшее (исключен) +'!P190)</f>
        <v>62.134251290877799</v>
      </c>
    </row>
    <row r="1073" spans="1:13" s="89" customFormat="1" hidden="1" x14ac:dyDescent="0.25">
      <c r="A1073" s="395"/>
      <c r="B1073" s="242" t="s">
        <v>1302</v>
      </c>
      <c r="C1073" s="13" t="s">
        <v>1112</v>
      </c>
      <c r="D1073" s="93">
        <f>IF(ISERR('[1]Высшее (исключен) +'!E191),"-",'[1]Высшее (исключен) +'!E191)</f>
        <v>55.63</v>
      </c>
      <c r="E1073" s="93">
        <f>IF(ISERR('[1]Высшее (исключен) +'!F191),"-",'[1]Высшее (исключен) +'!F191)</f>
        <v>68.38</v>
      </c>
      <c r="F1073" s="93">
        <f>IF(ISERR('[1]Высшее (исключен) +'!G191),"-",'[1]Высшее (исключен) +'!G191)</f>
        <v>76.81</v>
      </c>
      <c r="G1073" s="93">
        <f>IF(ISERR('[1]Высшее (исключен) +'!H191),"-",'[1]Высшее (исключен) +'!H191)</f>
        <v>257.69</v>
      </c>
      <c r="H1073" s="93">
        <f>IF(ISERR('[1]Высшее (исключен) +'!I191),"-",'[1]Высшее (исключен) +'!I191)</f>
        <v>213.17003216929575</v>
      </c>
      <c r="I1073" s="93" t="str">
        <f>IF(ISERR('[1]Высшее (исключен) +'!J191),"-",'[1]Высшее (исключен) +'!J191)</f>
        <v>-</v>
      </c>
      <c r="J1073" s="93" t="str">
        <f>IF(ISERR('[1]Высшее (исключен) +'!M191),"-",'[1]Высшее (исключен) +'!M191)</f>
        <v>-</v>
      </c>
      <c r="K1073" s="93">
        <f>IF(ISERR('[1]Высшее (исключен) +'!N191),"-",'[1]Высшее (исключен) +'!N191)</f>
        <v>81.180811808118079</v>
      </c>
      <c r="L1073" s="93">
        <f>IF(ISERR('[1]Высшее (исключен) +'!O191),"-",'[1]Высшее (исключен) +'!O191)</f>
        <v>30.534351145038169</v>
      </c>
      <c r="M1073" s="93" t="str">
        <f>IF(ISERR('[1]Высшее (исключен) +'!P191),"-",'[1]Высшее (исключен) +'!P191)</f>
        <v>-</v>
      </c>
    </row>
    <row r="1074" spans="1:13" s="89" customFormat="1" hidden="1" x14ac:dyDescent="0.25">
      <c r="A1074" s="395"/>
      <c r="B1074" s="242" t="s">
        <v>1306</v>
      </c>
      <c r="C1074" s="13"/>
      <c r="D1074" s="109"/>
      <c r="E1074" s="109"/>
      <c r="F1074" s="109"/>
      <c r="G1074" s="109"/>
      <c r="H1074" s="109"/>
      <c r="I1074" s="109"/>
      <c r="J1074" s="109"/>
      <c r="K1074" s="109"/>
      <c r="L1074" s="109"/>
      <c r="M1074" s="109"/>
    </row>
    <row r="1075" spans="1:13" s="89" customFormat="1" hidden="1" x14ac:dyDescent="0.25">
      <c r="A1075" s="395"/>
      <c r="B1075" s="242" t="s">
        <v>1301</v>
      </c>
      <c r="C1075" s="13" t="s">
        <v>1112</v>
      </c>
      <c r="D1075" s="93">
        <f>IF(ISERR('[1]Высшее (исключен) +'!E193),"-",'[1]Высшее (исключен) +'!E193)</f>
        <v>17.21</v>
      </c>
      <c r="E1075" s="93">
        <f>IF(ISERR('[1]Высшее (исключен) +'!F193),"-",'[1]Высшее (исключен) +'!F193)</f>
        <v>17.989999999999998</v>
      </c>
      <c r="F1075" s="93">
        <f>IF(ISERR('[1]Высшее (исключен) +'!G193),"-",'[1]Высшее (исключен) +'!G193)</f>
        <v>24.01</v>
      </c>
      <c r="G1075" s="93">
        <f>IF(ISERR('[1]Высшее (исключен) +'!H193),"-",'[1]Высшее (исключен) +'!H193)</f>
        <v>25.37535471102111</v>
      </c>
      <c r="H1075" s="93">
        <f>IF(ISERR('[1]Высшее (исключен) +'!I193),"-",'[1]Высшее (исключен) +'!I193)</f>
        <v>26.72934351832173</v>
      </c>
      <c r="I1075" s="93">
        <f>IF(ISERR('[1]Высшее (исключен) +'!J193),"-",'[1]Высшее (исключен) +'!J193)</f>
        <v>26.067058004178691</v>
      </c>
      <c r="J1075" s="93" t="str">
        <f>IF(ISERR('[1]Высшее (исключен) +'!M193),"-",'[1]Высшее (исключен) +'!M193)</f>
        <v>-</v>
      </c>
      <c r="K1075" s="93">
        <f>IF(ISERR('[1]Высшее (исключен) +'!N193),"-",'[1]Высшее (исключен) +'!N193)</f>
        <v>28.576934724554693</v>
      </c>
      <c r="L1075" s="93">
        <f>IF(ISERR('[1]Высшее (исключен) +'!O193),"-",'[1]Высшее (исключен) +'!O193)</f>
        <v>29.723964709891582</v>
      </c>
      <c r="M1075" s="93">
        <f>IF(ISERR('[1]Высшее (исключен) +'!P193),"-",'[1]Высшее (исключен) +'!P193)</f>
        <v>23.580034423407916</v>
      </c>
    </row>
    <row r="1076" spans="1:13" s="89" customFormat="1" hidden="1" x14ac:dyDescent="0.25">
      <c r="A1076" s="395"/>
      <c r="B1076" s="242" t="s">
        <v>1302</v>
      </c>
      <c r="C1076" s="13" t="s">
        <v>1112</v>
      </c>
      <c r="D1076" s="93">
        <f>IF(ISERR('[1]Высшее (исключен) +'!E194),"-",'[1]Высшее (исключен) +'!E194)</f>
        <v>55.63</v>
      </c>
      <c r="E1076" s="93">
        <f>IF(ISERR('[1]Высшее (исключен) +'!F194),"-",'[1]Высшее (исключен) +'!F194)</f>
        <v>68.38</v>
      </c>
      <c r="F1076" s="93">
        <f>IF(ISERR('[1]Высшее (исключен) +'!G194),"-",'[1]Высшее (исключен) +'!G194)</f>
        <v>76.33</v>
      </c>
      <c r="G1076" s="93">
        <f>IF(ISERR('[1]Высшее (исключен) +'!H194),"-",'[1]Высшее (исключен) +'!H194)</f>
        <v>257.69</v>
      </c>
      <c r="H1076" s="93">
        <f>IF(ISERR('[1]Высшее (исключен) +'!I194),"-",'[1]Высшее (исключен) +'!I194)</f>
        <v>213.17003216929575</v>
      </c>
      <c r="I1076" s="93" t="str">
        <f>IF(ISERR('[1]Высшее (исключен) +'!J194),"-",'[1]Высшее (исключен) +'!J194)</f>
        <v>-</v>
      </c>
      <c r="J1076" s="93" t="str">
        <f>IF(ISERR('[1]Высшее (исключен) +'!M194),"-",'[1]Высшее (исключен) +'!M194)</f>
        <v>-</v>
      </c>
      <c r="K1076" s="93">
        <f>IF(ISERR('[1]Высшее (исключен) +'!N194),"-",'[1]Высшее (исключен) +'!N194)</f>
        <v>81.180811808118079</v>
      </c>
      <c r="L1076" s="93">
        <f>IF(ISERR('[1]Высшее (исключен) +'!O194),"-",'[1]Высшее (исключен) +'!O194)</f>
        <v>30.534351145038169</v>
      </c>
      <c r="M1076" s="93" t="str">
        <f>IF(ISERR('[1]Высшее (исключен) +'!P194),"-",'[1]Высшее (исключен) +'!P194)</f>
        <v>-</v>
      </c>
    </row>
    <row r="1077" spans="1:13" s="89" customFormat="1" ht="60" hidden="1" x14ac:dyDescent="0.25">
      <c r="A1077" s="13" t="s">
        <v>702</v>
      </c>
      <c r="B1077" s="242" t="s">
        <v>1945</v>
      </c>
      <c r="C1077" s="13"/>
      <c r="D1077" s="109"/>
      <c r="E1077" s="109"/>
      <c r="F1077" s="109"/>
      <c r="G1077" s="109"/>
      <c r="H1077" s="109"/>
      <c r="I1077" s="109"/>
      <c r="J1077" s="109"/>
      <c r="K1077" s="109"/>
      <c r="L1077" s="109"/>
      <c r="M1077" s="109"/>
    </row>
    <row r="1078" spans="1:13" s="89" customFormat="1" hidden="1" x14ac:dyDescent="0.25">
      <c r="A1078" s="13"/>
      <c r="B1078" s="242" t="s">
        <v>1301</v>
      </c>
      <c r="C1078" s="13" t="s">
        <v>8</v>
      </c>
      <c r="D1078" s="93">
        <f>IF(ISERR('[1]Высшее (исключен) +'!E205),"-",'[1]Высшее (исключен) +'!E205)</f>
        <v>100</v>
      </c>
      <c r="E1078" s="93">
        <f>IF(ISERR('[1]Высшее (исключен) +'!F205),"-",'[1]Высшее (исключен) +'!F205)</f>
        <v>100</v>
      </c>
      <c r="F1078" s="93">
        <f>IF(ISERR('[1]Высшее (исключен) +'!G205),"-",'[1]Высшее (исключен) +'!G205)</f>
        <v>100</v>
      </c>
      <c r="G1078" s="93">
        <f>IF(ISERR('[1]Высшее (исключен) +'!H205),"-",'[1]Высшее (исключен) +'!H205)</f>
        <v>100</v>
      </c>
      <c r="H1078" s="93">
        <f>IF(ISERR('[1]Высшее (исключен) +'!I205),"-",'[1]Высшее (исключен) +'!I205)</f>
        <v>100</v>
      </c>
      <c r="I1078" s="93">
        <f>IF(ISERR('[1]Высшее (исключен) +'!J205),"-",'[1]Высшее (исключен) +'!J205)</f>
        <v>100</v>
      </c>
      <c r="J1078" s="93">
        <f>IF(ISERR('[1]Высшее (исключен) +'!M205),"-",'[1]Высшее (исключен) +'!M205)</f>
        <v>0</v>
      </c>
      <c r="K1078" s="93">
        <f>IF(ISERR('[1]Высшее (исключен) +'!N205),"-",'[1]Высшее (исключен) +'!N205)</f>
        <v>100</v>
      </c>
      <c r="L1078" s="93">
        <f>IF(ISERR('[1]Высшее (исключен) +'!O205),"-",'[1]Высшее (исключен) +'!O205)</f>
        <v>100</v>
      </c>
      <c r="M1078" s="93">
        <f>IF(ISERR('[1]Высшее (исключен) +'!P205),"-",'[1]Высшее (исключен) +'!P205)</f>
        <v>100</v>
      </c>
    </row>
    <row r="1079" spans="1:13" s="89" customFormat="1" hidden="1" x14ac:dyDescent="0.25">
      <c r="A1079" s="13"/>
      <c r="B1079" s="242" t="s">
        <v>1302</v>
      </c>
      <c r="C1079" s="13" t="s">
        <v>8</v>
      </c>
      <c r="D1079" s="93">
        <f>IF(ISERR('[1]Высшее (исключен) +'!E206),"-",'[1]Высшее (исключен) +'!E206)</f>
        <v>77.78</v>
      </c>
      <c r="E1079" s="93">
        <f>IF(ISERR('[1]Высшее (исключен) +'!F206),"-",'[1]Высшее (исключен) +'!F206)</f>
        <v>87.5</v>
      </c>
      <c r="F1079" s="93">
        <f>IF(ISERR('[1]Высшее (исключен) +'!G206),"-",'[1]Высшее (исключен) +'!G206)</f>
        <v>100</v>
      </c>
      <c r="G1079" s="93">
        <f>IF(ISERR('[1]Высшее (исключен) +'!H206),"-",'[1]Высшее (исключен) +'!H206)</f>
        <v>100</v>
      </c>
      <c r="H1079" s="93">
        <f>IF(ISERR('[1]Высшее (исключен) +'!I206),"-",'[1]Высшее (исключен) +'!I206)</f>
        <v>66.666666666666657</v>
      </c>
      <c r="I1079" s="93" t="str">
        <f>IF(ISERR('[1]Высшее (исключен) +'!J206),"-",'[1]Высшее (исключен) +'!J206)</f>
        <v>-</v>
      </c>
      <c r="J1079" s="93">
        <f>IF(ISERR('[1]Высшее (исключен) +'!M206),"-",'[1]Высшее (исключен) +'!M206)</f>
        <v>0</v>
      </c>
      <c r="K1079" s="93">
        <f>IF(ISERR('[1]Высшее (исключен) +'!N206),"-",'[1]Высшее (исключен) +'!N206)</f>
        <v>100</v>
      </c>
      <c r="L1079" s="93">
        <f>IF(ISERR('[1]Высшее (исключен) +'!O206),"-",'[1]Высшее (исключен) +'!O206)</f>
        <v>100</v>
      </c>
      <c r="M1079" s="93" t="str">
        <f>IF(ISERR('[1]Высшее (исключен) +'!P206),"-",'[1]Высшее (исключен) +'!P206)</f>
        <v>-</v>
      </c>
    </row>
    <row r="1080" spans="1:13" s="89" customFormat="1" ht="30" hidden="1" x14ac:dyDescent="0.25">
      <c r="A1080" s="13" t="s">
        <v>701</v>
      </c>
      <c r="B1080" s="242" t="s">
        <v>1946</v>
      </c>
      <c r="C1080" s="13"/>
      <c r="D1080" s="109"/>
      <c r="E1080" s="109"/>
      <c r="F1080" s="109"/>
      <c r="G1080" s="109"/>
      <c r="H1080" s="109"/>
      <c r="I1080" s="109"/>
      <c r="J1080" s="109"/>
      <c r="K1080" s="109"/>
      <c r="L1080" s="109"/>
      <c r="M1080" s="109"/>
    </row>
    <row r="1081" spans="1:13" s="89" customFormat="1" ht="30" hidden="1" x14ac:dyDescent="0.25">
      <c r="A1081" s="13"/>
      <c r="B1081" s="242" t="s">
        <v>1301</v>
      </c>
      <c r="C1081" s="13" t="s">
        <v>1111</v>
      </c>
      <c r="D1081" s="93">
        <f>IF(ISERR('[1]Высшее (исключен) +'!E214),"-",'[1]Высшее (исключен) +'!E214)</f>
        <v>16.45</v>
      </c>
      <c r="E1081" s="93">
        <f>IF(ISERR('[1]Высшее (исключен) +'!F214),"-",'[1]Высшее (исключен) +'!F214)</f>
        <v>15.54</v>
      </c>
      <c r="F1081" s="93">
        <f>IF(ISERR('[1]Высшее (исключен) +'!G214),"-",'[1]Высшее (исключен) +'!G214)</f>
        <v>16.78</v>
      </c>
      <c r="G1081" s="93">
        <f>IF(ISERR('[1]Высшее (исключен) +'!H214),"-",'[1]Высшее (исключен) +'!H214)</f>
        <v>15.89878693745945</v>
      </c>
      <c r="H1081" s="93">
        <f>IF(ISERR('[1]Высшее (исключен) +'!I214),"-",'[1]Высшее (исключен) +'!I214)</f>
        <v>15.289484541237952</v>
      </c>
      <c r="I1081" s="93">
        <f>IF(ISERR('[1]Высшее (исключен) +'!J214),"-",'[1]Высшее (исключен) +'!J214)</f>
        <v>14.514351805790469</v>
      </c>
      <c r="J1081" s="93">
        <f>IF(ISERR('[1]Высшее (исключен) +'!M214),"-",'[1]Высшее (исключен) +'!M214)</f>
        <v>0</v>
      </c>
      <c r="K1081" s="93">
        <f>IF(ISERR('[1]Высшее (исключен) +'!N214),"-",'[1]Высшее (исключен) +'!N214)</f>
        <v>16.019326597472677</v>
      </c>
      <c r="L1081" s="93">
        <f>IF(ISERR('[1]Высшее (исключен) +'!O214),"-",'[1]Высшее (исключен) +'!O214)</f>
        <v>14.593520049476833</v>
      </c>
      <c r="M1081" s="93">
        <f>IF(ISERR('[1]Высшее (исключен) +'!P214),"-",'[1]Высшее (исключен) +'!P214)</f>
        <v>18.35972461273666</v>
      </c>
    </row>
    <row r="1082" spans="1:13" s="89" customFormat="1" ht="30" hidden="1" x14ac:dyDescent="0.25">
      <c r="A1082" s="13"/>
      <c r="B1082" s="242" t="s">
        <v>1302</v>
      </c>
      <c r="C1082" s="13" t="s">
        <v>1111</v>
      </c>
      <c r="D1082" s="93">
        <f>IF(ISERR('[1]Высшее (исключен) +'!E215),"-",'[1]Высшее (исключен) +'!E215)</f>
        <v>33.880000000000003</v>
      </c>
      <c r="E1082" s="93">
        <f>IF(ISERR('[1]Высшее (исключен) +'!F215),"-",'[1]Высшее (исключен) +'!F215)</f>
        <v>34.26</v>
      </c>
      <c r="F1082" s="93">
        <f>IF(ISERR('[1]Высшее (исключен) +'!G215),"-",'[1]Высшее (исключен) +'!G215)</f>
        <v>43.47</v>
      </c>
      <c r="G1082" s="93">
        <f>IF(ISERR('[1]Высшее (исключен) +'!H215),"-",'[1]Высшее (исключен) +'!H215)</f>
        <v>174.12</v>
      </c>
      <c r="H1082" s="93">
        <f>IF(ISERR('[1]Высшее (исключен) +'!I215),"-",'[1]Высшее (исключен) +'!I215)</f>
        <v>237.74272315026548</v>
      </c>
      <c r="I1082" s="93" t="str">
        <f>IF(ISERR('[1]Высшее (исключен) +'!J215),"-",'[1]Высшее (исключен) +'!J215)</f>
        <v>-</v>
      </c>
      <c r="J1082" s="93">
        <f>IF(ISERR('[1]Высшее (исключен) +'!M215),"-",'[1]Высшее (исключен) +'!M215)</f>
        <v>0</v>
      </c>
      <c r="K1082" s="93">
        <f>IF(ISERR('[1]Высшее (исключен) +'!N215),"-",'[1]Высшее (исключен) +'!N215)</f>
        <v>51.918819188191883</v>
      </c>
      <c r="L1082" s="93">
        <f>IF(ISERR('[1]Высшее (исключен) +'!O215),"-",'[1]Высшее (исключен) +'!O215)</f>
        <v>19.287531806615778</v>
      </c>
      <c r="M1082" s="93" t="str">
        <f>IF(ISERR('[1]Высшее (исключен) +'!P215),"-",'[1]Высшее (исключен) +'!P215)</f>
        <v>-</v>
      </c>
    </row>
    <row r="1083" spans="1:13" s="89" customFormat="1" ht="30" hidden="1" x14ac:dyDescent="0.25">
      <c r="A1083" s="99" t="s">
        <v>704</v>
      </c>
      <c r="B1083" s="100" t="s">
        <v>705</v>
      </c>
      <c r="C1083" s="87"/>
      <c r="D1083" s="109"/>
      <c r="E1083" s="109"/>
      <c r="F1083" s="109"/>
      <c r="G1083" s="109"/>
      <c r="H1083" s="109"/>
      <c r="I1083" s="109"/>
      <c r="J1083" s="109"/>
      <c r="K1083" s="109"/>
      <c r="L1083" s="109"/>
      <c r="M1083" s="109"/>
    </row>
    <row r="1084" spans="1:13" s="89" customFormat="1" ht="30" hidden="1" x14ac:dyDescent="0.25">
      <c r="A1084" s="13" t="s">
        <v>707</v>
      </c>
      <c r="B1084" s="242" t="s">
        <v>1947</v>
      </c>
      <c r="C1084" s="13"/>
      <c r="D1084" s="109"/>
      <c r="E1084" s="109"/>
      <c r="F1084" s="109"/>
      <c r="G1084" s="109"/>
      <c r="H1084" s="109"/>
      <c r="I1084" s="109"/>
      <c r="J1084" s="109"/>
      <c r="K1084" s="109"/>
      <c r="L1084" s="109"/>
      <c r="M1084" s="109"/>
    </row>
    <row r="1085" spans="1:13" s="89" customFormat="1" hidden="1" x14ac:dyDescent="0.25">
      <c r="A1085" s="99"/>
      <c r="B1085" s="242" t="s">
        <v>1948</v>
      </c>
      <c r="C1085" s="87"/>
      <c r="D1085" s="109"/>
      <c r="E1085" s="109"/>
      <c r="F1085" s="109"/>
      <c r="G1085" s="109"/>
      <c r="H1085" s="109"/>
      <c r="I1085" s="109"/>
      <c r="J1085" s="109"/>
      <c r="K1085" s="109"/>
      <c r="L1085" s="109"/>
      <c r="M1085" s="109"/>
    </row>
    <row r="1086" spans="1:13" s="89" customFormat="1" hidden="1" x14ac:dyDescent="0.25">
      <c r="A1086" s="99"/>
      <c r="B1086" s="242" t="s">
        <v>1301</v>
      </c>
      <c r="C1086" s="137" t="s">
        <v>8</v>
      </c>
      <c r="D1086" s="109"/>
      <c r="E1086" s="109"/>
      <c r="F1086" s="109"/>
      <c r="G1086" s="109"/>
      <c r="H1086" s="93">
        <f>IF(ISERR('[1]Высшее (исключен) +'!I228),"-",'[1]Высшее (исключен) +'!I228)</f>
        <v>87.5</v>
      </c>
      <c r="I1086" s="93">
        <f>IF(ISERR('[1]Высшее (исключен) +'!J228),"-",'[1]Высшее (исключен) +'!J228)</f>
        <v>75</v>
      </c>
      <c r="J1086" s="93" t="str">
        <f>IF(ISERR('[1]Высшее (исключен) +'!M228),"-",'[1]Высшее (исключен) +'!M228)</f>
        <v>-</v>
      </c>
      <c r="K1086" s="93">
        <f>IF(ISERR('[1]Высшее (исключен) +'!N228),"-",'[1]Высшее (исключен) +'!N228)</f>
        <v>77.777777777777786</v>
      </c>
      <c r="L1086" s="93">
        <f>IF(ISERR('[1]Высшее (исключен) +'!O228),"-",'[1]Высшее (исключен) +'!O228)</f>
        <v>77.777777777777786</v>
      </c>
      <c r="M1086" s="93">
        <f>IF(ISERR('[1]Высшее (исключен) +'!P228),"-",'[1]Высшее (исключен) +'!P228)</f>
        <v>50</v>
      </c>
    </row>
    <row r="1087" spans="1:13" s="89" customFormat="1" hidden="1" x14ac:dyDescent="0.25">
      <c r="A1087" s="99"/>
      <c r="B1087" s="242" t="s">
        <v>1302</v>
      </c>
      <c r="C1087" s="137" t="s">
        <v>8</v>
      </c>
      <c r="D1087" s="109"/>
      <c r="E1087" s="109"/>
      <c r="F1087" s="109"/>
      <c r="G1087" s="109"/>
      <c r="H1087" s="93">
        <f>IF(ISERR('[1]Высшее (исключен) +'!I229),"-",'[1]Высшее (исключен) +'!I229)</f>
        <v>100</v>
      </c>
      <c r="I1087" s="93" t="str">
        <f>IF(ISERR('[1]Высшее (исключен) +'!J229),"-",'[1]Высшее (исключен) +'!J229)</f>
        <v>-</v>
      </c>
      <c r="J1087" s="93" t="str">
        <f>IF(ISERR('[1]Высшее (исключен) +'!M229),"-",'[1]Высшее (исключен) +'!M229)</f>
        <v>-</v>
      </c>
      <c r="K1087" s="93">
        <f>IF(ISERR('[1]Высшее (исключен) +'!N229),"-",'[1]Высшее (исключен) +'!N229)</f>
        <v>100</v>
      </c>
      <c r="L1087" s="93">
        <f>IF(ISERR('[1]Высшее (исключен) +'!O229),"-",'[1]Высшее (исключен) +'!O229)</f>
        <v>100</v>
      </c>
      <c r="M1087" s="93" t="str">
        <f>IF(ISERR('[1]Высшее (исключен) +'!P229),"-",'[1]Высшее (исключен) +'!P229)</f>
        <v>-</v>
      </c>
    </row>
    <row r="1088" spans="1:13" s="89" customFormat="1" hidden="1" x14ac:dyDescent="0.25">
      <c r="A1088" s="99"/>
      <c r="B1088" s="242" t="s">
        <v>1949</v>
      </c>
      <c r="C1088" s="87"/>
      <c r="D1088" s="109"/>
      <c r="E1088" s="109"/>
      <c r="F1088" s="109"/>
      <c r="G1088" s="109"/>
      <c r="H1088" s="109"/>
      <c r="I1088" s="109"/>
      <c r="J1088" s="109"/>
      <c r="K1088" s="109"/>
      <c r="L1088" s="109"/>
      <c r="M1088" s="109"/>
    </row>
    <row r="1089" spans="1:13" s="89" customFormat="1" hidden="1" x14ac:dyDescent="0.25">
      <c r="A1089" s="99"/>
      <c r="B1089" s="242" t="s">
        <v>1301</v>
      </c>
      <c r="C1089" s="137" t="s">
        <v>8</v>
      </c>
      <c r="D1089" s="109"/>
      <c r="E1089" s="109"/>
      <c r="F1089" s="109"/>
      <c r="G1089" s="109"/>
      <c r="H1089" s="93">
        <f>IF(ISERR('[1]Высшее (исключен) +'!I231),"-",'[1]Высшее (исключен) +'!I231)</f>
        <v>100</v>
      </c>
      <c r="I1089" s="93">
        <f>IF(ISERR('[1]Высшее (исключен) +'!J231),"-",'[1]Высшее (исключен) +'!J231)</f>
        <v>54.54545454545454</v>
      </c>
      <c r="J1089" s="93" t="str">
        <f>IF(ISERR('[1]Высшее (исключен) +'!M231),"-",'[1]Высшее (исключен) +'!M231)</f>
        <v>-</v>
      </c>
      <c r="K1089" s="93">
        <f>IF(ISERR('[1]Высшее (исключен) +'!N231),"-",'[1]Высшее (исключен) +'!N231)</f>
        <v>54.54545454545454</v>
      </c>
      <c r="L1089" s="93">
        <f>IF(ISERR('[1]Высшее (исключен) +'!O231),"-",'[1]Высшее (исключен) +'!O231)</f>
        <v>54.54545454545454</v>
      </c>
      <c r="M1089" s="93">
        <f>IF(ISERR('[1]Высшее (исключен) +'!P231),"-",'[1]Высшее (исключен) +'!P231)</f>
        <v>25</v>
      </c>
    </row>
    <row r="1090" spans="1:13" s="89" customFormat="1" hidden="1" x14ac:dyDescent="0.25">
      <c r="A1090" s="99"/>
      <c r="B1090" s="242" t="s">
        <v>1302</v>
      </c>
      <c r="C1090" s="137" t="s">
        <v>8</v>
      </c>
      <c r="D1090" s="109"/>
      <c r="E1090" s="109"/>
      <c r="F1090" s="109"/>
      <c r="G1090" s="109"/>
      <c r="H1090" s="93" t="str">
        <f>IF(ISERR('[1]Высшее (исключен) +'!I232),"-",'[1]Высшее (исключен) +'!I232)</f>
        <v>-</v>
      </c>
      <c r="I1090" s="93" t="str">
        <f>IF(ISERR('[1]Высшее (исключен) +'!J232),"-",'[1]Высшее (исключен) +'!J232)</f>
        <v>-</v>
      </c>
      <c r="J1090" s="93" t="str">
        <f>IF(ISERR('[1]Высшее (исключен) +'!M232),"-",'[1]Высшее (исключен) +'!M232)</f>
        <v>-</v>
      </c>
      <c r="K1090" s="93" t="str">
        <f>IF(ISERR('[1]Высшее (исключен) +'!N232),"-",'[1]Высшее (исключен) +'!N232)</f>
        <v>-</v>
      </c>
      <c r="L1090" s="93" t="str">
        <f>IF(ISERR('[1]Высшее (исключен) +'!O232),"-",'[1]Высшее (исключен) +'!O232)</f>
        <v>-</v>
      </c>
      <c r="M1090" s="93" t="str">
        <f>IF(ISERR('[1]Высшее (исключен) +'!P232),"-",'[1]Высшее (исключен) +'!P232)</f>
        <v>-</v>
      </c>
    </row>
    <row r="1091" spans="1:13" s="89" customFormat="1" ht="75" hidden="1" x14ac:dyDescent="0.25">
      <c r="A1091" s="13" t="s">
        <v>713</v>
      </c>
      <c r="B1091" s="242" t="s">
        <v>1950</v>
      </c>
      <c r="C1091" s="13"/>
      <c r="D1091" s="109"/>
      <c r="E1091" s="109"/>
      <c r="F1091" s="109"/>
      <c r="G1091" s="109"/>
      <c r="H1091" s="109"/>
      <c r="I1091" s="109"/>
      <c r="J1091" s="109"/>
      <c r="K1091" s="109"/>
      <c r="L1091" s="109"/>
      <c r="M1091" s="109"/>
    </row>
    <row r="1092" spans="1:13" s="89" customFormat="1" hidden="1" x14ac:dyDescent="0.25">
      <c r="A1092" s="13"/>
      <c r="B1092" s="242" t="s">
        <v>1301</v>
      </c>
      <c r="C1092" s="13"/>
      <c r="D1092" s="109"/>
      <c r="E1092" s="109"/>
      <c r="F1092" s="109"/>
      <c r="G1092" s="109"/>
      <c r="H1092" s="109"/>
      <c r="I1092" s="109"/>
      <c r="J1092" s="109"/>
      <c r="K1092" s="109"/>
      <c r="L1092" s="109"/>
      <c r="M1092" s="109"/>
    </row>
    <row r="1093" spans="1:13" s="89" customFormat="1" hidden="1" x14ac:dyDescent="0.25">
      <c r="A1093" s="13"/>
      <c r="B1093" s="242" t="s">
        <v>2380</v>
      </c>
      <c r="C1093" s="13"/>
      <c r="D1093" s="109"/>
      <c r="E1093" s="109"/>
      <c r="F1093" s="109"/>
      <c r="G1093" s="109"/>
      <c r="H1093" s="93">
        <f>IF(ISERR('[1]Высшее (исключен) +'!I249),"-",'[1]Высшее (исключен) +'!I249)</f>
        <v>3.9158100832109639E-2</v>
      </c>
      <c r="I1093" s="93">
        <f>IF(ISERR('[1]Высшее (исключен) +'!J249),"-",'[1]Высшее (исключен) +'!J249)</f>
        <v>2.0177562550443905E-2</v>
      </c>
      <c r="J1093" s="93" t="str">
        <f>IF(ISERR('[1]Высшее (исключен) +'!M249),"-",'[1]Высшее (исключен) +'!M249)</f>
        <v>-</v>
      </c>
      <c r="K1093" s="93">
        <f>IF(ISERR('[1]Высшее (исключен) +'!N249),"-",'[1]Высшее (исключен) +'!N249)</f>
        <v>9.9671085418120194E-3</v>
      </c>
      <c r="L1093" s="93">
        <f>IF(ISERR('[1]Высшее (исключен) +'!O249),"-",'[1]Высшее (исключен) +'!O249)</f>
        <v>3.1065548306927617E-2</v>
      </c>
      <c r="M1093" s="93">
        <f>IF(ISERR('[1]Высшее (исключен) +'!P249),"-",'[1]Высшее (исключен) +'!P249)</f>
        <v>0</v>
      </c>
    </row>
    <row r="1094" spans="1:13" s="89" customFormat="1" hidden="1" x14ac:dyDescent="0.25">
      <c r="A1094" s="13"/>
      <c r="B1094" s="242" t="s">
        <v>1980</v>
      </c>
      <c r="C1094" s="13"/>
      <c r="D1094" s="109"/>
      <c r="E1094" s="109"/>
      <c r="F1094" s="109"/>
      <c r="G1094" s="109"/>
      <c r="H1094" s="93">
        <f>IF(ISERR('[1]Высшее (исключен) +'!I250),"-",'[1]Высшее (исключен) +'!I250)</f>
        <v>3.9158100832109639E-2</v>
      </c>
      <c r="I1094" s="93">
        <f>IF(ISERR('[1]Высшее (исключен) +'!J250),"-",'[1]Высшее (исключен) +'!J250)</f>
        <v>1.0088781275221953E-2</v>
      </c>
      <c r="J1094" s="93" t="str">
        <f>IF(ISERR('[1]Высшее (исключен) +'!M250),"-",'[1]Высшее (исключен) +'!M250)</f>
        <v>-</v>
      </c>
      <c r="K1094" s="93">
        <f>IF(ISERR('[1]Высшее (исключен) +'!N250),"-",'[1]Высшее (исключен) +'!N250)</f>
        <v>0</v>
      </c>
      <c r="L1094" s="93">
        <f>IF(ISERR('[1]Высшее (исключен) +'!O250),"-",'[1]Высшее (исключен) +'!O250)</f>
        <v>3.1065548306927617E-2</v>
      </c>
      <c r="M1094" s="93">
        <f>IF(ISERR('[1]Высшее (исключен) +'!P250),"-",'[1]Высшее (исключен) +'!P250)</f>
        <v>0</v>
      </c>
    </row>
    <row r="1095" spans="1:13" s="89" customFormat="1" ht="30" hidden="1" x14ac:dyDescent="0.25">
      <c r="A1095" s="13"/>
      <c r="B1095" s="242" t="s">
        <v>1981</v>
      </c>
      <c r="C1095" s="13"/>
      <c r="D1095" s="109"/>
      <c r="E1095" s="109"/>
      <c r="F1095" s="109"/>
      <c r="G1095" s="109"/>
      <c r="H1095" s="93">
        <f>IF(ISERR('[1]Высшее (исключен) +'!I251),"-",'[1]Высшее (исключен) +'!I251)</f>
        <v>0.5775819872736172</v>
      </c>
      <c r="I1095" s="93">
        <f>IF(ISERR('[1]Высшее (исключен) +'!J251),"-",'[1]Высшее (исключен) +'!J251)</f>
        <v>0.67594834543987092</v>
      </c>
      <c r="J1095" s="93" t="str">
        <f>IF(ISERR('[1]Высшее (исключен) +'!M251),"-",'[1]Высшее (исключен) +'!M251)</f>
        <v>-</v>
      </c>
      <c r="K1095" s="93">
        <f>IF(ISERR('[1]Высшее (исключен) +'!N251),"-",'[1]Высшее (исключен) +'!N251)</f>
        <v>0.88707266022126985</v>
      </c>
      <c r="L1095" s="93">
        <f>IF(ISERR('[1]Высшее (исключен) +'!O251),"-",'[1]Высшее (исключен) +'!O251)</f>
        <v>0.98374236305270779</v>
      </c>
      <c r="M1095" s="93">
        <f>IF(ISERR('[1]Высшее (исключен) +'!P251),"-",'[1]Высшее (исключен) +'!P251)</f>
        <v>2.990132562543606E-2</v>
      </c>
    </row>
    <row r="1096" spans="1:13" s="89" customFormat="1" hidden="1" x14ac:dyDescent="0.25">
      <c r="A1096" s="13"/>
      <c r="B1096" s="242" t="s">
        <v>2090</v>
      </c>
      <c r="C1096" s="13" t="s">
        <v>8</v>
      </c>
      <c r="D1096" s="109"/>
      <c r="E1096" s="109"/>
      <c r="F1096" s="109"/>
      <c r="G1096" s="109"/>
      <c r="H1096" s="93"/>
      <c r="I1096" s="93"/>
      <c r="J1096" s="93"/>
      <c r="K1096" s="93"/>
      <c r="L1096" s="93"/>
      <c r="M1096" s="93"/>
    </row>
    <row r="1097" spans="1:13" s="89" customFormat="1" hidden="1" x14ac:dyDescent="0.25">
      <c r="A1097" s="13"/>
      <c r="B1097" s="242" t="s">
        <v>2380</v>
      </c>
      <c r="C1097" s="13"/>
      <c r="D1097" s="109"/>
      <c r="E1097" s="109"/>
      <c r="F1097" s="109"/>
      <c r="G1097" s="109"/>
      <c r="H1097" s="93">
        <f>IF(ISERR('[1]Высшее (исключен) +'!I253),"-",'[1]Высшее (исключен) +'!I253)</f>
        <v>0</v>
      </c>
      <c r="I1097" s="93" t="str">
        <f>IF(ISERR('[1]Высшее (исключен) +'!J253),"-",'[1]Высшее (исключен) +'!J253)</f>
        <v>-</v>
      </c>
      <c r="J1097" s="93" t="str">
        <f>IF(ISERR('[1]Высшее (исключен) +'!M253),"-",'[1]Высшее (исключен) +'!M253)</f>
        <v>-</v>
      </c>
      <c r="K1097" s="93">
        <f>IF(ISERR('[1]Высшее (исключен) +'!N253),"-",'[1]Высшее (исключен) +'!N253)</f>
        <v>0</v>
      </c>
      <c r="L1097" s="93">
        <f>IF(ISERR('[1]Высшее (исключен) +'!O253),"-",'[1]Высшее (исключен) +'!O253)</f>
        <v>0</v>
      </c>
      <c r="M1097" s="93">
        <f>IF(ISERR('[1]Высшее (исключен) +'!P253),"-",'[1]Высшее (исключен) +'!P253)</f>
        <v>0</v>
      </c>
    </row>
    <row r="1098" spans="1:13" s="89" customFormat="1" hidden="1" x14ac:dyDescent="0.25">
      <c r="A1098" s="13"/>
      <c r="B1098" s="242" t="s">
        <v>1980</v>
      </c>
      <c r="C1098" s="13"/>
      <c r="D1098" s="109"/>
      <c r="E1098" s="109"/>
      <c r="F1098" s="109"/>
      <c r="G1098" s="109"/>
      <c r="H1098" s="93">
        <f>IF(ISERR('[1]Высшее (исключен) +'!I254),"-",'[1]Высшее (исключен) +'!I254)</f>
        <v>0</v>
      </c>
      <c r="I1098" s="93" t="str">
        <f>IF(ISERR('[1]Высшее (исключен) +'!J254),"-",'[1]Высшее (исключен) +'!J254)</f>
        <v>-</v>
      </c>
      <c r="J1098" s="93" t="str">
        <f>IF(ISERR('[1]Высшее (исключен) +'!M254),"-",'[1]Высшее (исключен) +'!M254)</f>
        <v>-</v>
      </c>
      <c r="K1098" s="93">
        <f>IF(ISERR('[1]Высшее (исключен) +'!N254),"-",'[1]Высшее (исключен) +'!N254)</f>
        <v>0</v>
      </c>
      <c r="L1098" s="93">
        <f>IF(ISERR('[1]Высшее (исключен) +'!O254),"-",'[1]Высшее (исключен) +'!O254)</f>
        <v>0</v>
      </c>
      <c r="M1098" s="93">
        <f>IF(ISERR('[1]Высшее (исключен) +'!P254),"-",'[1]Высшее (исключен) +'!P254)</f>
        <v>0</v>
      </c>
    </row>
    <row r="1099" spans="1:13" s="89" customFormat="1" ht="30" hidden="1" x14ac:dyDescent="0.25">
      <c r="A1099" s="13"/>
      <c r="B1099" s="242" t="s">
        <v>1981</v>
      </c>
      <c r="C1099" s="13"/>
      <c r="D1099" s="109"/>
      <c r="E1099" s="109"/>
      <c r="F1099" s="109"/>
      <c r="G1099" s="109"/>
      <c r="H1099" s="93">
        <f>IF(ISERR('[1]Высшее (исключен) +'!I255),"-",'[1]Высшее (исключен) +'!I255)</f>
        <v>0</v>
      </c>
      <c r="I1099" s="93" t="str">
        <f>IF(ISERR('[1]Высшее (исключен) +'!J255),"-",'[1]Высшее (исключен) +'!J255)</f>
        <v>-</v>
      </c>
      <c r="J1099" s="93" t="str">
        <f>IF(ISERR('[1]Высшее (исключен) +'!M255),"-",'[1]Высшее (исключен) +'!M255)</f>
        <v>-</v>
      </c>
      <c r="K1099" s="93">
        <f>IF(ISERR('[1]Высшее (исключен) +'!N255),"-",'[1]Высшее (исключен) +'!N255)</f>
        <v>0</v>
      </c>
      <c r="L1099" s="93">
        <f>IF(ISERR('[1]Высшее (исключен) +'!O255),"-",'[1]Высшее (исключен) +'!O255)</f>
        <v>0</v>
      </c>
      <c r="M1099" s="93">
        <f>IF(ISERR('[1]Высшее (исключен) +'!P255),"-",'[1]Высшее (исключен) +'!P255)</f>
        <v>0</v>
      </c>
    </row>
    <row r="1100" spans="1:13" s="89" customFormat="1" ht="45" hidden="1" x14ac:dyDescent="0.25">
      <c r="A1100" s="13" t="s">
        <v>707</v>
      </c>
      <c r="B1100" s="242" t="s">
        <v>706</v>
      </c>
      <c r="C1100" s="13"/>
      <c r="D1100" s="109"/>
      <c r="E1100" s="109"/>
      <c r="F1100" s="109"/>
      <c r="G1100" s="109"/>
      <c r="H1100" s="109"/>
      <c r="I1100" s="109"/>
      <c r="J1100" s="109"/>
      <c r="K1100" s="109"/>
      <c r="L1100" s="109"/>
      <c r="M1100" s="109"/>
    </row>
    <row r="1101" spans="1:13" s="89" customFormat="1" hidden="1" x14ac:dyDescent="0.25">
      <c r="A1101" s="13"/>
      <c r="B1101" s="242" t="s">
        <v>1301</v>
      </c>
      <c r="C1101" s="13" t="s">
        <v>8</v>
      </c>
      <c r="D1101" s="93">
        <f>IF(ISERR('[1]Высшее (исключен) +'!E269),"-",'[1]Высшее (исключен) +'!E269)</f>
        <v>100</v>
      </c>
      <c r="E1101" s="93">
        <f>IF(ISERR('[1]Высшее (исключен) +'!F269),"-",'[1]Высшее (исключен) +'!F269)</f>
        <v>100</v>
      </c>
      <c r="F1101" s="93">
        <f>IF(ISERR('[1]Высшее (исключен) +'!G269),"-",'[1]Высшее (исключен) +'!G269)</f>
        <v>100</v>
      </c>
      <c r="G1101" s="93">
        <f>IF(ISERR('[1]Высшее (исключен) +'!H269),"-",'[1]Высшее (исключен) +'!H269)</f>
        <v>100</v>
      </c>
      <c r="H1101" s="93">
        <f>IF(ISERR('[1]Высшее (исключен) +'!I269),"-",'[1]Высшее (исключен) +'!I269)</f>
        <v>100</v>
      </c>
      <c r="I1101" s="93">
        <f>IF(ISERR('[1]Высшее (исключен) +'!J269),"-",'[1]Высшее (исключен) +'!J269)</f>
        <v>0</v>
      </c>
      <c r="J1101" s="93">
        <f>IF(ISERR('[1]Высшее (исключен) +'!M269),"-",'[1]Высшее (исключен) +'!M269)</f>
        <v>0</v>
      </c>
      <c r="K1101" s="93" t="str">
        <f>IF(ISERR('[1]Высшее (исключен) +'!N269),"-",'[1]Высшее (исключен) +'!N269)</f>
        <v>-</v>
      </c>
      <c r="L1101" s="93" t="str">
        <f>IF(ISERR('[1]Высшее (исключен) +'!O269),"-",'[1]Высшее (исключен) +'!O269)</f>
        <v>-</v>
      </c>
      <c r="M1101" s="93" t="str">
        <f>IF(ISERR('[1]Высшее (исключен) +'!P269),"-",'[1]Высшее (исключен) +'!P269)</f>
        <v>-</v>
      </c>
    </row>
    <row r="1102" spans="1:13" s="89" customFormat="1" hidden="1" x14ac:dyDescent="0.25">
      <c r="A1102" s="13"/>
      <c r="B1102" s="242" t="s">
        <v>1302</v>
      </c>
      <c r="C1102" s="13" t="s">
        <v>8</v>
      </c>
      <c r="D1102" s="93">
        <f>IF(ISERR('[1]Высшее (исключен) +'!E270),"-",'[1]Высшее (исключен) +'!E270)</f>
        <v>44.44</v>
      </c>
      <c r="E1102" s="93">
        <f>IF(ISERR('[1]Высшее (исключен) +'!F270),"-",'[1]Высшее (исключен) +'!F270)</f>
        <v>50</v>
      </c>
      <c r="F1102" s="93">
        <f>IF(ISERR('[1]Высшее (исключен) +'!G270),"-",'[1]Высшее (исключен) +'!G270)</f>
        <v>100</v>
      </c>
      <c r="G1102" s="93">
        <f>IF(ISERR('[1]Высшее (исключен) +'!H270),"-",'[1]Высшее (исключен) +'!H270)</f>
        <v>75</v>
      </c>
      <c r="H1102" s="93">
        <f>IF(ISERR('[1]Высшее (исключен) +'!I270),"-",'[1]Высшее (исключен) +'!I270)</f>
        <v>100</v>
      </c>
      <c r="I1102" s="93">
        <f>IF(ISERR('[1]Высшее (исключен) +'!J270),"-",'[1]Высшее (исключен) +'!J270)</f>
        <v>0</v>
      </c>
      <c r="J1102" s="93">
        <f>IF(ISERR('[1]Высшее (исключен) +'!M270),"-",'[1]Высшее (исключен) +'!M270)</f>
        <v>0</v>
      </c>
      <c r="K1102" s="93" t="str">
        <f>IF(ISERR('[1]Высшее (исключен) +'!N270),"-",'[1]Высшее (исключен) +'!N270)</f>
        <v>-</v>
      </c>
      <c r="L1102" s="93" t="str">
        <f>IF(ISERR('[1]Высшее (исключен) +'!O270),"-",'[1]Высшее (исключен) +'!O270)</f>
        <v>-</v>
      </c>
      <c r="M1102" s="93" t="str">
        <f>IF(ISERR('[1]Высшее (исключен) +'!P270),"-",'[1]Высшее (исключен) +'!P270)</f>
        <v>-</v>
      </c>
    </row>
    <row r="1103" spans="1:13" s="89" customFormat="1" ht="60" hidden="1" x14ac:dyDescent="0.25">
      <c r="A1103" s="13" t="s">
        <v>713</v>
      </c>
      <c r="B1103" s="242" t="s">
        <v>712</v>
      </c>
      <c r="C1103" s="13"/>
      <c r="D1103" s="109"/>
      <c r="E1103" s="109"/>
      <c r="F1103" s="109"/>
      <c r="G1103" s="109"/>
      <c r="H1103" s="109"/>
      <c r="I1103" s="109"/>
      <c r="J1103" s="109"/>
      <c r="K1103" s="109"/>
      <c r="L1103" s="109"/>
      <c r="M1103" s="109"/>
    </row>
    <row r="1104" spans="1:13" s="89" customFormat="1" hidden="1" x14ac:dyDescent="0.25">
      <c r="A1104" s="13"/>
      <c r="B1104" s="242" t="s">
        <v>1301</v>
      </c>
      <c r="C1104" s="13" t="s">
        <v>8</v>
      </c>
      <c r="D1104" s="93">
        <f>IF(ISERR('[1]Высшее (исключен) +'!E276),"-",'[1]Высшее (исключен) +'!E276)</f>
        <v>0.36</v>
      </c>
      <c r="E1104" s="93">
        <f>IF(ISERR('[1]Высшее (исключен) +'!F276),"-",'[1]Высшее (исключен) +'!F276)</f>
        <v>0.35</v>
      </c>
      <c r="F1104" s="93">
        <f>IF(ISERR('[1]Высшее (исключен) +'!G276),"-",'[1]Высшее (исключен) +'!G276)</f>
        <v>0.56999999999999995</v>
      </c>
      <c r="G1104" s="93">
        <f>IF(ISERR('[1]Высшее (исключен) +'!H276),"-",'[1]Высшее (исключен) +'!H276)</f>
        <v>0.56988602279544087</v>
      </c>
      <c r="H1104" s="93">
        <f>IF(ISERR('[1]Высшее (исключен) +'!I276),"-",'[1]Высшее (исключен) +'!I276)</f>
        <v>1.957905041605482E-2</v>
      </c>
      <c r="I1104" s="93">
        <f>IF(ISERR('[1]Высшее (исключен) +'!J276),"-",'[1]Высшее (исключен) +'!J276)</f>
        <v>0</v>
      </c>
      <c r="J1104" s="93">
        <f>IF(ISERR('[1]Высшее (исключен) +'!M276),"-",'[1]Высшее (исключен) +'!M276)</f>
        <v>0</v>
      </c>
      <c r="K1104" s="93" t="str">
        <f>IF(ISERR('[1]Высшее (исключен) +'!N276),"-",'[1]Высшее (исключен) +'!N276)</f>
        <v>-</v>
      </c>
      <c r="L1104" s="93" t="str">
        <f>IF(ISERR('[1]Высшее (исключен) +'!O276),"-",'[1]Высшее (исключен) +'!O276)</f>
        <v>-</v>
      </c>
      <c r="M1104" s="93" t="str">
        <f>IF(ISERR('[1]Высшее (исключен) +'!P276),"-",'[1]Высшее (исключен) +'!P276)</f>
        <v>-</v>
      </c>
    </row>
    <row r="1105" spans="1:13" s="89" customFormat="1" hidden="1" x14ac:dyDescent="0.25">
      <c r="A1105" s="13"/>
      <c r="B1105" s="242" t="s">
        <v>1302</v>
      </c>
      <c r="C1105" s="13" t="s">
        <v>8</v>
      </c>
      <c r="D1105" s="93">
        <f>IF(ISERR('[1]Высшее (исключен) +'!E277),"-",'[1]Высшее (исключен) +'!E277)</f>
        <v>7.0000000000000007E-2</v>
      </c>
      <c r="E1105" s="93">
        <f>IF(ISERR('[1]Высшее (исключен) +'!F277),"-",'[1]Высшее (исключен) +'!F277)</f>
        <v>0</v>
      </c>
      <c r="F1105" s="93">
        <f>IF(ISERR('[1]Высшее (исключен) +'!G277),"-",'[1]Высшее (исключен) +'!G277)</f>
        <v>0</v>
      </c>
      <c r="G1105" s="93">
        <f>IF(ISERR('[1]Высшее (исключен) +'!H277),"-",'[1]Высшее (исключен) +'!H277)</f>
        <v>0</v>
      </c>
      <c r="H1105" s="93">
        <f>IF(ISERR('[1]Высшее (исключен) +'!I277),"-",'[1]Высшее (исключен) +'!I277)</f>
        <v>0</v>
      </c>
      <c r="I1105" s="93">
        <f>IF(ISERR('[1]Высшее (исключен) +'!J277),"-",'[1]Высшее (исключен) +'!J277)</f>
        <v>0</v>
      </c>
      <c r="J1105" s="93">
        <f>IF(ISERR('[1]Высшее (исключен) +'!M277),"-",'[1]Высшее (исключен) +'!M277)</f>
        <v>0</v>
      </c>
      <c r="K1105" s="93" t="str">
        <f>IF(ISERR('[1]Высшее (исключен) +'!N277),"-",'[1]Высшее (исключен) +'!N277)</f>
        <v>-</v>
      </c>
      <c r="L1105" s="93" t="str">
        <f>IF(ISERR('[1]Высшее (исключен) +'!O277),"-",'[1]Высшее (исключен) +'!O277)</f>
        <v>-</v>
      </c>
      <c r="M1105" s="93" t="str">
        <f>IF(ISERR('[1]Высшее (исключен) +'!P277),"-",'[1]Высшее (исключен) +'!P277)</f>
        <v>-</v>
      </c>
    </row>
    <row r="1106" spans="1:13" s="89" customFormat="1" ht="45" hidden="1" x14ac:dyDescent="0.25">
      <c r="A1106" s="99" t="s">
        <v>715</v>
      </c>
      <c r="B1106" s="100" t="s">
        <v>716</v>
      </c>
      <c r="C1106" s="87"/>
      <c r="D1106" s="109"/>
      <c r="E1106" s="109"/>
      <c r="F1106" s="109"/>
      <c r="G1106" s="109"/>
      <c r="H1106" s="109"/>
      <c r="I1106" s="109"/>
      <c r="J1106" s="109"/>
      <c r="K1106" s="109"/>
      <c r="L1106" s="109"/>
      <c r="M1106" s="109"/>
    </row>
    <row r="1107" spans="1:13" s="89" customFormat="1" ht="75" hidden="1" x14ac:dyDescent="0.25">
      <c r="A1107" s="13" t="s">
        <v>717</v>
      </c>
      <c r="B1107" s="242" t="s">
        <v>1951</v>
      </c>
      <c r="C1107" s="13"/>
      <c r="D1107" s="109"/>
      <c r="E1107" s="109"/>
      <c r="F1107" s="109"/>
      <c r="G1107" s="109"/>
      <c r="H1107" s="109"/>
      <c r="I1107" s="109"/>
      <c r="J1107" s="109"/>
      <c r="K1107" s="109"/>
      <c r="L1107" s="109"/>
      <c r="M1107" s="109"/>
    </row>
    <row r="1108" spans="1:13" s="89" customFormat="1" hidden="1" x14ac:dyDescent="0.25">
      <c r="A1108" s="13"/>
      <c r="B1108" s="242" t="s">
        <v>1301</v>
      </c>
      <c r="C1108" s="13" t="s">
        <v>8</v>
      </c>
      <c r="D1108" s="93">
        <f>IF(ISERR('[1]Высшее (исключен) +'!E292),"-",'[1]Высшее (исключен) +'!E292)</f>
        <v>32.74</v>
      </c>
      <c r="E1108" s="93">
        <f>IF(ISERR('[1]Высшее (исключен) +'!F292),"-",'[1]Высшее (исключен) +'!F292)</f>
        <v>22.67</v>
      </c>
      <c r="F1108" s="93">
        <f>IF(ISERR('[1]Высшее (исключен) +'!G292),"-",'[1]Высшее (исключен) +'!G292)</f>
        <v>39.75</v>
      </c>
      <c r="G1108" s="93">
        <f>IF(ISERR('[1]Высшее (исключен) +'!H292),"-",'[1]Высшее (исключен) +'!H292)</f>
        <v>56.898424769147205</v>
      </c>
      <c r="H1108" s="93">
        <f>IF(ISERR('[1]Высшее (исключен) +'!I292),"-",'[1]Высшее (исключен) +'!I292)</f>
        <v>55.695746214852207</v>
      </c>
      <c r="I1108" s="93">
        <f>IF(ISERR('[1]Высшее (исключен) +'!J292),"-",'[1]Высшее (исключен) +'!J292)</f>
        <v>63.153370013755165</v>
      </c>
      <c r="J1108" s="93">
        <f>IF(ISERR('[1]Высшее (исключен) +'!M292),"-",'[1]Высшее (исключен) +'!M292)</f>
        <v>0</v>
      </c>
      <c r="K1108" s="93">
        <f>IF(ISERR('[1]Высшее (исключен) +'!N292),"-",'[1]Высшее (исключен) +'!N292)</f>
        <v>73.4670392898241</v>
      </c>
      <c r="L1108" s="93">
        <f>IF(ISERR('[1]Высшее (исключен) +'!O292),"-",'[1]Высшее (исключен) +'!O292)</f>
        <v>63.677201989411202</v>
      </c>
      <c r="M1108" s="93">
        <f>IF(ISERR('[1]Высшее (исключен) +'!P292),"-",'[1]Высшее (исключен) +'!P292)</f>
        <v>48.20295983086681</v>
      </c>
    </row>
    <row r="1109" spans="1:13" s="89" customFormat="1" hidden="1" x14ac:dyDescent="0.25">
      <c r="A1109" s="13"/>
      <c r="B1109" s="242" t="s">
        <v>1302</v>
      </c>
      <c r="C1109" s="13" t="s">
        <v>8</v>
      </c>
      <c r="D1109" s="93">
        <f>IF(ISERR('[1]Высшее (исключен) +'!E293),"-",'[1]Высшее (исключен) +'!E293)</f>
        <v>0</v>
      </c>
      <c r="E1109" s="93">
        <f>IF(ISERR('[1]Высшее (исключен) +'!F293),"-",'[1]Высшее (исключен) +'!F293)</f>
        <v>0</v>
      </c>
      <c r="F1109" s="93">
        <f>IF(ISERR('[1]Высшее (исключен) +'!G293),"-",'[1]Высшее (исключен) +'!G293)</f>
        <v>0</v>
      </c>
      <c r="G1109" s="93">
        <f>IF(ISERR('[1]Высшее (исключен) +'!H293),"-",'[1]Высшее (исключен) +'!H293)</f>
        <v>0</v>
      </c>
      <c r="H1109" s="93">
        <f>IF(ISERR('[1]Высшее (исключен) +'!I293),"-",'[1]Высшее (исключен) +'!I293)</f>
        <v>0</v>
      </c>
      <c r="I1109" s="93" t="str">
        <f>IF(ISERR('[1]Высшее (исключен) +'!J293),"-",'[1]Высшее (исключен) +'!J293)</f>
        <v>-</v>
      </c>
      <c r="J1109" s="93">
        <f>IF(ISERR('[1]Высшее (исключен) +'!M293),"-",'[1]Высшее (исключен) +'!M293)</f>
        <v>0</v>
      </c>
      <c r="K1109" s="93" t="str">
        <f>IF(ISERR('[1]Высшее (исключен) +'!N293),"-",'[1]Высшее (исключен) +'!N293)</f>
        <v>-</v>
      </c>
      <c r="L1109" s="93" t="str">
        <f>IF(ISERR('[1]Высшее (исключен) +'!O293),"-",'[1]Высшее (исключен) +'!O293)</f>
        <v>-</v>
      </c>
      <c r="M1109" s="93" t="str">
        <f>IF(ISERR('[1]Высшее (исключен) +'!P293),"-",'[1]Высшее (исключен) +'!P293)</f>
        <v>-</v>
      </c>
    </row>
    <row r="1110" spans="1:13" s="89" customFormat="1" ht="60" hidden="1" x14ac:dyDescent="0.25">
      <c r="A1110" s="62" t="s">
        <v>721</v>
      </c>
      <c r="B1110" s="242" t="s">
        <v>1327</v>
      </c>
      <c r="C1110" s="62" t="s">
        <v>8</v>
      </c>
      <c r="D1110" s="447"/>
      <c r="E1110" s="447"/>
      <c r="F1110" s="447"/>
      <c r="G1110" s="447"/>
      <c r="H1110" s="447"/>
      <c r="I1110" s="447"/>
      <c r="J1110" s="447"/>
      <c r="K1110" s="447"/>
      <c r="L1110" s="447"/>
      <c r="M1110" s="447"/>
    </row>
    <row r="1111" spans="1:13" s="89" customFormat="1" ht="45" hidden="1" x14ac:dyDescent="0.25">
      <c r="A1111" s="99" t="s">
        <v>724</v>
      </c>
      <c r="B1111" s="100" t="s">
        <v>725</v>
      </c>
      <c r="C1111" s="87"/>
      <c r="D1111" s="109"/>
      <c r="E1111" s="109"/>
      <c r="F1111" s="109"/>
      <c r="G1111" s="109"/>
      <c r="H1111" s="109"/>
      <c r="I1111" s="109"/>
      <c r="J1111" s="109"/>
      <c r="K1111" s="109"/>
      <c r="L1111" s="109"/>
      <c r="M1111" s="109"/>
    </row>
    <row r="1112" spans="1:13" s="89" customFormat="1" ht="75" hidden="1" x14ac:dyDescent="0.25">
      <c r="A1112" s="13" t="s">
        <v>727</v>
      </c>
      <c r="B1112" s="242" t="s">
        <v>726</v>
      </c>
      <c r="C1112" s="13"/>
      <c r="D1112" s="109"/>
      <c r="E1112" s="109"/>
      <c r="F1112" s="109"/>
      <c r="G1112" s="109"/>
      <c r="H1112" s="109"/>
      <c r="I1112" s="109"/>
      <c r="J1112" s="109"/>
      <c r="K1112" s="109"/>
      <c r="L1112" s="109"/>
      <c r="M1112" s="109"/>
    </row>
    <row r="1113" spans="1:13" s="89" customFormat="1" hidden="1" x14ac:dyDescent="0.25">
      <c r="A1113" s="13"/>
      <c r="B1113" s="242" t="s">
        <v>1301</v>
      </c>
      <c r="C1113" s="13" t="s">
        <v>8</v>
      </c>
      <c r="D1113" s="93">
        <f>IF(ISERR('[1]Высшее (исключен) +'!E305),"-",'[1]Высшее (исключен) +'!E305)</f>
        <v>18.3</v>
      </c>
      <c r="E1113" s="93">
        <f>IF(ISERR('[1]Высшее (исключен) +'!F305),"-",'[1]Высшее (исключен) +'!F305)</f>
        <v>17.84</v>
      </c>
      <c r="F1113" s="93">
        <f>IF(ISERR('[1]Высшее (исключен) +'!G305),"-",'[1]Высшее (исключен) +'!G305)</f>
        <v>15.33</v>
      </c>
      <c r="G1113" s="93">
        <f>IF(ISERR('[1]Высшее (исключен) +'!H305),"-",'[1]Высшее (исключен) +'!H305)</f>
        <v>15.122745978718335</v>
      </c>
      <c r="H1113" s="93">
        <f>IF(ISERR('[1]Высшее (исключен) +'!I305),"-",'[1]Высшее (исключен) +'!I305)</f>
        <v>15.962344101355011</v>
      </c>
      <c r="I1113" s="93">
        <f>IF(ISERR('[1]Высшее (исключен) +'!J305),"-",'[1]Высшее (исключен) +'!J305)</f>
        <v>14.832147236290522</v>
      </c>
      <c r="J1113" s="93" t="str">
        <f>IF(ISERR('[1]Высшее (исключен) +'!M305),"-",'[1]Высшее (исключен) +'!M305)</f>
        <v>-</v>
      </c>
      <c r="K1113" s="93">
        <f>IF(ISERR('[1]Высшее (исключен) +'!N305),"-",'[1]Высшее (исключен) +'!N305)</f>
        <v>13.14091067586641</v>
      </c>
      <c r="L1113" s="93">
        <f>IF(ISERR('[1]Высшее (исключен) +'!O305),"-",'[1]Высшее (исключен) +'!O305)</f>
        <v>9.2072771570112835</v>
      </c>
      <c r="M1113" s="93">
        <f>IF(ISERR('[1]Высшее (исключен) +'!P305),"-",'[1]Высшее (исключен) +'!P305)</f>
        <v>8.9800709634179441</v>
      </c>
    </row>
    <row r="1114" spans="1:13" s="89" customFormat="1" hidden="1" x14ac:dyDescent="0.25">
      <c r="A1114" s="13"/>
      <c r="B1114" s="242" t="s">
        <v>1302</v>
      </c>
      <c r="C1114" s="13" t="s">
        <v>8</v>
      </c>
      <c r="D1114" s="93">
        <f>IF(ISERR('[1]Высшее (исключен) +'!E306),"-",'[1]Высшее (исключен) +'!E306)</f>
        <v>100</v>
      </c>
      <c r="E1114" s="93">
        <f>IF(ISERR('[1]Высшее (исключен) +'!F306),"-",'[1]Высшее (исключен) +'!F306)</f>
        <v>100</v>
      </c>
      <c r="F1114" s="93">
        <f>IF(ISERR('[1]Высшее (исключен) +'!G306),"-",'[1]Высшее (исключен) +'!G306)</f>
        <v>100</v>
      </c>
      <c r="G1114" s="93">
        <f>IF(ISERR('[1]Высшее (исключен) +'!H306),"-",'[1]Высшее (исключен) +'!H306)</f>
        <v>100</v>
      </c>
      <c r="H1114" s="93">
        <f>IF(ISERR('[1]Высшее (исключен) +'!I306),"-",'[1]Высшее (исключен) +'!I306)</f>
        <v>100</v>
      </c>
      <c r="I1114" s="93" t="str">
        <f>IF(ISERR('[1]Высшее (исключен) +'!J306),"-",'[1]Высшее (исключен) +'!J306)</f>
        <v>-</v>
      </c>
      <c r="J1114" s="93" t="str">
        <f>IF(ISERR('[1]Высшее (исключен) +'!M306),"-",'[1]Высшее (исключен) +'!M306)</f>
        <v>-</v>
      </c>
      <c r="K1114" s="93">
        <f>IF(ISERR('[1]Высшее (исключен) +'!N306),"-",'[1]Высшее (исключен) +'!N306)</f>
        <v>100</v>
      </c>
      <c r="L1114" s="93">
        <f>IF(ISERR('[1]Высшее (исключен) +'!O306),"-",'[1]Высшее (исключен) +'!O306)</f>
        <v>100</v>
      </c>
      <c r="M1114" s="93" t="str">
        <f>IF(ISERR('[1]Высшее (исключен) +'!P306),"-",'[1]Высшее (исключен) +'!P306)</f>
        <v>-</v>
      </c>
    </row>
    <row r="1115" spans="1:13" s="89" customFormat="1" ht="90" hidden="1" x14ac:dyDescent="0.25">
      <c r="A1115" s="13" t="s">
        <v>730</v>
      </c>
      <c r="B1115" s="242" t="s">
        <v>1952</v>
      </c>
      <c r="C1115" s="13"/>
      <c r="D1115" s="109"/>
      <c r="E1115" s="109"/>
      <c r="F1115" s="109"/>
      <c r="G1115" s="109"/>
      <c r="H1115" s="109"/>
      <c r="I1115" s="109"/>
      <c r="J1115" s="109"/>
      <c r="K1115" s="109"/>
      <c r="L1115" s="109"/>
      <c r="M1115" s="109"/>
    </row>
    <row r="1116" spans="1:13" s="89" customFormat="1" hidden="1" x14ac:dyDescent="0.25">
      <c r="A1116" s="13"/>
      <c r="B1116" s="242" t="s">
        <v>1301</v>
      </c>
      <c r="C1116" s="13" t="s">
        <v>1114</v>
      </c>
      <c r="D1116" s="93">
        <f>IF(ISERR('[1]Высшее (исключен) +'!E312),"-",'[1]Высшее (исключен) +'!E312)</f>
        <v>246.82</v>
      </c>
      <c r="E1116" s="93">
        <f>IF(ISERR('[1]Высшее (исключен) +'!F312),"-",'[1]Высшее (исключен) +'!F312)</f>
        <v>262.37</v>
      </c>
      <c r="F1116" s="93">
        <f>IF(ISERR('[1]Высшее (исключен) +'!G312),"-",'[1]Высшее (исключен) +'!G312)</f>
        <v>269.8</v>
      </c>
      <c r="G1116" s="93">
        <f>IF(ISERR('[1]Высшее (исключен) +'!H312),"-",'[1]Высшее (исключен) +'!H312)</f>
        <v>395.37016429755749</v>
      </c>
      <c r="H1116" s="93">
        <f>IF(ISERR('[1]Высшее (исключен) +'!I312),"-",'[1]Высшее (исключен) +'!I312)</f>
        <v>262.93493594769984</v>
      </c>
      <c r="I1116" s="93">
        <f>IF(ISERR('[1]Высшее (исключен) +'!J312),"-",'[1]Высшее (исключен) +'!J312)</f>
        <v>296.43773744127822</v>
      </c>
      <c r="J1116" s="93">
        <f>IF(ISERR('[1]Высшее (исключен) +'!M312),"-",'[1]Высшее (исключен) +'!M312)</f>
        <v>0</v>
      </c>
      <c r="K1116" s="93">
        <f>IF(ISERR('[1]Высшее (исключен) +'!N312),"-",'[1]Высшее (исключен) +'!N312)</f>
        <v>43.000538777083399</v>
      </c>
      <c r="L1116" s="93">
        <f>IF(ISERR('[1]Высшее (исключен) +'!O312),"-",'[1]Высшее (исключен) +'!O312)</f>
        <v>31.900869631069437</v>
      </c>
      <c r="M1116" s="93">
        <f>IF(ISERR('[1]Высшее (исключен) +'!P312),"-",'[1]Высшее (исключен) +'!P312)</f>
        <v>39.117366609294329</v>
      </c>
    </row>
    <row r="1117" spans="1:13" s="89" customFormat="1" hidden="1" x14ac:dyDescent="0.25">
      <c r="A1117" s="13"/>
      <c r="B1117" s="242" t="s">
        <v>1302</v>
      </c>
      <c r="C1117" s="13" t="s">
        <v>1114</v>
      </c>
      <c r="D1117" s="93">
        <f>IF(ISERR('[1]Высшее (исключен) +'!E313),"-",'[1]Высшее (исключен) +'!E313)</f>
        <v>403.4</v>
      </c>
      <c r="E1117" s="93">
        <f>IF(ISERR('[1]Высшее (исключен) +'!F313),"-",'[1]Высшее (исключен) +'!F313)</f>
        <v>427.57</v>
      </c>
      <c r="F1117" s="93">
        <f>IF(ISERR('[1]Высшее (исключен) +'!G313),"-",'[1]Высшее (исключен) +'!G313)</f>
        <v>386.71</v>
      </c>
      <c r="G1117" s="93">
        <f>IF(ISERR('[1]Высшее (исключен) +'!H313),"-",'[1]Высшее (исключен) +'!H313)</f>
        <v>11389.24</v>
      </c>
      <c r="H1117" s="93">
        <f>IF(ISERR('[1]Высшее (исключен) +'!I313),"-",'[1]Высшее (исключен) +'!I313)</f>
        <v>237.07</v>
      </c>
      <c r="I1117" s="93" t="str">
        <f>IF(ISERR('[1]Высшее (исключен) +'!J313),"-",'[1]Высшее (исключен) +'!J313)</f>
        <v>-</v>
      </c>
      <c r="J1117" s="93">
        <f>IF(ISERR('[1]Высшее (исключен) +'!M313),"-",'[1]Высшее (исключен) +'!M313)</f>
        <v>0</v>
      </c>
      <c r="K1117" s="93">
        <f>IF(ISERR('[1]Высшее (исключен) +'!N313),"-",'[1]Высшее (исключен) +'!N313)</f>
        <v>513.68715867158676</v>
      </c>
      <c r="L1117" s="93">
        <f>IF(ISERR('[1]Высшее (исключен) +'!O313),"-",'[1]Высшее (исключен) +'!O313)</f>
        <v>103.17811704834607</v>
      </c>
      <c r="M1117" s="93" t="str">
        <f>IF(ISERR('[1]Высшее (исключен) +'!P313),"-",'[1]Высшее (исключен) +'!P313)</f>
        <v>-</v>
      </c>
    </row>
    <row r="1118" spans="1:13" s="89" customFormat="1" ht="45" hidden="1" x14ac:dyDescent="0.25">
      <c r="A1118" s="99" t="s">
        <v>732</v>
      </c>
      <c r="B1118" s="100" t="s">
        <v>733</v>
      </c>
      <c r="C1118" s="87"/>
      <c r="D1118" s="109"/>
      <c r="E1118" s="109"/>
      <c r="F1118" s="109"/>
      <c r="G1118" s="109"/>
      <c r="H1118" s="109"/>
      <c r="I1118" s="109"/>
      <c r="J1118" s="109"/>
      <c r="K1118" s="109"/>
      <c r="L1118" s="109"/>
      <c r="M1118" s="109"/>
    </row>
    <row r="1119" spans="1:13" s="89" customFormat="1" ht="60" hidden="1" x14ac:dyDescent="0.25">
      <c r="A1119" s="13" t="s">
        <v>734</v>
      </c>
      <c r="B1119" s="242" t="s">
        <v>1953</v>
      </c>
      <c r="C1119" s="13"/>
      <c r="D1119" s="109"/>
      <c r="E1119" s="109"/>
      <c r="F1119" s="109"/>
      <c r="G1119" s="109"/>
      <c r="H1119" s="109"/>
      <c r="I1119" s="109"/>
      <c r="J1119" s="109"/>
      <c r="K1119" s="109"/>
      <c r="L1119" s="109"/>
      <c r="M1119" s="109"/>
    </row>
    <row r="1120" spans="1:13" s="89" customFormat="1" hidden="1" x14ac:dyDescent="0.25">
      <c r="A1120" s="13"/>
      <c r="B1120" s="242" t="s">
        <v>1301</v>
      </c>
      <c r="C1120" s="13" t="s">
        <v>8</v>
      </c>
      <c r="D1120" s="93">
        <f>IF(ISERR('[1]Высшее (исключен) +'!E334),"-",'[1]Высшее (исключен) +'!E334)</f>
        <v>0</v>
      </c>
      <c r="E1120" s="93">
        <f>IF(ISERR('[1]Высшее (исключен) +'!F334),"-",'[1]Высшее (исключен) +'!F334)</f>
        <v>0</v>
      </c>
      <c r="F1120" s="93">
        <f>IF(ISERR('[1]Высшее (исключен) +'!G334),"-",'[1]Высшее (исключен) +'!G334)</f>
        <v>0</v>
      </c>
      <c r="G1120" s="93">
        <f>IF(ISERR('[1]Высшее (исключен) +'!H334),"-",'[1]Высшее (исключен) +'!H334)</f>
        <v>0</v>
      </c>
      <c r="H1120" s="93">
        <f>IF(ISERR('[1]Высшее (исключен) +'!I334),"-",'[1]Высшее (исключен) +'!I334)</f>
        <v>0</v>
      </c>
      <c r="I1120" s="93">
        <f>IF(ISERR('[1]Высшее (исключен) +'!J334),"-",'[1]Высшее (исключен) +'!J334)</f>
        <v>0</v>
      </c>
      <c r="J1120" s="93">
        <f>IF(ISERR('[1]Высшее (исключен) +'!M334),"-",'[1]Высшее (исключен) +'!M334)</f>
        <v>0</v>
      </c>
      <c r="K1120" s="93">
        <f>IF(ISERR('[1]Высшее (исключен) +'!N334),"-",'[1]Высшее (исключен) +'!N334)</f>
        <v>0</v>
      </c>
      <c r="L1120" s="93">
        <f>IF(ISERR('[1]Высшее (исключен) +'!O334),"-",'[1]Высшее (исключен) +'!O334)</f>
        <v>0</v>
      </c>
      <c r="M1120" s="93">
        <f>IF(ISERR('[1]Высшее (исключен) +'!P334),"-",'[1]Высшее (исключен) +'!P334)</f>
        <v>0</v>
      </c>
    </row>
    <row r="1121" spans="1:13" s="89" customFormat="1" hidden="1" x14ac:dyDescent="0.25">
      <c r="A1121" s="13"/>
      <c r="B1121" s="242" t="s">
        <v>1302</v>
      </c>
      <c r="C1121" s="13" t="s">
        <v>8</v>
      </c>
      <c r="D1121" s="93">
        <f>IF(ISERR('[1]Высшее (исключен) +'!E335),"-",'[1]Высшее (исключен) +'!E335)</f>
        <v>0</v>
      </c>
      <c r="E1121" s="93">
        <f>IF(ISERR('[1]Высшее (исключен) +'!F335),"-",'[1]Высшее (исключен) +'!F335)</f>
        <v>0</v>
      </c>
      <c r="F1121" s="93">
        <f>IF(ISERR('[1]Высшее (исключен) +'!G335),"-",'[1]Высшее (исключен) +'!G335)</f>
        <v>0</v>
      </c>
      <c r="G1121" s="93">
        <f>IF(ISERR('[1]Высшее (исключен) +'!H335),"-",'[1]Высшее (исключен) +'!H335)</f>
        <v>0</v>
      </c>
      <c r="H1121" s="93">
        <f>IF(ISERR('[1]Высшее (исключен) +'!I335),"-",'[1]Высшее (исключен) +'!I335)</f>
        <v>0</v>
      </c>
      <c r="I1121" s="93" t="str">
        <f>IF(ISERR('[1]Высшее (исключен) +'!J335),"-",'[1]Высшее (исключен) +'!J335)</f>
        <v>-</v>
      </c>
      <c r="J1121" s="93">
        <f>IF(ISERR('[1]Высшее (исключен) +'!M335),"-",'[1]Высшее (исключен) +'!M335)</f>
        <v>0</v>
      </c>
      <c r="K1121" s="93" t="str">
        <f>IF(ISERR('[1]Высшее (исключен) +'!N335),"-",'[1]Высшее (исключен) +'!N335)</f>
        <v>-</v>
      </c>
      <c r="L1121" s="93">
        <f>IF(ISERR('[1]Высшее (исключен) +'!O335),"-",'[1]Высшее (исключен) +'!O335)</f>
        <v>0</v>
      </c>
      <c r="M1121" s="93" t="str">
        <f>IF(ISERR('[1]Высшее (исключен) +'!P335),"-",'[1]Высшее (исключен) +'!P335)</f>
        <v>-</v>
      </c>
    </row>
    <row r="1122" spans="1:13" s="89" customFormat="1" ht="60" hidden="1" x14ac:dyDescent="0.25">
      <c r="A1122" s="99" t="s">
        <v>739</v>
      </c>
      <c r="B1122" s="100" t="s">
        <v>740</v>
      </c>
      <c r="C1122" s="87"/>
      <c r="D1122" s="109"/>
      <c r="E1122" s="109"/>
      <c r="F1122" s="109"/>
      <c r="G1122" s="109"/>
      <c r="H1122" s="109"/>
      <c r="I1122" s="109"/>
      <c r="J1122" s="109"/>
      <c r="K1122" s="109"/>
      <c r="L1122" s="109"/>
      <c r="M1122" s="109"/>
    </row>
    <row r="1123" spans="1:13" s="89" customFormat="1" ht="45" hidden="1" x14ac:dyDescent="0.25">
      <c r="A1123" s="13" t="s">
        <v>742</v>
      </c>
      <c r="B1123" s="242" t="s">
        <v>741</v>
      </c>
      <c r="C1123" s="13"/>
      <c r="D1123" s="109"/>
      <c r="E1123" s="109"/>
      <c r="F1123" s="109"/>
      <c r="G1123" s="109"/>
      <c r="H1123" s="109"/>
      <c r="I1123" s="109"/>
      <c r="J1123" s="109"/>
      <c r="K1123" s="109"/>
      <c r="L1123" s="109"/>
      <c r="M1123" s="109"/>
    </row>
    <row r="1124" spans="1:13" s="89" customFormat="1" hidden="1" x14ac:dyDescent="0.25">
      <c r="A1124" s="13"/>
      <c r="B1124" s="242" t="s">
        <v>1301</v>
      </c>
      <c r="C1124" s="13" t="s">
        <v>8</v>
      </c>
      <c r="D1124" s="93">
        <f>IF(ISERR('[1]Высшее (исключен) +'!E344),"-",'[1]Высшее (исключен) +'!E344)</f>
        <v>14.46</v>
      </c>
      <c r="E1124" s="93">
        <f>IF(ISERR('[1]Высшее (исключен) +'!F344),"-",'[1]Высшее (исключен) +'!F344)</f>
        <v>12.46</v>
      </c>
      <c r="F1124" s="93">
        <f>IF(ISERR('[1]Высшее (исключен) +'!G344),"-",'[1]Высшее (исключен) +'!G344)</f>
        <v>9.48</v>
      </c>
      <c r="G1124" s="93">
        <f>IF(ISERR('[1]Высшее (исключен) +'!H344),"-",'[1]Высшее (исключен) +'!H344)</f>
        <v>5.8301943581557554</v>
      </c>
      <c r="H1124" s="93">
        <f>IF(ISERR('[1]Высшее (исключен) +'!I344),"-",'[1]Высшее (исключен) +'!I344)</f>
        <v>5.5961436170545937</v>
      </c>
      <c r="I1124" s="93">
        <f>IF(ISERR('[1]Высшее (исключен) +'!J344),"-",'[1]Высшее (исключен) +'!J344)</f>
        <v>4.2014070286367327</v>
      </c>
      <c r="J1124" s="93">
        <f>IF(ISERR('[1]Высшее (исключен) +'!M344),"-",'[1]Высшее (исключен) +'!M344)</f>
        <v>0</v>
      </c>
      <c r="K1124" s="93">
        <f>IF(ISERR('[1]Высшее (исключен) +'!N344),"-",'[1]Высшее (исключен) +'!N344)</f>
        <v>3.9344554850536624</v>
      </c>
      <c r="L1124" s="93">
        <f>IF(ISERR('[1]Высшее (исключен) +'!O344),"-",'[1]Высшее (исключен) +'!O344)</f>
        <v>3.6367690324696502</v>
      </c>
      <c r="M1124" s="93">
        <f>IF(ISERR('[1]Высшее (исключен) +'!P344),"-",'[1]Высшее (исключен) +'!P344)</f>
        <v>2.88151075037152</v>
      </c>
    </row>
    <row r="1125" spans="1:13" s="89" customFormat="1" hidden="1" x14ac:dyDescent="0.25">
      <c r="A1125" s="13"/>
      <c r="B1125" s="242" t="s">
        <v>1302</v>
      </c>
      <c r="C1125" s="13" t="s">
        <v>8</v>
      </c>
      <c r="D1125" s="93">
        <f>IF(ISERR('[1]Высшее (исключен) +'!E345),"-",'[1]Высшее (исключен) +'!E345)</f>
        <v>4.0599999999999996</v>
      </c>
      <c r="E1125" s="93">
        <f>IF(ISERR('[1]Высшее (исключен) +'!F345),"-",'[1]Высшее (исключен) +'!F345)</f>
        <v>5.88</v>
      </c>
      <c r="F1125" s="93">
        <f>IF(ISERR('[1]Высшее (исключен) +'!G345),"-",'[1]Высшее (исключен) +'!G345)</f>
        <v>8.81</v>
      </c>
      <c r="G1125" s="93">
        <f>IF(ISERR('[1]Высшее (исключен) +'!H345),"-",'[1]Высшее (исключен) +'!H345)</f>
        <v>8.7200000000000006</v>
      </c>
      <c r="H1125" s="93">
        <f>IF(ISERR('[1]Высшее (исключен) +'!I345),"-",'[1]Высшее (исключен) +'!I345)</f>
        <v>8.83</v>
      </c>
      <c r="I1125" s="93" t="str">
        <f>IF(ISERR('[1]Высшее (исключен) +'!J345),"-",'[1]Высшее (исключен) +'!J345)</f>
        <v>-</v>
      </c>
      <c r="J1125" s="93">
        <f>IF(ISERR('[1]Высшее (исключен) +'!M345),"-",'[1]Высшее (исключен) +'!M345)</f>
        <v>0</v>
      </c>
      <c r="K1125" s="93">
        <f>IF(ISERR('[1]Высшее (исключен) +'!N345),"-",'[1]Высшее (исключен) +'!N345)</f>
        <v>3.4463706057048142</v>
      </c>
      <c r="L1125" s="93">
        <f>IF(ISERR('[1]Высшее (исключен) +'!O345),"-",'[1]Высшее (исключен) +'!O345)</f>
        <v>0</v>
      </c>
      <c r="M1125" s="93" t="str">
        <f>IF(ISERR('[1]Высшее (исключен) +'!P345),"-",'[1]Высшее (исключен) +'!P345)</f>
        <v>-</v>
      </c>
    </row>
    <row r="1126" spans="1:13" s="89" customFormat="1" ht="30" hidden="1" x14ac:dyDescent="0.25">
      <c r="A1126" s="13" t="s">
        <v>746</v>
      </c>
      <c r="B1126" s="242" t="s">
        <v>747</v>
      </c>
      <c r="C1126" s="13"/>
      <c r="D1126" s="109"/>
      <c r="E1126" s="109"/>
      <c r="F1126" s="109"/>
      <c r="G1126" s="109"/>
      <c r="H1126" s="109"/>
      <c r="I1126" s="109"/>
      <c r="J1126" s="109"/>
      <c r="K1126" s="109"/>
      <c r="L1126" s="109"/>
      <c r="M1126" s="109"/>
    </row>
    <row r="1127" spans="1:13" s="89" customFormat="1" hidden="1" x14ac:dyDescent="0.25">
      <c r="A1127" s="13"/>
      <c r="B1127" s="242" t="s">
        <v>1301</v>
      </c>
      <c r="C1127" s="13" t="s">
        <v>1114</v>
      </c>
      <c r="D1127" s="93">
        <f>IF(ISERR('[1]Высшее (исключен) +'!E353),"-",'[1]Высшее (исключен) +'!E353)</f>
        <v>521.78</v>
      </c>
      <c r="E1127" s="93">
        <f>IF(ISERR('[1]Высшее (исключен) +'!F353),"-",'[1]Высшее (исключен) +'!F353)</f>
        <v>485.43</v>
      </c>
      <c r="F1127" s="93">
        <f>IF(ISERR('[1]Высшее (исключен) +'!G353),"-",'[1]Высшее (исключен) +'!G353)</f>
        <v>383.93</v>
      </c>
      <c r="G1127" s="93">
        <f>IF(ISERR('[1]Высшее (исключен) +'!H353),"-",'[1]Высшее (исключен) +'!H353)</f>
        <v>268.49664122137403</v>
      </c>
      <c r="H1127" s="93">
        <f>IF(ISERR('[1]Высшее (исключен) +'!I353),"-",'[1]Высшее (исключен) +'!I353)</f>
        <v>260.89210103664766</v>
      </c>
      <c r="I1127" s="93">
        <f>IF(ISERR('[1]Высшее (исключен) +'!J353),"-",'[1]Высшее (исключен) +'!J353)</f>
        <v>221.84807460890497</v>
      </c>
      <c r="J1127" s="93" t="str">
        <f>IF(ISERR('[1]Высшее (исключен) +'!M353),"-",'[1]Высшее (исключен) +'!M353)</f>
        <v>-</v>
      </c>
      <c r="K1127" s="93">
        <f>IF(ISERR('[1]Высшее (исключен) +'!N353),"-",'[1]Высшее (исключен) +'!N353)</f>
        <v>227.38876129229823</v>
      </c>
      <c r="L1127" s="93">
        <f>IF(ISERR('[1]Высшее (исключен) +'!O353),"-",'[1]Высшее (исключен) +'!O353)</f>
        <v>234.28051589129439</v>
      </c>
      <c r="M1127" s="93">
        <f>IF(ISERR('[1]Высшее (исключен) +'!P353),"-",'[1]Высшее (исключен) +'!P353)</f>
        <v>235.74807987711216</v>
      </c>
    </row>
    <row r="1128" spans="1:13" s="89" customFormat="1" hidden="1" x14ac:dyDescent="0.25">
      <c r="A1128" s="13"/>
      <c r="B1128" s="242" t="s">
        <v>1302</v>
      </c>
      <c r="C1128" s="13" t="s">
        <v>1114</v>
      </c>
      <c r="D1128" s="93">
        <f>IF(ISERR('[1]Высшее (исключен) +'!E354),"-",'[1]Высшее (исключен) +'!E354)</f>
        <v>84.08</v>
      </c>
      <c r="E1128" s="93">
        <f>IF(ISERR('[1]Высшее (исключен) +'!F354),"-",'[1]Высшее (исключен) +'!F354)</f>
        <v>116.68</v>
      </c>
      <c r="F1128" s="93">
        <f>IF(ISERR('[1]Высшее (исключен) +'!G354),"-",'[1]Высшее (исключен) +'!G354)</f>
        <v>86.24</v>
      </c>
      <c r="G1128" s="93">
        <f>IF(ISERR('[1]Высшее (исключен) +'!H354),"-",'[1]Высшее (исключен) +'!H354)</f>
        <v>193.86</v>
      </c>
      <c r="H1128" s="93">
        <f>IF(ISERR('[1]Высшее (исключен) +'!I354),"-",'[1]Высшее (исключен) +'!I354)</f>
        <v>328.63</v>
      </c>
      <c r="I1128" s="93" t="str">
        <f>IF(ISERR('[1]Высшее (исключен) +'!J354),"-",'[1]Высшее (исключен) +'!J354)</f>
        <v>-</v>
      </c>
      <c r="J1128" s="93" t="str">
        <f>IF(ISERR('[1]Высшее (исключен) +'!M354),"-",'[1]Высшее (исключен) +'!M354)</f>
        <v>-</v>
      </c>
      <c r="K1128" s="93">
        <f>IF(ISERR('[1]Высшее (исключен) +'!N354),"-",'[1]Высшее (исключен) +'!N354)</f>
        <v>99.8</v>
      </c>
      <c r="L1128" s="93">
        <f>IF(ISERR('[1]Высшее (исключен) +'!O354),"-",'[1]Высшее (исключен) +'!O354)</f>
        <v>0</v>
      </c>
      <c r="M1128" s="93" t="str">
        <f>IF(ISERR('[1]Высшее (исключен) +'!P354),"-",'[1]Высшее (исключен) +'!P354)</f>
        <v>-</v>
      </c>
    </row>
    <row r="1129" spans="1:13" s="89" customFormat="1" ht="75" hidden="1" x14ac:dyDescent="0.25">
      <c r="A1129" s="13" t="s">
        <v>751</v>
      </c>
      <c r="B1129" s="242" t="s">
        <v>1954</v>
      </c>
      <c r="C1129" s="13" t="s">
        <v>8</v>
      </c>
      <c r="D1129" s="109"/>
      <c r="E1129" s="109"/>
      <c r="F1129" s="109"/>
      <c r="G1129" s="109"/>
      <c r="H1129" s="109"/>
      <c r="I1129" s="109"/>
      <c r="J1129" s="109"/>
      <c r="K1129" s="109"/>
      <c r="L1129" s="109"/>
      <c r="M1129" s="109"/>
    </row>
    <row r="1130" spans="1:13" s="89" customFormat="1" ht="105" hidden="1" x14ac:dyDescent="0.25">
      <c r="A1130" s="13" t="s">
        <v>754</v>
      </c>
      <c r="B1130" s="242" t="s">
        <v>1955</v>
      </c>
      <c r="C1130" s="13" t="s">
        <v>8</v>
      </c>
      <c r="D1130" s="109"/>
      <c r="E1130" s="109"/>
      <c r="F1130" s="109"/>
      <c r="G1130" s="109"/>
      <c r="H1130" s="109"/>
      <c r="I1130" s="109"/>
      <c r="J1130" s="109"/>
      <c r="K1130" s="109"/>
      <c r="L1130" s="109"/>
      <c r="M1130" s="109"/>
    </row>
    <row r="1131" spans="1:13" s="89" customFormat="1" ht="45" hidden="1" x14ac:dyDescent="0.25">
      <c r="A1131" s="99" t="s">
        <v>757</v>
      </c>
      <c r="B1131" s="100" t="s">
        <v>758</v>
      </c>
      <c r="C1131" s="87"/>
      <c r="D1131" s="109"/>
      <c r="E1131" s="109"/>
      <c r="F1131" s="109"/>
      <c r="G1131" s="109"/>
      <c r="H1131" s="109"/>
      <c r="I1131" s="109"/>
      <c r="J1131" s="109"/>
      <c r="K1131" s="109"/>
      <c r="L1131" s="109"/>
      <c r="M1131" s="109"/>
    </row>
    <row r="1132" spans="1:13" s="89" customFormat="1" ht="45" hidden="1" x14ac:dyDescent="0.25">
      <c r="A1132" s="13" t="s">
        <v>759</v>
      </c>
      <c r="B1132" s="242" t="s">
        <v>1135</v>
      </c>
      <c r="C1132" s="13"/>
      <c r="D1132" s="109"/>
      <c r="E1132" s="109"/>
      <c r="F1132" s="109"/>
      <c r="G1132" s="109"/>
      <c r="H1132" s="109"/>
      <c r="I1132" s="109"/>
      <c r="J1132" s="109"/>
      <c r="K1132" s="109"/>
      <c r="L1132" s="109"/>
      <c r="M1132" s="109"/>
    </row>
    <row r="1133" spans="1:13" s="89" customFormat="1" hidden="1" x14ac:dyDescent="0.25">
      <c r="A1133" s="13"/>
      <c r="B1133" s="242" t="s">
        <v>1301</v>
      </c>
      <c r="C1133" s="13"/>
      <c r="D1133" s="109"/>
      <c r="E1133" s="109"/>
      <c r="F1133" s="109"/>
      <c r="G1133" s="109"/>
      <c r="H1133" s="109"/>
      <c r="I1133" s="109"/>
      <c r="J1133" s="109"/>
      <c r="K1133" s="109"/>
      <c r="L1133" s="109"/>
      <c r="M1133" s="109"/>
    </row>
    <row r="1134" spans="1:13" s="89" customFormat="1" hidden="1" x14ac:dyDescent="0.25">
      <c r="A1134" s="13"/>
      <c r="B1134" s="242" t="s">
        <v>2381</v>
      </c>
      <c r="C1134" s="13" t="s">
        <v>8</v>
      </c>
      <c r="D1134" s="122">
        <f>IF(ISERR('[1]Высшее (исключен) +'!E373),"-",'[1]Высшее (исключен) +'!E373)</f>
        <v>100</v>
      </c>
      <c r="E1134" s="122">
        <f>IF(ISERR('[1]Высшее (исключен) +'!F373),"-",'[1]Высшее (исключен) +'!F373)</f>
        <v>100</v>
      </c>
      <c r="F1134" s="122">
        <f>IF(ISERR('[1]Высшее (исключен) +'!G373),"-",'[1]Высшее (исключен) +'!G373)</f>
        <v>100</v>
      </c>
      <c r="G1134" s="122">
        <f>IF(ISERR('[1]Высшее (исключен) +'!H373),"-",'[1]Высшее (исключен) +'!H373)</f>
        <v>100</v>
      </c>
      <c r="H1134" s="122">
        <f>IF(ISERR('[1]Высшее (исключен) +'!I373),"-",'[1]Высшее (исключен) +'!I373)</f>
        <v>97.623743554404399</v>
      </c>
      <c r="I1134" s="122">
        <f>IF(ISERR('[1]Высшее (исключен) +'!J373),"-",'[1]Высшее (исключен) +'!J373)</f>
        <v>100</v>
      </c>
      <c r="J1134" s="122" t="str">
        <f>IF(ISERR('[1]Высшее (исключен) +'!M373),"-",'[1]Высшее (исключен) +'!M373)</f>
        <v>-</v>
      </c>
      <c r="K1134" s="122">
        <f>IF(ISERR('[1]Высшее (исключен) +'!N373),"-",'[1]Высшее (исключен) +'!N373)</f>
        <v>35.98923239255241</v>
      </c>
      <c r="L1134" s="122">
        <f>IF(ISERR('[1]Высшее (исключен) +'!O373),"-",'[1]Высшее (исключен) +'!O373)</f>
        <v>35.587325474458659</v>
      </c>
      <c r="M1134" s="122">
        <f>IF(ISERR('[1]Высшее (исключен) +'!P373),"-",'[1]Высшее (исключен) +'!P373)</f>
        <v>100</v>
      </c>
    </row>
    <row r="1135" spans="1:13" s="89" customFormat="1" hidden="1" x14ac:dyDescent="0.25">
      <c r="A1135" s="13"/>
      <c r="B1135" s="242" t="s">
        <v>2382</v>
      </c>
      <c r="C1135" s="13" t="s">
        <v>8</v>
      </c>
      <c r="D1135" s="122">
        <f>IF(ISERR('[1]Высшее (исключен) +'!E376),"-",'[1]Высшее (исключен) +'!E376)</f>
        <v>97.73</v>
      </c>
      <c r="E1135" s="122">
        <f>IF(ISERR('[1]Высшее (исключен) +'!F376),"-",'[1]Высшее (исключен) +'!F376)</f>
        <v>100</v>
      </c>
      <c r="F1135" s="122">
        <f>IF(ISERR('[1]Высшее (исключен) +'!G376),"-",'[1]Высшее (исключен) +'!G376)</f>
        <v>97.6</v>
      </c>
      <c r="G1135" s="122">
        <f>IF(ISERR('[1]Высшее (исключен) +'!H376),"-",'[1]Высшее (исключен) +'!H376)</f>
        <v>100</v>
      </c>
      <c r="H1135" s="122">
        <f>IF(ISERR('[1]Высшее (исключен) +'!I376),"-",'[1]Высшее (исключен) +'!I376)</f>
        <v>100</v>
      </c>
      <c r="I1135" s="122">
        <f>IF(ISERR('[1]Высшее (исключен) +'!J376),"-",'[1]Высшее (исключен) +'!J376)</f>
        <v>100</v>
      </c>
      <c r="J1135" s="122" t="str">
        <f>IF(ISERR('[1]Высшее (исключен) +'!M376),"-",'[1]Высшее (исключен) +'!M376)</f>
        <v>-</v>
      </c>
      <c r="K1135" s="122">
        <f>IF(ISERR('[1]Высшее (исключен) +'!N376),"-",'[1]Высшее (исключен) +'!N376)</f>
        <v>42.550224342131862</v>
      </c>
      <c r="L1135" s="122">
        <f>IF(ISERR('[1]Высшее (исключен) +'!O376),"-",'[1]Высшее (исключен) +'!O376)</f>
        <v>42.550224342131862</v>
      </c>
      <c r="M1135" s="122">
        <f>IF(ISERR('[1]Высшее (исключен) +'!P376),"-",'[1]Высшее (исключен) +'!P376)</f>
        <v>100</v>
      </c>
    </row>
    <row r="1136" spans="1:13" s="89" customFormat="1" hidden="1" x14ac:dyDescent="0.25">
      <c r="A1136" s="13"/>
      <c r="B1136" s="242" t="s">
        <v>1302</v>
      </c>
      <c r="C1136" s="13"/>
      <c r="D1136" s="93"/>
      <c r="E1136" s="93"/>
      <c r="F1136" s="93"/>
      <c r="G1136" s="93"/>
      <c r="H1136" s="93"/>
      <c r="I1136" s="93"/>
      <c r="J1136" s="93"/>
      <c r="K1136" s="93"/>
      <c r="L1136" s="93"/>
      <c r="M1136" s="93"/>
    </row>
    <row r="1137" spans="1:13" s="89" customFormat="1" hidden="1" x14ac:dyDescent="0.25">
      <c r="A1137" s="13"/>
      <c r="B1137" s="242" t="s">
        <v>2381</v>
      </c>
      <c r="C1137" s="13" t="s">
        <v>8</v>
      </c>
      <c r="D1137" s="93">
        <f>IF(ISERR('[1]Высшее (исключен) +'!E374),"-",'[1]Высшее (исключен) +'!E374)</f>
        <v>70.37</v>
      </c>
      <c r="E1137" s="93">
        <f>IF(ISERR('[1]Высшее (исключен) +'!F374),"-",'[1]Высшее (исключен) +'!F374)</f>
        <v>92.61</v>
      </c>
      <c r="F1137" s="93">
        <f>IF(ISERR('[1]Высшее (исключен) +'!G374),"-",'[1]Высшее (исключен) +'!G374)</f>
        <v>100</v>
      </c>
      <c r="G1137" s="93">
        <f>IF(ISERR('[1]Высшее (исключен) +'!H374),"-",'[1]Высшее (исключен) +'!H374)</f>
        <v>100</v>
      </c>
      <c r="H1137" s="93">
        <f>IF(ISERR('[1]Высшее (исключен) +'!I374),"-",'[1]Высшее (исключен) +'!I374)</f>
        <v>100</v>
      </c>
      <c r="I1137" s="93" t="str">
        <f>IF(ISERR('[1]Высшее (исключен) +'!J374),"-",'[1]Высшее (исключен) +'!J374)</f>
        <v>-</v>
      </c>
      <c r="J1137" s="93" t="str">
        <f>IF(ISERR('[1]Высшее (исключен) +'!M374),"-",'[1]Высшее (исключен) +'!M374)</f>
        <v>-</v>
      </c>
      <c r="K1137" s="93">
        <f>IF(ISERR('[1]Высшее (исключен) +'!N374),"-",'[1]Высшее (исключен) +'!N374)</f>
        <v>100</v>
      </c>
      <c r="L1137" s="93">
        <f>IF(ISERR('[1]Высшее (исключен) +'!O374),"-",'[1]Высшее (исключен) +'!O374)</f>
        <v>100</v>
      </c>
      <c r="M1137" s="93" t="str">
        <f>IF(ISERR('[1]Высшее (исключен) +'!P374),"-",'[1]Высшее (исключен) +'!P374)</f>
        <v>-</v>
      </c>
    </row>
    <row r="1138" spans="1:13" s="89" customFormat="1" hidden="1" x14ac:dyDescent="0.25">
      <c r="A1138" s="13"/>
      <c r="B1138" s="242" t="s">
        <v>2382</v>
      </c>
      <c r="C1138" s="13" t="s">
        <v>8</v>
      </c>
      <c r="D1138" s="93">
        <f>IF(ISERR('[1]Высшее (исключен) +'!E377),"-",'[1]Высшее (исключен) +'!E377)</f>
        <v>0</v>
      </c>
      <c r="E1138" s="93">
        <f>IF(ISERR('[1]Высшее (исключен) +'!F377),"-",'[1]Высшее (исключен) +'!F377)</f>
        <v>100</v>
      </c>
      <c r="F1138" s="93">
        <f>IF(ISERR('[1]Высшее (исключен) +'!G377),"-",'[1]Высшее (исключен) +'!G377)</f>
        <v>100</v>
      </c>
      <c r="G1138" s="93" t="str">
        <f>IF(ISERR('[1]Высшее (исключен) +'!H377),"-",'[1]Высшее (исключен) +'!H377)</f>
        <v>-</v>
      </c>
      <c r="H1138" s="93">
        <f>IF(ISERR('[1]Высшее (исключен) +'!I377),"-",'[1]Высшее (исключен) +'!I377)</f>
        <v>100</v>
      </c>
      <c r="I1138" s="93" t="str">
        <f>IF(ISERR('[1]Высшее (исключен) +'!J377),"-",'[1]Высшее (исключен) +'!J377)</f>
        <v>-</v>
      </c>
      <c r="J1138" s="93" t="str">
        <f>IF(ISERR('[1]Высшее (исключен) +'!M377),"-",'[1]Высшее (исключен) +'!M377)</f>
        <v>-</v>
      </c>
      <c r="K1138" s="93">
        <f>IF(ISERR('[1]Высшее (исключен) +'!N377),"-",'[1]Высшее (исключен) +'!N377)</f>
        <v>100</v>
      </c>
      <c r="L1138" s="93" t="str">
        <f>IF(ISERR('[1]Высшее (исключен) +'!O377),"-",'[1]Высшее (исключен) +'!O377)</f>
        <v>-</v>
      </c>
      <c r="M1138" s="93" t="str">
        <f>IF(ISERR('[1]Высшее (исключен) +'!P377),"-",'[1]Высшее (исключен) +'!P377)</f>
        <v>-</v>
      </c>
    </row>
    <row r="1139" spans="1:13" s="89" customFormat="1" ht="30" hidden="1" x14ac:dyDescent="0.25">
      <c r="A1139" s="13" t="s">
        <v>764</v>
      </c>
      <c r="B1139" s="242" t="s">
        <v>765</v>
      </c>
      <c r="C1139" s="13"/>
      <c r="D1139" s="109"/>
      <c r="E1139" s="109"/>
      <c r="F1139" s="109"/>
      <c r="G1139" s="109"/>
      <c r="H1139" s="109"/>
      <c r="I1139" s="109"/>
      <c r="J1139" s="109"/>
      <c r="K1139" s="109"/>
      <c r="L1139" s="109"/>
      <c r="M1139" s="109"/>
    </row>
    <row r="1140" spans="1:13" s="89" customFormat="1" hidden="1" x14ac:dyDescent="0.25">
      <c r="A1140" s="13"/>
      <c r="B1140" s="242" t="s">
        <v>1301</v>
      </c>
      <c r="C1140" s="13"/>
      <c r="D1140" s="109"/>
      <c r="E1140" s="109"/>
      <c r="F1140" s="109"/>
      <c r="G1140" s="109"/>
      <c r="H1140" s="109"/>
      <c r="I1140" s="109"/>
      <c r="J1140" s="109"/>
      <c r="K1140" s="109"/>
      <c r="L1140" s="109"/>
      <c r="M1140" s="109"/>
    </row>
    <row r="1141" spans="1:13" s="89" customFormat="1" hidden="1" x14ac:dyDescent="0.25">
      <c r="A1141" s="13"/>
      <c r="B1141" s="242" t="s">
        <v>2381</v>
      </c>
      <c r="C1141" s="13" t="s">
        <v>8</v>
      </c>
      <c r="D1141" s="122">
        <f>IF(ISERR('[1]Высшее (исключен) +'!E392),"-",'[1]Высшее (исключен) +'!E392)</f>
        <v>1.29</v>
      </c>
      <c r="E1141" s="122">
        <f>IF(ISERR('[1]Высшее (исключен) +'!F392),"-",'[1]Высшее (исключен) +'!F392)</f>
        <v>1.31</v>
      </c>
      <c r="F1141" s="122">
        <f>IF(ISERR('[1]Высшее (исключен) +'!G392),"-",'[1]Высшее (исключен) +'!G392)</f>
        <v>1.31</v>
      </c>
      <c r="G1141" s="122">
        <f>IF(ISERR('[1]Высшее (исключен) +'!H392),"-",'[1]Высшее (исключен) +'!H392)</f>
        <v>1.303148248509632</v>
      </c>
      <c r="H1141" s="122">
        <f>IF(ISERR('[1]Высшее (исключен) +'!I392),"-",'[1]Высшее (исключен) +'!I392)</f>
        <v>1.2570396597200768</v>
      </c>
      <c r="I1141" s="122">
        <f>IF(ISERR('[1]Высшее (исключен) +'!J392),"-",'[1]Высшее (исключен) +'!J392)</f>
        <v>1.315266036797613</v>
      </c>
      <c r="J1141" s="122" t="str">
        <f>IF(ISERR('[1]Высшее (исключен) +'!M392),"-",'[1]Высшее (исключен) +'!M392)</f>
        <v>-</v>
      </c>
      <c r="K1141" s="122">
        <f>IF(ISERR('[1]Высшее (исключен) +'!N392),"-",'[1]Высшее (исключен) +'!N392)</f>
        <v>1.3185334119856098</v>
      </c>
      <c r="L1141" s="122">
        <f>IF(ISERR('[1]Высшее (исключен) +'!O392),"-",'[1]Высшее (исключен) +'!O392)</f>
        <v>1.3268121394532231</v>
      </c>
      <c r="M1141" s="122">
        <f>IF(ISERR('[1]Высшее (исключен) +'!P392),"-",'[1]Высшее (исключен) +'!P392)</f>
        <v>0</v>
      </c>
    </row>
    <row r="1142" spans="1:13" s="89" customFormat="1" hidden="1" x14ac:dyDescent="0.25">
      <c r="A1142" s="13"/>
      <c r="B1142" s="242" t="s">
        <v>2382</v>
      </c>
      <c r="C1142" s="13" t="s">
        <v>8</v>
      </c>
      <c r="D1142" s="122">
        <f>IF(ISERR('[1]Высшее (исключен) +'!E395),"-",'[1]Высшее (исключен) +'!E395)</f>
        <v>0</v>
      </c>
      <c r="E1142" s="122">
        <f>IF(ISERR('[1]Высшее (исключен) +'!F395),"-",'[1]Высшее (исключен) +'!F395)</f>
        <v>0</v>
      </c>
      <c r="F1142" s="122">
        <f>IF(ISERR('[1]Высшее (исключен) +'!G395),"-",'[1]Высшее (исключен) +'!G395)</f>
        <v>0</v>
      </c>
      <c r="G1142" s="122">
        <f>IF(ISERR('[1]Высшее (исключен) +'!H395),"-",'[1]Высшее (исключен) +'!H395)</f>
        <v>1.0709790284385468</v>
      </c>
      <c r="H1142" s="122">
        <f>IF(ISERR('[1]Высшее (исключен) +'!I395),"-",'[1]Высшее (исключен) +'!I395)</f>
        <v>1.0709790284385468</v>
      </c>
      <c r="I1142" s="122">
        <f>IF(ISERR('[1]Высшее (исключен) +'!J395),"-",'[1]Высшее (исключен) +'!J395)</f>
        <v>1.0709790284385468</v>
      </c>
      <c r="J1142" s="122" t="str">
        <f>IF(ISERR('[1]Высшее (исключен) +'!M395),"-",'[1]Высшее (исключен) +'!M395)</f>
        <v>-</v>
      </c>
      <c r="K1142" s="122">
        <f>IF(ISERR('[1]Высшее (исключен) +'!N395),"-",'[1]Высшее (исключен) +'!N395)</f>
        <v>1.0166134443591091</v>
      </c>
      <c r="L1142" s="122">
        <f>IF(ISERR('[1]Высшее (исключен) +'!O395),"-",'[1]Высшее (исключен) +'!O395)</f>
        <v>1.0166134443591091</v>
      </c>
      <c r="M1142" s="122">
        <f>IF(ISERR('[1]Высшее (исключен) +'!P395),"-",'[1]Высшее (исключен) +'!P395)</f>
        <v>0</v>
      </c>
    </row>
    <row r="1143" spans="1:13" s="89" customFormat="1" hidden="1" x14ac:dyDescent="0.25">
      <c r="A1143" s="13"/>
      <c r="B1143" s="242" t="s">
        <v>1302</v>
      </c>
      <c r="C1143" s="13"/>
      <c r="D1143" s="93"/>
      <c r="E1143" s="93"/>
      <c r="F1143" s="93"/>
      <c r="G1143" s="93"/>
      <c r="H1143" s="93"/>
      <c r="I1143" s="93"/>
      <c r="J1143" s="93"/>
      <c r="K1143" s="93"/>
      <c r="L1143" s="93"/>
      <c r="M1143" s="93"/>
    </row>
    <row r="1144" spans="1:13" s="89" customFormat="1" hidden="1" x14ac:dyDescent="0.25">
      <c r="A1144" s="13"/>
      <c r="B1144" s="242" t="s">
        <v>2381</v>
      </c>
      <c r="C1144" s="13" t="s">
        <v>8</v>
      </c>
      <c r="D1144" s="122">
        <f>IF(ISERR('[1]Высшее (исключен) +'!E393),"-",'[1]Высшее (исключен) +'!E393)</f>
        <v>0</v>
      </c>
      <c r="E1144" s="122">
        <f>IF(ISERR('[1]Высшее (исключен) +'!F393),"-",'[1]Высшее (исключен) +'!F393)</f>
        <v>0</v>
      </c>
      <c r="F1144" s="122">
        <f>IF(ISERR('[1]Высшее (исключен) +'!G393),"-",'[1]Высшее (исключен) +'!G393)</f>
        <v>0</v>
      </c>
      <c r="G1144" s="122">
        <f>IF(ISERR('[1]Высшее (исключен) +'!H393),"-",'[1]Высшее (исключен) +'!H393)</f>
        <v>0</v>
      </c>
      <c r="H1144" s="122">
        <f>IF(ISERR('[1]Высшее (исключен) +'!I393),"-",'[1]Высшее (исключен) +'!I393)</f>
        <v>0</v>
      </c>
      <c r="I1144" s="122" t="str">
        <f>IF(ISERR('[1]Высшее (исключен) +'!J393),"-",'[1]Высшее (исключен) +'!J393)</f>
        <v>-</v>
      </c>
      <c r="J1144" s="122" t="str">
        <f>IF(ISERR('[1]Высшее (исключен) +'!M393),"-",'[1]Высшее (исключен) +'!M393)</f>
        <v>-</v>
      </c>
      <c r="K1144" s="122">
        <f>IF(ISERR('[1]Высшее (исключен) +'!N393),"-",'[1]Высшее (исключен) +'!N393)</f>
        <v>0</v>
      </c>
      <c r="L1144" s="122">
        <f>IF(ISERR('[1]Высшее (исключен) +'!O393),"-",'[1]Высшее (исключен) +'!O393)</f>
        <v>0</v>
      </c>
      <c r="M1144" s="122" t="str">
        <f>IF(ISERR('[1]Высшее (исключен) +'!P393),"-",'[1]Высшее (исключен) +'!P393)</f>
        <v>-</v>
      </c>
    </row>
    <row r="1145" spans="1:13" s="89" customFormat="1" hidden="1" x14ac:dyDescent="0.25">
      <c r="A1145" s="13"/>
      <c r="B1145" s="242" t="s">
        <v>2382</v>
      </c>
      <c r="C1145" s="13" t="s">
        <v>8</v>
      </c>
      <c r="D1145" s="93">
        <f>IF(ISERR('[1]Высшее (исключен) +'!E396),"-",'[1]Высшее (исключен) +'!E396)</f>
        <v>0</v>
      </c>
      <c r="E1145" s="93">
        <f>IF(ISERR('[1]Высшее (исключен) +'!F396),"-",'[1]Высшее (исключен) +'!F396)</f>
        <v>0</v>
      </c>
      <c r="F1145" s="93">
        <f>IF(ISERR('[1]Высшее (исключен) +'!G396),"-",'[1]Высшее (исключен) +'!G396)</f>
        <v>0</v>
      </c>
      <c r="G1145" s="93" t="str">
        <f>IF(ISERR('[1]Высшее (исключен) +'!H396),"-",'[1]Высшее (исключен) +'!H396)</f>
        <v>-</v>
      </c>
      <c r="H1145" s="93">
        <f>IF(ISERR('[1]Высшее (исключен) +'!I396),"-",'[1]Высшее (исключен) +'!I396)</f>
        <v>0</v>
      </c>
      <c r="I1145" s="93" t="str">
        <f>IF(ISERR('[1]Высшее (исключен) +'!J396),"-",'[1]Высшее (исключен) +'!J396)</f>
        <v>-</v>
      </c>
      <c r="J1145" s="93" t="str">
        <f>IF(ISERR('[1]Высшее (исключен) +'!M396),"-",'[1]Высшее (исключен) +'!M396)</f>
        <v>-</v>
      </c>
      <c r="K1145" s="93">
        <f>IF(ISERR('[1]Высшее (исключен) +'!N396),"-",'[1]Высшее (исключен) +'!N396)</f>
        <v>0</v>
      </c>
      <c r="L1145" s="93" t="str">
        <f>IF(ISERR('[1]Высшее (исключен) +'!O396),"-",'[1]Высшее (исключен) +'!O396)</f>
        <v>-</v>
      </c>
      <c r="M1145" s="93" t="str">
        <f>IF(ISERR('[1]Высшее (исключен) +'!P396),"-",'[1]Высшее (исключен) +'!P396)</f>
        <v>-</v>
      </c>
    </row>
    <row r="1146" spans="1:13" s="89" customFormat="1" ht="30" hidden="1" x14ac:dyDescent="0.25">
      <c r="A1146" s="13" t="s">
        <v>768</v>
      </c>
      <c r="B1146" s="242" t="s">
        <v>769</v>
      </c>
      <c r="C1146" s="13"/>
      <c r="D1146" s="109"/>
      <c r="E1146" s="109"/>
      <c r="F1146" s="109"/>
      <c r="G1146" s="109"/>
      <c r="H1146" s="109"/>
      <c r="I1146" s="109"/>
      <c r="J1146" s="109"/>
      <c r="K1146" s="109"/>
      <c r="L1146" s="109"/>
      <c r="M1146" s="109"/>
    </row>
    <row r="1147" spans="1:13" s="89" customFormat="1" hidden="1" x14ac:dyDescent="0.25">
      <c r="A1147" s="13"/>
      <c r="B1147" s="242" t="s">
        <v>1301</v>
      </c>
      <c r="C1147" s="13"/>
      <c r="D1147" s="109"/>
      <c r="E1147" s="109"/>
      <c r="F1147" s="109"/>
      <c r="G1147" s="109"/>
      <c r="H1147" s="109"/>
      <c r="I1147" s="109"/>
      <c r="J1147" s="109"/>
      <c r="K1147" s="109"/>
      <c r="L1147" s="109"/>
      <c r="M1147" s="109"/>
    </row>
    <row r="1148" spans="1:13" s="89" customFormat="1" hidden="1" x14ac:dyDescent="0.25">
      <c r="A1148" s="13"/>
      <c r="B1148" s="242" t="s">
        <v>2381</v>
      </c>
      <c r="C1148" s="13" t="s">
        <v>8</v>
      </c>
      <c r="D1148" s="122">
        <f>IF(ISERR('[1]Высшее (исключен) +'!E411),"-",'[1]Высшее (исключен) +'!E411)</f>
        <v>0.44</v>
      </c>
      <c r="E1148" s="122">
        <f>IF(ISERR('[1]Высшее (исключен) +'!F411),"-",'[1]Высшее (исключен) +'!F411)</f>
        <v>0.45</v>
      </c>
      <c r="F1148" s="122">
        <f>IF(ISERR('[1]Высшее (исключен) +'!G411),"-",'[1]Высшее (исключен) +'!G411)</f>
        <v>0.45</v>
      </c>
      <c r="G1148" s="122">
        <f>IF(ISERR('[1]Высшее (исключен) +'!H411),"-",'[1]Высшее (исключен) +'!H411)</f>
        <v>0.44916325893810255</v>
      </c>
      <c r="H1148" s="122">
        <f>IF(ISERR('[1]Высшее (исключен) +'!I411),"-",'[1]Высшее (исключен) +'!I411)</f>
        <v>0.43327075858026598</v>
      </c>
      <c r="I1148" s="122">
        <f>IF(ISERR('[1]Высшее (исключен) +'!J411),"-",'[1]Высшее (исключен) +'!J411)</f>
        <v>0.45333996353389694</v>
      </c>
      <c r="J1148" s="122">
        <f>IF(ISERR('[1]Высшее (исключен) +'!M411),"-",'[1]Высшее (исключен) +'!M411)</f>
        <v>0</v>
      </c>
      <c r="K1148" s="122">
        <f>IF(ISERR('[1]Высшее (исключен) +'!N411),"-",'[1]Высшее (исключен) +'!N411)</f>
        <v>0.45446614767241883</v>
      </c>
      <c r="L1148" s="122">
        <f>IF(ISERR('[1]Высшее (исключен) +'!O411),"-",'[1]Высшее (исключен) +'!O411)</f>
        <v>0</v>
      </c>
      <c r="M1148" s="122">
        <f>IF(ISERR('[1]Высшее (исключен) +'!P411),"-",'[1]Высшее (исключен) +'!P411)</f>
        <v>0</v>
      </c>
    </row>
    <row r="1149" spans="1:13" s="89" customFormat="1" hidden="1" x14ac:dyDescent="0.25">
      <c r="A1149" s="13"/>
      <c r="B1149" s="242" t="s">
        <v>2382</v>
      </c>
      <c r="C1149" s="13" t="s">
        <v>8</v>
      </c>
      <c r="D1149" s="122">
        <f>IF(ISERR('[1]Высшее (исключен) +'!E414),"-",'[1]Высшее (исключен) +'!E414)</f>
        <v>0</v>
      </c>
      <c r="E1149" s="122">
        <f>IF(ISERR('[1]Высшее (исключен) +'!F414),"-",'[1]Высшее (исключен) +'!F414)</f>
        <v>0</v>
      </c>
      <c r="F1149" s="122">
        <f>IF(ISERR('[1]Высшее (исключен) +'!G414),"-",'[1]Высшее (исключен) +'!G414)</f>
        <v>0</v>
      </c>
      <c r="G1149" s="122">
        <f>IF(ISERR('[1]Высшее (исключен) +'!H414),"-",'[1]Высшее (исключен) +'!H414)</f>
        <v>0</v>
      </c>
      <c r="H1149" s="122">
        <f>IF(ISERR('[1]Высшее (исключен) +'!I414),"-",'[1]Высшее (исключен) +'!I414)</f>
        <v>0</v>
      </c>
      <c r="I1149" s="122">
        <f>IF(ISERR('[1]Высшее (исключен) +'!J414),"-",'[1]Высшее (исключен) +'!J414)</f>
        <v>0</v>
      </c>
      <c r="J1149" s="122">
        <f>IF(ISERR('[1]Высшее (исключен) +'!M414),"-",'[1]Высшее (исключен) +'!M414)</f>
        <v>0</v>
      </c>
      <c r="K1149" s="122">
        <f>IF(ISERR('[1]Высшее (исключен) +'!N414),"-",'[1]Высшее (исключен) +'!N414)</f>
        <v>0</v>
      </c>
      <c r="L1149" s="122">
        <f>IF(ISERR('[1]Высшее (исключен) +'!O414),"-",'[1]Высшее (исключен) +'!O414)</f>
        <v>0</v>
      </c>
      <c r="M1149" s="122">
        <f>IF(ISERR('[1]Высшее (исключен) +'!P414),"-",'[1]Высшее (исключен) +'!P414)</f>
        <v>0</v>
      </c>
    </row>
    <row r="1150" spans="1:13" s="89" customFormat="1" hidden="1" x14ac:dyDescent="0.25">
      <c r="A1150" s="13"/>
      <c r="B1150" s="242" t="s">
        <v>1302</v>
      </c>
      <c r="C1150" s="13"/>
      <c r="D1150" s="109"/>
      <c r="E1150" s="109"/>
      <c r="F1150" s="109"/>
      <c r="G1150" s="109"/>
      <c r="H1150" s="109"/>
      <c r="I1150" s="109"/>
      <c r="J1150" s="109"/>
      <c r="K1150" s="109"/>
      <c r="L1150" s="109"/>
      <c r="M1150" s="109"/>
    </row>
    <row r="1151" spans="1:13" s="89" customFormat="1" hidden="1" x14ac:dyDescent="0.25">
      <c r="A1151" s="13"/>
      <c r="B1151" s="242" t="s">
        <v>2381</v>
      </c>
      <c r="C1151" s="13" t="s">
        <v>8</v>
      </c>
      <c r="D1151" s="122">
        <f>IF(ISERR('[1]Высшее (исключен) +'!E412),"-",'[1]Высшее (исключен) +'!E412)</f>
        <v>0</v>
      </c>
      <c r="E1151" s="122">
        <f>IF(ISERR('[1]Высшее (исключен) +'!F412),"-",'[1]Высшее (исключен) +'!F412)</f>
        <v>0</v>
      </c>
      <c r="F1151" s="122">
        <f>IF(ISERR('[1]Высшее (исключен) +'!G412),"-",'[1]Высшее (исключен) +'!G412)</f>
        <v>0</v>
      </c>
      <c r="G1151" s="122">
        <f>IF(ISERR('[1]Высшее (исключен) +'!H412),"-",'[1]Высшее (исключен) +'!H412)</f>
        <v>0</v>
      </c>
      <c r="H1151" s="122">
        <f>IF(ISERR('[1]Высшее (исключен) +'!I412),"-",'[1]Высшее (исключен) +'!I412)</f>
        <v>0</v>
      </c>
      <c r="I1151" s="122" t="str">
        <f>IF(ISERR('[1]Высшее (исключен) +'!J412),"-",'[1]Высшее (исключен) +'!J412)</f>
        <v>-</v>
      </c>
      <c r="J1151" s="122">
        <f>IF(ISERR('[1]Высшее (исключен) +'!M412),"-",'[1]Высшее (исключен) +'!M412)</f>
        <v>0</v>
      </c>
      <c r="K1151" s="122">
        <f>IF(ISERR('[1]Высшее (исключен) +'!N412),"-",'[1]Высшее (исключен) +'!N412)</f>
        <v>0</v>
      </c>
      <c r="L1151" s="122">
        <f>IF(ISERR('[1]Высшее (исключен) +'!O412),"-",'[1]Высшее (исключен) +'!O412)</f>
        <v>0</v>
      </c>
      <c r="M1151" s="122" t="str">
        <f>IF(ISERR('[1]Высшее (исключен) +'!P412),"-",'[1]Высшее (исключен) +'!P412)</f>
        <v>-</v>
      </c>
    </row>
    <row r="1152" spans="1:13" s="89" customFormat="1" hidden="1" x14ac:dyDescent="0.25">
      <c r="A1152" s="13"/>
      <c r="B1152" s="242" t="s">
        <v>2382</v>
      </c>
      <c r="C1152" s="13" t="s">
        <v>8</v>
      </c>
      <c r="D1152" s="122">
        <f>IF(ISERR('[1]Высшее (исключен) +'!E415),"-",'[1]Высшее (исключен) +'!E415)</f>
        <v>0</v>
      </c>
      <c r="E1152" s="122">
        <f>IF(ISERR('[1]Высшее (исключен) +'!F415),"-",'[1]Высшее (исключен) +'!F415)</f>
        <v>0</v>
      </c>
      <c r="F1152" s="122">
        <f>IF(ISERR('[1]Высшее (исключен) +'!G415),"-",'[1]Высшее (исключен) +'!G415)</f>
        <v>0</v>
      </c>
      <c r="G1152" s="122" t="str">
        <f>IF(ISERR('[1]Высшее (исключен) +'!H415),"-",'[1]Высшее (исключен) +'!H415)</f>
        <v>-</v>
      </c>
      <c r="H1152" s="122">
        <f>IF(ISERR('[1]Высшее (исключен) +'!I415),"-",'[1]Высшее (исключен) +'!I415)</f>
        <v>0</v>
      </c>
      <c r="I1152" s="122" t="str">
        <f>IF(ISERR('[1]Высшее (исключен) +'!J415),"-",'[1]Высшее (исключен) +'!J415)</f>
        <v>-</v>
      </c>
      <c r="J1152" s="122">
        <f>IF(ISERR('[1]Высшее (исключен) +'!M415),"-",'[1]Высшее (исключен) +'!M415)</f>
        <v>0</v>
      </c>
      <c r="K1152" s="122">
        <f>IF(ISERR('[1]Высшее (исключен) +'!N415),"-",'[1]Высшее (исключен) +'!N415)</f>
        <v>0</v>
      </c>
      <c r="L1152" s="122" t="str">
        <f>IF(ISERR('[1]Высшее (исключен) +'!O415),"-",'[1]Высшее (исключен) +'!O415)</f>
        <v>-</v>
      </c>
      <c r="M1152" s="122" t="str">
        <f>IF(ISERR('[1]Высшее (исключен) +'!P415),"-",'[1]Высшее (исключен) +'!P415)</f>
        <v>-</v>
      </c>
    </row>
    <row r="1153" spans="1:13" s="89" customFormat="1" x14ac:dyDescent="0.25">
      <c r="A1153" s="443" t="s">
        <v>774</v>
      </c>
      <c r="B1153" s="443"/>
      <c r="C1153" s="443"/>
      <c r="D1153" s="443"/>
      <c r="E1153" s="443"/>
      <c r="F1153" s="443"/>
      <c r="G1153" s="443"/>
      <c r="H1153" s="443"/>
      <c r="I1153" s="443"/>
      <c r="J1153" s="443"/>
      <c r="K1153" s="443"/>
      <c r="L1153" s="440"/>
      <c r="M1153" s="440"/>
    </row>
    <row r="1154" spans="1:13" s="89" customFormat="1" x14ac:dyDescent="0.25">
      <c r="A1154" s="443" t="s">
        <v>2573</v>
      </c>
      <c r="B1154" s="443"/>
      <c r="C1154" s="443"/>
      <c r="D1154" s="443"/>
      <c r="E1154" s="443"/>
      <c r="F1154" s="443"/>
      <c r="G1154" s="443"/>
      <c r="H1154" s="443"/>
      <c r="I1154" s="443"/>
      <c r="J1154" s="443"/>
      <c r="K1154" s="443"/>
      <c r="L1154" s="440"/>
      <c r="M1154" s="440"/>
    </row>
    <row r="1155" spans="1:13" s="89" customFormat="1" ht="30" x14ac:dyDescent="0.25">
      <c r="A1155" s="99" t="s">
        <v>618</v>
      </c>
      <c r="B1155" s="100" t="s">
        <v>775</v>
      </c>
      <c r="C1155" s="87"/>
      <c r="D1155" s="109"/>
      <c r="E1155" s="109"/>
      <c r="F1155" s="109"/>
      <c r="G1155" s="109"/>
      <c r="H1155" s="109"/>
      <c r="I1155" s="109"/>
      <c r="J1155" s="109"/>
      <c r="K1155" s="109"/>
      <c r="L1155" s="109"/>
      <c r="M1155" s="109"/>
    </row>
    <row r="1156" spans="1:13" s="89" customFormat="1" ht="60" x14ac:dyDescent="0.25">
      <c r="A1156" s="13" t="s">
        <v>623</v>
      </c>
      <c r="B1156" s="70" t="s">
        <v>2574</v>
      </c>
      <c r="C1156" s="13" t="s">
        <v>8</v>
      </c>
      <c r="D1156" s="104">
        <f>IF(ISERR('[1]Дополнительное+'!F10),"-",'[1]Дополнительное+'!F10)</f>
        <v>57.865146451739726</v>
      </c>
      <c r="E1156" s="104">
        <f>IF(ISERR('[1]Дополнительное+'!G10),"-",'[1]Дополнительное+'!G10)</f>
        <v>60.509319628748948</v>
      </c>
      <c r="F1156" s="104">
        <f>IF(ISERR('[1]Дополнительное+'!H10),"-",'[1]Дополнительное+'!H10)</f>
        <v>61</v>
      </c>
      <c r="G1156" s="104">
        <f>IF(ISERR('[1]Дополнительное+'!I10),"-",'[1]Дополнительное+'!I10)</f>
        <v>55.54006028161411</v>
      </c>
      <c r="H1156" s="104">
        <f>IF(ISERR('[1]Дополнительное+'!J10),"-",'[1]Дополнительное+'!J10)</f>
        <v>72</v>
      </c>
      <c r="I1156" s="104">
        <f>IF(ISERR('[1]Дополнительное+'!K10),"-",'[1]Дополнительное+'!K10)</f>
        <v>76.13</v>
      </c>
      <c r="J1156" s="104">
        <f>IF(ISERR('[1]Дополнительное+'!L10),"-",'[1]Дополнительное+'!L10)</f>
        <v>80</v>
      </c>
      <c r="K1156" s="104">
        <f>IF(ISERR('[1]Дополнительное+'!M10),"-",'[1]Дополнительное+'!M10)</f>
        <v>97.8</v>
      </c>
      <c r="L1156" s="104">
        <f>IF(ISERR('[1]Дополнительное+'!N10),"-",'[1]Дополнительное+'!N10)</f>
        <v>98.3</v>
      </c>
      <c r="M1156" s="104">
        <f>IF(ISERR('[1]Дополнительное+'!O10),"-",'[1]Дополнительное+'!O10)</f>
        <v>87</v>
      </c>
    </row>
    <row r="1157" spans="1:13" s="89" customFormat="1" ht="30" x14ac:dyDescent="0.25">
      <c r="A1157" s="13" t="s">
        <v>628</v>
      </c>
      <c r="B1157" s="70" t="s">
        <v>1862</v>
      </c>
      <c r="C1157" s="13"/>
      <c r="D1157" s="104"/>
      <c r="E1157" s="104"/>
      <c r="F1157" s="104"/>
      <c r="G1157" s="104"/>
      <c r="H1157" s="104"/>
      <c r="I1157" s="104"/>
      <c r="J1157" s="104"/>
      <c r="K1157" s="104"/>
      <c r="L1157" s="104"/>
      <c r="M1157" s="104"/>
    </row>
    <row r="1158" spans="1:13" s="89" customFormat="1" x14ac:dyDescent="0.25">
      <c r="A1158" s="13"/>
      <c r="B1158" s="70" t="s">
        <v>1877</v>
      </c>
      <c r="C1158" s="13" t="s">
        <v>8</v>
      </c>
      <c r="D1158" s="104"/>
      <c r="E1158" s="104"/>
      <c r="F1158" s="104"/>
      <c r="G1158" s="104"/>
      <c r="H1158" s="104">
        <f>IF(ISERR('[1]Дополнительное+'!J19),"-",'[1]Дополнительное+'!J19)</f>
        <v>9.9501385704793996</v>
      </c>
      <c r="I1158" s="104">
        <f>IF(ISERR('[1]Дополнительное+'!K19),"-",'[1]Дополнительное+'!K19)</f>
        <v>11.623971507954387</v>
      </c>
      <c r="J1158" s="104">
        <f>IF(ISERR('[1]Дополнительное+'!L19),"-",'[1]Дополнительное+'!L19)</f>
        <v>11.861333128640101</v>
      </c>
      <c r="K1158" s="104">
        <f>IF(ISERR('[1]Дополнительное+'!M19),"-",'[1]Дополнительное+'!M19)</f>
        <v>0.24611162817474408</v>
      </c>
      <c r="L1158" s="104">
        <f>IF(ISERR('[1]Дополнительное+'!N19),"-",'[1]Дополнительное+'!N19)</f>
        <v>0.13</v>
      </c>
      <c r="M1158" s="104">
        <f>IF(ISERR('[1]Дополнительное+'!O19),"-",'[1]Дополнительное+'!O19)</f>
        <v>0.12</v>
      </c>
    </row>
    <row r="1159" spans="1:13" s="89" customFormat="1" x14ac:dyDescent="0.25">
      <c r="A1159" s="13"/>
      <c r="B1159" s="70" t="s">
        <v>1878</v>
      </c>
      <c r="C1159" s="13" t="s">
        <v>8</v>
      </c>
      <c r="D1159" s="104"/>
      <c r="E1159" s="104"/>
      <c r="F1159" s="104"/>
      <c r="G1159" s="104"/>
      <c r="H1159" s="104">
        <f>IF(ISERR('[1]Дополнительное+'!J20),"-",'[1]Дополнительное+'!J20)</f>
        <v>8.7915935904419289</v>
      </c>
      <c r="I1159" s="104">
        <f>IF(ISERR('[1]Дополнительное+'!K20),"-",'[1]Дополнительное+'!K20)</f>
        <v>10.574292794387411</v>
      </c>
      <c r="J1159" s="104">
        <f>IF(ISERR('[1]Дополнительное+'!L20),"-",'[1]Дополнительное+'!L20)</f>
        <v>11.611623377246429</v>
      </c>
      <c r="K1159" s="104">
        <f>IF(ISERR('[1]Дополнительное+'!M20),"-",'[1]Дополнительное+'!M20)</f>
        <v>8.9473330710701293E-2</v>
      </c>
      <c r="L1159" s="104">
        <f>IF(ISERR('[1]Дополнительное+'!N20),"-",'[1]Дополнительное+'!N20)</f>
        <v>0.08</v>
      </c>
      <c r="M1159" s="104">
        <f>IF(ISERR('[1]Дополнительное+'!O20),"-",'[1]Дополнительное+'!O20)</f>
        <v>0.09</v>
      </c>
    </row>
    <row r="1160" spans="1:13" s="89" customFormat="1" x14ac:dyDescent="0.25">
      <c r="A1160" s="13"/>
      <c r="B1160" s="70" t="s">
        <v>1879</v>
      </c>
      <c r="C1160" s="13" t="s">
        <v>8</v>
      </c>
      <c r="D1160" s="104"/>
      <c r="E1160" s="104"/>
      <c r="F1160" s="104"/>
      <c r="G1160" s="104"/>
      <c r="H1160" s="104">
        <f>IF(ISERR('[1]Дополнительное+'!J21),"-",'[1]Дополнительное+'!J21)</f>
        <v>2.0450369022464576</v>
      </c>
      <c r="I1160" s="104">
        <f>IF(ISERR('[1]Дополнительное+'!K21),"-",'[1]Дополнительное+'!K21)</f>
        <v>1.9261094841180448</v>
      </c>
      <c r="J1160" s="104">
        <f>IF(ISERR('[1]Дополнительное+'!L21),"-",'[1]Дополнительное+'!L21)</f>
        <v>2.0367776167950797</v>
      </c>
      <c r="K1160" s="104">
        <f>IF(ISERR('[1]Дополнительное+'!M21),"-",'[1]Дополнительное+'!M21)</f>
        <v>2.7825486226384321E-2</v>
      </c>
      <c r="L1160" s="104">
        <f>IF(ISERR('[1]Дополнительное+'!N21),"-",'[1]Дополнительное+'!N21)</f>
        <v>0.03</v>
      </c>
      <c r="M1160" s="104">
        <f>IF(ISERR('[1]Дополнительное+'!O21),"-",'[1]Дополнительное+'!O21)</f>
        <v>0.03</v>
      </c>
    </row>
    <row r="1161" spans="1:13" s="89" customFormat="1" x14ac:dyDescent="0.25">
      <c r="A1161" s="13"/>
      <c r="B1161" s="70" t="s">
        <v>1880</v>
      </c>
      <c r="C1161" s="13" t="s">
        <v>8</v>
      </c>
      <c r="D1161" s="104"/>
      <c r="E1161" s="104"/>
      <c r="F1161" s="104"/>
      <c r="G1161" s="104"/>
      <c r="H1161" s="104">
        <f>IF(ISERR('[1]Дополнительное+'!J22),"-",'[1]Дополнительное+'!J22)</f>
        <v>26.025810622340074</v>
      </c>
      <c r="I1161" s="104">
        <f>IF(ISERR('[1]Дополнительное+'!K22),"-",'[1]Дополнительное+'!K22)</f>
        <v>23.670335446636415</v>
      </c>
      <c r="J1161" s="104">
        <f>IF(ISERR('[1]Дополнительное+'!L22),"-",'[1]Дополнительное+'!L22)</f>
        <v>23.127536676869344</v>
      </c>
      <c r="K1161" s="104">
        <f>IF(ISERR('[1]Дополнительное+'!M22),"-",'[1]Дополнительное+'!M22)</f>
        <v>0.33846345746058853</v>
      </c>
      <c r="L1161" s="104">
        <f>IF(ISERR('[1]Дополнительное+'!N22),"-",'[1]Дополнительное+'!N22)</f>
        <v>0.15</v>
      </c>
      <c r="M1161" s="104">
        <f>IF(ISERR('[1]Дополнительное+'!O22),"-",'[1]Дополнительное+'!O22)</f>
        <v>0.23</v>
      </c>
    </row>
    <row r="1162" spans="1:13" s="89" customFormat="1" x14ac:dyDescent="0.25">
      <c r="A1162" s="13"/>
      <c r="B1162" s="70" t="s">
        <v>1876</v>
      </c>
      <c r="C1162" s="13"/>
      <c r="D1162" s="104"/>
      <c r="E1162" s="104"/>
      <c r="F1162" s="104"/>
      <c r="G1162" s="104"/>
      <c r="H1162" s="104"/>
      <c r="I1162" s="104"/>
      <c r="J1162" s="104"/>
      <c r="K1162" s="104"/>
      <c r="L1162" s="104"/>
      <c r="M1162" s="104"/>
    </row>
    <row r="1163" spans="1:13" s="89" customFormat="1" x14ac:dyDescent="0.25">
      <c r="A1163" s="13"/>
      <c r="B1163" s="70" t="s">
        <v>1881</v>
      </c>
      <c r="C1163" s="13" t="s">
        <v>8</v>
      </c>
      <c r="D1163" s="104"/>
      <c r="E1163" s="104"/>
      <c r="F1163" s="104"/>
      <c r="G1163" s="104"/>
      <c r="H1163" s="104">
        <f>IF(ISERR('[1]Дополнительное+'!J24),"-",'[1]Дополнительное+'!J24)</f>
        <v>26.287388589933141</v>
      </c>
      <c r="I1163" s="104">
        <f>IF(ISERR('[1]Дополнительное+'!K24),"-",'[1]Дополнительное+'!K24)</f>
        <v>25.445724584044026</v>
      </c>
      <c r="J1163" s="104">
        <f>IF(ISERR('[1]Дополнительное+'!L24),"-",'[1]Дополнительное+'!L24)</f>
        <v>24.865190316730793</v>
      </c>
      <c r="K1163" s="104">
        <f>IF(ISERR('[1]Дополнительное+'!M24),"-",'[1]Дополнительное+'!M24)</f>
        <v>0.37012694178716382</v>
      </c>
      <c r="L1163" s="104">
        <f>IF(ISERR('[1]Дополнительное+'!N24),"-",'[1]Дополнительное+'!N24)</f>
        <v>0.46</v>
      </c>
      <c r="M1163" s="104">
        <f>IF(ISERR('[1]Дополнительное+'!O24),"-",'[1]Дополнительное+'!O24)</f>
        <v>0.27</v>
      </c>
    </row>
    <row r="1164" spans="1:13" s="89" customFormat="1" x14ac:dyDescent="0.25">
      <c r="A1164" s="13"/>
      <c r="B1164" s="70" t="s">
        <v>1882</v>
      </c>
      <c r="C1164" s="13" t="s">
        <v>8</v>
      </c>
      <c r="D1164" s="104"/>
      <c r="E1164" s="104"/>
      <c r="F1164" s="104"/>
      <c r="G1164" s="104"/>
      <c r="H1164" s="104">
        <f>IF(ISERR('[1]Дополнительное+'!J25),"-",'[1]Дополнительное+'!J25)</f>
        <v>4.6730873981671586</v>
      </c>
      <c r="I1164" s="104">
        <f>IF(ISERR('[1]Дополнительное+'!K25),"-",'[1]Дополнительное+'!K25)</f>
        <v>4.2239243072764134</v>
      </c>
      <c r="J1164" s="104">
        <f>IF(ISERR('[1]Дополнительное+'!L25),"-",'[1]Дополнительное+'!L25)</f>
        <v>4.0829103539593747</v>
      </c>
      <c r="K1164" s="104">
        <f>IF(ISERR('[1]Дополнительное+'!M25),"-",'[1]Дополнительное+'!M25)</f>
        <v>0.10866332121165601</v>
      </c>
      <c r="L1164" s="104">
        <f>IF(ISERR('[1]Дополнительное+'!N25),"-",'[1]Дополнительное+'!N25)</f>
        <v>0.09</v>
      </c>
      <c r="M1164" s="104">
        <f>IF(ISERR('[1]Дополнительное+'!O25),"-",'[1]Дополнительное+'!O25)</f>
        <v>0.14000000000000001</v>
      </c>
    </row>
    <row r="1165" spans="1:13" s="89" customFormat="1" x14ac:dyDescent="0.25">
      <c r="A1165" s="13"/>
      <c r="B1165" s="70" t="s">
        <v>1883</v>
      </c>
      <c r="C1165" s="13"/>
      <c r="D1165" s="104"/>
      <c r="E1165" s="104"/>
      <c r="F1165" s="104"/>
      <c r="G1165" s="104"/>
      <c r="H1165" s="104"/>
      <c r="I1165" s="104"/>
      <c r="J1165" s="104"/>
      <c r="K1165" s="104"/>
      <c r="L1165" s="104"/>
      <c r="M1165" s="104"/>
    </row>
    <row r="1166" spans="1:13" s="89" customFormat="1" x14ac:dyDescent="0.25">
      <c r="A1166" s="13"/>
      <c r="B1166" s="70" t="s">
        <v>1881</v>
      </c>
      <c r="C1166" s="13" t="s">
        <v>8</v>
      </c>
      <c r="D1166" s="104"/>
      <c r="E1166" s="104"/>
      <c r="F1166" s="104"/>
      <c r="G1166" s="104"/>
      <c r="H1166" s="104">
        <f>IF(ISERR('[1]Дополнительное+'!J27),"-",'[1]Дополнительное+'!J27)</f>
        <v>19.500427982258188</v>
      </c>
      <c r="I1166" s="104">
        <f>IF(ISERR('[1]Дополнительное+'!K27),"-",'[1]Дополнительное+'!K27)</f>
        <v>19.961327626342271</v>
      </c>
      <c r="J1166" s="104">
        <f>IF(ISERR('[1]Дополнительное+'!L27),"-",'[1]Дополнительное+'!L27)</f>
        <v>19.706201245430382</v>
      </c>
      <c r="K1166" s="104">
        <f>IF(ISERR('[1]Дополнительное+'!M27),"-",'[1]Дополнительное+'!M27)</f>
        <v>0.16503391830821043</v>
      </c>
      <c r="L1166" s="104">
        <f>IF(ISERR('[1]Дополнительное+'!N27),"-",'[1]Дополнительное+'!N27)</f>
        <v>0.13</v>
      </c>
      <c r="M1166" s="104">
        <f>IF(ISERR('[1]Дополнительное+'!O27),"-",'[1]Дополнительное+'!O27)</f>
        <v>0.13</v>
      </c>
    </row>
    <row r="1167" spans="1:13" s="89" customFormat="1" x14ac:dyDescent="0.25">
      <c r="A1167" s="13"/>
      <c r="B1167" s="70" t="s">
        <v>1884</v>
      </c>
      <c r="C1167" s="13" t="s">
        <v>8</v>
      </c>
      <c r="D1167" s="104"/>
      <c r="E1167" s="104"/>
      <c r="F1167" s="104"/>
      <c r="G1167" s="104"/>
      <c r="H1167" s="104">
        <f>IF(ISERR('[1]Дополнительное+'!J28),"-",'[1]Дополнительное+'!J28)</f>
        <v>2.7265163441336502</v>
      </c>
      <c r="I1167" s="104">
        <f>IF(ISERR('[1]Дополнительное+'!K28),"-",'[1]Дополнительное+'!K28)</f>
        <v>2.5743142492410347</v>
      </c>
      <c r="J1167" s="104">
        <f>IF(ISERR('[1]Дополнительное+'!L28),"-",'[1]Дополнительное+'!L28)</f>
        <v>2.708427284328494</v>
      </c>
      <c r="K1167" s="104">
        <f>IF(ISERR('[1]Дополнительное+'!M28),"-",'[1]Дополнительное+'!M28)</f>
        <v>0</v>
      </c>
      <c r="L1167" s="104">
        <f>IF(ISERR('[1]Дополнительное+'!N28),"-",'[1]Дополнительное+'!N28)</f>
        <v>0</v>
      </c>
      <c r="M1167" s="104">
        <f>IF(ISERR('[1]Дополнительное+'!O28),"-",'[1]Дополнительное+'!O28)</f>
        <v>0</v>
      </c>
    </row>
    <row r="1168" spans="1:13" s="89" customFormat="1" ht="60" x14ac:dyDescent="0.25">
      <c r="A1168" s="13" t="s">
        <v>2575</v>
      </c>
      <c r="B1168" s="70" t="s">
        <v>2320</v>
      </c>
      <c r="C1168" s="13" t="s">
        <v>8</v>
      </c>
      <c r="D1168" s="104"/>
      <c r="E1168" s="104"/>
      <c r="F1168" s="104"/>
      <c r="G1168" s="104"/>
      <c r="H1168" s="104">
        <f>IF(ISERR('[1]Дополнительное+'!J40),"-",'[1]Дополнительное+'!J40)</f>
        <v>45.044517084055023</v>
      </c>
      <c r="I1168" s="104">
        <f>IF(ISERR('[1]Дополнительное+'!K40),"-",'[1]Дополнительное+'!K40)</f>
        <v>51.396518752207754</v>
      </c>
      <c r="J1168" s="104">
        <f>IF(ISERR('[1]Дополнительное+'!L40),"-",'[1]Дополнительное+'!L40)</f>
        <v>52.352620865325925</v>
      </c>
      <c r="K1168" s="104">
        <f>IF(ISERR('[1]Дополнительное+'!M40),"-",'[1]Дополнительное+'!M40)</f>
        <v>0</v>
      </c>
      <c r="L1168" s="104" t="str">
        <f>IF(ISERR('[1]Дополнительное+'!N40),"-",'[1]Дополнительное+'!N40)</f>
        <v>-</v>
      </c>
      <c r="M1168" s="104" t="str">
        <f>IF(ISERR('[1]Дополнительное+'!O40),"-",'[1]Дополнительное+'!O40)</f>
        <v>-</v>
      </c>
    </row>
    <row r="1169" spans="1:13" s="89" customFormat="1" hidden="1" x14ac:dyDescent="0.25">
      <c r="A1169" s="13"/>
      <c r="B1169" s="70" t="s">
        <v>1877</v>
      </c>
      <c r="C1169" s="13" t="s">
        <v>8</v>
      </c>
      <c r="D1169" s="104"/>
      <c r="E1169" s="104"/>
      <c r="F1169" s="104"/>
      <c r="G1169" s="104"/>
      <c r="H1169" s="104">
        <f>IF(ISERR('[1]Дополнительное+'!J41),"-",'[1]Дополнительное+'!J41)</f>
        <v>19.865878280934528</v>
      </c>
      <c r="I1169" s="104">
        <f>IF(ISERR('[1]Дополнительное+'!K41),"-",'[1]Дополнительное+'!K41)</f>
        <v>23.695776255707763</v>
      </c>
      <c r="J1169" s="104">
        <f>IF(ISERR('[1]Дополнительное+'!L41),"-",'[1]Дополнительное+'!L41)</f>
        <v>27.620915707427862</v>
      </c>
      <c r="K1169" s="104">
        <f>IF(ISERR('[1]Дополнительное+'!M41),"-",'[1]Дополнительное+'!M41)</f>
        <v>0</v>
      </c>
      <c r="L1169" s="104">
        <f>IF(ISERR('[1]Дополнительное+'!O41),"-",'[1]Дополнительное+'!O41)</f>
        <v>0</v>
      </c>
      <c r="M1169" s="104">
        <f>IF(ISERR('[1]Дополнительное+'!P41),"-",'[1]Дополнительное+'!P41)</f>
        <v>0</v>
      </c>
    </row>
    <row r="1170" spans="1:13" s="89" customFormat="1" hidden="1" x14ac:dyDescent="0.25">
      <c r="A1170" s="13"/>
      <c r="B1170" s="70" t="s">
        <v>1878</v>
      </c>
      <c r="C1170" s="13" t="s">
        <v>8</v>
      </c>
      <c r="D1170" s="104"/>
      <c r="E1170" s="104"/>
      <c r="F1170" s="104"/>
      <c r="G1170" s="104"/>
      <c r="H1170" s="104">
        <f>IF(ISERR('[1]Дополнительное+'!J42),"-",'[1]Дополнительное+'!J42)</f>
        <v>63.603453077137281</v>
      </c>
      <c r="I1170" s="104">
        <f>IF(ISERR('[1]Дополнительное+'!K42),"-",'[1]Дополнительное+'!K42)</f>
        <v>92.149122807017548</v>
      </c>
      <c r="J1170" s="104">
        <f>IF(ISERR('[1]Дополнительное+'!L42),"-",'[1]Дополнительное+'!L42)</f>
        <v>79.75120683252878</v>
      </c>
      <c r="K1170" s="104">
        <f>IF(ISERR('[1]Дополнительное+'!M42),"-",'[1]Дополнительное+'!M42)</f>
        <v>0</v>
      </c>
      <c r="L1170" s="104">
        <f>IF(ISERR('[1]Дополнительное+'!O42),"-",'[1]Дополнительное+'!O42)</f>
        <v>0</v>
      </c>
      <c r="M1170" s="104">
        <f>IF(ISERR('[1]Дополнительное+'!P42),"-",'[1]Дополнительное+'!P42)</f>
        <v>0</v>
      </c>
    </row>
    <row r="1171" spans="1:13" s="89" customFormat="1" hidden="1" x14ac:dyDescent="0.25">
      <c r="A1171" s="13"/>
      <c r="B1171" s="70" t="s">
        <v>1879</v>
      </c>
      <c r="C1171" s="13" t="s">
        <v>8</v>
      </c>
      <c r="D1171" s="104"/>
      <c r="E1171" s="104"/>
      <c r="F1171" s="104"/>
      <c r="G1171" s="104"/>
      <c r="H1171" s="104">
        <f>IF(ISERR('[1]Дополнительное+'!J43),"-",'[1]Дополнительное+'!J43)</f>
        <v>4.6882181706756549</v>
      </c>
      <c r="I1171" s="104">
        <f>IF(ISERR('[1]Дополнительное+'!K43),"-",'[1]Дополнительное+'!K43)</f>
        <v>4.6786182772190639</v>
      </c>
      <c r="J1171" s="104">
        <f>IF(ISERR('[1]Дополнительное+'!L43),"-",'[1]Дополнительное+'!L43)</f>
        <v>8.2483426823049459</v>
      </c>
      <c r="K1171" s="104">
        <f>IF(ISERR('[1]Дополнительное+'!M43),"-",'[1]Дополнительное+'!M43)</f>
        <v>0</v>
      </c>
      <c r="L1171" s="104">
        <f>IF(ISERR('[1]Дополнительное+'!O43),"-",'[1]Дополнительное+'!O43)</f>
        <v>0</v>
      </c>
      <c r="M1171" s="104">
        <f>IF(ISERR('[1]Дополнительное+'!P43),"-",'[1]Дополнительное+'!P43)</f>
        <v>0</v>
      </c>
    </row>
    <row r="1172" spans="1:13" s="89" customFormat="1" hidden="1" x14ac:dyDescent="0.25">
      <c r="A1172" s="13"/>
      <c r="B1172" s="70" t="s">
        <v>1880</v>
      </c>
      <c r="C1172" s="13" t="s">
        <v>8</v>
      </c>
      <c r="D1172" s="104"/>
      <c r="E1172" s="104"/>
      <c r="F1172" s="104"/>
      <c r="G1172" s="104"/>
      <c r="H1172" s="104">
        <f>IF(ISERR('[1]Дополнительное+'!J44),"-",'[1]Дополнительное+'!J44)</f>
        <v>107.31178181471415</v>
      </c>
      <c r="I1172" s="104">
        <f>IF(ISERR('[1]Дополнительное+'!K44),"-",'[1]Дополнительное+'!K44)</f>
        <v>121.58871230950767</v>
      </c>
      <c r="J1172" s="104">
        <f>IF(ISERR('[1]Дополнительное+'!L44),"-",'[1]Дополнительное+'!L44)</f>
        <v>124.72263658400149</v>
      </c>
      <c r="K1172" s="104">
        <f>IF(ISERR('[1]Дополнительное+'!M44),"-",'[1]Дополнительное+'!M44)</f>
        <v>0</v>
      </c>
      <c r="L1172" s="104">
        <f>IF(ISERR('[1]Дополнительное+'!O44),"-",'[1]Дополнительное+'!O44)</f>
        <v>0</v>
      </c>
      <c r="M1172" s="104">
        <f>IF(ISERR('[1]Дополнительное+'!P44),"-",'[1]Дополнительное+'!P44)</f>
        <v>0</v>
      </c>
    </row>
    <row r="1173" spans="1:13" s="89" customFormat="1" hidden="1" x14ac:dyDescent="0.25">
      <c r="A1173" s="13"/>
      <c r="B1173" s="70" t="s">
        <v>1876</v>
      </c>
      <c r="C1173" s="13" t="s">
        <v>8</v>
      </c>
      <c r="D1173" s="104"/>
      <c r="E1173" s="104"/>
      <c r="F1173" s="104"/>
      <c r="G1173" s="104"/>
      <c r="H1173" s="104"/>
      <c r="I1173" s="104"/>
      <c r="J1173" s="104"/>
      <c r="K1173" s="104"/>
      <c r="L1173" s="104"/>
      <c r="M1173" s="104"/>
    </row>
    <row r="1174" spans="1:13" s="89" customFormat="1" hidden="1" x14ac:dyDescent="0.25">
      <c r="A1174" s="13"/>
      <c r="B1174" s="70" t="s">
        <v>1881</v>
      </c>
      <c r="C1174" s="13" t="s">
        <v>8</v>
      </c>
      <c r="D1174" s="104"/>
      <c r="E1174" s="104"/>
      <c r="F1174" s="104"/>
      <c r="G1174" s="104"/>
      <c r="H1174" s="104">
        <f>IF(ISERR('[1]Дополнительное+'!J46),"-",'[1]Дополнительное+'!J46)</f>
        <v>36.990766735292283</v>
      </c>
      <c r="I1174" s="104">
        <f>IF(ISERR('[1]Дополнительное+'!K46),"-",'[1]Дополнительное+'!K46)</f>
        <v>42.504618434688574</v>
      </c>
      <c r="J1174" s="104">
        <f>IF(ISERR('[1]Дополнительное+'!L46),"-",'[1]Дополнительное+'!L46)</f>
        <v>45.00804364552004</v>
      </c>
      <c r="K1174" s="104">
        <f>IF(ISERR('[1]Дополнительное+'!M46),"-",'[1]Дополнительное+'!M46)</f>
        <v>0</v>
      </c>
      <c r="L1174" s="104">
        <f>IF(ISERR('[1]Дополнительное+'!O46),"-",'[1]Дополнительное+'!O46)</f>
        <v>0</v>
      </c>
      <c r="M1174" s="104">
        <f>IF(ISERR('[1]Дополнительное+'!P46),"-",'[1]Дополнительное+'!P46)</f>
        <v>0</v>
      </c>
    </row>
    <row r="1175" spans="1:13" s="89" customFormat="1" hidden="1" x14ac:dyDescent="0.25">
      <c r="A1175" s="13"/>
      <c r="B1175" s="70" t="s">
        <v>1882</v>
      </c>
      <c r="C1175" s="13" t="s">
        <v>8</v>
      </c>
      <c r="D1175" s="104"/>
      <c r="E1175" s="104"/>
      <c r="F1175" s="104"/>
      <c r="G1175" s="104"/>
      <c r="H1175" s="104">
        <f>IF(ISERR('[1]Дополнительное+'!J47),"-",'[1]Дополнительное+'!J47)</f>
        <v>2.259479992140939</v>
      </c>
      <c r="I1175" s="104">
        <f>IF(ISERR('[1]Дополнительное+'!K47),"-",'[1]Дополнительное+'!K47)</f>
        <v>0.76775431861804222</v>
      </c>
      <c r="J1175" s="104">
        <f>IF(ISERR('[1]Дополнительное+'!L47),"-",'[1]Дополнительное+'!L47)</f>
        <v>4.7022864868042087E-2</v>
      </c>
      <c r="K1175" s="104">
        <f>IF(ISERR('[1]Дополнительное+'!M47),"-",'[1]Дополнительное+'!M47)</f>
        <v>0</v>
      </c>
      <c r="L1175" s="104">
        <f>IF(ISERR('[1]Дополнительное+'!O47),"-",'[1]Дополнительное+'!O47)</f>
        <v>0</v>
      </c>
      <c r="M1175" s="104">
        <f>IF(ISERR('[1]Дополнительное+'!P47),"-",'[1]Дополнительное+'!P47)</f>
        <v>0</v>
      </c>
    </row>
    <row r="1176" spans="1:13" s="89" customFormat="1" hidden="1" x14ac:dyDescent="0.25">
      <c r="A1176" s="13"/>
      <c r="B1176" s="70" t="s">
        <v>1883</v>
      </c>
      <c r="C1176" s="13" t="s">
        <v>8</v>
      </c>
      <c r="D1176" s="104"/>
      <c r="E1176" s="104"/>
      <c r="F1176" s="104"/>
      <c r="G1176" s="104"/>
      <c r="H1176" s="104"/>
      <c r="I1176" s="104"/>
      <c r="J1176" s="104"/>
      <c r="K1176" s="104"/>
      <c r="L1176" s="104"/>
      <c r="M1176" s="104"/>
    </row>
    <row r="1177" spans="1:13" s="89" customFormat="1" hidden="1" x14ac:dyDescent="0.25">
      <c r="A1177" s="13"/>
      <c r="B1177" s="70" t="s">
        <v>1881</v>
      </c>
      <c r="C1177" s="13" t="s">
        <v>8</v>
      </c>
      <c r="D1177" s="104"/>
      <c r="E1177" s="104"/>
      <c r="F1177" s="104"/>
      <c r="G1177" s="104"/>
      <c r="H1177" s="104">
        <f>IF(ISERR('[1]Дополнительное+'!J49),"-",'[1]Дополнительное+'!J49)</f>
        <v>35.05513639001741</v>
      </c>
      <c r="I1177" s="104">
        <f>IF(ISERR('[1]Дополнительное+'!K49),"-",'[1]Дополнительное+'!K49)</f>
        <v>39.457018661470435</v>
      </c>
      <c r="J1177" s="104">
        <f>IF(ISERR('[1]Дополнительное+'!L49),"-",'[1]Дополнительное+'!L49)</f>
        <v>41.616962592656435</v>
      </c>
      <c r="K1177" s="104" t="str">
        <f>IF(ISERR('[1]Дополнительное+'!M49),"-",'[1]Дополнительное+'!M49)</f>
        <v>-</v>
      </c>
      <c r="L1177" s="104">
        <f>IF(ISERR('[1]Дополнительное+'!O49),"-",'[1]Дополнительное+'!O49)</f>
        <v>0</v>
      </c>
      <c r="M1177" s="104">
        <f>IF(ISERR('[1]Дополнительное+'!P49),"-",'[1]Дополнительное+'!P49)</f>
        <v>0</v>
      </c>
    </row>
    <row r="1178" spans="1:13" s="89" customFormat="1" hidden="1" x14ac:dyDescent="0.25">
      <c r="A1178" s="13"/>
      <c r="B1178" s="70" t="s">
        <v>1884</v>
      </c>
      <c r="C1178" s="13" t="s">
        <v>8</v>
      </c>
      <c r="D1178" s="104"/>
      <c r="E1178" s="104"/>
      <c r="F1178" s="104"/>
      <c r="G1178" s="104"/>
      <c r="H1178" s="104">
        <f>IF(ISERR('[1]Дополнительное+'!J50),"-",'[1]Дополнительное+'!J50)</f>
        <v>6.325863678804855</v>
      </c>
      <c r="I1178" s="104">
        <f>IF(ISERR('[1]Дополнительное+'!K50),"-",'[1]Дополнительное+'!K50)</f>
        <v>13.517029328287606</v>
      </c>
      <c r="J1178" s="104">
        <f>IF(ISERR('[1]Дополнительное+'!L50),"-",'[1]Дополнительное+'!L50)</f>
        <v>5.5332274044303205</v>
      </c>
      <c r="K1178" s="104" t="str">
        <f>IF(ISERR('[1]Дополнительное+'!M50),"-",'[1]Дополнительное+'!M50)</f>
        <v>-</v>
      </c>
      <c r="L1178" s="104">
        <f>IF(ISERR('[1]Дополнительное+'!O50),"-",'[1]Дополнительное+'!O50)</f>
        <v>0</v>
      </c>
      <c r="M1178" s="104">
        <f>IF(ISERR('[1]Дополнительное+'!P50),"-",'[1]Дополнительное+'!P50)</f>
        <v>0</v>
      </c>
    </row>
    <row r="1179" spans="1:13" s="89" customFormat="1" ht="75" hidden="1" customHeight="1" x14ac:dyDescent="0.25">
      <c r="A1179" s="13" t="s">
        <v>1866</v>
      </c>
      <c r="B1179" s="70" t="s">
        <v>1867</v>
      </c>
      <c r="C1179" s="13" t="s">
        <v>8</v>
      </c>
      <c r="D1179" s="104"/>
      <c r="E1179" s="104"/>
      <c r="F1179" s="104"/>
      <c r="G1179" s="104"/>
      <c r="H1179" s="104">
        <f>IF(ISERR('[1]Дополнительное+'!J75),"-",'[1]Дополнительное+'!J75)</f>
        <v>1.2869396574944781E-2</v>
      </c>
      <c r="I1179" s="104">
        <f>IF(ISERR('[1]Дополнительное+'!K75),"-",'[1]Дополнительное+'!K75)</f>
        <v>1.1531983823040368E-2</v>
      </c>
      <c r="J1179" s="104">
        <f>IF(ISERR('[1]Дополнительное+'!L75),"-",'[1]Дополнительное+'!L75)</f>
        <v>1.0314619894263152E-2</v>
      </c>
      <c r="K1179" s="104" t="str">
        <f>IF(ISERR('[1]Дополнительное+'!M75),"-",'[1]Дополнительное+'!M75)</f>
        <v>-</v>
      </c>
      <c r="L1179" s="104">
        <f>IF(ISERR('[1]Дополнительное+'!O75),"-",'[1]Дополнительное+'!O75)</f>
        <v>0</v>
      </c>
      <c r="M1179" s="104">
        <f>IF(ISERR('[1]Дополнительное+'!P75),"-",'[1]Дополнительное+'!P75)</f>
        <v>0</v>
      </c>
    </row>
    <row r="1180" spans="1:13" s="89" customFormat="1" ht="90" hidden="1" customHeight="1" x14ac:dyDescent="0.25">
      <c r="A1180" s="13" t="s">
        <v>1868</v>
      </c>
      <c r="B1180" s="70" t="s">
        <v>1869</v>
      </c>
      <c r="C1180" s="13" t="s">
        <v>8</v>
      </c>
      <c r="D1180" s="104"/>
      <c r="E1180" s="104"/>
      <c r="F1180" s="104"/>
      <c r="G1180" s="104"/>
      <c r="H1180" s="104">
        <f>IF(ISERR('[1]Дополнительное+'!J78),"-",'[1]Дополнительное+'!J78)</f>
        <v>31.055649665096404</v>
      </c>
      <c r="I1180" s="104">
        <f>IF(ISERR('[1]Дополнительное+'!K78),"-",'[1]Дополнительное+'!K78)</f>
        <v>27.828286079018227</v>
      </c>
      <c r="J1180" s="104">
        <f>IF(ISERR('[1]Дополнительное+'!L78),"-",'[1]Дополнительное+'!L78)</f>
        <v>24.89061705414456</v>
      </c>
      <c r="K1180" s="104" t="str">
        <f>IF(ISERR('[1]Дополнительное+'!M78),"-",'[1]Дополнительное+'!M78)</f>
        <v>-</v>
      </c>
      <c r="L1180" s="104">
        <f>IF(ISERR('[1]Дополнительное+'!O78),"-",'[1]Дополнительное+'!O78)</f>
        <v>0</v>
      </c>
      <c r="M1180" s="104">
        <f>IF(ISERR('[1]Дополнительное+'!P78),"-",'[1]Дополнительное+'!P78)</f>
        <v>0</v>
      </c>
    </row>
    <row r="1181" spans="1:13" s="89" customFormat="1" ht="30" x14ac:dyDescent="0.25">
      <c r="A1181" s="99" t="s">
        <v>630</v>
      </c>
      <c r="B1181" s="100" t="s">
        <v>2576</v>
      </c>
      <c r="C1181" s="13"/>
      <c r="D1181" s="109"/>
      <c r="E1181" s="109"/>
      <c r="F1181" s="109"/>
      <c r="G1181" s="109"/>
      <c r="H1181" s="109"/>
      <c r="I1181" s="109"/>
      <c r="J1181" s="109"/>
      <c r="K1181" s="109"/>
      <c r="L1181" s="109"/>
      <c r="M1181" s="109"/>
    </row>
    <row r="1182" spans="1:13" s="89" customFormat="1" ht="90" hidden="1" x14ac:dyDescent="0.25">
      <c r="A1182" s="13" t="s">
        <v>790</v>
      </c>
      <c r="B1182" s="70" t="s">
        <v>789</v>
      </c>
      <c r="C1182" s="13"/>
      <c r="D1182" s="104"/>
      <c r="E1182" s="104"/>
      <c r="F1182" s="104"/>
      <c r="G1182" s="104"/>
      <c r="H1182" s="104"/>
      <c r="I1182" s="104"/>
      <c r="J1182" s="104"/>
      <c r="K1182" s="104"/>
      <c r="L1182" s="104"/>
      <c r="M1182" s="104"/>
    </row>
    <row r="1183" spans="1:13" s="89" customFormat="1" hidden="1" x14ac:dyDescent="0.25">
      <c r="A1183" s="13"/>
      <c r="B1183" s="70" t="s">
        <v>1411</v>
      </c>
      <c r="C1183" s="13"/>
      <c r="D1183" s="104" t="str">
        <f>IF(ISERR('[1]Дополнительное+'!F83),"-",'[1]Дополнительное+'!F83)</f>
        <v>-</v>
      </c>
      <c r="E1183" s="104">
        <f>IF(ISERR('[1]Дополнительное+'!G83),"-",'[1]Дополнительное+'!G83)</f>
        <v>49.073163444420928</v>
      </c>
      <c r="F1183" s="104">
        <f>IF(ISERR('[1]Дополнительное+'!H83),"-",'[1]Дополнительное+'!H83)</f>
        <v>49.460195617184596</v>
      </c>
      <c r="G1183" s="104">
        <f>IF(ISERR('[1]Дополнительное+'!I83),"-",'[1]Дополнительное+'!I83)</f>
        <v>50.48</v>
      </c>
      <c r="H1183" s="104" t="str">
        <f>IF(ISERR('[1]Дополнительное+'!J83),"-",'[1]Дополнительное+'!J83)</f>
        <v>-</v>
      </c>
      <c r="I1183" s="104" t="str">
        <f>IF(ISERR('[1]Дополнительное+'!K83),"-",'[1]Дополнительное+'!K83)</f>
        <v>-</v>
      </c>
      <c r="J1183" s="104" t="str">
        <f>IF(ISERR('[1]Дополнительное+'!L83),"-",'[1]Дополнительное+'!L83)</f>
        <v>-</v>
      </c>
      <c r="K1183" s="104" t="str">
        <f>IF(ISERR('[1]Дополнительное+'!M83),"-",'[1]Дополнительное+'!M83)</f>
        <v>-</v>
      </c>
      <c r="L1183" s="104">
        <f>IF(ISERR('[1]Дополнительное+'!O83),"-",'[1]Дополнительное+'!O83)</f>
        <v>0</v>
      </c>
      <c r="M1183" s="104">
        <f>IF(ISERR('[1]Дополнительное+'!P83),"-",'[1]Дополнительное+'!P83)</f>
        <v>0</v>
      </c>
    </row>
    <row r="1184" spans="1:13" s="89" customFormat="1" hidden="1" x14ac:dyDescent="0.25">
      <c r="A1184" s="13"/>
      <c r="B1184" s="70" t="s">
        <v>1349</v>
      </c>
      <c r="C1184" s="13" t="s">
        <v>8</v>
      </c>
      <c r="D1184" s="104">
        <f>IF(ISERR('[1]Дополнительное+'!F84),"-",'[1]Дополнительное+'!F84)</f>
        <v>80.060529450373139</v>
      </c>
      <c r="E1184" s="104">
        <f>IF(ISERR('[1]Дополнительное+'!G84),"-",'[1]Дополнительное+'!G84)</f>
        <v>40.81691087679112</v>
      </c>
      <c r="F1184" s="104">
        <f>IF(ISERR('[1]Дополнительное+'!H84),"-",'[1]Дополнительное+'!H84)</f>
        <v>39.706574223102635</v>
      </c>
      <c r="G1184" s="104">
        <f>IF(ISERR('[1]Дополнительное+'!I84),"-",'[1]Дополнительное+'!I84)</f>
        <v>43.89</v>
      </c>
      <c r="H1184" s="104">
        <f>IF(ISERR('[1]Дополнительное+'!J84),"-",'[1]Дополнительное+'!J84)</f>
        <v>0</v>
      </c>
      <c r="I1184" s="104">
        <f>IF(ISERR('[1]Дополнительное+'!K84),"-",'[1]Дополнительное+'!K84)</f>
        <v>0</v>
      </c>
      <c r="J1184" s="104">
        <f>IF(ISERR('[1]Дополнительное+'!L84),"-",'[1]Дополнительное+'!L84)</f>
        <v>0</v>
      </c>
      <c r="K1184" s="104">
        <f>IF(ISERR('[1]Дополнительное+'!M84),"-",'[1]Дополнительное+'!M84)</f>
        <v>0</v>
      </c>
      <c r="L1184" s="104">
        <f>IF(ISERR('[1]Дополнительное+'!O84),"-",'[1]Дополнительное+'!O84)</f>
        <v>0</v>
      </c>
      <c r="M1184" s="104">
        <f>IF(ISERR('[1]Дополнительное+'!P84),"-",'[1]Дополнительное+'!P84)</f>
        <v>0</v>
      </c>
    </row>
    <row r="1185" spans="1:13" s="89" customFormat="1" hidden="1" x14ac:dyDescent="0.25">
      <c r="A1185" s="13"/>
      <c r="B1185" s="70" t="s">
        <v>1350</v>
      </c>
      <c r="C1185" s="13" t="s">
        <v>8</v>
      </c>
      <c r="D1185" s="104">
        <f>IF(ISERR('[1]Дополнительное+'!F85),"-",'[1]Дополнительное+'!F85)</f>
        <v>3.9368451758757326</v>
      </c>
      <c r="E1185" s="104">
        <f>IF(ISERR('[1]Дополнительное+'!G85),"-",'[1]Дополнительное+'!G85)</f>
        <v>3.3033724650491121</v>
      </c>
      <c r="F1185" s="104">
        <f>IF(ISERR('[1]Дополнительное+'!H85),"-",'[1]Дополнительное+'!H85)</f>
        <v>4.3493871486938218</v>
      </c>
      <c r="G1185" s="104">
        <f>IF(ISERR('[1]Дополнительное+'!I85),"-",'[1]Дополнительное+'!I85)</f>
        <v>2.86</v>
      </c>
      <c r="H1185" s="104">
        <f>IF(ISERR('[1]Дополнительное+'!J85),"-",'[1]Дополнительное+'!J85)</f>
        <v>0</v>
      </c>
      <c r="I1185" s="104">
        <f>IF(ISERR('[1]Дополнительное+'!K85),"-",'[1]Дополнительное+'!K85)</f>
        <v>0</v>
      </c>
      <c r="J1185" s="104">
        <f>IF(ISERR('[1]Дополнительное+'!L85),"-",'[1]Дополнительное+'!L85)</f>
        <v>0</v>
      </c>
      <c r="K1185" s="104">
        <f>IF(ISERR('[1]Дополнительное+'!M85),"-",'[1]Дополнительное+'!M85)</f>
        <v>0</v>
      </c>
      <c r="L1185" s="104">
        <f>IF(ISERR('[1]Дополнительное+'!O85),"-",'[1]Дополнительное+'!O85)</f>
        <v>0</v>
      </c>
      <c r="M1185" s="104">
        <f>IF(ISERR('[1]Дополнительное+'!P85),"-",'[1]Дополнительное+'!P85)</f>
        <v>0</v>
      </c>
    </row>
    <row r="1186" spans="1:13" s="89" customFormat="1" hidden="1" x14ac:dyDescent="0.25">
      <c r="A1186" s="13"/>
      <c r="B1186" s="70" t="s">
        <v>1351</v>
      </c>
      <c r="C1186" s="13" t="s">
        <v>8</v>
      </c>
      <c r="D1186" s="104">
        <f>IF(ISERR('[1]Дополнительное+'!F86),"-",'[1]Дополнительное+'!F86)</f>
        <v>2.7177480127379248</v>
      </c>
      <c r="E1186" s="104">
        <f>IF(ISERR('[1]Дополнительное+'!G86),"-",'[1]Дополнительное+'!G86)</f>
        <v>0.42202497292317648</v>
      </c>
      <c r="F1186" s="104">
        <f>IF(ISERR('[1]Дополнительное+'!H86),"-",'[1]Дополнительное+'!H86)</f>
        <v>0.42466262226074036</v>
      </c>
      <c r="G1186" s="104">
        <f>IF(ISERR('[1]Дополнительное+'!I86),"-",'[1]Дополнительное+'!I86)</f>
        <v>0.36</v>
      </c>
      <c r="H1186" s="104">
        <f>IF(ISERR('[1]Дополнительное+'!J86),"-",'[1]Дополнительное+'!J86)</f>
        <v>0</v>
      </c>
      <c r="I1186" s="104">
        <f>IF(ISERR('[1]Дополнительное+'!K86),"-",'[1]Дополнительное+'!K86)</f>
        <v>0</v>
      </c>
      <c r="J1186" s="104">
        <f>IF(ISERR('[1]Дополнительное+'!L86),"-",'[1]Дополнительное+'!L86)</f>
        <v>0</v>
      </c>
      <c r="K1186" s="104">
        <f>IF(ISERR('[1]Дополнительное+'!M86),"-",'[1]Дополнительное+'!M86)</f>
        <v>0</v>
      </c>
      <c r="L1186" s="104">
        <f>IF(ISERR('[1]Дополнительное+'!O86),"-",'[1]Дополнительное+'!O86)</f>
        <v>0</v>
      </c>
      <c r="M1186" s="104">
        <f>IF(ISERR('[1]Дополнительное+'!P86),"-",'[1]Дополнительное+'!P86)</f>
        <v>0</v>
      </c>
    </row>
    <row r="1187" spans="1:13" s="89" customFormat="1" hidden="1" x14ac:dyDescent="0.25">
      <c r="A1187" s="13"/>
      <c r="B1187" s="70" t="s">
        <v>1352</v>
      </c>
      <c r="C1187" s="13" t="s">
        <v>8</v>
      </c>
      <c r="D1187" s="104">
        <f>IF(ISERR('[1]Дополнительное+'!F87),"-",'[1]Дополнительное+'!F87)</f>
        <v>0.72927048642341452</v>
      </c>
      <c r="E1187" s="104">
        <f>IF(ISERR('[1]Дополнительное+'!G87),"-",'[1]Дополнительное+'!G87)</f>
        <v>0.38841236446026867</v>
      </c>
      <c r="F1187" s="104">
        <f>IF(ISERR('[1]Дополнительное+'!H87),"-",'[1]Дополнительное+'!H87)</f>
        <v>0.40299616194131488</v>
      </c>
      <c r="G1187" s="104">
        <f>IF(ISERR('[1]Дополнительное+'!I87),"-",'[1]Дополнительное+'!I87)</f>
        <v>0</v>
      </c>
      <c r="H1187" s="104">
        <f>IF(ISERR('[1]Дополнительное+'!J87),"-",'[1]Дополнительное+'!J87)</f>
        <v>0</v>
      </c>
      <c r="I1187" s="104">
        <f>IF(ISERR('[1]Дополнительное+'!K87),"-",'[1]Дополнительное+'!K87)</f>
        <v>0</v>
      </c>
      <c r="J1187" s="104">
        <f>IF(ISERR('[1]Дополнительное+'!L87),"-",'[1]Дополнительное+'!L87)</f>
        <v>0</v>
      </c>
      <c r="K1187" s="104">
        <f>IF(ISERR('[1]Дополнительное+'!M87),"-",'[1]Дополнительное+'!M87)</f>
        <v>0</v>
      </c>
      <c r="L1187" s="104">
        <f>IF(ISERR('[1]Дополнительное+'!O87),"-",'[1]Дополнительное+'!O87)</f>
        <v>0</v>
      </c>
      <c r="M1187" s="104">
        <f>IF(ISERR('[1]Дополнительное+'!P87),"-",'[1]Дополнительное+'!P87)</f>
        <v>0</v>
      </c>
    </row>
    <row r="1188" spans="1:13" s="89" customFormat="1" hidden="1" x14ac:dyDescent="0.25">
      <c r="A1188" s="13"/>
      <c r="B1188" s="70" t="s">
        <v>1353</v>
      </c>
      <c r="C1188" s="13" t="s">
        <v>8</v>
      </c>
      <c r="D1188" s="104">
        <f>IF(ISERR('[1]Дополнительное+'!F88),"-",'[1]Дополнительное+'!F88)</f>
        <v>2.5694630138318302</v>
      </c>
      <c r="E1188" s="104">
        <f>IF(ISERR('[1]Дополнительное+'!G88),"-",'[1]Дополнительное+'!G88)</f>
        <v>1.3513513513513513</v>
      </c>
      <c r="F1188" s="104">
        <f>IF(ISERR('[1]Дополнительное+'!H88),"-",'[1]Дополнительное+'!H88)</f>
        <v>1.3067970781230656</v>
      </c>
      <c r="G1188" s="104">
        <f>IF(ISERR('[1]Дополнительное+'!I88),"-",'[1]Дополнительное+'!I88)</f>
        <v>0</v>
      </c>
      <c r="H1188" s="104">
        <f>IF(ISERR('[1]Дополнительное+'!J88),"-",'[1]Дополнительное+'!J88)</f>
        <v>0</v>
      </c>
      <c r="I1188" s="104">
        <f>IF(ISERR('[1]Дополнительное+'!K88),"-",'[1]Дополнительное+'!K88)</f>
        <v>0</v>
      </c>
      <c r="J1188" s="104">
        <f>IF(ISERR('[1]Дополнительное+'!L88),"-",'[1]Дополнительное+'!L88)</f>
        <v>0</v>
      </c>
      <c r="K1188" s="104">
        <f>IF(ISERR('[1]Дополнительное+'!M88),"-",'[1]Дополнительное+'!M88)</f>
        <v>0</v>
      </c>
      <c r="L1188" s="104">
        <f>IF(ISERR('[1]Дополнительное+'!O88),"-",'[1]Дополнительное+'!O88)</f>
        <v>0</v>
      </c>
      <c r="M1188" s="104">
        <f>IF(ISERR('[1]Дополнительное+'!P88),"-",'[1]Дополнительное+'!P88)</f>
        <v>0</v>
      </c>
    </row>
    <row r="1189" spans="1:13" s="89" customFormat="1" hidden="1" x14ac:dyDescent="0.25">
      <c r="A1189" s="13"/>
      <c r="B1189" s="70" t="s">
        <v>1354</v>
      </c>
      <c r="C1189" s="13" t="s">
        <v>8</v>
      </c>
      <c r="D1189" s="104">
        <f>IF(ISERR('[1]Дополнительное+'!F89),"-",'[1]Дополнительное+'!F89)</f>
        <v>6.8332644577873927</v>
      </c>
      <c r="E1189" s="104">
        <f>IF(ISERR('[1]Дополнительное+'!G89),"-",'[1]Дополнительное+'!G89)</f>
        <v>1.0457255966238002</v>
      </c>
      <c r="F1189" s="104">
        <f>IF(ISERR('[1]Дополнительное+'!H89),"-",'[1]Дополнительное+'!H89)</f>
        <v>0.35966324130246374</v>
      </c>
      <c r="G1189" s="104">
        <f>IF(ISERR('[1]Дополнительное+'!I89),"-",'[1]Дополнительное+'!I89)</f>
        <v>0.25</v>
      </c>
      <c r="H1189" s="104">
        <f>IF(ISERR('[1]Дополнительное+'!J89),"-",'[1]Дополнительное+'!J89)</f>
        <v>0</v>
      </c>
      <c r="I1189" s="104">
        <f>IF(ISERR('[1]Дополнительное+'!K89),"-",'[1]Дополнительное+'!K89)</f>
        <v>0</v>
      </c>
      <c r="J1189" s="104">
        <f>IF(ISERR('[1]Дополнительное+'!L89),"-",'[1]Дополнительное+'!L89)</f>
        <v>0</v>
      </c>
      <c r="K1189" s="104">
        <f>IF(ISERR('[1]Дополнительное+'!M89),"-",'[1]Дополнительное+'!M89)</f>
        <v>0</v>
      </c>
      <c r="L1189" s="104">
        <f>IF(ISERR('[1]Дополнительное+'!O89),"-",'[1]Дополнительное+'!O89)</f>
        <v>0</v>
      </c>
      <c r="M1189" s="104">
        <f>IF(ISERR('[1]Дополнительное+'!P89),"-",'[1]Дополнительное+'!P89)</f>
        <v>0</v>
      </c>
    </row>
    <row r="1190" spans="1:13" s="89" customFormat="1" hidden="1" x14ac:dyDescent="0.25">
      <c r="A1190" s="13"/>
      <c r="B1190" s="70" t="s">
        <v>1355</v>
      </c>
      <c r="C1190" s="13" t="s">
        <v>8</v>
      </c>
      <c r="D1190" s="104">
        <f>IF(ISERR('[1]Дополнительное+'!F90),"-",'[1]Дополнительное+'!F90)</f>
        <v>1.1644018766560518</v>
      </c>
      <c r="E1190" s="104">
        <f>IF(ISERR('[1]Дополнительное+'!G90),"-",'[1]Дополнительное+'!G90)</f>
        <v>0.2987787418925143</v>
      </c>
      <c r="F1190" s="104">
        <f>IF(ISERR('[1]Дополнительное+'!H90),"-",'[1]Дополнительное+'!H90)</f>
        <v>0</v>
      </c>
      <c r="G1190" s="104">
        <f>IF(ISERR('[1]Дополнительное+'!I90),"-",'[1]Дополнительное+'!I90)</f>
        <v>0</v>
      </c>
      <c r="H1190" s="104">
        <f>IF(ISERR('[1]Дополнительное+'!J90),"-",'[1]Дополнительное+'!J90)</f>
        <v>0</v>
      </c>
      <c r="I1190" s="104">
        <f>IF(ISERR('[1]Дополнительное+'!K90),"-",'[1]Дополнительное+'!K90)</f>
        <v>0</v>
      </c>
      <c r="J1190" s="104">
        <f>IF(ISERR('[1]Дополнительное+'!L90),"-",'[1]Дополнительное+'!L90)</f>
        <v>0</v>
      </c>
      <c r="K1190" s="104">
        <f>IF(ISERR('[1]Дополнительное+'!M90),"-",'[1]Дополнительное+'!M90)</f>
        <v>0</v>
      </c>
      <c r="L1190" s="104">
        <f>IF(ISERR('[1]Дополнительное+'!O90),"-",'[1]Дополнительное+'!O90)</f>
        <v>0</v>
      </c>
      <c r="M1190" s="104">
        <f>IF(ISERR('[1]Дополнительное+'!P90),"-",'[1]Дополнительное+'!P90)</f>
        <v>0</v>
      </c>
    </row>
    <row r="1191" spans="1:13" s="89" customFormat="1" hidden="1" x14ac:dyDescent="0.25">
      <c r="A1191" s="13"/>
      <c r="B1191" s="70" t="s">
        <v>1356</v>
      </c>
      <c r="C1191" s="13" t="s">
        <v>8</v>
      </c>
      <c r="D1191" s="104">
        <f>IF(ISERR('[1]Дополнительное+'!F91),"-",'[1]Дополнительное+'!F91)</f>
        <v>1.98847752631451</v>
      </c>
      <c r="E1191" s="104">
        <f>IF(ISERR('[1]Дополнительное+'!G91),"-",'[1]Дополнительное+'!G91)</f>
        <v>1.4465870753295904</v>
      </c>
      <c r="F1191" s="104">
        <f>IF(ISERR('[1]Дополнительное+'!H91),"-",'[1]Дополнительное+'!H91)</f>
        <v>2.9101151417605546</v>
      </c>
      <c r="G1191" s="104">
        <f>IF(ISERR('[1]Дополнительное+'!I91),"-",'[1]Дополнительное+'!I91)</f>
        <v>3.11</v>
      </c>
      <c r="H1191" s="104">
        <f>IF(ISERR('[1]Дополнительное+'!J91),"-",'[1]Дополнительное+'!J91)</f>
        <v>0</v>
      </c>
      <c r="I1191" s="104">
        <f>IF(ISERR('[1]Дополнительное+'!K91),"-",'[1]Дополнительное+'!K91)</f>
        <v>0</v>
      </c>
      <c r="J1191" s="104">
        <f>IF(ISERR('[1]Дополнительное+'!L91),"-",'[1]Дополнительное+'!L91)</f>
        <v>0</v>
      </c>
      <c r="K1191" s="104">
        <f>IF(ISERR('[1]Дополнительное+'!M91),"-",'[1]Дополнительное+'!M91)</f>
        <v>0</v>
      </c>
      <c r="L1191" s="104">
        <f>IF(ISERR('[1]Дополнительное+'!O91),"-",'[1]Дополнительное+'!O91)</f>
        <v>0</v>
      </c>
      <c r="M1191" s="104">
        <f>IF(ISERR('[1]Дополнительное+'!P91),"-",'[1]Дополнительное+'!P91)</f>
        <v>0</v>
      </c>
    </row>
    <row r="1192" spans="1:13" s="89" customFormat="1" hidden="1" x14ac:dyDescent="0.25">
      <c r="A1192" s="13"/>
      <c r="B1192" s="21" t="s">
        <v>1409</v>
      </c>
      <c r="C1192" s="13" t="s">
        <v>8</v>
      </c>
      <c r="D1192" s="104" t="str">
        <f>IF(ISERR('[1]Дополнительное+'!F92),"-",'[1]Дополнительное+'!F92)</f>
        <v>-</v>
      </c>
      <c r="E1192" s="104">
        <f>IF(ISERR('[1]Дополнительное+'!G92),"-",'[1]Дополнительное+'!G92)</f>
        <v>12.21009125200742</v>
      </c>
      <c r="F1192" s="104">
        <f>IF(ISERR('[1]Дополнительное+'!H92),"-",'[1]Дополнительное+'!H92)</f>
        <v>12.220502661879411</v>
      </c>
      <c r="G1192" s="104">
        <f>IF(ISERR('[1]Дополнительное+'!I92),"-",'[1]Дополнительное+'!I92)</f>
        <v>12.75</v>
      </c>
      <c r="H1192" s="104" t="str">
        <f>IF(ISERR('[1]Дополнительное+'!J92),"-",'[1]Дополнительное+'!J92)</f>
        <v>-</v>
      </c>
      <c r="I1192" s="104" t="str">
        <f>IF(ISERR('[1]Дополнительное+'!K92),"-",'[1]Дополнительное+'!K92)</f>
        <v>-</v>
      </c>
      <c r="J1192" s="104" t="str">
        <f>IF(ISERR('[1]Дополнительное+'!L92),"-",'[1]Дополнительное+'!L92)</f>
        <v>-</v>
      </c>
      <c r="K1192" s="104" t="str">
        <f>IF(ISERR('[1]Дополнительное+'!M92),"-",'[1]Дополнительное+'!M92)</f>
        <v>-</v>
      </c>
      <c r="L1192" s="104">
        <f>IF(ISERR('[1]Дополнительное+'!O92),"-",'[1]Дополнительное+'!O92)</f>
        <v>0</v>
      </c>
      <c r="M1192" s="104">
        <f>IF(ISERR('[1]Дополнительное+'!P92),"-",'[1]Дополнительное+'!P92)</f>
        <v>0</v>
      </c>
    </row>
    <row r="1193" spans="1:13" s="89" customFormat="1" hidden="1" x14ac:dyDescent="0.25">
      <c r="A1193" s="13"/>
      <c r="B1193" s="21" t="s">
        <v>1410</v>
      </c>
      <c r="C1193" s="13" t="s">
        <v>8</v>
      </c>
      <c r="D1193" s="104" t="str">
        <f>IF(ISERR('[1]Дополнительное+'!F93),"-",'[1]Дополнительное+'!F93)</f>
        <v>-</v>
      </c>
      <c r="E1193" s="104">
        <f>IF(ISERR('[1]Дополнительное+'!G93),"-",'[1]Дополнительное+'!G93)</f>
        <v>38.716745303571656</v>
      </c>
      <c r="F1193" s="104">
        <f>IF(ISERR('[1]Дополнительное+'!H93),"-",'[1]Дополнительное+'!H93)</f>
        <v>38.319301720935989</v>
      </c>
      <c r="G1193" s="104">
        <f>IF(ISERR('[1]Дополнительное+'!I93),"-",'[1]Дополнительное+'!I93)</f>
        <v>36.770000000000003</v>
      </c>
      <c r="H1193" s="104" t="str">
        <f>IF(ISERR('[1]Дополнительное+'!J93),"-",'[1]Дополнительное+'!J93)</f>
        <v>-</v>
      </c>
      <c r="I1193" s="104" t="str">
        <f>IF(ISERR('[1]Дополнительное+'!K93),"-",'[1]Дополнительное+'!K93)</f>
        <v>-</v>
      </c>
      <c r="J1193" s="104" t="str">
        <f>IF(ISERR('[1]Дополнительное+'!L93),"-",'[1]Дополнительное+'!L93)</f>
        <v>-</v>
      </c>
      <c r="K1193" s="104" t="str">
        <f>IF(ISERR('[1]Дополнительное+'!M93),"-",'[1]Дополнительное+'!M93)</f>
        <v>-</v>
      </c>
      <c r="L1193" s="104">
        <f>IF(ISERR('[1]Дополнительное+'!O93),"-",'[1]Дополнительное+'!O93)</f>
        <v>0</v>
      </c>
      <c r="M1193" s="104">
        <f>IF(ISERR('[1]Дополнительное+'!P93),"-",'[1]Дополнительное+'!P93)</f>
        <v>0</v>
      </c>
    </row>
    <row r="1194" spans="1:13" s="89" customFormat="1" ht="60" x14ac:dyDescent="0.25">
      <c r="A1194" s="13" t="s">
        <v>631</v>
      </c>
      <c r="B1194" s="70" t="s">
        <v>2577</v>
      </c>
      <c r="C1194" s="13" t="s">
        <v>8</v>
      </c>
      <c r="D1194" s="104"/>
      <c r="E1194" s="104"/>
      <c r="F1194" s="104"/>
      <c r="G1194" s="104"/>
      <c r="H1194" s="104"/>
      <c r="I1194" s="104">
        <f>IF(ISERR('[1]Дополнительное+'!K118),"-",'[1]Дополнительное+'!K118)</f>
        <v>3.4115899119278259</v>
      </c>
      <c r="J1194" s="104">
        <f>IF(ISERR('[1]Дополнительное+'!L118),"-",'[1]Дополнительное+'!L118)</f>
        <v>3.5774939791404803</v>
      </c>
      <c r="K1194" s="104">
        <f>IF(ISERR('[1]Дополнительное+'!M118),"-",'[1]Дополнительное+'!M118)</f>
        <v>14.985137261759048</v>
      </c>
      <c r="L1194" s="104">
        <f>IF(ISERR('[1]Дополнительное+'!N118),"-",'[1]Дополнительное+'!N118)</f>
        <v>15.2</v>
      </c>
      <c r="M1194" s="104">
        <f>IF(ISERR('[1]Дополнительное+'!O118),"-",'[1]Дополнительное+'!O118)</f>
        <v>15.3</v>
      </c>
    </row>
    <row r="1195" spans="1:13" s="89" customFormat="1" ht="60" hidden="1" x14ac:dyDescent="0.25">
      <c r="A1195" s="13" t="s">
        <v>631</v>
      </c>
      <c r="B1195" s="70" t="s">
        <v>2577</v>
      </c>
      <c r="C1195" s="13"/>
      <c r="D1195" s="104"/>
      <c r="E1195" s="104"/>
      <c r="F1195" s="104"/>
      <c r="G1195" s="104">
        <f>IF(ISERR('[1]Дополнительное+'!I109),"-",'[1]Дополнительное+'!I109)</f>
        <v>0.85</v>
      </c>
      <c r="H1195" s="104">
        <f>IF(ISERR('[1]Дополнительное+'!J109),"-",'[1]Дополнительное+'!J109)</f>
        <v>0.64692982456140358</v>
      </c>
      <c r="I1195" s="104">
        <f>IF(ISERR('[1]Дополнительное+'!K109),"-",'[1]Дополнительное+'!K109)</f>
        <v>0.64597928051549947</v>
      </c>
      <c r="J1195" s="104">
        <f>IF(ISERR('[1]Дополнительное+'!L109),"-",'[1]Дополнительное+'!L109)</f>
        <v>0.76467724967418782</v>
      </c>
      <c r="K1195" s="104">
        <f>IF(ISERR('[1]Дополнительное+'!M109),"-",'[1]Дополнительное+'!M109)</f>
        <v>14.985137261759048</v>
      </c>
      <c r="L1195" s="104" t="str">
        <f>IF(ISERR('[1]Дополнительное+'!O109),"-",'[1]Дополнительное+'!O109)</f>
        <v>-</v>
      </c>
      <c r="M1195" s="104" t="str">
        <f>IF(ISERR('[1]Дополнительное+'!P109),"-",'[1]Дополнительное+'!P109)</f>
        <v>-</v>
      </c>
    </row>
    <row r="1196" spans="1:13" s="89" customFormat="1" hidden="1" x14ac:dyDescent="0.25">
      <c r="A1196" s="13"/>
      <c r="B1196" s="70" t="s">
        <v>1301</v>
      </c>
      <c r="C1196" s="13" t="s">
        <v>8</v>
      </c>
      <c r="D1196" s="104"/>
      <c r="E1196" s="104"/>
      <c r="F1196" s="104"/>
      <c r="G1196" s="104"/>
      <c r="H1196" s="104">
        <f>IF(ISERR('[1]Дополнительное+'!J110),"-",'[1]Дополнительное+'!J110)</f>
        <v>0.65198551863220733</v>
      </c>
      <c r="I1196" s="104">
        <f>IF(ISERR('[1]Дополнительное+'!K110),"-",'[1]Дополнительное+'!K110)</f>
        <v>0.65217391304347827</v>
      </c>
      <c r="J1196" s="104">
        <f>IF(ISERR('[1]Дополнительное+'!L110),"-",'[1]Дополнительное+'!L110)</f>
        <v>0.77108941718288848</v>
      </c>
      <c r="K1196" s="104">
        <f>IF(ISERR('[1]Дополнительное+'!M110),"-",'[1]Дополнительное+'!M110)</f>
        <v>14.985137261759048</v>
      </c>
      <c r="L1196" s="104" t="str">
        <f>IF(ISERR('[1]Дополнительное+'!O110),"-",'[1]Дополнительное+'!O110)</f>
        <v>-</v>
      </c>
      <c r="M1196" s="104" t="str">
        <f>IF(ISERR('[1]Дополнительное+'!P110),"-",'[1]Дополнительное+'!P110)</f>
        <v>-</v>
      </c>
    </row>
    <row r="1197" spans="1:13" s="89" customFormat="1" hidden="1" x14ac:dyDescent="0.25">
      <c r="A1197" s="13"/>
      <c r="B1197" s="70" t="s">
        <v>1302</v>
      </c>
      <c r="C1197" s="13" t="s">
        <v>8</v>
      </c>
      <c r="D1197" s="104"/>
      <c r="E1197" s="104"/>
      <c r="F1197" s="104"/>
      <c r="G1197" s="104"/>
      <c r="H1197" s="104">
        <f>IF(ISERR('[1]Дополнительное+'!J111),"-",'[1]Дополнительное+'!J111)</f>
        <v>0.49869389693659466</v>
      </c>
      <c r="I1197" s="104">
        <f>IF(ISERR('[1]Дополнительное+'!K111),"-",'[1]Дополнительное+'!K111)</f>
        <v>0.4983057604145904</v>
      </c>
      <c r="J1197" s="104">
        <f>IF(ISERR('[1]Дополнительное+'!L111),"-",'[1]Дополнительное+'!L111)</f>
        <v>0.56902523503216229</v>
      </c>
      <c r="K1197" s="104" t="str">
        <f>IF(ISERR('[1]Дополнительное+'!M111),"-",'[1]Дополнительное+'!M111)</f>
        <v>-</v>
      </c>
      <c r="L1197" s="104" t="str">
        <f>IF(ISERR('[1]Дополнительное+'!O111),"-",'[1]Дополнительное+'!O111)</f>
        <v>-</v>
      </c>
      <c r="M1197" s="104" t="str">
        <f>IF(ISERR('[1]Дополнительное+'!P111),"-",'[1]Дополнительное+'!P111)</f>
        <v>-</v>
      </c>
    </row>
    <row r="1198" spans="1:13" s="89" customFormat="1" ht="60" x14ac:dyDescent="0.25">
      <c r="A1198" s="13" t="s">
        <v>641</v>
      </c>
      <c r="B1198" s="70" t="s">
        <v>2578</v>
      </c>
      <c r="C1198" s="13" t="s">
        <v>8</v>
      </c>
      <c r="D1198" s="104"/>
      <c r="E1198" s="104"/>
      <c r="F1198" s="104"/>
      <c r="G1198" s="104"/>
      <c r="H1198" s="104"/>
      <c r="I1198" s="104">
        <f>IF(ISERR('[1]Дополнительное+'!K121),"-",'[1]Дополнительное+'!K121)</f>
        <v>2.8317724927321684</v>
      </c>
      <c r="J1198" s="104">
        <f>IF(ISERR('[1]Дополнительное+'!L121),"-",'[1]Дополнительное+'!L121)</f>
        <v>3.0341773730822004</v>
      </c>
      <c r="K1198" s="104">
        <f>IF(ISERR('[1]Дополнительное+'!M121),"-",'[1]Дополнительное+'!M121)</f>
        <v>14.985137261759048</v>
      </c>
      <c r="L1198" s="104">
        <f>IF(ISERR('[1]Дополнительное+'!N121),"-",'[1]Дополнительное+'!N121)</f>
        <v>15.2</v>
      </c>
      <c r="M1198" s="104">
        <f>IF(ISERR('[1]Дополнительное+'!O121),"-",'[1]Дополнительное+'!O121)</f>
        <v>15.3</v>
      </c>
    </row>
    <row r="1199" spans="1:13" s="89" customFormat="1" ht="45" x14ac:dyDescent="0.25">
      <c r="A1199" s="13" t="s">
        <v>644</v>
      </c>
      <c r="B1199" s="70" t="s">
        <v>2875</v>
      </c>
      <c r="C1199" s="13" t="s">
        <v>8</v>
      </c>
      <c r="D1199" s="104"/>
      <c r="E1199" s="104"/>
      <c r="F1199" s="104"/>
      <c r="G1199" s="104"/>
      <c r="H1199" s="104"/>
      <c r="I1199" s="104">
        <f>IF(ISERR('[1]Дополнительное+'!K124),"-",'[1]Дополнительное+'!K124)</f>
        <v>0.57981741919565755</v>
      </c>
      <c r="J1199" s="104">
        <f>IF(ISERR('[1]Дополнительное+'!L124),"-",'[1]Дополнительное+'!L124)</f>
        <v>0.54331660605828003</v>
      </c>
      <c r="K1199" s="104">
        <f>IF(ISERR('[1]Дополнительное+'!M124),"-",'[1]Дополнительное+'!M124)</f>
        <v>1.9933554817275747</v>
      </c>
      <c r="L1199" s="104">
        <f>IF(ISERR('[1]Дополнительное+'!N124),"-",'[1]Дополнительное+'!N124)</f>
        <v>1.8</v>
      </c>
      <c r="M1199" s="104">
        <f>IF(ISERR('[1]Дополнительное+'!O124),"-",'[1]Дополнительное+'!O124)</f>
        <v>1.9</v>
      </c>
    </row>
    <row r="1200" spans="1:13" s="89" customFormat="1" ht="45" hidden="1" x14ac:dyDescent="0.25">
      <c r="A1200" s="13" t="s">
        <v>644</v>
      </c>
      <c r="B1200" s="70" t="s">
        <v>2579</v>
      </c>
      <c r="C1200" s="13"/>
      <c r="D1200" s="104"/>
      <c r="E1200" s="104"/>
      <c r="F1200" s="104"/>
      <c r="G1200" s="104">
        <f>IF(ISERR('[1]Дополнительное+'!I127),"-",'[1]Дополнительное+'!I127)</f>
        <v>0.39</v>
      </c>
      <c r="H1200" s="104"/>
      <c r="I1200" s="104"/>
      <c r="J1200" s="104"/>
      <c r="K1200" s="104"/>
      <c r="L1200" s="104"/>
      <c r="M1200" s="104"/>
    </row>
    <row r="1201" spans="1:13" s="89" customFormat="1" hidden="1" x14ac:dyDescent="0.25">
      <c r="A1201" s="13"/>
      <c r="B1201" s="70" t="s">
        <v>1301</v>
      </c>
      <c r="C1201" s="13" t="s">
        <v>8</v>
      </c>
      <c r="D1201" s="104"/>
      <c r="E1201" s="104"/>
      <c r="F1201" s="104"/>
      <c r="G1201" s="104"/>
      <c r="H1201" s="104">
        <f>IF(ISERR('[1]Дополнительное+'!J128),"-",'[1]Дополнительное+'!J128)</f>
        <v>0.4324972260243462</v>
      </c>
      <c r="I1201" s="104">
        <f>IF(ISERR('[1]Дополнительное+'!K128),"-",'[1]Дополнительное+'!K128)</f>
        <v>0.39464882943143814</v>
      </c>
      <c r="J1201" s="104">
        <f>IF(ISERR('[1]Дополнительное+'!L128),"-",'[1]Дополнительное+'!L128)</f>
        <v>0.41595044270748871</v>
      </c>
      <c r="K1201" s="104">
        <f>IF(ISERR('[1]Дополнительное+'!M128),"-",'[1]Дополнительное+'!M128)</f>
        <v>1.9933554817275747</v>
      </c>
      <c r="L1201" s="104" t="str">
        <f>IF(ISERR('[1]Дополнительное+'!O128),"-",'[1]Дополнительное+'!O128)</f>
        <v>-</v>
      </c>
      <c r="M1201" s="104" t="str">
        <f>IF(ISERR('[1]Дополнительное+'!P128),"-",'[1]Дополнительное+'!P128)</f>
        <v>-</v>
      </c>
    </row>
    <row r="1202" spans="1:13" s="89" customFormat="1" hidden="1" x14ac:dyDescent="0.25">
      <c r="A1202" s="13"/>
      <c r="B1202" s="70" t="s">
        <v>1302</v>
      </c>
      <c r="C1202" s="13" t="s">
        <v>8</v>
      </c>
      <c r="D1202" s="104"/>
      <c r="E1202" s="104"/>
      <c r="F1202" s="104"/>
      <c r="G1202" s="104"/>
      <c r="H1202" s="104">
        <f>IF(ISERR('[1]Дополнительное+'!J129),"-",'[1]Дополнительное+'!J129)</f>
        <v>0.33246259795772976</v>
      </c>
      <c r="I1202" s="104">
        <f>IF(ISERR('[1]Дополнительное+'!K129),"-",'[1]Дополнительное+'!K129)</f>
        <v>0.23918676499900338</v>
      </c>
      <c r="J1202" s="104">
        <f>IF(ISERR('[1]Дополнительное+'!L129),"-",'[1]Дополнительное+'!L129)</f>
        <v>0</v>
      </c>
      <c r="K1202" s="104" t="str">
        <f>IF(ISERR('[1]Дополнительное+'!M129),"-",'[1]Дополнительное+'!M129)</f>
        <v>-</v>
      </c>
      <c r="L1202" s="104" t="str">
        <f>IF(ISERR('[1]Дополнительное+'!O129),"-",'[1]Дополнительное+'!O129)</f>
        <v>-</v>
      </c>
      <c r="M1202" s="104" t="str">
        <f>IF(ISERR('[1]Дополнительное+'!P129),"-",'[1]Дополнительное+'!P129)</f>
        <v>-</v>
      </c>
    </row>
    <row r="1203" spans="1:13" s="89" customFormat="1" ht="45" x14ac:dyDescent="0.25">
      <c r="A1203" s="99" t="s">
        <v>655</v>
      </c>
      <c r="B1203" s="100" t="s">
        <v>816</v>
      </c>
      <c r="C1203" s="87"/>
      <c r="D1203" s="109"/>
      <c r="E1203" s="109"/>
      <c r="F1203" s="109"/>
      <c r="G1203" s="109"/>
      <c r="H1203" s="109"/>
      <c r="I1203" s="109"/>
      <c r="J1203" s="109"/>
      <c r="K1203" s="109"/>
      <c r="L1203" s="109"/>
      <c r="M1203" s="109"/>
    </row>
    <row r="1204" spans="1:13" s="89" customFormat="1" ht="60" x14ac:dyDescent="0.25">
      <c r="A1204" s="77" t="s">
        <v>656</v>
      </c>
      <c r="B1204" s="110" t="s">
        <v>2580</v>
      </c>
      <c r="C1204" s="77" t="s">
        <v>8</v>
      </c>
      <c r="D1204" s="104">
        <f>IF(ISERR('[1]Дополнительное+'!F137),"-",'[1]Дополнительное+'!F137)</f>
        <v>78.2</v>
      </c>
      <c r="E1204" s="104">
        <f>IF(ISERR('[1]Дополнительное+'!G137),"-",'[1]Дополнительное+'!G137)</f>
        <v>79.8</v>
      </c>
      <c r="F1204" s="104">
        <f>IF(ISERR('[1]Дополнительное+'!H137),"-",'[1]Дополнительное+'!H137)</f>
        <v>96.8</v>
      </c>
      <c r="G1204" s="104">
        <f>IF(ISERR('[1]Дополнительное+'!I137),"-",'[1]Дополнительное+'!I137)</f>
        <v>82.99</v>
      </c>
      <c r="H1204" s="104">
        <f>IF(ISERR('[1]Дополнительное+'!J137),"-",'[1]Дополнительное+'!J137)</f>
        <v>95</v>
      </c>
      <c r="I1204" s="104">
        <f>IF(ISERR('[1]Дополнительное+'!K137),"-",'[1]Дополнительное+'!K137)</f>
        <v>100</v>
      </c>
      <c r="J1204" s="104">
        <f>IF(ISERR('[1]Дополнительное+'!L137),"-",'[1]Дополнительное+'!L137)</f>
        <v>100.3</v>
      </c>
      <c r="K1204" s="104">
        <f>IF(ISERR('[1]Дополнительное+'!M137),"-",'[1]Дополнительное+'!M137)</f>
        <v>0</v>
      </c>
      <c r="L1204" s="104">
        <f>IF(ISERR('[1]Дополнительное+'!N137),"-",'[1]Дополнительное+'!N137)</f>
        <v>98</v>
      </c>
      <c r="M1204" s="104">
        <f>IF(ISERR('[1]Дополнительное+'!O137),"-",'[1]Дополнительное+'!O137)</f>
        <v>0</v>
      </c>
    </row>
    <row r="1205" spans="1:13" s="89" customFormat="1" ht="60" x14ac:dyDescent="0.25">
      <c r="A1205" s="77" t="s">
        <v>660</v>
      </c>
      <c r="B1205" s="110" t="s">
        <v>2581</v>
      </c>
      <c r="C1205" s="77"/>
      <c r="D1205" s="104"/>
      <c r="E1205" s="104"/>
      <c r="F1205" s="104"/>
      <c r="G1205" s="104"/>
      <c r="H1205" s="104"/>
      <c r="I1205" s="104"/>
      <c r="J1205" s="104"/>
      <c r="K1205" s="104"/>
      <c r="L1205" s="104"/>
      <c r="M1205" s="104"/>
    </row>
    <row r="1206" spans="1:13" s="89" customFormat="1" x14ac:dyDescent="0.25">
      <c r="A1206" s="77"/>
      <c r="B1206" s="110" t="s">
        <v>2314</v>
      </c>
      <c r="C1206" s="77"/>
      <c r="D1206" s="104"/>
      <c r="E1206" s="104"/>
      <c r="F1206" s="104"/>
      <c r="G1206" s="104"/>
      <c r="H1206" s="104"/>
      <c r="I1206" s="104"/>
      <c r="J1206" s="104">
        <f>IF(ISERR('[1]Дополнительное+'!L172),"-",'[1]Дополнительное+'!L172)</f>
        <v>26.036339897726034</v>
      </c>
      <c r="K1206" s="104">
        <f>IF(ISERR('[1]Дополнительное+'!M172),"-",'[1]Дополнительное+'!M172)</f>
        <v>65.384615384615387</v>
      </c>
      <c r="L1206" s="104">
        <f>IF(ISERR('[1]Дополнительное+'!N172),"-",'[1]Дополнительное+'!N172)</f>
        <v>65.384615384615387</v>
      </c>
      <c r="M1206" s="104">
        <f>IF(ISERR('[1]Дополнительное+'!O172),"-",'[1]Дополнительное+'!O172)</f>
        <v>55.932203389830505</v>
      </c>
    </row>
    <row r="1207" spans="1:13" s="89" customFormat="1" x14ac:dyDescent="0.25">
      <c r="A1207" s="77"/>
      <c r="B1207" s="110" t="s">
        <v>2322</v>
      </c>
      <c r="C1207" s="77"/>
      <c r="D1207" s="104"/>
      <c r="E1207" s="104"/>
      <c r="F1207" s="104"/>
      <c r="G1207" s="104"/>
      <c r="H1207" s="104"/>
      <c r="I1207" s="104"/>
      <c r="J1207" s="104">
        <f>IF(ISERR('[1]Дополнительное+'!L173),"-",'[1]Дополнительное+'!L173)</f>
        <v>4.3738439778043734</v>
      </c>
      <c r="K1207" s="104">
        <f>IF(ISERR('[1]Дополнительное+'!M173),"-",'[1]Дополнительное+'!M173)</f>
        <v>19.230769230769234</v>
      </c>
      <c r="L1207" s="104">
        <f>IF(ISERR('[1]Дополнительное+'!N173),"-",'[1]Дополнительное+'!N173)</f>
        <v>15.384615384615385</v>
      </c>
      <c r="M1207" s="104">
        <f>IF(ISERR('[1]Дополнительное+'!O173),"-",'[1]Дополнительное+'!O173)</f>
        <v>10.16949152542373</v>
      </c>
    </row>
    <row r="1208" spans="1:13" s="89" customFormat="1" ht="60" hidden="1" x14ac:dyDescent="0.25">
      <c r="A1208" s="77" t="s">
        <v>660</v>
      </c>
      <c r="B1208" s="110" t="s">
        <v>2581</v>
      </c>
      <c r="C1208" s="77"/>
      <c r="D1208" s="104"/>
      <c r="E1208" s="104"/>
      <c r="F1208" s="104"/>
      <c r="G1208" s="104"/>
      <c r="H1208" s="104"/>
      <c r="I1208" s="104"/>
      <c r="J1208" s="104"/>
      <c r="K1208" s="104"/>
      <c r="L1208" s="104"/>
      <c r="M1208" s="104"/>
    </row>
    <row r="1209" spans="1:13" s="89" customFormat="1" hidden="1" x14ac:dyDescent="0.25">
      <c r="A1209" s="77"/>
      <c r="B1209" s="70" t="s">
        <v>1301</v>
      </c>
      <c r="C1209" s="77"/>
      <c r="D1209" s="104"/>
      <c r="E1209" s="104"/>
      <c r="F1209" s="104"/>
      <c r="G1209" s="104"/>
      <c r="H1209" s="104"/>
      <c r="I1209" s="104"/>
      <c r="J1209" s="104"/>
      <c r="K1209" s="104"/>
      <c r="L1209" s="104"/>
      <c r="M1209" s="104"/>
    </row>
    <row r="1210" spans="1:13" s="89" customFormat="1" hidden="1" x14ac:dyDescent="0.25">
      <c r="A1210" s="77"/>
      <c r="B1210" s="110" t="s">
        <v>2314</v>
      </c>
      <c r="C1210" s="77" t="s">
        <v>8</v>
      </c>
      <c r="D1210" s="104"/>
      <c r="E1210" s="104"/>
      <c r="F1210" s="104"/>
      <c r="G1210" s="104"/>
      <c r="H1210" s="104">
        <f>IF(ISERR('[1]Дополнительное+'!J143),"-",'[1]Дополнительное+'!J143)</f>
        <v>54.439441173074698</v>
      </c>
      <c r="I1210" s="104">
        <f>IF(ISERR('[1]Дополнительное+'!K143),"-",'[1]Дополнительное+'!K143)</f>
        <v>56.897477187332257</v>
      </c>
      <c r="J1210" s="104">
        <f>IF(ISERR('[1]Дополнительное+'!L143),"-",'[1]Дополнительное+'!L143)</f>
        <v>58.694680375502905</v>
      </c>
      <c r="K1210" s="104">
        <f>IF(ISERR('[1]Дополнительное+'!M143),"-",'[1]Дополнительное+'!M143)</f>
        <v>62.179487179487182</v>
      </c>
      <c r="L1210" s="104">
        <f>IF(ISERR('[1]Дополнительное+'!O143),"-",'[1]Дополнительное+'!O143)</f>
        <v>0</v>
      </c>
      <c r="M1210" s="104">
        <f>IF(ISERR('[1]Дополнительное+'!P143),"-",'[1]Дополнительное+'!P143)</f>
        <v>0</v>
      </c>
    </row>
    <row r="1211" spans="1:13" s="89" customFormat="1" hidden="1" x14ac:dyDescent="0.25">
      <c r="A1211" s="77"/>
      <c r="B1211" s="110" t="s">
        <v>2322</v>
      </c>
      <c r="C1211" s="77" t="s">
        <v>8</v>
      </c>
      <c r="D1211" s="104"/>
      <c r="E1211" s="104"/>
      <c r="F1211" s="104"/>
      <c r="G1211" s="104"/>
      <c r="H1211" s="104">
        <f>IF(ISERR('[1]Дополнительное+'!J144),"-",'[1]Дополнительное+'!J144)</f>
        <v>11.626832929222953</v>
      </c>
      <c r="I1211" s="104">
        <f>IF(ISERR('[1]Дополнительное+'!K144),"-",'[1]Дополнительное+'!K144)</f>
        <v>12.063875469672571</v>
      </c>
      <c r="J1211" s="104">
        <f>IF(ISERR('[1]Дополнительное+'!L144),"-",'[1]Дополнительное+'!L144)</f>
        <v>12.114438980777829</v>
      </c>
      <c r="K1211" s="104">
        <f>IF(ISERR('[1]Дополнительное+'!M144),"-",'[1]Дополнительное+'!M144)</f>
        <v>19.230769230769234</v>
      </c>
      <c r="L1211" s="104">
        <f>IF(ISERR('[1]Дополнительное+'!O144),"-",'[1]Дополнительное+'!O144)</f>
        <v>0</v>
      </c>
      <c r="M1211" s="104">
        <f>IF(ISERR('[1]Дополнительное+'!P144),"-",'[1]Дополнительное+'!P144)</f>
        <v>0</v>
      </c>
    </row>
    <row r="1212" spans="1:13" s="89" customFormat="1" hidden="1" x14ac:dyDescent="0.25">
      <c r="A1212" s="77"/>
      <c r="B1212" s="70" t="s">
        <v>1302</v>
      </c>
      <c r="C1212" s="77"/>
      <c r="D1212" s="104"/>
      <c r="E1212" s="104"/>
      <c r="F1212" s="104"/>
      <c r="G1212" s="104"/>
      <c r="H1212" s="104"/>
      <c r="I1212" s="104"/>
      <c r="J1212" s="104"/>
      <c r="K1212" s="104"/>
      <c r="L1212" s="104"/>
      <c r="M1212" s="104"/>
    </row>
    <row r="1213" spans="1:13" s="89" customFormat="1" hidden="1" x14ac:dyDescent="0.25">
      <c r="A1213" s="77"/>
      <c r="B1213" s="110" t="s">
        <v>2314</v>
      </c>
      <c r="C1213" s="77" t="s">
        <v>8</v>
      </c>
      <c r="D1213" s="104"/>
      <c r="E1213" s="104"/>
      <c r="F1213" s="104"/>
      <c r="G1213" s="104"/>
      <c r="H1213" s="104">
        <f>IF(ISERR('[1]Дополнительное+'!J146),"-",'[1]Дополнительное+'!J146)</f>
        <v>58.898305084745758</v>
      </c>
      <c r="I1213" s="104">
        <f>IF(ISERR('[1]Дополнительное+'!K146),"-",'[1]Дополнительное+'!K146)</f>
        <v>62.641509433962263</v>
      </c>
      <c r="J1213" s="104">
        <f>IF(ISERR('[1]Дополнительное+'!L146),"-",'[1]Дополнительное+'!L146)</f>
        <v>70.121951219512198</v>
      </c>
      <c r="K1213" s="104">
        <f>IF(ISERR('[1]Дополнительное+'!M146),"-",'[1]Дополнительное+'!M146)</f>
        <v>67.857142857142861</v>
      </c>
      <c r="L1213" s="104">
        <f>IF(ISERR('[1]Дополнительное+'!O146),"-",'[1]Дополнительное+'!O146)</f>
        <v>0</v>
      </c>
      <c r="M1213" s="104">
        <f>IF(ISERR('[1]Дополнительное+'!P146),"-",'[1]Дополнительное+'!P146)</f>
        <v>0</v>
      </c>
    </row>
    <row r="1214" spans="1:13" s="89" customFormat="1" hidden="1" x14ac:dyDescent="0.25">
      <c r="A1214" s="77"/>
      <c r="B1214" s="110" t="s">
        <v>2322</v>
      </c>
      <c r="C1214" s="77" t="s">
        <v>8</v>
      </c>
      <c r="D1214" s="104"/>
      <c r="E1214" s="104"/>
      <c r="F1214" s="104"/>
      <c r="G1214" s="104"/>
      <c r="H1214" s="104">
        <f>IF(ISERR('[1]Дополнительное+'!J147),"-",'[1]Дополнительное+'!J147)</f>
        <v>5.508474576271186</v>
      </c>
      <c r="I1214" s="104">
        <f>IF(ISERR('[1]Дополнительное+'!K147),"-",'[1]Дополнительное+'!K147)</f>
        <v>9.8113207547169825</v>
      </c>
      <c r="J1214" s="104">
        <f>IF(ISERR('[1]Дополнительное+'!L147),"-",'[1]Дополнительное+'!L147)</f>
        <v>14.634146341463413</v>
      </c>
      <c r="K1214" s="104">
        <f>IF(ISERR('[1]Дополнительное+'!M147),"-",'[1]Дополнительное+'!M147)</f>
        <v>8.9285714285714288</v>
      </c>
      <c r="L1214" s="104">
        <f>IF(ISERR('[1]Дополнительное+'!O147),"-",'[1]Дополнительное+'!O147)</f>
        <v>0</v>
      </c>
      <c r="M1214" s="104">
        <f>IF(ISERR('[1]Дополнительное+'!P147),"-",'[1]Дополнительное+'!P147)</f>
        <v>0</v>
      </c>
    </row>
    <row r="1215" spans="1:13" s="89" customFormat="1" ht="120" x14ac:dyDescent="0.25">
      <c r="A1215" s="77" t="s">
        <v>662</v>
      </c>
      <c r="B1215" s="110" t="s">
        <v>2879</v>
      </c>
      <c r="C1215" s="77"/>
      <c r="D1215" s="104"/>
      <c r="E1215" s="104"/>
      <c r="F1215" s="104"/>
      <c r="G1215" s="104"/>
      <c r="H1215" s="104"/>
      <c r="I1215" s="104">
        <f>IF(ISERR('[1]Дополнительное+'!K180),"-",'[1]Дополнительное+'!K180)</f>
        <v>93.44</v>
      </c>
      <c r="J1215" s="104">
        <f>IF(ISERR('[1]Дополнительное+'!L180),"-",'[1]Дополнительное+'!L180)</f>
        <v>92.39</v>
      </c>
      <c r="K1215" s="104">
        <f>IF(ISERR('[1]Дополнительное+'!M180),"-",'[1]Дополнительное+'!M180)</f>
        <v>0</v>
      </c>
      <c r="L1215" s="104">
        <f>IF(ISERR('[1]Дополнительное+'!N180),"-",'[1]Дополнительное+'!N180)</f>
        <v>0</v>
      </c>
      <c r="M1215" s="104">
        <f>IF(ISERR('[1]Дополнительное+'!O180),"-",'[1]Дополнительное+'!O180)</f>
        <v>0</v>
      </c>
    </row>
    <row r="1216" spans="1:13" s="89" customFormat="1" hidden="1" x14ac:dyDescent="0.25">
      <c r="A1216" s="77"/>
      <c r="B1216" s="70" t="s">
        <v>1301</v>
      </c>
      <c r="C1216" s="77"/>
      <c r="D1216" s="104"/>
      <c r="E1216" s="104"/>
      <c r="F1216" s="104"/>
      <c r="G1216" s="104"/>
      <c r="H1216" s="104"/>
      <c r="I1216" s="104"/>
      <c r="J1216" s="104"/>
      <c r="K1216" s="104"/>
      <c r="L1216" s="104"/>
      <c r="M1216" s="104"/>
    </row>
    <row r="1217" spans="1:13" s="89" customFormat="1" ht="45" hidden="1" x14ac:dyDescent="0.25">
      <c r="A1217" s="77"/>
      <c r="B1217" s="110" t="s">
        <v>2323</v>
      </c>
      <c r="C1217" s="77" t="s">
        <v>8</v>
      </c>
      <c r="D1217" s="104"/>
      <c r="E1217" s="104"/>
      <c r="F1217" s="104"/>
      <c r="G1217" s="104"/>
      <c r="H1217" s="104">
        <f>IF(ISERR('[1]Дополнительное+'!J182),"-",'[1]Дополнительное+'!J182)</f>
        <v>100</v>
      </c>
      <c r="I1217" s="104">
        <f>IF(ISERR('[1]Дополнительное+'!K182),"-",'[1]Дополнительное+'!K182)</f>
        <v>0</v>
      </c>
      <c r="J1217" s="104">
        <f>IF(ISERR('[1]Дополнительное+'!L182),"-",'[1]Дополнительное+'!L182)</f>
        <v>0</v>
      </c>
      <c r="K1217" s="104">
        <f>IF(ISERR('[1]Дополнительное+'!M182),"-",'[1]Дополнительное+'!M182)</f>
        <v>0</v>
      </c>
      <c r="L1217" s="104">
        <f>IF(ISERR('[1]Дополнительное+'!O182),"-",'[1]Дополнительное+'!O182)</f>
        <v>0</v>
      </c>
      <c r="M1217" s="104">
        <f>IF(ISERR('[1]Дополнительное+'!P182),"-",'[1]Дополнительное+'!P182)</f>
        <v>0</v>
      </c>
    </row>
    <row r="1218" spans="1:13" s="89" customFormat="1" hidden="1" x14ac:dyDescent="0.25">
      <c r="A1218" s="77"/>
      <c r="B1218" s="110" t="s">
        <v>2324</v>
      </c>
      <c r="C1218" s="77" t="s">
        <v>8</v>
      </c>
      <c r="D1218" s="104"/>
      <c r="E1218" s="104"/>
      <c r="F1218" s="104"/>
      <c r="G1218" s="104"/>
      <c r="H1218" s="104">
        <f>IF(ISERR('[1]Дополнительное+'!J183),"-",'[1]Дополнительное+'!J183)</f>
        <v>85.92</v>
      </c>
      <c r="I1218" s="104">
        <f>IF(ISERR('[1]Дополнительное+'!K183),"-",'[1]Дополнительное+'!K183)</f>
        <v>0</v>
      </c>
      <c r="J1218" s="104">
        <f>IF(ISERR('[1]Дополнительное+'!L183),"-",'[1]Дополнительное+'!L183)</f>
        <v>0</v>
      </c>
      <c r="K1218" s="104">
        <f>IF(ISERR('[1]Дополнительное+'!M183),"-",'[1]Дополнительное+'!M183)</f>
        <v>100</v>
      </c>
      <c r="L1218" s="104">
        <f>IF(ISERR('[1]Дополнительное+'!O183),"-",'[1]Дополнительное+'!O183)</f>
        <v>0</v>
      </c>
      <c r="M1218" s="104">
        <f>IF(ISERR('[1]Дополнительное+'!P183),"-",'[1]Дополнительное+'!P183)</f>
        <v>0</v>
      </c>
    </row>
    <row r="1219" spans="1:13" s="89" customFormat="1" hidden="1" x14ac:dyDescent="0.25">
      <c r="A1219" s="77"/>
      <c r="B1219" s="70" t="s">
        <v>1302</v>
      </c>
      <c r="C1219" s="77"/>
      <c r="D1219" s="104"/>
      <c r="E1219" s="104"/>
      <c r="F1219" s="104"/>
      <c r="G1219" s="104"/>
      <c r="H1219" s="104"/>
      <c r="I1219" s="104"/>
      <c r="J1219" s="104"/>
      <c r="K1219" s="104"/>
      <c r="L1219" s="104"/>
      <c r="M1219" s="104"/>
    </row>
    <row r="1220" spans="1:13" s="89" customFormat="1" ht="45" hidden="1" x14ac:dyDescent="0.25">
      <c r="A1220" s="77"/>
      <c r="B1220" s="110" t="s">
        <v>2323</v>
      </c>
      <c r="C1220" s="77" t="s">
        <v>8</v>
      </c>
      <c r="D1220" s="104"/>
      <c r="E1220" s="104"/>
      <c r="F1220" s="104"/>
      <c r="G1220" s="104"/>
      <c r="H1220" s="104">
        <f>IF(ISERR('[1]Дополнительное+'!J185),"-",'[1]Дополнительное+'!J185)</f>
        <v>0</v>
      </c>
      <c r="I1220" s="104">
        <f>IF(ISERR('[1]Дополнительное+'!K185),"-",'[1]Дополнительное+'!K185)</f>
        <v>0</v>
      </c>
      <c r="J1220" s="104">
        <f>IF(ISERR('[1]Дополнительное+'!L185),"-",'[1]Дополнительное+'!L185)</f>
        <v>0</v>
      </c>
      <c r="K1220" s="104">
        <f>IF(ISERR('[1]Дополнительное+'!M185),"-",'[1]Дополнительное+'!M185)</f>
        <v>0</v>
      </c>
      <c r="L1220" s="104">
        <f>IF(ISERR('[1]Дополнительное+'!O185),"-",'[1]Дополнительное+'!O185)</f>
        <v>0</v>
      </c>
      <c r="M1220" s="104">
        <f>IF(ISERR('[1]Дополнительное+'!P185),"-",'[1]Дополнительное+'!P185)</f>
        <v>0</v>
      </c>
    </row>
    <row r="1221" spans="1:13" s="89" customFormat="1" hidden="1" x14ac:dyDescent="0.25">
      <c r="A1221" s="77"/>
      <c r="B1221" s="110" t="s">
        <v>2324</v>
      </c>
      <c r="C1221" s="77" t="s">
        <v>8</v>
      </c>
      <c r="D1221" s="104"/>
      <c r="E1221" s="104"/>
      <c r="F1221" s="104"/>
      <c r="G1221" s="104"/>
      <c r="H1221" s="104">
        <f>IF(ISERR('[1]Дополнительное+'!J186),"-",'[1]Дополнительное+'!J186)</f>
        <v>83.91</v>
      </c>
      <c r="I1221" s="104">
        <f>IF(ISERR('[1]Дополнительное+'!K186),"-",'[1]Дополнительное+'!K186)</f>
        <v>0</v>
      </c>
      <c r="J1221" s="104">
        <f>IF(ISERR('[1]Дополнительное+'!L186),"-",'[1]Дополнительное+'!L186)</f>
        <v>0</v>
      </c>
      <c r="K1221" s="104">
        <f>IF(ISERR('[1]Дополнительное+'!M186),"-",'[1]Дополнительное+'!M186)</f>
        <v>0</v>
      </c>
      <c r="L1221" s="104">
        <f>IF(ISERR('[1]Дополнительное+'!O186),"-",'[1]Дополнительное+'!O186)</f>
        <v>0</v>
      </c>
      <c r="M1221" s="104">
        <f>IF(ISERR('[1]Дополнительное+'!P186),"-",'[1]Дополнительное+'!P186)</f>
        <v>0</v>
      </c>
    </row>
    <row r="1222" spans="1:13" s="89" customFormat="1" ht="75" x14ac:dyDescent="0.25">
      <c r="A1222" s="77" t="s">
        <v>664</v>
      </c>
      <c r="B1222" s="110" t="s">
        <v>2582</v>
      </c>
      <c r="C1222" s="77" t="s">
        <v>8</v>
      </c>
      <c r="D1222" s="104"/>
      <c r="E1222" s="104"/>
      <c r="F1222" s="104"/>
      <c r="G1222" s="104"/>
      <c r="H1222" s="104">
        <f>IF(ISERR('[1]Дополнительное+'!J189),"-",'[1]Дополнительное+'!J189)</f>
        <v>28.00659802059382</v>
      </c>
      <c r="I1222" s="104">
        <f>IF(ISERR('[1]Дополнительное+'!K189),"-",'[1]Дополнительное+'!K189)</f>
        <v>28.342377898371979</v>
      </c>
      <c r="J1222" s="104">
        <f>IF(ISERR('[1]Дополнительное+'!L189),"-",'[1]Дополнительное+'!L189)</f>
        <v>28.302360622802613</v>
      </c>
      <c r="K1222" s="104">
        <f>IF(ISERR('[1]Дополнительное+'!M189),"-",'[1]Дополнительное+'!M189)</f>
        <v>30.555555555555557</v>
      </c>
      <c r="L1222" s="104">
        <f>IF(ISERR('[1]Дополнительное+'!N189),"-",'[1]Дополнительное+'!N189)</f>
        <v>28.205128205128204</v>
      </c>
      <c r="M1222" s="104">
        <f>IF(ISERR('[1]Дополнительное+'!O189),"-",'[1]Дополнительное+'!O189)</f>
        <v>14.814814814814813</v>
      </c>
    </row>
    <row r="1223" spans="1:13" s="89" customFormat="1" ht="45" hidden="1" x14ac:dyDescent="0.25">
      <c r="A1223" s="99" t="s">
        <v>682</v>
      </c>
      <c r="B1223" s="100" t="s">
        <v>1886</v>
      </c>
      <c r="C1223" s="13"/>
      <c r="D1223" s="109"/>
      <c r="E1223" s="109"/>
      <c r="F1223" s="109"/>
      <c r="G1223" s="109"/>
      <c r="H1223" s="109"/>
      <c r="I1223" s="109"/>
      <c r="J1223" s="109"/>
      <c r="K1223" s="109"/>
      <c r="L1223" s="109"/>
      <c r="M1223" s="109"/>
    </row>
    <row r="1224" spans="1:13" s="89" customFormat="1" ht="30" hidden="1" x14ac:dyDescent="0.25">
      <c r="A1224" s="13" t="s">
        <v>825</v>
      </c>
      <c r="B1224" s="70" t="s">
        <v>2337</v>
      </c>
      <c r="C1224" s="13"/>
      <c r="D1224" s="104">
        <f>IF(ISERR('[1]Дополнительное+'!F193),"-",'[1]Дополнительное+'!F193)</f>
        <v>1.3109382251642687</v>
      </c>
      <c r="E1224" s="104">
        <f>IF(ISERR('[1]Дополнительное+'!G193),"-",'[1]Дополнительное+'!G193)</f>
        <v>3.4</v>
      </c>
      <c r="F1224" s="104">
        <f>IF(ISERR('[1]Дополнительное+'!H193),"-",'[1]Дополнительное+'!H193)</f>
        <v>4.0405409979218421</v>
      </c>
      <c r="G1224" s="104">
        <f>IF(ISERR('[1]Дополнительное+'!I193),"-",'[1]Дополнительное+'!I193)</f>
        <v>4.1338554959077705</v>
      </c>
      <c r="H1224" s="104"/>
      <c r="I1224" s="104"/>
      <c r="J1224" s="104"/>
      <c r="K1224" s="104"/>
      <c r="L1224" s="104"/>
      <c r="M1224" s="104"/>
    </row>
    <row r="1225" spans="1:13" s="89" customFormat="1" ht="30" hidden="1" x14ac:dyDescent="0.25">
      <c r="A1225" s="13"/>
      <c r="B1225" s="70" t="s">
        <v>1301</v>
      </c>
      <c r="C1225" s="13" t="s">
        <v>1111</v>
      </c>
      <c r="D1225" s="104"/>
      <c r="E1225" s="104"/>
      <c r="F1225" s="104"/>
      <c r="G1225" s="104"/>
      <c r="H1225" s="104">
        <v>3.48</v>
      </c>
      <c r="I1225" s="104">
        <v>3.48</v>
      </c>
      <c r="J1225" s="104">
        <v>3.48</v>
      </c>
      <c r="K1225" s="104">
        <v>3.48</v>
      </c>
      <c r="L1225" s="104">
        <v>3.48</v>
      </c>
      <c r="M1225" s="104">
        <v>3.48</v>
      </c>
    </row>
    <row r="1226" spans="1:13" s="89" customFormat="1" ht="30" hidden="1" x14ac:dyDescent="0.25">
      <c r="A1226" s="13"/>
      <c r="B1226" s="70" t="s">
        <v>1302</v>
      </c>
      <c r="C1226" s="13" t="s">
        <v>1111</v>
      </c>
      <c r="D1226" s="104"/>
      <c r="E1226" s="104"/>
      <c r="F1226" s="104"/>
      <c r="G1226" s="104"/>
      <c r="H1226" s="104">
        <f>IF(ISERR('[1]Дополнительное+'!J195),"-",'[1]Дополнительное+'!J195)</f>
        <v>8.2935169793398238</v>
      </c>
      <c r="I1226" s="104">
        <f>IF(ISERR('[1]Дополнительное+'!K195),"-",'[1]Дополнительное+'!K195)</f>
        <v>1.2146701215866056</v>
      </c>
      <c r="J1226" s="104">
        <f>IF(ISERR('[1]Дополнительное+'!L195),"-",'[1]Дополнительное+'!L195)</f>
        <v>0.92330529440870857</v>
      </c>
      <c r="K1226" s="104" t="str">
        <f>IF(ISERR('[1]Дополнительное+'!M195),"-",'[1]Дополнительное+'!M195)</f>
        <v>-</v>
      </c>
      <c r="L1226" s="104">
        <f>IF(ISERR('[1]Дополнительное+'!O195),"-",'[1]Дополнительное+'!O195)</f>
        <v>0</v>
      </c>
      <c r="M1226" s="104">
        <f>IF(ISERR('[1]Дополнительное+'!P195),"-",'[1]Дополнительное+'!P195)</f>
        <v>0</v>
      </c>
    </row>
    <row r="1227" spans="1:13" s="89" customFormat="1" ht="30" hidden="1" x14ac:dyDescent="0.25">
      <c r="A1227" s="13" t="s">
        <v>828</v>
      </c>
      <c r="B1227" s="70" t="s">
        <v>1888</v>
      </c>
      <c r="C1227" s="13"/>
      <c r="D1227" s="109"/>
      <c r="E1227" s="109"/>
      <c r="F1227" s="109"/>
      <c r="G1227" s="109"/>
      <c r="H1227" s="109"/>
      <c r="I1227" s="109"/>
      <c r="J1227" s="109"/>
      <c r="K1227" s="109"/>
      <c r="L1227" s="109"/>
      <c r="M1227" s="109"/>
    </row>
    <row r="1228" spans="1:13" s="89" customFormat="1" hidden="1" x14ac:dyDescent="0.25">
      <c r="A1228" s="13"/>
      <c r="B1228" s="70" t="s">
        <v>1301</v>
      </c>
      <c r="C1228" s="13"/>
      <c r="D1228" s="109"/>
      <c r="E1228" s="109"/>
      <c r="F1228" s="109"/>
      <c r="G1228" s="109"/>
      <c r="H1228" s="109"/>
      <c r="I1228" s="109"/>
      <c r="J1228" s="109"/>
      <c r="K1228" s="109"/>
      <c r="L1228" s="109"/>
      <c r="M1228" s="109"/>
    </row>
    <row r="1229" spans="1:13" s="89" customFormat="1" hidden="1" x14ac:dyDescent="0.25">
      <c r="A1229" s="13"/>
      <c r="B1229" s="70" t="s">
        <v>2329</v>
      </c>
      <c r="C1229" s="13" t="s">
        <v>8</v>
      </c>
      <c r="D1229" s="104">
        <f>IF(ISERR('[1]Дополнительное+'!F204),"-",'[1]Дополнительное+'!F204)</f>
        <v>95.238095238095227</v>
      </c>
      <c r="E1229" s="104">
        <f>IF(ISERR('[1]Дополнительное+'!G204),"-",'[1]Дополнительное+'!G204)</f>
        <v>100</v>
      </c>
      <c r="F1229" s="104">
        <f>IF(ISERR('[1]Дополнительное+'!H204),"-",'[1]Дополнительное+'!H204)</f>
        <v>100</v>
      </c>
      <c r="G1229" s="104">
        <f>IF(ISERR('[1]Дополнительное+'!I204),"-",'[1]Дополнительное+'!I204)</f>
        <v>100</v>
      </c>
      <c r="H1229" s="104">
        <f>IF(ISERR('[1]Дополнительное+'!J204),"-",'[1]Дополнительное+'!J204)</f>
        <v>100</v>
      </c>
      <c r="I1229" s="104">
        <f>IF(ISERR('[1]Дополнительное+'!K204),"-",'[1]Дополнительное+'!K204)</f>
        <v>100</v>
      </c>
      <c r="J1229" s="104">
        <f>IF(ISERR('[1]Дополнительное+'!L204),"-",'[1]Дополнительное+'!L204)</f>
        <v>100</v>
      </c>
      <c r="K1229" s="104" t="str">
        <f>IF(ISERR('[1]Дополнительное+'!M204),"-",'[1]Дополнительное+'!M204)</f>
        <v>-</v>
      </c>
      <c r="L1229" s="104">
        <f>IF(ISERR('[1]Дополнительное+'!O204),"-",'[1]Дополнительное+'!O204)</f>
        <v>0</v>
      </c>
      <c r="M1229" s="104">
        <f>IF(ISERR('[1]Дополнительное+'!P204),"-",'[1]Дополнительное+'!P204)</f>
        <v>0</v>
      </c>
    </row>
    <row r="1230" spans="1:13" s="89" customFormat="1" hidden="1" x14ac:dyDescent="0.25">
      <c r="A1230" s="13"/>
      <c r="B1230" s="70" t="s">
        <v>2330</v>
      </c>
      <c r="C1230" s="13" t="s">
        <v>8</v>
      </c>
      <c r="D1230" s="104">
        <f>IF(ISERR('[1]Дополнительное+'!F205),"-",'[1]Дополнительное+'!F205)</f>
        <v>95.238095238095227</v>
      </c>
      <c r="E1230" s="104">
        <f>IF(ISERR('[1]Дополнительное+'!G205),"-",'[1]Дополнительное+'!G205)</f>
        <v>100</v>
      </c>
      <c r="F1230" s="104">
        <f>IF(ISERR('[1]Дополнительное+'!H205),"-",'[1]Дополнительное+'!H205)</f>
        <v>100</v>
      </c>
      <c r="G1230" s="104">
        <f>IF(ISERR('[1]Дополнительное+'!I205),"-",'[1]Дополнительное+'!I205)</f>
        <v>100</v>
      </c>
      <c r="H1230" s="104">
        <f>IF(ISERR('[1]Дополнительное+'!J205),"-",'[1]Дополнительное+'!J205)</f>
        <v>100</v>
      </c>
      <c r="I1230" s="104">
        <f>IF(ISERR('[1]Дополнительное+'!K205),"-",'[1]Дополнительное+'!K205)</f>
        <v>100</v>
      </c>
      <c r="J1230" s="104">
        <f>IF(ISERR('[1]Дополнительное+'!L205),"-",'[1]Дополнительное+'!L205)</f>
        <v>100</v>
      </c>
      <c r="K1230" s="104" t="str">
        <f>IF(ISERR('[1]Дополнительное+'!M205),"-",'[1]Дополнительное+'!M205)</f>
        <v>-</v>
      </c>
      <c r="L1230" s="104">
        <f>IF(ISERR('[1]Дополнительное+'!O205),"-",'[1]Дополнительное+'!O205)</f>
        <v>0</v>
      </c>
      <c r="M1230" s="104">
        <f>IF(ISERR('[1]Дополнительное+'!P205),"-",'[1]Дополнительное+'!P205)</f>
        <v>0</v>
      </c>
    </row>
    <row r="1231" spans="1:13" s="89" customFormat="1" hidden="1" x14ac:dyDescent="0.25">
      <c r="A1231" s="13"/>
      <c r="B1231" s="70" t="s">
        <v>2331</v>
      </c>
      <c r="C1231" s="13" t="s">
        <v>8</v>
      </c>
      <c r="D1231" s="104">
        <f>IF(ISERR('[1]Дополнительное+'!F206),"-",'[1]Дополнительное+'!F206)</f>
        <v>95.238095238095227</v>
      </c>
      <c r="E1231" s="104">
        <f>IF(ISERR('[1]Дополнительное+'!G206),"-",'[1]Дополнительное+'!G206)</f>
        <v>100</v>
      </c>
      <c r="F1231" s="104">
        <f>IF(ISERR('[1]Дополнительное+'!H206),"-",'[1]Дополнительное+'!H206)</f>
        <v>100</v>
      </c>
      <c r="G1231" s="104">
        <f>IF(ISERR('[1]Дополнительное+'!I206),"-",'[1]Дополнительное+'!I206)</f>
        <v>100</v>
      </c>
      <c r="H1231" s="104">
        <f>IF(ISERR('[1]Дополнительное+'!J206),"-",'[1]Дополнительное+'!J206)</f>
        <v>100</v>
      </c>
      <c r="I1231" s="104">
        <f>IF(ISERR('[1]Дополнительное+'!K206),"-",'[1]Дополнительное+'!K206)</f>
        <v>100</v>
      </c>
      <c r="J1231" s="104">
        <f>IF(ISERR('[1]Дополнительное+'!L206),"-",'[1]Дополнительное+'!L206)</f>
        <v>100</v>
      </c>
      <c r="K1231" s="104" t="str">
        <f>IF(ISERR('[1]Дополнительное+'!M206),"-",'[1]Дополнительное+'!M206)</f>
        <v>-</v>
      </c>
      <c r="L1231" s="104">
        <f>IF(ISERR('[1]Дополнительное+'!O206),"-",'[1]Дополнительное+'!O206)</f>
        <v>0</v>
      </c>
      <c r="M1231" s="104">
        <f>IF(ISERR('[1]Дополнительное+'!P206),"-",'[1]Дополнительное+'!P206)</f>
        <v>0</v>
      </c>
    </row>
    <row r="1232" spans="1:13" s="89" customFormat="1" hidden="1" x14ac:dyDescent="0.25">
      <c r="A1232" s="13"/>
      <c r="B1232" s="70" t="s">
        <v>2332</v>
      </c>
      <c r="C1232" s="13" t="s">
        <v>8</v>
      </c>
      <c r="D1232" s="104"/>
      <c r="E1232" s="104"/>
      <c r="F1232" s="104"/>
      <c r="G1232" s="104"/>
      <c r="H1232" s="104">
        <f>IF(ISERR('[1]Дополнительное+'!J207),"-",'[1]Дополнительное+'!J207)</f>
        <v>98.507462686567166</v>
      </c>
      <c r="I1232" s="104">
        <f>IF(ISERR('[1]Дополнительное+'!K207),"-",'[1]Дополнительное+'!K207)</f>
        <v>97.47899159663865</v>
      </c>
      <c r="J1232" s="104">
        <f>IF(ISERR('[1]Дополнительное+'!L207),"-",'[1]Дополнительное+'!L207)</f>
        <v>94.392523364485982</v>
      </c>
      <c r="K1232" s="104" t="str">
        <f>IF(ISERR('[1]Дополнительное+'!M207),"-",'[1]Дополнительное+'!M207)</f>
        <v>-</v>
      </c>
      <c r="L1232" s="104">
        <f>IF(ISERR('[1]Дополнительное+'!O207),"-",'[1]Дополнительное+'!O207)</f>
        <v>0</v>
      </c>
      <c r="M1232" s="104">
        <f>IF(ISERR('[1]Дополнительное+'!P207),"-",'[1]Дополнительное+'!P207)</f>
        <v>0</v>
      </c>
    </row>
    <row r="1233" spans="1:13" s="89" customFormat="1" hidden="1" x14ac:dyDescent="0.25">
      <c r="A1233" s="13"/>
      <c r="B1233" s="70" t="s">
        <v>2333</v>
      </c>
      <c r="C1233" s="13" t="s">
        <v>8</v>
      </c>
      <c r="D1233" s="104">
        <f>IF(ISERR('[1]Дополнительное+'!F208),"-",'[1]Дополнительное+'!F208)</f>
        <v>95.238095238095227</v>
      </c>
      <c r="E1233" s="104">
        <f>IF(ISERR('[1]Дополнительное+'!G208),"-",'[1]Дополнительное+'!G208)</f>
        <v>91.803278688524586</v>
      </c>
      <c r="F1233" s="104">
        <f>IF(ISERR('[1]Дополнительное+'!H208),"-",'[1]Дополнительное+'!H208)</f>
        <v>91.228070175438589</v>
      </c>
      <c r="G1233" s="104">
        <f>IF(ISERR('[1]Дополнительное+'!I208),"-",'[1]Дополнительное+'!I208)</f>
        <v>94.545454545454547</v>
      </c>
      <c r="H1233" s="104">
        <f>IF(ISERR('[1]Дополнительное+'!J208),"-",'[1]Дополнительное+'!J208)</f>
        <v>91.044776119402982</v>
      </c>
      <c r="I1233" s="104">
        <f>IF(ISERR('[1]Дополнительное+'!K208),"-",'[1]Дополнительное+'!K208)</f>
        <v>89.075630252100851</v>
      </c>
      <c r="J1233" s="104">
        <f>IF(ISERR('[1]Дополнительное+'!L208),"-",'[1]Дополнительное+'!L208)</f>
        <v>89.719626168224295</v>
      </c>
      <c r="K1233" s="104" t="str">
        <f>IF(ISERR('[1]Дополнительное+'!M208),"-",'[1]Дополнительное+'!M208)</f>
        <v>-</v>
      </c>
      <c r="L1233" s="104">
        <f>IF(ISERR('[1]Дополнительное+'!O208),"-",'[1]Дополнительное+'!O208)</f>
        <v>0</v>
      </c>
      <c r="M1233" s="104">
        <f>IF(ISERR('[1]Дополнительное+'!P208),"-",'[1]Дополнительное+'!P208)</f>
        <v>0</v>
      </c>
    </row>
    <row r="1234" spans="1:13" s="89" customFormat="1" hidden="1" x14ac:dyDescent="0.25">
      <c r="A1234" s="13"/>
      <c r="B1234" s="70" t="s">
        <v>2334</v>
      </c>
      <c r="C1234" s="13" t="s">
        <v>8</v>
      </c>
      <c r="D1234" s="104">
        <f>IF(ISERR('[1]Дополнительное+'!F209),"-",'[1]Дополнительное+'!F209)</f>
        <v>82.539682539682531</v>
      </c>
      <c r="E1234" s="104">
        <f>IF(ISERR('[1]Дополнительное+'!G209),"-",'[1]Дополнительное+'!G209)</f>
        <v>81.967213114754102</v>
      </c>
      <c r="F1234" s="104">
        <f>IF(ISERR('[1]Дополнительное+'!H209),"-",'[1]Дополнительное+'!H209)</f>
        <v>71.929824561403507</v>
      </c>
      <c r="G1234" s="104">
        <f>IF(ISERR('[1]Дополнительное+'!I209),"-",'[1]Дополнительное+'!I209)</f>
        <v>69.090909090909093</v>
      </c>
      <c r="H1234" s="104">
        <f>IF(ISERR('[1]Дополнительное+'!J209),"-",'[1]Дополнительное+'!J209)</f>
        <v>76.865671641791039</v>
      </c>
      <c r="I1234" s="104">
        <f>IF(ISERR('[1]Дополнительное+'!K209),"-",'[1]Дополнительное+'!K209)</f>
        <v>77.310924369747909</v>
      </c>
      <c r="J1234" s="104">
        <f>IF(ISERR('[1]Дополнительное+'!L209),"-",'[1]Дополнительное+'!L209)</f>
        <v>79.43925233644859</v>
      </c>
      <c r="K1234" s="104" t="str">
        <f>IF(ISERR('[1]Дополнительное+'!M209),"-",'[1]Дополнительное+'!M209)</f>
        <v>-</v>
      </c>
      <c r="L1234" s="104">
        <f>IF(ISERR('[1]Дополнительное+'!O209),"-",'[1]Дополнительное+'!O209)</f>
        <v>0</v>
      </c>
      <c r="M1234" s="104">
        <f>IF(ISERR('[1]Дополнительное+'!P209),"-",'[1]Дополнительное+'!P209)</f>
        <v>0</v>
      </c>
    </row>
    <row r="1235" spans="1:13" s="89" customFormat="1" hidden="1" x14ac:dyDescent="0.25">
      <c r="A1235" s="13"/>
      <c r="B1235" s="70" t="s">
        <v>2335</v>
      </c>
      <c r="C1235" s="13" t="s">
        <v>8</v>
      </c>
      <c r="D1235" s="104"/>
      <c r="E1235" s="104"/>
      <c r="F1235" s="104"/>
      <c r="G1235" s="104"/>
      <c r="H1235" s="104">
        <f>IF(ISERR('[1]Дополнительное+'!J210),"-",'[1]Дополнительное+'!J210)</f>
        <v>90.298507462686572</v>
      </c>
      <c r="I1235" s="104">
        <f>IF(ISERR('[1]Дополнительное+'!K210),"-",'[1]Дополнительное+'!K210)</f>
        <v>89.075630252100851</v>
      </c>
      <c r="J1235" s="104">
        <f>IF(ISERR('[1]Дополнительное+'!L210),"-",'[1]Дополнительное+'!L210)</f>
        <v>94.392523364485982</v>
      </c>
      <c r="K1235" s="104" t="str">
        <f>IF(ISERR('[1]Дополнительное+'!M210),"-",'[1]Дополнительное+'!M210)</f>
        <v>-</v>
      </c>
      <c r="L1235" s="104">
        <f>IF(ISERR('[1]Дополнительное+'!O210),"-",'[1]Дополнительное+'!O210)</f>
        <v>0</v>
      </c>
      <c r="M1235" s="104">
        <f>IF(ISERR('[1]Дополнительное+'!P210),"-",'[1]Дополнительное+'!P210)</f>
        <v>0</v>
      </c>
    </row>
    <row r="1236" spans="1:13" s="89" customFormat="1" hidden="1" x14ac:dyDescent="0.25">
      <c r="A1236" s="13"/>
      <c r="B1236" s="70" t="s">
        <v>2336</v>
      </c>
      <c r="C1236" s="13" t="s">
        <v>8</v>
      </c>
      <c r="D1236" s="104"/>
      <c r="E1236" s="104"/>
      <c r="F1236" s="104"/>
      <c r="G1236" s="104"/>
      <c r="H1236" s="104">
        <f>IF(ISERR('[1]Дополнительное+'!J211),"-",'[1]Дополнительное+'!J211)</f>
        <v>91.791044776119406</v>
      </c>
      <c r="I1236" s="104">
        <f>IF(ISERR('[1]Дополнительное+'!K211),"-",'[1]Дополнительное+'!K211)</f>
        <v>86.554621848739501</v>
      </c>
      <c r="J1236" s="104">
        <f>IF(ISERR('[1]Дополнительное+'!L211),"-",'[1]Дополнительное+'!L211)</f>
        <v>89.719626168224295</v>
      </c>
      <c r="K1236" s="104" t="str">
        <f>IF(ISERR('[1]Дополнительное+'!M211),"-",'[1]Дополнительное+'!M211)</f>
        <v>-</v>
      </c>
      <c r="L1236" s="104">
        <f>IF(ISERR('[1]Дополнительное+'!O211),"-",'[1]Дополнительное+'!O211)</f>
        <v>0</v>
      </c>
      <c r="M1236" s="104">
        <f>IF(ISERR('[1]Дополнительное+'!P211),"-",'[1]Дополнительное+'!P211)</f>
        <v>0</v>
      </c>
    </row>
    <row r="1237" spans="1:13" s="89" customFormat="1" hidden="1" x14ac:dyDescent="0.25">
      <c r="A1237" s="13"/>
      <c r="B1237" s="70" t="s">
        <v>1302</v>
      </c>
      <c r="C1237" s="13"/>
      <c r="D1237" s="104"/>
      <c r="E1237" s="104"/>
      <c r="F1237" s="104"/>
      <c r="G1237" s="104"/>
      <c r="H1237" s="104"/>
      <c r="I1237" s="104"/>
      <c r="J1237" s="104"/>
      <c r="K1237" s="104"/>
      <c r="L1237" s="104"/>
      <c r="M1237" s="104"/>
    </row>
    <row r="1238" spans="1:13" s="89" customFormat="1" hidden="1" x14ac:dyDescent="0.25">
      <c r="A1238" s="13"/>
      <c r="B1238" s="70" t="s">
        <v>2329</v>
      </c>
      <c r="C1238" s="13" t="s">
        <v>8</v>
      </c>
      <c r="D1238" s="104"/>
      <c r="E1238" s="104"/>
      <c r="F1238" s="104"/>
      <c r="G1238" s="104"/>
      <c r="H1238" s="104">
        <f>IF(ISERR('[1]Дополнительное+'!J213),"-",'[1]Дополнительное+'!J213)</f>
        <v>100</v>
      </c>
      <c r="I1238" s="104">
        <f>IF(ISERR('[1]Дополнительное+'!K213),"-",'[1]Дополнительное+'!K213)</f>
        <v>100</v>
      </c>
      <c r="J1238" s="104">
        <f>IF(ISERR('[1]Дополнительное+'!L213),"-",'[1]Дополнительное+'!L213)</f>
        <v>100</v>
      </c>
      <c r="K1238" s="104" t="str">
        <f>IF(ISERR('[1]Дополнительное+'!M213),"-",'[1]Дополнительное+'!M213)</f>
        <v>-</v>
      </c>
      <c r="L1238" s="104">
        <f>IF(ISERR('[1]Дополнительное+'!O213),"-",'[1]Дополнительное+'!O213)</f>
        <v>0</v>
      </c>
      <c r="M1238" s="104">
        <f>IF(ISERR('[1]Дополнительное+'!P213),"-",'[1]Дополнительное+'!P213)</f>
        <v>0</v>
      </c>
    </row>
    <row r="1239" spans="1:13" s="89" customFormat="1" hidden="1" x14ac:dyDescent="0.25">
      <c r="A1239" s="13"/>
      <c r="B1239" s="70" t="s">
        <v>2330</v>
      </c>
      <c r="C1239" s="13" t="s">
        <v>8</v>
      </c>
      <c r="D1239" s="104"/>
      <c r="E1239" s="104"/>
      <c r="F1239" s="104"/>
      <c r="G1239" s="104"/>
      <c r="H1239" s="104">
        <f>IF(ISERR('[1]Дополнительное+'!J214),"-",'[1]Дополнительное+'!J214)</f>
        <v>100</v>
      </c>
      <c r="I1239" s="104">
        <f>IF(ISERR('[1]Дополнительное+'!K214),"-",'[1]Дополнительное+'!K214)</f>
        <v>100</v>
      </c>
      <c r="J1239" s="104">
        <f>IF(ISERR('[1]Дополнительное+'!L214),"-",'[1]Дополнительное+'!L214)</f>
        <v>100</v>
      </c>
      <c r="K1239" s="104" t="str">
        <f>IF(ISERR('[1]Дополнительное+'!M214),"-",'[1]Дополнительное+'!M214)</f>
        <v>-</v>
      </c>
      <c r="L1239" s="104">
        <f>IF(ISERR('[1]Дополнительное+'!O214),"-",'[1]Дополнительное+'!O214)</f>
        <v>0</v>
      </c>
      <c r="M1239" s="104">
        <f>IF(ISERR('[1]Дополнительное+'!P214),"-",'[1]Дополнительное+'!P214)</f>
        <v>0</v>
      </c>
    </row>
    <row r="1240" spans="1:13" s="89" customFormat="1" hidden="1" x14ac:dyDescent="0.25">
      <c r="A1240" s="13"/>
      <c r="B1240" s="70" t="s">
        <v>2331</v>
      </c>
      <c r="C1240" s="13" t="s">
        <v>8</v>
      </c>
      <c r="D1240" s="104"/>
      <c r="E1240" s="104"/>
      <c r="F1240" s="104"/>
      <c r="G1240" s="104"/>
      <c r="H1240" s="104">
        <f>IF(ISERR('[1]Дополнительное+'!J215),"-",'[1]Дополнительное+'!J215)</f>
        <v>100</v>
      </c>
      <c r="I1240" s="104">
        <f>IF(ISERR('[1]Дополнительное+'!K215),"-",'[1]Дополнительное+'!K215)</f>
        <v>100</v>
      </c>
      <c r="J1240" s="104">
        <f>IF(ISERR('[1]Дополнительное+'!L215),"-",'[1]Дополнительное+'!L215)</f>
        <v>100</v>
      </c>
      <c r="K1240" s="104" t="str">
        <f>IF(ISERR('[1]Дополнительное+'!M215),"-",'[1]Дополнительное+'!M215)</f>
        <v>-</v>
      </c>
      <c r="L1240" s="104">
        <f>IF(ISERR('[1]Дополнительное+'!O215),"-",'[1]Дополнительное+'!O215)</f>
        <v>0</v>
      </c>
      <c r="M1240" s="104">
        <f>IF(ISERR('[1]Дополнительное+'!P215),"-",'[1]Дополнительное+'!P215)</f>
        <v>0</v>
      </c>
    </row>
    <row r="1241" spans="1:13" s="89" customFormat="1" hidden="1" x14ac:dyDescent="0.25">
      <c r="A1241" s="13"/>
      <c r="B1241" s="70" t="s">
        <v>2332</v>
      </c>
      <c r="C1241" s="13" t="s">
        <v>8</v>
      </c>
      <c r="D1241" s="104"/>
      <c r="E1241" s="104"/>
      <c r="F1241" s="104"/>
      <c r="G1241" s="104"/>
      <c r="H1241" s="104">
        <f>IF(ISERR('[1]Дополнительное+'!J216),"-",'[1]Дополнительное+'!J216)</f>
        <v>87.5</v>
      </c>
      <c r="I1241" s="104">
        <f>IF(ISERR('[1]Дополнительное+'!K216),"-",'[1]Дополнительное+'!K216)</f>
        <v>91.666666666666657</v>
      </c>
      <c r="J1241" s="104">
        <f>IF(ISERR('[1]Дополнительное+'!L216),"-",'[1]Дополнительное+'!L216)</f>
        <v>100</v>
      </c>
      <c r="K1241" s="104" t="str">
        <f>IF(ISERR('[1]Дополнительное+'!M216),"-",'[1]Дополнительное+'!M216)</f>
        <v>-</v>
      </c>
      <c r="L1241" s="104">
        <f>IF(ISERR('[1]Дополнительное+'!O216),"-",'[1]Дополнительное+'!O216)</f>
        <v>0</v>
      </c>
      <c r="M1241" s="104">
        <f>IF(ISERR('[1]Дополнительное+'!P216),"-",'[1]Дополнительное+'!P216)</f>
        <v>0</v>
      </c>
    </row>
    <row r="1242" spans="1:13" s="89" customFormat="1" hidden="1" x14ac:dyDescent="0.25">
      <c r="A1242" s="13"/>
      <c r="B1242" s="70" t="s">
        <v>2333</v>
      </c>
      <c r="C1242" s="13" t="s">
        <v>8</v>
      </c>
      <c r="D1242" s="104"/>
      <c r="E1242" s="104"/>
      <c r="F1242" s="104"/>
      <c r="G1242" s="104"/>
      <c r="H1242" s="104">
        <f>IF(ISERR('[1]Дополнительное+'!J217),"-",'[1]Дополнительное+'!J217)</f>
        <v>87.5</v>
      </c>
      <c r="I1242" s="104">
        <f>IF(ISERR('[1]Дополнительное+'!K217),"-",'[1]Дополнительное+'!K217)</f>
        <v>87.5</v>
      </c>
      <c r="J1242" s="104">
        <f>IF(ISERR('[1]Дополнительное+'!L217),"-",'[1]Дополнительное+'!L217)</f>
        <v>100</v>
      </c>
      <c r="K1242" s="104" t="str">
        <f>IF(ISERR('[1]Дополнительное+'!M217),"-",'[1]Дополнительное+'!M217)</f>
        <v>-</v>
      </c>
      <c r="L1242" s="104">
        <f>IF(ISERR('[1]Дополнительное+'!O217),"-",'[1]Дополнительное+'!O217)</f>
        <v>0</v>
      </c>
      <c r="M1242" s="104">
        <f>IF(ISERR('[1]Дополнительное+'!P217),"-",'[1]Дополнительное+'!P217)</f>
        <v>0</v>
      </c>
    </row>
    <row r="1243" spans="1:13" s="89" customFormat="1" hidden="1" x14ac:dyDescent="0.25">
      <c r="A1243" s="13"/>
      <c r="B1243" s="70" t="s">
        <v>2334</v>
      </c>
      <c r="C1243" s="13" t="s">
        <v>8</v>
      </c>
      <c r="D1243" s="104"/>
      <c r="E1243" s="104"/>
      <c r="F1243" s="104"/>
      <c r="G1243" s="104"/>
      <c r="H1243" s="104">
        <f>IF(ISERR('[1]Дополнительное+'!J218),"-",'[1]Дополнительное+'!J218)</f>
        <v>56.25</v>
      </c>
      <c r="I1243" s="104">
        <f>IF(ISERR('[1]Дополнительное+'!K218),"-",'[1]Дополнительное+'!K218)</f>
        <v>66.666666666666657</v>
      </c>
      <c r="J1243" s="104">
        <f>IF(ISERR('[1]Дополнительное+'!L218),"-",'[1]Дополнительное+'!L218)</f>
        <v>52.631578947368418</v>
      </c>
      <c r="K1243" s="104" t="str">
        <f>IF(ISERR('[1]Дополнительное+'!M218),"-",'[1]Дополнительное+'!M218)</f>
        <v>-</v>
      </c>
      <c r="L1243" s="104">
        <f>IF(ISERR('[1]Дополнительное+'!O218),"-",'[1]Дополнительное+'!O218)</f>
        <v>0</v>
      </c>
      <c r="M1243" s="104">
        <f>IF(ISERR('[1]Дополнительное+'!P218),"-",'[1]Дополнительное+'!P218)</f>
        <v>0</v>
      </c>
    </row>
    <row r="1244" spans="1:13" s="89" customFormat="1" hidden="1" x14ac:dyDescent="0.25">
      <c r="A1244" s="13"/>
      <c r="B1244" s="70" t="s">
        <v>2335</v>
      </c>
      <c r="C1244" s="13" t="s">
        <v>8</v>
      </c>
      <c r="D1244" s="104"/>
      <c r="E1244" s="104"/>
      <c r="F1244" s="104"/>
      <c r="G1244" s="104"/>
      <c r="H1244" s="104">
        <f>IF(ISERR('[1]Дополнительное+'!J219),"-",'[1]Дополнительное+'!J219)</f>
        <v>37.5</v>
      </c>
      <c r="I1244" s="104">
        <f>IF(ISERR('[1]Дополнительное+'!K219),"-",'[1]Дополнительное+'!K219)</f>
        <v>75</v>
      </c>
      <c r="J1244" s="104">
        <f>IF(ISERR('[1]Дополнительное+'!L219),"-",'[1]Дополнительное+'!L219)</f>
        <v>84.210526315789465</v>
      </c>
      <c r="K1244" s="104" t="str">
        <f>IF(ISERR('[1]Дополнительное+'!M219),"-",'[1]Дополнительное+'!M219)</f>
        <v>-</v>
      </c>
      <c r="L1244" s="104">
        <f>IF(ISERR('[1]Дополнительное+'!O219),"-",'[1]Дополнительное+'!O219)</f>
        <v>0</v>
      </c>
      <c r="M1244" s="104">
        <f>IF(ISERR('[1]Дополнительное+'!P219),"-",'[1]Дополнительное+'!P219)</f>
        <v>0</v>
      </c>
    </row>
    <row r="1245" spans="1:13" s="89" customFormat="1" hidden="1" x14ac:dyDescent="0.25">
      <c r="A1245" s="13"/>
      <c r="B1245" s="70" t="s">
        <v>2336</v>
      </c>
      <c r="C1245" s="13" t="s">
        <v>8</v>
      </c>
      <c r="D1245" s="104"/>
      <c r="E1245" s="104"/>
      <c r="F1245" s="104"/>
      <c r="G1245" s="104"/>
      <c r="H1245" s="104">
        <f>IF(ISERR('[1]Дополнительное+'!J220),"-",'[1]Дополнительное+'!J220)</f>
        <v>37.5</v>
      </c>
      <c r="I1245" s="104">
        <f>IF(ISERR('[1]Дополнительное+'!K220),"-",'[1]Дополнительное+'!K220)</f>
        <v>58.333333333333336</v>
      </c>
      <c r="J1245" s="104">
        <f>IF(ISERR('[1]Дополнительное+'!L220),"-",'[1]Дополнительное+'!L220)</f>
        <v>68.421052631578945</v>
      </c>
      <c r="K1245" s="104" t="str">
        <f>IF(ISERR('[1]Дополнительное+'!M220),"-",'[1]Дополнительное+'!M220)</f>
        <v>-</v>
      </c>
      <c r="L1245" s="104">
        <f>IF(ISERR('[1]Дополнительное+'!O220),"-",'[1]Дополнительное+'!O220)</f>
        <v>0</v>
      </c>
      <c r="M1245" s="104">
        <f>IF(ISERR('[1]Дополнительное+'!P220),"-",'[1]Дополнительное+'!P220)</f>
        <v>0</v>
      </c>
    </row>
    <row r="1246" spans="1:13" s="89" customFormat="1" ht="30" hidden="1" x14ac:dyDescent="0.25">
      <c r="A1246" s="13" t="s">
        <v>830</v>
      </c>
      <c r="B1246" s="70" t="s">
        <v>831</v>
      </c>
      <c r="C1246" s="13"/>
      <c r="D1246" s="109"/>
      <c r="E1246" s="109"/>
      <c r="F1246" s="109"/>
      <c r="G1246" s="109"/>
      <c r="H1246" s="109"/>
      <c r="I1246" s="109"/>
      <c r="J1246" s="109"/>
      <c r="K1246" s="109"/>
      <c r="L1246" s="109"/>
      <c r="M1246" s="109"/>
    </row>
    <row r="1247" spans="1:13" s="89" customFormat="1" hidden="1" x14ac:dyDescent="0.25">
      <c r="A1247" s="395"/>
      <c r="B1247" s="70" t="s">
        <v>1301</v>
      </c>
      <c r="C1247" s="13"/>
      <c r="D1247" s="109"/>
      <c r="E1247" s="109"/>
      <c r="F1247" s="109"/>
      <c r="G1247" s="109"/>
      <c r="H1247" s="109"/>
      <c r="I1247" s="109"/>
      <c r="J1247" s="109"/>
      <c r="K1247" s="109"/>
      <c r="L1247" s="109"/>
      <c r="M1247" s="109"/>
    </row>
    <row r="1248" spans="1:13" s="89" customFormat="1" hidden="1" x14ac:dyDescent="0.25">
      <c r="A1248" s="395"/>
      <c r="B1248" s="70" t="s">
        <v>2338</v>
      </c>
      <c r="C1248" s="13" t="s">
        <v>1112</v>
      </c>
      <c r="D1248" s="104">
        <f>IF(ISERR('[1]Дополнительное+'!F243),"-",'[1]Дополнительное+'!F243)</f>
        <v>1.1700334644226775</v>
      </c>
      <c r="E1248" s="104">
        <f>IF(ISERR('[1]Дополнительное+'!G243),"-",'[1]Дополнительное+'!G243)</f>
        <v>1.04</v>
      </c>
      <c r="F1248" s="104">
        <f>IF(ISERR('[1]Дополнительное+'!H243),"-",'[1]Дополнительное+'!H243)</f>
        <v>1.0736019820344282</v>
      </c>
      <c r="G1248" s="104">
        <f>IF(ISERR('[1]Дополнительное+'!I243),"-",'[1]Дополнительное+'!I243)</f>
        <v>1.2212376200759549</v>
      </c>
      <c r="H1248" s="104">
        <f>IF(ISERR('[1]Дополнительное+'!J243),"-",'[1]Дополнительное+'!J243)</f>
        <v>1.3553924738135266</v>
      </c>
      <c r="I1248" s="104">
        <f>IF(ISERR('[1]Дополнительное+'!K243),"-",'[1]Дополнительное+'!K243)</f>
        <v>1.4680735705050674</v>
      </c>
      <c r="J1248" s="104">
        <f>IF(ISERR('[1]Дополнительное+'!L243),"-",'[1]Дополнительное+'!L243)</f>
        <v>1.5186802523047065</v>
      </c>
      <c r="K1248" s="104">
        <f>IF(ISERR('[1]Дополнительное+'!M243),"-",'[1]Дополнительное+'!M243)</f>
        <v>0.36719706242350064</v>
      </c>
      <c r="L1248" s="104">
        <f>IF(ISERR('[1]Дополнительное+'!O243),"-",'[1]Дополнительное+'!O243)</f>
        <v>0</v>
      </c>
      <c r="M1248" s="104">
        <f>IF(ISERR('[1]Дополнительное+'!P243),"-",'[1]Дополнительное+'!P243)</f>
        <v>0</v>
      </c>
    </row>
    <row r="1249" spans="1:13" s="89" customFormat="1" hidden="1" x14ac:dyDescent="0.25">
      <c r="A1249" s="395"/>
      <c r="B1249" s="70" t="s">
        <v>2339</v>
      </c>
      <c r="C1249" s="13" t="s">
        <v>1112</v>
      </c>
      <c r="D1249" s="104">
        <f>IF(ISERR('[1]Дополнительное+'!F244),"-",'[1]Дополнительное+'!F244)</f>
        <v>0.6912723808593273</v>
      </c>
      <c r="E1249" s="104">
        <f>IF(ISERR('[1]Дополнительное+'!G244),"-",'[1]Дополнительное+'!G244)</f>
        <v>0.6763098327168332</v>
      </c>
      <c r="F1249" s="104">
        <f>IF(ISERR('[1]Дополнительное+'!H244),"-",'[1]Дополнительное+'!H244)</f>
        <v>0.6681243103833423</v>
      </c>
      <c r="G1249" s="104">
        <f>IF(ISERR('[1]Дополнительное+'!I244),"-",'[1]Дополнительное+'!I244)</f>
        <v>0.75007277330607436</v>
      </c>
      <c r="H1249" s="104">
        <v>0.9</v>
      </c>
      <c r="I1249" s="104">
        <v>0.9</v>
      </c>
      <c r="J1249" s="104">
        <v>0.9</v>
      </c>
      <c r="K1249" s="104">
        <v>0.9</v>
      </c>
      <c r="L1249" s="104">
        <v>0.9</v>
      </c>
      <c r="M1249" s="104">
        <v>0.9</v>
      </c>
    </row>
    <row r="1250" spans="1:13" s="89" customFormat="1" hidden="1" x14ac:dyDescent="0.25">
      <c r="A1250" s="395"/>
      <c r="B1250" s="70" t="s">
        <v>1302</v>
      </c>
      <c r="C1250" s="13"/>
      <c r="D1250" s="104"/>
      <c r="E1250" s="104"/>
      <c r="F1250" s="104"/>
      <c r="G1250" s="104"/>
      <c r="H1250" s="104"/>
      <c r="I1250" s="104"/>
      <c r="J1250" s="104"/>
      <c r="K1250" s="104"/>
      <c r="L1250" s="104"/>
      <c r="M1250" s="104"/>
    </row>
    <row r="1251" spans="1:13" s="89" customFormat="1" hidden="1" x14ac:dyDescent="0.25">
      <c r="A1251" s="395"/>
      <c r="B1251" s="70" t="s">
        <v>2338</v>
      </c>
      <c r="C1251" s="13" t="s">
        <v>1112</v>
      </c>
      <c r="D1251" s="104"/>
      <c r="E1251" s="104"/>
      <c r="F1251" s="104"/>
      <c r="G1251" s="104"/>
      <c r="H1251" s="104">
        <f>IF(ISERR('[1]Дополнительное+'!J246),"-",'[1]Дополнительное+'!J246)</f>
        <v>4.8919496556637379</v>
      </c>
      <c r="I1251" s="104">
        <f>IF(ISERR('[1]Дополнительное+'!K246),"-",'[1]Дополнительное+'!K246)</f>
        <v>4.2256328483157271</v>
      </c>
      <c r="J1251" s="104">
        <f>IF(ISERR('[1]Дополнительное+'!L246),"-",'[1]Дополнительное+'!L246)</f>
        <v>2.9440870856011876</v>
      </c>
      <c r="K1251" s="104" t="str">
        <f>IF(ISERR('[1]Дополнительное+'!M246),"-",'[1]Дополнительное+'!M246)</f>
        <v>-</v>
      </c>
      <c r="L1251" s="104">
        <f>IF(ISERR('[1]Дополнительное+'!O246),"-",'[1]Дополнительное+'!O246)</f>
        <v>0</v>
      </c>
      <c r="M1251" s="104">
        <f>IF(ISERR('[1]Дополнительное+'!P246),"-",'[1]Дополнительное+'!P246)</f>
        <v>0</v>
      </c>
    </row>
    <row r="1252" spans="1:13" s="89" customFormat="1" hidden="1" x14ac:dyDescent="0.25">
      <c r="A1252" s="395"/>
      <c r="B1252" s="70" t="s">
        <v>2339</v>
      </c>
      <c r="C1252" s="13" t="s">
        <v>1112</v>
      </c>
      <c r="D1252" s="104"/>
      <c r="E1252" s="104"/>
      <c r="F1252" s="104"/>
      <c r="G1252" s="104"/>
      <c r="H1252" s="104">
        <f>IF(ISERR('[1]Дополнительное+'!J247),"-",'[1]Дополнительное+'!J247)</f>
        <v>2.4459748278318689</v>
      </c>
      <c r="I1252" s="104">
        <f>IF(ISERR('[1]Дополнительное+'!K247),"-",'[1]Дополнительное+'!K247)</f>
        <v>1.913494119992027</v>
      </c>
      <c r="J1252" s="104">
        <f>IF(ISERR('[1]Дополнительное+'!L247),"-",'[1]Дополнительное+'!L247)</f>
        <v>2.3750618505690251</v>
      </c>
      <c r="K1252" s="104" t="str">
        <f>IF(ISERR('[1]Дополнительное+'!M247),"-",'[1]Дополнительное+'!M247)</f>
        <v>-</v>
      </c>
      <c r="L1252" s="104">
        <f>IF(ISERR('[1]Дополнительное+'!O247),"-",'[1]Дополнительное+'!O247)</f>
        <v>0</v>
      </c>
      <c r="M1252" s="104">
        <f>IF(ISERR('[1]Дополнительное+'!P247),"-",'[1]Дополнительное+'!P247)</f>
        <v>0</v>
      </c>
    </row>
    <row r="1253" spans="1:13" s="89" customFormat="1" ht="60" hidden="1" x14ac:dyDescent="0.25">
      <c r="A1253" s="99" t="s">
        <v>835</v>
      </c>
      <c r="B1253" s="100" t="s">
        <v>834</v>
      </c>
      <c r="C1253" s="87"/>
      <c r="D1253" s="109"/>
      <c r="E1253" s="109"/>
      <c r="F1253" s="109"/>
      <c r="G1253" s="109"/>
      <c r="H1253" s="109"/>
      <c r="I1253" s="109"/>
      <c r="J1253" s="109"/>
      <c r="K1253" s="109"/>
      <c r="L1253" s="109"/>
      <c r="M1253" s="109"/>
    </row>
    <row r="1254" spans="1:13" s="89" customFormat="1" hidden="1" x14ac:dyDescent="0.25">
      <c r="A1254" s="13" t="s">
        <v>836</v>
      </c>
      <c r="B1254" s="70" t="s">
        <v>2340</v>
      </c>
      <c r="C1254" s="13"/>
      <c r="D1254" s="104">
        <f>IF(ISERR('[1]Дополнительное+'!F258),"-",'[1]Дополнительное+'!F258)</f>
        <v>91.304347826086953</v>
      </c>
      <c r="E1254" s="104">
        <f>IF(ISERR('[1]Дополнительное+'!G258),"-",'[1]Дополнительное+'!G258)</f>
        <v>265.07936507936506</v>
      </c>
      <c r="F1254" s="104">
        <f>IF(ISERR('[1]Дополнительное+'!H258),"-",'[1]Дополнительное+'!H258)</f>
        <v>94.011976047904184</v>
      </c>
      <c r="G1254" s="104">
        <f>IF(ISERR('[1]Дополнительное+'!I258),"-",'[1]Дополнительное+'!I258)</f>
        <v>96.815286624203821</v>
      </c>
      <c r="H1254" s="104"/>
      <c r="I1254" s="104"/>
      <c r="J1254" s="104"/>
      <c r="K1254" s="104"/>
      <c r="L1254" s="104"/>
      <c r="M1254" s="104"/>
    </row>
    <row r="1255" spans="1:13" s="89" customFormat="1" hidden="1" x14ac:dyDescent="0.25">
      <c r="A1255" s="13"/>
      <c r="B1255" s="70" t="s">
        <v>1301</v>
      </c>
      <c r="C1255" s="13" t="s">
        <v>8</v>
      </c>
      <c r="D1255" s="104"/>
      <c r="E1255" s="104"/>
      <c r="F1255" s="104"/>
      <c r="G1255" s="104"/>
      <c r="H1255" s="104">
        <v>85.88</v>
      </c>
      <c r="I1255" s="104">
        <v>85.88</v>
      </c>
      <c r="J1255" s="104">
        <v>85.88</v>
      </c>
      <c r="K1255" s="104">
        <v>85.88</v>
      </c>
      <c r="L1255" s="104">
        <v>85.88</v>
      </c>
      <c r="M1255" s="104">
        <v>85.88</v>
      </c>
    </row>
    <row r="1256" spans="1:13" s="89" customFormat="1" hidden="1" x14ac:dyDescent="0.25">
      <c r="A1256" s="13"/>
      <c r="B1256" s="70" t="s">
        <v>1302</v>
      </c>
      <c r="C1256" s="13" t="s">
        <v>8</v>
      </c>
      <c r="D1256" s="104"/>
      <c r="E1256" s="104"/>
      <c r="F1256" s="104"/>
      <c r="G1256" s="104"/>
      <c r="H1256" s="104">
        <v>111.11</v>
      </c>
      <c r="I1256" s="104">
        <v>111.11</v>
      </c>
      <c r="J1256" s="104">
        <v>111.11</v>
      </c>
      <c r="K1256" s="104">
        <v>111.11</v>
      </c>
      <c r="L1256" s="104">
        <v>111.11</v>
      </c>
      <c r="M1256" s="104">
        <v>111.11</v>
      </c>
    </row>
    <row r="1257" spans="1:13" s="89" customFormat="1" ht="45" hidden="1" x14ac:dyDescent="0.25">
      <c r="A1257" s="99" t="s">
        <v>840</v>
      </c>
      <c r="B1257" s="100" t="s">
        <v>1890</v>
      </c>
      <c r="C1257" s="87"/>
      <c r="D1257" s="109"/>
      <c r="E1257" s="109"/>
      <c r="F1257" s="109"/>
      <c r="G1257" s="109"/>
      <c r="H1257" s="109"/>
      <c r="I1257" s="109"/>
      <c r="J1257" s="109"/>
      <c r="K1257" s="109"/>
      <c r="L1257" s="109"/>
      <c r="M1257" s="109"/>
    </row>
    <row r="1258" spans="1:13" s="89" customFormat="1" ht="30" hidden="1" x14ac:dyDescent="0.25">
      <c r="A1258" s="13" t="s">
        <v>842</v>
      </c>
      <c r="B1258" s="70" t="s">
        <v>2341</v>
      </c>
      <c r="C1258" s="13"/>
      <c r="D1258" s="104">
        <f>IF(ISERR('[1]Дополнительное+'!F274),"-",'[1]Дополнительное+'!F274)</f>
        <v>24.346438969490862</v>
      </c>
      <c r="E1258" s="104">
        <f>IF(ISERR('[1]Дополнительное+'!G274),"-",'[1]Дополнительное+'!G274)</f>
        <v>26.907468479667166</v>
      </c>
      <c r="F1258" s="104">
        <f>IF(ISERR('[1]Дополнительное+'!H274),"-",'[1]Дополнительное+'!H274)</f>
        <v>27.167200680868106</v>
      </c>
      <c r="G1258" s="104">
        <f>IF(ISERR('[1]Дополнительное+'!I274),"-",'[1]Дополнительное+'!I274)</f>
        <v>28.502641376534513</v>
      </c>
      <c r="H1258" s="104"/>
      <c r="I1258" s="104"/>
      <c r="J1258" s="104"/>
      <c r="K1258" s="104"/>
      <c r="L1258" s="104"/>
      <c r="M1258" s="104"/>
    </row>
    <row r="1259" spans="1:13" s="89" customFormat="1" ht="75" hidden="1" x14ac:dyDescent="0.25">
      <c r="A1259" s="13"/>
      <c r="B1259" s="70" t="s">
        <v>1301</v>
      </c>
      <c r="C1259" s="13" t="s">
        <v>1114</v>
      </c>
      <c r="D1259" s="104"/>
      <c r="E1259" s="104"/>
      <c r="F1259" s="104"/>
      <c r="G1259" s="104"/>
      <c r="H1259" s="104">
        <f>IF(ISERR('[1]Дополнительное+'!J275),"-",'[1]Дополнительное+'!J275)</f>
        <v>52.381223328591751</v>
      </c>
      <c r="I1259" s="104">
        <f>IF(ISERR('[1]Дополнительное+'!K275),"-",'[1]Дополнительное+'!K275)</f>
        <v>53.727730741961047</v>
      </c>
      <c r="J1259" s="104">
        <f>IF(ISERR('[1]Дополнительное+'!L275),"-",'[1]Дополнительное+'!L275)</f>
        <v>48.866690926734591</v>
      </c>
      <c r="K1259" s="104">
        <f>IF(ISERR('[1]Дополнительное+'!M275),"-",'[1]Дополнительное+'!M275)</f>
        <v>10.840356705717783</v>
      </c>
      <c r="L1259" s="104">
        <f>IF(ISERR('[1]Дополнительное+'!O275),"-",'[1]Дополнительное+'!O275)</f>
        <v>0</v>
      </c>
      <c r="M1259" s="104" t="str">
        <f>IF(ISERR('[1]Дополнительное+'!P275),"-",'[1]Дополнительное+'!P275)</f>
        <v>Российская Федерация, субъекты Российской Федерации</v>
      </c>
    </row>
    <row r="1260" spans="1:13" s="89" customFormat="1" hidden="1" x14ac:dyDescent="0.25">
      <c r="A1260" s="13"/>
      <c r="B1260" s="70" t="s">
        <v>1302</v>
      </c>
      <c r="C1260" s="13" t="s">
        <v>1114</v>
      </c>
      <c r="D1260" s="104"/>
      <c r="E1260" s="104"/>
      <c r="F1260" s="104"/>
      <c r="G1260" s="104"/>
      <c r="H1260" s="104">
        <f>IF(ISERR('[1]Дополнительное+'!J276),"-",'[1]Дополнительное+'!J276)</f>
        <v>47.220137734504867</v>
      </c>
      <c r="I1260" s="104">
        <f>IF(ISERR('[1]Дополнительное+'!K276),"-",'[1]Дополнительное+'!K276)</f>
        <v>47.005780346820806</v>
      </c>
      <c r="J1260" s="104">
        <f>IF(ISERR('[1]Дополнительное+'!L276),"-",'[1]Дополнительное+'!L276)</f>
        <v>17.864670954972787</v>
      </c>
      <c r="K1260" s="104" t="str">
        <f>IF(ISERR('[1]Дополнительное+'!M276),"-",'[1]Дополнительное+'!M276)</f>
        <v>-</v>
      </c>
      <c r="L1260" s="104">
        <f>IF(ISERR('[1]Дополнительное+'!O276),"-",'[1]Дополнительное+'!O276)</f>
        <v>0</v>
      </c>
      <c r="M1260" s="104">
        <f>IF(ISERR('[1]Дополнительное+'!P276),"-",'[1]Дополнительное+'!P276)</f>
        <v>0</v>
      </c>
    </row>
    <row r="1261" spans="1:13" s="89" customFormat="1" ht="30" hidden="1" x14ac:dyDescent="0.25">
      <c r="A1261" s="13" t="s">
        <v>1179</v>
      </c>
      <c r="B1261" s="70" t="s">
        <v>2342</v>
      </c>
      <c r="C1261" s="13"/>
      <c r="D1261" s="104">
        <f>IF(ISERR('[1]Дополнительное+'!F282),"-",'[1]Дополнительное+'!F282)</f>
        <v>4.024722845267668</v>
      </c>
      <c r="E1261" s="104">
        <f>IF(ISERR('[1]Дополнительное+'!G282),"-",'[1]Дополнительное+'!G282)</f>
        <v>3.4003180078922148</v>
      </c>
      <c r="F1261" s="104">
        <f>IF(ISERR('[1]Дополнительное+'!H282),"-",'[1]Дополнительное+'!H282)</f>
        <v>4.068082400989586</v>
      </c>
      <c r="G1261" s="104">
        <f>IF(ISERR('[1]Дополнительное+'!I282),"-",'[1]Дополнительное+'!I282)</f>
        <v>5.7887341719643759</v>
      </c>
      <c r="H1261" s="104"/>
      <c r="I1261" s="104"/>
      <c r="J1261" s="104"/>
      <c r="K1261" s="104"/>
      <c r="L1261" s="104"/>
      <c r="M1261" s="104"/>
    </row>
    <row r="1262" spans="1:13" s="89" customFormat="1" ht="75" hidden="1" x14ac:dyDescent="0.25">
      <c r="A1262" s="13"/>
      <c r="B1262" s="70" t="s">
        <v>1301</v>
      </c>
      <c r="C1262" s="13" t="s">
        <v>8</v>
      </c>
      <c r="D1262" s="104"/>
      <c r="E1262" s="104"/>
      <c r="F1262" s="104"/>
      <c r="G1262" s="104"/>
      <c r="H1262" s="104">
        <f>IF(ISERR('[1]Дополнительное+'!J283),"-",'[1]Дополнительное+'!J283)</f>
        <v>8.2738931378745093</v>
      </c>
      <c r="I1262" s="104">
        <f>IF(ISERR('[1]Дополнительное+'!K283),"-",'[1]Дополнительное+'!K283)</f>
        <v>16.408143950714383</v>
      </c>
      <c r="J1262" s="104">
        <f>IF(ISERR('[1]Дополнительное+'!L283),"-",'[1]Дополнительное+'!L283)</f>
        <v>17.559315919379166</v>
      </c>
      <c r="K1262" s="104">
        <f>IF(ISERR('[1]Дополнительное+'!M283),"-",'[1]Дополнительное+'!M283)</f>
        <v>22.743402800180657</v>
      </c>
      <c r="L1262" s="104">
        <f>IF(ISERR('[1]Дополнительное+'!O283),"-",'[1]Дополнительное+'!O283)</f>
        <v>0</v>
      </c>
      <c r="M1262" s="104" t="str">
        <f>IF(ISERR('[1]Дополнительное+'!P283),"-",'[1]Дополнительное+'!P283)</f>
        <v>Российская Федерация, субъекты Российской Федерации</v>
      </c>
    </row>
    <row r="1263" spans="1:13" s="89" customFormat="1" hidden="1" x14ac:dyDescent="0.25">
      <c r="A1263" s="13"/>
      <c r="B1263" s="70" t="s">
        <v>1302</v>
      </c>
      <c r="C1263" s="13" t="s">
        <v>8</v>
      </c>
      <c r="D1263" s="104"/>
      <c r="E1263" s="104"/>
      <c r="F1263" s="104"/>
      <c r="G1263" s="104"/>
      <c r="H1263" s="104">
        <f>IF(ISERR('[1]Дополнительное+'!J284),"-",'[1]Дополнительное+'!J284)</f>
        <v>93.62213594576653</v>
      </c>
      <c r="I1263" s="104">
        <f>IF(ISERR('[1]Дополнительное+'!K284),"-",'[1]Дополнительное+'!K284)</f>
        <v>95.96739996946927</v>
      </c>
      <c r="J1263" s="104">
        <f>IF(ISERR('[1]Дополнительное+'!L284),"-",'[1]Дополнительное+'!L284)</f>
        <v>74.741375728787276</v>
      </c>
      <c r="K1263" s="104" t="str">
        <f>IF(ISERR('[1]Дополнительное+'!M284),"-",'[1]Дополнительное+'!M284)</f>
        <v>-</v>
      </c>
      <c r="L1263" s="104">
        <f>IF(ISERR('[1]Дополнительное+'!O284),"-",'[1]Дополнительное+'!O284)</f>
        <v>0</v>
      </c>
      <c r="M1263" s="104">
        <f>IF(ISERR('[1]Дополнительное+'!P284),"-",'[1]Дополнительное+'!P284)</f>
        <v>0</v>
      </c>
    </row>
    <row r="1264" spans="1:13" s="89" customFormat="1" ht="45" hidden="1" x14ac:dyDescent="0.25">
      <c r="A1264" s="99" t="s">
        <v>847</v>
      </c>
      <c r="B1264" s="100" t="s">
        <v>846</v>
      </c>
      <c r="C1264" s="87"/>
      <c r="D1264" s="109"/>
      <c r="E1264" s="109"/>
      <c r="F1264" s="109"/>
      <c r="G1264" s="109"/>
      <c r="H1264" s="109"/>
      <c r="I1264" s="109"/>
      <c r="J1264" s="109"/>
      <c r="K1264" s="109"/>
      <c r="L1264" s="109"/>
      <c r="M1264" s="109"/>
    </row>
    <row r="1265" spans="1:13" s="89" customFormat="1" ht="30" hidden="1" x14ac:dyDescent="0.25">
      <c r="A1265" s="13" t="s">
        <v>848</v>
      </c>
      <c r="B1265" s="70" t="s">
        <v>2343</v>
      </c>
      <c r="C1265" s="13"/>
      <c r="D1265" s="104" t="str">
        <f>IF(ISERR('[1]Дополнительное+'!F291),"-",'[1]Дополнительное+'!F291)</f>
        <v>-</v>
      </c>
      <c r="E1265" s="104">
        <f>IF(ISERR('[1]Дополнительное+'!G291),"-",'[1]Дополнительное+'!G291)</f>
        <v>1.639344262295082</v>
      </c>
      <c r="F1265" s="104">
        <f>IF(ISERR('[1]Дополнительное+'!H291),"-",'[1]Дополнительное+'!H291)</f>
        <v>1.7543859649122806</v>
      </c>
      <c r="G1265" s="104">
        <f>IF(ISERR('[1]Дополнительное+'!I291),"-",'[1]Дополнительное+'!I291)</f>
        <v>1.8181818181818181</v>
      </c>
      <c r="H1265" s="104"/>
      <c r="I1265" s="104"/>
      <c r="J1265" s="104"/>
      <c r="K1265" s="104"/>
      <c r="L1265" s="104"/>
      <c r="M1265" s="104"/>
    </row>
    <row r="1266" spans="1:13" s="89" customFormat="1" hidden="1" x14ac:dyDescent="0.25">
      <c r="A1266" s="13"/>
      <c r="B1266" s="70" t="s">
        <v>1301</v>
      </c>
      <c r="C1266" s="13" t="s">
        <v>8</v>
      </c>
      <c r="D1266" s="104"/>
      <c r="E1266" s="104"/>
      <c r="F1266" s="104"/>
      <c r="G1266" s="104"/>
      <c r="H1266" s="104">
        <f>IF(ISERR('[1]Дополнительное+'!J292),"-",'[1]Дополнительное+'!J292)</f>
        <v>3.7313432835820892</v>
      </c>
      <c r="I1266" s="104">
        <f>IF(ISERR('[1]Дополнительное+'!K292),"-",'[1]Дополнительное+'!K292)</f>
        <v>3.3613445378151261</v>
      </c>
      <c r="J1266" s="104">
        <f>IF(ISERR('[1]Дополнительное+'!L292),"-",'[1]Дополнительное+'!L292)</f>
        <v>5.6074766355140184</v>
      </c>
      <c r="K1266" s="104">
        <f>IF(ISERR('[1]Дополнительное+'!M292),"-",'[1]Дополнительное+'!M292)</f>
        <v>0</v>
      </c>
      <c r="L1266" s="104">
        <f>IF(ISERR('[1]Дополнительное+'!O292),"-",'[1]Дополнительное+'!O292)</f>
        <v>0</v>
      </c>
      <c r="M1266" s="104">
        <f>IF(ISERR('[1]Дополнительное+'!P292),"-",'[1]Дополнительное+'!P292)</f>
        <v>0</v>
      </c>
    </row>
    <row r="1267" spans="1:13" s="89" customFormat="1" hidden="1" x14ac:dyDescent="0.25">
      <c r="A1267" s="13"/>
      <c r="B1267" s="70" t="s">
        <v>1302</v>
      </c>
      <c r="C1267" s="13" t="s">
        <v>8</v>
      </c>
      <c r="D1267" s="104"/>
      <c r="E1267" s="104"/>
      <c r="F1267" s="104"/>
      <c r="G1267" s="104"/>
      <c r="H1267" s="104">
        <f>IF(ISERR('[1]Дополнительное+'!J293),"-",'[1]Дополнительное+'!J293)</f>
        <v>12.5</v>
      </c>
      <c r="I1267" s="104">
        <f>IF(ISERR('[1]Дополнительное+'!K293),"-",'[1]Дополнительное+'!K293)</f>
        <v>12.5</v>
      </c>
      <c r="J1267" s="104">
        <f>IF(ISERR('[1]Дополнительное+'!L293),"-",'[1]Дополнительное+'!L293)</f>
        <v>26.315789473684209</v>
      </c>
      <c r="K1267" s="104" t="str">
        <f>IF(ISERR('[1]Дополнительное+'!M293),"-",'[1]Дополнительное+'!M293)</f>
        <v>-</v>
      </c>
      <c r="L1267" s="104">
        <f>IF(ISERR('[1]Дополнительное+'!O293),"-",'[1]Дополнительное+'!O293)</f>
        <v>0</v>
      </c>
      <c r="M1267" s="104">
        <f>IF(ISERR('[1]Дополнительное+'!P293),"-",'[1]Дополнительное+'!P293)</f>
        <v>0</v>
      </c>
    </row>
    <row r="1268" spans="1:13" s="89" customFormat="1" ht="45" hidden="1" x14ac:dyDescent="0.25">
      <c r="A1268" s="99" t="s">
        <v>853</v>
      </c>
      <c r="B1268" s="100" t="s">
        <v>852</v>
      </c>
      <c r="C1268" s="87"/>
      <c r="D1268" s="109"/>
      <c r="E1268" s="109"/>
      <c r="F1268" s="109"/>
      <c r="G1268" s="109"/>
      <c r="H1268" s="109"/>
      <c r="I1268" s="109"/>
      <c r="J1268" s="109"/>
      <c r="K1268" s="109"/>
      <c r="L1268" s="109"/>
      <c r="M1268" s="109"/>
    </row>
    <row r="1269" spans="1:13" s="89" customFormat="1" ht="165" hidden="1" x14ac:dyDescent="0.25">
      <c r="A1269" s="13" t="s">
        <v>855</v>
      </c>
      <c r="B1269" s="70" t="s">
        <v>854</v>
      </c>
      <c r="C1269" s="13" t="s">
        <v>8</v>
      </c>
      <c r="D1269" s="104">
        <f>IF(ISERR('[1]Дополнительное+'!F300),"-",'[1]Дополнительное+'!F300)</f>
        <v>82.539682539682531</v>
      </c>
      <c r="E1269" s="104">
        <f>IF(ISERR('[1]Дополнительное+'!G300),"-",'[1]Дополнительное+'!G300)</f>
        <v>81.967213114754102</v>
      </c>
      <c r="F1269" s="104">
        <f>IF(ISERR('[1]Дополнительное+'!H300),"-",'[1]Дополнительное+'!H300)</f>
        <v>71.929824561403507</v>
      </c>
      <c r="G1269" s="104">
        <f>IF(ISERR('[1]Дополнительное+'!I300),"-",'[1]Дополнительное+'!I300)</f>
        <v>69.090909090909093</v>
      </c>
      <c r="H1269" s="104" t="str">
        <f>IF(ISERR('[1]Дополнительное+'!J300),"-",'[1]Дополнительное+'!J300)</f>
        <v>-</v>
      </c>
      <c r="I1269" s="104" t="str">
        <f>IF(ISERR('[1]Дополнительное+'!K300),"-",'[1]Дополнительное+'!K300)</f>
        <v>-</v>
      </c>
      <c r="J1269" s="104" t="str">
        <f>IF(ISERR('[1]Дополнительное+'!L300),"-",'[1]Дополнительное+'!L300)</f>
        <v>-</v>
      </c>
      <c r="K1269" s="104" t="str">
        <f>IF(ISERR('[1]Дополнительное+'!M300),"-",'[1]Дополнительное+'!M300)</f>
        <v>-</v>
      </c>
      <c r="L1269" s="104" t="str">
        <f>IF(ISERR('[1]Дополнительное+'!O300),"-",'[1]Дополнительное+'!O300)</f>
        <v>Российская Федерация, субъекты Российской Федерации; города и поселки городского типа; сельская местность</v>
      </c>
      <c r="M1269" s="104">
        <f>IF(ISERR('[1]Дополнительное+'!P300),"-",'[1]Дополнительное+'!P300)</f>
        <v>0</v>
      </c>
    </row>
    <row r="1270" spans="1:13" s="89" customFormat="1" ht="165" hidden="1" x14ac:dyDescent="0.25">
      <c r="A1270" s="13" t="s">
        <v>857</v>
      </c>
      <c r="B1270" s="70" t="s">
        <v>858</v>
      </c>
      <c r="C1270" s="13" t="s">
        <v>8</v>
      </c>
      <c r="D1270" s="104">
        <f>IF(ISERR('[1]Дополнительное+'!F303),"-",'[1]Дополнительное+'!F303)</f>
        <v>95.238095238095227</v>
      </c>
      <c r="E1270" s="104">
        <f>IF(ISERR('[1]Дополнительное+'!G303),"-",'[1]Дополнительное+'!G303)</f>
        <v>91.803278688524586</v>
      </c>
      <c r="F1270" s="104">
        <f>IF(ISERR('[1]Дополнительное+'!H303),"-",'[1]Дополнительное+'!H303)</f>
        <v>91.228070175438589</v>
      </c>
      <c r="G1270" s="104">
        <f>IF(ISERR('[1]Дополнительное+'!I303),"-",'[1]Дополнительное+'!I303)</f>
        <v>94.545454545454547</v>
      </c>
      <c r="H1270" s="104" t="str">
        <f>IF(ISERR('[1]Дополнительное+'!J303),"-",'[1]Дополнительное+'!J303)</f>
        <v>-</v>
      </c>
      <c r="I1270" s="104" t="str">
        <f>IF(ISERR('[1]Дополнительное+'!K303),"-",'[1]Дополнительное+'!K303)</f>
        <v>-</v>
      </c>
      <c r="J1270" s="104" t="str">
        <f>IF(ISERR('[1]Дополнительное+'!L303),"-",'[1]Дополнительное+'!L303)</f>
        <v>-</v>
      </c>
      <c r="K1270" s="104" t="str">
        <f>IF(ISERR('[1]Дополнительное+'!M303),"-",'[1]Дополнительное+'!M303)</f>
        <v>-</v>
      </c>
      <c r="L1270" s="104" t="str">
        <f>IF(ISERR('[1]Дополнительное+'!O303),"-",'[1]Дополнительное+'!O303)</f>
        <v>Российская Федерация, субъекты Российской Федерации; города и поселки городского типа; сельская местность</v>
      </c>
      <c r="M1270" s="104" t="str">
        <f>IF(ISERR('[1]Дополнительное+'!P303),"-",'[1]Дополнительное+'!P303)</f>
        <v>-</v>
      </c>
    </row>
    <row r="1271" spans="1:13" s="89" customFormat="1" ht="30" hidden="1" x14ac:dyDescent="0.25">
      <c r="A1271" s="13" t="s">
        <v>855</v>
      </c>
      <c r="B1271" s="70" t="s">
        <v>2344</v>
      </c>
      <c r="C1271" s="13"/>
      <c r="D1271" s="104">
        <f>IF(ISERR('[1]Дополнительное+'!F306),"-",'[1]Дополнительное+'!F306)</f>
        <v>0</v>
      </c>
      <c r="E1271" s="104">
        <f>IF(ISERR('[1]Дополнительное+'!G306),"-",'[1]Дополнительное+'!G306)</f>
        <v>0</v>
      </c>
      <c r="F1271" s="104">
        <f>IF(ISERR('[1]Дополнительное+'!H306),"-",'[1]Дополнительное+'!H306)</f>
        <v>0</v>
      </c>
      <c r="G1271" s="104">
        <f>IF(ISERR('[1]Дополнительное+'!I306),"-",'[1]Дополнительное+'!I306)</f>
        <v>0</v>
      </c>
      <c r="H1271" s="104"/>
      <c r="I1271" s="104"/>
      <c r="J1271" s="104"/>
      <c r="K1271" s="104"/>
      <c r="L1271" s="104"/>
      <c r="M1271" s="104"/>
    </row>
    <row r="1272" spans="1:13" s="89" customFormat="1" ht="165" hidden="1" x14ac:dyDescent="0.25">
      <c r="A1272" s="13"/>
      <c r="B1272" s="70" t="s">
        <v>1301</v>
      </c>
      <c r="C1272" s="13" t="s">
        <v>8</v>
      </c>
      <c r="D1272" s="104"/>
      <c r="E1272" s="104"/>
      <c r="F1272" s="104"/>
      <c r="G1272" s="104"/>
      <c r="H1272" s="104">
        <f>IF(ISERR('[1]Дополнительное+'!J307),"-",'[1]Дополнительное+'!J307)</f>
        <v>0</v>
      </c>
      <c r="I1272" s="104">
        <f>IF(ISERR('[1]Дополнительное+'!K307),"-",'[1]Дополнительное+'!K307)</f>
        <v>0</v>
      </c>
      <c r="J1272" s="104">
        <f>IF(ISERR('[1]Дополнительное+'!L307),"-",'[1]Дополнительное+'!L307)</f>
        <v>0</v>
      </c>
      <c r="K1272" s="104">
        <f>IF(ISERR('[1]Дополнительное+'!M307),"-",'[1]Дополнительное+'!M307)</f>
        <v>0</v>
      </c>
      <c r="L1272" s="104">
        <f>IF(ISERR('[1]Дополнительное+'!O307),"-",'[1]Дополнительное+'!O307)</f>
        <v>0</v>
      </c>
      <c r="M1272" s="104" t="str">
        <f>IF(ISERR('[1]Дополнительное+'!P307),"-",'[1]Дополнительное+'!P307)</f>
        <v>Российская Федерация, субъекты Российской Федерации; города и поселки городского типа; сельская местность</v>
      </c>
    </row>
    <row r="1273" spans="1:13" s="89" customFormat="1" hidden="1" x14ac:dyDescent="0.25">
      <c r="A1273" s="13"/>
      <c r="B1273" s="70" t="s">
        <v>1302</v>
      </c>
      <c r="C1273" s="13" t="s">
        <v>8</v>
      </c>
      <c r="D1273" s="104"/>
      <c r="E1273" s="104"/>
      <c r="F1273" s="104"/>
      <c r="G1273" s="104"/>
      <c r="H1273" s="104">
        <f>IF(ISERR('[1]Дополнительное+'!J308),"-",'[1]Дополнительное+'!J308)</f>
        <v>0</v>
      </c>
      <c r="I1273" s="104">
        <f>IF(ISERR('[1]Дополнительное+'!K308),"-",'[1]Дополнительное+'!K308)</f>
        <v>0</v>
      </c>
      <c r="J1273" s="104">
        <f>IF(ISERR('[1]Дополнительное+'!L308),"-",'[1]Дополнительное+'!L308)</f>
        <v>0</v>
      </c>
      <c r="K1273" s="104" t="str">
        <f>IF(ISERR('[1]Дополнительное+'!M308),"-",'[1]Дополнительное+'!M308)</f>
        <v>-</v>
      </c>
      <c r="L1273" s="104">
        <f>IF(ISERR('[1]Дополнительное+'!O308),"-",'[1]Дополнительное+'!O308)</f>
        <v>0</v>
      </c>
      <c r="M1273" s="104" t="str">
        <f>IF(ISERR('[1]Дополнительное+'!P308),"-",'[1]Дополнительное+'!P308)</f>
        <v>-</v>
      </c>
    </row>
    <row r="1274" spans="1:13" s="89" customFormat="1" ht="30" hidden="1" x14ac:dyDescent="0.25">
      <c r="A1274" s="13" t="s">
        <v>857</v>
      </c>
      <c r="B1274" s="70" t="s">
        <v>2345</v>
      </c>
      <c r="C1274" s="13"/>
      <c r="D1274" s="104">
        <f>IF(ISERR('[1]Дополнительное+'!F314),"-",'[1]Дополнительное+'!F314)</f>
        <v>22.222222222222221</v>
      </c>
      <c r="E1274" s="104">
        <f>IF(ISERR('[1]Дополнительное+'!G314),"-",'[1]Дополнительное+'!G314)</f>
        <v>16.393442622950818</v>
      </c>
      <c r="F1274" s="104">
        <f>IF(ISERR('[1]Дополнительное+'!H314),"-",'[1]Дополнительное+'!H314)</f>
        <v>14.035087719298245</v>
      </c>
      <c r="G1274" s="104">
        <f>IF(ISERR('[1]Дополнительное+'!I314),"-",'[1]Дополнительное+'!I314)</f>
        <v>12.727272727272727</v>
      </c>
      <c r="H1274" s="104"/>
      <c r="I1274" s="104"/>
      <c r="J1274" s="104"/>
      <c r="K1274" s="104"/>
      <c r="L1274" s="104"/>
      <c r="M1274" s="104"/>
    </row>
    <row r="1275" spans="1:13" s="89" customFormat="1" hidden="1" x14ac:dyDescent="0.25">
      <c r="A1275" s="13"/>
      <c r="B1275" s="70" t="s">
        <v>1301</v>
      </c>
      <c r="C1275" s="13" t="s">
        <v>8</v>
      </c>
      <c r="D1275" s="104"/>
      <c r="E1275" s="104"/>
      <c r="F1275" s="104"/>
      <c r="G1275" s="104"/>
      <c r="H1275" s="104">
        <f>IF(ISERR('[1]Дополнительное+'!J315),"-",'[1]Дополнительное+'!J315)</f>
        <v>22.388059701492537</v>
      </c>
      <c r="I1275" s="104">
        <f>IF(ISERR('[1]Дополнительное+'!K315),"-",'[1]Дополнительное+'!K315)</f>
        <v>21.008403361344538</v>
      </c>
      <c r="J1275" s="104">
        <f>IF(ISERR('[1]Дополнительное+'!L315),"-",'[1]Дополнительное+'!L315)</f>
        <v>25.233644859813083</v>
      </c>
      <c r="K1275" s="104">
        <f>IF(ISERR('[1]Дополнительное+'!M315),"-",'[1]Дополнительное+'!M315)</f>
        <v>0</v>
      </c>
      <c r="L1275" s="104">
        <f>IF(ISERR('[1]Дополнительное+'!O315),"-",'[1]Дополнительное+'!O315)</f>
        <v>0</v>
      </c>
      <c r="M1275" s="104" t="str">
        <f>IF(ISERR('[1]Дополнительное+'!P315),"-",'[1]Дополнительное+'!P315)</f>
        <v>-</v>
      </c>
    </row>
    <row r="1276" spans="1:13" s="89" customFormat="1" hidden="1" x14ac:dyDescent="0.25">
      <c r="A1276" s="13"/>
      <c r="B1276" s="70" t="s">
        <v>1302</v>
      </c>
      <c r="C1276" s="13" t="s">
        <v>8</v>
      </c>
      <c r="D1276" s="104"/>
      <c r="E1276" s="104"/>
      <c r="F1276" s="104"/>
      <c r="G1276" s="104"/>
      <c r="H1276" s="104">
        <f>IF(ISERR('[1]Дополнительное+'!J316),"-",'[1]Дополнительное+'!J316)</f>
        <v>0</v>
      </c>
      <c r="I1276" s="104">
        <f>IF(ISERR('[1]Дополнительное+'!K316),"-",'[1]Дополнительное+'!K316)</f>
        <v>0</v>
      </c>
      <c r="J1276" s="104">
        <f>IF(ISERR('[1]Дополнительное+'!L316),"-",'[1]Дополнительное+'!L316)</f>
        <v>0</v>
      </c>
      <c r="K1276" s="104" t="str">
        <f>IF(ISERR('[1]Дополнительное+'!M316),"-",'[1]Дополнительное+'!M316)</f>
        <v>-</v>
      </c>
      <c r="L1276" s="104">
        <f>IF(ISERR('[1]Дополнительное+'!O316),"-",'[1]Дополнительное+'!O316)</f>
        <v>0</v>
      </c>
      <c r="M1276" s="104" t="str">
        <f>IF(ISERR('[1]Дополнительное+'!P316),"-",'[1]Дополнительное+'!P316)</f>
        <v>-</v>
      </c>
    </row>
    <row r="1277" spans="1:13" s="89" customFormat="1" ht="30" x14ac:dyDescent="0.25">
      <c r="A1277" s="99" t="s">
        <v>682</v>
      </c>
      <c r="B1277" s="100" t="s">
        <v>862</v>
      </c>
      <c r="C1277" s="87"/>
      <c r="D1277" s="109"/>
      <c r="E1277" s="109"/>
      <c r="F1277" s="109"/>
      <c r="G1277" s="109"/>
      <c r="H1277" s="109"/>
      <c r="I1277" s="109"/>
      <c r="J1277" s="109"/>
      <c r="K1277" s="109"/>
      <c r="L1277" s="109"/>
      <c r="M1277" s="109"/>
    </row>
    <row r="1278" spans="1:13" s="89" customFormat="1" ht="75" x14ac:dyDescent="0.25">
      <c r="A1278" s="13" t="s">
        <v>684</v>
      </c>
      <c r="B1278" s="70" t="s">
        <v>2583</v>
      </c>
      <c r="C1278" s="13"/>
      <c r="D1278" s="109"/>
      <c r="E1278" s="109"/>
      <c r="F1278" s="109"/>
      <c r="G1278" s="109"/>
      <c r="H1278" s="109"/>
      <c r="I1278" s="109"/>
      <c r="J1278" s="109"/>
      <c r="K1278" s="109"/>
      <c r="L1278" s="109"/>
      <c r="M1278" s="109"/>
    </row>
    <row r="1279" spans="1:13" s="89" customFormat="1" x14ac:dyDescent="0.25">
      <c r="A1279" s="13"/>
      <c r="B1279" s="70" t="s">
        <v>2584</v>
      </c>
      <c r="C1279" s="13" t="s">
        <v>8</v>
      </c>
      <c r="D1279" s="109"/>
      <c r="E1279" s="109"/>
      <c r="F1279" s="109"/>
      <c r="G1279" s="109"/>
      <c r="H1279" s="109"/>
      <c r="I1279" s="109"/>
      <c r="J1279" s="109"/>
      <c r="K1279" s="109"/>
      <c r="L1279" s="109"/>
      <c r="M1279" s="109"/>
    </row>
    <row r="1280" spans="1:13" s="89" customFormat="1" x14ac:dyDescent="0.25">
      <c r="A1280" s="13"/>
      <c r="B1280" s="70" t="s">
        <v>2585</v>
      </c>
      <c r="C1280" s="13" t="s">
        <v>8</v>
      </c>
      <c r="D1280" s="109"/>
      <c r="E1280" s="109"/>
      <c r="F1280" s="109"/>
      <c r="G1280" s="109"/>
      <c r="H1280" s="109"/>
      <c r="I1280" s="109"/>
      <c r="J1280" s="109"/>
      <c r="K1280" s="109"/>
      <c r="L1280" s="109"/>
      <c r="M1280" s="109"/>
    </row>
    <row r="1281" spans="1:13" s="89" customFormat="1" ht="30" x14ac:dyDescent="0.25">
      <c r="A1281" s="13"/>
      <c r="B1281" s="70" t="s">
        <v>2586</v>
      </c>
      <c r="C1281" s="13" t="s">
        <v>8</v>
      </c>
      <c r="D1281" s="109"/>
      <c r="E1281" s="109"/>
      <c r="F1281" s="109"/>
      <c r="G1281" s="109"/>
      <c r="H1281" s="109"/>
      <c r="I1281" s="109"/>
      <c r="J1281" s="109"/>
      <c r="K1281" s="109"/>
      <c r="L1281" s="109"/>
      <c r="M1281" s="109"/>
    </row>
    <row r="1282" spans="1:13" s="89" customFormat="1" ht="30" x14ac:dyDescent="0.25">
      <c r="A1282" s="13"/>
      <c r="B1282" s="70" t="s">
        <v>2587</v>
      </c>
      <c r="C1282" s="13" t="s">
        <v>8</v>
      </c>
      <c r="D1282" s="109"/>
      <c r="E1282" s="109"/>
      <c r="F1282" s="109"/>
      <c r="G1282" s="109"/>
      <c r="H1282" s="109"/>
      <c r="I1282" s="109"/>
      <c r="J1282" s="109"/>
      <c r="K1282" s="109"/>
      <c r="L1282" s="109"/>
      <c r="M1282" s="109"/>
    </row>
    <row r="1283" spans="1:13" s="89" customFormat="1" hidden="1" x14ac:dyDescent="0.25">
      <c r="A1283" s="443" t="s">
        <v>863</v>
      </c>
      <c r="B1283" s="443"/>
      <c r="C1283" s="443"/>
      <c r="D1283" s="443"/>
      <c r="E1283" s="443"/>
      <c r="F1283" s="443"/>
      <c r="G1283" s="443"/>
      <c r="H1283" s="443"/>
      <c r="I1283" s="443"/>
    </row>
    <row r="1284" spans="1:13" s="89" customFormat="1" ht="30" hidden="1" x14ac:dyDescent="0.25">
      <c r="A1284" s="99" t="s">
        <v>865</v>
      </c>
      <c r="B1284" s="100" t="s">
        <v>864</v>
      </c>
      <c r="C1284" s="87"/>
      <c r="D1284" s="109"/>
      <c r="E1284" s="109"/>
      <c r="F1284" s="109"/>
      <c r="G1284" s="109"/>
      <c r="H1284" s="109"/>
      <c r="I1284" s="109"/>
      <c r="J1284" s="109"/>
      <c r="K1284" s="109"/>
      <c r="L1284" s="109"/>
      <c r="M1284" s="109"/>
    </row>
    <row r="1285" spans="1:13" s="89" customFormat="1" ht="45" hidden="1" x14ac:dyDescent="0.25">
      <c r="A1285" s="13" t="s">
        <v>869</v>
      </c>
      <c r="B1285" s="70" t="s">
        <v>2277</v>
      </c>
      <c r="C1285" s="13" t="s">
        <v>8</v>
      </c>
      <c r="D1285" s="109"/>
      <c r="E1285" s="109"/>
      <c r="F1285" s="109"/>
      <c r="G1285" s="109"/>
      <c r="H1285" s="104">
        <f>IF(ISERR('[1]Доп профобраз (исключен) +'!I9),"-",'[1]Доп профобраз (исключен) +'!I9)</f>
        <v>0</v>
      </c>
      <c r="I1285" s="104">
        <f>IF(ISERR('[1]Доп профобраз (исключен) +'!J9),"-",'[1]Доп профобраз (исключен) +'!J9)</f>
        <v>0</v>
      </c>
      <c r="J1285" s="104" t="str">
        <f>IF(ISERR('[1]Доп профобраз (исключен) +'!M9),"-",'[1]Доп профобраз (исключен) +'!M9)</f>
        <v>-</v>
      </c>
      <c r="K1285" s="104" t="str">
        <f>IF(ISERR('[1]Доп профобраз (исключен) +'!N9),"-",'[1]Доп профобраз (исключен) +'!N9)</f>
        <v>-</v>
      </c>
      <c r="L1285" s="104" t="str">
        <f>IF(ISERR('[1]Доп профобраз (исключен) +'!O9),"-",'[1]Доп профобраз (исключен) +'!O9)</f>
        <v>-</v>
      </c>
      <c r="M1285" s="104" t="str">
        <f>IF(ISERR('[1]Доп профобраз (исключен) +'!P9),"-",'[1]Доп профобраз (исключен) +'!P9)</f>
        <v>-</v>
      </c>
    </row>
    <row r="1286" spans="1:13" s="89" customFormat="1" ht="75" hidden="1" x14ac:dyDescent="0.25">
      <c r="A1286" s="77" t="s">
        <v>870</v>
      </c>
      <c r="B1286" s="80" t="s">
        <v>2267</v>
      </c>
      <c r="C1286" s="77"/>
      <c r="D1286" s="77"/>
      <c r="E1286" s="77"/>
      <c r="F1286" s="77"/>
      <c r="G1286" s="77"/>
      <c r="H1286" s="77"/>
      <c r="I1286" s="77"/>
      <c r="J1286" s="77"/>
      <c r="K1286" s="77"/>
      <c r="L1286" s="77"/>
      <c r="M1286" s="77"/>
    </row>
    <row r="1287" spans="1:13" s="89" customFormat="1" hidden="1" x14ac:dyDescent="0.25">
      <c r="A1287" s="77"/>
      <c r="B1287" s="80" t="s">
        <v>2268</v>
      </c>
      <c r="C1287" s="13" t="s">
        <v>8</v>
      </c>
      <c r="D1287" s="77"/>
      <c r="E1287" s="77"/>
      <c r="F1287" s="77"/>
      <c r="G1287" s="77"/>
      <c r="H1287" s="104">
        <f>IF(ISERR('[1]Доп профобраз (исключен) +'!I17),"-",'[1]Доп профобраз (исключен) +'!I17)</f>
        <v>94.158280235812541</v>
      </c>
      <c r="I1287" s="104">
        <f>IF(ISERR('[1]Доп профобраз (исключен) +'!J17),"-",'[1]Доп профобраз (исключен) +'!J17)</f>
        <v>97.769297530790595</v>
      </c>
      <c r="J1287" s="104" t="str">
        <f>IF(ISERR('[1]Доп профобраз (исключен) +'!M17),"-",'[1]Доп профобраз (исключен) +'!M17)</f>
        <v>-</v>
      </c>
      <c r="K1287" s="104" t="str">
        <f>IF(ISERR('[1]Доп профобраз (исключен) +'!N17),"-",'[1]Доп профобраз (исключен) +'!N17)</f>
        <v>-</v>
      </c>
      <c r="L1287" s="104" t="str">
        <f>IF(ISERR('[1]Доп профобраз (исключен) +'!O17),"-",'[1]Доп профобраз (исключен) +'!O17)</f>
        <v>-</v>
      </c>
      <c r="M1287" s="104" t="str">
        <f>IF(ISERR('[1]Доп профобраз (исключен) +'!P17),"-",'[1]Доп профобраз (исключен) +'!P17)</f>
        <v>-</v>
      </c>
    </row>
    <row r="1288" spans="1:13" s="89" customFormat="1" ht="30" hidden="1" x14ac:dyDescent="0.25">
      <c r="A1288" s="77"/>
      <c r="B1288" s="80" t="s">
        <v>2269</v>
      </c>
      <c r="C1288" s="13" t="s">
        <v>8</v>
      </c>
      <c r="D1288" s="77"/>
      <c r="E1288" s="77"/>
      <c r="F1288" s="77"/>
      <c r="G1288" s="77"/>
      <c r="H1288" s="104">
        <f>IF(ISERR('[1]Доп профобраз (исключен) +'!I18),"-",'[1]Доп профобраз (исключен) +'!I18)</f>
        <v>0.25804402628079159</v>
      </c>
      <c r="I1288" s="104">
        <f>IF(ISERR('[1]Доп профобраз (исключен) +'!J18),"-",'[1]Доп профобраз (исключен) +'!J18)</f>
        <v>1.7888020988611295E-2</v>
      </c>
      <c r="J1288" s="104" t="str">
        <f>IF(ISERR('[1]Доп профобраз (исключен) +'!M18),"-",'[1]Доп профобраз (исключен) +'!M18)</f>
        <v>-</v>
      </c>
      <c r="K1288" s="104" t="str">
        <f>IF(ISERR('[1]Доп профобраз (исключен) +'!N18),"-",'[1]Доп профобраз (исключен) +'!N18)</f>
        <v>-</v>
      </c>
      <c r="L1288" s="104" t="str">
        <f>IF(ISERR('[1]Доп профобраз (исключен) +'!O18),"-",'[1]Доп профобраз (исключен) +'!O18)</f>
        <v>-</v>
      </c>
      <c r="M1288" s="104" t="str">
        <f>IF(ISERR('[1]Доп профобраз (исключен) +'!P18),"-",'[1]Доп профобраз (исключен) +'!P18)</f>
        <v>-</v>
      </c>
    </row>
    <row r="1289" spans="1:13" s="89" customFormat="1" ht="30" hidden="1" x14ac:dyDescent="0.25">
      <c r="A1289" s="77"/>
      <c r="B1289" s="80" t="s">
        <v>2270</v>
      </c>
      <c r="C1289" s="13" t="s">
        <v>8</v>
      </c>
      <c r="D1289" s="77"/>
      <c r="E1289" s="77"/>
      <c r="F1289" s="77"/>
      <c r="G1289" s="77"/>
      <c r="H1289" s="104">
        <f>IF(ISERR('[1]Доп профобраз (исключен) +'!I19),"-",'[1]Доп профобраз (исключен) +'!I19)</f>
        <v>0.19849540483137815</v>
      </c>
      <c r="I1289" s="104">
        <f>IF(ISERR('[1]Доп профобраз (исключен) +'!J19),"-",'[1]Доп профобраз (исключен) +'!J19)</f>
        <v>0.11925347325740861</v>
      </c>
      <c r="J1289" s="104" t="str">
        <f>IF(ISERR('[1]Доп профобраз (исключен) +'!M19),"-",'[1]Доп профобраз (исключен) +'!M19)</f>
        <v>-</v>
      </c>
      <c r="K1289" s="104" t="str">
        <f>IF(ISERR('[1]Доп профобраз (исключен) +'!N19),"-",'[1]Доп профобраз (исключен) +'!N19)</f>
        <v>-</v>
      </c>
      <c r="L1289" s="104" t="str">
        <f>IF(ISERR('[1]Доп профобраз (исключен) +'!O19),"-",'[1]Доп профобраз (исключен) +'!O19)</f>
        <v>-</v>
      </c>
      <c r="M1289" s="104" t="str">
        <f>IF(ISERR('[1]Доп профобраз (исключен) +'!P19),"-",'[1]Доп профобраз (исключен) +'!P19)</f>
        <v>-</v>
      </c>
    </row>
    <row r="1290" spans="1:13" s="89" customFormat="1" hidden="1" x14ac:dyDescent="0.25">
      <c r="A1290" s="77"/>
      <c r="B1290" s="80" t="s">
        <v>2271</v>
      </c>
      <c r="C1290" s="13" t="s">
        <v>8</v>
      </c>
      <c r="D1290" s="77"/>
      <c r="E1290" s="77"/>
      <c r="F1290" s="77"/>
      <c r="G1290" s="77"/>
      <c r="H1290" s="104">
        <f>IF(ISERR('[1]Доп профобраз (исключен) +'!I20),"-",'[1]Доп профобраз (исключен) +'!I20)</f>
        <v>0</v>
      </c>
      <c r="I1290" s="104">
        <f>IF(ISERR('[1]Доп профобраз (исключен) +'!J20),"-",'[1]Доп профобраз (исключен) +'!J20)</f>
        <v>0</v>
      </c>
      <c r="J1290" s="104" t="str">
        <f>IF(ISERR('[1]Доп профобраз (исключен) +'!M20),"-",'[1]Доп профобраз (исключен) +'!M20)</f>
        <v>-</v>
      </c>
      <c r="K1290" s="104" t="str">
        <f>IF(ISERR('[1]Доп профобраз (исключен) +'!N20),"-",'[1]Доп профобраз (исключен) +'!N20)</f>
        <v>-</v>
      </c>
      <c r="L1290" s="104" t="str">
        <f>IF(ISERR('[1]Доп профобраз (исключен) +'!O20),"-",'[1]Доп профобраз (исключен) +'!O20)</f>
        <v>-</v>
      </c>
      <c r="M1290" s="104" t="str">
        <f>IF(ISERR('[1]Доп профобраз (исключен) +'!P20),"-",'[1]Доп профобраз (исключен) +'!P20)</f>
        <v>-</v>
      </c>
    </row>
    <row r="1291" spans="1:13" s="89" customFormat="1" hidden="1" x14ac:dyDescent="0.25">
      <c r="A1291" s="77"/>
      <c r="B1291" s="80" t="s">
        <v>2272</v>
      </c>
      <c r="C1291" s="13" t="s">
        <v>8</v>
      </c>
      <c r="D1291" s="77"/>
      <c r="E1291" s="77"/>
      <c r="F1291" s="77"/>
      <c r="G1291" s="77"/>
      <c r="H1291" s="104">
        <f>IF(ISERR('[1]Доп профобраз (исключен) +'!I21),"-",'[1]Доп профобраз (исключен) +'!I21)</f>
        <v>7.1458345739296131E-2</v>
      </c>
      <c r="I1291" s="104">
        <f>IF(ISERR('[1]Доп профобраз (исключен) +'!J21),"-",'[1]Доп профобраз (исключен) +'!J21)</f>
        <v>0.28885841300127868</v>
      </c>
      <c r="J1291" s="104" t="str">
        <f>IF(ISERR('[1]Доп профобраз (исключен) +'!M21),"-",'[1]Доп профобраз (исключен) +'!M21)</f>
        <v>-</v>
      </c>
      <c r="K1291" s="104" t="str">
        <f>IF(ISERR('[1]Доп профобраз (исключен) +'!N21),"-",'[1]Доп профобраз (исключен) +'!N21)</f>
        <v>-</v>
      </c>
      <c r="L1291" s="104" t="str">
        <f>IF(ISERR('[1]Доп профобраз (исключен) +'!O21),"-",'[1]Доп профобраз (исключен) +'!O21)</f>
        <v>-</v>
      </c>
      <c r="M1291" s="104" t="str">
        <f>IF(ISERR('[1]Доп профобраз (исключен) +'!P21),"-",'[1]Доп профобраз (исключен) +'!P21)</f>
        <v>-</v>
      </c>
    </row>
    <row r="1292" spans="1:13" s="89" customFormat="1" ht="30" hidden="1" x14ac:dyDescent="0.25">
      <c r="A1292" s="77"/>
      <c r="B1292" s="80" t="s">
        <v>2273</v>
      </c>
      <c r="C1292" s="13" t="s">
        <v>8</v>
      </c>
      <c r="D1292" s="77"/>
      <c r="E1292" s="77"/>
      <c r="F1292" s="77"/>
      <c r="G1292" s="77"/>
      <c r="H1292" s="104">
        <f>IF(ISERR('[1]Доп профобраз (исключен) +'!I22),"-",'[1]Доп профобраз (исключен) +'!I22)</f>
        <v>1.0143115186883422</v>
      </c>
      <c r="I1292" s="104">
        <f>IF(ISERR('[1]Доп профобраз (исключен) +'!J22),"-",'[1]Доп профобраз (исключен) +'!J22)</f>
        <v>0.39287394245357393</v>
      </c>
      <c r="J1292" s="104" t="str">
        <f>IF(ISERR('[1]Доп профобраз (исключен) +'!M22),"-",'[1]Доп профобраз (исключен) +'!M22)</f>
        <v>-</v>
      </c>
      <c r="K1292" s="104" t="str">
        <f>IF(ISERR('[1]Доп профобраз (исключен) +'!N22),"-",'[1]Доп профобраз (исключен) +'!N22)</f>
        <v>-</v>
      </c>
      <c r="L1292" s="104" t="str">
        <f>IF(ISERR('[1]Доп профобраз (исключен) +'!O22),"-",'[1]Доп профобраз (исключен) +'!O22)</f>
        <v>-</v>
      </c>
      <c r="M1292" s="104" t="str">
        <f>IF(ISERR('[1]Доп профобраз (исключен) +'!P22),"-",'[1]Доп профобраз (исключен) +'!P22)</f>
        <v>-</v>
      </c>
    </row>
    <row r="1293" spans="1:13" s="89" customFormat="1" hidden="1" x14ac:dyDescent="0.25">
      <c r="A1293" s="77"/>
      <c r="B1293" s="80" t="s">
        <v>2274</v>
      </c>
      <c r="C1293" s="13" t="s">
        <v>8</v>
      </c>
      <c r="D1293" s="77"/>
      <c r="E1293" s="77"/>
      <c r="F1293" s="77"/>
      <c r="G1293" s="77"/>
      <c r="H1293" s="104">
        <f>IF(ISERR('[1]Доп профобраз (исключен) +'!I23),"-",'[1]Доп профобраз (исключен) +'!I23)</f>
        <v>4.2994104686476504</v>
      </c>
      <c r="I1293" s="104">
        <f>IF(ISERR('[1]Доп профобраз (исключен) +'!J23),"-",'[1]Доп профобраз (исключен) +'!J23)</f>
        <v>1.4118286195085432</v>
      </c>
      <c r="J1293" s="104" t="str">
        <f>IF(ISERR('[1]Доп профобраз (исключен) +'!M23),"-",'[1]Доп профобраз (исключен) +'!M23)</f>
        <v>-</v>
      </c>
      <c r="K1293" s="104" t="str">
        <f>IF(ISERR('[1]Доп профобраз (исключен) +'!N23),"-",'[1]Доп профобраз (исключен) +'!N23)</f>
        <v>-</v>
      </c>
      <c r="L1293" s="104" t="str">
        <f>IF(ISERR('[1]Доп профобраз (исключен) +'!O23),"-",'[1]Доп профобраз (исключен) +'!O23)</f>
        <v>-</v>
      </c>
      <c r="M1293" s="104" t="str">
        <f>IF(ISERR('[1]Доп профобраз (исключен) +'!P23),"-",'[1]Доп профобраз (исключен) +'!P23)</f>
        <v>-</v>
      </c>
    </row>
    <row r="1294" spans="1:13" s="89" customFormat="1" ht="75" hidden="1" x14ac:dyDescent="0.25">
      <c r="A1294" s="13" t="s">
        <v>870</v>
      </c>
      <c r="B1294" s="80" t="s">
        <v>2206</v>
      </c>
      <c r="C1294" s="13" t="s">
        <v>8</v>
      </c>
      <c r="D1294" s="109" t="str">
        <f>IF(ISERR('[1]Доп профобраз (исключен) +'!E33),"-",'[1]Доп профобраз (исключен) +'!E33)</f>
        <v>-</v>
      </c>
      <c r="E1294" s="109" t="str">
        <f>IF(ISERR('[1]Доп профобраз (исключен) +'!F33),"-",'[1]Доп профобраз (исключен) +'!F33)</f>
        <v>-</v>
      </c>
      <c r="F1294" s="109" t="str">
        <f>IF(ISERR('[1]Доп профобраз (исключен) +'!G33),"-",'[1]Доп профобраз (исключен) +'!G33)</f>
        <v>-</v>
      </c>
      <c r="G1294" s="109" t="str">
        <f>IF(ISERR('[1]Доп профобраз (исключен) +'!H33),"-",'[1]Доп профобраз (исключен) +'!H33)</f>
        <v>-</v>
      </c>
      <c r="H1294" s="109"/>
      <c r="I1294" s="109"/>
      <c r="J1294" s="109"/>
      <c r="K1294" s="109"/>
      <c r="L1294" s="109"/>
      <c r="M1294" s="109"/>
    </row>
    <row r="1295" spans="1:13" s="89" customFormat="1" ht="45" hidden="1" x14ac:dyDescent="0.25">
      <c r="A1295" s="77" t="s">
        <v>880</v>
      </c>
      <c r="B1295" s="110" t="s">
        <v>881</v>
      </c>
      <c r="C1295" s="77" t="s">
        <v>8</v>
      </c>
      <c r="D1295" s="104">
        <f>IF(ISERR('[1]Доп профобраз (исключен) +'!E42),"-",'[1]Доп профобраз (исключен) +'!E42)</f>
        <v>18.897240602760178</v>
      </c>
      <c r="E1295" s="104">
        <f>IF(ISERR('[1]Доп профобраз (исключен) +'!F42),"-",'[1]Доп профобраз (исключен) +'!F42)</f>
        <v>18.897240602760178</v>
      </c>
      <c r="F1295" s="104">
        <f>IF(ISERR('[1]Доп профобраз (исключен) +'!G42),"-",'[1]Доп профобраз (исключен) +'!G42)</f>
        <v>18.897240602760178</v>
      </c>
      <c r="G1295" s="104">
        <f>IF(ISERR('[1]Доп профобраз (исключен) +'!H42),"-",'[1]Доп профобраз (исключен) +'!H42)</f>
        <v>25.38970383142734</v>
      </c>
      <c r="H1295" s="104"/>
      <c r="I1295" s="104"/>
      <c r="J1295" s="104"/>
      <c r="K1295" s="104"/>
      <c r="L1295" s="104"/>
      <c r="M1295" s="104"/>
    </row>
    <row r="1296" spans="1:13" s="89" customFormat="1" ht="30" hidden="1" x14ac:dyDescent="0.25">
      <c r="A1296" s="99" t="s">
        <v>886</v>
      </c>
      <c r="B1296" s="100" t="s">
        <v>887</v>
      </c>
      <c r="C1296" s="13"/>
      <c r="D1296" s="109"/>
      <c r="E1296" s="109"/>
      <c r="F1296" s="109"/>
      <c r="G1296" s="109"/>
      <c r="H1296" s="109"/>
      <c r="I1296" s="109"/>
      <c r="J1296" s="109"/>
      <c r="K1296" s="109"/>
      <c r="L1296" s="109"/>
      <c r="M1296" s="109"/>
    </row>
    <row r="1297" spans="1:13" s="89" customFormat="1" ht="60" hidden="1" x14ac:dyDescent="0.25">
      <c r="A1297" s="77" t="s">
        <v>889</v>
      </c>
      <c r="B1297" s="110" t="s">
        <v>888</v>
      </c>
      <c r="C1297" s="77"/>
      <c r="D1297" s="104"/>
      <c r="E1297" s="104"/>
      <c r="F1297" s="104"/>
      <c r="G1297" s="104"/>
      <c r="H1297" s="104"/>
      <c r="I1297" s="104"/>
      <c r="J1297" s="104"/>
      <c r="K1297" s="104"/>
      <c r="L1297" s="104"/>
      <c r="M1297" s="104"/>
    </row>
    <row r="1298" spans="1:13" s="89" customFormat="1" hidden="1" x14ac:dyDescent="0.25">
      <c r="A1298" s="13"/>
      <c r="B1298" s="21" t="s">
        <v>1684</v>
      </c>
      <c r="C1298" s="77" t="s">
        <v>8</v>
      </c>
      <c r="D1298" s="104">
        <f>IF(ISERR('[1]Доп профобраз (исключен) +'!E47),"-",'[1]Доп профобраз (исключен) +'!E47)</f>
        <v>3.3354544928638132</v>
      </c>
      <c r="E1298" s="104">
        <f>IF(ISERR('[1]Доп профобраз (исключен) +'!F47),"-",'[1]Доп профобраз (исключен) +'!F47)</f>
        <v>3.3354544928638132</v>
      </c>
      <c r="F1298" s="104">
        <f>IF(ISERR('[1]Доп профобраз (исключен) +'!G47),"-",'[1]Доп профобраз (исключен) +'!G47)</f>
        <v>3.3354544928638132</v>
      </c>
      <c r="G1298" s="104">
        <f>IF(ISERR('[1]Доп профобраз (исключен) +'!H47),"-",'[1]Доп профобраз (исключен) +'!H47)</f>
        <v>7.3286435673846961</v>
      </c>
      <c r="H1298" s="104">
        <f>IF(ISERR('[1]Доп профобраз (исключен) +'!I47),"-",'[1]Доп профобраз (исключен) +'!I47)</f>
        <v>29.776295678755037</v>
      </c>
      <c r="I1298" s="104">
        <f>IF(ISERR('[1]Доп профобраз (исключен) +'!J47),"-",'[1]Доп профобраз (исключен) +'!J47)</f>
        <v>12.293045534951204</v>
      </c>
      <c r="J1298" s="104">
        <f>IF(ISERR('[1]Доп профобраз (исключен) +'!M47),"-",'[1]Доп профобраз (исключен) +'!M47)</f>
        <v>0</v>
      </c>
      <c r="K1298" s="104" t="str">
        <f>IF(ISERR('[1]Доп профобраз (исключен) +'!N47),"-",'[1]Доп профобраз (исключен) +'!N47)</f>
        <v>-</v>
      </c>
      <c r="L1298" s="104" t="str">
        <f>IF(ISERR('[1]Доп профобраз (исключен) +'!O47),"-",'[1]Доп профобраз (исключен) +'!O47)</f>
        <v>-</v>
      </c>
      <c r="M1298" s="104" t="str">
        <f>IF(ISERR('[1]Доп профобраз (исключен) +'!P47),"-",'[1]Доп профобраз (исключен) +'!P47)</f>
        <v>-</v>
      </c>
    </row>
    <row r="1299" spans="1:13" s="89" customFormat="1" hidden="1" x14ac:dyDescent="0.25">
      <c r="A1299" s="13"/>
      <c r="B1299" s="21" t="s">
        <v>2263</v>
      </c>
      <c r="C1299" s="77" t="s">
        <v>8</v>
      </c>
      <c r="D1299" s="13"/>
      <c r="E1299" s="122"/>
      <c r="F1299" s="122"/>
      <c r="G1299" s="122"/>
      <c r="H1299" s="104">
        <f>IF(ISERR('[1]Доп профобраз (исключен) +'!I48),"-",'[1]Доп профобраз (исключен) +'!I48)</f>
        <v>29.809165914387087</v>
      </c>
      <c r="I1299" s="104">
        <f>IF(ISERR('[1]Доп профобраз (исключен) +'!J48),"-",'[1]Доп профобраз (исключен) +'!J48)</f>
        <v>17.740658805382477</v>
      </c>
      <c r="J1299" s="104">
        <f>IF(ISERR('[1]Доп профобраз (исключен) +'!M48),"-",'[1]Доп профобраз (исключен) +'!M48)</f>
        <v>0</v>
      </c>
      <c r="K1299" s="104" t="str">
        <f>IF(ISERR('[1]Доп профобраз (исключен) +'!N48),"-",'[1]Доп профобраз (исключен) +'!N48)</f>
        <v>-</v>
      </c>
      <c r="L1299" s="104" t="str">
        <f>IF(ISERR('[1]Доп профобраз (исключен) +'!O48),"-",'[1]Доп профобраз (исключен) +'!O48)</f>
        <v>-</v>
      </c>
      <c r="M1299" s="104" t="str">
        <f>IF(ISERR('[1]Доп профобраз (исключен) +'!P48),"-",'[1]Доп профобраз (исключен) +'!P48)</f>
        <v>-</v>
      </c>
    </row>
    <row r="1300" spans="1:13" s="89" customFormat="1" hidden="1" x14ac:dyDescent="0.25">
      <c r="A1300" s="13"/>
      <c r="B1300" s="21" t="s">
        <v>2264</v>
      </c>
      <c r="C1300" s="77" t="s">
        <v>8</v>
      </c>
      <c r="D1300" s="13"/>
      <c r="E1300" s="122"/>
      <c r="F1300" s="122"/>
      <c r="G1300" s="122"/>
      <c r="H1300" s="104">
        <f>IF(ISERR('[1]Доп профобраз (исключен) +'!I49),"-",'[1]Доп профобраз (исключен) +'!I49)</f>
        <v>29.206117989803349</v>
      </c>
      <c r="I1300" s="104">
        <f>IF(ISERR('[1]Доп профобраз (исключен) +'!J49),"-",'[1]Доп профобраз (исключен) +'!J49)</f>
        <v>2.0478271656774241</v>
      </c>
      <c r="J1300" s="104">
        <f>IF(ISERR('[1]Доп профобраз (исключен) +'!M49),"-",'[1]Доп профобраз (исключен) +'!M49)</f>
        <v>0</v>
      </c>
      <c r="K1300" s="104" t="str">
        <f>IF(ISERR('[1]Доп профобраз (исключен) +'!N49),"-",'[1]Доп профобраз (исключен) +'!N49)</f>
        <v>-</v>
      </c>
      <c r="L1300" s="104" t="str">
        <f>IF(ISERR('[1]Доп профобраз (исключен) +'!O49),"-",'[1]Доп профобраз (исключен) +'!O49)</f>
        <v>-</v>
      </c>
      <c r="M1300" s="104" t="str">
        <f>IF(ISERR('[1]Доп профобраз (исключен) +'!P49),"-",'[1]Доп профобраз (исключен) +'!P49)</f>
        <v>-</v>
      </c>
    </row>
    <row r="1301" spans="1:13" s="89" customFormat="1" ht="60" hidden="1" x14ac:dyDescent="0.25">
      <c r="A1301" s="13" t="s">
        <v>2255</v>
      </c>
      <c r="B1301" s="21" t="s">
        <v>2256</v>
      </c>
      <c r="C1301" s="13"/>
      <c r="D1301" s="13"/>
      <c r="E1301" s="13"/>
      <c r="F1301" s="13"/>
      <c r="G1301" s="13"/>
      <c r="H1301" s="13"/>
      <c r="I1301" s="13"/>
      <c r="J1301" s="13"/>
      <c r="K1301" s="13"/>
      <c r="L1301" s="13"/>
      <c r="M1301" s="13"/>
    </row>
    <row r="1302" spans="1:13" s="89" customFormat="1" hidden="1" x14ac:dyDescent="0.25">
      <c r="A1302" s="13"/>
      <c r="B1302" s="21" t="s">
        <v>2193</v>
      </c>
      <c r="C1302" s="77" t="s">
        <v>8</v>
      </c>
      <c r="D1302" s="13"/>
      <c r="E1302" s="13"/>
      <c r="F1302" s="13"/>
      <c r="G1302" s="13"/>
      <c r="H1302" s="122">
        <f>IF(ISERR('[1]Доп профобраз (исключен) +'!I57),"-",'[1]Доп профобраз (исключен) +'!I57)</f>
        <v>17.461600646725948</v>
      </c>
      <c r="I1302" s="122">
        <f>IF(ISERR('[1]Доп профобраз (исключен) +'!J57),"-",'[1]Доп профобраз (исключен) +'!J57)</f>
        <v>10.92217135382603</v>
      </c>
      <c r="J1302" s="122">
        <f>IF(ISERR('[1]Доп профобраз (исключен) +'!M57),"-",'[1]Доп профобраз (исключен) +'!M57)</f>
        <v>0</v>
      </c>
      <c r="K1302" s="122" t="str">
        <f>IF(ISERR('[1]Доп профобраз (исключен) +'!N57),"-",'[1]Доп профобраз (исключен) +'!N57)</f>
        <v>-</v>
      </c>
      <c r="L1302" s="122" t="str">
        <f>IF(ISERR('[1]Доп профобраз (исключен) +'!O57),"-",'[1]Доп профобраз (исключен) +'!O57)</f>
        <v>-</v>
      </c>
      <c r="M1302" s="122" t="str">
        <f>IF(ISERR('[1]Доп профобраз (исключен) +'!P57),"-",'[1]Доп профобраз (исключен) +'!P57)</f>
        <v>-</v>
      </c>
    </row>
    <row r="1303" spans="1:13" s="89" customFormat="1" hidden="1" x14ac:dyDescent="0.25">
      <c r="A1303" s="13"/>
      <c r="B1303" s="21" t="s">
        <v>2257</v>
      </c>
      <c r="C1303" s="77" t="s">
        <v>8</v>
      </c>
      <c r="D1303" s="13"/>
      <c r="E1303" s="13"/>
      <c r="F1303" s="13"/>
      <c r="G1303" s="13"/>
      <c r="H1303" s="122">
        <f>IF(ISERR('[1]Доп профобраз (исключен) +'!I58),"-",'[1]Доп профобраз (исключен) +'!I58)</f>
        <v>15.774099318403115</v>
      </c>
      <c r="I1303" s="122">
        <f>IF(ISERR('[1]Доп профобраз (исключен) +'!J58),"-",'[1]Доп профобраз (исключен) +'!J58)</f>
        <v>14.218896164639849</v>
      </c>
      <c r="J1303" s="122">
        <f>IF(ISERR('[1]Доп профобраз (исключен) +'!M58),"-",'[1]Доп профобраз (исключен) +'!M58)</f>
        <v>0</v>
      </c>
      <c r="K1303" s="122" t="str">
        <f>IF(ISERR('[1]Доп профобраз (исключен) +'!N58),"-",'[1]Доп профобраз (исключен) +'!N58)</f>
        <v>-</v>
      </c>
      <c r="L1303" s="122" t="str">
        <f>IF(ISERR('[1]Доп профобраз (исключен) +'!O58),"-",'[1]Доп профобраз (исключен) +'!O58)</f>
        <v>-</v>
      </c>
      <c r="M1303" s="122" t="str">
        <f>IF(ISERR('[1]Доп профобраз (исключен) +'!P58),"-",'[1]Доп профобраз (исключен) +'!P58)</f>
        <v>-</v>
      </c>
    </row>
    <row r="1304" spans="1:13" s="89" customFormat="1" hidden="1" x14ac:dyDescent="0.25">
      <c r="A1304" s="13"/>
      <c r="B1304" s="21" t="s">
        <v>2258</v>
      </c>
      <c r="C1304" s="77" t="s">
        <v>8</v>
      </c>
      <c r="D1304" s="13"/>
      <c r="E1304" s="13"/>
      <c r="F1304" s="13"/>
      <c r="G1304" s="13"/>
      <c r="H1304" s="122">
        <f>IF(ISERR('[1]Доп профобраз (исключен) +'!I59),"-",'[1]Доп профобраз (исключен) +'!I59)</f>
        <v>25.714285714285712</v>
      </c>
      <c r="I1304" s="122">
        <f>IF(ISERR('[1]Доп профобраз (исключен) +'!J59),"-",'[1]Доп профобраз (исключен) +'!J59)</f>
        <v>3.2608695652173911</v>
      </c>
      <c r="J1304" s="122">
        <f>IF(ISERR('[1]Доп профобраз (исключен) +'!M59),"-",'[1]Доп профобраз (исключен) +'!M59)</f>
        <v>0</v>
      </c>
      <c r="K1304" s="122" t="str">
        <f>IF(ISERR('[1]Доп профобраз (исключен) +'!N59),"-",'[1]Доп профобраз (исключен) +'!N59)</f>
        <v>-</v>
      </c>
      <c r="L1304" s="122" t="str">
        <f>IF(ISERR('[1]Доп профобраз (исключен) +'!O59),"-",'[1]Доп профобраз (исключен) +'!O59)</f>
        <v>-</v>
      </c>
      <c r="M1304" s="122" t="str">
        <f>IF(ISERR('[1]Доп профобраз (исключен) +'!P59),"-",'[1]Доп профобраз (исключен) +'!P59)</f>
        <v>-</v>
      </c>
    </row>
    <row r="1305" spans="1:13" s="89" customFormat="1" ht="45" hidden="1" x14ac:dyDescent="0.25">
      <c r="A1305" s="13" t="s">
        <v>2245</v>
      </c>
      <c r="B1305" s="21" t="s">
        <v>2241</v>
      </c>
      <c r="C1305" s="13"/>
      <c r="D1305" s="13"/>
      <c r="E1305" s="13"/>
      <c r="F1305" s="13"/>
      <c r="G1305" s="13"/>
      <c r="H1305" s="13"/>
      <c r="I1305" s="13"/>
      <c r="J1305" s="13"/>
      <c r="K1305" s="13"/>
      <c r="L1305" s="13"/>
      <c r="M1305" s="13"/>
    </row>
    <row r="1306" spans="1:13" s="89" customFormat="1" hidden="1" x14ac:dyDescent="0.25">
      <c r="A1306" s="13"/>
      <c r="B1306" s="21" t="s">
        <v>2242</v>
      </c>
      <c r="C1306" s="77" t="s">
        <v>8</v>
      </c>
      <c r="D1306" s="13"/>
      <c r="E1306" s="13"/>
      <c r="F1306" s="13"/>
      <c r="G1306" s="13"/>
      <c r="H1306" s="122">
        <f>IF(ISERR('[1]Доп профобраз (исключен) +'!I68),"-",'[1]Доп профобраз (исключен) +'!I68)</f>
        <v>30.737013438138906</v>
      </c>
      <c r="I1306" s="122">
        <f>IF(ISERR('[1]Доп профобраз (исключен) +'!J68),"-",'[1]Доп профобраз (исключен) +'!J68)</f>
        <v>7.4387666540788002</v>
      </c>
      <c r="J1306" s="122">
        <f>IF(ISERR('[1]Доп профобраз (исключен) +'!M68),"-",'[1]Доп профобраз (исключен) +'!M68)</f>
        <v>0</v>
      </c>
      <c r="K1306" s="122" t="str">
        <f>IF(ISERR('[1]Доп профобраз (исключен) +'!N68),"-",'[1]Доп профобраз (исключен) +'!N68)</f>
        <v>-</v>
      </c>
      <c r="L1306" s="122" t="str">
        <f>IF(ISERR('[1]Доп профобраз (исключен) +'!O68),"-",'[1]Доп профобраз (исключен) +'!O68)</f>
        <v>-</v>
      </c>
      <c r="M1306" s="122" t="str">
        <f>IF(ISERR('[1]Доп профобраз (исключен) +'!P68),"-",'[1]Доп профобраз (исключен) +'!P68)</f>
        <v>-</v>
      </c>
    </row>
    <row r="1307" spans="1:13" s="89" customFormat="1" ht="30" hidden="1" x14ac:dyDescent="0.25">
      <c r="A1307" s="13"/>
      <c r="B1307" s="21" t="s">
        <v>2243</v>
      </c>
      <c r="C1307" s="77" t="s">
        <v>8</v>
      </c>
      <c r="D1307" s="13"/>
      <c r="E1307" s="13"/>
      <c r="F1307" s="13"/>
      <c r="G1307" s="13"/>
      <c r="H1307" s="122">
        <f>IF(ISERR('[1]Доп профобраз (исключен) +'!I69),"-",'[1]Доп профобраз (исключен) +'!I69)</f>
        <v>18.638718513666408</v>
      </c>
      <c r="I1307" s="122">
        <f>IF(ISERR('[1]Доп профобраз (исключен) +'!J69),"-",'[1]Доп профобраз (исключен) +'!J69)</f>
        <v>39.301307150570757</v>
      </c>
      <c r="J1307" s="122">
        <f>IF(ISERR('[1]Доп профобраз (исключен) +'!M69),"-",'[1]Доп профобраз (исключен) +'!M69)</f>
        <v>0</v>
      </c>
      <c r="K1307" s="122" t="str">
        <f>IF(ISERR('[1]Доп профобраз (исключен) +'!N69),"-",'[1]Доп профобраз (исключен) +'!N69)</f>
        <v>-</v>
      </c>
      <c r="L1307" s="122" t="str">
        <f>IF(ISERR('[1]Доп профобраз (исключен) +'!O69),"-",'[1]Доп профобраз (исключен) +'!O69)</f>
        <v>-</v>
      </c>
      <c r="M1307" s="122" t="str">
        <f>IF(ISERR('[1]Доп профобраз (исключен) +'!P69),"-",'[1]Доп профобраз (исключен) +'!P69)</f>
        <v>-</v>
      </c>
    </row>
    <row r="1308" spans="1:13" s="89" customFormat="1" ht="30" hidden="1" x14ac:dyDescent="0.25">
      <c r="A1308" s="13"/>
      <c r="B1308" s="21" t="s">
        <v>2244</v>
      </c>
      <c r="C1308" s="77" t="s">
        <v>8</v>
      </c>
      <c r="D1308" s="13"/>
      <c r="E1308" s="13"/>
      <c r="F1308" s="13"/>
      <c r="G1308" s="13"/>
      <c r="H1308" s="122">
        <f>IF(ISERR('[1]Доп профобраз (исключен) +'!I70),"-",'[1]Доп профобраз (исключен) +'!I70)</f>
        <v>50.624268048194686</v>
      </c>
      <c r="I1308" s="122">
        <f>IF(ISERR('[1]Доп профобраз (исключен) +'!J70),"-",'[1]Доп профобраз (исключен) +'!J70)</f>
        <v>53.259926195350438</v>
      </c>
      <c r="J1308" s="122">
        <f>IF(ISERR('[1]Доп профобраз (исключен) +'!M70),"-",'[1]Доп профобраз (исключен) +'!M70)</f>
        <v>0</v>
      </c>
      <c r="K1308" s="122" t="str">
        <f>IF(ISERR('[1]Доп профобраз (исключен) +'!N70),"-",'[1]Доп профобраз (исключен) +'!N70)</f>
        <v>-</v>
      </c>
      <c r="L1308" s="122" t="str">
        <f>IF(ISERR('[1]Доп профобраз (исключен) +'!O70),"-",'[1]Доп профобраз (исключен) +'!O70)</f>
        <v>-</v>
      </c>
      <c r="M1308" s="122" t="str">
        <f>IF(ISERR('[1]Доп профобраз (исключен) +'!P70),"-",'[1]Доп профобраз (исключен) +'!P70)</f>
        <v>-</v>
      </c>
    </row>
    <row r="1309" spans="1:13" s="89" customFormat="1" ht="45" hidden="1" x14ac:dyDescent="0.25">
      <c r="A1309" s="99" t="s">
        <v>892</v>
      </c>
      <c r="B1309" s="100" t="s">
        <v>893</v>
      </c>
      <c r="C1309" s="87"/>
      <c r="D1309" s="109"/>
      <c r="E1309" s="109"/>
      <c r="F1309" s="109"/>
      <c r="G1309" s="109"/>
      <c r="H1309" s="109"/>
      <c r="I1309" s="109"/>
      <c r="J1309" s="109"/>
      <c r="K1309" s="109"/>
      <c r="L1309" s="109"/>
      <c r="M1309" s="109"/>
    </row>
    <row r="1310" spans="1:13" s="89" customFormat="1" ht="75" hidden="1" x14ac:dyDescent="0.25">
      <c r="A1310" s="13" t="s">
        <v>894</v>
      </c>
      <c r="B1310" s="70" t="s">
        <v>895</v>
      </c>
      <c r="C1310" s="13"/>
      <c r="D1310" s="109"/>
      <c r="E1310" s="109"/>
      <c r="F1310" s="109"/>
      <c r="G1310" s="109"/>
      <c r="H1310" s="109"/>
      <c r="I1310" s="109"/>
      <c r="J1310" s="109"/>
      <c r="K1310" s="109"/>
      <c r="L1310" s="109"/>
      <c r="M1310" s="109"/>
    </row>
    <row r="1311" spans="1:13" s="89" customFormat="1" hidden="1" x14ac:dyDescent="0.25">
      <c r="A1311" s="13"/>
      <c r="B1311" s="70" t="s">
        <v>2253</v>
      </c>
      <c r="C1311" s="13" t="s">
        <v>8</v>
      </c>
      <c r="D1311" s="109"/>
      <c r="E1311" s="109"/>
      <c r="F1311" s="109"/>
      <c r="G1311" s="122">
        <f>IF(ISERR('[1]Доп профобраз (исключен) +'!H78),"-",'[1]Доп профобраз (исключен) +'!H78)</f>
        <v>3.03</v>
      </c>
      <c r="H1311" s="122">
        <f>IF(ISERR('[1]Доп профобраз (исключен) +'!I78),"-",'[1]Доп профобраз (исключен) +'!I78)</f>
        <v>0.90090090090090091</v>
      </c>
      <c r="I1311" s="122">
        <f>IF(ISERR('[1]Доп профобраз (исключен) +'!J78),"-",'[1]Доп профобраз (исключен) +'!J78)</f>
        <v>0</v>
      </c>
      <c r="J1311" s="122">
        <f>IF(ISERR('[1]Доп профобраз (исключен) +'!M78),"-",'[1]Доп профобраз (исключен) +'!M78)</f>
        <v>0</v>
      </c>
      <c r="K1311" s="122" t="str">
        <f>IF(ISERR('[1]Доп профобраз (исключен) +'!N78),"-",'[1]Доп профобраз (исключен) +'!N78)</f>
        <v>-</v>
      </c>
      <c r="L1311" s="122" t="str">
        <f>IF(ISERR('[1]Доп профобраз (исключен) +'!O78),"-",'[1]Доп профобраз (исключен) +'!O78)</f>
        <v>-</v>
      </c>
      <c r="M1311" s="122" t="str">
        <f>IF(ISERR('[1]Доп профобраз (исключен) +'!P78),"-",'[1]Доп профобраз (исключен) +'!P78)</f>
        <v>-</v>
      </c>
    </row>
    <row r="1312" spans="1:13" s="89" customFormat="1" hidden="1" x14ac:dyDescent="0.25">
      <c r="A1312" s="13"/>
      <c r="B1312" s="70" t="s">
        <v>2254</v>
      </c>
      <c r="C1312" s="13" t="s">
        <v>8</v>
      </c>
      <c r="D1312" s="109"/>
      <c r="E1312" s="109"/>
      <c r="F1312" s="109"/>
      <c r="G1312" s="122">
        <f>IF(ISERR('[1]Доп профобраз (исключен) +'!H79),"-",'[1]Доп профобраз (исключен) +'!H79)</f>
        <v>12.12</v>
      </c>
      <c r="H1312" s="122">
        <f>IF(ISERR('[1]Доп профобраз (исключен) +'!I79),"-",'[1]Доп профобраз (исключен) +'!I79)</f>
        <v>12.612612612612612</v>
      </c>
      <c r="I1312" s="122">
        <f>IF(ISERR('[1]Доп профобраз (исключен) +'!J79),"-",'[1]Доп профобраз (исключен) +'!J79)</f>
        <v>15.625</v>
      </c>
      <c r="J1312" s="122">
        <f>IF(ISERR('[1]Доп профобраз (исключен) +'!M79),"-",'[1]Доп профобраз (исключен) +'!M79)</f>
        <v>0</v>
      </c>
      <c r="K1312" s="122" t="str">
        <f>IF(ISERR('[1]Доп профобраз (исключен) +'!N79),"-",'[1]Доп профобраз (исключен) +'!N79)</f>
        <v>-</v>
      </c>
      <c r="L1312" s="122" t="str">
        <f>IF(ISERR('[1]Доп профобраз (исключен) +'!O79),"-",'[1]Доп профобраз (исключен) +'!O79)</f>
        <v>-</v>
      </c>
      <c r="M1312" s="122" t="str">
        <f>IF(ISERR('[1]Доп профобраз (исключен) +'!P79),"-",'[1]Доп профобраз (исключен) +'!P79)</f>
        <v>-</v>
      </c>
    </row>
    <row r="1313" spans="1:13" s="89" customFormat="1" ht="60" hidden="1" x14ac:dyDescent="0.25">
      <c r="A1313" s="99" t="s">
        <v>899</v>
      </c>
      <c r="B1313" s="100" t="s">
        <v>900</v>
      </c>
      <c r="C1313" s="13"/>
      <c r="D1313" s="109"/>
      <c r="E1313" s="109"/>
      <c r="F1313" s="109"/>
      <c r="G1313" s="109"/>
      <c r="H1313" s="109"/>
      <c r="I1313" s="109"/>
      <c r="J1313" s="109"/>
      <c r="K1313" s="109"/>
      <c r="L1313" s="109"/>
      <c r="M1313" s="109"/>
    </row>
    <row r="1314" spans="1:13" s="89" customFormat="1" ht="225" hidden="1" x14ac:dyDescent="0.25">
      <c r="A1314" s="13" t="s">
        <v>902</v>
      </c>
      <c r="B1314" s="70" t="s">
        <v>1328</v>
      </c>
      <c r="C1314" s="13" t="s">
        <v>8</v>
      </c>
      <c r="D1314" s="109"/>
      <c r="E1314" s="109"/>
      <c r="F1314" s="109"/>
      <c r="G1314" s="122">
        <f>IF(ISERR('[1]Доп профобраз (исключен) +'!H84),"-",'[1]Доп профобраз (исключен) +'!H84)</f>
        <v>0.02</v>
      </c>
      <c r="H1314" s="122">
        <f>IF(ISERR('[1]Доп профобраз (исключен) +'!I84),"-",'[1]Доп профобраз (исключен) +'!I84)</f>
        <v>15.899999997047381</v>
      </c>
      <c r="I1314" s="122">
        <f>IF(ISERR('[1]Доп профобраз (исключен) +'!J84),"-",'[1]Доп профобраз (исключен) +'!J84)</f>
        <v>28.728990095160405</v>
      </c>
      <c r="J1314" s="122" t="str">
        <f>IF(ISERR('[1]Доп профобраз (исключен) +'!M84),"-",'[1]Доп профобраз (исключен) +'!M84)</f>
        <v>Российская Федерация, субъекты Российской Федерации, государственные и муниципальные организации; частные организации (дополнительная информация)</v>
      </c>
      <c r="K1314" s="122" t="str">
        <f>IF(ISERR('[1]Доп профобраз (исключен) +'!N84),"-",'[1]Доп профобраз (исключен) +'!N84)</f>
        <v>-</v>
      </c>
      <c r="L1314" s="122" t="str">
        <f>IF(ISERR('[1]Доп профобраз (исключен) +'!O84),"-",'[1]Доп профобраз (исключен) +'!O84)</f>
        <v>-</v>
      </c>
      <c r="M1314" s="122" t="str">
        <f>IF(ISERR('[1]Доп профобраз (исключен) +'!P84),"-",'[1]Доп профобраз (исключен) +'!P84)</f>
        <v>-</v>
      </c>
    </row>
    <row r="1315" spans="1:13" s="89" customFormat="1" ht="45" hidden="1" x14ac:dyDescent="0.25">
      <c r="A1315" s="13" t="s">
        <v>907</v>
      </c>
      <c r="B1315" s="70" t="s">
        <v>906</v>
      </c>
      <c r="C1315" s="13"/>
      <c r="D1315" s="109"/>
      <c r="E1315" s="109"/>
      <c r="F1315" s="109"/>
      <c r="G1315" s="109"/>
      <c r="H1315" s="109"/>
      <c r="I1315" s="109"/>
      <c r="J1315" s="109"/>
      <c r="K1315" s="109"/>
      <c r="L1315" s="109"/>
      <c r="M1315" s="109"/>
    </row>
    <row r="1316" spans="1:13" s="89" customFormat="1" hidden="1" x14ac:dyDescent="0.25">
      <c r="A1316" s="13"/>
      <c r="B1316" s="70" t="s">
        <v>2251</v>
      </c>
      <c r="C1316" s="13" t="s">
        <v>1112</v>
      </c>
      <c r="D1316" s="109"/>
      <c r="E1316" s="109"/>
      <c r="F1316" s="109"/>
      <c r="G1316" s="109"/>
      <c r="H1316" s="122">
        <f>IF(ISERR('[1]Доп профобраз (исключен) +'!I88),"-",'[1]Доп профобраз (исключен) +'!I88)</f>
        <v>59.782608695652172</v>
      </c>
      <c r="I1316" s="122">
        <f>IF(ISERR('[1]Доп профобраз (исключен) +'!J88),"-",'[1]Доп профобраз (исключен) +'!J88)</f>
        <v>72.289156626506028</v>
      </c>
      <c r="J1316" s="122">
        <f>IF(ISERR('[1]Доп профобраз (исключен) +'!M88),"-",'[1]Доп профобраз (исключен) +'!M88)</f>
        <v>0</v>
      </c>
      <c r="K1316" s="122" t="str">
        <f>IF(ISERR('[1]Доп профобраз (исключен) +'!N88),"-",'[1]Доп профобраз (исключен) +'!N88)</f>
        <v>-</v>
      </c>
      <c r="L1316" s="122" t="str">
        <f>IF(ISERR('[1]Доп профобраз (исключен) +'!O88),"-",'[1]Доп профобраз (исключен) +'!O88)</f>
        <v>-</v>
      </c>
      <c r="M1316" s="122" t="str">
        <f>IF(ISERR('[1]Доп профобраз (исключен) +'!P88),"-",'[1]Доп профобраз (исключен) +'!P88)</f>
        <v>-</v>
      </c>
    </row>
    <row r="1317" spans="1:13" s="89" customFormat="1" hidden="1" x14ac:dyDescent="0.25">
      <c r="A1317" s="13"/>
      <c r="B1317" s="70" t="s">
        <v>2252</v>
      </c>
      <c r="C1317" s="13" t="s">
        <v>1112</v>
      </c>
      <c r="D1317" s="109"/>
      <c r="E1317" s="109"/>
      <c r="F1317" s="109"/>
      <c r="G1317" s="109"/>
      <c r="H1317" s="122">
        <f>IF(ISERR('[1]Доп профобраз (исключен) +'!I89),"-",'[1]Доп профобраз (исключен) +'!I89)</f>
        <v>24.011857707509883</v>
      </c>
      <c r="I1317" s="122">
        <f>IF(ISERR('[1]Доп профобраз (исключен) +'!J89),"-",'[1]Доп профобраз (исключен) +'!J89)</f>
        <v>38.253012048192772</v>
      </c>
      <c r="J1317" s="122">
        <f>IF(ISERR('[1]Доп профобраз (исключен) +'!M89),"-",'[1]Доп профобраз (исключен) +'!M89)</f>
        <v>0</v>
      </c>
      <c r="K1317" s="122" t="str">
        <f>IF(ISERR('[1]Доп профобраз (исключен) +'!N89),"-",'[1]Доп профобраз (исключен) +'!N89)</f>
        <v>-</v>
      </c>
      <c r="L1317" s="122" t="str">
        <f>IF(ISERR('[1]Доп профобраз (исключен) +'!O89),"-",'[1]Доп профобраз (исключен) +'!O89)</f>
        <v>-</v>
      </c>
      <c r="M1317" s="122" t="str">
        <f>IF(ISERR('[1]Доп профобраз (исключен) +'!P89),"-",'[1]Доп профобраз (исключен) +'!P89)</f>
        <v>-</v>
      </c>
    </row>
    <row r="1318" spans="1:13" s="89" customFormat="1" ht="60" hidden="1" x14ac:dyDescent="0.25">
      <c r="A1318" s="99" t="s">
        <v>911</v>
      </c>
      <c r="B1318" s="100" t="s">
        <v>912</v>
      </c>
      <c r="C1318" s="87"/>
      <c r="D1318" s="109"/>
      <c r="E1318" s="109"/>
      <c r="F1318" s="109"/>
      <c r="G1318" s="109"/>
      <c r="H1318" s="109"/>
      <c r="I1318" s="109"/>
      <c r="J1318" s="109"/>
      <c r="K1318" s="109"/>
      <c r="L1318" s="109"/>
      <c r="M1318" s="109"/>
    </row>
    <row r="1319" spans="1:13" s="89" customFormat="1" ht="30" hidden="1" x14ac:dyDescent="0.25">
      <c r="A1319" s="77" t="s">
        <v>914</v>
      </c>
      <c r="B1319" s="80" t="s">
        <v>2234</v>
      </c>
      <c r="C1319" s="204"/>
      <c r="D1319" s="204"/>
      <c r="E1319" s="204"/>
      <c r="F1319" s="204"/>
      <c r="G1319" s="204"/>
      <c r="H1319" s="204"/>
      <c r="I1319" s="204"/>
      <c r="J1319" s="204"/>
      <c r="K1319" s="204"/>
      <c r="L1319" s="204"/>
      <c r="M1319" s="204"/>
    </row>
    <row r="1320" spans="1:13" s="89" customFormat="1" hidden="1" x14ac:dyDescent="0.25">
      <c r="A1320" s="77"/>
      <c r="B1320" s="80" t="s">
        <v>1684</v>
      </c>
      <c r="C1320" s="13" t="s">
        <v>8</v>
      </c>
      <c r="D1320" s="204"/>
      <c r="E1320" s="204"/>
      <c r="F1320" s="204"/>
      <c r="G1320" s="204"/>
      <c r="H1320" s="122">
        <f>IF(ISERR('[1]Доп профобраз (исключен) +'!I95),"-",'[1]Доп профобраз (исключен) +'!I95)</f>
        <v>82.456140350877192</v>
      </c>
      <c r="I1320" s="122">
        <f>IF(ISERR('[1]Доп профобраз (исключен) +'!J95),"-",'[1]Доп профобраз (исключен) +'!J95)</f>
        <v>106.38297872340425</v>
      </c>
      <c r="J1320" s="122" t="str">
        <f>IF(ISERR('[1]Доп профобраз (исключен) +'!M95),"-",'[1]Доп профобраз (исключен) +'!M95)</f>
        <v>-</v>
      </c>
      <c r="K1320" s="122" t="str">
        <f>IF(ISERR('[1]Доп профобраз (исключен) +'!N95),"-",'[1]Доп профобраз (исключен) +'!N95)</f>
        <v>-</v>
      </c>
      <c r="L1320" s="122" t="str">
        <f>IF(ISERR('[1]Доп профобраз (исключен) +'!O95),"-",'[1]Доп профобраз (исключен) +'!O95)</f>
        <v>-</v>
      </c>
      <c r="M1320" s="122" t="str">
        <f>IF(ISERR('[1]Доп профобраз (исключен) +'!P95),"-",'[1]Доп профобраз (исключен) +'!P95)</f>
        <v>-</v>
      </c>
    </row>
    <row r="1321" spans="1:13" s="89" customFormat="1" hidden="1" x14ac:dyDescent="0.25">
      <c r="A1321" s="77"/>
      <c r="B1321" s="80" t="s">
        <v>2235</v>
      </c>
      <c r="C1321" s="13" t="s">
        <v>8</v>
      </c>
      <c r="D1321" s="204"/>
      <c r="E1321" s="204"/>
      <c r="F1321" s="204"/>
      <c r="G1321" s="204"/>
      <c r="H1321" s="122">
        <f>IF(ISERR('[1]Доп профобраз (исключен) +'!I96),"-",'[1]Доп профобраз (исключен) +'!I96)</f>
        <v>79.166666666666657</v>
      </c>
      <c r="I1321" s="122">
        <f>IF(ISERR('[1]Доп профобраз (исключен) +'!J96),"-",'[1]Доп профобраз (исключен) +'!J96)</f>
        <v>78.94736842105263</v>
      </c>
      <c r="J1321" s="122" t="str">
        <f>IF(ISERR('[1]Доп профобраз (исключен) +'!M96),"-",'[1]Доп профобраз (исключен) +'!M96)</f>
        <v>-</v>
      </c>
      <c r="K1321" s="122" t="str">
        <f>IF(ISERR('[1]Доп профобраз (исключен) +'!N96),"-",'[1]Доп профобраз (исключен) +'!N96)</f>
        <v>-</v>
      </c>
      <c r="L1321" s="122" t="str">
        <f>IF(ISERR('[1]Доп профобраз (исключен) +'!O96),"-",'[1]Доп профобраз (исключен) +'!O96)</f>
        <v>-</v>
      </c>
      <c r="M1321" s="122" t="str">
        <f>IF(ISERR('[1]Доп профобраз (исключен) +'!P96),"-",'[1]Доп профобраз (исключен) +'!P96)</f>
        <v>-</v>
      </c>
    </row>
    <row r="1322" spans="1:13" s="89" customFormat="1" hidden="1" x14ac:dyDescent="0.25">
      <c r="A1322" s="77"/>
      <c r="B1322" s="80" t="s">
        <v>2236</v>
      </c>
      <c r="C1322" s="13" t="s">
        <v>8</v>
      </c>
      <c r="D1322" s="204"/>
      <c r="E1322" s="204"/>
      <c r="F1322" s="204"/>
      <c r="G1322" s="204"/>
      <c r="H1322" s="122">
        <f>IF(ISERR('[1]Доп профобраз (исключен) +'!I97),"-",'[1]Доп профобраз (исключен) +'!I97)</f>
        <v>90.476190476190482</v>
      </c>
      <c r="I1322" s="122">
        <f>IF(ISERR('[1]Доп профобраз (исключен) +'!J97),"-",'[1]Доп профобраз (исключен) +'!J97)</f>
        <v>115.78947368421053</v>
      </c>
      <c r="J1322" s="122" t="str">
        <f>IF(ISERR('[1]Доп профобраз (исключен) +'!M97),"-",'[1]Доп профобраз (исключен) +'!M97)</f>
        <v>-</v>
      </c>
      <c r="K1322" s="122" t="str">
        <f>IF(ISERR('[1]Доп профобраз (исключен) +'!N97),"-",'[1]Доп профобраз (исключен) +'!N97)</f>
        <v>-</v>
      </c>
      <c r="L1322" s="122" t="str">
        <f>IF(ISERR('[1]Доп профобраз (исключен) +'!O97),"-",'[1]Доп профобраз (исключен) +'!O97)</f>
        <v>-</v>
      </c>
      <c r="M1322" s="122" t="str">
        <f>IF(ISERR('[1]Доп профобраз (исключен) +'!P97),"-",'[1]Доп профобраз (исключен) +'!P97)</f>
        <v>-</v>
      </c>
    </row>
    <row r="1323" spans="1:13" s="89" customFormat="1" hidden="1" x14ac:dyDescent="0.25">
      <c r="A1323" s="77"/>
      <c r="B1323" s="80" t="s">
        <v>2237</v>
      </c>
      <c r="C1323" s="13" t="s">
        <v>8</v>
      </c>
      <c r="D1323" s="204"/>
      <c r="E1323" s="204"/>
      <c r="F1323" s="204"/>
      <c r="G1323" s="204"/>
      <c r="H1323" s="122">
        <f>IF(ISERR('[1]Доп профобраз (исключен) +'!I98),"-",'[1]Доп профобраз (исключен) +'!I98)</f>
        <v>100</v>
      </c>
      <c r="I1323" s="122">
        <f>IF(ISERR('[1]Доп профобраз (исключен) +'!J98),"-",'[1]Доп профобраз (исключен) +'!J98)</f>
        <v>142.85714285714286</v>
      </c>
      <c r="J1323" s="122" t="str">
        <f>IF(ISERR('[1]Доп профобраз (исключен) +'!M98),"-",'[1]Доп профобраз (исключен) +'!M98)</f>
        <v>-</v>
      </c>
      <c r="K1323" s="122" t="str">
        <f>IF(ISERR('[1]Доп профобраз (исключен) +'!N98),"-",'[1]Доп профобраз (исключен) +'!N98)</f>
        <v>-</v>
      </c>
      <c r="L1323" s="122" t="str">
        <f>IF(ISERR('[1]Доп профобраз (исключен) +'!O98),"-",'[1]Доп профобраз (исключен) +'!O98)</f>
        <v>-</v>
      </c>
      <c r="M1323" s="122" t="str">
        <f>IF(ISERR('[1]Доп профобраз (исключен) +'!P98),"-",'[1]Доп профобраз (исключен) +'!P98)</f>
        <v>-</v>
      </c>
    </row>
    <row r="1324" spans="1:13" s="89" customFormat="1" ht="75" hidden="1" x14ac:dyDescent="0.25">
      <c r="A1324" s="13" t="s">
        <v>914</v>
      </c>
      <c r="B1324" s="70" t="s">
        <v>913</v>
      </c>
      <c r="C1324" s="13"/>
      <c r="D1324" s="109"/>
      <c r="E1324" s="109"/>
      <c r="F1324" s="109"/>
      <c r="G1324" s="109"/>
      <c r="H1324" s="109"/>
      <c r="I1324" s="109"/>
      <c r="J1324" s="109"/>
      <c r="K1324" s="109"/>
      <c r="L1324" s="109"/>
      <c r="M1324" s="109"/>
    </row>
    <row r="1325" spans="1:13" s="89" customFormat="1" hidden="1" x14ac:dyDescent="0.25">
      <c r="A1325" s="13"/>
      <c r="B1325" s="70" t="s">
        <v>1329</v>
      </c>
      <c r="C1325" s="13" t="s">
        <v>8</v>
      </c>
      <c r="D1325" s="109"/>
      <c r="E1325" s="109"/>
      <c r="F1325" s="109"/>
      <c r="G1325" s="109"/>
      <c r="H1325" s="109"/>
      <c r="I1325" s="109"/>
      <c r="J1325" s="109"/>
      <c r="K1325" s="109"/>
      <c r="L1325" s="109"/>
      <c r="M1325" s="109"/>
    </row>
    <row r="1326" spans="1:13" s="89" customFormat="1" hidden="1" x14ac:dyDescent="0.25">
      <c r="A1326" s="13"/>
      <c r="B1326" s="70" t="s">
        <v>1330</v>
      </c>
      <c r="C1326" s="13" t="s">
        <v>8</v>
      </c>
      <c r="D1326" s="109"/>
      <c r="E1326" s="109"/>
      <c r="F1326" s="109"/>
      <c r="G1326" s="109"/>
      <c r="H1326" s="109"/>
      <c r="I1326" s="109"/>
      <c r="J1326" s="109"/>
      <c r="K1326" s="109"/>
      <c r="L1326" s="109"/>
      <c r="M1326" s="109"/>
    </row>
    <row r="1327" spans="1:13" s="89" customFormat="1" hidden="1" x14ac:dyDescent="0.25">
      <c r="A1327" s="13"/>
      <c r="B1327" s="70" t="s">
        <v>1331</v>
      </c>
      <c r="C1327" s="13" t="s">
        <v>8</v>
      </c>
      <c r="D1327" s="109"/>
      <c r="E1327" s="109"/>
      <c r="F1327" s="109"/>
      <c r="G1327" s="109"/>
      <c r="H1327" s="109"/>
      <c r="I1327" s="109"/>
      <c r="J1327" s="109"/>
      <c r="K1327" s="109"/>
      <c r="L1327" s="109"/>
      <c r="M1327" s="109"/>
    </row>
    <row r="1328" spans="1:13" s="89" customFormat="1" ht="30" hidden="1" x14ac:dyDescent="0.25">
      <c r="A1328" s="99" t="s">
        <v>922</v>
      </c>
      <c r="B1328" s="100" t="s">
        <v>923</v>
      </c>
      <c r="C1328" s="87"/>
      <c r="D1328" s="109"/>
      <c r="E1328" s="109"/>
      <c r="F1328" s="109"/>
      <c r="G1328" s="109"/>
      <c r="H1328" s="109"/>
      <c r="I1328" s="109"/>
      <c r="J1328" s="109"/>
      <c r="K1328" s="109"/>
      <c r="L1328" s="109"/>
      <c r="M1328" s="109"/>
    </row>
    <row r="1329" spans="1:13" s="89" customFormat="1" ht="45" hidden="1" x14ac:dyDescent="0.25">
      <c r="A1329" s="77" t="s">
        <v>925</v>
      </c>
      <c r="B1329" s="80" t="s">
        <v>2232</v>
      </c>
      <c r="C1329" s="13" t="s">
        <v>8</v>
      </c>
      <c r="D1329" s="200"/>
      <c r="E1329" s="200"/>
      <c r="F1329" s="200"/>
      <c r="G1329" s="200"/>
      <c r="H1329" s="122">
        <f>IF(ISERR('[1]Доп профобраз (исключен) +'!I120),"-",'[1]Доп профобраз (исключен) +'!I120)</f>
        <v>7.939816193255126E-3</v>
      </c>
      <c r="I1329" s="122">
        <f>IF(ISERR('[1]Доп профобраз (исключен) +'!J120),"-",'[1]Доп профобраз (исключен) +'!J120)</f>
        <v>0</v>
      </c>
      <c r="J1329" s="122" t="str">
        <f>IF(ISERR('[1]Доп профобраз (исключен) +'!M120),"-",'[1]Доп профобраз (исключен) +'!M120)</f>
        <v>-</v>
      </c>
      <c r="K1329" s="122" t="str">
        <f>IF(ISERR('[1]Доп профобраз (исключен) +'!N120),"-",'[1]Доп профобраз (исключен) +'!N120)</f>
        <v>-</v>
      </c>
      <c r="L1329" s="122" t="str">
        <f>IF(ISERR('[1]Доп профобраз (исключен) +'!O120),"-",'[1]Доп профобраз (исключен) +'!O120)</f>
        <v>-</v>
      </c>
      <c r="M1329" s="122" t="str">
        <f>IF(ISERR('[1]Доп профобраз (исключен) +'!P120),"-",'[1]Доп профобраз (исключен) +'!P120)</f>
        <v>-</v>
      </c>
    </row>
    <row r="1330" spans="1:13" s="89" customFormat="1" ht="45" hidden="1" x14ac:dyDescent="0.25">
      <c r="A1330" s="13" t="s">
        <v>925</v>
      </c>
      <c r="B1330" s="70" t="s">
        <v>1332</v>
      </c>
      <c r="C1330" s="13" t="s">
        <v>8</v>
      </c>
      <c r="D1330" s="109"/>
      <c r="E1330" s="109"/>
      <c r="F1330" s="109"/>
      <c r="G1330" s="122">
        <f>IF(ISERR('[1]Доп профобраз (исключен) +'!H123),"-",'[1]Доп профобраз (исключен) +'!H123)</f>
        <v>0.12983202981143147</v>
      </c>
      <c r="H1330" s="109"/>
      <c r="I1330" s="109"/>
      <c r="J1330" s="109"/>
      <c r="K1330" s="109"/>
      <c r="L1330" s="109"/>
      <c r="M1330" s="109"/>
    </row>
    <row r="1331" spans="1:13" s="89" customFormat="1" ht="45" hidden="1" x14ac:dyDescent="0.25">
      <c r="A1331" s="99" t="s">
        <v>928</v>
      </c>
      <c r="B1331" s="100" t="s">
        <v>929</v>
      </c>
      <c r="C1331" s="87"/>
      <c r="D1331" s="109"/>
      <c r="E1331" s="109"/>
      <c r="F1331" s="109"/>
      <c r="G1331" s="109"/>
      <c r="H1331" s="109"/>
      <c r="I1331" s="109"/>
      <c r="J1331" s="109"/>
      <c r="K1331" s="109"/>
      <c r="L1331" s="109"/>
      <c r="M1331" s="109"/>
    </row>
    <row r="1332" spans="1:13" s="448" customFormat="1" ht="45" hidden="1" x14ac:dyDescent="0.25">
      <c r="A1332" s="124" t="s">
        <v>931</v>
      </c>
      <c r="B1332" s="242" t="s">
        <v>2229</v>
      </c>
      <c r="C1332" s="13" t="s">
        <v>8</v>
      </c>
      <c r="D1332" s="189"/>
      <c r="E1332" s="189"/>
      <c r="F1332" s="189"/>
      <c r="G1332" s="189"/>
      <c r="H1332" s="122">
        <f>IF(ISERR('[1]Доп профобраз (исключен) +'!I127),"-",'[1]Доп профобраз (исключен) +'!I127)</f>
        <v>0.15273942878765359</v>
      </c>
      <c r="I1332" s="122">
        <f>IF(ISERR('[1]Доп профобраз (исключен) +'!J127),"-",'[1]Доп профобраз (исключен) +'!J127)</f>
        <v>0</v>
      </c>
      <c r="J1332" s="122" t="str">
        <f>IF(ISERR('[1]Доп профобраз (исключен) +'!M127),"-",'[1]Доп профобраз (исключен) +'!M127)</f>
        <v>-</v>
      </c>
      <c r="K1332" s="122" t="str">
        <f>IF(ISERR('[1]Доп профобраз (исключен) +'!N127),"-",'[1]Доп профобраз (исключен) +'!N127)</f>
        <v>-</v>
      </c>
      <c r="L1332" s="122" t="str">
        <f>IF(ISERR('[1]Доп профобраз (исключен) +'!O127),"-",'[1]Доп профобраз (исключен) +'!O127)</f>
        <v>-</v>
      </c>
      <c r="M1332" s="122" t="str">
        <f>IF(ISERR('[1]Доп профобраз (исключен) +'!P127),"-",'[1]Доп профобраз (исключен) +'!P127)</f>
        <v>-</v>
      </c>
    </row>
    <row r="1333" spans="1:13" s="89" customFormat="1" ht="45" hidden="1" x14ac:dyDescent="0.25">
      <c r="A1333" s="13" t="s">
        <v>931</v>
      </c>
      <c r="B1333" s="70" t="s">
        <v>1333</v>
      </c>
      <c r="C1333" s="13" t="s">
        <v>8</v>
      </c>
      <c r="D1333" s="109"/>
      <c r="E1333" s="109"/>
      <c r="F1333" s="109"/>
      <c r="G1333" s="122">
        <f>IF(ISERR('[1]Доп профобраз (исключен) +'!H130),"-",'[1]Доп профобраз (исключен) +'!H130)</f>
        <v>0.01</v>
      </c>
      <c r="H1333" s="109"/>
      <c r="I1333" s="109"/>
      <c r="J1333" s="109"/>
      <c r="K1333" s="109"/>
      <c r="L1333" s="109"/>
      <c r="M1333" s="109"/>
    </row>
    <row r="1334" spans="1:13" s="89" customFormat="1" ht="45" hidden="1" x14ac:dyDescent="0.25">
      <c r="A1334" s="99" t="s">
        <v>934</v>
      </c>
      <c r="B1334" s="100" t="s">
        <v>935</v>
      </c>
      <c r="C1334" s="87"/>
      <c r="D1334" s="109"/>
      <c r="E1334" s="109"/>
      <c r="F1334" s="109"/>
      <c r="G1334" s="109"/>
      <c r="H1334" s="109"/>
      <c r="I1334" s="109"/>
      <c r="J1334" s="109"/>
      <c r="K1334" s="109"/>
      <c r="L1334" s="109"/>
      <c r="M1334" s="109"/>
    </row>
    <row r="1335" spans="1:13" s="89" customFormat="1" ht="45" hidden="1" x14ac:dyDescent="0.25">
      <c r="A1335" s="13" t="s">
        <v>936</v>
      </c>
      <c r="B1335" s="70" t="s">
        <v>1139</v>
      </c>
      <c r="C1335" s="13"/>
      <c r="D1335" s="109"/>
      <c r="E1335" s="109"/>
      <c r="F1335" s="109"/>
      <c r="G1335" s="109"/>
      <c r="H1335" s="109"/>
      <c r="I1335" s="109"/>
      <c r="J1335" s="109"/>
      <c r="K1335" s="109"/>
      <c r="L1335" s="109"/>
      <c r="M1335" s="109"/>
    </row>
    <row r="1336" spans="1:13" s="89" customFormat="1" hidden="1" x14ac:dyDescent="0.25">
      <c r="A1336" s="87"/>
      <c r="B1336" s="70" t="s">
        <v>2249</v>
      </c>
      <c r="C1336" s="13" t="s">
        <v>8</v>
      </c>
      <c r="D1336" s="109"/>
      <c r="E1336" s="109"/>
      <c r="F1336" s="109"/>
      <c r="G1336" s="122">
        <f>IF(ISERR('[1]Доп профобраз (исключен) +'!H135),"-",'[1]Доп профобраз (исключен) +'!H135)</f>
        <v>5.93</v>
      </c>
      <c r="H1336" s="122">
        <f>IF(ISERR('[1]Доп профобраз (исключен) +'!I135),"-",'[1]Доп профобраз (исключен) +'!I135)</f>
        <v>15.70950529076603</v>
      </c>
      <c r="I1336" s="122">
        <f>IF(ISERR('[1]Доп профобраз (исключен) +'!J135),"-",'[1]Доп профобраз (исключен) +'!J135)</f>
        <v>4.5031055900621118</v>
      </c>
      <c r="J1336" s="122" t="str">
        <f>IF(ISERR('[1]Доп профобраз (исключен) +'!M135),"-",'[1]Доп профобраз (исключен) +'!M135)</f>
        <v>-</v>
      </c>
      <c r="K1336" s="122" t="str">
        <f>IF(ISERR('[1]Доп профобраз (исключен) +'!N135),"-",'[1]Доп профобраз (исключен) +'!N135)</f>
        <v>-</v>
      </c>
      <c r="L1336" s="122" t="str">
        <f>IF(ISERR('[1]Доп профобраз (исключен) +'!O135),"-",'[1]Доп профобраз (исключен) +'!O135)</f>
        <v>-</v>
      </c>
      <c r="M1336" s="122" t="str">
        <f>IF(ISERR('[1]Доп профобраз (исключен) +'!P135),"-",'[1]Доп профобраз (исключен) +'!P135)</f>
        <v>-</v>
      </c>
    </row>
    <row r="1337" spans="1:13" s="89" customFormat="1" hidden="1" x14ac:dyDescent="0.25">
      <c r="A1337" s="87"/>
      <c r="B1337" s="70" t="s">
        <v>2250</v>
      </c>
      <c r="C1337" s="13" t="s">
        <v>8</v>
      </c>
      <c r="D1337" s="109"/>
      <c r="E1337" s="109"/>
      <c r="F1337" s="109"/>
      <c r="G1337" s="122">
        <f>IF(ISERR('[1]Доп профобраз (исключен) +'!H136),"-",'[1]Доп профобраз (исключен) +'!H136)</f>
        <v>0</v>
      </c>
      <c r="H1337" s="122">
        <f>IF(ISERR('[1]Доп профобраз (исключен) +'!I136),"-",'[1]Доп профобраз (исключен) +'!I136)</f>
        <v>0</v>
      </c>
      <c r="I1337" s="122">
        <f>IF(ISERR('[1]Доп профобраз (исключен) +'!J136),"-",'[1]Доп профобраз (исключен) +'!J136)</f>
        <v>0</v>
      </c>
      <c r="J1337" s="122" t="str">
        <f>IF(ISERR('[1]Доп профобраз (исключен) +'!M136),"-",'[1]Доп профобраз (исключен) +'!M136)</f>
        <v>-</v>
      </c>
      <c r="K1337" s="122" t="str">
        <f>IF(ISERR('[1]Доп профобраз (исключен) +'!N136),"-",'[1]Доп профобраз (исключен) +'!N136)</f>
        <v>-</v>
      </c>
      <c r="L1337" s="122" t="str">
        <f>IF(ISERR('[1]Доп профобраз (исключен) +'!O136),"-",'[1]Доп профобраз (исключен) +'!O136)</f>
        <v>-</v>
      </c>
      <c r="M1337" s="122" t="str">
        <f>IF(ISERR('[1]Доп профобраз (исключен) +'!P136),"-",'[1]Доп профобраз (исключен) +'!P136)</f>
        <v>-</v>
      </c>
    </row>
    <row r="1338" spans="1:13" s="89" customFormat="1" ht="30" hidden="1" x14ac:dyDescent="0.25">
      <c r="A1338" s="99" t="s">
        <v>941</v>
      </c>
      <c r="B1338" s="100" t="s">
        <v>942</v>
      </c>
      <c r="C1338" s="87"/>
      <c r="D1338" s="109"/>
      <c r="E1338" s="109"/>
      <c r="F1338" s="109"/>
      <c r="G1338" s="109"/>
      <c r="H1338" s="109"/>
      <c r="I1338" s="109"/>
      <c r="J1338" s="109"/>
      <c r="K1338" s="109"/>
      <c r="L1338" s="109"/>
      <c r="M1338" s="109"/>
    </row>
    <row r="1339" spans="1:13" s="89" customFormat="1" ht="60" hidden="1" x14ac:dyDescent="0.25">
      <c r="A1339" s="77" t="s">
        <v>944</v>
      </c>
      <c r="B1339" s="70" t="s">
        <v>2207</v>
      </c>
      <c r="C1339" s="13" t="s">
        <v>8</v>
      </c>
      <c r="D1339" s="200"/>
      <c r="E1339" s="200"/>
      <c r="F1339" s="200"/>
      <c r="G1339" s="200"/>
      <c r="H1339" s="122">
        <f>IF(ISERR('[1]Доп профобраз (исключен) +'!I142),"-",'[1]Доп профобраз (исключен) +'!I142)</f>
        <v>95.375091041514921</v>
      </c>
      <c r="I1339" s="122">
        <f>IF(ISERR('[1]Доп профобраз (исключен) +'!J142),"-",'[1]Доп профобраз (исключен) +'!J142)</f>
        <v>1.8359829761245874</v>
      </c>
      <c r="J1339" s="122" t="str">
        <f>IF(ISERR('[1]Доп профобраз (исключен) +'!M142),"-",'[1]Доп профобраз (исключен) +'!M142)</f>
        <v>-</v>
      </c>
      <c r="K1339" s="122" t="str">
        <f>IF(ISERR('[1]Доп профобраз (исключен) +'!N142),"-",'[1]Доп профобраз (исключен) +'!N142)</f>
        <v>-</v>
      </c>
      <c r="L1339" s="122" t="str">
        <f>IF(ISERR('[1]Доп профобраз (исключен) +'!O142),"-",'[1]Доп профобраз (исключен) +'!O142)</f>
        <v>-</v>
      </c>
      <c r="M1339" s="122" t="str">
        <f>IF(ISERR('[1]Доп профобраз (исключен) +'!P142),"-",'[1]Доп профобраз (исключен) +'!P142)</f>
        <v>-</v>
      </c>
    </row>
    <row r="1340" spans="1:13" s="89" customFormat="1" ht="60" hidden="1" x14ac:dyDescent="0.25">
      <c r="A1340" s="13" t="s">
        <v>944</v>
      </c>
      <c r="B1340" s="70" t="s">
        <v>1334</v>
      </c>
      <c r="C1340" s="13" t="s">
        <v>8</v>
      </c>
      <c r="D1340" s="109"/>
      <c r="E1340" s="109"/>
      <c r="F1340" s="109"/>
      <c r="G1340" s="109"/>
      <c r="H1340" s="109"/>
      <c r="I1340" s="109"/>
      <c r="J1340" s="109"/>
      <c r="K1340" s="109"/>
      <c r="L1340" s="109"/>
      <c r="M1340" s="109"/>
    </row>
    <row r="1341" spans="1:13" s="89" customFormat="1" x14ac:dyDescent="0.25">
      <c r="A1341" s="443" t="s">
        <v>947</v>
      </c>
      <c r="B1341" s="443"/>
      <c r="C1341" s="443"/>
      <c r="D1341" s="443"/>
      <c r="E1341" s="443"/>
      <c r="F1341" s="443"/>
      <c r="G1341" s="443"/>
      <c r="H1341" s="443"/>
      <c r="I1341" s="443"/>
      <c r="J1341" s="443"/>
      <c r="K1341" s="443"/>
      <c r="L1341" s="440"/>
      <c r="M1341" s="440"/>
    </row>
    <row r="1342" spans="1:13" s="89" customFormat="1" x14ac:dyDescent="0.25">
      <c r="A1342" s="443" t="s">
        <v>2588</v>
      </c>
      <c r="B1342" s="443"/>
      <c r="C1342" s="443"/>
      <c r="D1342" s="443"/>
      <c r="E1342" s="443"/>
      <c r="F1342" s="443"/>
      <c r="G1342" s="443"/>
      <c r="H1342" s="443"/>
      <c r="I1342" s="443"/>
      <c r="J1342" s="443"/>
      <c r="K1342" s="443"/>
      <c r="L1342" s="440"/>
      <c r="M1342" s="440"/>
    </row>
    <row r="1343" spans="1:13" s="89" customFormat="1" ht="30" x14ac:dyDescent="0.25">
      <c r="A1343" s="99" t="s">
        <v>776</v>
      </c>
      <c r="B1343" s="100" t="s">
        <v>1017</v>
      </c>
      <c r="C1343" s="87"/>
      <c r="D1343" s="109"/>
      <c r="E1343" s="109"/>
      <c r="F1343" s="109"/>
      <c r="G1343" s="109"/>
      <c r="H1343" s="109"/>
      <c r="I1343" s="109"/>
      <c r="J1343" s="109"/>
      <c r="K1343" s="109"/>
      <c r="L1343" s="109"/>
      <c r="M1343" s="109"/>
    </row>
    <row r="1344" spans="1:13" s="89" customFormat="1" ht="30" x14ac:dyDescent="0.25">
      <c r="A1344" s="13" t="s">
        <v>777</v>
      </c>
      <c r="B1344" s="70" t="s">
        <v>2138</v>
      </c>
      <c r="C1344" s="21"/>
      <c r="D1344" s="13"/>
      <c r="E1344" s="122"/>
      <c r="F1344" s="122"/>
      <c r="G1344" s="122"/>
      <c r="H1344" s="104"/>
      <c r="I1344" s="104"/>
      <c r="J1344" s="104"/>
      <c r="K1344" s="104"/>
      <c r="L1344" s="104"/>
      <c r="M1344" s="104"/>
    </row>
    <row r="1345" spans="1:13" s="89" customFormat="1" ht="30" x14ac:dyDescent="0.25">
      <c r="A1345" s="13"/>
      <c r="B1345" s="70" t="s">
        <v>2173</v>
      </c>
      <c r="C1345" s="13" t="s">
        <v>8</v>
      </c>
      <c r="D1345" s="13"/>
      <c r="E1345" s="122"/>
      <c r="F1345" s="122"/>
      <c r="G1345" s="122"/>
      <c r="H1345" s="104">
        <f>IF(ISERR('[1]Проф обучение+'!I11),"-",'[1]Проф обучение+'!I11)</f>
        <v>67.58783728703024</v>
      </c>
      <c r="I1345" s="104">
        <f>IF(ISERR('[1]Проф обучение+'!J11),"-",'[1]Проф обучение+'!J11)</f>
        <v>37.020000000000003</v>
      </c>
      <c r="J1345" s="104">
        <f>IF(ISERR('[1]Проф обучение+'!K11),"-",'[1]Проф обучение+'!K11)</f>
        <v>63.49238038197911</v>
      </c>
      <c r="K1345" s="104">
        <f>IF(ISERR('[1]Проф обучение+'!L11),"-",'[1]Проф обучение+'!L11)</f>
        <v>52.403684151409635</v>
      </c>
      <c r="L1345" s="104" t="str">
        <f>IF(ISERR('[1]Проф обучение+'!M11),"-",'[1]Проф обучение+'!M11)</f>
        <v>-</v>
      </c>
      <c r="M1345" s="104" t="str">
        <f>IF(ISERR('[1]Проф обучение+'!N11),"-",'[1]Проф обучение+'!N11)</f>
        <v>-</v>
      </c>
    </row>
    <row r="1346" spans="1:13" s="89" customFormat="1" x14ac:dyDescent="0.25">
      <c r="A1346" s="13"/>
      <c r="B1346" s="70" t="s">
        <v>2174</v>
      </c>
      <c r="C1346" s="13" t="s">
        <v>8</v>
      </c>
      <c r="D1346" s="13"/>
      <c r="E1346" s="122"/>
      <c r="F1346" s="122"/>
      <c r="G1346" s="122"/>
      <c r="H1346" s="104">
        <f>IF(ISERR('[1]Проф обучение+'!I12),"-",'[1]Проф обучение+'!I12)</f>
        <v>16.556615309366592</v>
      </c>
      <c r="I1346" s="104">
        <f>IF(ISERR('[1]Проф обучение+'!J12),"-",'[1]Проф обучение+'!J12)</f>
        <v>19.61</v>
      </c>
      <c r="J1346" s="104">
        <f>IF(ISERR('[1]Проф обучение+'!K12),"-",'[1]Проф обучение+'!K12)</f>
        <v>8.2917415319092296</v>
      </c>
      <c r="K1346" s="104">
        <f>IF(ISERR('[1]Проф обучение+'!L12),"-",'[1]Проф обучение+'!L12)</f>
        <v>13.315736268673481</v>
      </c>
      <c r="L1346" s="104" t="str">
        <f>IF(ISERR('[1]Проф обучение+'!M12),"-",'[1]Проф обучение+'!M12)</f>
        <v>-</v>
      </c>
      <c r="M1346" s="104" t="str">
        <f>IF(ISERR('[1]Проф обучение+'!N12),"-",'[1]Проф обучение+'!N12)</f>
        <v>-</v>
      </c>
    </row>
    <row r="1347" spans="1:13" s="89" customFormat="1" x14ac:dyDescent="0.25">
      <c r="A1347" s="13"/>
      <c r="B1347" s="70" t="s">
        <v>2175</v>
      </c>
      <c r="C1347" s="13" t="s">
        <v>8</v>
      </c>
      <c r="D1347" s="13"/>
      <c r="E1347" s="122"/>
      <c r="F1347" s="122"/>
      <c r="G1347" s="122"/>
      <c r="H1347" s="104">
        <f>IF(ISERR('[1]Проф обучение+'!I13),"-",'[1]Проф обучение+'!I13)</f>
        <v>15.855547403603163</v>
      </c>
      <c r="I1347" s="104">
        <f>IF(ISERR('[1]Проф обучение+'!J13),"-",'[1]Проф обучение+'!J13)</f>
        <v>43.37</v>
      </c>
      <c r="J1347" s="104">
        <f>IF(ISERR('[1]Проф обучение+'!K13),"-",'[1]Проф обучение+'!K13)</f>
        <v>28.215878086111669</v>
      </c>
      <c r="K1347" s="104">
        <f>IF(ISERR('[1]Проф обучение+'!L13),"-",'[1]Проф обучение+'!L13)</f>
        <v>34.280579579916882</v>
      </c>
      <c r="L1347" s="104" t="str">
        <f>IF(ISERR('[1]Проф обучение+'!M13),"-",'[1]Проф обучение+'!M13)</f>
        <v>-</v>
      </c>
      <c r="M1347" s="104" t="str">
        <f>IF(ISERR('[1]Проф обучение+'!N13),"-",'[1]Проф обучение+'!N13)</f>
        <v>-</v>
      </c>
    </row>
    <row r="1348" spans="1:13" s="89" customFormat="1" ht="60" x14ac:dyDescent="0.25">
      <c r="A1348" s="13" t="s">
        <v>1861</v>
      </c>
      <c r="B1348" s="70" t="s">
        <v>2140</v>
      </c>
      <c r="C1348" s="13"/>
      <c r="D1348" s="13"/>
      <c r="E1348" s="122"/>
      <c r="F1348" s="122"/>
      <c r="G1348" s="122"/>
      <c r="H1348" s="122"/>
      <c r="I1348" s="122"/>
      <c r="J1348" s="122"/>
      <c r="K1348" s="122"/>
      <c r="L1348" s="122"/>
      <c r="M1348" s="122"/>
    </row>
    <row r="1349" spans="1:13" s="89" customFormat="1" x14ac:dyDescent="0.25">
      <c r="A1349" s="13"/>
      <c r="B1349" s="70" t="s">
        <v>2176</v>
      </c>
      <c r="C1349" s="13" t="s">
        <v>8</v>
      </c>
      <c r="D1349" s="13"/>
      <c r="E1349" s="122"/>
      <c r="F1349" s="122"/>
      <c r="G1349" s="122"/>
      <c r="H1349" s="104">
        <f>IF(ISERR('[1]Проф обучение+'!I19),"-",'[1]Проф обучение+'!I19)</f>
        <v>1.3699993601456024</v>
      </c>
      <c r="I1349" s="104">
        <f>IF(ISERR('[1]Проф обучение+'!J19),"-",'[1]Проф обучение+'!J19)</f>
        <v>10.96</v>
      </c>
      <c r="J1349" s="104">
        <f>IF(ISERR('[1]Проф обучение+'!K19),"-",'[1]Проф обучение+'!K19)</f>
        <v>1.2603785306973752</v>
      </c>
      <c r="K1349" s="104">
        <f>IF(ISERR('[1]Проф обучение+'!L19),"-",'[1]Проф обучение+'!L19)</f>
        <v>1.5499789212097006</v>
      </c>
      <c r="L1349" s="104" t="str">
        <f>IF(ISERR('[1]Проф обучение+'!M19),"-",'[1]Проф обучение+'!M19)</f>
        <v>-</v>
      </c>
      <c r="M1349" s="104" t="str">
        <f>IF(ISERR('[1]Проф обучение+'!N19),"-",'[1]Проф обучение+'!N19)</f>
        <v>-</v>
      </c>
    </row>
    <row r="1350" spans="1:13" s="89" customFormat="1" x14ac:dyDescent="0.25">
      <c r="A1350" s="13"/>
      <c r="B1350" s="70" t="s">
        <v>2177</v>
      </c>
      <c r="C1350" s="13" t="s">
        <v>8</v>
      </c>
      <c r="D1350" s="13"/>
      <c r="E1350" s="122"/>
      <c r="F1350" s="122"/>
      <c r="G1350" s="122"/>
      <c r="H1350" s="104">
        <f>IF(ISERR('[1]Проф обучение+'!I20),"-",'[1]Проф обучение+'!I20)</f>
        <v>1.1399991659269233</v>
      </c>
      <c r="I1350" s="104">
        <f>IF(ISERR('[1]Проф обучение+'!J20),"-",'[1]Проф обучение+'!J20)</f>
        <v>7.4</v>
      </c>
      <c r="J1350" s="104">
        <f>IF(ISERR('[1]Проф обучение+'!K20),"-",'[1]Проф обучение+'!K20)</f>
        <v>2.493407176511683</v>
      </c>
      <c r="K1350" s="104">
        <f>IF(ISERR('[1]Проф обучение+'!L20),"-",'[1]Проф обучение+'!L20)</f>
        <v>2.4976735132483086</v>
      </c>
      <c r="L1350" s="104" t="str">
        <f>IF(ISERR('[1]Проф обучение+'!M20),"-",'[1]Проф обучение+'!M20)</f>
        <v>-</v>
      </c>
      <c r="M1350" s="104" t="str">
        <f>IF(ISERR('[1]Проф обучение+'!N20),"-",'[1]Проф обучение+'!N20)</f>
        <v>-</v>
      </c>
    </row>
    <row r="1351" spans="1:13" s="89" customFormat="1" x14ac:dyDescent="0.25">
      <c r="A1351" s="13"/>
      <c r="B1351" s="70" t="s">
        <v>2178</v>
      </c>
      <c r="C1351" s="13" t="s">
        <v>8</v>
      </c>
      <c r="D1351" s="13"/>
      <c r="E1351" s="122"/>
      <c r="F1351" s="122"/>
      <c r="G1351" s="122"/>
      <c r="H1351" s="104">
        <f>IF(ISERR('[1]Проф обучение+'!I21),"-",'[1]Проф обучение+'!I21)</f>
        <v>0.46000011770729726</v>
      </c>
      <c r="I1351" s="104">
        <f>IF(ISERR('[1]Проф обучение+'!J21),"-",'[1]Проф обучение+'!J21)</f>
        <v>12.81</v>
      </c>
      <c r="J1351" s="104">
        <f>IF(ISERR('[1]Проф обучение+'!K21),"-",'[1]Проф обучение+'!K21)</f>
        <v>0.64520763712990359</v>
      </c>
      <c r="K1351" s="104">
        <f>IF(ISERR('[1]Проф обучение+'!L21),"-",'[1]Проф обучение+'!L21)</f>
        <v>1.0771641727506864</v>
      </c>
      <c r="L1351" s="104" t="str">
        <f>IF(ISERR('[1]Проф обучение+'!M21),"-",'[1]Проф обучение+'!M21)</f>
        <v>-</v>
      </c>
      <c r="M1351" s="104" t="str">
        <f>IF(ISERR('[1]Проф обучение+'!N21),"-",'[1]Проф обучение+'!N21)</f>
        <v>-</v>
      </c>
    </row>
    <row r="1352" spans="1:13" s="89" customFormat="1" ht="60" hidden="1" x14ac:dyDescent="0.25">
      <c r="A1352" s="77" t="s">
        <v>953</v>
      </c>
      <c r="B1352" s="110" t="s">
        <v>951</v>
      </c>
      <c r="C1352" s="77"/>
      <c r="D1352" s="125"/>
      <c r="E1352" s="125"/>
      <c r="F1352" s="125"/>
      <c r="G1352" s="125"/>
      <c r="H1352" s="125"/>
      <c r="I1352" s="125"/>
      <c r="J1352" s="125"/>
      <c r="K1352" s="125"/>
      <c r="L1352" s="125"/>
      <c r="M1352" s="125"/>
    </row>
    <row r="1353" spans="1:13" s="89" customFormat="1" hidden="1" x14ac:dyDescent="0.25">
      <c r="A1353" s="77"/>
      <c r="B1353" s="110" t="s">
        <v>180</v>
      </c>
      <c r="C1353" s="77" t="s">
        <v>1140</v>
      </c>
      <c r="D1353" s="104">
        <f>IF(ISERR('[1]Проф обучение+'!E30),"-",'[1]Проф обучение+'!E30)</f>
        <v>62.401000000000003</v>
      </c>
      <c r="E1353" s="104">
        <f>IF(ISERR('[1]Проф обучение+'!F30),"-",'[1]Проф обучение+'!F30)</f>
        <v>62.401000000000003</v>
      </c>
      <c r="F1353" s="104">
        <f>IF(ISERR('[1]Проф обучение+'!G30),"-",'[1]Проф обучение+'!G30)</f>
        <v>62.401000000000003</v>
      </c>
      <c r="G1353" s="104">
        <f>IF(ISERR('[1]Проф обучение+'!H30),"-",'[1]Проф обучение+'!H30)</f>
        <v>57.966999999999999</v>
      </c>
      <c r="H1353" s="104"/>
      <c r="I1353" s="104"/>
      <c r="J1353" s="104"/>
      <c r="K1353" s="104"/>
      <c r="L1353" s="104"/>
      <c r="M1353" s="104"/>
    </row>
    <row r="1354" spans="1:13" s="89" customFormat="1" hidden="1" x14ac:dyDescent="0.25">
      <c r="A1354" s="77"/>
      <c r="B1354" s="110" t="s">
        <v>1141</v>
      </c>
      <c r="C1354" s="77" t="s">
        <v>1140</v>
      </c>
      <c r="D1354" s="104">
        <f>IF(ISERR('[1]Проф обучение+'!E31),"-",'[1]Проф обучение+'!E31)</f>
        <v>15.874000000000001</v>
      </c>
      <c r="E1354" s="104">
        <f>IF(ISERR('[1]Проф обучение+'!F31),"-",'[1]Проф обучение+'!F31)</f>
        <v>15.874000000000001</v>
      </c>
      <c r="F1354" s="104">
        <f>IF(ISERR('[1]Проф обучение+'!G31),"-",'[1]Проф обучение+'!G31)</f>
        <v>15.874000000000001</v>
      </c>
      <c r="G1354" s="104">
        <f>IF(ISERR('[1]Проф обучение+'!H31),"-",'[1]Проф обучение+'!H31)</f>
        <v>17.225000000000001</v>
      </c>
      <c r="H1354" s="104"/>
      <c r="I1354" s="104"/>
      <c r="J1354" s="104"/>
      <c r="K1354" s="104"/>
      <c r="L1354" s="104"/>
      <c r="M1354" s="104"/>
    </row>
    <row r="1355" spans="1:13" s="89" customFormat="1" hidden="1" x14ac:dyDescent="0.25">
      <c r="A1355" s="80"/>
      <c r="B1355" s="110" t="s">
        <v>1142</v>
      </c>
      <c r="C1355" s="77" t="s">
        <v>1140</v>
      </c>
      <c r="D1355" s="104">
        <f>IF(ISERR('[1]Проф обучение+'!E32),"-",'[1]Проф обучение+'!E32)</f>
        <v>10.478999999999999</v>
      </c>
      <c r="E1355" s="104">
        <f>IF(ISERR('[1]Проф обучение+'!F32),"-",'[1]Проф обучение+'!F32)</f>
        <v>10.478999999999999</v>
      </c>
      <c r="F1355" s="104">
        <f>IF(ISERR('[1]Проф обучение+'!G32),"-",'[1]Проф обучение+'!G32)</f>
        <v>10.478999999999999</v>
      </c>
      <c r="G1355" s="104">
        <f>IF(ISERR('[1]Проф обучение+'!H32),"-",'[1]Проф обучение+'!H32)</f>
        <v>5.859</v>
      </c>
      <c r="H1355" s="104"/>
      <c r="I1355" s="104"/>
      <c r="J1355" s="104"/>
      <c r="K1355" s="104"/>
      <c r="L1355" s="104"/>
      <c r="M1355" s="104"/>
    </row>
    <row r="1356" spans="1:13" s="89" customFormat="1" hidden="1" x14ac:dyDescent="0.25">
      <c r="A1356" s="80"/>
      <c r="B1356" s="110" t="s">
        <v>1143</v>
      </c>
      <c r="C1356" s="77" t="s">
        <v>1140</v>
      </c>
      <c r="D1356" s="104">
        <f>IF(ISERR('[1]Проф обучение+'!E33),"-",'[1]Проф обучение+'!E33)</f>
        <v>37.991</v>
      </c>
      <c r="E1356" s="104">
        <f>IF(ISERR('[1]Проф обучение+'!F33),"-",'[1]Проф обучение+'!F33)</f>
        <v>37.991</v>
      </c>
      <c r="F1356" s="104">
        <f>IF(ISERR('[1]Проф обучение+'!G33),"-",'[1]Проф обучение+'!G33)</f>
        <v>37.991</v>
      </c>
      <c r="G1356" s="104">
        <f>IF(ISERR('[1]Проф обучение+'!H33),"-",'[1]Проф обучение+'!H33)</f>
        <v>37.276000000000003</v>
      </c>
      <c r="H1356" s="104"/>
      <c r="I1356" s="104"/>
      <c r="J1356" s="104"/>
      <c r="K1356" s="104"/>
      <c r="L1356" s="104"/>
      <c r="M1356" s="104"/>
    </row>
    <row r="1357" spans="1:13" s="89" customFormat="1" ht="45" hidden="1" x14ac:dyDescent="0.25">
      <c r="A1357" s="77" t="s">
        <v>961</v>
      </c>
      <c r="B1357" s="110" t="s">
        <v>958</v>
      </c>
      <c r="C1357" s="77" t="s">
        <v>8</v>
      </c>
      <c r="D1357" s="104">
        <f>IF(ISERR('[1]Проф обучение+'!E34),"-",'[1]Проф обучение+'!E34)</f>
        <v>9.7452683888237299</v>
      </c>
      <c r="E1357" s="104">
        <f>IF(ISERR('[1]Проф обучение+'!F34),"-",'[1]Проф обучение+'!F34)</f>
        <v>9.7452683888237299</v>
      </c>
      <c r="F1357" s="104">
        <f>IF(ISERR('[1]Проф обучение+'!G34),"-",'[1]Проф обучение+'!G34)</f>
        <v>9.7452683888237299</v>
      </c>
      <c r="G1357" s="104">
        <f>IF(ISERR('[1]Проф обучение+'!H34),"-",'[1]Проф обучение+'!H34)</f>
        <v>9.1866457894870308</v>
      </c>
      <c r="H1357" s="104"/>
      <c r="I1357" s="104"/>
      <c r="J1357" s="104"/>
      <c r="K1357" s="104"/>
      <c r="L1357" s="104"/>
      <c r="M1357" s="104"/>
    </row>
    <row r="1358" spans="1:13" s="89" customFormat="1" ht="30" x14ac:dyDescent="0.25">
      <c r="A1358" s="99" t="s">
        <v>787</v>
      </c>
      <c r="B1358" s="100" t="s">
        <v>963</v>
      </c>
      <c r="C1358" s="13"/>
      <c r="D1358" s="109"/>
      <c r="E1358" s="109"/>
      <c r="F1358" s="109"/>
      <c r="G1358" s="109"/>
      <c r="H1358" s="109"/>
      <c r="I1358" s="109"/>
      <c r="J1358" s="109"/>
      <c r="K1358" s="109"/>
      <c r="L1358" s="109"/>
      <c r="M1358" s="109"/>
    </row>
    <row r="1359" spans="1:13" s="89" customFormat="1" ht="75" x14ac:dyDescent="0.25">
      <c r="A1359" s="124" t="s">
        <v>790</v>
      </c>
      <c r="B1359" s="70" t="s">
        <v>2589</v>
      </c>
      <c r="C1359" s="190"/>
      <c r="D1359" s="124"/>
      <c r="E1359" s="183"/>
      <c r="F1359" s="183"/>
      <c r="G1359" s="183"/>
      <c r="H1359" s="183"/>
      <c r="I1359" s="183"/>
      <c r="J1359" s="183"/>
      <c r="K1359" s="183"/>
      <c r="L1359" s="183"/>
      <c r="M1359" s="183"/>
    </row>
    <row r="1360" spans="1:13" s="89" customFormat="1" x14ac:dyDescent="0.25">
      <c r="A1360" s="124"/>
      <c r="B1360" s="70" t="s">
        <v>2179</v>
      </c>
      <c r="C1360" s="13" t="s">
        <v>8</v>
      </c>
      <c r="D1360" s="124"/>
      <c r="E1360" s="183"/>
      <c r="F1360" s="183"/>
      <c r="G1360" s="183"/>
      <c r="H1360" s="104">
        <f>IF(ISERR('[1]Проф обучение+'!I39),"-",'[1]Проф обучение+'!I39)</f>
        <v>0.7744354772968125</v>
      </c>
      <c r="I1360" s="104">
        <f>IF(ISERR('[1]Проф обучение+'!J39),"-",'[1]Проф обучение+'!J39)</f>
        <v>0.27</v>
      </c>
      <c r="J1360" s="104">
        <f>IF(ISERR('[1]Проф обучение+'!K39),"-",'[1]Проф обучение+'!K39)</f>
        <v>7.0406601450722031</v>
      </c>
      <c r="K1360" s="104">
        <f>IF(ISERR('[1]Проф обучение+'!L39),"-",'[1]Проф обучение+'!L39)</f>
        <v>0.74693923396607886</v>
      </c>
      <c r="L1360" s="104" t="str">
        <f>IF(ISERR('[1]Проф обучение+'!M39),"-",'[1]Проф обучение+'!M39)</f>
        <v>-</v>
      </c>
      <c r="M1360" s="104" t="str">
        <f>IF(ISERR('[1]Проф обучение+'!N39),"-",'[1]Проф обучение+'!N39)</f>
        <v>-</v>
      </c>
    </row>
    <row r="1361" spans="1:13" s="89" customFormat="1" x14ac:dyDescent="0.25">
      <c r="A1361" s="124"/>
      <c r="B1361" s="70" t="s">
        <v>2591</v>
      </c>
      <c r="C1361" s="13" t="s">
        <v>8</v>
      </c>
      <c r="D1361" s="124"/>
      <c r="E1361" s="183"/>
      <c r="F1361" s="183"/>
      <c r="G1361" s="183"/>
      <c r="H1361" s="104">
        <f>IF(ISERR('[1]Проф обучение+'!I40),"-",'[1]Проф обучение+'!I40)</f>
        <v>16.295752832803455</v>
      </c>
      <c r="I1361" s="104">
        <f>IF(ISERR('[1]Проф обучение+'!J40),"-",'[1]Проф обучение+'!J40)</f>
        <v>1.59</v>
      </c>
      <c r="J1361" s="104">
        <f>IF(ISERR('[1]Проф обучение+'!K40),"-",'[1]Проф обучение+'!K40)</f>
        <v>5.4368802821587803</v>
      </c>
      <c r="K1361" s="104">
        <f>IF(ISERR('[1]Проф обучение+'!L40),"-",'[1]Проф обучение+'!L40)</f>
        <v>13.607772660900819</v>
      </c>
      <c r="L1361" s="104" t="str">
        <f>IF(ISERR('[1]Проф обучение+'!M40),"-",'[1]Проф обучение+'!M40)</f>
        <v>-</v>
      </c>
      <c r="M1361" s="104" t="str">
        <f>IF(ISERR('[1]Проф обучение+'!N40),"-",'[1]Проф обучение+'!N40)</f>
        <v>-</v>
      </c>
    </row>
    <row r="1362" spans="1:13" s="89" customFormat="1" x14ac:dyDescent="0.25">
      <c r="A1362" s="124"/>
      <c r="B1362" s="70" t="s">
        <v>2590</v>
      </c>
      <c r="C1362" s="13" t="s">
        <v>8</v>
      </c>
      <c r="D1362" s="124"/>
      <c r="E1362" s="183"/>
      <c r="F1362" s="183"/>
      <c r="G1362" s="183"/>
      <c r="H1362" s="104">
        <f>IF(ISERR('[1]Проф обучение+'!I41),"-",'[1]Проф обучение+'!I41)</f>
        <v>0</v>
      </c>
      <c r="I1362" s="104">
        <f>IF(ISERR('[1]Проф обучение+'!J41),"-",'[1]Проф обучение+'!J41)</f>
        <v>0.16</v>
      </c>
      <c r="J1362" s="104">
        <f>IF(ISERR('[1]Проф обучение+'!K41),"-",'[1]Проф обучение+'!K41)</f>
        <v>2.016370533040527</v>
      </c>
      <c r="K1362" s="104">
        <f>IF(ISERR('[1]Проф обучение+'!L41),"-",'[1]Проф обучение+'!L41)</f>
        <v>4.7905200494215432</v>
      </c>
      <c r="L1362" s="104" t="str">
        <f>IF(ISERR('[1]Проф обучение+'!M41),"-",'[1]Проф обучение+'!M41)</f>
        <v>-</v>
      </c>
      <c r="M1362" s="104" t="str">
        <f>IF(ISERR('[1]Проф обучение+'!N41),"-",'[1]Проф обучение+'!N41)</f>
        <v>-</v>
      </c>
    </row>
    <row r="1363" spans="1:13" s="89" customFormat="1" ht="30" x14ac:dyDescent="0.25">
      <c r="A1363" s="124" t="s">
        <v>1394</v>
      </c>
      <c r="B1363" s="70" t="s">
        <v>2147</v>
      </c>
      <c r="C1363" s="87"/>
      <c r="D1363" s="13"/>
      <c r="E1363" s="111"/>
      <c r="F1363" s="111"/>
      <c r="G1363" s="111"/>
      <c r="H1363" s="111"/>
      <c r="I1363" s="111"/>
      <c r="J1363" s="111"/>
      <c r="K1363" s="111"/>
      <c r="L1363" s="111"/>
      <c r="M1363" s="111"/>
    </row>
    <row r="1364" spans="1:13" s="89" customFormat="1" ht="30" x14ac:dyDescent="0.25">
      <c r="A1364" s="124"/>
      <c r="B1364" s="70" t="s">
        <v>2180</v>
      </c>
      <c r="C1364" s="87"/>
      <c r="D1364" s="13"/>
      <c r="E1364" s="111"/>
      <c r="F1364" s="111"/>
      <c r="G1364" s="111"/>
      <c r="H1364" s="111"/>
      <c r="I1364" s="111"/>
      <c r="J1364" s="111"/>
      <c r="K1364" s="111"/>
      <c r="L1364" s="111"/>
      <c r="M1364" s="111"/>
    </row>
    <row r="1365" spans="1:13" s="89" customFormat="1" x14ac:dyDescent="0.25">
      <c r="A1365" s="124"/>
      <c r="B1365" s="70" t="s">
        <v>2181</v>
      </c>
      <c r="C1365" s="13" t="s">
        <v>8</v>
      </c>
      <c r="D1365" s="13"/>
      <c r="E1365" s="111"/>
      <c r="F1365" s="111"/>
      <c r="G1365" s="111"/>
      <c r="H1365" s="104">
        <f>IF(ISERR('[1]Проф обучение+'!I49),"-",'[1]Проф обучение+'!I49)</f>
        <v>24.219032686045107</v>
      </c>
      <c r="I1365" s="104">
        <f>IF(ISERR('[1]Проф обучение+'!J49),"-",'[1]Проф обучение+'!J49)</f>
        <v>4.03</v>
      </c>
      <c r="J1365" s="104">
        <f>IF(ISERR('[1]Проф обучение+'!K49),"-",'[1]Проф обучение+'!K49)</f>
        <v>9.8941410753589771</v>
      </c>
      <c r="K1365" s="104">
        <f>IF(ISERR('[1]Проф обучение+'!L49),"-",'[1]Проф обучение+'!L49)</f>
        <v>19.1726503054335</v>
      </c>
      <c r="L1365" s="104" t="str">
        <f>IF(ISERR('[1]Проф обучение+'!M49),"-",'[1]Проф обучение+'!M49)</f>
        <v>-</v>
      </c>
      <c r="M1365" s="104" t="str">
        <f>IF(ISERR('[1]Проф обучение+'!N49),"-",'[1]Проф обучение+'!N49)</f>
        <v>-</v>
      </c>
    </row>
    <row r="1366" spans="1:13" s="89" customFormat="1" ht="30" x14ac:dyDescent="0.25">
      <c r="A1366" s="124"/>
      <c r="B1366" s="70" t="s">
        <v>2183</v>
      </c>
      <c r="C1366" s="13" t="s">
        <v>8</v>
      </c>
      <c r="D1366" s="13"/>
      <c r="E1366" s="111"/>
      <c r="F1366" s="111"/>
      <c r="G1366" s="111"/>
      <c r="H1366" s="104">
        <f>IF(ISERR('[1]Проф обучение+'!I50),"-",'[1]Проф обучение+'!I50)</f>
        <v>66.578217344108069</v>
      </c>
      <c r="I1366" s="104">
        <f>IF(ISERR('[1]Проф обучение+'!J50),"-",'[1]Проф обучение+'!J50)</f>
        <v>94.4</v>
      </c>
      <c r="J1366" s="104">
        <f>IF(ISERR('[1]Проф обучение+'!K50),"-",'[1]Проф обучение+'!K50)</f>
        <v>82.695734199769419</v>
      </c>
      <c r="K1366" s="104">
        <f>IF(ISERR('[1]Проф обучение+'!L50),"-",'[1]Проф обучение+'!L50)</f>
        <v>71.96441967634766</v>
      </c>
      <c r="L1366" s="104" t="str">
        <f>IF(ISERR('[1]Проф обучение+'!M50),"-",'[1]Проф обучение+'!M50)</f>
        <v>-</v>
      </c>
      <c r="M1366" s="104" t="str">
        <f>IF(ISERR('[1]Проф обучение+'!N50),"-",'[1]Проф обучение+'!N50)</f>
        <v>-</v>
      </c>
    </row>
    <row r="1367" spans="1:13" s="89" customFormat="1" ht="30" x14ac:dyDescent="0.25">
      <c r="A1367" s="124"/>
      <c r="B1367" s="70" t="s">
        <v>2184</v>
      </c>
      <c r="C1367" s="13" t="s">
        <v>8</v>
      </c>
      <c r="D1367" s="13"/>
      <c r="E1367" s="111"/>
      <c r="F1367" s="111"/>
      <c r="G1367" s="111"/>
      <c r="H1367" s="104">
        <f>IF(ISERR('[1]Проф обучение+'!I51),"-",'[1]Проф обучение+'!I51)</f>
        <v>9.2027499698468205</v>
      </c>
      <c r="I1367" s="104">
        <f>IF(ISERR('[1]Проф обучение+'!J51),"-",'[1]Проф обучение+'!J51)</f>
        <v>1.57</v>
      </c>
      <c r="J1367" s="104">
        <f>IF(ISERR('[1]Проф обучение+'!K51),"-",'[1]Проф обучение+'!K51)</f>
        <v>7.4101247248716069</v>
      </c>
      <c r="K1367" s="104">
        <f>IF(ISERR('[1]Проф обучение+'!L51),"-",'[1]Проф обучение+'!L51)</f>
        <v>8.8629300182188402</v>
      </c>
      <c r="L1367" s="104" t="str">
        <f>IF(ISERR('[1]Проф обучение+'!M51),"-",'[1]Проф обучение+'!M51)</f>
        <v>-</v>
      </c>
      <c r="M1367" s="104" t="str">
        <f>IF(ISERR('[1]Проф обучение+'!N51),"-",'[1]Проф обучение+'!N51)</f>
        <v>-</v>
      </c>
    </row>
    <row r="1368" spans="1:13" s="89" customFormat="1" x14ac:dyDescent="0.25">
      <c r="A1368" s="124"/>
      <c r="B1368" s="70" t="s">
        <v>2182</v>
      </c>
      <c r="C1368" s="13"/>
      <c r="D1368" s="13"/>
      <c r="E1368" s="111"/>
      <c r="F1368" s="111"/>
      <c r="G1368" s="111"/>
      <c r="H1368" s="104"/>
      <c r="I1368" s="104"/>
      <c r="J1368" s="104"/>
      <c r="K1368" s="104"/>
      <c r="L1368" s="104"/>
      <c r="M1368" s="104"/>
    </row>
    <row r="1369" spans="1:13" s="89" customFormat="1" x14ac:dyDescent="0.25">
      <c r="A1369" s="124"/>
      <c r="B1369" s="70" t="s">
        <v>2181</v>
      </c>
      <c r="C1369" s="13" t="s">
        <v>8</v>
      </c>
      <c r="D1369" s="13"/>
      <c r="E1369" s="111"/>
      <c r="F1369" s="111"/>
      <c r="G1369" s="111"/>
      <c r="H1369" s="104">
        <f>IF(ISERR('[1]Проф обучение+'!I53),"-",'[1]Проф обучение+'!I53)</f>
        <v>45.937961595273265</v>
      </c>
      <c r="I1369" s="104">
        <f>IF(ISERR('[1]Проф обучение+'!J53),"-",'[1]Проф обучение+'!J53)</f>
        <v>1.73</v>
      </c>
      <c r="J1369" s="104">
        <f>IF(ISERR('[1]Проф обучение+'!K53),"-",'[1]Проф обучение+'!K53)</f>
        <v>5.2969502407704656</v>
      </c>
      <c r="K1369" s="104">
        <f>IF(ISERR('[1]Проф обучение+'!L53),"-",'[1]Проф обучение+'!L53)</f>
        <v>1.1387600168705188</v>
      </c>
      <c r="L1369" s="104" t="str">
        <f>IF(ISERR('[1]Проф обучение+'!M53),"-",'[1]Проф обучение+'!M53)</f>
        <v>-</v>
      </c>
      <c r="M1369" s="104" t="str">
        <f>IF(ISERR('[1]Проф обучение+'!N53),"-",'[1]Проф обучение+'!N53)</f>
        <v>-</v>
      </c>
    </row>
    <row r="1370" spans="1:13" s="89" customFormat="1" ht="30" x14ac:dyDescent="0.25">
      <c r="A1370" s="124"/>
      <c r="B1370" s="70" t="s">
        <v>2183</v>
      </c>
      <c r="C1370" s="13" t="s">
        <v>8</v>
      </c>
      <c r="D1370" s="13"/>
      <c r="E1370" s="111"/>
      <c r="F1370" s="111"/>
      <c r="G1370" s="111"/>
      <c r="H1370" s="104">
        <f>IF(ISERR('[1]Проф обучение+'!I54),"-",'[1]Проф обучение+'!I54)</f>
        <v>20.187099950763169</v>
      </c>
      <c r="I1370" s="104">
        <f>IF(ISERR('[1]Проф обучение+'!J54),"-",'[1]Проф обучение+'!J54)</f>
        <v>97.51</v>
      </c>
      <c r="J1370" s="104">
        <f>IF(ISERR('[1]Проф обучение+'!K54),"-",'[1]Проф обучение+'!K54)</f>
        <v>39.727126805778489</v>
      </c>
      <c r="K1370" s="104">
        <f>IF(ISERR('[1]Проф обучение+'!L54),"-",'[1]Проф обучение+'!L54)</f>
        <v>48.629270350063265</v>
      </c>
      <c r="L1370" s="104" t="str">
        <f>IF(ISERR('[1]Проф обучение+'!M54),"-",'[1]Проф обучение+'!M54)</f>
        <v>-</v>
      </c>
      <c r="M1370" s="104" t="str">
        <f>IF(ISERR('[1]Проф обучение+'!N54),"-",'[1]Проф обучение+'!N54)</f>
        <v>-</v>
      </c>
    </row>
    <row r="1371" spans="1:13" s="89" customFormat="1" ht="30" x14ac:dyDescent="0.25">
      <c r="A1371" s="124"/>
      <c r="B1371" s="70" t="s">
        <v>2184</v>
      </c>
      <c r="C1371" s="13" t="s">
        <v>8</v>
      </c>
      <c r="D1371" s="13"/>
      <c r="E1371" s="111"/>
      <c r="F1371" s="111"/>
      <c r="G1371" s="111"/>
      <c r="H1371" s="104">
        <f>IF(ISERR('[1]Проф обучение+'!I55),"-",'[1]Проф обучение+'!I55)</f>
        <v>33.884938453963564</v>
      </c>
      <c r="I1371" s="104">
        <f>IF(ISERR('[1]Проф обучение+'!J55),"-",'[1]Проф обучение+'!J55)</f>
        <v>0.76</v>
      </c>
      <c r="J1371" s="104">
        <f>IF(ISERR('[1]Проф обучение+'!K55),"-",'[1]Проф обучение+'!K55)</f>
        <v>54.97592295345104</v>
      </c>
      <c r="K1371" s="104">
        <f>IF(ISERR('[1]Проф обучение+'!L55),"-",'[1]Проф обучение+'!L55)</f>
        <v>50.231969633066221</v>
      </c>
      <c r="L1371" s="104" t="str">
        <f>IF(ISERR('[1]Проф обучение+'!M55),"-",'[1]Проф обучение+'!M55)</f>
        <v>-</v>
      </c>
      <c r="M1371" s="104" t="str">
        <f>IF(ISERR('[1]Проф обучение+'!N55),"-",'[1]Проф обучение+'!N55)</f>
        <v>-</v>
      </c>
    </row>
    <row r="1372" spans="1:13" s="89" customFormat="1" x14ac:dyDescent="0.25">
      <c r="A1372" s="124"/>
      <c r="B1372" s="70" t="s">
        <v>2185</v>
      </c>
      <c r="C1372" s="13"/>
      <c r="D1372" s="13"/>
      <c r="E1372" s="111"/>
      <c r="F1372" s="111"/>
      <c r="G1372" s="111"/>
      <c r="H1372" s="111"/>
      <c r="I1372" s="111"/>
      <c r="J1372" s="111"/>
      <c r="K1372" s="111"/>
      <c r="L1372" s="111"/>
      <c r="M1372" s="111"/>
    </row>
    <row r="1373" spans="1:13" s="89" customFormat="1" x14ac:dyDescent="0.25">
      <c r="A1373" s="124"/>
      <c r="B1373" s="70" t="s">
        <v>2181</v>
      </c>
      <c r="C1373" s="13" t="s">
        <v>8</v>
      </c>
      <c r="D1373" s="13"/>
      <c r="E1373" s="111"/>
      <c r="F1373" s="111"/>
      <c r="G1373" s="111"/>
      <c r="H1373" s="104">
        <f>IF(ISERR('[1]Проф обучение+'!I57),"-",'[1]Проф обучение+'!I57)</f>
        <v>38.560411311053983</v>
      </c>
      <c r="I1373" s="104">
        <f>IF(ISERR('[1]Проф обучение+'!J57),"-",'[1]Проф обучение+'!J57)</f>
        <v>3.16</v>
      </c>
      <c r="J1373" s="104">
        <f>IF(ISERR('[1]Проф обучение+'!K57),"-",'[1]Проф обучение+'!K57)</f>
        <v>0.23584905660377359</v>
      </c>
      <c r="K1373" s="104">
        <f>IF(ISERR('[1]Проф обучение+'!L57),"-",'[1]Проф обучение+'!L57)</f>
        <v>19.57732634338139</v>
      </c>
      <c r="L1373" s="104" t="str">
        <f>IF(ISERR('[1]Проф обучение+'!M57),"-",'[1]Проф обучение+'!M57)</f>
        <v>-</v>
      </c>
      <c r="M1373" s="104" t="str">
        <f>IF(ISERR('[1]Проф обучение+'!N57),"-",'[1]Проф обучение+'!N57)</f>
        <v>-</v>
      </c>
    </row>
    <row r="1374" spans="1:13" s="89" customFormat="1" ht="30" x14ac:dyDescent="0.25">
      <c r="A1374" s="124"/>
      <c r="B1374" s="70" t="s">
        <v>2183</v>
      </c>
      <c r="C1374" s="13" t="s">
        <v>8</v>
      </c>
      <c r="D1374" s="13"/>
      <c r="E1374" s="111"/>
      <c r="F1374" s="111"/>
      <c r="G1374" s="111"/>
      <c r="H1374" s="104">
        <f>IF(ISERR('[1]Проф обучение+'!I58),"-",'[1]Проф обучение+'!I58)</f>
        <v>34.447300771208226</v>
      </c>
      <c r="I1374" s="104">
        <f>IF(ISERR('[1]Проф обучение+'!J58),"-",'[1]Проф обучение+'!J58)</f>
        <v>91.65</v>
      </c>
      <c r="J1374" s="104">
        <f>IF(ISERR('[1]Проф обучение+'!K58),"-",'[1]Проф обучение+'!K58)</f>
        <v>19.150943396226417</v>
      </c>
      <c r="K1374" s="104">
        <f>IF(ISERR('[1]Проф обучение+'!L58),"-",'[1]Проф обучение+'!L58)</f>
        <v>13.466579292267367</v>
      </c>
      <c r="L1374" s="104" t="str">
        <f>IF(ISERR('[1]Проф обучение+'!M58),"-",'[1]Проф обучение+'!M58)</f>
        <v>-</v>
      </c>
      <c r="M1374" s="104" t="str">
        <f>IF(ISERR('[1]Проф обучение+'!N58),"-",'[1]Проф обучение+'!N58)</f>
        <v>-</v>
      </c>
    </row>
    <row r="1375" spans="1:13" s="89" customFormat="1" ht="30" x14ac:dyDescent="0.25">
      <c r="A1375" s="124"/>
      <c r="B1375" s="70" t="s">
        <v>2184</v>
      </c>
      <c r="C1375" s="13" t="s">
        <v>8</v>
      </c>
      <c r="D1375" s="13"/>
      <c r="E1375" s="111"/>
      <c r="F1375" s="111"/>
      <c r="G1375" s="111"/>
      <c r="H1375" s="104">
        <f>IF(ISERR('[1]Проф обучение+'!I59),"-",'[1]Проф обучение+'!I59)</f>
        <v>26.992287917737791</v>
      </c>
      <c r="I1375" s="104">
        <f>IF(ISERR('[1]Проф обучение+'!J59),"-",'[1]Проф обучение+'!J59)</f>
        <v>5.19</v>
      </c>
      <c r="J1375" s="104">
        <f>IF(ISERR('[1]Проф обучение+'!K59),"-",'[1]Проф обучение+'!K59)</f>
        <v>80.613207547169807</v>
      </c>
      <c r="K1375" s="104">
        <f>IF(ISERR('[1]Проф обучение+'!L59),"-",'[1]Проф обучение+'!L59)</f>
        <v>66.956094364351245</v>
      </c>
      <c r="L1375" s="104" t="str">
        <f>IF(ISERR('[1]Проф обучение+'!M59),"-",'[1]Проф обучение+'!M59)</f>
        <v>-</v>
      </c>
      <c r="M1375" s="104" t="str">
        <f>IF(ISERR('[1]Проф обучение+'!N59),"-",'[1]Проф обучение+'!N59)</f>
        <v>-</v>
      </c>
    </row>
    <row r="1376" spans="1:13" s="89" customFormat="1" ht="45" x14ac:dyDescent="0.25">
      <c r="A1376" s="124" t="s">
        <v>1395</v>
      </c>
      <c r="B1376" s="70" t="s">
        <v>2346</v>
      </c>
      <c r="C1376" s="13"/>
      <c r="D1376" s="13"/>
      <c r="E1376" s="111"/>
      <c r="F1376" s="111"/>
      <c r="G1376" s="111"/>
      <c r="H1376" s="104"/>
      <c r="I1376" s="104"/>
      <c r="J1376" s="104"/>
      <c r="K1376" s="104"/>
      <c r="L1376" s="104"/>
      <c r="M1376" s="104"/>
    </row>
    <row r="1377" spans="1:13" s="89" customFormat="1" ht="30" x14ac:dyDescent="0.25">
      <c r="A1377" s="124"/>
      <c r="B1377" s="70" t="s">
        <v>2173</v>
      </c>
      <c r="C1377" s="13" t="s">
        <v>8</v>
      </c>
      <c r="D1377" s="13"/>
      <c r="E1377" s="111"/>
      <c r="F1377" s="111"/>
      <c r="G1377" s="111"/>
      <c r="H1377" s="104">
        <f>IF(ISERR('[1]Проф обучение+'!I78),"-",'[1]Проф обучение+'!I78)</f>
        <v>4.8543689320388346</v>
      </c>
      <c r="I1377" s="104">
        <f>IF(ISERR('[1]Проф обучение+'!J78),"-",'[1]Проф обучение+'!J78)</f>
        <v>4.45</v>
      </c>
      <c r="J1377" s="104">
        <f>IF(ISERR('[1]Проф обучение+'!K78),"-",'[1]Проф обучение+'!K78)</f>
        <v>8.0459770114942533</v>
      </c>
      <c r="K1377" s="104">
        <f>IF(ISERR('[1]Проф обучение+'!L78),"-",'[1]Проф обучение+'!L78)</f>
        <v>2.7700831024930745</v>
      </c>
      <c r="L1377" s="104" t="str">
        <f>IF(ISERR('[1]Проф обучение+'!M78),"-",'[1]Проф обучение+'!M78)</f>
        <v>-</v>
      </c>
      <c r="M1377" s="104" t="str">
        <f>IF(ISERR('[1]Проф обучение+'!N78),"-",'[1]Проф обучение+'!N78)</f>
        <v>-</v>
      </c>
    </row>
    <row r="1378" spans="1:13" s="89" customFormat="1" x14ac:dyDescent="0.25">
      <c r="A1378" s="124"/>
      <c r="B1378" s="70" t="s">
        <v>2174</v>
      </c>
      <c r="C1378" s="13" t="s">
        <v>8</v>
      </c>
      <c r="D1378" s="13"/>
      <c r="E1378" s="111"/>
      <c r="F1378" s="111"/>
      <c r="G1378" s="111"/>
      <c r="H1378" s="104">
        <f>IF(ISERR('[1]Проф обучение+'!I79),"-",'[1]Проф обучение+'!I79)</f>
        <v>0</v>
      </c>
      <c r="I1378" s="104">
        <f>IF(ISERR('[1]Проф обучение+'!J79),"-",'[1]Проф обучение+'!J79)</f>
        <v>1.1399999999999999</v>
      </c>
      <c r="J1378" s="104">
        <f>IF(ISERR('[1]Проф обучение+'!K79),"-",'[1]Проф обучение+'!K79)</f>
        <v>4.6728971962616823</v>
      </c>
      <c r="K1378" s="104">
        <f>IF(ISERR('[1]Проф обучение+'!L79),"-",'[1]Проф обучение+'!L79)</f>
        <v>1.3274336283185841</v>
      </c>
      <c r="L1378" s="104" t="str">
        <f>IF(ISERR('[1]Проф обучение+'!M79),"-",'[1]Проф обучение+'!M79)</f>
        <v>-</v>
      </c>
      <c r="M1378" s="104" t="str">
        <f>IF(ISERR('[1]Проф обучение+'!N79),"-",'[1]Проф обучение+'!N79)</f>
        <v>-</v>
      </c>
    </row>
    <row r="1379" spans="1:13" s="89" customFormat="1" x14ac:dyDescent="0.25">
      <c r="A1379" s="124"/>
      <c r="B1379" s="70" t="s">
        <v>2175</v>
      </c>
      <c r="C1379" s="13" t="s">
        <v>8</v>
      </c>
      <c r="D1379" s="13"/>
      <c r="E1379" s="111"/>
      <c r="F1379" s="111"/>
      <c r="G1379" s="111"/>
      <c r="H1379" s="104">
        <f>IF(ISERR('[1]Проф обучение+'!I80),"-",'[1]Проф обучение+'!I80)</f>
        <v>0</v>
      </c>
      <c r="I1379" s="104">
        <f>IF(ISERR('[1]Проф обучение+'!J80),"-",'[1]Проф обучение+'!J80)</f>
        <v>6.01</v>
      </c>
      <c r="J1379" s="104">
        <f>IF(ISERR('[1]Проф обучение+'!K80),"-",'[1]Проф обучение+'!K80)</f>
        <v>4.1044776119402986</v>
      </c>
      <c r="K1379" s="104">
        <f>IF(ISERR('[1]Проф обучение+'!L80),"-",'[1]Проф обучение+'!L80)</f>
        <v>0.79051383399209485</v>
      </c>
      <c r="L1379" s="104" t="str">
        <f>IF(ISERR('[1]Проф обучение+'!M80),"-",'[1]Проф обучение+'!M80)</f>
        <v>-</v>
      </c>
      <c r="M1379" s="104" t="str">
        <f>IF(ISERR('[1]Проф обучение+'!N80),"-",'[1]Проф обучение+'!N80)</f>
        <v>-</v>
      </c>
    </row>
    <row r="1380" spans="1:13" s="89" customFormat="1" ht="60" hidden="1" x14ac:dyDescent="0.25">
      <c r="A1380" s="77" t="s">
        <v>965</v>
      </c>
      <c r="B1380" s="110" t="s">
        <v>964</v>
      </c>
      <c r="C1380" s="77" t="s">
        <v>8</v>
      </c>
      <c r="D1380" s="104">
        <f>IF(ISERR('[1]Проф обучение+'!E89),"-",'[1]Проф обучение+'!E89)</f>
        <v>40.691553101989207</v>
      </c>
      <c r="E1380" s="104">
        <f>IF(ISERR('[1]Проф обучение+'!F89),"-",'[1]Проф обучение+'!F89)</f>
        <v>40.691553101989207</v>
      </c>
      <c r="F1380" s="104">
        <f>IF(ISERR('[1]Проф обучение+'!G89),"-",'[1]Проф обучение+'!G89)</f>
        <v>40.691553101989207</v>
      </c>
      <c r="G1380" s="104">
        <f>IF(ISERR('[1]Проф обучение+'!H89),"-",'[1]Проф обучение+'!H89)</f>
        <v>6.9304087836361701</v>
      </c>
      <c r="H1380" s="104"/>
      <c r="I1380" s="104"/>
      <c r="J1380" s="104"/>
      <c r="K1380" s="104"/>
      <c r="L1380" s="104"/>
      <c r="M1380" s="104"/>
    </row>
    <row r="1381" spans="1:13" s="89" customFormat="1" ht="45" x14ac:dyDescent="0.25">
      <c r="A1381" s="99" t="s">
        <v>815</v>
      </c>
      <c r="B1381" s="100" t="s">
        <v>970</v>
      </c>
      <c r="C1381" s="87"/>
      <c r="D1381" s="109"/>
      <c r="E1381" s="109"/>
      <c r="F1381" s="109"/>
      <c r="G1381" s="109"/>
      <c r="H1381" s="109"/>
      <c r="I1381" s="109"/>
      <c r="J1381" s="109"/>
      <c r="K1381" s="109"/>
      <c r="L1381" s="109"/>
      <c r="M1381" s="109"/>
    </row>
    <row r="1382" spans="1:13" s="89" customFormat="1" ht="105" x14ac:dyDescent="0.25">
      <c r="A1382" s="77" t="s">
        <v>818</v>
      </c>
      <c r="B1382" s="70" t="s">
        <v>2349</v>
      </c>
      <c r="C1382" s="77" t="s">
        <v>8</v>
      </c>
      <c r="D1382" s="77"/>
      <c r="E1382" s="125"/>
      <c r="F1382" s="125"/>
      <c r="G1382" s="125"/>
      <c r="H1382" s="201"/>
      <c r="I1382" s="201"/>
      <c r="J1382" s="201"/>
      <c r="K1382" s="201"/>
      <c r="L1382" s="201"/>
      <c r="M1382" s="201"/>
    </row>
    <row r="1383" spans="1:13" s="89" customFormat="1" x14ac:dyDescent="0.25">
      <c r="A1383" s="77"/>
      <c r="B1383" s="70" t="s">
        <v>2186</v>
      </c>
      <c r="C1383" s="13" t="s">
        <v>8</v>
      </c>
      <c r="D1383" s="77"/>
      <c r="E1383" s="125"/>
      <c r="F1383" s="125"/>
      <c r="G1383" s="201">
        <f>IF(ISERR('[1]Проф обучение+'!H94),"-",'[1]Проф обучение+'!H94)</f>
        <v>94.37</v>
      </c>
      <c r="H1383" s="201">
        <f>IF(ISERR('[1]Проф обучение+'!I94),"-",'[1]Проф обучение+'!I94)</f>
        <v>74.915254237288138</v>
      </c>
      <c r="I1383" s="201">
        <f>IF(ISERR('[1]Проф обучение+'!J94),"-",'[1]Проф обучение+'!J94)</f>
        <v>72.400000000000006</v>
      </c>
      <c r="J1383" s="201">
        <f>IF(ISERR('[1]Проф обучение+'!K94),"-",'[1]Проф обучение+'!K94)</f>
        <v>69.230769230769226</v>
      </c>
      <c r="K1383" s="201">
        <f>IF(ISERR('[1]Проф обучение+'!L94),"-",'[1]Проф обучение+'!L94)</f>
        <v>70.278637770897831</v>
      </c>
      <c r="L1383" s="201">
        <f>IF(ISERR('[1]Проф обучение+'!M94),"-",'[1]Проф обучение+'!M94)</f>
        <v>0</v>
      </c>
      <c r="M1383" s="201" t="str">
        <f>IF(ISERR('[1]Проф обучение+'!N94),"-",'[1]Проф обучение+'!N94)</f>
        <v>-</v>
      </c>
    </row>
    <row r="1384" spans="1:13" s="89" customFormat="1" x14ac:dyDescent="0.25">
      <c r="A1384" s="77"/>
      <c r="B1384" s="70" t="s">
        <v>2187</v>
      </c>
      <c r="C1384" s="13" t="s">
        <v>8</v>
      </c>
      <c r="D1384" s="77"/>
      <c r="E1384" s="125"/>
      <c r="F1384" s="125"/>
      <c r="G1384" s="125"/>
      <c r="H1384" s="201">
        <f>IF(ISERR('[1]Проф обучение+'!I95),"-",'[1]Проф обучение+'!I95)</f>
        <v>57.288135593220332</v>
      </c>
      <c r="I1384" s="201">
        <f>IF(ISERR('[1]Проф обучение+'!J95),"-",'[1]Проф обучение+'!J95)</f>
        <v>42.53</v>
      </c>
      <c r="J1384" s="201">
        <f>IF(ISERR('[1]Проф обучение+'!K95),"-",'[1]Проф обучение+'!K95)</f>
        <v>35.384615384615387</v>
      </c>
      <c r="K1384" s="201">
        <f>IF(ISERR('[1]Проф обучение+'!L95),"-",'[1]Проф обучение+'!L95)</f>
        <v>28.792569659442723</v>
      </c>
      <c r="L1384" s="201">
        <f>IF(ISERR('[1]Проф обучение+'!M95),"-",'[1]Проф обучение+'!M95)</f>
        <v>0</v>
      </c>
      <c r="M1384" s="201" t="str">
        <f>IF(ISERR('[1]Проф обучение+'!N95),"-",'[1]Проф обучение+'!N95)</f>
        <v>-</v>
      </c>
    </row>
    <row r="1385" spans="1:13" s="89" customFormat="1" ht="30" x14ac:dyDescent="0.25">
      <c r="A1385" s="77"/>
      <c r="B1385" s="70" t="s">
        <v>2188</v>
      </c>
      <c r="C1385" s="13" t="s">
        <v>8</v>
      </c>
      <c r="D1385" s="77"/>
      <c r="E1385" s="125"/>
      <c r="F1385" s="125"/>
      <c r="G1385" s="125"/>
      <c r="H1385" s="201">
        <f>IF(ISERR('[1]Проф обучение+'!I96),"-",'[1]Проф обучение+'!I96)</f>
        <v>16.271186440677965</v>
      </c>
      <c r="I1385" s="201">
        <f>IF(ISERR('[1]Проф обучение+'!J96),"-",'[1]Проф обучение+'!J96)</f>
        <v>19.809999999999999</v>
      </c>
      <c r="J1385" s="201">
        <f>IF(ISERR('[1]Проф обучение+'!K96),"-",'[1]Проф обучение+'!K96)</f>
        <v>23.46153846153846</v>
      </c>
      <c r="K1385" s="201">
        <f>IF(ISERR('[1]Проф обучение+'!L96),"-",'[1]Проф обучение+'!L96)</f>
        <v>19.195046439628484</v>
      </c>
      <c r="L1385" s="201">
        <f>IF(ISERR('[1]Проф обучение+'!M96),"-",'[1]Проф обучение+'!M96)</f>
        <v>0</v>
      </c>
      <c r="M1385" s="201" t="str">
        <f>IF(ISERR('[1]Проф обучение+'!N96),"-",'[1]Проф обучение+'!N96)</f>
        <v>-</v>
      </c>
    </row>
    <row r="1386" spans="1:13" s="89" customFormat="1" x14ac:dyDescent="0.25">
      <c r="A1386" s="77"/>
      <c r="B1386" s="70" t="s">
        <v>2189</v>
      </c>
      <c r="C1386" s="13" t="s">
        <v>8</v>
      </c>
      <c r="D1386" s="77"/>
      <c r="E1386" s="125"/>
      <c r="F1386" s="125"/>
      <c r="G1386" s="125"/>
      <c r="H1386" s="201">
        <f>IF(ISERR('[1]Проф обучение+'!I97),"-",'[1]Проф обучение+'!I97)</f>
        <v>18.983050847457626</v>
      </c>
      <c r="I1386" s="201">
        <f>IF(ISERR('[1]Проф обучение+'!J97),"-",'[1]Проф обучение+'!J97)</f>
        <v>11.69</v>
      </c>
      <c r="J1386" s="201">
        <f>IF(ISERR('[1]Проф обучение+'!K97),"-",'[1]Проф обучение+'!K97)</f>
        <v>11.923076923076923</v>
      </c>
      <c r="K1386" s="201">
        <f>IF(ISERR('[1]Проф обучение+'!L97),"-",'[1]Проф обучение+'!L97)</f>
        <v>10.216718266253871</v>
      </c>
      <c r="L1386" s="201">
        <f>IF(ISERR('[1]Проф обучение+'!M97),"-",'[1]Проф обучение+'!M97)</f>
        <v>0</v>
      </c>
      <c r="M1386" s="201" t="str">
        <f>IF(ISERR('[1]Проф обучение+'!N97),"-",'[1]Проф обучение+'!N97)</f>
        <v>-</v>
      </c>
    </row>
    <row r="1387" spans="1:13" s="89" customFormat="1" ht="75" hidden="1" x14ac:dyDescent="0.25">
      <c r="A1387" s="13" t="s">
        <v>972</v>
      </c>
      <c r="B1387" s="70" t="s">
        <v>1335</v>
      </c>
      <c r="C1387" s="13" t="s">
        <v>8</v>
      </c>
      <c r="D1387" s="109"/>
      <c r="E1387" s="109"/>
      <c r="F1387" s="109"/>
      <c r="G1387" s="104">
        <f>IF(ISERR('[1]Проф обучение+'!H93),"-",'[1]Проф обучение+'!H93)</f>
        <v>0</v>
      </c>
      <c r="H1387" s="104"/>
      <c r="I1387" s="104"/>
      <c r="J1387" s="104"/>
      <c r="K1387" s="104"/>
      <c r="L1387" s="104"/>
      <c r="M1387" s="104"/>
    </row>
    <row r="1388" spans="1:13" s="89" customFormat="1" ht="105" x14ac:dyDescent="0.25">
      <c r="A1388" s="77" t="s">
        <v>1872</v>
      </c>
      <c r="B1388" s="70" t="s">
        <v>2157</v>
      </c>
      <c r="C1388" s="77"/>
      <c r="D1388" s="77"/>
      <c r="E1388" s="199"/>
      <c r="F1388" s="199"/>
      <c r="G1388" s="199"/>
      <c r="H1388" s="199"/>
      <c r="I1388" s="199"/>
      <c r="J1388" s="199"/>
      <c r="K1388" s="199"/>
      <c r="L1388" s="199"/>
      <c r="M1388" s="199"/>
    </row>
    <row r="1389" spans="1:13" s="89" customFormat="1" x14ac:dyDescent="0.25">
      <c r="A1389" s="77"/>
      <c r="B1389" s="70" t="s">
        <v>2190</v>
      </c>
      <c r="C1389" s="13" t="s">
        <v>8</v>
      </c>
      <c r="D1389" s="77"/>
      <c r="E1389" s="199"/>
      <c r="F1389" s="199"/>
      <c r="G1389" s="199"/>
      <c r="H1389" s="201">
        <f>IF(ISERR('[1]Проф обучение+'!I105),"-",'[1]Проф обучение+'!I105)</f>
        <v>7.0796460176991154</v>
      </c>
      <c r="I1389" s="201">
        <f>IF(ISERR('[1]Проф обучение+'!J105),"-",'[1]Проф обучение+'!J105)</f>
        <v>5.79</v>
      </c>
      <c r="J1389" s="201">
        <f>IF(ISERR('[1]Проф обучение+'!K105),"-",'[1]Проф обучение+'!K105)</f>
        <v>5.9880239520958085</v>
      </c>
      <c r="K1389" s="201">
        <f>IF(ISERR('[1]Проф обучение+'!L105),"-",'[1]Проф обучение+'!L105)</f>
        <v>2.9069767441860463</v>
      </c>
      <c r="L1389" s="201">
        <f>IF(ISERR('[1]Проф обучение+'!M105),"-",'[1]Проф обучение+'!M105)</f>
        <v>0</v>
      </c>
      <c r="M1389" s="201" t="str">
        <f>IF(ISERR('[1]Проф обучение+'!N105),"-",'[1]Проф обучение+'!N105)</f>
        <v>-</v>
      </c>
    </row>
    <row r="1390" spans="1:13" s="89" customFormat="1" x14ac:dyDescent="0.25">
      <c r="A1390" s="77"/>
      <c r="B1390" s="70" t="s">
        <v>2191</v>
      </c>
      <c r="C1390" s="13" t="s">
        <v>8</v>
      </c>
      <c r="D1390" s="77"/>
      <c r="E1390" s="199"/>
      <c r="F1390" s="199"/>
      <c r="G1390" s="199"/>
      <c r="H1390" s="201">
        <f>IF(ISERR('[1]Проф обучение+'!I106),"-",'[1]Проф обучение+'!I106)</f>
        <v>13.736263736263737</v>
      </c>
      <c r="I1390" s="201">
        <f>IF(ISERR('[1]Проф обучение+'!J106),"-",'[1]Проф обучение+'!J106)</f>
        <v>3.38</v>
      </c>
      <c r="J1390" s="201">
        <f>IF(ISERR('[1]Проф обучение+'!K106),"-",'[1]Проф обучение+'!K106)</f>
        <v>9.4117647058823533</v>
      </c>
      <c r="K1390" s="201">
        <f>IF(ISERR('[1]Проф обучение+'!L106),"-",'[1]Проф обучение+'!L106)</f>
        <v>3.3112582781456954</v>
      </c>
      <c r="L1390" s="201">
        <f>IF(ISERR('[1]Проф обучение+'!M106),"-",'[1]Проф обучение+'!M106)</f>
        <v>0</v>
      </c>
      <c r="M1390" s="201" t="str">
        <f>IF(ISERR('[1]Проф обучение+'!N106),"-",'[1]Проф обучение+'!N106)</f>
        <v>-</v>
      </c>
    </row>
    <row r="1391" spans="1:13" s="89" customFormat="1" ht="45" hidden="1" x14ac:dyDescent="0.25">
      <c r="A1391" s="99" t="s">
        <v>975</v>
      </c>
      <c r="B1391" s="100" t="s">
        <v>976</v>
      </c>
      <c r="C1391" s="13"/>
      <c r="D1391" s="109"/>
      <c r="E1391" s="109"/>
      <c r="F1391" s="109"/>
      <c r="G1391" s="109"/>
      <c r="H1391" s="109"/>
      <c r="I1391" s="109"/>
      <c r="J1391" s="109"/>
      <c r="K1391" s="109"/>
      <c r="L1391" s="109"/>
      <c r="M1391" s="109"/>
    </row>
    <row r="1392" spans="1:13" s="89" customFormat="1" ht="180" hidden="1" x14ac:dyDescent="0.25">
      <c r="A1392" s="13" t="s">
        <v>978</v>
      </c>
      <c r="B1392" s="70" t="s">
        <v>2350</v>
      </c>
      <c r="C1392" s="13" t="s">
        <v>8</v>
      </c>
      <c r="D1392" s="109"/>
      <c r="E1392" s="109"/>
      <c r="F1392" s="109"/>
      <c r="G1392" s="104">
        <f>IF(ISERR('[1]Проф обучение+'!H114),"-",'[1]Проф обучение+'!H114)</f>
        <v>9.1537335138234463E-2</v>
      </c>
      <c r="H1392" s="104">
        <f>IF(ISERR('[1]Проф обучение+'!I114),"-",'[1]Проф обучение+'!I114)</f>
        <v>7.6668905766581199</v>
      </c>
      <c r="I1392" s="104" t="str">
        <f>IF(ISERR('[1]Проф обучение+'!J114),"-",'[1]Проф обучение+'!J114)</f>
        <v>-</v>
      </c>
      <c r="J1392" s="104" t="str">
        <f>IF(ISERR('[1]Проф обучение+'!M114),"-",'[1]Проф обучение+'!M114)</f>
        <v>Российская Федерация; субъекты Российской Федерации; государственные и муниципальные организации; частные организации</v>
      </c>
      <c r="K1392" s="104" t="str">
        <f>IF(ISERR('[1]Проф обучение+'!N114),"-",'[1]Проф обучение+'!N114)</f>
        <v>-</v>
      </c>
      <c r="L1392" s="104" t="str">
        <f>IF(ISERR('[1]Проф обучение+'!O114),"-",'[1]Проф обучение+'!O114)</f>
        <v>-</v>
      </c>
      <c r="M1392" s="104" t="str">
        <f>IF(ISERR('[1]Проф обучение+'!P114),"-",'[1]Проф обучение+'!P114)</f>
        <v>-</v>
      </c>
    </row>
    <row r="1393" spans="1:13" s="89" customFormat="1" ht="45" hidden="1" x14ac:dyDescent="0.25">
      <c r="A1393" s="77" t="s">
        <v>2161</v>
      </c>
      <c r="B1393" s="70" t="s">
        <v>2162</v>
      </c>
      <c r="C1393" s="77"/>
      <c r="D1393" s="77"/>
      <c r="E1393" s="199"/>
      <c r="F1393" s="199"/>
      <c r="G1393" s="199"/>
      <c r="H1393" s="199"/>
      <c r="I1393" s="199"/>
      <c r="J1393" s="199"/>
      <c r="K1393" s="199"/>
      <c r="L1393" s="199"/>
      <c r="M1393" s="199"/>
    </row>
    <row r="1394" spans="1:13" s="89" customFormat="1" hidden="1" x14ac:dyDescent="0.25">
      <c r="A1394" s="77"/>
      <c r="B1394" s="70" t="s">
        <v>1684</v>
      </c>
      <c r="C1394" s="13" t="s">
        <v>8</v>
      </c>
      <c r="D1394" s="77"/>
      <c r="E1394" s="199"/>
      <c r="F1394" s="199"/>
      <c r="G1394" s="199"/>
      <c r="H1394" s="104">
        <f>IF(ISERR('[1]Проф обучение+'!I118),"-",'[1]Проф обучение+'!I118)</f>
        <v>193.6628044454954</v>
      </c>
      <c r="I1394" s="104">
        <f>IF(ISERR('[1]Проф обучение+'!J118),"-",'[1]Проф обучение+'!J118)</f>
        <v>0</v>
      </c>
      <c r="J1394" s="104" t="str">
        <f>IF(ISERR('[1]Проф обучение+'!M118),"-",'[1]Проф обучение+'!M118)</f>
        <v>-</v>
      </c>
      <c r="K1394" s="104" t="str">
        <f>IF(ISERR('[1]Проф обучение+'!N118),"-",'[1]Проф обучение+'!N118)</f>
        <v>-</v>
      </c>
      <c r="L1394" s="104" t="str">
        <f>IF(ISERR('[1]Проф обучение+'!O118),"-",'[1]Проф обучение+'!O118)</f>
        <v>-</v>
      </c>
      <c r="M1394" s="104" t="str">
        <f>IF(ISERR('[1]Проф обучение+'!P118),"-",'[1]Проф обучение+'!P118)</f>
        <v>-</v>
      </c>
    </row>
    <row r="1395" spans="1:13" s="89" customFormat="1" hidden="1" x14ac:dyDescent="0.25">
      <c r="A1395" s="77"/>
      <c r="B1395" s="70" t="s">
        <v>2351</v>
      </c>
      <c r="C1395" s="13" t="s">
        <v>8</v>
      </c>
      <c r="D1395" s="77"/>
      <c r="E1395" s="199"/>
      <c r="F1395" s="199"/>
      <c r="G1395" s="199"/>
      <c r="H1395" s="104">
        <f>IF(ISERR('[1]Проф обучение+'!I119),"-",'[1]Проф обучение+'!I119)</f>
        <v>96.003783400331059</v>
      </c>
      <c r="I1395" s="104">
        <f>IF(ISERR('[1]Проф обучение+'!J119),"-",'[1]Проф обучение+'!J119)</f>
        <v>0</v>
      </c>
      <c r="J1395" s="104" t="str">
        <f>IF(ISERR('[1]Проф обучение+'!M119),"-",'[1]Проф обучение+'!M119)</f>
        <v>-</v>
      </c>
      <c r="K1395" s="104" t="str">
        <f>IF(ISERR('[1]Проф обучение+'!N119),"-",'[1]Проф обучение+'!N119)</f>
        <v>-</v>
      </c>
      <c r="L1395" s="104" t="str">
        <f>IF(ISERR('[1]Проф обучение+'!O119),"-",'[1]Проф обучение+'!O119)</f>
        <v>-</v>
      </c>
      <c r="M1395" s="104" t="str">
        <f>IF(ISERR('[1]Проф обучение+'!P119),"-",'[1]Проф обучение+'!P119)</f>
        <v>-</v>
      </c>
    </row>
    <row r="1396" spans="1:13" s="89" customFormat="1" ht="30" x14ac:dyDescent="0.25">
      <c r="A1396" s="99" t="s">
        <v>824</v>
      </c>
      <c r="B1396" s="100" t="s">
        <v>981</v>
      </c>
      <c r="C1396" s="87"/>
      <c r="D1396" s="109"/>
      <c r="E1396" s="109"/>
      <c r="F1396" s="109"/>
      <c r="G1396" s="109"/>
      <c r="H1396" s="109"/>
      <c r="I1396" s="109"/>
      <c r="J1396" s="109"/>
      <c r="K1396" s="109"/>
      <c r="L1396" s="109"/>
      <c r="M1396" s="109"/>
    </row>
    <row r="1397" spans="1:13" s="89" customFormat="1" ht="60" x14ac:dyDescent="0.25">
      <c r="A1397" s="77" t="s">
        <v>825</v>
      </c>
      <c r="B1397" s="70" t="s">
        <v>2165</v>
      </c>
      <c r="C1397" s="204"/>
      <c r="D1397" s="204"/>
      <c r="E1397" s="204"/>
      <c r="F1397" s="204"/>
      <c r="G1397" s="204"/>
      <c r="H1397" s="204"/>
      <c r="I1397" s="204"/>
      <c r="J1397" s="204"/>
      <c r="K1397" s="204"/>
      <c r="L1397" s="204"/>
      <c r="M1397" s="204"/>
    </row>
    <row r="1398" spans="1:13" s="89" customFormat="1" hidden="1" x14ac:dyDescent="0.25">
      <c r="A1398" s="77"/>
      <c r="B1398" s="70" t="s">
        <v>2352</v>
      </c>
      <c r="C1398" s="204"/>
      <c r="D1398" s="204"/>
      <c r="E1398" s="204"/>
      <c r="F1398" s="204"/>
      <c r="G1398" s="204"/>
      <c r="H1398" s="204"/>
      <c r="I1398" s="204"/>
      <c r="J1398" s="204"/>
      <c r="K1398" s="204"/>
      <c r="L1398" s="204"/>
      <c r="M1398" s="204"/>
    </row>
    <row r="1399" spans="1:13" s="89" customFormat="1" x14ac:dyDescent="0.25">
      <c r="A1399" s="77"/>
      <c r="B1399" s="70" t="s">
        <v>2210</v>
      </c>
      <c r="C1399" s="13" t="s">
        <v>8</v>
      </c>
      <c r="D1399" s="204"/>
      <c r="E1399" s="204"/>
      <c r="F1399" s="204"/>
      <c r="G1399" s="204"/>
      <c r="H1399" s="104">
        <f>IF(ISERR('[1]Проф обучение+'!I126),"-",'[1]Проф обучение+'!I126)</f>
        <v>0.13858319067416647</v>
      </c>
      <c r="I1399" s="104">
        <f>IF(ISERR('[1]Проф обучение+'!J126),"-",'[1]Проф обучение+'!J126)</f>
        <v>0.04</v>
      </c>
      <c r="J1399" s="104">
        <f>IF(ISERR('[1]Проф обучение+'!K126),"-",'[1]Проф обучение+'!K126)</f>
        <v>0.57895787582351765</v>
      </c>
      <c r="K1399" s="104">
        <f>IF(ISERR('[1]Проф обучение+'!L126),"-",'[1]Проф обучение+'!L126)</f>
        <v>0.42120633494327753</v>
      </c>
      <c r="L1399" s="104" t="str">
        <f>IF(ISERR('[1]Проф обучение+'!M126),"-",'[1]Проф обучение+'!M126)</f>
        <v>-</v>
      </c>
      <c r="M1399" s="104" t="str">
        <f>IF(ISERR('[1]Проф обучение+'!N126),"-",'[1]Проф обучение+'!N126)</f>
        <v>-</v>
      </c>
    </row>
    <row r="1400" spans="1:13" s="89" customFormat="1" x14ac:dyDescent="0.25">
      <c r="A1400" s="77"/>
      <c r="B1400" s="70" t="s">
        <v>2211</v>
      </c>
      <c r="C1400" s="13" t="s">
        <v>8</v>
      </c>
      <c r="D1400" s="204"/>
      <c r="E1400" s="204"/>
      <c r="F1400" s="204"/>
      <c r="G1400" s="204"/>
      <c r="H1400" s="104">
        <f>IF(ISERR('[1]Проф обучение+'!I127),"-",'[1]Проф обучение+'!I127)</f>
        <v>0.11412733349637239</v>
      </c>
      <c r="I1400" s="104">
        <f>IF(ISERR('[1]Проф обучение+'!J127),"-",'[1]Проф обучение+'!J127)</f>
        <v>0.01</v>
      </c>
      <c r="J1400" s="104">
        <f>IF(ISERR('[1]Проф обучение+'!K127),"-",'[1]Проф обучение+'!K127)</f>
        <v>0.13309376455713048</v>
      </c>
      <c r="K1400" s="104">
        <f>IF(ISERR('[1]Проф обучение+'!L127),"-",'[1]Проф обучение+'!L127)</f>
        <v>8.4241266988655514E-2</v>
      </c>
      <c r="L1400" s="104" t="str">
        <f>IF(ISERR('[1]Проф обучение+'!M127),"-",'[1]Проф обучение+'!M127)</f>
        <v>-</v>
      </c>
      <c r="M1400" s="104" t="str">
        <f>IF(ISERR('[1]Проф обучение+'!N127),"-",'[1]Проф обучение+'!N127)</f>
        <v>-</v>
      </c>
    </row>
    <row r="1401" spans="1:13" s="89" customFormat="1" ht="30" x14ac:dyDescent="0.25">
      <c r="A1401" s="77"/>
      <c r="B1401" s="70" t="s">
        <v>2166</v>
      </c>
      <c r="C1401" s="13" t="s">
        <v>8</v>
      </c>
      <c r="D1401" s="204"/>
      <c r="E1401" s="204"/>
      <c r="F1401" s="204"/>
      <c r="G1401" s="204"/>
      <c r="H1401" s="104">
        <f>IF(ISERR('[1]Проф обучение+'!I128),"-",'[1]Проф обучение+'!I128)</f>
        <v>0</v>
      </c>
      <c r="I1401" s="104">
        <f>IF(ISERR('[1]Проф обучение+'!J128),"-",'[1]Проф обучение+'!J128)</f>
        <v>0</v>
      </c>
      <c r="J1401" s="104">
        <f>IF(ISERR('[1]Проф обучение+'!K128),"-",'[1]Проф обучение+'!K128)</f>
        <v>3.9928129367139145E-2</v>
      </c>
      <c r="K1401" s="104">
        <f>IF(ISERR('[1]Проф обучение+'!L128),"-",'[1]Проф обучение+'!L128)</f>
        <v>6.7393013590924408E-2</v>
      </c>
      <c r="L1401" s="104" t="str">
        <f>IF(ISERR('[1]Проф обучение+'!M128),"-",'[1]Проф обучение+'!M128)</f>
        <v>-</v>
      </c>
      <c r="M1401" s="104" t="str">
        <f>IF(ISERR('[1]Проф обучение+'!N128),"-",'[1]Проф обучение+'!N128)</f>
        <v>-</v>
      </c>
    </row>
    <row r="1402" spans="1:13" s="89" customFormat="1" hidden="1" x14ac:dyDescent="0.25">
      <c r="A1402" s="77"/>
      <c r="B1402" s="70" t="s">
        <v>2353</v>
      </c>
      <c r="C1402" s="13"/>
      <c r="D1402" s="204"/>
      <c r="E1402" s="204"/>
      <c r="F1402" s="204"/>
      <c r="G1402" s="204"/>
      <c r="H1402" s="104"/>
      <c r="I1402" s="104"/>
      <c r="J1402" s="104"/>
      <c r="K1402" s="104"/>
      <c r="L1402" s="104"/>
      <c r="M1402" s="104"/>
    </row>
    <row r="1403" spans="1:13" s="89" customFormat="1" hidden="1" x14ac:dyDescent="0.25">
      <c r="A1403" s="77"/>
      <c r="B1403" s="70" t="s">
        <v>2210</v>
      </c>
      <c r="C1403" s="13" t="s">
        <v>8</v>
      </c>
      <c r="D1403" s="204"/>
      <c r="E1403" s="204"/>
      <c r="F1403" s="204"/>
      <c r="G1403" s="204"/>
      <c r="H1403" s="104">
        <f>IF(ISERR('[1]Проф обучение+'!I130),"-",'[1]Проф обучение+'!I130)</f>
        <v>0.19797368114591826</v>
      </c>
      <c r="I1403" s="104" t="str">
        <f>IF(ISERR('[1]Проф обучение+'!J130),"-",'[1]Проф обучение+'!J130)</f>
        <v>-</v>
      </c>
      <c r="J1403" s="104">
        <f>IF(ISERR('[1]Проф обучение+'!K130),"-",'[1]Проф обучение+'!K130)</f>
        <v>0</v>
      </c>
      <c r="K1403" s="104">
        <f>IF(ISERR('[1]Проф обучение+'!L130),"-",'[1]Проф обучение+'!L130)</f>
        <v>0</v>
      </c>
      <c r="L1403" s="104" t="str">
        <f>IF(ISERR('[1]Проф обучение+'!M130),"-",'[1]Проф обучение+'!M130)</f>
        <v>-</v>
      </c>
      <c r="M1403" s="104" t="str">
        <f>IF(ISERR('[1]Проф обучение+'!N130),"-",'[1]Проф обучение+'!N130)</f>
        <v>-</v>
      </c>
    </row>
    <row r="1404" spans="1:13" s="89" customFormat="1" hidden="1" x14ac:dyDescent="0.25">
      <c r="A1404" s="77"/>
      <c r="B1404" s="70" t="s">
        <v>2211</v>
      </c>
      <c r="C1404" s="13" t="s">
        <v>8</v>
      </c>
      <c r="D1404" s="204"/>
      <c r="E1404" s="204"/>
      <c r="F1404" s="204"/>
      <c r="G1404" s="204"/>
      <c r="H1404" s="104">
        <f>IF(ISERR('[1]Проф обучение+'!I131),"-",'[1]Проф обучение+'!I131)</f>
        <v>0.16303714917899151</v>
      </c>
      <c r="I1404" s="104" t="str">
        <f>IF(ISERR('[1]Проф обучение+'!J131),"-",'[1]Проф обучение+'!J131)</f>
        <v>-</v>
      </c>
      <c r="J1404" s="104">
        <f>IF(ISERR('[1]Проф обучение+'!K131),"-",'[1]Проф обучение+'!K131)</f>
        <v>0</v>
      </c>
      <c r="K1404" s="104">
        <f>IF(ISERR('[1]Проф обучение+'!L131),"-",'[1]Проф обучение+'!L131)</f>
        <v>0</v>
      </c>
      <c r="L1404" s="104" t="str">
        <f>IF(ISERR('[1]Проф обучение+'!M131),"-",'[1]Проф обучение+'!M131)</f>
        <v>-</v>
      </c>
      <c r="M1404" s="104" t="str">
        <f>IF(ISERR('[1]Проф обучение+'!N131),"-",'[1]Проф обучение+'!N131)</f>
        <v>-</v>
      </c>
    </row>
    <row r="1405" spans="1:13" s="89" customFormat="1" ht="30" hidden="1" x14ac:dyDescent="0.25">
      <c r="A1405" s="77"/>
      <c r="B1405" s="70" t="s">
        <v>2166</v>
      </c>
      <c r="C1405" s="13" t="s">
        <v>8</v>
      </c>
      <c r="D1405" s="204"/>
      <c r="E1405" s="204"/>
      <c r="F1405" s="204"/>
      <c r="G1405" s="204"/>
      <c r="H1405" s="104">
        <f>IF(ISERR('[1]Проф обучение+'!I132),"-",'[1]Проф обучение+'!I132)</f>
        <v>0</v>
      </c>
      <c r="I1405" s="104" t="str">
        <f>IF(ISERR('[1]Проф обучение+'!J132),"-",'[1]Проф обучение+'!J132)</f>
        <v>-</v>
      </c>
      <c r="J1405" s="104">
        <f>IF(ISERR('[1]Проф обучение+'!K132),"-",'[1]Проф обучение+'!K132)</f>
        <v>0</v>
      </c>
      <c r="K1405" s="104">
        <f>IF(ISERR('[1]Проф обучение+'!L132),"-",'[1]Проф обучение+'!L132)</f>
        <v>0</v>
      </c>
      <c r="L1405" s="104" t="str">
        <f>IF(ISERR('[1]Проф обучение+'!M132),"-",'[1]Проф обучение+'!M132)</f>
        <v>-</v>
      </c>
      <c r="M1405" s="104" t="str">
        <f>IF(ISERR('[1]Проф обучение+'!N132),"-",'[1]Проф обучение+'!N132)</f>
        <v>-</v>
      </c>
    </row>
    <row r="1406" spans="1:13" s="89" customFormat="1" hidden="1" x14ac:dyDescent="0.25">
      <c r="A1406" s="77"/>
      <c r="B1406" s="70" t="s">
        <v>2354</v>
      </c>
      <c r="C1406" s="13"/>
      <c r="D1406" s="204"/>
      <c r="E1406" s="204"/>
      <c r="F1406" s="204"/>
      <c r="G1406" s="204"/>
      <c r="H1406" s="104"/>
      <c r="I1406" s="104"/>
      <c r="J1406" s="104"/>
      <c r="K1406" s="104"/>
      <c r="L1406" s="104"/>
      <c r="M1406" s="104"/>
    </row>
    <row r="1407" spans="1:13" s="89" customFormat="1" hidden="1" x14ac:dyDescent="0.25">
      <c r="A1407" s="77"/>
      <c r="B1407" s="70" t="s">
        <v>2210</v>
      </c>
      <c r="C1407" s="13" t="s">
        <v>8</v>
      </c>
      <c r="D1407" s="204"/>
      <c r="E1407" s="204"/>
      <c r="F1407" s="204"/>
      <c r="G1407" s="204"/>
      <c r="H1407" s="104">
        <f>IF(ISERR('[1]Проф обучение+'!I134),"-",'[1]Проф обучение+'!I134)</f>
        <v>0</v>
      </c>
      <c r="I1407" s="104" t="str">
        <f>IF(ISERR('[1]Проф обучение+'!J134),"-",'[1]Проф обучение+'!J134)</f>
        <v>-</v>
      </c>
      <c r="J1407" s="104">
        <f>IF(ISERR('[1]Проф обучение+'!K134),"-",'[1]Проф обучение+'!K134)</f>
        <v>0</v>
      </c>
      <c r="K1407" s="104">
        <f>IF(ISERR('[1]Проф обучение+'!L134),"-",'[1]Проф обучение+'!L134)</f>
        <v>0</v>
      </c>
      <c r="L1407" s="104" t="str">
        <f>IF(ISERR('[1]Проф обучение+'!M134),"-",'[1]Проф обучение+'!M134)</f>
        <v>-</v>
      </c>
      <c r="M1407" s="104" t="str">
        <f>IF(ISERR('[1]Проф обучение+'!N134),"-",'[1]Проф обучение+'!N134)</f>
        <v>-</v>
      </c>
    </row>
    <row r="1408" spans="1:13" s="89" customFormat="1" hidden="1" x14ac:dyDescent="0.25">
      <c r="A1408" s="77"/>
      <c r="B1408" s="70" t="s">
        <v>2211</v>
      </c>
      <c r="C1408" s="13" t="s">
        <v>8</v>
      </c>
      <c r="D1408" s="204"/>
      <c r="E1408" s="204"/>
      <c r="F1408" s="204"/>
      <c r="G1408" s="204"/>
      <c r="H1408" s="104">
        <f>IF(ISERR('[1]Проф обучение+'!I135),"-",'[1]Проф обучение+'!I135)</f>
        <v>0</v>
      </c>
      <c r="I1408" s="104" t="str">
        <f>IF(ISERR('[1]Проф обучение+'!J135),"-",'[1]Проф обучение+'!J135)</f>
        <v>-</v>
      </c>
      <c r="J1408" s="104">
        <f>IF(ISERR('[1]Проф обучение+'!K135),"-",'[1]Проф обучение+'!K135)</f>
        <v>0</v>
      </c>
      <c r="K1408" s="104">
        <f>IF(ISERR('[1]Проф обучение+'!L135),"-",'[1]Проф обучение+'!L135)</f>
        <v>0</v>
      </c>
      <c r="L1408" s="104" t="str">
        <f>IF(ISERR('[1]Проф обучение+'!M135),"-",'[1]Проф обучение+'!M135)</f>
        <v>-</v>
      </c>
      <c r="M1408" s="104" t="str">
        <f>IF(ISERR('[1]Проф обучение+'!N135),"-",'[1]Проф обучение+'!N135)</f>
        <v>-</v>
      </c>
    </row>
    <row r="1409" spans="1:13" s="89" customFormat="1" ht="30" hidden="1" x14ac:dyDescent="0.25">
      <c r="A1409" s="77"/>
      <c r="B1409" s="70" t="s">
        <v>2166</v>
      </c>
      <c r="C1409" s="13" t="s">
        <v>8</v>
      </c>
      <c r="D1409" s="204"/>
      <c r="E1409" s="204"/>
      <c r="F1409" s="204"/>
      <c r="G1409" s="204"/>
      <c r="H1409" s="104">
        <f>IF(ISERR('[1]Проф обучение+'!I136),"-",'[1]Проф обучение+'!I136)</f>
        <v>0</v>
      </c>
      <c r="I1409" s="104">
        <f>IF(ISERR('[1]Проф обучение+'!J136),"-",'[1]Проф обучение+'!J136)</f>
        <v>0</v>
      </c>
      <c r="J1409" s="104">
        <f>IF(ISERR('[1]Проф обучение+'!K136),"-",'[1]Проф обучение+'!K136)</f>
        <v>0</v>
      </c>
      <c r="K1409" s="104">
        <f>IF(ISERR('[1]Проф обучение+'!L136),"-",'[1]Проф обучение+'!L136)</f>
        <v>0</v>
      </c>
      <c r="L1409" s="104" t="str">
        <f>IF(ISERR('[1]Проф обучение+'!M136),"-",'[1]Проф обучение+'!M136)</f>
        <v>-</v>
      </c>
      <c r="M1409" s="104" t="str">
        <f>IF(ISERR('[1]Проф обучение+'!N136),"-",'[1]Проф обучение+'!N136)</f>
        <v>-</v>
      </c>
    </row>
    <row r="1410" spans="1:13" s="89" customFormat="1" ht="60" hidden="1" x14ac:dyDescent="0.25">
      <c r="A1410" s="77" t="s">
        <v>982</v>
      </c>
      <c r="B1410" s="110" t="s">
        <v>983</v>
      </c>
      <c r="C1410" s="77" t="s">
        <v>8</v>
      </c>
      <c r="D1410" s="104" t="str">
        <f>IF(ISERR('[1]Проф обучение+'!E152),"-",'[1]Проф обучение+'!E152)</f>
        <v>-</v>
      </c>
      <c r="E1410" s="104" t="str">
        <f>IF(ISERR('[1]Проф обучение+'!F152),"-",'[1]Проф обучение+'!F152)</f>
        <v>-</v>
      </c>
      <c r="F1410" s="104" t="str">
        <f>IF(ISERR('[1]Проф обучение+'!G152),"-",'[1]Проф обучение+'!G152)</f>
        <v>-</v>
      </c>
      <c r="G1410" s="104" t="str">
        <f>IF(ISERR('[1]Проф обучение+'!H152),"-",'[1]Проф обучение+'!H152)</f>
        <v>-</v>
      </c>
      <c r="H1410" s="104"/>
      <c r="I1410" s="104"/>
      <c r="J1410" s="104"/>
      <c r="K1410" s="104"/>
      <c r="L1410" s="104"/>
      <c r="M1410" s="104"/>
    </row>
    <row r="1411" spans="1:13" s="89" customFormat="1" ht="30" x14ac:dyDescent="0.25">
      <c r="A1411" s="99" t="s">
        <v>835</v>
      </c>
      <c r="B1411" s="100" t="s">
        <v>989</v>
      </c>
      <c r="C1411" s="87"/>
      <c r="D1411" s="109"/>
      <c r="E1411" s="109"/>
      <c r="F1411" s="109"/>
      <c r="G1411" s="109"/>
      <c r="H1411" s="109"/>
      <c r="I1411" s="109"/>
      <c r="J1411" s="109"/>
      <c r="K1411" s="109"/>
      <c r="L1411" s="109"/>
      <c r="M1411" s="109"/>
    </row>
    <row r="1412" spans="1:13" s="89" customFormat="1" ht="45" x14ac:dyDescent="0.25">
      <c r="A1412" s="77" t="s">
        <v>836</v>
      </c>
      <c r="B1412" s="70" t="s">
        <v>2171</v>
      </c>
      <c r="C1412" s="13" t="s">
        <v>8</v>
      </c>
      <c r="D1412" s="200"/>
      <c r="E1412" s="200"/>
      <c r="F1412" s="200"/>
      <c r="G1412" s="200"/>
      <c r="H1412" s="104">
        <f>IF(ISERR('[1]Проф обучение+'!I157),"-",'[1]Проф обучение+'!I157)</f>
        <v>12.953452351838266</v>
      </c>
      <c r="I1412" s="104">
        <f>IF(ISERR('[1]Проф обучение+'!J157),"-",'[1]Проф обучение+'!J157)</f>
        <v>49.76</v>
      </c>
      <c r="J1412" s="104">
        <f>IF(ISERR('[1]Проф обучение+'!K157),"-",'[1]Проф обучение+'!K157)</f>
        <v>22.88547281559859</v>
      </c>
      <c r="K1412" s="104">
        <f>IF(ISERR('[1]Проф обучение+'!L157),"-",'[1]Проф обучение+'!L157)</f>
        <v>26.60900819948332</v>
      </c>
      <c r="L1412" s="104"/>
      <c r="M1412" s="104"/>
    </row>
    <row r="1413" spans="1:13" s="89" customFormat="1" ht="60" hidden="1" x14ac:dyDescent="0.25">
      <c r="A1413" s="13" t="s">
        <v>991</v>
      </c>
      <c r="B1413" s="70" t="s">
        <v>1336</v>
      </c>
      <c r="C1413" s="13" t="s">
        <v>8</v>
      </c>
      <c r="D1413" s="109"/>
      <c r="E1413" s="109"/>
      <c r="F1413" s="109"/>
      <c r="G1413" s="109"/>
      <c r="H1413" s="109"/>
      <c r="I1413" s="109"/>
      <c r="J1413" s="109"/>
      <c r="K1413" s="109"/>
      <c r="L1413" s="109"/>
      <c r="M1413" s="109"/>
    </row>
    <row r="1414" spans="1:13" s="89" customFormat="1" ht="60" hidden="1" x14ac:dyDescent="0.25">
      <c r="A1414" s="99" t="s">
        <v>995</v>
      </c>
      <c r="B1414" s="100" t="s">
        <v>994</v>
      </c>
      <c r="C1414" s="87"/>
      <c r="D1414" s="109"/>
      <c r="E1414" s="109"/>
      <c r="F1414" s="109"/>
      <c r="G1414" s="109"/>
      <c r="H1414" s="109"/>
      <c r="I1414" s="109"/>
      <c r="J1414" s="109"/>
      <c r="K1414" s="109"/>
      <c r="L1414" s="109"/>
      <c r="M1414" s="109"/>
    </row>
    <row r="1415" spans="1:13" s="89" customFormat="1" ht="45" hidden="1" x14ac:dyDescent="0.25">
      <c r="A1415" s="77" t="s">
        <v>997</v>
      </c>
      <c r="B1415" s="70" t="s">
        <v>2192</v>
      </c>
      <c r="C1415" s="200"/>
      <c r="D1415" s="200"/>
      <c r="E1415" s="200"/>
      <c r="F1415" s="200"/>
      <c r="G1415" s="200"/>
      <c r="H1415" s="200"/>
      <c r="I1415" s="200"/>
      <c r="J1415" s="200"/>
      <c r="K1415" s="200"/>
      <c r="L1415" s="200"/>
      <c r="M1415" s="200"/>
    </row>
    <row r="1416" spans="1:13" s="89" customFormat="1" hidden="1" x14ac:dyDescent="0.25">
      <c r="A1416" s="77"/>
      <c r="B1416" s="70" t="s">
        <v>2193</v>
      </c>
      <c r="C1416" s="13" t="s">
        <v>8</v>
      </c>
      <c r="D1416" s="200"/>
      <c r="E1416" s="200"/>
      <c r="F1416" s="200"/>
      <c r="G1416" s="200"/>
      <c r="H1416" s="104">
        <f>IF(ISERR('[1]Проф обучение+'!I165),"-",'[1]Проф обучение+'!I165)</f>
        <v>116.12903225806453</v>
      </c>
      <c r="I1416" s="104" t="str">
        <f>IF(ISERR('[1]Проф обучение+'!J165),"-",'[1]Проф обучение+'!J165)</f>
        <v>-</v>
      </c>
      <c r="J1416" s="104" t="str">
        <f>IF(ISERR('[1]Проф обучение+'!M165),"-",'[1]Проф обучение+'!M165)</f>
        <v>-</v>
      </c>
      <c r="K1416" s="104" t="str">
        <f>IF(ISERR('[1]Проф обучение+'!N165),"-",'[1]Проф обучение+'!N165)</f>
        <v>-</v>
      </c>
      <c r="L1416" s="104" t="str">
        <f>IF(ISERR('[1]Проф обучение+'!O165),"-",'[1]Проф обучение+'!O165)</f>
        <v>-</v>
      </c>
      <c r="M1416" s="104" t="str">
        <f>IF(ISERR('[1]Проф обучение+'!P165),"-",'[1]Проф обучение+'!P165)</f>
        <v>-</v>
      </c>
    </row>
    <row r="1417" spans="1:13" s="89" customFormat="1" hidden="1" x14ac:dyDescent="0.25">
      <c r="A1417" s="77"/>
      <c r="B1417" s="70" t="s">
        <v>2355</v>
      </c>
      <c r="C1417" s="13" t="s">
        <v>8</v>
      </c>
      <c r="D1417" s="200"/>
      <c r="E1417" s="200"/>
      <c r="F1417" s="200"/>
      <c r="G1417" s="200"/>
      <c r="H1417" s="104" t="str">
        <f>IF(ISERR('[1]Проф обучение+'!I166),"-",'[1]Проф обучение+'!I166)</f>
        <v>-</v>
      </c>
      <c r="I1417" s="104" t="str">
        <f>IF(ISERR('[1]Проф обучение+'!J166),"-",'[1]Проф обучение+'!J166)</f>
        <v>-</v>
      </c>
      <c r="J1417" s="104" t="str">
        <f>IF(ISERR('[1]Проф обучение+'!M166),"-",'[1]Проф обучение+'!M166)</f>
        <v>-</v>
      </c>
      <c r="K1417" s="104" t="str">
        <f>IF(ISERR('[1]Проф обучение+'!N166),"-",'[1]Проф обучение+'!N166)</f>
        <v>-</v>
      </c>
      <c r="L1417" s="104" t="str">
        <f>IF(ISERR('[1]Проф обучение+'!O166),"-",'[1]Проф обучение+'!O166)</f>
        <v>-</v>
      </c>
      <c r="M1417" s="104" t="str">
        <f>IF(ISERR('[1]Проф обучение+'!P166),"-",'[1]Проф обучение+'!P166)</f>
        <v>-</v>
      </c>
    </row>
    <row r="1418" spans="1:13" s="89" customFormat="1" hidden="1" x14ac:dyDescent="0.25">
      <c r="A1418" s="77"/>
      <c r="B1418" s="70" t="s">
        <v>2356</v>
      </c>
      <c r="C1418" s="13" t="s">
        <v>8</v>
      </c>
      <c r="D1418" s="200"/>
      <c r="E1418" s="200"/>
      <c r="F1418" s="200"/>
      <c r="G1418" s="200"/>
      <c r="H1418" s="104">
        <f>IF(ISERR('[1]Проф обучение+'!I167),"-",'[1]Проф обучение+'!I167)</f>
        <v>82.35294117647058</v>
      </c>
      <c r="I1418" s="104" t="str">
        <f>IF(ISERR('[1]Проф обучение+'!J167),"-",'[1]Проф обучение+'!J167)</f>
        <v>-</v>
      </c>
      <c r="J1418" s="104" t="str">
        <f>IF(ISERR('[1]Проф обучение+'!M167),"-",'[1]Проф обучение+'!M167)</f>
        <v>-</v>
      </c>
      <c r="K1418" s="104" t="str">
        <f>IF(ISERR('[1]Проф обучение+'!N167),"-",'[1]Проф обучение+'!N167)</f>
        <v>-</v>
      </c>
      <c r="L1418" s="104" t="str">
        <f>IF(ISERR('[1]Проф обучение+'!O167),"-",'[1]Проф обучение+'!O167)</f>
        <v>-</v>
      </c>
      <c r="M1418" s="104" t="str">
        <f>IF(ISERR('[1]Проф обучение+'!P167),"-",'[1]Проф обучение+'!P167)</f>
        <v>-</v>
      </c>
    </row>
    <row r="1419" spans="1:13" s="89" customFormat="1" hidden="1" x14ac:dyDescent="0.25">
      <c r="A1419" s="77"/>
      <c r="B1419" s="70" t="s">
        <v>2357</v>
      </c>
      <c r="C1419" s="13" t="s">
        <v>8</v>
      </c>
      <c r="D1419" s="200"/>
      <c r="E1419" s="200"/>
      <c r="F1419" s="200"/>
      <c r="G1419" s="200"/>
      <c r="H1419" s="104">
        <f>IF(ISERR('[1]Проф обучение+'!I168),"-",'[1]Проф обучение+'!I168)</f>
        <v>200</v>
      </c>
      <c r="I1419" s="104" t="str">
        <f>IF(ISERR('[1]Проф обучение+'!J168),"-",'[1]Проф обучение+'!J168)</f>
        <v>-</v>
      </c>
      <c r="J1419" s="104" t="str">
        <f>IF(ISERR('[1]Проф обучение+'!M168),"-",'[1]Проф обучение+'!M168)</f>
        <v>-</v>
      </c>
      <c r="K1419" s="104" t="str">
        <f>IF(ISERR('[1]Проф обучение+'!N168),"-",'[1]Проф обучение+'!N168)</f>
        <v>-</v>
      </c>
      <c r="L1419" s="104" t="str">
        <f>IF(ISERR('[1]Проф обучение+'!O168),"-",'[1]Проф обучение+'!O168)</f>
        <v>-</v>
      </c>
      <c r="M1419" s="104" t="str">
        <f>IF(ISERR('[1]Проф обучение+'!P168),"-",'[1]Проф обучение+'!P168)</f>
        <v>-</v>
      </c>
    </row>
    <row r="1420" spans="1:13" s="89" customFormat="1" hidden="1" x14ac:dyDescent="0.25">
      <c r="A1420" s="77"/>
      <c r="B1420" s="70" t="s">
        <v>2358</v>
      </c>
      <c r="C1420" s="13" t="s">
        <v>8</v>
      </c>
      <c r="D1420" s="200"/>
      <c r="E1420" s="200"/>
      <c r="F1420" s="200"/>
      <c r="G1420" s="200"/>
      <c r="H1420" s="104">
        <f>IF(ISERR('[1]Проф обучение+'!I169),"-",'[1]Проф обучение+'!I169)</f>
        <v>100</v>
      </c>
      <c r="I1420" s="104" t="str">
        <f>IF(ISERR('[1]Проф обучение+'!J169),"-",'[1]Проф обучение+'!J169)</f>
        <v>-</v>
      </c>
      <c r="J1420" s="104" t="str">
        <f>IF(ISERR('[1]Проф обучение+'!M169),"-",'[1]Проф обучение+'!M169)</f>
        <v>-</v>
      </c>
      <c r="K1420" s="104" t="str">
        <f>IF(ISERR('[1]Проф обучение+'!N169),"-",'[1]Проф обучение+'!N169)</f>
        <v>-</v>
      </c>
      <c r="L1420" s="104" t="str">
        <f>IF(ISERR('[1]Проф обучение+'!O169),"-",'[1]Проф обучение+'!O169)</f>
        <v>-</v>
      </c>
      <c r="M1420" s="104" t="str">
        <f>IF(ISERR('[1]Проф обучение+'!P169),"-",'[1]Проф обучение+'!P169)</f>
        <v>-</v>
      </c>
    </row>
    <row r="1421" spans="1:13" s="89" customFormat="1" hidden="1" x14ac:dyDescent="0.25">
      <c r="A1421" s="77"/>
      <c r="B1421" s="70" t="s">
        <v>2359</v>
      </c>
      <c r="C1421" s="13" t="s">
        <v>8</v>
      </c>
      <c r="D1421" s="200"/>
      <c r="E1421" s="200"/>
      <c r="F1421" s="200"/>
      <c r="G1421" s="200"/>
      <c r="H1421" s="104">
        <f>IF(ISERR('[1]Проф обучение+'!I170),"-",'[1]Проф обучение+'!I170)</f>
        <v>120</v>
      </c>
      <c r="I1421" s="104" t="str">
        <f>IF(ISERR('[1]Проф обучение+'!J170),"-",'[1]Проф обучение+'!J170)</f>
        <v>-</v>
      </c>
      <c r="J1421" s="104" t="str">
        <f>IF(ISERR('[1]Проф обучение+'!M170),"-",'[1]Проф обучение+'!M170)</f>
        <v>-</v>
      </c>
      <c r="K1421" s="104" t="str">
        <f>IF(ISERR('[1]Проф обучение+'!N170),"-",'[1]Проф обучение+'!N170)</f>
        <v>-</v>
      </c>
      <c r="L1421" s="104" t="str">
        <f>IF(ISERR('[1]Проф обучение+'!O170),"-",'[1]Проф обучение+'!O170)</f>
        <v>-</v>
      </c>
      <c r="M1421" s="104" t="str">
        <f>IF(ISERR('[1]Проф обучение+'!P170),"-",'[1]Проф обучение+'!P170)</f>
        <v>-</v>
      </c>
    </row>
    <row r="1422" spans="1:13" s="89" customFormat="1" hidden="1" x14ac:dyDescent="0.25">
      <c r="A1422" s="77"/>
      <c r="B1422" s="70" t="s">
        <v>2360</v>
      </c>
      <c r="C1422" s="13" t="s">
        <v>8</v>
      </c>
      <c r="D1422" s="200"/>
      <c r="E1422" s="200"/>
      <c r="F1422" s="200"/>
      <c r="G1422" s="200"/>
      <c r="H1422" s="104">
        <f>IF(ISERR('[1]Проф обучение+'!I171),"-",'[1]Проф обучение+'!I171)</f>
        <v>100</v>
      </c>
      <c r="I1422" s="104" t="str">
        <f>IF(ISERR('[1]Проф обучение+'!J171),"-",'[1]Проф обучение+'!J171)</f>
        <v>-</v>
      </c>
      <c r="J1422" s="104" t="str">
        <f>IF(ISERR('[1]Проф обучение+'!M171),"-",'[1]Проф обучение+'!M171)</f>
        <v>-</v>
      </c>
      <c r="K1422" s="104" t="str">
        <f>IF(ISERR('[1]Проф обучение+'!N171),"-",'[1]Проф обучение+'!N171)</f>
        <v>-</v>
      </c>
      <c r="L1422" s="104" t="str">
        <f>IF(ISERR('[1]Проф обучение+'!O171),"-",'[1]Проф обучение+'!O171)</f>
        <v>-</v>
      </c>
      <c r="M1422" s="104" t="str">
        <f>IF(ISERR('[1]Проф обучение+'!P171),"-",'[1]Проф обучение+'!P171)</f>
        <v>-</v>
      </c>
    </row>
    <row r="1423" spans="1:13" s="89" customFormat="1" ht="30" hidden="1" x14ac:dyDescent="0.25">
      <c r="A1423" s="13" t="s">
        <v>997</v>
      </c>
      <c r="B1423" s="70" t="s">
        <v>1012</v>
      </c>
      <c r="C1423" s="13"/>
      <c r="D1423" s="109"/>
      <c r="E1423" s="109"/>
      <c r="F1423" s="109"/>
      <c r="G1423" s="109"/>
      <c r="H1423" s="109"/>
      <c r="I1423" s="109"/>
      <c r="J1423" s="109"/>
      <c r="K1423" s="109"/>
      <c r="L1423" s="109"/>
      <c r="M1423" s="109"/>
    </row>
    <row r="1424" spans="1:13" s="89" customFormat="1" hidden="1" x14ac:dyDescent="0.25">
      <c r="A1424" s="13"/>
      <c r="B1424" s="70" t="s">
        <v>1337</v>
      </c>
      <c r="C1424" s="13" t="s">
        <v>1112</v>
      </c>
      <c r="D1424" s="109"/>
      <c r="E1424" s="109"/>
      <c r="F1424" s="109"/>
      <c r="G1424" s="104">
        <f>IF(ISERR('[1]Проф обучение+'!H189),"-",'[1]Проф обучение+'!H189)</f>
        <v>0</v>
      </c>
      <c r="H1424" s="104"/>
      <c r="I1424" s="104"/>
      <c r="J1424" s="104"/>
      <c r="K1424" s="104"/>
      <c r="L1424" s="104"/>
      <c r="M1424" s="104"/>
    </row>
    <row r="1425" spans="1:13" s="89" customFormat="1" hidden="1" x14ac:dyDescent="0.25">
      <c r="A1425" s="13"/>
      <c r="B1425" s="70" t="s">
        <v>1330</v>
      </c>
      <c r="C1425" s="13" t="s">
        <v>1112</v>
      </c>
      <c r="D1425" s="109"/>
      <c r="E1425" s="109"/>
      <c r="F1425" s="109"/>
      <c r="G1425" s="104">
        <f>IF(ISERR('[1]Проф обучение+'!H190),"-",'[1]Проф обучение+'!H190)</f>
        <v>15</v>
      </c>
      <c r="H1425" s="104"/>
      <c r="I1425" s="104"/>
      <c r="J1425" s="104"/>
      <c r="K1425" s="104"/>
      <c r="L1425" s="104"/>
      <c r="M1425" s="104"/>
    </row>
    <row r="1426" spans="1:13" s="89" customFormat="1" hidden="1" x14ac:dyDescent="0.25">
      <c r="A1426" s="13"/>
      <c r="B1426" s="70" t="s">
        <v>1338</v>
      </c>
      <c r="C1426" s="13" t="s">
        <v>1112</v>
      </c>
      <c r="D1426" s="109"/>
      <c r="E1426" s="109"/>
      <c r="F1426" s="109"/>
      <c r="G1426" s="104">
        <f>IF(ISERR('[1]Проф обучение+'!H191),"-",'[1]Проф обучение+'!H191)</f>
        <v>2</v>
      </c>
      <c r="H1426" s="104"/>
      <c r="I1426" s="104"/>
      <c r="J1426" s="104"/>
      <c r="K1426" s="104"/>
      <c r="L1426" s="104"/>
      <c r="M1426" s="104"/>
    </row>
    <row r="1427" spans="1:13" s="89" customFormat="1" hidden="1" x14ac:dyDescent="0.25">
      <c r="A1427" s="13"/>
      <c r="B1427" s="70" t="s">
        <v>1339</v>
      </c>
      <c r="C1427" s="13" t="s">
        <v>1112</v>
      </c>
      <c r="D1427" s="109"/>
      <c r="E1427" s="109"/>
      <c r="F1427" s="109"/>
      <c r="G1427" s="104">
        <f>IF(ISERR('[1]Проф обучение+'!H192),"-",'[1]Проф обучение+'!H192)</f>
        <v>2</v>
      </c>
      <c r="H1427" s="104"/>
      <c r="I1427" s="104"/>
      <c r="J1427" s="104"/>
      <c r="K1427" s="104"/>
      <c r="L1427" s="104"/>
      <c r="M1427" s="104"/>
    </row>
    <row r="1428" spans="1:13" s="89" customFormat="1" hidden="1" x14ac:dyDescent="0.25">
      <c r="A1428" s="13"/>
      <c r="B1428" s="70" t="s">
        <v>1329</v>
      </c>
      <c r="C1428" s="13" t="s">
        <v>1112</v>
      </c>
      <c r="D1428" s="109"/>
      <c r="E1428" s="109"/>
      <c r="F1428" s="109"/>
      <c r="G1428" s="104">
        <f>IF(ISERR('[1]Проф обучение+'!H193),"-",'[1]Проф обучение+'!H193)</f>
        <v>6</v>
      </c>
      <c r="H1428" s="104"/>
      <c r="I1428" s="104"/>
      <c r="J1428" s="104"/>
      <c r="K1428" s="104"/>
      <c r="L1428" s="104"/>
      <c r="M1428" s="104"/>
    </row>
    <row r="1429" spans="1:13" s="89" customFormat="1" hidden="1" x14ac:dyDescent="0.25">
      <c r="A1429" s="13"/>
      <c r="B1429" s="70" t="s">
        <v>1340</v>
      </c>
      <c r="C1429" s="13" t="s">
        <v>1112</v>
      </c>
      <c r="D1429" s="109"/>
      <c r="E1429" s="109"/>
      <c r="F1429" s="109"/>
      <c r="G1429" s="104">
        <f>IF(ISERR('[1]Проф обучение+'!H194),"-",'[1]Проф обучение+'!H194)</f>
        <v>0</v>
      </c>
      <c r="H1429" s="104"/>
      <c r="I1429" s="104"/>
      <c r="J1429" s="104"/>
      <c r="K1429" s="104"/>
      <c r="L1429" s="104"/>
      <c r="M1429" s="104"/>
    </row>
    <row r="1430" spans="1:13" s="89" customFormat="1" ht="45" hidden="1" x14ac:dyDescent="0.25">
      <c r="A1430" s="99" t="s">
        <v>999</v>
      </c>
      <c r="B1430" s="100" t="s">
        <v>998</v>
      </c>
      <c r="C1430" s="87"/>
      <c r="D1430" s="109"/>
      <c r="E1430" s="109"/>
      <c r="F1430" s="109"/>
      <c r="G1430" s="109"/>
      <c r="H1430" s="109"/>
      <c r="I1430" s="109"/>
      <c r="J1430" s="109"/>
      <c r="K1430" s="109"/>
      <c r="L1430" s="109"/>
      <c r="M1430" s="109"/>
    </row>
    <row r="1431" spans="1:13" s="89" customFormat="1" ht="60" hidden="1" x14ac:dyDescent="0.25">
      <c r="A1431" s="13" t="s">
        <v>1001</v>
      </c>
      <c r="B1431" s="70" t="s">
        <v>2361</v>
      </c>
      <c r="C1431" s="13"/>
      <c r="D1431" s="109"/>
      <c r="E1431" s="109"/>
      <c r="F1431" s="109"/>
      <c r="G1431" s="122">
        <f>IF(ISERR('[1]Проф обучение+'!H198),"-",'[1]Проф обучение+'!H198)</f>
        <v>3.65</v>
      </c>
      <c r="H1431" s="122">
        <f>IF(ISERR('[1]Проф обучение+'!I196),"-",'[1]Проф обучение+'!I196)</f>
        <v>29.212022862755628</v>
      </c>
      <c r="I1431" s="122">
        <f>IF(ISERR('[1]Проф обучение+'!J196),"-",'[1]Проф обучение+'!J196)</f>
        <v>0</v>
      </c>
      <c r="J1431" s="122" t="str">
        <f>IF(ISERR('[1]Проф обучение+'!M196),"-",'[1]Проф обучение+'!M196)</f>
        <v>Российская Федерация</v>
      </c>
      <c r="K1431" s="122" t="str">
        <f>IF(ISERR('[1]Проф обучение+'!N196),"-",'[1]Проф обучение+'!N196)</f>
        <v>-</v>
      </c>
      <c r="L1431" s="122" t="str">
        <f>IF(ISERR('[1]Проф обучение+'!O196),"-",'[1]Проф обучение+'!O196)</f>
        <v>-</v>
      </c>
      <c r="M1431" s="122" t="str">
        <f>IF(ISERR('[1]Проф обучение+'!P196),"-",'[1]Проф обучение+'!P196)</f>
        <v>-</v>
      </c>
    </row>
    <row r="1432" spans="1:13" s="89" customFormat="1" hidden="1" x14ac:dyDescent="0.25">
      <c r="A1432" s="87"/>
      <c r="B1432" s="70" t="s">
        <v>1341</v>
      </c>
      <c r="C1432" s="13" t="s">
        <v>8</v>
      </c>
      <c r="D1432" s="109"/>
      <c r="E1432" s="109"/>
      <c r="F1432" s="109"/>
      <c r="G1432" s="104">
        <f>IF(ISERR('[1]Проф обучение+'!H197),"-",'[1]Проф обучение+'!H197)</f>
        <v>96.35</v>
      </c>
      <c r="H1432" s="104">
        <f>IF(ISERR('[1]Проф обучение+'!I197),"-",'[1]Проф обучение+'!I197)</f>
        <v>70.787977137244368</v>
      </c>
      <c r="I1432" s="104">
        <f>IF(ISERR('[1]Проф обучение+'!J197),"-",'[1]Проф обучение+'!J197)</f>
        <v>70.787977137244368</v>
      </c>
      <c r="J1432" s="104" t="str">
        <f>IF(ISERR('[1]Проф обучение+'!M197),"-",'[1]Проф обучение+'!M197)</f>
        <v>-</v>
      </c>
      <c r="K1432" s="104" t="str">
        <f>IF(ISERR('[1]Проф обучение+'!N197),"-",'[1]Проф обучение+'!N197)</f>
        <v>-</v>
      </c>
      <c r="L1432" s="104" t="str">
        <f>IF(ISERR('[1]Проф обучение+'!O197),"-",'[1]Проф обучение+'!O197)</f>
        <v>-</v>
      </c>
      <c r="M1432" s="104" t="str">
        <f>IF(ISERR('[1]Проф обучение+'!P197),"-",'[1]Проф обучение+'!P197)</f>
        <v>-</v>
      </c>
    </row>
    <row r="1433" spans="1:13" s="89" customFormat="1" hidden="1" x14ac:dyDescent="0.25">
      <c r="A1433" s="87"/>
      <c r="B1433" s="70" t="s">
        <v>1342</v>
      </c>
      <c r="C1433" s="13" t="s">
        <v>8</v>
      </c>
      <c r="D1433" s="109"/>
      <c r="E1433" s="109"/>
      <c r="F1433" s="109"/>
      <c r="G1433" s="104">
        <f>IF(ISERR('[1]Проф обучение+'!H198),"-",'[1]Проф обучение+'!H198)</f>
        <v>3.65</v>
      </c>
      <c r="H1433" s="104">
        <f>IF(ISERR('[1]Проф обучение+'!I198),"-",'[1]Проф обучение+'!I198)</f>
        <v>29.212022862755628</v>
      </c>
      <c r="I1433" s="104">
        <f>IF(ISERR('[1]Проф обучение+'!J198),"-",'[1]Проф обучение+'!J198)</f>
        <v>0</v>
      </c>
      <c r="J1433" s="104" t="str">
        <f>IF(ISERR('[1]Проф обучение+'!M198),"-",'[1]Проф обучение+'!M198)</f>
        <v>-</v>
      </c>
      <c r="K1433" s="104" t="str">
        <f>IF(ISERR('[1]Проф обучение+'!N198),"-",'[1]Проф обучение+'!N198)</f>
        <v>-</v>
      </c>
      <c r="L1433" s="104" t="str">
        <f>IF(ISERR('[1]Проф обучение+'!O198),"-",'[1]Проф обучение+'!O198)</f>
        <v>-</v>
      </c>
      <c r="M1433" s="104" t="str">
        <f>IF(ISERR('[1]Проф обучение+'!P198),"-",'[1]Проф обучение+'!P198)</f>
        <v>-</v>
      </c>
    </row>
    <row r="1434" spans="1:13" s="89" customFormat="1" hidden="1" x14ac:dyDescent="0.25">
      <c r="A1434" s="99" t="s">
        <v>1006</v>
      </c>
      <c r="B1434" s="100" t="s">
        <v>1007</v>
      </c>
      <c r="C1434" s="87"/>
      <c r="D1434" s="109"/>
      <c r="E1434" s="109"/>
      <c r="F1434" s="109"/>
      <c r="G1434" s="109"/>
      <c r="H1434" s="109"/>
      <c r="I1434" s="109"/>
      <c r="J1434" s="109"/>
      <c r="K1434" s="109"/>
      <c r="L1434" s="109"/>
      <c r="M1434" s="109"/>
    </row>
    <row r="1435" spans="1:13" s="89" customFormat="1" ht="105" hidden="1" x14ac:dyDescent="0.25">
      <c r="A1435" s="77" t="s">
        <v>1009</v>
      </c>
      <c r="B1435" s="70" t="s">
        <v>2203</v>
      </c>
      <c r="C1435" s="13" t="s">
        <v>8</v>
      </c>
      <c r="D1435" s="200"/>
      <c r="E1435" s="200"/>
      <c r="F1435" s="200"/>
      <c r="G1435" s="200"/>
      <c r="H1435" s="104">
        <f>IF(ISERR('[1]Проф обучение+'!I203),"-",'[1]Проф обучение+'!I203)</f>
        <v>0.57306590257879653</v>
      </c>
      <c r="I1435" s="104" t="str">
        <f>IF(ISERR('[1]Проф обучение+'!J203),"-",'[1]Проф обучение+'!J203)</f>
        <v>-</v>
      </c>
      <c r="J1435" s="104" t="str">
        <f>IF(ISERR('[1]Проф обучение+'!M203),"-",'[1]Проф обучение+'!M203)</f>
        <v>-</v>
      </c>
      <c r="K1435" s="104" t="str">
        <f>IF(ISERR('[1]Проф обучение+'!N203),"-",'[1]Проф обучение+'!N203)</f>
        <v>-</v>
      </c>
      <c r="L1435" s="104" t="str">
        <f>IF(ISERR('[1]Проф обучение+'!O203),"-",'[1]Проф обучение+'!O203)</f>
        <v>-</v>
      </c>
      <c r="M1435" s="104" t="str">
        <f>IF(ISERR('[1]Проф обучение+'!P203),"-",'[1]Проф обучение+'!P203)</f>
        <v>-</v>
      </c>
    </row>
    <row r="1436" spans="1:13" s="89" customFormat="1" ht="75" hidden="1" x14ac:dyDescent="0.25">
      <c r="A1436" s="13" t="s">
        <v>1009</v>
      </c>
      <c r="B1436" s="70" t="s">
        <v>1343</v>
      </c>
      <c r="C1436" s="13" t="s">
        <v>8</v>
      </c>
      <c r="D1436" s="109"/>
      <c r="E1436" s="109"/>
      <c r="F1436" s="109"/>
      <c r="G1436" s="104">
        <f>IF(ISERR('[1]Проф обучение+'!H210),"-",'[1]Проф обучение+'!H210)</f>
        <v>11.45</v>
      </c>
      <c r="H1436" s="104"/>
      <c r="I1436" s="104"/>
      <c r="J1436" s="104"/>
      <c r="K1436" s="104"/>
      <c r="L1436" s="104"/>
      <c r="M1436" s="104"/>
    </row>
    <row r="1437" spans="1:13" s="89" customFormat="1" x14ac:dyDescent="0.25">
      <c r="A1437" s="443" t="s">
        <v>1013</v>
      </c>
      <c r="B1437" s="443"/>
      <c r="C1437" s="443"/>
      <c r="D1437" s="443"/>
      <c r="E1437" s="443"/>
      <c r="F1437" s="443"/>
      <c r="G1437" s="443"/>
      <c r="H1437" s="443"/>
      <c r="I1437" s="443"/>
      <c r="J1437" s="443"/>
      <c r="K1437" s="443"/>
      <c r="L1437" s="440"/>
      <c r="M1437" s="440"/>
    </row>
    <row r="1438" spans="1:13" s="89" customFormat="1" hidden="1" x14ac:dyDescent="0.25">
      <c r="A1438" s="443" t="s">
        <v>2593</v>
      </c>
      <c r="B1438" s="443"/>
      <c r="C1438" s="443"/>
      <c r="D1438" s="443"/>
      <c r="E1438" s="443"/>
      <c r="F1438" s="443"/>
      <c r="G1438" s="443"/>
      <c r="H1438" s="443"/>
      <c r="I1438" s="443"/>
      <c r="J1438" s="87"/>
      <c r="K1438" s="87"/>
      <c r="L1438" s="87"/>
      <c r="M1438" s="87"/>
    </row>
    <row r="1439" spans="1:13" s="89" customFormat="1" ht="30" hidden="1" x14ac:dyDescent="0.25">
      <c r="A1439" s="99" t="s">
        <v>1015</v>
      </c>
      <c r="B1439" s="100" t="s">
        <v>1016</v>
      </c>
      <c r="C1439" s="87"/>
      <c r="D1439" s="109"/>
      <c r="E1439" s="109"/>
      <c r="F1439" s="109"/>
      <c r="G1439" s="109"/>
      <c r="H1439" s="109"/>
      <c r="I1439" s="109"/>
      <c r="J1439" s="109"/>
      <c r="K1439" s="109"/>
      <c r="L1439" s="109"/>
      <c r="M1439" s="109"/>
    </row>
    <row r="1440" spans="1:13" s="89" customFormat="1" ht="75" hidden="1" x14ac:dyDescent="0.25">
      <c r="A1440" s="77" t="s">
        <v>1019</v>
      </c>
      <c r="B1440" s="110" t="s">
        <v>1018</v>
      </c>
      <c r="C1440" s="77" t="s">
        <v>8</v>
      </c>
      <c r="D1440" s="104">
        <f>IF(ISERR('[1]Дополнительная информация'!E10),"-",'[1]Дополнительная информация'!E10)</f>
        <v>13.9</v>
      </c>
      <c r="E1440" s="104">
        <f>IF(ISERR('[1]Дополнительная информация'!F10),"-",'[1]Дополнительная информация'!F10)</f>
        <v>14.8</v>
      </c>
      <c r="F1440" s="104">
        <f>IF(ISERR('[1]Дополнительная информация'!G10),"-",'[1]Дополнительная информация'!G10)</f>
        <v>11.9</v>
      </c>
      <c r="G1440" s="104">
        <f>IF(ISERR('[1]Дополнительная информация'!H10),"-",'[1]Дополнительная информация'!H10)</f>
        <v>8.6</v>
      </c>
      <c r="H1440" s="104">
        <f>IF(ISERR('[1]Дополнительная информация'!I10),"-",'[1]Дополнительная информация'!I10)</f>
        <v>8.5</v>
      </c>
      <c r="I1440" s="104">
        <f>IF(ISERR('[1]Дополнительная информация'!J10),"-",'[1]Дополнительная информация'!J10)</f>
        <v>0</v>
      </c>
      <c r="J1440" s="104" t="str">
        <f>IF(ISERR('[1]Дополнительная информация'!L10),"-",'[1]Дополнительная информация'!L10)</f>
        <v>Российская Федерация, субъекты Российской Федерации</v>
      </c>
      <c r="K1440" s="104" t="str">
        <f>IF(ISERR('[1]Дополнительная информация'!M10),"-",'[1]Дополнительная информация'!M10)</f>
        <v>-</v>
      </c>
      <c r="L1440" s="104" t="str">
        <f>IF(ISERR('[1]Дополнительная информация'!N10),"-",'[1]Дополнительная информация'!N10)</f>
        <v>-</v>
      </c>
      <c r="M1440" s="104" t="str">
        <f>IF(ISERR('[1]Дополнительная информация'!O10),"-",'[1]Дополнительная информация'!O10)</f>
        <v>-</v>
      </c>
    </row>
    <row r="1441" spans="1:13" s="89" customFormat="1" ht="30" hidden="1" x14ac:dyDescent="0.25">
      <c r="A1441" s="99" t="s">
        <v>1149</v>
      </c>
      <c r="B1441" s="100" t="s">
        <v>1024</v>
      </c>
      <c r="C1441" s="13"/>
      <c r="D1441" s="109"/>
      <c r="E1441" s="109"/>
      <c r="F1441" s="109"/>
      <c r="G1441" s="109"/>
      <c r="H1441" s="109"/>
      <c r="I1441" s="109"/>
      <c r="J1441" s="109"/>
      <c r="K1441" s="109"/>
      <c r="L1441" s="109"/>
      <c r="M1441" s="109"/>
    </row>
    <row r="1442" spans="1:13" s="89" customFormat="1" ht="60" hidden="1" x14ac:dyDescent="0.25">
      <c r="A1442" s="77" t="s">
        <v>1150</v>
      </c>
      <c r="B1442" s="70" t="s">
        <v>2279</v>
      </c>
      <c r="C1442" s="77"/>
      <c r="D1442" s="77"/>
      <c r="E1442" s="125"/>
      <c r="F1442" s="125"/>
      <c r="G1442" s="125"/>
      <c r="H1442" s="125"/>
      <c r="I1442" s="125"/>
      <c r="J1442" s="125"/>
      <c r="K1442" s="125"/>
      <c r="L1442" s="125"/>
      <c r="M1442" s="125"/>
    </row>
    <row r="1443" spans="1:13" s="89" customFormat="1" hidden="1" x14ac:dyDescent="0.25">
      <c r="A1443" s="205"/>
      <c r="B1443" s="80" t="s">
        <v>1296</v>
      </c>
      <c r="C1443" s="77" t="s">
        <v>8</v>
      </c>
      <c r="D1443" s="77"/>
      <c r="E1443" s="125"/>
      <c r="F1443" s="125"/>
      <c r="G1443" s="125"/>
      <c r="H1443" s="104">
        <f>IF(ISERR('[1]Дополнительная информация'!I15),"-",'[1]Дополнительная информация'!I15)</f>
        <v>6.9897209985315705</v>
      </c>
      <c r="I1443" s="104">
        <f>IF(ISERR('[1]Дополнительная информация'!J15),"-",'[1]Дополнительная информация'!J15)</f>
        <v>7.6977401129943503</v>
      </c>
      <c r="J1443" s="104">
        <f>IF(ISERR('[1]Дополнительная информация'!L15),"-",'[1]Дополнительная информация'!L15)</f>
        <v>0</v>
      </c>
      <c r="K1443" s="104" t="str">
        <f>IF(ISERR('[1]Дополнительная информация'!M15),"-",'[1]Дополнительная информация'!M15)</f>
        <v>-</v>
      </c>
      <c r="L1443" s="104" t="str">
        <f>IF(ISERR('[1]Дополнительная информация'!N15),"-",'[1]Дополнительная информация'!N15)</f>
        <v>-</v>
      </c>
      <c r="M1443" s="104" t="str">
        <f>IF(ISERR('[1]Дополнительная информация'!O15),"-",'[1]Дополнительная информация'!O15)</f>
        <v>-</v>
      </c>
    </row>
    <row r="1444" spans="1:13" s="89" customFormat="1" hidden="1" x14ac:dyDescent="0.25">
      <c r="A1444" s="205"/>
      <c r="B1444" s="80" t="s">
        <v>1297</v>
      </c>
      <c r="C1444" s="77" t="s">
        <v>8</v>
      </c>
      <c r="D1444" s="77"/>
      <c r="E1444" s="125"/>
      <c r="F1444" s="125"/>
      <c r="G1444" s="125"/>
      <c r="H1444" s="104">
        <f>IF(ISERR('[1]Дополнительная информация'!I16),"-",'[1]Дополнительная информация'!I16)</f>
        <v>0</v>
      </c>
      <c r="I1444" s="104" t="str">
        <f>IF(ISERR('[1]Дополнительная информация'!J16),"-",'[1]Дополнительная информация'!J16)</f>
        <v>-</v>
      </c>
      <c r="J1444" s="104">
        <f>IF(ISERR('[1]Дополнительная информация'!L16),"-",'[1]Дополнительная информация'!L16)</f>
        <v>0</v>
      </c>
      <c r="K1444" s="104" t="str">
        <f>IF(ISERR('[1]Дополнительная информация'!M16),"-",'[1]Дополнительная информация'!M16)</f>
        <v>-</v>
      </c>
      <c r="L1444" s="104" t="str">
        <f>IF(ISERR('[1]Дополнительная информация'!N16),"-",'[1]Дополнительная информация'!N16)</f>
        <v>-</v>
      </c>
      <c r="M1444" s="104" t="str">
        <f>IF(ISERR('[1]Дополнительная информация'!O16),"-",'[1]Дополнительная информация'!O16)</f>
        <v>-</v>
      </c>
    </row>
    <row r="1445" spans="1:13" s="89" customFormat="1" ht="90" hidden="1" x14ac:dyDescent="0.25">
      <c r="A1445" s="13" t="s">
        <v>1150</v>
      </c>
      <c r="B1445" s="70" t="s">
        <v>1026</v>
      </c>
      <c r="C1445" s="13"/>
      <c r="D1445" s="109"/>
      <c r="E1445" s="109"/>
      <c r="F1445" s="109"/>
      <c r="G1445" s="109"/>
      <c r="H1445" s="109"/>
      <c r="I1445" s="109"/>
      <c r="J1445" s="109"/>
      <c r="K1445" s="109"/>
      <c r="L1445" s="109"/>
      <c r="M1445" s="109"/>
    </row>
    <row r="1446" spans="1:13" s="89" customFormat="1" ht="30" hidden="1" x14ac:dyDescent="0.25">
      <c r="A1446" s="13"/>
      <c r="B1446" s="70" t="s">
        <v>1344</v>
      </c>
      <c r="C1446" s="13" t="s">
        <v>8</v>
      </c>
      <c r="D1446" s="109"/>
      <c r="E1446" s="109"/>
      <c r="F1446" s="109"/>
      <c r="G1446" s="109"/>
      <c r="H1446" s="109"/>
      <c r="I1446" s="109"/>
      <c r="J1446" s="109"/>
      <c r="K1446" s="109"/>
      <c r="L1446" s="109"/>
      <c r="M1446" s="109"/>
    </row>
    <row r="1447" spans="1:13" s="89" customFormat="1" hidden="1" x14ac:dyDescent="0.25">
      <c r="A1447" s="13"/>
      <c r="B1447" s="70" t="s">
        <v>1345</v>
      </c>
      <c r="C1447" s="13" t="s">
        <v>8</v>
      </c>
      <c r="D1447" s="109"/>
      <c r="E1447" s="109"/>
      <c r="F1447" s="109"/>
      <c r="G1447" s="109"/>
      <c r="H1447" s="109"/>
      <c r="I1447" s="109"/>
      <c r="J1447" s="109"/>
      <c r="K1447" s="109"/>
      <c r="L1447" s="109"/>
      <c r="M1447" s="109"/>
    </row>
    <row r="1448" spans="1:13" s="89" customFormat="1" hidden="1" x14ac:dyDescent="0.25">
      <c r="A1448" s="13"/>
      <c r="B1448" s="70" t="s">
        <v>1346</v>
      </c>
      <c r="C1448" s="13" t="s">
        <v>8</v>
      </c>
      <c r="D1448" s="109"/>
      <c r="E1448" s="109"/>
      <c r="F1448" s="109"/>
      <c r="G1448" s="109"/>
      <c r="H1448" s="109"/>
      <c r="I1448" s="109"/>
      <c r="J1448" s="109"/>
      <c r="K1448" s="109"/>
      <c r="L1448" s="109"/>
      <c r="M1448" s="109"/>
    </row>
    <row r="1449" spans="1:13" s="89" customFormat="1" ht="45" hidden="1" x14ac:dyDescent="0.25">
      <c r="A1449" s="77" t="s">
        <v>2282</v>
      </c>
      <c r="B1449" s="70" t="s">
        <v>2283</v>
      </c>
      <c r="C1449" s="77"/>
      <c r="D1449" s="77"/>
      <c r="E1449" s="77"/>
      <c r="F1449" s="77"/>
      <c r="G1449" s="77"/>
      <c r="H1449" s="77"/>
      <c r="I1449" s="77"/>
      <c r="J1449" s="77"/>
      <c r="K1449" s="77"/>
      <c r="L1449" s="77"/>
      <c r="M1449" s="77"/>
    </row>
    <row r="1450" spans="1:13" s="89" customFormat="1" hidden="1" x14ac:dyDescent="0.25">
      <c r="A1450" s="80"/>
      <c r="B1450" s="80" t="s">
        <v>1959</v>
      </c>
      <c r="C1450" s="77"/>
      <c r="D1450" s="77"/>
      <c r="E1450" s="77"/>
      <c r="F1450" s="77"/>
      <c r="G1450" s="77"/>
      <c r="H1450" s="77"/>
      <c r="I1450" s="77"/>
      <c r="J1450" s="77"/>
      <c r="K1450" s="77"/>
      <c r="L1450" s="77"/>
      <c r="M1450" s="77"/>
    </row>
    <row r="1451" spans="1:13" s="89" customFormat="1" hidden="1" x14ac:dyDescent="0.25">
      <c r="A1451" s="80"/>
      <c r="B1451" s="80" t="s">
        <v>1301</v>
      </c>
      <c r="C1451" s="77" t="s">
        <v>8</v>
      </c>
      <c r="D1451" s="77"/>
      <c r="E1451" s="77"/>
      <c r="F1451" s="77"/>
      <c r="G1451" s="77"/>
      <c r="H1451" s="104">
        <f>IF(ISERR('[1]Дополнительная информация'!I37),"-",'[1]Дополнительная информация'!I37)</f>
        <v>29.166666666666668</v>
      </c>
      <c r="I1451" s="104" t="str">
        <f>IF(ISERR('[1]Дополнительная информация'!J37),"-",'[1]Дополнительная информация'!J37)</f>
        <v>-</v>
      </c>
      <c r="J1451" s="104" t="str">
        <f>IF(ISERR('[1]Дополнительная информация'!L37),"-",'[1]Дополнительная информация'!L37)</f>
        <v>-</v>
      </c>
      <c r="K1451" s="104" t="str">
        <f>IF(ISERR('[1]Дополнительная информация'!M37),"-",'[1]Дополнительная информация'!M37)</f>
        <v>-</v>
      </c>
      <c r="L1451" s="104" t="str">
        <f>IF(ISERR('[1]Дополнительная информация'!N37),"-",'[1]Дополнительная информация'!N37)</f>
        <v>-</v>
      </c>
      <c r="M1451" s="104" t="str">
        <f>IF(ISERR('[1]Дополнительная информация'!O37),"-",'[1]Дополнительная информация'!O37)</f>
        <v>-</v>
      </c>
    </row>
    <row r="1452" spans="1:13" s="89" customFormat="1" hidden="1" x14ac:dyDescent="0.25">
      <c r="A1452" s="80"/>
      <c r="B1452" s="80" t="s">
        <v>1302</v>
      </c>
      <c r="C1452" s="77" t="s">
        <v>8</v>
      </c>
      <c r="D1452" s="77"/>
      <c r="E1452" s="77"/>
      <c r="F1452" s="77"/>
      <c r="G1452" s="77"/>
      <c r="H1452" s="104">
        <f>IF(ISERR('[1]Дополнительная информация'!I38),"-",'[1]Дополнительная информация'!I38)</f>
        <v>0</v>
      </c>
      <c r="I1452" s="104" t="str">
        <f>IF(ISERR('[1]Дополнительная информация'!J38),"-",'[1]Дополнительная информация'!J38)</f>
        <v>-</v>
      </c>
      <c r="J1452" s="104" t="str">
        <f>IF(ISERR('[1]Дополнительная информация'!L38),"-",'[1]Дополнительная информация'!L38)</f>
        <v>-</v>
      </c>
      <c r="K1452" s="104" t="str">
        <f>IF(ISERR('[1]Дополнительная информация'!M38),"-",'[1]Дополнительная информация'!M38)</f>
        <v>-</v>
      </c>
      <c r="L1452" s="104" t="str">
        <f>IF(ISERR('[1]Дополнительная информация'!N38),"-",'[1]Дополнительная информация'!N38)</f>
        <v>-</v>
      </c>
      <c r="M1452" s="104" t="str">
        <f>IF(ISERR('[1]Дополнительная информация'!O38),"-",'[1]Дополнительная информация'!O38)</f>
        <v>-</v>
      </c>
    </row>
    <row r="1453" spans="1:13" s="89" customFormat="1" hidden="1" x14ac:dyDescent="0.25">
      <c r="A1453" s="80"/>
      <c r="B1453" s="80" t="s">
        <v>1960</v>
      </c>
      <c r="C1453" s="77"/>
      <c r="D1453" s="77"/>
      <c r="E1453" s="77"/>
      <c r="F1453" s="77"/>
      <c r="G1453" s="77"/>
      <c r="H1453" s="77"/>
      <c r="I1453" s="77"/>
      <c r="J1453" s="77"/>
      <c r="K1453" s="77"/>
      <c r="L1453" s="77"/>
      <c r="M1453" s="77"/>
    </row>
    <row r="1454" spans="1:13" s="89" customFormat="1" hidden="1" x14ac:dyDescent="0.25">
      <c r="A1454" s="80"/>
      <c r="B1454" s="80" t="s">
        <v>1301</v>
      </c>
      <c r="C1454" s="77" t="s">
        <v>8</v>
      </c>
      <c r="D1454" s="77"/>
      <c r="E1454" s="77"/>
      <c r="F1454" s="77"/>
      <c r="G1454" s="77"/>
      <c r="H1454" s="104">
        <f>IF(ISERR('[1]Дополнительная информация'!I40),"-",'[1]Дополнительная информация'!I40)</f>
        <v>0.83609127329733501</v>
      </c>
      <c r="I1454" s="104" t="str">
        <f>IF(ISERR('[1]Дополнительная информация'!J40),"-",'[1]Дополнительная информация'!J40)</f>
        <v>-</v>
      </c>
      <c r="J1454" s="104" t="str">
        <f>IF(ISERR('[1]Дополнительная информация'!L40),"-",'[1]Дополнительная информация'!L40)</f>
        <v>-</v>
      </c>
      <c r="K1454" s="104" t="str">
        <f>IF(ISERR('[1]Дополнительная информация'!M40),"-",'[1]Дополнительная информация'!M40)</f>
        <v>-</v>
      </c>
      <c r="L1454" s="104" t="str">
        <f>IF(ISERR('[1]Дополнительная информация'!N40),"-",'[1]Дополнительная информация'!N40)</f>
        <v>-</v>
      </c>
      <c r="M1454" s="104" t="str">
        <f>IF(ISERR('[1]Дополнительная информация'!O40),"-",'[1]Дополнительная информация'!O40)</f>
        <v>-</v>
      </c>
    </row>
    <row r="1455" spans="1:13" s="89" customFormat="1" hidden="1" x14ac:dyDescent="0.25">
      <c r="A1455" s="80"/>
      <c r="B1455" s="80" t="s">
        <v>1302</v>
      </c>
      <c r="C1455" s="77" t="s">
        <v>8</v>
      </c>
      <c r="D1455" s="77"/>
      <c r="E1455" s="77"/>
      <c r="F1455" s="77"/>
      <c r="G1455" s="77"/>
      <c r="H1455" s="104">
        <f>IF(ISERR('[1]Дополнительная информация'!I41),"-",'[1]Дополнительная информация'!I41)</f>
        <v>0</v>
      </c>
      <c r="I1455" s="104" t="str">
        <f>IF(ISERR('[1]Дополнительная информация'!J41),"-",'[1]Дополнительная информация'!J41)</f>
        <v>-</v>
      </c>
      <c r="J1455" s="104" t="str">
        <f>IF(ISERR('[1]Дополнительная информация'!L41),"-",'[1]Дополнительная информация'!L41)</f>
        <v>-</v>
      </c>
      <c r="K1455" s="104" t="str">
        <f>IF(ISERR('[1]Дополнительная информация'!M41),"-",'[1]Дополнительная информация'!M41)</f>
        <v>-</v>
      </c>
      <c r="L1455" s="104" t="str">
        <f>IF(ISERR('[1]Дополнительная информация'!N41),"-",'[1]Дополнительная информация'!N41)</f>
        <v>-</v>
      </c>
      <c r="M1455" s="104" t="str">
        <f>IF(ISERR('[1]Дополнительная информация'!O41),"-",'[1]Дополнительная информация'!O41)</f>
        <v>-</v>
      </c>
    </row>
    <row r="1456" spans="1:13" s="89" customFormat="1" ht="90" hidden="1" x14ac:dyDescent="0.25">
      <c r="A1456" s="77" t="s">
        <v>2286</v>
      </c>
      <c r="B1456" s="70" t="s">
        <v>2287</v>
      </c>
      <c r="C1456" s="77"/>
      <c r="D1456" s="77"/>
      <c r="E1456" s="77"/>
      <c r="F1456" s="77"/>
      <c r="G1456" s="77"/>
      <c r="H1456" s="77"/>
      <c r="I1456" s="77"/>
      <c r="J1456" s="77"/>
      <c r="K1456" s="77"/>
      <c r="L1456" s="77"/>
      <c r="M1456" s="77"/>
    </row>
    <row r="1457" spans="1:13" s="89" customFormat="1" hidden="1" x14ac:dyDescent="0.25">
      <c r="A1457" s="80"/>
      <c r="B1457" s="80" t="s">
        <v>1684</v>
      </c>
      <c r="C1457" s="77" t="s">
        <v>8</v>
      </c>
      <c r="D1457" s="77"/>
      <c r="E1457" s="77"/>
      <c r="F1457" s="77"/>
      <c r="G1457" s="77"/>
      <c r="H1457" s="104">
        <f>IF(ISERR('[1]Дополнительная информация'!I57),"-",'[1]Дополнительная информация'!I57)</f>
        <v>22.222222222222221</v>
      </c>
      <c r="I1457" s="104" t="str">
        <f>IF(ISERR('[1]Дополнительная информация'!J57),"-",'[1]Дополнительная информация'!J57)</f>
        <v>-</v>
      </c>
      <c r="J1457" s="104" t="str">
        <f>IF(ISERR('[1]Дополнительная информация'!L57),"-",'[1]Дополнительная информация'!L57)</f>
        <v>-</v>
      </c>
      <c r="K1457" s="104" t="str">
        <f>IF(ISERR('[1]Дополнительная информация'!M57),"-",'[1]Дополнительная информация'!M57)</f>
        <v>-</v>
      </c>
      <c r="L1457" s="104" t="str">
        <f>IF(ISERR('[1]Дополнительная информация'!N57),"-",'[1]Дополнительная информация'!N57)</f>
        <v>-</v>
      </c>
      <c r="M1457" s="104" t="str">
        <f>IF(ISERR('[1]Дополнительная информация'!O57),"-",'[1]Дополнительная информация'!O57)</f>
        <v>-</v>
      </c>
    </row>
    <row r="1458" spans="1:13" s="89" customFormat="1" hidden="1" x14ac:dyDescent="0.25">
      <c r="A1458" s="80"/>
      <c r="B1458" s="80" t="s">
        <v>2288</v>
      </c>
      <c r="C1458" s="77" t="s">
        <v>8</v>
      </c>
      <c r="D1458" s="77"/>
      <c r="E1458" s="77"/>
      <c r="F1458" s="77"/>
      <c r="G1458" s="77"/>
      <c r="H1458" s="104">
        <f>IF(ISERR('[1]Дополнительная информация'!I58),"-",'[1]Дополнительная информация'!I58)</f>
        <v>13.888888888888889</v>
      </c>
      <c r="I1458" s="104" t="str">
        <f>IF(ISERR('[1]Дополнительная информация'!J58),"-",'[1]Дополнительная информация'!J58)</f>
        <v>-</v>
      </c>
      <c r="J1458" s="104" t="str">
        <f>IF(ISERR('[1]Дополнительная информация'!L58),"-",'[1]Дополнительная информация'!L58)</f>
        <v>-</v>
      </c>
      <c r="K1458" s="104" t="str">
        <f>IF(ISERR('[1]Дополнительная информация'!M58),"-",'[1]Дополнительная информация'!M58)</f>
        <v>-</v>
      </c>
      <c r="L1458" s="104" t="str">
        <f>IF(ISERR('[1]Дополнительная информация'!N58),"-",'[1]Дополнительная информация'!N58)</f>
        <v>-</v>
      </c>
      <c r="M1458" s="104" t="str">
        <f>IF(ISERR('[1]Дополнительная информация'!O58),"-",'[1]Дополнительная информация'!O58)</f>
        <v>-</v>
      </c>
    </row>
    <row r="1459" spans="1:13" s="89" customFormat="1" ht="105" hidden="1" x14ac:dyDescent="0.25">
      <c r="A1459" s="77" t="s">
        <v>2292</v>
      </c>
      <c r="B1459" s="70" t="s">
        <v>2293</v>
      </c>
      <c r="C1459" s="77"/>
      <c r="D1459" s="77"/>
      <c r="E1459" s="77"/>
      <c r="F1459" s="77"/>
      <c r="G1459" s="77"/>
      <c r="H1459" s="104"/>
      <c r="I1459" s="104"/>
      <c r="J1459" s="104"/>
      <c r="K1459" s="104"/>
      <c r="L1459" s="104"/>
      <c r="M1459" s="104"/>
    </row>
    <row r="1460" spans="1:13" s="89" customFormat="1" hidden="1" x14ac:dyDescent="0.25">
      <c r="A1460" s="80"/>
      <c r="B1460" s="80" t="s">
        <v>2294</v>
      </c>
      <c r="C1460" s="77"/>
      <c r="D1460" s="77"/>
      <c r="E1460" s="77"/>
      <c r="F1460" s="77"/>
      <c r="G1460" s="77"/>
      <c r="H1460" s="104"/>
      <c r="I1460" s="104"/>
      <c r="J1460" s="104"/>
      <c r="K1460" s="104"/>
      <c r="L1460" s="104"/>
      <c r="M1460" s="104"/>
    </row>
    <row r="1461" spans="1:13" s="89" customFormat="1" hidden="1" x14ac:dyDescent="0.25">
      <c r="A1461" s="80"/>
      <c r="B1461" s="80" t="s">
        <v>2295</v>
      </c>
      <c r="C1461" s="77"/>
      <c r="D1461" s="77"/>
      <c r="E1461" s="77"/>
      <c r="F1461" s="77"/>
      <c r="G1461" s="77"/>
      <c r="H1461" s="104"/>
      <c r="I1461" s="104"/>
      <c r="J1461" s="104"/>
      <c r="K1461" s="104"/>
      <c r="L1461" s="104"/>
      <c r="M1461" s="104"/>
    </row>
    <row r="1462" spans="1:13" s="89" customFormat="1" x14ac:dyDescent="0.25">
      <c r="A1462" s="443" t="s">
        <v>2594</v>
      </c>
      <c r="B1462" s="443"/>
      <c r="C1462" s="443"/>
      <c r="D1462" s="443"/>
      <c r="E1462" s="443"/>
      <c r="F1462" s="443"/>
      <c r="G1462" s="443"/>
      <c r="H1462" s="443"/>
      <c r="I1462" s="443"/>
      <c r="J1462" s="443"/>
      <c r="K1462" s="443"/>
      <c r="L1462" s="440"/>
      <c r="M1462" s="440"/>
    </row>
    <row r="1463" spans="1:13" s="89" customFormat="1" ht="60" x14ac:dyDescent="0.25">
      <c r="A1463" s="13" t="s">
        <v>865</v>
      </c>
      <c r="B1463" s="70" t="s">
        <v>1037</v>
      </c>
      <c r="C1463" s="13"/>
      <c r="D1463" s="109"/>
      <c r="E1463" s="109"/>
      <c r="F1463" s="109"/>
      <c r="G1463" s="109"/>
      <c r="H1463" s="109"/>
      <c r="I1463" s="109"/>
      <c r="J1463" s="109"/>
      <c r="K1463" s="109"/>
      <c r="L1463" s="109"/>
      <c r="M1463" s="109"/>
    </row>
    <row r="1464" spans="1:13" s="89" customFormat="1" x14ac:dyDescent="0.25">
      <c r="A1464" s="31"/>
      <c r="B1464" s="70" t="s">
        <v>1296</v>
      </c>
      <c r="C1464" s="13"/>
      <c r="D1464" s="104"/>
      <c r="E1464" s="104"/>
      <c r="F1464" s="104"/>
      <c r="G1464" s="104"/>
      <c r="H1464" s="104"/>
      <c r="I1464" s="104"/>
      <c r="J1464" s="104"/>
      <c r="K1464" s="104"/>
      <c r="L1464" s="104"/>
      <c r="M1464" s="104"/>
    </row>
    <row r="1465" spans="1:13" s="89" customFormat="1" x14ac:dyDescent="0.25">
      <c r="A1465" s="31"/>
      <c r="B1465" s="70" t="s">
        <v>2632</v>
      </c>
      <c r="C1465" s="13" t="s">
        <v>8</v>
      </c>
      <c r="D1465" s="104">
        <f>IF(ISERR('[1]Дополнительная информация'!E69),"-",'[1]Дополнительная информация'!E69)</f>
        <v>0.81</v>
      </c>
      <c r="E1465" s="104">
        <f>IF(ISERR('[1]Дополнительная информация'!F69),"-",'[1]Дополнительная информация'!F69)</f>
        <v>1.69</v>
      </c>
      <c r="F1465" s="104">
        <f>IF(ISERR('[1]Дополнительная информация'!G69),"-",'[1]Дополнительная информация'!G69)</f>
        <v>1.69</v>
      </c>
      <c r="G1465" s="104">
        <f>IF(ISERR('[1]Дополнительная информация'!H69),"-",'[1]Дополнительная информация'!H69)</f>
        <v>1.95</v>
      </c>
      <c r="H1465" s="104">
        <f>IF(ISERR('[1]Дополнительная информация'!I69),"-",'[1]Дополнительная информация'!I69)</f>
        <v>1.8151969981238274</v>
      </c>
      <c r="I1465" s="104">
        <f>IF(ISERR('[1]Дополнительная информация'!J69),"-",'[1]Дополнительная информация'!J69)</f>
        <v>2.0532741398446173</v>
      </c>
      <c r="J1465" s="104" t="str">
        <f>IF(ISERR('[1]Дополнительная информация'!K69),"-",'[1]Дополнительная информация'!K69)</f>
        <v>-</v>
      </c>
      <c r="K1465" s="104" t="str">
        <f>IF(ISERR('[1]Дополнительная информация'!L69),"-",'[1]Дополнительная информация'!L69)</f>
        <v>-</v>
      </c>
      <c r="L1465" s="104" t="str">
        <f>IF(ISERR('[1]Дополнительная информация'!M69),"-",'[1]Дополнительная информация'!M69)</f>
        <v>-</v>
      </c>
      <c r="M1465" s="104" t="str">
        <f>IF(ISERR('[1]Дополнительная информация'!N69),"-",'[1]Дополнительная информация'!N69)</f>
        <v>-</v>
      </c>
    </row>
    <row r="1466" spans="1:13" s="89" customFormat="1" x14ac:dyDescent="0.25">
      <c r="A1466" s="31"/>
      <c r="B1466" s="70" t="s">
        <v>2633</v>
      </c>
      <c r="C1466" s="13" t="s">
        <v>8</v>
      </c>
      <c r="D1466" s="104">
        <f>IF(ISERR('[1]Дополнительная информация'!E72),"-",'[1]Дополнительная информация'!E72)</f>
        <v>0.81</v>
      </c>
      <c r="E1466" s="104">
        <f>IF(ISERR('[1]Дополнительная информация'!F72),"-",'[1]Дополнительная информация'!F72)</f>
        <v>1.24</v>
      </c>
      <c r="F1466" s="104">
        <f>IF(ISERR('[1]Дополнительная информация'!G72),"-",'[1]Дополнительная информация'!G72)</f>
        <v>1.24</v>
      </c>
      <c r="G1466" s="104">
        <f>IF(ISERR('[1]Дополнительная информация'!H72),"-",'[1]Дополнительная информация'!H72)</f>
        <v>1.87</v>
      </c>
      <c r="H1466" s="104">
        <f>IF(ISERR('[1]Дополнительная информация'!I72),"-",'[1]Дополнительная информация'!I72)</f>
        <v>1.6651031894934336</v>
      </c>
      <c r="I1466" s="104">
        <f>IF(ISERR('[1]Дополнительная информация'!J72),"-",'[1]Дополнительная информация'!J72)</f>
        <v>2.0394006659267481</v>
      </c>
      <c r="J1466" s="104" t="str">
        <f>IF(ISERR('[1]Дополнительная информация'!K72),"-",'[1]Дополнительная информация'!K72)</f>
        <v>-</v>
      </c>
      <c r="K1466" s="104" t="str">
        <f>IF(ISERR('[1]Дополнительная информация'!L72),"-",'[1]Дополнительная информация'!L72)</f>
        <v>-</v>
      </c>
      <c r="L1466" s="104" t="str">
        <f>IF(ISERR('[1]Дополнительная информация'!M72),"-",'[1]Дополнительная информация'!M72)</f>
        <v>-</v>
      </c>
      <c r="M1466" s="104" t="str">
        <f>IF(ISERR('[1]Дополнительная информация'!N72),"-",'[1]Дополнительная информация'!N72)</f>
        <v>-</v>
      </c>
    </row>
    <row r="1467" spans="1:13" s="89" customFormat="1" x14ac:dyDescent="0.25">
      <c r="A1467" s="31"/>
      <c r="B1467" s="70" t="s">
        <v>1297</v>
      </c>
      <c r="C1467" s="13" t="s">
        <v>8</v>
      </c>
      <c r="D1467" s="104"/>
      <c r="E1467" s="104"/>
      <c r="F1467" s="104"/>
      <c r="G1467" s="104"/>
      <c r="H1467" s="104"/>
      <c r="I1467" s="104"/>
      <c r="J1467" s="104"/>
      <c r="K1467" s="104"/>
      <c r="L1467" s="104"/>
      <c r="M1467" s="104"/>
    </row>
    <row r="1468" spans="1:13" s="89" customFormat="1" x14ac:dyDescent="0.25">
      <c r="A1468" s="31"/>
      <c r="B1468" s="70" t="s">
        <v>2632</v>
      </c>
      <c r="C1468" s="13" t="s">
        <v>8</v>
      </c>
      <c r="D1468" s="104">
        <f>IF(ISERR('[1]Дополнительная информация'!E70),"-",'[1]Дополнительная информация'!E70)</f>
        <v>0</v>
      </c>
      <c r="E1468" s="104">
        <f>IF(ISERR('[1]Дополнительная информация'!F70),"-",'[1]Дополнительная информация'!F70)</f>
        <v>0</v>
      </c>
      <c r="F1468" s="104">
        <f>IF(ISERR('[1]Дополнительная информация'!G70),"-",'[1]Дополнительная информация'!G70)</f>
        <v>0</v>
      </c>
      <c r="G1468" s="104">
        <f>IF(ISERR('[1]Дополнительная информация'!H70),"-",'[1]Дополнительная информация'!H70)</f>
        <v>1.45</v>
      </c>
      <c r="H1468" s="104">
        <f>IF(ISERR('[1]Дополнительная информация'!I70),"-",'[1]Дополнительная информация'!I70)</f>
        <v>2.8833551769331587</v>
      </c>
      <c r="I1468" s="104">
        <f>IF(ISERR('[1]Дополнительная информация'!J70),"-",'[1]Дополнительная информация'!J70)</f>
        <v>3.4612490594431904</v>
      </c>
      <c r="J1468" s="104" t="str">
        <f>IF(ISERR('[1]Дополнительная информация'!K70),"-",'[1]Дополнительная информация'!K70)</f>
        <v>-</v>
      </c>
      <c r="K1468" s="104" t="str">
        <f>IF(ISERR('[1]Дополнительная информация'!L70),"-",'[1]Дополнительная информация'!L70)</f>
        <v>-</v>
      </c>
      <c r="L1468" s="104" t="str">
        <f>IF(ISERR('[1]Дополнительная информация'!M70),"-",'[1]Дополнительная информация'!M70)</f>
        <v>-</v>
      </c>
      <c r="M1468" s="104" t="str">
        <f>IF(ISERR('[1]Дополнительная информация'!N70),"-",'[1]Дополнительная информация'!N70)</f>
        <v>-</v>
      </c>
    </row>
    <row r="1469" spans="1:13" s="89" customFormat="1" x14ac:dyDescent="0.25">
      <c r="A1469" s="31"/>
      <c r="B1469" s="70" t="s">
        <v>2633</v>
      </c>
      <c r="C1469" s="13" t="s">
        <v>8</v>
      </c>
      <c r="D1469" s="104">
        <f>IF(ISERR('[1]Дополнительная информация'!E73),"-",'[1]Дополнительная информация'!E73)</f>
        <v>0</v>
      </c>
      <c r="E1469" s="104">
        <f>IF(ISERR('[1]Дополнительная информация'!F73),"-",'[1]Дополнительная информация'!F73)</f>
        <v>0</v>
      </c>
      <c r="F1469" s="104">
        <f>IF(ISERR('[1]Дополнительная информация'!G73),"-",'[1]Дополнительная информация'!G73)</f>
        <v>0</v>
      </c>
      <c r="G1469" s="104">
        <f>IF(ISERR('[1]Дополнительная информация'!H73),"-",'[1]Дополнительная информация'!H73)</f>
        <v>1.45</v>
      </c>
      <c r="H1469" s="104">
        <f>IF(ISERR('[1]Дополнительная информация'!I73),"-",'[1]Дополнительная информация'!I73)</f>
        <v>2.8833551769331587</v>
      </c>
      <c r="I1469" s="104">
        <f>IF(ISERR('[1]Дополнительная информация'!J73),"-",'[1]Дополнительная информация'!J73)</f>
        <v>3.1602708803611739</v>
      </c>
      <c r="J1469" s="104" t="str">
        <f>IF(ISERR('[1]Дополнительная информация'!K73),"-",'[1]Дополнительная информация'!K73)</f>
        <v>-</v>
      </c>
      <c r="K1469" s="104" t="str">
        <f>IF(ISERR('[1]Дополнительная информация'!L73),"-",'[1]Дополнительная информация'!L73)</f>
        <v>-</v>
      </c>
      <c r="L1469" s="104" t="str">
        <f>IF(ISERR('[1]Дополнительная информация'!M73),"-",'[1]Дополнительная информация'!M73)</f>
        <v>-</v>
      </c>
      <c r="M1469" s="104" t="str">
        <f>IF(ISERR('[1]Дополнительная информация'!N73),"-",'[1]Дополнительная информация'!N73)</f>
        <v>-</v>
      </c>
    </row>
    <row r="1470" spans="1:13" s="89" customFormat="1" ht="60" hidden="1" x14ac:dyDescent="0.25">
      <c r="A1470" s="13" t="s">
        <v>886</v>
      </c>
      <c r="B1470" s="70" t="s">
        <v>1038</v>
      </c>
      <c r="C1470" s="13"/>
      <c r="D1470" s="109"/>
      <c r="E1470" s="109"/>
      <c r="F1470" s="109"/>
      <c r="G1470" s="109"/>
      <c r="H1470" s="109"/>
      <c r="I1470" s="109"/>
      <c r="J1470" s="109"/>
      <c r="K1470" s="109"/>
      <c r="L1470" s="109"/>
      <c r="M1470" s="109"/>
    </row>
    <row r="1471" spans="1:13" s="89" customFormat="1" hidden="1" x14ac:dyDescent="0.25">
      <c r="A1471" s="31"/>
      <c r="B1471" s="70" t="s">
        <v>1347</v>
      </c>
      <c r="C1471" s="13"/>
      <c r="D1471" s="109"/>
      <c r="E1471" s="109"/>
      <c r="F1471" s="109"/>
      <c r="G1471" s="109"/>
      <c r="H1471" s="109"/>
      <c r="I1471" s="109"/>
      <c r="J1471" s="109"/>
      <c r="K1471" s="109"/>
      <c r="L1471" s="109"/>
      <c r="M1471" s="109"/>
    </row>
    <row r="1472" spans="1:13" s="89" customFormat="1" hidden="1" x14ac:dyDescent="0.25">
      <c r="A1472" s="31"/>
      <c r="B1472" s="70" t="s">
        <v>1301</v>
      </c>
      <c r="C1472" s="13" t="s">
        <v>8</v>
      </c>
      <c r="D1472" s="104">
        <f>IF(ISERR('[1]Дополнительная информация'!E85),"-",'[1]Дополнительная информация'!E85)</f>
        <v>1.47</v>
      </c>
      <c r="E1472" s="104">
        <f>IF(ISERR('[1]Дополнительная информация'!F85),"-",'[1]Дополнительная информация'!F85)</f>
        <v>1.34</v>
      </c>
      <c r="F1472" s="104">
        <f>IF(ISERR('[1]Дополнительная информация'!G85),"-",'[1]Дополнительная информация'!G85)</f>
        <v>1.41</v>
      </c>
      <c r="G1472" s="104">
        <f>IF(ISERR('[1]Дополнительная информация'!H85),"-",'[1]Дополнительная информация'!H85)</f>
        <v>1.34</v>
      </c>
      <c r="H1472" s="104">
        <f>IF(ISERR('[1]Дополнительная информация'!I85),"-",'[1]Дополнительная информация'!I85)</f>
        <v>1.1649534997552617</v>
      </c>
      <c r="I1472" s="104">
        <f>IF(ISERR('[1]Дополнительная информация'!J85),"-",'[1]Дополнительная информация'!J85)</f>
        <v>0</v>
      </c>
      <c r="J1472" s="104" t="str">
        <f>IF(ISERR('[1]Дополнительная информация'!L85),"-",'[1]Дополнительная информация'!L85)</f>
        <v>-</v>
      </c>
      <c r="K1472" s="104" t="str">
        <f>IF(ISERR('[1]Дополнительная информация'!M85),"-",'[1]Дополнительная информация'!M85)</f>
        <v>-</v>
      </c>
      <c r="L1472" s="104" t="str">
        <f>IF(ISERR('[1]Дополнительная информация'!N85),"-",'[1]Дополнительная информация'!N85)</f>
        <v>-</v>
      </c>
      <c r="M1472" s="104" t="str">
        <f>IF(ISERR('[1]Дополнительная информация'!O85),"-",'[1]Дополнительная информация'!O85)</f>
        <v>-</v>
      </c>
    </row>
    <row r="1473" spans="1:13" s="89" customFormat="1" hidden="1" x14ac:dyDescent="0.25">
      <c r="A1473" s="31"/>
      <c r="B1473" s="70" t="s">
        <v>1302</v>
      </c>
      <c r="C1473" s="13" t="s">
        <v>8</v>
      </c>
      <c r="D1473" s="104">
        <f>IF(ISERR('[1]Дополнительная информация'!E86),"-",'[1]Дополнительная информация'!E86)</f>
        <v>6.84</v>
      </c>
      <c r="E1473" s="104">
        <f>IF(ISERR('[1]Дополнительная информация'!F86),"-",'[1]Дополнительная информация'!F86)</f>
        <v>1.84</v>
      </c>
      <c r="F1473" s="104">
        <f>IF(ISERR('[1]Дополнительная информация'!G86),"-",'[1]Дополнительная информация'!G86)</f>
        <v>1.94</v>
      </c>
      <c r="G1473" s="104">
        <f>IF(ISERR('[1]Дополнительная информация'!H86),"-",'[1]Дополнительная информация'!H86)</f>
        <v>1.5</v>
      </c>
      <c r="H1473" s="104">
        <f>IF(ISERR('[1]Дополнительная информация'!I86),"-",'[1]Дополнительная информация'!I86)</f>
        <v>1.214574898785425</v>
      </c>
      <c r="I1473" s="104" t="str">
        <f>IF(ISERR('[1]Дополнительная информация'!J86),"-",'[1]Дополнительная информация'!J86)</f>
        <v>-</v>
      </c>
      <c r="J1473" s="104" t="str">
        <f>IF(ISERR('[1]Дополнительная информация'!L86),"-",'[1]Дополнительная информация'!L86)</f>
        <v>-</v>
      </c>
      <c r="K1473" s="104" t="str">
        <f>IF(ISERR('[1]Дополнительная информация'!M86),"-",'[1]Дополнительная информация'!M86)</f>
        <v>-</v>
      </c>
      <c r="L1473" s="104" t="str">
        <f>IF(ISERR('[1]Дополнительная информация'!N86),"-",'[1]Дополнительная информация'!N86)</f>
        <v>-</v>
      </c>
      <c r="M1473" s="104" t="str">
        <f>IF(ISERR('[1]Дополнительная информация'!O86),"-",'[1]Дополнительная информация'!O86)</f>
        <v>-</v>
      </c>
    </row>
    <row r="1474" spans="1:13" s="89" customFormat="1" hidden="1" x14ac:dyDescent="0.25">
      <c r="A1474" s="31"/>
      <c r="B1474" s="70" t="s">
        <v>1348</v>
      </c>
      <c r="C1474" s="13"/>
      <c r="D1474" s="109"/>
      <c r="E1474" s="109"/>
      <c r="F1474" s="109"/>
      <c r="G1474" s="109"/>
      <c r="H1474" s="109"/>
      <c r="I1474" s="109"/>
      <c r="J1474" s="109"/>
      <c r="K1474" s="109"/>
      <c r="L1474" s="109"/>
      <c r="M1474" s="109"/>
    </row>
    <row r="1475" spans="1:13" s="89" customFormat="1" hidden="1" x14ac:dyDescent="0.25">
      <c r="A1475" s="31"/>
      <c r="B1475" s="70" t="s">
        <v>1301</v>
      </c>
      <c r="C1475" s="13" t="s">
        <v>8</v>
      </c>
      <c r="D1475" s="104">
        <f>IF(ISERR('[1]Дополнительная информация'!E88),"-",'[1]Дополнительная информация'!E88)</f>
        <v>1.47</v>
      </c>
      <c r="E1475" s="104">
        <f>IF(ISERR('[1]Дополнительная информация'!F88),"-",'[1]Дополнительная информация'!F88)</f>
        <v>1.34</v>
      </c>
      <c r="F1475" s="104">
        <f>IF(ISERR('[1]Дополнительная информация'!G88),"-",'[1]Дополнительная информация'!G88)</f>
        <v>1.41</v>
      </c>
      <c r="G1475" s="104">
        <f>IF(ISERR('[1]Дополнительная информация'!H88),"-",'[1]Дополнительная информация'!H88)</f>
        <v>1.28</v>
      </c>
      <c r="H1475" s="104">
        <f>IF(ISERR('[1]Дополнительная информация'!I88),"-",'[1]Дополнительная информация'!I88)</f>
        <v>1.8502202643171806</v>
      </c>
      <c r="I1475" s="104">
        <f>IF(ISERR('[1]Дополнительная информация'!J88),"-",'[1]Дополнительная информация'!J88)</f>
        <v>0</v>
      </c>
      <c r="J1475" s="104" t="str">
        <f>IF(ISERR('[1]Дополнительная информация'!L88),"-",'[1]Дополнительная информация'!L88)</f>
        <v>-</v>
      </c>
      <c r="K1475" s="104" t="str">
        <f>IF(ISERR('[1]Дополнительная информация'!M88),"-",'[1]Дополнительная информация'!M88)</f>
        <v>-</v>
      </c>
      <c r="L1475" s="104" t="str">
        <f>IF(ISERR('[1]Дополнительная информация'!N88),"-",'[1]Дополнительная информация'!N88)</f>
        <v>-</v>
      </c>
      <c r="M1475" s="104" t="str">
        <f>IF(ISERR('[1]Дополнительная информация'!O88),"-",'[1]Дополнительная информация'!O88)</f>
        <v>-</v>
      </c>
    </row>
    <row r="1476" spans="1:13" s="89" customFormat="1" hidden="1" x14ac:dyDescent="0.25">
      <c r="A1476" s="31"/>
      <c r="B1476" s="70" t="s">
        <v>1302</v>
      </c>
      <c r="C1476" s="13" t="s">
        <v>8</v>
      </c>
      <c r="D1476" s="104">
        <f>IF(ISERR('[1]Дополнительная информация'!E89),"-",'[1]Дополнительная информация'!E89)</f>
        <v>0.78</v>
      </c>
      <c r="E1476" s="104">
        <f>IF(ISERR('[1]Дополнительная информация'!F89),"-",'[1]Дополнительная информация'!F89)</f>
        <v>1.57</v>
      </c>
      <c r="F1476" s="104">
        <f>IF(ISERR('[1]Дополнительная информация'!G89),"-",'[1]Дополнительная информация'!G89)</f>
        <v>1.83</v>
      </c>
      <c r="G1476" s="104">
        <f>IF(ISERR('[1]Дополнительная информация'!H89),"-",'[1]Дополнительная информация'!H89)</f>
        <v>1.1200000000000001</v>
      </c>
      <c r="H1476" s="104">
        <f>IF(ISERR('[1]Дополнительная информация'!I89),"-",'[1]Дополнительная информация'!I89)</f>
        <v>1.8218623481781375</v>
      </c>
      <c r="I1476" s="104" t="str">
        <f>IF(ISERR('[1]Дополнительная информация'!J89),"-",'[1]Дополнительная информация'!J89)</f>
        <v>-</v>
      </c>
      <c r="J1476" s="104" t="str">
        <f>IF(ISERR('[1]Дополнительная информация'!L89),"-",'[1]Дополнительная информация'!L89)</f>
        <v>-</v>
      </c>
      <c r="K1476" s="104" t="str">
        <f>IF(ISERR('[1]Дополнительная информация'!M89),"-",'[1]Дополнительная информация'!M89)</f>
        <v>-</v>
      </c>
      <c r="L1476" s="104" t="str">
        <f>IF(ISERR('[1]Дополнительная информация'!N89),"-",'[1]Дополнительная информация'!N89)</f>
        <v>-</v>
      </c>
      <c r="M1476" s="104" t="str">
        <f>IF(ISERR('[1]Дополнительная информация'!O89),"-",'[1]Дополнительная информация'!O89)</f>
        <v>-</v>
      </c>
    </row>
    <row r="1477" spans="1:13" s="89" customFormat="1" ht="30" x14ac:dyDescent="0.25">
      <c r="A1477" s="13" t="s">
        <v>886</v>
      </c>
      <c r="B1477" s="70" t="s">
        <v>2790</v>
      </c>
      <c r="C1477" s="13" t="s">
        <v>8</v>
      </c>
      <c r="D1477" s="104"/>
      <c r="E1477" s="104"/>
      <c r="F1477" s="104"/>
      <c r="G1477" s="104"/>
      <c r="H1477" s="104"/>
      <c r="I1477" s="104"/>
      <c r="J1477" s="104"/>
      <c r="K1477" s="104"/>
      <c r="L1477" s="104"/>
      <c r="M1477" s="104"/>
    </row>
    <row r="1478" spans="1:13" s="89" customFormat="1" hidden="1" x14ac:dyDescent="0.25">
      <c r="A1478" s="443" t="s">
        <v>1043</v>
      </c>
      <c r="B1478" s="443"/>
      <c r="C1478" s="443"/>
      <c r="D1478" s="443"/>
      <c r="E1478" s="443"/>
      <c r="F1478" s="443"/>
      <c r="G1478" s="443"/>
      <c r="H1478" s="443"/>
      <c r="I1478" s="443"/>
    </row>
    <row r="1479" spans="1:13" s="89" customFormat="1" hidden="1" x14ac:dyDescent="0.25">
      <c r="A1479" s="99" t="s">
        <v>1071</v>
      </c>
      <c r="B1479" s="100" t="s">
        <v>1072</v>
      </c>
      <c r="C1479" s="87"/>
      <c r="D1479" s="109"/>
      <c r="E1479" s="109"/>
      <c r="F1479" s="109"/>
      <c r="G1479" s="109"/>
      <c r="H1479" s="109"/>
      <c r="I1479" s="109"/>
      <c r="J1479" s="109"/>
      <c r="K1479" s="109"/>
      <c r="L1479" s="109"/>
      <c r="M1479" s="109"/>
    </row>
    <row r="1480" spans="1:13" s="89" customFormat="1" ht="30" hidden="1" x14ac:dyDescent="0.25">
      <c r="A1480" s="124" t="s">
        <v>1044</v>
      </c>
      <c r="B1480" s="70" t="s">
        <v>1357</v>
      </c>
      <c r="C1480" s="13" t="s">
        <v>8</v>
      </c>
      <c r="D1480" s="109"/>
      <c r="E1480" s="109"/>
      <c r="F1480" s="109"/>
      <c r="G1480" s="109"/>
      <c r="H1480" s="109"/>
      <c r="I1480" s="109"/>
      <c r="J1480" s="109"/>
      <c r="K1480" s="109"/>
      <c r="L1480" s="109"/>
      <c r="M1480" s="109"/>
    </row>
    <row r="1481" spans="1:13" s="89" customFormat="1" ht="30" hidden="1" x14ac:dyDescent="0.25">
      <c r="A1481" s="13" t="s">
        <v>1055</v>
      </c>
      <c r="B1481" s="70" t="s">
        <v>1358</v>
      </c>
      <c r="C1481" s="13" t="s">
        <v>8</v>
      </c>
      <c r="D1481" s="109"/>
      <c r="E1481" s="109"/>
      <c r="F1481" s="109"/>
      <c r="G1481" s="109"/>
      <c r="H1481" s="109"/>
      <c r="I1481" s="109"/>
      <c r="J1481" s="109"/>
      <c r="K1481" s="109"/>
      <c r="L1481" s="109"/>
      <c r="M1481" s="109"/>
    </row>
    <row r="1482" spans="1:13" s="89" customFormat="1" ht="30" hidden="1" x14ac:dyDescent="0.25">
      <c r="A1482" s="99" t="s">
        <v>1073</v>
      </c>
      <c r="B1482" s="100" t="s">
        <v>1057</v>
      </c>
      <c r="C1482" s="87"/>
      <c r="D1482" s="109"/>
      <c r="E1482" s="109"/>
      <c r="F1482" s="109"/>
      <c r="G1482" s="109"/>
      <c r="H1482" s="109"/>
      <c r="I1482" s="109"/>
      <c r="J1482" s="109"/>
      <c r="K1482" s="109"/>
      <c r="L1482" s="109"/>
      <c r="M1482" s="109"/>
    </row>
    <row r="1483" spans="1:13" s="89" customFormat="1" ht="90" hidden="1" x14ac:dyDescent="0.25">
      <c r="A1483" s="13" t="s">
        <v>1068</v>
      </c>
      <c r="B1483" s="70" t="s">
        <v>1407</v>
      </c>
      <c r="C1483" s="13"/>
      <c r="D1483" s="109"/>
      <c r="E1483" s="109"/>
      <c r="F1483" s="109"/>
      <c r="G1483" s="109"/>
      <c r="H1483" s="109"/>
      <c r="I1483" s="109"/>
      <c r="J1483" s="109"/>
      <c r="K1483" s="109"/>
      <c r="L1483" s="109"/>
      <c r="M1483" s="109"/>
    </row>
    <row r="1484" spans="1:13" s="89" customFormat="1" hidden="1" x14ac:dyDescent="0.25">
      <c r="A1484" s="13"/>
      <c r="B1484" s="17" t="s">
        <v>1359</v>
      </c>
      <c r="C1484" s="13" t="s">
        <v>8</v>
      </c>
      <c r="D1484" s="109"/>
      <c r="E1484" s="109"/>
      <c r="F1484" s="109"/>
      <c r="G1484" s="109"/>
      <c r="H1484" s="109"/>
      <c r="I1484" s="109"/>
      <c r="J1484" s="109"/>
      <c r="K1484" s="109"/>
      <c r="L1484" s="109"/>
      <c r="M1484" s="109"/>
    </row>
    <row r="1485" spans="1:13" s="89" customFormat="1" hidden="1" x14ac:dyDescent="0.25">
      <c r="A1485" s="13"/>
      <c r="B1485" s="17" t="s">
        <v>1062</v>
      </c>
      <c r="C1485" s="13"/>
      <c r="D1485" s="109"/>
      <c r="E1485" s="109"/>
      <c r="F1485" s="109"/>
      <c r="G1485" s="109"/>
      <c r="H1485" s="109"/>
      <c r="I1485" s="109"/>
      <c r="J1485" s="109"/>
      <c r="K1485" s="109"/>
      <c r="L1485" s="109"/>
      <c r="M1485" s="109"/>
    </row>
    <row r="1486" spans="1:13" s="89" customFormat="1" hidden="1" x14ac:dyDescent="0.25">
      <c r="A1486" s="13"/>
      <c r="B1486" s="21" t="s">
        <v>2222</v>
      </c>
      <c r="C1486" s="13" t="s">
        <v>8</v>
      </c>
      <c r="D1486" s="109"/>
      <c r="E1486" s="109"/>
      <c r="F1486" s="109"/>
      <c r="G1486" s="109"/>
      <c r="H1486" s="109"/>
      <c r="I1486" s="109"/>
      <c r="J1486" s="109"/>
      <c r="K1486" s="109"/>
      <c r="L1486" s="109"/>
      <c r="M1486" s="109"/>
    </row>
    <row r="1487" spans="1:13" s="89" customFormat="1" hidden="1" x14ac:dyDescent="0.25">
      <c r="A1487" s="13"/>
      <c r="B1487" s="21" t="s">
        <v>2223</v>
      </c>
      <c r="C1487" s="13" t="s">
        <v>8</v>
      </c>
      <c r="D1487" s="109"/>
      <c r="E1487" s="109"/>
      <c r="F1487" s="109"/>
      <c r="G1487" s="109"/>
      <c r="H1487" s="109"/>
      <c r="I1487" s="109"/>
      <c r="J1487" s="109"/>
      <c r="K1487" s="109"/>
      <c r="L1487" s="109"/>
      <c r="M1487" s="109"/>
    </row>
    <row r="1488" spans="1:13" s="89" customFormat="1" hidden="1" x14ac:dyDescent="0.25">
      <c r="A1488" s="13"/>
      <c r="B1488" s="21" t="s">
        <v>2224</v>
      </c>
      <c r="C1488" s="13" t="s">
        <v>8</v>
      </c>
      <c r="D1488" s="109"/>
      <c r="E1488" s="109"/>
      <c r="F1488" s="109"/>
      <c r="G1488" s="109"/>
      <c r="H1488" s="109"/>
      <c r="I1488" s="109"/>
      <c r="J1488" s="109"/>
      <c r="K1488" s="109"/>
      <c r="L1488" s="109"/>
      <c r="M1488" s="109"/>
    </row>
    <row r="1489" spans="1:13" s="89" customFormat="1" hidden="1" x14ac:dyDescent="0.25">
      <c r="A1489" s="13"/>
      <c r="B1489" s="21" t="s">
        <v>2225</v>
      </c>
      <c r="C1489" s="13" t="s">
        <v>8</v>
      </c>
      <c r="D1489" s="109"/>
      <c r="E1489" s="109"/>
      <c r="F1489" s="109"/>
      <c r="G1489" s="109"/>
      <c r="H1489" s="109"/>
      <c r="I1489" s="109"/>
      <c r="J1489" s="109"/>
      <c r="K1489" s="109"/>
      <c r="L1489" s="109"/>
      <c r="M1489" s="109"/>
    </row>
    <row r="1490" spans="1:13" s="89" customFormat="1" hidden="1" x14ac:dyDescent="0.25">
      <c r="A1490" s="13"/>
      <c r="B1490" s="17" t="s">
        <v>1065</v>
      </c>
      <c r="C1490" s="13"/>
      <c r="D1490" s="109"/>
      <c r="E1490" s="109"/>
      <c r="F1490" s="109"/>
      <c r="G1490" s="109"/>
      <c r="H1490" s="109"/>
      <c r="I1490" s="109"/>
      <c r="J1490" s="109"/>
      <c r="K1490" s="109"/>
      <c r="L1490" s="109"/>
      <c r="M1490" s="109"/>
    </row>
    <row r="1491" spans="1:13" s="89" customFormat="1" hidden="1" x14ac:dyDescent="0.25">
      <c r="A1491" s="13"/>
      <c r="B1491" s="21" t="s">
        <v>2226</v>
      </c>
      <c r="C1491" s="13" t="s">
        <v>8</v>
      </c>
      <c r="D1491" s="109"/>
      <c r="E1491" s="109"/>
      <c r="F1491" s="109"/>
      <c r="G1491" s="109"/>
      <c r="H1491" s="109"/>
      <c r="I1491" s="109"/>
      <c r="J1491" s="109"/>
      <c r="K1491" s="109"/>
      <c r="L1491" s="109"/>
      <c r="M1491" s="109"/>
    </row>
    <row r="1492" spans="1:13" s="89" customFormat="1" hidden="1" x14ac:dyDescent="0.25">
      <c r="A1492" s="13"/>
      <c r="B1492" s="21" t="s">
        <v>2227</v>
      </c>
      <c r="C1492" s="13" t="s">
        <v>8</v>
      </c>
      <c r="D1492" s="109"/>
      <c r="E1492" s="109"/>
      <c r="F1492" s="109"/>
      <c r="G1492" s="109"/>
      <c r="H1492" s="109"/>
      <c r="I1492" s="109"/>
      <c r="J1492" s="109"/>
      <c r="K1492" s="109"/>
      <c r="L1492" s="109"/>
      <c r="M1492" s="109"/>
    </row>
    <row r="1493" spans="1:13" s="89" customFormat="1" hidden="1" x14ac:dyDescent="0.25">
      <c r="A1493" s="13"/>
      <c r="B1493" s="21" t="s">
        <v>2228</v>
      </c>
      <c r="C1493" s="13" t="s">
        <v>8</v>
      </c>
      <c r="D1493" s="109"/>
      <c r="E1493" s="109"/>
      <c r="F1493" s="109"/>
      <c r="G1493" s="109"/>
      <c r="H1493" s="109"/>
      <c r="I1493" s="109"/>
      <c r="J1493" s="109"/>
      <c r="K1493" s="109"/>
      <c r="L1493" s="109"/>
      <c r="M1493" s="109"/>
    </row>
    <row r="1494" spans="1:13" s="89" customFormat="1" ht="30" hidden="1" x14ac:dyDescent="0.25">
      <c r="A1494" s="99" t="s">
        <v>1074</v>
      </c>
      <c r="B1494" s="100" t="s">
        <v>1075</v>
      </c>
      <c r="C1494" s="87"/>
      <c r="D1494" s="109"/>
      <c r="E1494" s="109"/>
      <c r="F1494" s="109"/>
      <c r="G1494" s="109"/>
      <c r="H1494" s="109"/>
      <c r="I1494" s="109"/>
      <c r="J1494" s="109"/>
      <c r="K1494" s="109"/>
      <c r="L1494" s="109"/>
      <c r="M1494" s="109"/>
    </row>
    <row r="1495" spans="1:13" s="89" customFormat="1" ht="45" hidden="1" x14ac:dyDescent="0.25">
      <c r="A1495" s="124" t="s">
        <v>1069</v>
      </c>
      <c r="B1495" s="70" t="s">
        <v>2130</v>
      </c>
      <c r="C1495" s="124"/>
      <c r="D1495" s="124" t="s">
        <v>8</v>
      </c>
      <c r="E1495" s="189"/>
      <c r="F1495" s="189"/>
      <c r="G1495" s="189"/>
      <c r="H1495" s="104"/>
      <c r="I1495" s="104"/>
      <c r="J1495" s="104"/>
      <c r="K1495" s="104"/>
      <c r="L1495" s="104"/>
      <c r="M1495" s="104"/>
    </row>
    <row r="1496" spans="1:13" s="89" customFormat="1" ht="45" hidden="1" x14ac:dyDescent="0.25">
      <c r="A1496" s="124"/>
      <c r="B1496" s="70" t="s">
        <v>2119</v>
      </c>
      <c r="C1496" s="124"/>
      <c r="D1496" s="124" t="s">
        <v>8</v>
      </c>
      <c r="E1496" s="183"/>
      <c r="F1496" s="183"/>
      <c r="G1496" s="183"/>
      <c r="H1496" s="104">
        <f>IF(ISERR('[1]Дополнительная информация'!I137),"-",'[1]Дополнительная информация'!I137)</f>
        <v>100</v>
      </c>
      <c r="I1496" s="104" t="str">
        <f>IF(ISERR('[1]Дополнительная информация'!J137),"-",'[1]Дополнительная информация'!J137)</f>
        <v>-</v>
      </c>
      <c r="J1496" s="104">
        <f>IF(ISERR('[1]Дополнительная информация'!L137),"-",'[1]Дополнительная информация'!L137)</f>
        <v>0</v>
      </c>
      <c r="K1496" s="104" t="str">
        <f>IF(ISERR('[1]Дополнительная информация'!M137),"-",'[1]Дополнительная информация'!M137)</f>
        <v>-</v>
      </c>
      <c r="L1496" s="104" t="str">
        <f>IF(ISERR('[1]Дополнительная информация'!N137),"-",'[1]Дополнительная информация'!N137)</f>
        <v>-</v>
      </c>
      <c r="M1496" s="104" t="str">
        <f>IF(ISERR('[1]Дополнительная информация'!O137),"-",'[1]Дополнительная информация'!O137)</f>
        <v>-</v>
      </c>
    </row>
    <row r="1497" spans="1:13" s="89" customFormat="1" ht="45" hidden="1" x14ac:dyDescent="0.25">
      <c r="A1497" s="124"/>
      <c r="B1497" s="70" t="s">
        <v>2120</v>
      </c>
      <c r="C1497" s="124"/>
      <c r="D1497" s="124" t="s">
        <v>8</v>
      </c>
      <c r="E1497" s="183"/>
      <c r="F1497" s="183"/>
      <c r="G1497" s="183"/>
      <c r="H1497" s="104">
        <f>IF(ISERR('[1]Дополнительная информация'!I138),"-",'[1]Дополнительная информация'!I138)</f>
        <v>100</v>
      </c>
      <c r="I1497" s="104" t="str">
        <f>IF(ISERR('[1]Дополнительная информация'!J138),"-",'[1]Дополнительная информация'!J138)</f>
        <v>-</v>
      </c>
      <c r="J1497" s="104">
        <f>IF(ISERR('[1]Дополнительная информация'!L138),"-",'[1]Дополнительная информация'!L138)</f>
        <v>0</v>
      </c>
      <c r="K1497" s="104" t="str">
        <f>IF(ISERR('[1]Дополнительная информация'!M138),"-",'[1]Дополнительная информация'!M138)</f>
        <v>-</v>
      </c>
      <c r="L1497" s="104" t="str">
        <f>IF(ISERR('[1]Дополнительная информация'!N138),"-",'[1]Дополнительная информация'!N138)</f>
        <v>-</v>
      </c>
      <c r="M1497" s="104" t="str">
        <f>IF(ISERR('[1]Дополнительная информация'!O138),"-",'[1]Дополнительная информация'!O138)</f>
        <v>-</v>
      </c>
    </row>
    <row r="1498" spans="1:13" s="89" customFormat="1" ht="30" hidden="1" x14ac:dyDescent="0.25">
      <c r="A1498" s="124"/>
      <c r="B1498" s="70" t="s">
        <v>2131</v>
      </c>
      <c r="C1498" s="190"/>
      <c r="D1498" s="124" t="s">
        <v>8</v>
      </c>
      <c r="E1498" s="191"/>
      <c r="F1498" s="191"/>
      <c r="G1498" s="191"/>
      <c r="H1498" s="104">
        <f>IF(ISERR('[1]Дополнительная информация'!I139),"-",'[1]Дополнительная информация'!I139)</f>
        <v>58.333333333333336</v>
      </c>
      <c r="I1498" s="104" t="str">
        <f>IF(ISERR('[1]Дополнительная информация'!J139),"-",'[1]Дополнительная информация'!J139)</f>
        <v>-</v>
      </c>
      <c r="J1498" s="104" t="str">
        <f>IF(ISERR('[1]Дополнительная информация'!L139),"-",'[1]Дополнительная информация'!L139)</f>
        <v>-</v>
      </c>
      <c r="K1498" s="104" t="str">
        <f>IF(ISERR('[1]Дополнительная информация'!M139),"-",'[1]Дополнительная информация'!M139)</f>
        <v>-</v>
      </c>
      <c r="L1498" s="104" t="str">
        <f>IF(ISERR('[1]Дополнительная информация'!N139),"-",'[1]Дополнительная информация'!N139)</f>
        <v>-</v>
      </c>
      <c r="M1498" s="104" t="str">
        <f>IF(ISERR('[1]Дополнительная информация'!O139),"-",'[1]Дополнительная информация'!O139)</f>
        <v>-</v>
      </c>
    </row>
    <row r="1499" spans="1:13" s="89" customFormat="1" hidden="1" x14ac:dyDescent="0.25">
      <c r="A1499" s="124"/>
      <c r="B1499" s="70" t="s">
        <v>2121</v>
      </c>
      <c r="C1499" s="190"/>
      <c r="D1499" s="124" t="s">
        <v>8</v>
      </c>
      <c r="E1499" s="191"/>
      <c r="F1499" s="191"/>
      <c r="G1499" s="191"/>
      <c r="H1499" s="104">
        <f>IF(ISERR('[1]Дополнительная информация'!I140),"-",'[1]Дополнительная информация'!I140)</f>
        <v>100</v>
      </c>
      <c r="I1499" s="104" t="str">
        <f>IF(ISERR('[1]Дополнительная информация'!J140),"-",'[1]Дополнительная информация'!J140)</f>
        <v>-</v>
      </c>
      <c r="J1499" s="104">
        <f>IF(ISERR('[1]Дополнительная информация'!L140),"-",'[1]Дополнительная информация'!L140)</f>
        <v>0</v>
      </c>
      <c r="K1499" s="104" t="str">
        <f>IF(ISERR('[1]Дополнительная информация'!M140),"-",'[1]Дополнительная информация'!M140)</f>
        <v>-</v>
      </c>
      <c r="L1499" s="104" t="str">
        <f>IF(ISERR('[1]Дополнительная информация'!N140),"-",'[1]Дополнительная информация'!N140)</f>
        <v>-</v>
      </c>
      <c r="M1499" s="104" t="str">
        <f>IF(ISERR('[1]Дополнительная информация'!O140),"-",'[1]Дополнительная информация'!O140)</f>
        <v>-</v>
      </c>
    </row>
    <row r="1500" spans="1:13" s="89" customFormat="1" ht="30" hidden="1" x14ac:dyDescent="0.25">
      <c r="A1500" s="124"/>
      <c r="B1500" s="70" t="s">
        <v>2122</v>
      </c>
      <c r="C1500" s="190"/>
      <c r="D1500" s="124" t="s">
        <v>8</v>
      </c>
      <c r="E1500" s="191"/>
      <c r="F1500" s="191"/>
      <c r="G1500" s="191"/>
      <c r="H1500" s="104">
        <f>IF(ISERR('[1]Дополнительная информация'!I141),"-",'[1]Дополнительная информация'!I141)</f>
        <v>29.787234042553191</v>
      </c>
      <c r="I1500" s="104" t="str">
        <f>IF(ISERR('[1]Дополнительная информация'!J141),"-",'[1]Дополнительная информация'!J141)</f>
        <v>-</v>
      </c>
      <c r="J1500" s="104">
        <f>IF(ISERR('[1]Дополнительная информация'!L141),"-",'[1]Дополнительная информация'!L141)</f>
        <v>0</v>
      </c>
      <c r="K1500" s="104" t="str">
        <f>IF(ISERR('[1]Дополнительная информация'!M141),"-",'[1]Дополнительная информация'!M141)</f>
        <v>-</v>
      </c>
      <c r="L1500" s="104" t="str">
        <f>IF(ISERR('[1]Дополнительная информация'!N141),"-",'[1]Дополнительная информация'!N141)</f>
        <v>-</v>
      </c>
      <c r="M1500" s="104" t="str">
        <f>IF(ISERR('[1]Дополнительная информация'!O141),"-",'[1]Дополнительная информация'!O141)</f>
        <v>-</v>
      </c>
    </row>
    <row r="1501" spans="1:13" s="89" customFormat="1" hidden="1" x14ac:dyDescent="0.25">
      <c r="A1501" s="99" t="s">
        <v>1076</v>
      </c>
      <c r="B1501" s="100" t="s">
        <v>1077</v>
      </c>
      <c r="C1501" s="87"/>
      <c r="D1501" s="109"/>
      <c r="E1501" s="109"/>
      <c r="F1501" s="109"/>
      <c r="G1501" s="109"/>
      <c r="H1501" s="109"/>
      <c r="I1501" s="109"/>
      <c r="J1501" s="109"/>
      <c r="K1501" s="109"/>
      <c r="L1501" s="109"/>
      <c r="M1501" s="109"/>
    </row>
    <row r="1502" spans="1:13" s="89" customFormat="1" ht="30" hidden="1" x14ac:dyDescent="0.25">
      <c r="A1502" s="124" t="s">
        <v>1070</v>
      </c>
      <c r="B1502" s="70" t="s">
        <v>2129</v>
      </c>
      <c r="C1502" s="77" t="s">
        <v>8</v>
      </c>
      <c r="D1502" s="62"/>
      <c r="E1502" s="180"/>
      <c r="F1502" s="180"/>
      <c r="G1502" s="180"/>
      <c r="H1502" s="180"/>
      <c r="I1502" s="180"/>
      <c r="J1502" s="180"/>
      <c r="K1502" s="180"/>
      <c r="L1502" s="180"/>
      <c r="M1502" s="180"/>
    </row>
    <row r="1503" spans="1:13" s="89" customFormat="1" hidden="1" x14ac:dyDescent="0.25">
      <c r="A1503" s="124"/>
      <c r="B1503" s="70" t="s">
        <v>2213</v>
      </c>
      <c r="C1503" s="77" t="s">
        <v>8</v>
      </c>
      <c r="D1503" s="62"/>
      <c r="E1503" s="180"/>
      <c r="F1503" s="180"/>
      <c r="G1503" s="180"/>
      <c r="H1503" s="104">
        <f>IF(ISERR('[1]Дополнительная информация'!I156),"-",'[1]Дополнительная информация'!I156)</f>
        <v>100</v>
      </c>
      <c r="I1503" s="104" t="str">
        <f>IF(ISERR('[1]Дополнительная информация'!J156),"-",'[1]Дополнительная информация'!J156)</f>
        <v>-</v>
      </c>
      <c r="J1503" s="104">
        <f>IF(ISERR('[1]Дополнительная информация'!L156),"-",'[1]Дополнительная информация'!L156)</f>
        <v>0</v>
      </c>
      <c r="K1503" s="104" t="str">
        <f>IF(ISERR('[1]Дополнительная информация'!M156),"-",'[1]Дополнительная информация'!M156)</f>
        <v>-</v>
      </c>
      <c r="L1503" s="104" t="str">
        <f>IF(ISERR('[1]Дополнительная информация'!N156),"-",'[1]Дополнительная информация'!N156)</f>
        <v>-</v>
      </c>
      <c r="M1503" s="104" t="str">
        <f>IF(ISERR('[1]Дополнительная информация'!O156),"-",'[1]Дополнительная информация'!O156)</f>
        <v>-</v>
      </c>
    </row>
    <row r="1504" spans="1:13" s="89" customFormat="1" ht="45" hidden="1" x14ac:dyDescent="0.25">
      <c r="A1504" s="124"/>
      <c r="B1504" s="70" t="s">
        <v>2119</v>
      </c>
      <c r="C1504" s="77" t="s">
        <v>8</v>
      </c>
      <c r="D1504" s="62"/>
      <c r="E1504" s="180"/>
      <c r="F1504" s="180"/>
      <c r="G1504" s="180"/>
      <c r="H1504" s="104">
        <f>IF(ISERR('[1]Дополнительная информация'!I157),"-",'[1]Дополнительная информация'!I157)</f>
        <v>100</v>
      </c>
      <c r="I1504" s="104" t="str">
        <f>IF(ISERR('[1]Дополнительная информация'!J157),"-",'[1]Дополнительная информация'!J157)</f>
        <v>-</v>
      </c>
      <c r="J1504" s="104">
        <f>IF(ISERR('[1]Дополнительная информация'!L157),"-",'[1]Дополнительная информация'!L157)</f>
        <v>0</v>
      </c>
      <c r="K1504" s="104" t="str">
        <f>IF(ISERR('[1]Дополнительная информация'!M157),"-",'[1]Дополнительная информация'!M157)</f>
        <v>-</v>
      </c>
      <c r="L1504" s="104" t="str">
        <f>IF(ISERR('[1]Дополнительная информация'!N157),"-",'[1]Дополнительная информация'!N157)</f>
        <v>-</v>
      </c>
      <c r="M1504" s="104" t="str">
        <f>IF(ISERR('[1]Дополнительная информация'!O157),"-",'[1]Дополнительная информация'!O157)</f>
        <v>-</v>
      </c>
    </row>
    <row r="1505" spans="1:13" s="89" customFormat="1" ht="45" hidden="1" x14ac:dyDescent="0.25">
      <c r="A1505" s="124"/>
      <c r="B1505" s="70" t="s">
        <v>2120</v>
      </c>
      <c r="C1505" s="77" t="s">
        <v>8</v>
      </c>
      <c r="D1505" s="62"/>
      <c r="E1505" s="180"/>
      <c r="F1505" s="180"/>
      <c r="G1505" s="180"/>
      <c r="H1505" s="104">
        <f>IF(ISERR('[1]Дополнительная информация'!I158),"-",'[1]Дополнительная информация'!I158)</f>
        <v>100</v>
      </c>
      <c r="I1505" s="104" t="str">
        <f>IF(ISERR('[1]Дополнительная информация'!J158),"-",'[1]Дополнительная информация'!J158)</f>
        <v>-</v>
      </c>
      <c r="J1505" s="104">
        <f>IF(ISERR('[1]Дополнительная информация'!L158),"-",'[1]Дополнительная информация'!L158)</f>
        <v>0</v>
      </c>
      <c r="K1505" s="104" t="str">
        <f>IF(ISERR('[1]Дополнительная информация'!M158),"-",'[1]Дополнительная информация'!M158)</f>
        <v>-</v>
      </c>
      <c r="L1505" s="104" t="str">
        <f>IF(ISERR('[1]Дополнительная информация'!N158),"-",'[1]Дополнительная информация'!N158)</f>
        <v>-</v>
      </c>
      <c r="M1505" s="104" t="str">
        <f>IF(ISERR('[1]Дополнительная информация'!O158),"-",'[1]Дополнительная информация'!O158)</f>
        <v>-</v>
      </c>
    </row>
    <row r="1506" spans="1:13" s="89" customFormat="1" hidden="1" x14ac:dyDescent="0.25">
      <c r="A1506" s="124"/>
      <c r="B1506" s="70" t="s">
        <v>2212</v>
      </c>
      <c r="C1506" s="77" t="s">
        <v>8</v>
      </c>
      <c r="D1506" s="62"/>
      <c r="E1506" s="180"/>
      <c r="F1506" s="180"/>
      <c r="G1506" s="180"/>
      <c r="H1506" s="104">
        <f>IF(ISERR('[1]Дополнительная информация'!I159),"-",'[1]Дополнительная информация'!I159)</f>
        <v>100</v>
      </c>
      <c r="I1506" s="104" t="str">
        <f>IF(ISERR('[1]Дополнительная информация'!J159),"-",'[1]Дополнительная информация'!J159)</f>
        <v>-</v>
      </c>
      <c r="J1506" s="104">
        <f>IF(ISERR('[1]Дополнительная информация'!L159),"-",'[1]Дополнительная информация'!L159)</f>
        <v>0</v>
      </c>
      <c r="K1506" s="104" t="str">
        <f>IF(ISERR('[1]Дополнительная информация'!M159),"-",'[1]Дополнительная информация'!M159)</f>
        <v>-</v>
      </c>
      <c r="L1506" s="104" t="str">
        <f>IF(ISERR('[1]Дополнительная информация'!N159),"-",'[1]Дополнительная информация'!N159)</f>
        <v>-</v>
      </c>
      <c r="M1506" s="104" t="str">
        <f>IF(ISERR('[1]Дополнительная информация'!O159),"-",'[1]Дополнительная информация'!O159)</f>
        <v>-</v>
      </c>
    </row>
    <row r="1507" spans="1:13" s="89" customFormat="1" hidden="1" x14ac:dyDescent="0.25">
      <c r="A1507" s="124"/>
      <c r="B1507" s="70" t="s">
        <v>2214</v>
      </c>
      <c r="C1507" s="77" t="s">
        <v>8</v>
      </c>
      <c r="D1507" s="62"/>
      <c r="E1507" s="180"/>
      <c r="F1507" s="180"/>
      <c r="G1507" s="180"/>
      <c r="H1507" s="104">
        <f>IF(ISERR('[1]Дополнительная информация'!I160),"-",'[1]Дополнительная информация'!I160)</f>
        <v>77.631578947368425</v>
      </c>
      <c r="I1507" s="104" t="str">
        <f>IF(ISERR('[1]Дополнительная информация'!J160),"-",'[1]Дополнительная информация'!J160)</f>
        <v>-</v>
      </c>
      <c r="J1507" s="104">
        <f>IF(ISERR('[1]Дополнительная информация'!L160),"-",'[1]Дополнительная информация'!L160)</f>
        <v>0</v>
      </c>
      <c r="K1507" s="104" t="str">
        <f>IF(ISERR('[1]Дополнительная информация'!M160),"-",'[1]Дополнительная информация'!M160)</f>
        <v>-</v>
      </c>
      <c r="L1507" s="104" t="str">
        <f>IF(ISERR('[1]Дополнительная информация'!N160),"-",'[1]Дополнительная информация'!N160)</f>
        <v>-</v>
      </c>
      <c r="M1507" s="104" t="str">
        <f>IF(ISERR('[1]Дополнительная информация'!O160),"-",'[1]Дополнительная информация'!O160)</f>
        <v>-</v>
      </c>
    </row>
    <row r="1508" spans="1:13" s="89" customFormat="1" ht="30" hidden="1" x14ac:dyDescent="0.25">
      <c r="A1508" s="124"/>
      <c r="B1508" s="70" t="s">
        <v>2122</v>
      </c>
      <c r="C1508" s="77" t="s">
        <v>8</v>
      </c>
      <c r="D1508" s="62"/>
      <c r="E1508" s="180"/>
      <c r="F1508" s="180"/>
      <c r="G1508" s="180"/>
      <c r="H1508" s="104">
        <f>IF(ISERR('[1]Дополнительная информация'!I161),"-",'[1]Дополнительная информация'!I161)</f>
        <v>51.063829787234042</v>
      </c>
      <c r="I1508" s="104" t="str">
        <f>IF(ISERR('[1]Дополнительная информация'!J161),"-",'[1]Дополнительная информация'!J161)</f>
        <v>-</v>
      </c>
      <c r="J1508" s="104">
        <f>IF(ISERR('[1]Дополнительная информация'!L161),"-",'[1]Дополнительная информация'!L161)</f>
        <v>0</v>
      </c>
      <c r="K1508" s="104" t="str">
        <f>IF(ISERR('[1]Дополнительная информация'!M161),"-",'[1]Дополнительная информация'!M161)</f>
        <v>-</v>
      </c>
      <c r="L1508" s="104" t="str">
        <f>IF(ISERR('[1]Дополнительная информация'!N161),"-",'[1]Дополнительная информация'!N161)</f>
        <v>-</v>
      </c>
      <c r="M1508" s="104" t="str">
        <f>IF(ISERR('[1]Дополнительная информация'!O161),"-",'[1]Дополнительная информация'!O161)</f>
        <v>-</v>
      </c>
    </row>
    <row r="1509" spans="1:13" s="89" customFormat="1" ht="45" hidden="1" x14ac:dyDescent="0.25">
      <c r="A1509" s="124" t="s">
        <v>2117</v>
      </c>
      <c r="B1509" s="70" t="s">
        <v>2118</v>
      </c>
      <c r="C1509" s="62"/>
      <c r="D1509" s="62"/>
      <c r="E1509" s="180"/>
      <c r="F1509" s="180"/>
      <c r="G1509" s="180"/>
      <c r="H1509" s="180"/>
      <c r="I1509" s="180"/>
      <c r="J1509" s="180"/>
      <c r="K1509" s="180"/>
      <c r="L1509" s="180"/>
      <c r="M1509" s="180"/>
    </row>
    <row r="1510" spans="1:13" s="89" customFormat="1" hidden="1" x14ac:dyDescent="0.25">
      <c r="A1510" s="124"/>
      <c r="B1510" s="70" t="s">
        <v>1296</v>
      </c>
      <c r="C1510" s="62"/>
      <c r="D1510" s="62"/>
      <c r="E1510" s="180"/>
      <c r="F1510" s="180"/>
      <c r="G1510" s="180"/>
      <c r="H1510" s="180"/>
      <c r="I1510" s="180"/>
      <c r="J1510" s="180"/>
      <c r="K1510" s="180"/>
      <c r="L1510" s="180"/>
      <c r="M1510" s="180"/>
    </row>
    <row r="1511" spans="1:13" s="89" customFormat="1" hidden="1" x14ac:dyDescent="0.25">
      <c r="A1511" s="124"/>
      <c r="B1511" s="70" t="s">
        <v>2213</v>
      </c>
      <c r="C1511" s="77" t="s">
        <v>8</v>
      </c>
      <c r="D1511" s="62"/>
      <c r="E1511" s="180"/>
      <c r="F1511" s="180"/>
      <c r="G1511" s="180"/>
      <c r="H1511" s="104">
        <f>IF(ISERR('[1]Дополнительная информация'!I179),"-",'[1]Дополнительная информация'!I179)</f>
        <v>100</v>
      </c>
      <c r="I1511" s="104" t="str">
        <f>IF(ISERR('[1]Дополнительная информация'!J179),"-",'[1]Дополнительная информация'!J179)</f>
        <v>-</v>
      </c>
      <c r="J1511" s="104">
        <f>IF(ISERR('[1]Дополнительная информация'!L179),"-",'[1]Дополнительная информация'!L179)</f>
        <v>0</v>
      </c>
      <c r="K1511" s="104" t="str">
        <f>IF(ISERR('[1]Дополнительная информация'!M179),"-",'[1]Дополнительная информация'!M179)</f>
        <v>-</v>
      </c>
      <c r="L1511" s="104" t="str">
        <f>IF(ISERR('[1]Дополнительная информация'!N179),"-",'[1]Дополнительная информация'!N179)</f>
        <v>-</v>
      </c>
      <c r="M1511" s="104" t="str">
        <f>IF(ISERR('[1]Дополнительная информация'!O179),"-",'[1]Дополнительная информация'!O179)</f>
        <v>-</v>
      </c>
    </row>
    <row r="1512" spans="1:13" s="89" customFormat="1" ht="45" hidden="1" x14ac:dyDescent="0.25">
      <c r="A1512" s="124"/>
      <c r="B1512" s="70" t="s">
        <v>2119</v>
      </c>
      <c r="C1512" s="77" t="s">
        <v>8</v>
      </c>
      <c r="D1512" s="62"/>
      <c r="E1512" s="180"/>
      <c r="F1512" s="180"/>
      <c r="G1512" s="180"/>
      <c r="H1512" s="104">
        <f>IF(ISERR('[1]Дополнительная информация'!I180),"-",'[1]Дополнительная информация'!I180)</f>
        <v>100</v>
      </c>
      <c r="I1512" s="104" t="str">
        <f>IF(ISERR('[1]Дополнительная информация'!J180),"-",'[1]Дополнительная информация'!J180)</f>
        <v>-</v>
      </c>
      <c r="J1512" s="104">
        <f>IF(ISERR('[1]Дополнительная информация'!L180),"-",'[1]Дополнительная информация'!L180)</f>
        <v>0</v>
      </c>
      <c r="K1512" s="104" t="str">
        <f>IF(ISERR('[1]Дополнительная информация'!M180),"-",'[1]Дополнительная информация'!M180)</f>
        <v>-</v>
      </c>
      <c r="L1512" s="104" t="str">
        <f>IF(ISERR('[1]Дополнительная информация'!N180),"-",'[1]Дополнительная информация'!N180)</f>
        <v>-</v>
      </c>
      <c r="M1512" s="104" t="str">
        <f>IF(ISERR('[1]Дополнительная информация'!O180),"-",'[1]Дополнительная информация'!O180)</f>
        <v>-</v>
      </c>
    </row>
    <row r="1513" spans="1:13" s="89" customFormat="1" ht="45" hidden="1" x14ac:dyDescent="0.25">
      <c r="A1513" s="124"/>
      <c r="B1513" s="70" t="s">
        <v>2120</v>
      </c>
      <c r="C1513" s="77" t="s">
        <v>8</v>
      </c>
      <c r="D1513" s="62"/>
      <c r="E1513" s="180"/>
      <c r="F1513" s="180"/>
      <c r="G1513" s="180"/>
      <c r="H1513" s="104">
        <f>IF(ISERR('[1]Дополнительная информация'!I181),"-",'[1]Дополнительная информация'!I181)</f>
        <v>100</v>
      </c>
      <c r="I1513" s="104" t="str">
        <f>IF(ISERR('[1]Дополнительная информация'!J181),"-",'[1]Дополнительная информация'!J181)</f>
        <v>-</v>
      </c>
      <c r="J1513" s="104">
        <f>IF(ISERR('[1]Дополнительная информация'!L181),"-",'[1]Дополнительная информация'!L181)</f>
        <v>0</v>
      </c>
      <c r="K1513" s="104" t="str">
        <f>IF(ISERR('[1]Дополнительная информация'!M181),"-",'[1]Дополнительная информация'!M181)</f>
        <v>-</v>
      </c>
      <c r="L1513" s="104" t="str">
        <f>IF(ISERR('[1]Дополнительная информация'!N181),"-",'[1]Дополнительная информация'!N181)</f>
        <v>-</v>
      </c>
      <c r="M1513" s="104" t="str">
        <f>IF(ISERR('[1]Дополнительная информация'!O181),"-",'[1]Дополнительная информация'!O181)</f>
        <v>-</v>
      </c>
    </row>
    <row r="1514" spans="1:13" s="89" customFormat="1" hidden="1" x14ac:dyDescent="0.25">
      <c r="A1514" s="124"/>
      <c r="B1514" s="70" t="s">
        <v>2212</v>
      </c>
      <c r="C1514" s="77" t="s">
        <v>8</v>
      </c>
      <c r="D1514" s="62"/>
      <c r="E1514" s="180"/>
      <c r="F1514" s="180"/>
      <c r="G1514" s="180"/>
      <c r="H1514" s="104">
        <f>IF(ISERR('[1]Дополнительная информация'!I182),"-",'[1]Дополнительная информация'!I182)</f>
        <v>100</v>
      </c>
      <c r="I1514" s="104" t="str">
        <f>IF(ISERR('[1]Дополнительная информация'!J182),"-",'[1]Дополнительная информация'!J182)</f>
        <v>-</v>
      </c>
      <c r="J1514" s="104">
        <f>IF(ISERR('[1]Дополнительная информация'!L182),"-",'[1]Дополнительная информация'!L182)</f>
        <v>0</v>
      </c>
      <c r="K1514" s="104" t="str">
        <f>IF(ISERR('[1]Дополнительная информация'!M182),"-",'[1]Дополнительная информация'!M182)</f>
        <v>-</v>
      </c>
      <c r="L1514" s="104" t="str">
        <f>IF(ISERR('[1]Дополнительная информация'!N182),"-",'[1]Дополнительная информация'!N182)</f>
        <v>-</v>
      </c>
      <c r="M1514" s="104" t="str">
        <f>IF(ISERR('[1]Дополнительная информация'!O182),"-",'[1]Дополнительная информация'!O182)</f>
        <v>-</v>
      </c>
    </row>
    <row r="1515" spans="1:13" s="89" customFormat="1" hidden="1" x14ac:dyDescent="0.25">
      <c r="A1515" s="124"/>
      <c r="B1515" s="70" t="s">
        <v>2214</v>
      </c>
      <c r="C1515" s="77" t="s">
        <v>8</v>
      </c>
      <c r="D1515" s="62"/>
      <c r="E1515" s="180"/>
      <c r="F1515" s="180"/>
      <c r="G1515" s="180"/>
      <c r="H1515" s="104">
        <f>IF(ISERR('[1]Дополнительная информация'!I183),"-",'[1]Дополнительная информация'!I183)</f>
        <v>96</v>
      </c>
      <c r="I1515" s="104" t="str">
        <f>IF(ISERR('[1]Дополнительная информация'!J183),"-",'[1]Дополнительная информация'!J183)</f>
        <v>-</v>
      </c>
      <c r="J1515" s="104">
        <f>IF(ISERR('[1]Дополнительная информация'!L183),"-",'[1]Дополнительная информация'!L183)</f>
        <v>0</v>
      </c>
      <c r="K1515" s="104" t="str">
        <f>IF(ISERR('[1]Дополнительная информация'!M183),"-",'[1]Дополнительная информация'!M183)</f>
        <v>-</v>
      </c>
      <c r="L1515" s="104" t="str">
        <f>IF(ISERR('[1]Дополнительная информация'!N183),"-",'[1]Дополнительная информация'!N183)</f>
        <v>-</v>
      </c>
      <c r="M1515" s="104" t="str">
        <f>IF(ISERR('[1]Дополнительная информация'!O183),"-",'[1]Дополнительная информация'!O183)</f>
        <v>-</v>
      </c>
    </row>
    <row r="1516" spans="1:13" s="89" customFormat="1" ht="30" hidden="1" x14ac:dyDescent="0.25">
      <c r="A1516" s="124"/>
      <c r="B1516" s="70" t="s">
        <v>2215</v>
      </c>
      <c r="C1516" s="77" t="s">
        <v>8</v>
      </c>
      <c r="D1516" s="62"/>
      <c r="E1516" s="180"/>
      <c r="F1516" s="180"/>
      <c r="G1516" s="180"/>
      <c r="H1516" s="104">
        <f>IF(ISERR('[1]Дополнительная информация'!I184),"-",'[1]Дополнительная информация'!I184)</f>
        <v>34.285714285714285</v>
      </c>
      <c r="I1516" s="104" t="str">
        <f>IF(ISERR('[1]Дополнительная информация'!J184),"-",'[1]Дополнительная информация'!J184)</f>
        <v>-</v>
      </c>
      <c r="J1516" s="104">
        <f>IF(ISERR('[1]Дополнительная информация'!L184),"-",'[1]Дополнительная информация'!L184)</f>
        <v>0</v>
      </c>
      <c r="K1516" s="104" t="str">
        <f>IF(ISERR('[1]Дополнительная информация'!M184),"-",'[1]Дополнительная информация'!M184)</f>
        <v>-</v>
      </c>
      <c r="L1516" s="104" t="str">
        <f>IF(ISERR('[1]Дополнительная информация'!N184),"-",'[1]Дополнительная информация'!N184)</f>
        <v>-</v>
      </c>
      <c r="M1516" s="104" t="str">
        <f>IF(ISERR('[1]Дополнительная информация'!O184),"-",'[1]Дополнительная информация'!O184)</f>
        <v>-</v>
      </c>
    </row>
    <row r="1517" spans="1:13" s="89" customFormat="1" hidden="1" x14ac:dyDescent="0.25">
      <c r="A1517" s="124"/>
      <c r="B1517" s="70" t="s">
        <v>1297</v>
      </c>
      <c r="C1517" s="62"/>
      <c r="D1517" s="62"/>
      <c r="E1517" s="180"/>
      <c r="F1517" s="180"/>
      <c r="G1517" s="180"/>
      <c r="H1517" s="180"/>
      <c r="I1517" s="180"/>
      <c r="J1517" s="180"/>
      <c r="K1517" s="180"/>
      <c r="L1517" s="180"/>
      <c r="M1517" s="180"/>
    </row>
    <row r="1518" spans="1:13" s="89" customFormat="1" hidden="1" x14ac:dyDescent="0.25">
      <c r="A1518" s="124"/>
      <c r="B1518" s="70" t="s">
        <v>2213</v>
      </c>
      <c r="C1518" s="77" t="s">
        <v>8</v>
      </c>
      <c r="D1518" s="62"/>
      <c r="E1518" s="180"/>
      <c r="F1518" s="180"/>
      <c r="G1518" s="180"/>
      <c r="H1518" s="104">
        <f>IF(ISERR('[1]Дополнительная информация'!I186),"-",'[1]Дополнительная информация'!I186)</f>
        <v>100</v>
      </c>
      <c r="I1518" s="104" t="str">
        <f>IF(ISERR('[1]Дополнительная информация'!J186),"-",'[1]Дополнительная информация'!J186)</f>
        <v>-</v>
      </c>
      <c r="J1518" s="104">
        <f>IF(ISERR('[1]Дополнительная информация'!L186),"-",'[1]Дополнительная информация'!L186)</f>
        <v>0</v>
      </c>
      <c r="K1518" s="104" t="str">
        <f>IF(ISERR('[1]Дополнительная информация'!M186),"-",'[1]Дополнительная информация'!M186)</f>
        <v>-</v>
      </c>
      <c r="L1518" s="104" t="str">
        <f>IF(ISERR('[1]Дополнительная информация'!N186),"-",'[1]Дополнительная информация'!N186)</f>
        <v>-</v>
      </c>
      <c r="M1518" s="104" t="str">
        <f>IF(ISERR('[1]Дополнительная информация'!O186),"-",'[1]Дополнительная информация'!O186)</f>
        <v>-</v>
      </c>
    </row>
    <row r="1519" spans="1:13" s="89" customFormat="1" ht="45" hidden="1" x14ac:dyDescent="0.25">
      <c r="A1519" s="124"/>
      <c r="B1519" s="70" t="s">
        <v>2119</v>
      </c>
      <c r="C1519" s="77" t="s">
        <v>8</v>
      </c>
      <c r="D1519" s="62"/>
      <c r="E1519" s="180"/>
      <c r="F1519" s="180"/>
      <c r="G1519" s="180"/>
      <c r="H1519" s="104">
        <f>IF(ISERR('[1]Дополнительная информация'!I187),"-",'[1]Дополнительная информация'!I187)</f>
        <v>100</v>
      </c>
      <c r="I1519" s="104" t="str">
        <f>IF(ISERR('[1]Дополнительная информация'!J187),"-",'[1]Дополнительная информация'!J187)</f>
        <v>-</v>
      </c>
      <c r="J1519" s="104">
        <f>IF(ISERR('[1]Дополнительная информация'!L187),"-",'[1]Дополнительная информация'!L187)</f>
        <v>0</v>
      </c>
      <c r="K1519" s="104" t="str">
        <f>IF(ISERR('[1]Дополнительная информация'!M187),"-",'[1]Дополнительная информация'!M187)</f>
        <v>-</v>
      </c>
      <c r="L1519" s="104" t="str">
        <f>IF(ISERR('[1]Дополнительная информация'!N187),"-",'[1]Дополнительная информация'!N187)</f>
        <v>-</v>
      </c>
      <c r="M1519" s="104" t="str">
        <f>IF(ISERR('[1]Дополнительная информация'!O187),"-",'[1]Дополнительная информация'!O187)</f>
        <v>-</v>
      </c>
    </row>
    <row r="1520" spans="1:13" s="89" customFormat="1" ht="45" hidden="1" x14ac:dyDescent="0.25">
      <c r="A1520" s="124"/>
      <c r="B1520" s="70" t="s">
        <v>2120</v>
      </c>
      <c r="C1520" s="77" t="s">
        <v>8</v>
      </c>
      <c r="D1520" s="62"/>
      <c r="E1520" s="180"/>
      <c r="F1520" s="180"/>
      <c r="G1520" s="180"/>
      <c r="H1520" s="104" t="str">
        <f>IF(ISERR('[1]Дополнительная информация'!I188),"-",'[1]Дополнительная информация'!I188)</f>
        <v>-</v>
      </c>
      <c r="I1520" s="104" t="str">
        <f>IF(ISERR('[1]Дополнительная информация'!J188),"-",'[1]Дополнительная информация'!J188)</f>
        <v>-</v>
      </c>
      <c r="J1520" s="104">
        <f>IF(ISERR('[1]Дополнительная информация'!L188),"-",'[1]Дополнительная информация'!L188)</f>
        <v>0</v>
      </c>
      <c r="K1520" s="104" t="str">
        <f>IF(ISERR('[1]Дополнительная информация'!M188),"-",'[1]Дополнительная информация'!M188)</f>
        <v>-</v>
      </c>
      <c r="L1520" s="104" t="str">
        <f>IF(ISERR('[1]Дополнительная информация'!N188),"-",'[1]Дополнительная информация'!N188)</f>
        <v>-</v>
      </c>
      <c r="M1520" s="104" t="str">
        <f>IF(ISERR('[1]Дополнительная информация'!O188),"-",'[1]Дополнительная информация'!O188)</f>
        <v>-</v>
      </c>
    </row>
    <row r="1521" spans="1:13" s="89" customFormat="1" hidden="1" x14ac:dyDescent="0.25">
      <c r="A1521" s="124"/>
      <c r="B1521" s="70" t="s">
        <v>2212</v>
      </c>
      <c r="C1521" s="77" t="s">
        <v>8</v>
      </c>
      <c r="D1521" s="62"/>
      <c r="E1521" s="180"/>
      <c r="F1521" s="180"/>
      <c r="G1521" s="180"/>
      <c r="H1521" s="104">
        <f>IF(ISERR('[1]Дополнительная информация'!I189),"-",'[1]Дополнительная информация'!I189)</f>
        <v>100</v>
      </c>
      <c r="I1521" s="104" t="str">
        <f>IF(ISERR('[1]Дополнительная информация'!J189),"-",'[1]Дополнительная информация'!J189)</f>
        <v>-</v>
      </c>
      <c r="J1521" s="104">
        <f>IF(ISERR('[1]Дополнительная информация'!L189),"-",'[1]Дополнительная информация'!L189)</f>
        <v>0</v>
      </c>
      <c r="K1521" s="104" t="str">
        <f>IF(ISERR('[1]Дополнительная информация'!M189),"-",'[1]Дополнительная информация'!M189)</f>
        <v>-</v>
      </c>
      <c r="L1521" s="104" t="str">
        <f>IF(ISERR('[1]Дополнительная информация'!N189),"-",'[1]Дополнительная информация'!N189)</f>
        <v>-</v>
      </c>
      <c r="M1521" s="104" t="str">
        <f>IF(ISERR('[1]Дополнительная информация'!O189),"-",'[1]Дополнительная информация'!O189)</f>
        <v>-</v>
      </c>
    </row>
    <row r="1522" spans="1:13" s="89" customFormat="1" hidden="1" x14ac:dyDescent="0.25">
      <c r="A1522" s="124"/>
      <c r="B1522" s="70" t="s">
        <v>2214</v>
      </c>
      <c r="C1522" s="77" t="s">
        <v>8</v>
      </c>
      <c r="D1522" s="62"/>
      <c r="E1522" s="180"/>
      <c r="F1522" s="180"/>
      <c r="G1522" s="180"/>
      <c r="H1522" s="104">
        <f>IF(ISERR('[1]Дополнительная информация'!I190),"-",'[1]Дополнительная информация'!I190)</f>
        <v>62.5</v>
      </c>
      <c r="I1522" s="104" t="str">
        <f>IF(ISERR('[1]Дополнительная информация'!J190),"-",'[1]Дополнительная информация'!J190)</f>
        <v>-</v>
      </c>
      <c r="J1522" s="104">
        <f>IF(ISERR('[1]Дополнительная информация'!L190),"-",'[1]Дополнительная информация'!L190)</f>
        <v>0</v>
      </c>
      <c r="K1522" s="104" t="str">
        <f>IF(ISERR('[1]Дополнительная информация'!M190),"-",'[1]Дополнительная информация'!M190)</f>
        <v>-</v>
      </c>
      <c r="L1522" s="104" t="str">
        <f>IF(ISERR('[1]Дополнительная информация'!N190),"-",'[1]Дополнительная информация'!N190)</f>
        <v>-</v>
      </c>
      <c r="M1522" s="104" t="str">
        <f>IF(ISERR('[1]Дополнительная информация'!O190),"-",'[1]Дополнительная информация'!O190)</f>
        <v>-</v>
      </c>
    </row>
    <row r="1523" spans="1:13" s="89" customFormat="1" ht="30" hidden="1" x14ac:dyDescent="0.25">
      <c r="A1523" s="124"/>
      <c r="B1523" s="70" t="s">
        <v>2215</v>
      </c>
      <c r="C1523" s="77" t="s">
        <v>8</v>
      </c>
      <c r="D1523" s="62"/>
      <c r="E1523" s="180"/>
      <c r="F1523" s="180"/>
      <c r="G1523" s="180"/>
      <c r="H1523" s="104">
        <f>IF(ISERR('[1]Дополнительная информация'!I191),"-",'[1]Дополнительная информация'!I191)</f>
        <v>0</v>
      </c>
      <c r="I1523" s="104" t="str">
        <f>IF(ISERR('[1]Дополнительная информация'!J191),"-",'[1]Дополнительная информация'!J191)</f>
        <v>-</v>
      </c>
      <c r="J1523" s="104">
        <f>IF(ISERR('[1]Дополнительная информация'!L191),"-",'[1]Дополнительная информация'!L191)</f>
        <v>0</v>
      </c>
      <c r="K1523" s="104" t="str">
        <f>IF(ISERR('[1]Дополнительная информация'!M191),"-",'[1]Дополнительная информация'!M191)</f>
        <v>-</v>
      </c>
      <c r="L1523" s="104" t="str">
        <f>IF(ISERR('[1]Дополнительная информация'!N191),"-",'[1]Дополнительная информация'!N191)</f>
        <v>-</v>
      </c>
      <c r="M1523" s="104" t="str">
        <f>IF(ISERR('[1]Дополнительная информация'!O191),"-",'[1]Дополнительная информация'!O191)</f>
        <v>-</v>
      </c>
    </row>
    <row r="1524" spans="1:13" s="89" customFormat="1" ht="15" customHeight="1" x14ac:dyDescent="0.25">
      <c r="A1524" s="449" t="s">
        <v>2596</v>
      </c>
      <c r="B1524" s="449"/>
      <c r="C1524" s="449"/>
      <c r="D1524" s="449"/>
      <c r="E1524" s="449"/>
      <c r="F1524" s="449"/>
      <c r="G1524" s="449"/>
      <c r="H1524" s="449"/>
      <c r="I1524" s="449"/>
      <c r="J1524" s="449"/>
      <c r="K1524" s="449"/>
      <c r="L1524" s="450"/>
      <c r="M1524" s="450"/>
    </row>
    <row r="1525" spans="1:13" s="89" customFormat="1" x14ac:dyDescent="0.25">
      <c r="A1525" s="99" t="s">
        <v>948</v>
      </c>
      <c r="B1525" s="100" t="s">
        <v>1078</v>
      </c>
      <c r="C1525" s="87"/>
      <c r="D1525" s="109"/>
      <c r="E1525" s="109"/>
      <c r="F1525" s="109"/>
      <c r="G1525" s="109"/>
      <c r="H1525" s="109"/>
      <c r="I1525" s="109"/>
      <c r="J1525" s="109"/>
      <c r="K1525" s="109"/>
      <c r="L1525" s="109"/>
      <c r="M1525" s="109"/>
    </row>
    <row r="1526" spans="1:13" s="89" customFormat="1" ht="45" x14ac:dyDescent="0.25">
      <c r="A1526" s="77" t="s">
        <v>952</v>
      </c>
      <c r="B1526" s="110" t="s">
        <v>2597</v>
      </c>
      <c r="C1526" s="77" t="s">
        <v>8</v>
      </c>
      <c r="D1526" s="104">
        <f>IF(ISERR('[1]Дополнительная информация'!E224),"-",'[1]Дополнительная информация'!E224)</f>
        <v>85.83</v>
      </c>
      <c r="E1526" s="104">
        <f>IF(ISERR('[1]Дополнительная информация'!F224),"-",'[1]Дополнительная информация'!F224)</f>
        <v>87.1</v>
      </c>
      <c r="F1526" s="104">
        <f>IF(ISERR('[1]Дополнительная информация'!G224),"-",'[1]Дополнительная информация'!G224)</f>
        <v>87.66</v>
      </c>
      <c r="G1526" s="104">
        <f>IF(ISERR('[1]Дополнительная информация'!H224),"-",'[1]Дополнительная информация'!H224)</f>
        <v>89.23</v>
      </c>
      <c r="H1526" s="104">
        <f>IF(ISERR('[1]Дополнительная информация'!I224),"-",'[1]Дополнительная информация'!I224)</f>
        <v>92.521585659162881</v>
      </c>
      <c r="I1526" s="104">
        <f>IF(ISERR('[1]Дополнительная информация'!J224),"-",'[1]Дополнительная информация'!J224)</f>
        <v>92.732145249899503</v>
      </c>
      <c r="J1526" s="104" t="str">
        <f>IF(ISERR('[1]Дополнительная информация'!K224),"-",'[1]Дополнительная информация'!K224)</f>
        <v>-</v>
      </c>
      <c r="K1526" s="104"/>
      <c r="L1526" s="104"/>
      <c r="M1526" s="104"/>
    </row>
    <row r="1527" spans="1:13" s="89" customFormat="1" ht="60" x14ac:dyDescent="0.25">
      <c r="A1527" s="77" t="s">
        <v>953</v>
      </c>
      <c r="B1527" s="110" t="s">
        <v>1091</v>
      </c>
      <c r="C1527" s="77"/>
      <c r="D1527" s="125"/>
      <c r="E1527" s="125"/>
      <c r="F1527" s="125"/>
      <c r="G1527" s="125"/>
      <c r="H1527" s="125"/>
      <c r="I1527" s="125"/>
      <c r="J1527" s="125"/>
      <c r="K1527" s="125"/>
      <c r="L1527" s="125"/>
      <c r="M1527" s="125"/>
    </row>
    <row r="1528" spans="1:13" s="89" customFormat="1" ht="30" x14ac:dyDescent="0.25">
      <c r="A1528" s="77"/>
      <c r="B1528" s="110" t="s">
        <v>2216</v>
      </c>
      <c r="C1528" s="77" t="s">
        <v>8</v>
      </c>
      <c r="D1528" s="104">
        <f>IF(ISERR('[1]Дополнительная информация'!E233),"-",'[1]Дополнительная информация'!E233)</f>
        <v>7.61</v>
      </c>
      <c r="E1528" s="104">
        <f>IF(ISERR('[1]Дополнительная информация'!F233),"-",'[1]Дополнительная информация'!F233)</f>
        <v>37.33</v>
      </c>
      <c r="F1528" s="104">
        <f>IF(ISERR('[1]Дополнительная информация'!G233),"-",'[1]Дополнительная информация'!G233)</f>
        <v>40.21</v>
      </c>
      <c r="G1528" s="104">
        <f>IF(ISERR('[1]Дополнительная информация'!H233),"-",'[1]Дополнительная информация'!H233)</f>
        <v>28.91</v>
      </c>
      <c r="H1528" s="104">
        <f>IF(ISERR('[1]Дополнительная информация'!I233),"-",'[1]Дополнительная информация'!I233)</f>
        <v>16.350000000000001</v>
      </c>
      <c r="I1528" s="104">
        <f>IF(ISERR('[1]Дополнительная информация'!J233),"-",'[1]Дополнительная информация'!J233)</f>
        <v>16.350000000000001</v>
      </c>
      <c r="J1528" s="104">
        <f>IF(ISERR('[1]Дополнительная информация'!K233),"-",'[1]Дополнительная информация'!K233)</f>
        <v>0</v>
      </c>
      <c r="K1528" s="104"/>
      <c r="L1528" s="104"/>
      <c r="M1528" s="104"/>
    </row>
    <row r="1529" spans="1:13" s="89" customFormat="1" ht="30" x14ac:dyDescent="0.25">
      <c r="A1529" s="77"/>
      <c r="B1529" s="110" t="s">
        <v>2217</v>
      </c>
      <c r="C1529" s="77" t="s">
        <v>8</v>
      </c>
      <c r="D1529" s="104">
        <f>IF(ISERR('[1]Дополнительная информация'!E234),"-",'[1]Дополнительная информация'!E234)</f>
        <v>30.31</v>
      </c>
      <c r="E1529" s="104">
        <f>IF(ISERR('[1]Дополнительная информация'!F234),"-",'[1]Дополнительная информация'!F234)</f>
        <v>34.049999999999997</v>
      </c>
      <c r="F1529" s="104">
        <f>IF(ISERR('[1]Дополнительная информация'!G234),"-",'[1]Дополнительная информация'!G234)</f>
        <v>28.13</v>
      </c>
      <c r="G1529" s="104">
        <f>IF(ISERR('[1]Дополнительная информация'!H234),"-",'[1]Дополнительная информация'!H234)</f>
        <v>44.71</v>
      </c>
      <c r="H1529" s="104">
        <f>IF(ISERR('[1]Дополнительная информация'!I234),"-",'[1]Дополнительная информация'!I234)</f>
        <v>39.35</v>
      </c>
      <c r="I1529" s="104">
        <f>IF(ISERR('[1]Дополнительная информация'!J234),"-",'[1]Дополнительная информация'!J234)</f>
        <v>39.35</v>
      </c>
      <c r="J1529" s="104">
        <f>IF(ISERR('[1]Дополнительная информация'!K234),"-",'[1]Дополнительная информация'!K234)</f>
        <v>0</v>
      </c>
      <c r="K1529" s="104"/>
      <c r="L1529" s="104"/>
      <c r="M1529" s="104"/>
    </row>
    <row r="1530" spans="1:13" s="89" customFormat="1" ht="30" hidden="1" x14ac:dyDescent="0.25">
      <c r="A1530" s="77"/>
      <c r="B1530" s="110" t="s">
        <v>2218</v>
      </c>
      <c r="C1530" s="77" t="s">
        <v>8</v>
      </c>
      <c r="D1530" s="104">
        <f>IF(ISERR('[1]Дополнительная информация'!E235),"-",'[1]Дополнительная информация'!E235)</f>
        <v>36.090000000000003</v>
      </c>
      <c r="E1530" s="104">
        <f>IF(ISERR('[1]Дополнительная информация'!F235),"-",'[1]Дополнительная информация'!F235)</f>
        <v>3.44</v>
      </c>
      <c r="F1530" s="104">
        <f>IF(ISERR('[1]Дополнительная информация'!G235),"-",'[1]Дополнительная информация'!G235)</f>
        <v>11.96</v>
      </c>
      <c r="G1530" s="104">
        <f>IF(ISERR('[1]Дополнительная информация'!H235),"-",'[1]Дополнительная информация'!H235)</f>
        <v>17.649999999999999</v>
      </c>
      <c r="H1530" s="104">
        <f>IF(ISERR('[1]Дополнительная информация'!I235),"-",'[1]Дополнительная информация'!I235)</f>
        <v>15.67</v>
      </c>
      <c r="I1530" s="104">
        <f>IF(ISERR('[1]Дополнительная информация'!J235),"-",'[1]Дополнительная информация'!J235)</f>
        <v>0</v>
      </c>
      <c r="J1530" s="104" t="str">
        <f>IF(ISERR('[1]Дополнительная информация'!L235),"-",'[1]Дополнительная информация'!L235)</f>
        <v>-</v>
      </c>
      <c r="K1530" s="104" t="str">
        <f>IF(ISERR('[1]Дополнительная информация'!M235),"-",'[1]Дополнительная информация'!M235)</f>
        <v>-</v>
      </c>
      <c r="L1530" s="104" t="str">
        <f>IF(ISERR('[1]Дополнительная информация'!N235),"-",'[1]Дополнительная информация'!N235)</f>
        <v>-</v>
      </c>
      <c r="M1530" s="104" t="str">
        <f>IF(ISERR('[1]Дополнительная информация'!O235),"-",'[1]Дополнительная информация'!O235)</f>
        <v>-</v>
      </c>
    </row>
    <row r="1531" spans="1:13" s="89" customFormat="1" hidden="1" x14ac:dyDescent="0.25">
      <c r="A1531" s="77"/>
      <c r="B1531" s="110" t="s">
        <v>2219</v>
      </c>
      <c r="C1531" s="77" t="s">
        <v>8</v>
      </c>
      <c r="D1531" s="104">
        <f>IF(ISERR('[1]Дополнительная информация'!E236),"-",'[1]Дополнительная информация'!E236)</f>
        <v>23.92</v>
      </c>
      <c r="E1531" s="104">
        <f>IF(ISERR('[1]Дополнительная информация'!F236),"-",'[1]Дополнительная информация'!F236)</f>
        <v>23.27</v>
      </c>
      <c r="F1531" s="104">
        <f>IF(ISERR('[1]Дополнительная информация'!G236),"-",'[1]Дополнительная информация'!G236)</f>
        <v>17.670000000000002</v>
      </c>
      <c r="G1531" s="104">
        <f>IF(ISERR('[1]Дополнительная информация'!H236),"-",'[1]Дополнительная информация'!H236)</f>
        <v>7.12</v>
      </c>
      <c r="H1531" s="104">
        <f>IF(ISERR('[1]Дополнительная информация'!I236),"-",'[1]Дополнительная информация'!I236)</f>
        <v>2.5499999999999998</v>
      </c>
      <c r="I1531" s="104">
        <f>IF(ISERR('[1]Дополнительная информация'!J236),"-",'[1]Дополнительная информация'!J236)</f>
        <v>0</v>
      </c>
      <c r="J1531" s="104" t="str">
        <f>IF(ISERR('[1]Дополнительная информация'!L236),"-",'[1]Дополнительная информация'!L236)</f>
        <v>-</v>
      </c>
      <c r="K1531" s="104" t="str">
        <f>IF(ISERR('[1]Дополнительная информация'!M236),"-",'[1]Дополнительная информация'!M236)</f>
        <v>-</v>
      </c>
      <c r="L1531" s="104" t="str">
        <f>IF(ISERR('[1]Дополнительная информация'!N236),"-",'[1]Дополнительная информация'!N236)</f>
        <v>-</v>
      </c>
      <c r="M1531" s="104" t="str">
        <f>IF(ISERR('[1]Дополнительная информация'!O236),"-",'[1]Дополнительная информация'!O236)</f>
        <v>-</v>
      </c>
    </row>
    <row r="1532" spans="1:13" s="89" customFormat="1" ht="30" hidden="1" x14ac:dyDescent="0.25">
      <c r="A1532" s="77"/>
      <c r="B1532" s="110" t="s">
        <v>2220</v>
      </c>
      <c r="C1532" s="77" t="s">
        <v>8</v>
      </c>
      <c r="D1532" s="104">
        <f>IF(ISERR('[1]Дополнительная информация'!E237),"-",'[1]Дополнительная информация'!E237)</f>
        <v>2.0699999999999998</v>
      </c>
      <c r="E1532" s="104">
        <f>IF(ISERR('[1]Дополнительная информация'!F237),"-",'[1]Дополнительная информация'!F237)</f>
        <v>1.9</v>
      </c>
      <c r="F1532" s="104">
        <f>IF(ISERR('[1]Дополнительная информация'!G237),"-",'[1]Дополнительная информация'!G237)</f>
        <v>2.0299999999999998</v>
      </c>
      <c r="G1532" s="104">
        <f>IF(ISERR('[1]Дополнительная информация'!H237),"-",'[1]Дополнительная информация'!H237)</f>
        <v>1.55</v>
      </c>
      <c r="H1532" s="104">
        <f>IF(ISERR('[1]Дополнительная информация'!I237),"-",'[1]Дополнительная информация'!I237)</f>
        <v>3.16</v>
      </c>
      <c r="I1532" s="104">
        <f>IF(ISERR('[1]Дополнительная информация'!J237),"-",'[1]Дополнительная информация'!J237)</f>
        <v>0</v>
      </c>
      <c r="J1532" s="104" t="str">
        <f>IF(ISERR('[1]Дополнительная информация'!L237),"-",'[1]Дополнительная информация'!L237)</f>
        <v>-</v>
      </c>
      <c r="K1532" s="104" t="str">
        <f>IF(ISERR('[1]Дополнительная информация'!M237),"-",'[1]Дополнительная информация'!M237)</f>
        <v>-</v>
      </c>
      <c r="L1532" s="104" t="str">
        <f>IF(ISERR('[1]Дополнительная информация'!N237),"-",'[1]Дополнительная информация'!N237)</f>
        <v>-</v>
      </c>
      <c r="M1532" s="104" t="str">
        <f>IF(ISERR('[1]Дополнительная информация'!O237),"-",'[1]Дополнительная информация'!O237)</f>
        <v>-</v>
      </c>
    </row>
    <row r="1533" spans="1:13" s="89" customFormat="1" ht="30" hidden="1" x14ac:dyDescent="0.25">
      <c r="A1533" s="62"/>
      <c r="B1533" s="110" t="s">
        <v>2221</v>
      </c>
      <c r="C1533" s="77" t="s">
        <v>8</v>
      </c>
      <c r="D1533" s="104">
        <f>IF(ISERR('[1]Дополнительная информация'!E238),"-",'[1]Дополнительная информация'!E238)</f>
        <v>0</v>
      </c>
      <c r="E1533" s="104">
        <f>IF(ISERR('[1]Дополнительная информация'!F238),"-",'[1]Дополнительная информация'!F238)</f>
        <v>0</v>
      </c>
      <c r="F1533" s="104">
        <f>IF(ISERR('[1]Дополнительная информация'!G238),"-",'[1]Дополнительная информация'!G238)</f>
        <v>0</v>
      </c>
      <c r="G1533" s="104">
        <f>IF(ISERR('[1]Дополнительная информация'!H238),"-",'[1]Дополнительная информация'!H238)</f>
        <v>0.06</v>
      </c>
      <c r="H1533" s="104">
        <f>IF(ISERR('[1]Дополнительная информация'!I238),"-",'[1]Дополнительная информация'!I238)</f>
        <v>1.36</v>
      </c>
      <c r="I1533" s="104">
        <f>IF(ISERR('[1]Дополнительная информация'!J238),"-",'[1]Дополнительная информация'!J238)</f>
        <v>0</v>
      </c>
      <c r="J1533" s="104" t="str">
        <f>IF(ISERR('[1]Дополнительная информация'!L238),"-",'[1]Дополнительная информация'!L238)</f>
        <v>-</v>
      </c>
      <c r="K1533" s="104" t="str">
        <f>IF(ISERR('[1]Дополнительная информация'!M238),"-",'[1]Дополнительная информация'!M238)</f>
        <v>-</v>
      </c>
      <c r="L1533" s="104" t="str">
        <f>IF(ISERR('[1]Дополнительная информация'!N238),"-",'[1]Дополнительная информация'!N238)</f>
        <v>-</v>
      </c>
      <c r="M1533" s="104" t="str">
        <f>IF(ISERR('[1]Дополнительная информация'!O238),"-",'[1]Дополнительная информация'!O238)</f>
        <v>-</v>
      </c>
    </row>
    <row r="1534" spans="1:13" s="89" customFormat="1" ht="30" x14ac:dyDescent="0.25">
      <c r="A1534" s="99" t="s">
        <v>962</v>
      </c>
      <c r="B1534" s="100" t="s">
        <v>2598</v>
      </c>
      <c r="C1534" s="87"/>
      <c r="D1534" s="109"/>
      <c r="E1534" s="109"/>
      <c r="F1534" s="109"/>
      <c r="G1534" s="109"/>
      <c r="H1534" s="109"/>
      <c r="I1534" s="109"/>
      <c r="J1534" s="109"/>
      <c r="K1534" s="109"/>
      <c r="L1534" s="109"/>
      <c r="M1534" s="109"/>
    </row>
    <row r="1535" spans="1:13" s="89" customFormat="1" ht="45" x14ac:dyDescent="0.25">
      <c r="A1535" s="13" t="s">
        <v>965</v>
      </c>
      <c r="B1535" s="70" t="s">
        <v>2599</v>
      </c>
      <c r="C1535" s="13"/>
      <c r="D1535" s="109"/>
      <c r="E1535" s="109"/>
      <c r="F1535" s="109"/>
      <c r="G1535" s="109"/>
      <c r="H1535" s="109"/>
      <c r="I1535" s="109"/>
      <c r="J1535" s="109"/>
      <c r="K1535" s="109"/>
      <c r="L1535" s="109"/>
      <c r="M1535" s="109"/>
    </row>
    <row r="1536" spans="1:13" s="89" customFormat="1" ht="30" x14ac:dyDescent="0.25">
      <c r="A1536" s="13"/>
      <c r="B1536" s="70" t="s">
        <v>3001</v>
      </c>
      <c r="C1536" s="13" t="s">
        <v>8</v>
      </c>
      <c r="D1536" s="109"/>
      <c r="E1536" s="109"/>
      <c r="F1536" s="109"/>
      <c r="G1536" s="109"/>
      <c r="H1536" s="109"/>
      <c r="I1536" s="109"/>
      <c r="J1536" s="109"/>
      <c r="K1536" s="109"/>
      <c r="L1536" s="109"/>
      <c r="M1536" s="109"/>
    </row>
    <row r="1537" spans="1:13" s="89" customFormat="1" ht="45" x14ac:dyDescent="0.25">
      <c r="A1537" s="13"/>
      <c r="B1537" s="70" t="s">
        <v>3002</v>
      </c>
      <c r="C1537" s="13" t="s">
        <v>8</v>
      </c>
      <c r="D1537" s="109"/>
      <c r="E1537" s="109"/>
      <c r="F1537" s="109"/>
      <c r="G1537" s="109"/>
      <c r="H1537" s="109"/>
      <c r="I1537" s="109"/>
      <c r="J1537" s="109"/>
      <c r="K1537" s="109"/>
      <c r="L1537" s="109"/>
      <c r="M1537" s="109"/>
    </row>
    <row r="1538" spans="1:13" s="89" customFormat="1" x14ac:dyDescent="0.25">
      <c r="A1538" s="13"/>
      <c r="B1538" s="70" t="s">
        <v>3003</v>
      </c>
      <c r="C1538" s="13" t="s">
        <v>8</v>
      </c>
      <c r="D1538" s="109"/>
      <c r="E1538" s="109"/>
      <c r="F1538" s="109"/>
      <c r="G1538" s="109"/>
      <c r="H1538" s="109"/>
      <c r="I1538" s="109"/>
      <c r="J1538" s="109"/>
      <c r="K1538" s="109"/>
      <c r="L1538" s="109"/>
      <c r="M1538" s="109"/>
    </row>
    <row r="1539" spans="1:13" s="89" customFormat="1" hidden="1" x14ac:dyDescent="0.25">
      <c r="A1539" s="99" t="s">
        <v>1101</v>
      </c>
      <c r="B1539" s="100" t="s">
        <v>1102</v>
      </c>
      <c r="C1539" s="87"/>
      <c r="D1539" s="109"/>
      <c r="E1539" s="109"/>
      <c r="F1539" s="109"/>
      <c r="G1539" s="109"/>
      <c r="H1539" s="109"/>
      <c r="I1539" s="109"/>
      <c r="J1539" s="109"/>
      <c r="K1539" s="109"/>
      <c r="L1539" s="109"/>
      <c r="M1539" s="109"/>
    </row>
    <row r="1540" spans="1:13" s="89" customFormat="1" ht="45" hidden="1" x14ac:dyDescent="0.25">
      <c r="A1540" s="13" t="s">
        <v>1104</v>
      </c>
      <c r="B1540" s="70" t="s">
        <v>1360</v>
      </c>
      <c r="C1540" s="13" t="s">
        <v>8</v>
      </c>
      <c r="D1540" s="109"/>
      <c r="E1540" s="109"/>
      <c r="F1540" s="109"/>
      <c r="G1540" s="109"/>
      <c r="H1540" s="109"/>
      <c r="I1540" s="109"/>
      <c r="J1540" s="109"/>
      <c r="K1540" s="109"/>
      <c r="L1540" s="109"/>
      <c r="M1540" s="109"/>
    </row>
    <row r="1541" spans="1:13" s="89" customFormat="1" ht="45" x14ac:dyDescent="0.25">
      <c r="A1541" s="99" t="s">
        <v>969</v>
      </c>
      <c r="B1541" s="100" t="s">
        <v>2603</v>
      </c>
      <c r="C1541" s="87"/>
      <c r="D1541" s="109"/>
      <c r="E1541" s="109"/>
      <c r="F1541" s="109"/>
      <c r="G1541" s="109"/>
      <c r="H1541" s="109"/>
      <c r="I1541" s="109"/>
      <c r="J1541" s="109"/>
      <c r="K1541" s="109"/>
      <c r="L1541" s="109"/>
      <c r="M1541" s="109"/>
    </row>
    <row r="1542" spans="1:13" s="89" customFormat="1" ht="30" x14ac:dyDescent="0.25">
      <c r="A1542" s="13" t="s">
        <v>972</v>
      </c>
      <c r="B1542" s="70" t="s">
        <v>2604</v>
      </c>
      <c r="C1542" s="13"/>
      <c r="D1542" s="109"/>
      <c r="E1542" s="109"/>
      <c r="F1542" s="109"/>
      <c r="G1542" s="109"/>
      <c r="H1542" s="109"/>
      <c r="I1542" s="109"/>
      <c r="J1542" s="109"/>
      <c r="K1542" s="109"/>
      <c r="L1542" s="109"/>
      <c r="M1542" s="109"/>
    </row>
    <row r="1543" spans="1:13" s="89" customFormat="1" x14ac:dyDescent="0.25">
      <c r="A1543" s="70"/>
      <c r="B1543" s="70" t="s">
        <v>2606</v>
      </c>
      <c r="C1543" s="13" t="s">
        <v>8</v>
      </c>
      <c r="D1543" s="70"/>
      <c r="E1543" s="70"/>
      <c r="F1543" s="70"/>
      <c r="G1543" s="70"/>
      <c r="H1543" s="70"/>
      <c r="I1543" s="70"/>
      <c r="J1543" s="70"/>
      <c r="K1543" s="70"/>
      <c r="L1543" s="70"/>
      <c r="M1543" s="70"/>
    </row>
    <row r="1544" spans="1:13" s="89" customFormat="1" x14ac:dyDescent="0.25">
      <c r="A1544" s="70"/>
      <c r="B1544" s="70" t="s">
        <v>2608</v>
      </c>
      <c r="C1544" s="13" t="s">
        <v>8</v>
      </c>
      <c r="D1544" s="70"/>
      <c r="E1544" s="70"/>
      <c r="F1544" s="70"/>
      <c r="G1544" s="70"/>
      <c r="H1544" s="70"/>
      <c r="I1544" s="70"/>
      <c r="J1544" s="70"/>
      <c r="K1544" s="70"/>
      <c r="L1544" s="70"/>
      <c r="M1544" s="70"/>
    </row>
    <row r="1545" spans="1:13" s="89" customFormat="1" ht="30" x14ac:dyDescent="0.25">
      <c r="A1545" s="70"/>
      <c r="B1545" s="70" t="s">
        <v>2610</v>
      </c>
      <c r="C1545" s="13" t="s">
        <v>8</v>
      </c>
      <c r="D1545" s="70"/>
      <c r="E1545" s="70"/>
      <c r="F1545" s="70"/>
      <c r="G1545" s="70"/>
      <c r="H1545" s="70"/>
      <c r="I1545" s="70"/>
      <c r="J1545" s="70"/>
      <c r="K1545" s="70"/>
      <c r="L1545" s="70"/>
      <c r="M1545" s="70"/>
    </row>
    <row r="1546" spans="1:13" s="89" customFormat="1" x14ac:dyDescent="0.25">
      <c r="A1546" s="70"/>
      <c r="B1546" s="70" t="s">
        <v>2612</v>
      </c>
      <c r="C1546" s="13" t="s">
        <v>8</v>
      </c>
      <c r="D1546" s="70"/>
      <c r="E1546" s="70"/>
      <c r="F1546" s="70"/>
      <c r="G1546" s="70"/>
      <c r="H1546" s="70"/>
      <c r="I1546" s="70"/>
      <c r="J1546" s="70"/>
      <c r="K1546" s="70"/>
      <c r="L1546" s="70"/>
      <c r="M1546" s="70"/>
    </row>
    <row r="1547" spans="1:13" s="89" customFormat="1" x14ac:dyDescent="0.25">
      <c r="A1547" s="70"/>
      <c r="B1547" s="70" t="s">
        <v>2613</v>
      </c>
      <c r="C1547" s="13" t="s">
        <v>8</v>
      </c>
      <c r="D1547" s="70"/>
      <c r="E1547" s="70"/>
      <c r="F1547" s="70"/>
      <c r="G1547" s="70"/>
      <c r="H1547" s="70"/>
      <c r="I1547" s="70"/>
      <c r="J1547" s="70"/>
      <c r="K1547" s="70"/>
      <c r="L1547" s="70"/>
      <c r="M1547" s="70"/>
    </row>
    <row r="1548" spans="1:13" s="89" customFormat="1" x14ac:dyDescent="0.25">
      <c r="A1548" s="70"/>
      <c r="B1548" s="70" t="s">
        <v>2614</v>
      </c>
      <c r="C1548" s="13" t="s">
        <v>8</v>
      </c>
      <c r="D1548" s="70"/>
      <c r="E1548" s="70"/>
      <c r="F1548" s="70"/>
      <c r="G1548" s="70"/>
      <c r="H1548" s="70"/>
      <c r="I1548" s="70"/>
      <c r="J1548" s="70"/>
      <c r="K1548" s="70"/>
      <c r="L1548" s="70"/>
      <c r="M1548" s="70"/>
    </row>
    <row r="1549" spans="1:13" s="89" customFormat="1" ht="30" x14ac:dyDescent="0.25">
      <c r="A1549" s="70"/>
      <c r="B1549" s="70" t="s">
        <v>2615</v>
      </c>
      <c r="C1549" s="13" t="s">
        <v>8</v>
      </c>
      <c r="D1549" s="70"/>
      <c r="E1549" s="70"/>
      <c r="F1549" s="70"/>
      <c r="G1549" s="70"/>
      <c r="H1549" s="70"/>
      <c r="I1549" s="70"/>
      <c r="J1549" s="70"/>
      <c r="K1549" s="70"/>
      <c r="L1549" s="70"/>
      <c r="M1549" s="70"/>
    </row>
    <row r="1550" spans="1:13" s="89" customFormat="1" x14ac:dyDescent="0.25">
      <c r="A1550" s="70"/>
      <c r="B1550" s="70" t="s">
        <v>2616</v>
      </c>
      <c r="C1550" s="13" t="s">
        <v>8</v>
      </c>
      <c r="D1550" s="70"/>
      <c r="E1550" s="70"/>
      <c r="F1550" s="70"/>
      <c r="G1550" s="70"/>
      <c r="H1550" s="70"/>
      <c r="I1550" s="70"/>
      <c r="J1550" s="70"/>
      <c r="K1550" s="70"/>
      <c r="L1550" s="70"/>
      <c r="M1550" s="70"/>
    </row>
    <row r="1551" spans="1:13" s="89" customFormat="1" x14ac:dyDescent="0.25">
      <c r="A1551" s="70"/>
      <c r="B1551" s="70" t="s">
        <v>2617</v>
      </c>
      <c r="C1551" s="13" t="s">
        <v>8</v>
      </c>
      <c r="D1551" s="70"/>
      <c r="E1551" s="70"/>
      <c r="F1551" s="70"/>
      <c r="G1551" s="70"/>
      <c r="H1551" s="70"/>
      <c r="I1551" s="70"/>
      <c r="J1551" s="70"/>
      <c r="K1551" s="70"/>
      <c r="L1551" s="70"/>
      <c r="M1551" s="70"/>
    </row>
    <row r="1552" spans="1:13" s="89" customFormat="1" ht="30" x14ac:dyDescent="0.25">
      <c r="A1552" s="70"/>
      <c r="B1552" s="70" t="s">
        <v>2618</v>
      </c>
      <c r="C1552" s="13" t="s">
        <v>8</v>
      </c>
      <c r="D1552" s="70"/>
      <c r="E1552" s="70"/>
      <c r="F1552" s="70"/>
      <c r="G1552" s="70"/>
      <c r="H1552" s="70"/>
      <c r="I1552" s="70"/>
      <c r="J1552" s="70"/>
      <c r="K1552" s="70"/>
      <c r="L1552" s="70"/>
      <c r="M1552" s="70"/>
    </row>
    <row r="1553" spans="1:13" s="89" customFormat="1" x14ac:dyDescent="0.25">
      <c r="A1553" s="70"/>
      <c r="B1553" s="70" t="s">
        <v>2619</v>
      </c>
      <c r="C1553" s="13" t="s">
        <v>8</v>
      </c>
      <c r="D1553" s="70"/>
      <c r="E1553" s="70"/>
      <c r="F1553" s="70"/>
      <c r="G1553" s="70"/>
      <c r="H1553" s="70"/>
      <c r="I1553" s="70"/>
      <c r="J1553" s="70"/>
      <c r="K1553" s="70"/>
      <c r="L1553" s="70"/>
      <c r="M1553" s="70"/>
    </row>
    <row r="1554" spans="1:13" s="89" customFormat="1" ht="30" x14ac:dyDescent="0.25">
      <c r="A1554" s="70"/>
      <c r="B1554" s="70" t="s">
        <v>2620</v>
      </c>
      <c r="C1554" s="13" t="s">
        <v>8</v>
      </c>
      <c r="D1554" s="70"/>
      <c r="E1554" s="70"/>
      <c r="F1554" s="70"/>
      <c r="G1554" s="70"/>
      <c r="H1554" s="70"/>
      <c r="I1554" s="70"/>
      <c r="J1554" s="70"/>
      <c r="K1554" s="70"/>
      <c r="L1554" s="70"/>
      <c r="M1554" s="70"/>
    </row>
    <row r="1555" spans="1:13" s="89" customFormat="1" x14ac:dyDescent="0.25">
      <c r="A1555" s="70"/>
      <c r="B1555" s="70" t="s">
        <v>2621</v>
      </c>
      <c r="C1555" s="13" t="s">
        <v>8</v>
      </c>
      <c r="D1555" s="70"/>
      <c r="E1555" s="70"/>
      <c r="F1555" s="70"/>
      <c r="G1555" s="70"/>
      <c r="H1555" s="70"/>
      <c r="I1555" s="70"/>
      <c r="J1555" s="70"/>
      <c r="K1555" s="70"/>
      <c r="L1555" s="70"/>
      <c r="M1555" s="70"/>
    </row>
    <row r="1556" spans="1:13" s="89" customFormat="1" x14ac:dyDescent="0.25">
      <c r="A1556" s="399" t="s">
        <v>2631</v>
      </c>
      <c r="B1556" s="399"/>
      <c r="C1556" s="399"/>
      <c r="D1556" s="399"/>
      <c r="E1556" s="399"/>
      <c r="F1556" s="399"/>
    </row>
    <row r="1557" spans="1:13" s="89" customFormat="1" x14ac:dyDescent="0.25">
      <c r="A1557" s="399" t="s">
        <v>3004</v>
      </c>
      <c r="B1557" s="399"/>
      <c r="C1557" s="399"/>
      <c r="D1557" s="399"/>
      <c r="E1557" s="399"/>
      <c r="F1557" s="399"/>
    </row>
    <row r="1558" spans="1:13" s="89" customFormat="1" x14ac:dyDescent="0.25"/>
    <row r="1559" spans="1:13" s="89" customFormat="1" x14ac:dyDescent="0.25"/>
    <row r="1560" spans="1:13" s="89" customFormat="1" x14ac:dyDescent="0.25"/>
    <row r="1561" spans="1:13" s="89" customFormat="1" x14ac:dyDescent="0.25"/>
    <row r="1562" spans="1:13" s="89" customFormat="1" x14ac:dyDescent="0.25"/>
    <row r="1563" spans="1:13" s="89" customFormat="1" x14ac:dyDescent="0.25"/>
  </sheetData>
  <mergeCells count="20">
    <mergeCell ref="A3:J3"/>
    <mergeCell ref="A4:J4"/>
    <mergeCell ref="A224:K224"/>
    <mergeCell ref="A7:L7"/>
    <mergeCell ref="A8:L8"/>
    <mergeCell ref="A1556:F1556"/>
    <mergeCell ref="A1557:F1557"/>
    <mergeCell ref="A1438:I1438"/>
    <mergeCell ref="A1478:I1478"/>
    <mergeCell ref="A1341:K1341"/>
    <mergeCell ref="A1342:K1342"/>
    <mergeCell ref="A1437:K1437"/>
    <mergeCell ref="A1462:K1462"/>
    <mergeCell ref="A1524:K1524"/>
    <mergeCell ref="A993:I993"/>
    <mergeCell ref="A1153:K1153"/>
    <mergeCell ref="A1154:K1154"/>
    <mergeCell ref="A690:K690"/>
    <mergeCell ref="A1283:I1283"/>
    <mergeCell ref="A691:K69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0000"/>
  </sheetPr>
  <dimension ref="A3:M178"/>
  <sheetViews>
    <sheetView workbookViewId="0">
      <pane xSplit="2" ySplit="8" topLeftCell="C9" activePane="bottomRight" state="frozen"/>
      <selection activeCell="J11" sqref="J11"/>
      <selection pane="topRight" activeCell="J11" sqref="J11"/>
      <selection pane="bottomLeft" activeCell="J11" sqref="J11"/>
      <selection pane="bottomRight" activeCell="C9" sqref="C9"/>
    </sheetView>
  </sheetViews>
  <sheetFormatPr defaultRowHeight="15" x14ac:dyDescent="0.25"/>
  <cols>
    <col min="2" max="2" width="75.140625" customWidth="1"/>
    <col min="3" max="3" width="20.140625" customWidth="1"/>
    <col min="4" max="4" width="16.140625" customWidth="1"/>
    <col min="5" max="10" width="12.28515625" customWidth="1"/>
    <col min="11" max="12" width="12.28515625" style="241" customWidth="1"/>
    <col min="13" max="13" width="41.85546875" customWidth="1"/>
  </cols>
  <sheetData>
    <row r="3" spans="1:13" ht="18.75" x14ac:dyDescent="0.3">
      <c r="A3" s="401" t="s">
        <v>0</v>
      </c>
      <c r="B3" s="401"/>
      <c r="C3" s="401"/>
      <c r="D3" s="401"/>
      <c r="E3" s="401"/>
      <c r="F3" s="401"/>
      <c r="G3" s="401"/>
      <c r="H3" s="401"/>
      <c r="I3" s="401"/>
      <c r="J3" s="401"/>
      <c r="K3" s="244"/>
      <c r="L3" s="250"/>
      <c r="M3" s="14"/>
    </row>
    <row r="4" spans="1:13" ht="18.75" x14ac:dyDescent="0.3">
      <c r="A4" s="401" t="s">
        <v>1</v>
      </c>
      <c r="B4" s="401"/>
      <c r="C4" s="401"/>
      <c r="D4" s="401"/>
      <c r="E4" s="401"/>
      <c r="F4" s="401"/>
      <c r="G4" s="401"/>
      <c r="H4" s="401"/>
      <c r="I4" s="401"/>
      <c r="J4" s="401"/>
      <c r="K4" s="244"/>
      <c r="L4" s="250"/>
      <c r="M4" s="24"/>
    </row>
    <row r="5" spans="1:13" x14ac:dyDescent="0.25">
      <c r="A5" s="1"/>
      <c r="B5" s="1"/>
      <c r="C5" s="1"/>
      <c r="D5" s="1"/>
      <c r="E5" s="1"/>
      <c r="F5" s="1"/>
      <c r="G5" s="1"/>
      <c r="H5" s="1"/>
      <c r="I5" s="1"/>
      <c r="J5" s="1"/>
      <c r="K5" s="1"/>
      <c r="L5" s="1"/>
      <c r="M5" s="1"/>
    </row>
    <row r="6" spans="1:13"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13" x14ac:dyDescent="0.25">
      <c r="A7" s="398" t="s">
        <v>774</v>
      </c>
      <c r="B7" s="398"/>
      <c r="C7" s="398"/>
      <c r="D7" s="398"/>
      <c r="E7" s="398"/>
      <c r="F7" s="398"/>
      <c r="G7" s="398"/>
      <c r="H7" s="398"/>
      <c r="I7" s="398"/>
      <c r="J7" s="398"/>
      <c r="K7" s="398"/>
      <c r="L7" s="398"/>
    </row>
    <row r="8" spans="1:13" x14ac:dyDescent="0.25">
      <c r="A8" s="398" t="s">
        <v>863</v>
      </c>
      <c r="B8" s="398"/>
      <c r="C8" s="398"/>
      <c r="D8" s="398"/>
      <c r="E8" s="398"/>
      <c r="F8" s="398"/>
      <c r="G8" s="398"/>
      <c r="H8" s="398"/>
      <c r="I8" s="398"/>
      <c r="J8" s="398"/>
      <c r="K8" s="398"/>
      <c r="L8" s="398"/>
    </row>
    <row r="9" spans="1:13" ht="30" x14ac:dyDescent="0.25">
      <c r="A9" s="115" t="s">
        <v>123</v>
      </c>
      <c r="B9" s="116" t="s">
        <v>864</v>
      </c>
      <c r="C9" s="97"/>
      <c r="D9" s="113"/>
      <c r="E9" s="113"/>
      <c r="F9" s="113"/>
      <c r="G9" s="113"/>
      <c r="H9" s="113"/>
      <c r="I9" s="45"/>
      <c r="J9" s="45"/>
      <c r="K9" s="45"/>
      <c r="L9" s="45"/>
    </row>
    <row r="10" spans="1:13" s="89" customFormat="1" ht="45" x14ac:dyDescent="0.25">
      <c r="A10" s="79" t="s">
        <v>124</v>
      </c>
      <c r="B10" s="97" t="s">
        <v>2277</v>
      </c>
      <c r="C10" s="61"/>
      <c r="D10" s="59"/>
      <c r="E10" s="59"/>
      <c r="F10" s="59"/>
      <c r="G10" s="59"/>
      <c r="H10" s="59"/>
      <c r="I10" s="45">
        <v>38.4</v>
      </c>
      <c r="J10" s="59"/>
      <c r="K10" s="45">
        <f>K11/K12</f>
        <v>40.598957707918053</v>
      </c>
      <c r="L10" s="45">
        <f>L11/L12</f>
        <v>0</v>
      </c>
    </row>
    <row r="11" spans="1:13" s="89" customFormat="1" ht="30" x14ac:dyDescent="0.25">
      <c r="A11" s="203"/>
      <c r="B11" s="80" t="s">
        <v>2278</v>
      </c>
      <c r="C11" s="133" t="s">
        <v>138</v>
      </c>
      <c r="D11" s="133" t="s">
        <v>2466</v>
      </c>
      <c r="E11" s="204"/>
      <c r="F11" s="204"/>
      <c r="G11" s="204"/>
      <c r="H11" s="204"/>
      <c r="I11" s="76">
        <v>889.6</v>
      </c>
      <c r="J11" s="172"/>
      <c r="K11" s="76">
        <v>1690.5</v>
      </c>
      <c r="L11" s="76"/>
    </row>
    <row r="12" spans="1:13" ht="30" x14ac:dyDescent="0.25">
      <c r="A12" s="37"/>
      <c r="B12" s="80" t="s">
        <v>2276</v>
      </c>
      <c r="C12" s="133" t="s">
        <v>2467</v>
      </c>
      <c r="D12" s="133" t="s">
        <v>2466</v>
      </c>
      <c r="E12" s="37"/>
      <c r="F12" s="37"/>
      <c r="G12" s="37"/>
      <c r="H12" s="37"/>
      <c r="I12" s="76">
        <v>50.378999999999998</v>
      </c>
      <c r="J12" s="76">
        <v>150.93899999999999</v>
      </c>
      <c r="K12" s="76">
        <v>41.639000000000003</v>
      </c>
      <c r="L12" s="251">
        <v>43.35</v>
      </c>
    </row>
    <row r="13" spans="1:13" ht="60" hidden="1" x14ac:dyDescent="0.25">
      <c r="A13" s="172" t="s">
        <v>869</v>
      </c>
      <c r="B13" s="171" t="s">
        <v>866</v>
      </c>
      <c r="C13" s="171"/>
      <c r="D13" s="172" t="s">
        <v>8</v>
      </c>
      <c r="E13" s="197" t="e">
        <f t="shared" ref="E13:J13" si="0">E14/E15*100</f>
        <v>#DIV/0!</v>
      </c>
      <c r="F13" s="197" t="e">
        <f t="shared" si="0"/>
        <v>#DIV/0!</v>
      </c>
      <c r="G13" s="197" t="e">
        <f t="shared" si="0"/>
        <v>#DIV/0!</v>
      </c>
      <c r="H13" s="197" t="e">
        <f t="shared" si="0"/>
        <v>#DIV/0!</v>
      </c>
      <c r="I13" s="197" t="e">
        <f t="shared" si="0"/>
        <v>#DIV/0!</v>
      </c>
      <c r="J13" s="197" t="e">
        <f t="shared" si="0"/>
        <v>#DIV/0!</v>
      </c>
      <c r="K13" s="197" t="e">
        <f>K14/K15*100</f>
        <v>#DIV/0!</v>
      </c>
      <c r="L13" s="197" t="e">
        <f>L14/L15*100</f>
        <v>#DIV/0!</v>
      </c>
      <c r="M13" s="3" t="s">
        <v>46</v>
      </c>
    </row>
    <row r="14" spans="1:13" ht="45" hidden="1" customHeight="1" x14ac:dyDescent="0.25">
      <c r="A14" s="172"/>
      <c r="B14" s="171" t="s">
        <v>867</v>
      </c>
      <c r="C14" s="172" t="s">
        <v>138</v>
      </c>
      <c r="D14" s="172" t="s">
        <v>950</v>
      </c>
      <c r="E14" s="172"/>
      <c r="F14" s="172"/>
      <c r="G14" s="172"/>
      <c r="H14" s="172"/>
      <c r="I14" s="172"/>
      <c r="J14" s="172"/>
      <c r="K14" s="172"/>
      <c r="L14" s="172"/>
    </row>
    <row r="15" spans="1:13" ht="45" hidden="1" customHeight="1" x14ac:dyDescent="0.25">
      <c r="A15" s="172"/>
      <c r="B15" s="171" t="s">
        <v>868</v>
      </c>
      <c r="C15" s="172" t="s">
        <v>138</v>
      </c>
      <c r="D15" s="172" t="s">
        <v>950</v>
      </c>
      <c r="E15" s="172"/>
      <c r="F15" s="172"/>
      <c r="G15" s="172"/>
      <c r="H15" s="172"/>
      <c r="I15" s="172"/>
      <c r="J15" s="172"/>
      <c r="K15" s="172"/>
      <c r="L15" s="172"/>
    </row>
    <row r="16" spans="1:13" ht="77.25" x14ac:dyDescent="0.25">
      <c r="A16" s="79" t="s">
        <v>136</v>
      </c>
      <c r="B16" s="97" t="s">
        <v>2814</v>
      </c>
      <c r="C16" s="79"/>
      <c r="D16" s="79"/>
      <c r="E16" s="79"/>
      <c r="F16" s="79"/>
      <c r="G16" s="79"/>
      <c r="H16" s="79"/>
      <c r="I16" s="79"/>
      <c r="J16" s="79"/>
      <c r="K16" s="79"/>
      <c r="L16" s="79"/>
    </row>
    <row r="17" spans="1:12" x14ac:dyDescent="0.25">
      <c r="A17" s="79"/>
      <c r="B17" s="97" t="s">
        <v>2268</v>
      </c>
      <c r="C17" s="79"/>
      <c r="D17" s="79"/>
      <c r="E17" s="79"/>
      <c r="F17" s="79"/>
      <c r="G17" s="79"/>
      <c r="H17" s="79"/>
      <c r="I17" s="45">
        <f>I25/$I$32*100</f>
        <v>94.158280235812541</v>
      </c>
      <c r="J17" s="45">
        <f t="shared" ref="J17:J23" si="1">J25/$J$32*100</f>
        <v>97.769297530790595</v>
      </c>
      <c r="K17" s="45">
        <f>K25/$K$32*100</f>
        <v>92.386944931434471</v>
      </c>
      <c r="L17" s="45">
        <f>L25/$L$32*100</f>
        <v>69.893886966551321</v>
      </c>
    </row>
    <row r="18" spans="1:12" ht="30" x14ac:dyDescent="0.25">
      <c r="A18" s="79"/>
      <c r="B18" s="97" t="s">
        <v>2269</v>
      </c>
      <c r="C18" s="79"/>
      <c r="D18" s="79"/>
      <c r="E18" s="79"/>
      <c r="F18" s="79"/>
      <c r="G18" s="79"/>
      <c r="H18" s="79"/>
      <c r="I18" s="45">
        <f t="shared" ref="I18:I23" si="2">I26/$I$32*100</f>
        <v>0.25804402628079159</v>
      </c>
      <c r="J18" s="45">
        <f t="shared" si="1"/>
        <v>1.7888020988611295E-2</v>
      </c>
      <c r="K18" s="45">
        <f t="shared" ref="K18:K23" si="3">K26/$K$32*100</f>
        <v>3.1220730565095226E-2</v>
      </c>
      <c r="L18" s="45">
        <f t="shared" ref="L18:L23" si="4">L26/$L$32*100</f>
        <v>0.62514417531718569</v>
      </c>
    </row>
    <row r="19" spans="1:12" ht="30" x14ac:dyDescent="0.25">
      <c r="A19" s="79"/>
      <c r="B19" s="97" t="s">
        <v>2270</v>
      </c>
      <c r="C19" s="79"/>
      <c r="D19" s="79"/>
      <c r="E19" s="79"/>
      <c r="F19" s="79"/>
      <c r="G19" s="79"/>
      <c r="H19" s="79"/>
      <c r="I19" s="45">
        <f t="shared" si="2"/>
        <v>0.19849540483137815</v>
      </c>
      <c r="J19" s="45">
        <f t="shared" si="1"/>
        <v>0.11925347325740861</v>
      </c>
      <c r="K19" s="45">
        <f t="shared" si="3"/>
        <v>7.9252623742164796E-2</v>
      </c>
      <c r="L19" s="45">
        <f t="shared" si="4"/>
        <v>9.6885813148788927E-2</v>
      </c>
    </row>
    <row r="20" spans="1:12" x14ac:dyDescent="0.25">
      <c r="A20" s="79"/>
      <c r="B20" s="97" t="s">
        <v>2271</v>
      </c>
      <c r="C20" s="79"/>
      <c r="D20" s="79"/>
      <c r="E20" s="79"/>
      <c r="F20" s="79"/>
      <c r="G20" s="79"/>
      <c r="H20" s="79"/>
      <c r="I20" s="45">
        <f t="shared" si="2"/>
        <v>0</v>
      </c>
      <c r="J20" s="45">
        <f t="shared" si="1"/>
        <v>0</v>
      </c>
      <c r="K20" s="45">
        <f t="shared" si="3"/>
        <v>0</v>
      </c>
      <c r="L20" s="45">
        <f t="shared" si="4"/>
        <v>4.61361014994233E-3</v>
      </c>
    </row>
    <row r="21" spans="1:12" x14ac:dyDescent="0.25">
      <c r="A21" s="79"/>
      <c r="B21" s="97" t="s">
        <v>2272</v>
      </c>
      <c r="C21" s="79"/>
      <c r="D21" s="79"/>
      <c r="E21" s="79"/>
      <c r="F21" s="79"/>
      <c r="G21" s="79"/>
      <c r="H21" s="79"/>
      <c r="I21" s="45">
        <f t="shared" si="2"/>
        <v>7.1458345739296131E-2</v>
      </c>
      <c r="J21" s="45">
        <f t="shared" si="1"/>
        <v>0.28885841300127868</v>
      </c>
      <c r="K21" s="45">
        <f t="shared" si="3"/>
        <v>0.95343307956483103</v>
      </c>
      <c r="L21" s="45">
        <f t="shared" si="4"/>
        <v>0.83044982698961944</v>
      </c>
    </row>
    <row r="22" spans="1:12" ht="30" x14ac:dyDescent="0.25">
      <c r="A22" s="79"/>
      <c r="B22" s="97" t="s">
        <v>2273</v>
      </c>
      <c r="C22" s="79"/>
      <c r="D22" s="79"/>
      <c r="E22" s="79"/>
      <c r="F22" s="79"/>
      <c r="G22" s="79"/>
      <c r="H22" s="79"/>
      <c r="I22" s="45">
        <f t="shared" si="2"/>
        <v>1.0143115186883422</v>
      </c>
      <c r="J22" s="45">
        <f t="shared" si="1"/>
        <v>0.39287394245357393</v>
      </c>
      <c r="K22" s="45">
        <f t="shared" si="3"/>
        <v>1.8372199140229113</v>
      </c>
      <c r="L22" s="45">
        <f t="shared" si="4"/>
        <v>1.4209919261822377</v>
      </c>
    </row>
    <row r="23" spans="1:12" x14ac:dyDescent="0.25">
      <c r="A23" s="79"/>
      <c r="B23" s="97" t="s">
        <v>2274</v>
      </c>
      <c r="C23" s="79"/>
      <c r="D23" s="79"/>
      <c r="E23" s="79"/>
      <c r="F23" s="79"/>
      <c r="G23" s="79"/>
      <c r="H23" s="79"/>
      <c r="I23" s="45">
        <f t="shared" si="2"/>
        <v>4.2994104686476504</v>
      </c>
      <c r="J23" s="45">
        <f t="shared" si="1"/>
        <v>1.4118286195085432</v>
      </c>
      <c r="K23" s="45">
        <f t="shared" si="3"/>
        <v>4.7119287206705254</v>
      </c>
      <c r="L23" s="45">
        <f t="shared" si="4"/>
        <v>27.1280276816609</v>
      </c>
    </row>
    <row r="24" spans="1:12" ht="30" x14ac:dyDescent="0.25">
      <c r="A24" s="37"/>
      <c r="B24" s="80" t="s">
        <v>2275</v>
      </c>
      <c r="C24" s="37"/>
      <c r="D24" s="133" t="s">
        <v>950</v>
      </c>
      <c r="E24" s="37"/>
      <c r="F24" s="37"/>
      <c r="G24" s="37"/>
      <c r="H24" s="37"/>
      <c r="I24" s="37"/>
      <c r="J24" s="37"/>
      <c r="K24" s="37"/>
      <c r="L24" s="37"/>
    </row>
    <row r="25" spans="1:12" ht="30" x14ac:dyDescent="0.25">
      <c r="A25" s="37"/>
      <c r="B25" s="80" t="s">
        <v>2268</v>
      </c>
      <c r="C25" s="133" t="s">
        <v>2470</v>
      </c>
      <c r="D25" s="133" t="s">
        <v>950</v>
      </c>
      <c r="E25" s="37"/>
      <c r="F25" s="37"/>
      <c r="G25" s="37"/>
      <c r="H25" s="37"/>
      <c r="I25" s="69">
        <f>32427+15009</f>
        <v>47436</v>
      </c>
      <c r="J25" s="69">
        <f>132245+15327</f>
        <v>147572</v>
      </c>
      <c r="K25" s="69">
        <f>27283+11186</f>
        <v>38469</v>
      </c>
      <c r="L25" s="69">
        <v>30299</v>
      </c>
    </row>
    <row r="26" spans="1:12" ht="30" x14ac:dyDescent="0.25">
      <c r="A26" s="37"/>
      <c r="B26" s="80" t="s">
        <v>2269</v>
      </c>
      <c r="C26" s="133" t="s">
        <v>2894</v>
      </c>
      <c r="D26" s="133" t="s">
        <v>950</v>
      </c>
      <c r="E26" s="37"/>
      <c r="F26" s="37"/>
      <c r="G26" s="37"/>
      <c r="H26" s="37"/>
      <c r="I26" s="69">
        <v>130</v>
      </c>
      <c r="J26" s="69">
        <v>27</v>
      </c>
      <c r="K26" s="69">
        <v>13</v>
      </c>
      <c r="L26" s="69">
        <v>271</v>
      </c>
    </row>
    <row r="27" spans="1:12" ht="30" x14ac:dyDescent="0.25">
      <c r="A27" s="37"/>
      <c r="B27" s="80" t="s">
        <v>2270</v>
      </c>
      <c r="C27" s="133" t="s">
        <v>2893</v>
      </c>
      <c r="D27" s="133" t="s">
        <v>950</v>
      </c>
      <c r="E27" s="37"/>
      <c r="F27" s="37"/>
      <c r="G27" s="37"/>
      <c r="H27" s="37"/>
      <c r="I27" s="69">
        <v>100</v>
      </c>
      <c r="J27" s="69">
        <v>180</v>
      </c>
      <c r="K27" s="69">
        <v>33</v>
      </c>
      <c r="L27" s="69">
        <v>42</v>
      </c>
    </row>
    <row r="28" spans="1:12" ht="30" x14ac:dyDescent="0.25">
      <c r="A28" s="37"/>
      <c r="B28" s="80" t="s">
        <v>2271</v>
      </c>
      <c r="C28" s="133" t="s">
        <v>2895</v>
      </c>
      <c r="D28" s="133" t="s">
        <v>950</v>
      </c>
      <c r="E28" s="37"/>
      <c r="F28" s="37"/>
      <c r="G28" s="37"/>
      <c r="H28" s="37"/>
      <c r="I28" s="69">
        <v>0</v>
      </c>
      <c r="J28" s="69">
        <v>0</v>
      </c>
      <c r="K28" s="69">
        <v>0</v>
      </c>
      <c r="L28" s="69">
        <v>2</v>
      </c>
    </row>
    <row r="29" spans="1:12" ht="30" x14ac:dyDescent="0.25">
      <c r="A29" s="37"/>
      <c r="B29" s="80" t="s">
        <v>2272</v>
      </c>
      <c r="C29" s="133" t="s">
        <v>2471</v>
      </c>
      <c r="D29" s="133" t="s">
        <v>950</v>
      </c>
      <c r="E29" s="37"/>
      <c r="F29" s="37"/>
      <c r="G29" s="37"/>
      <c r="H29" s="37"/>
      <c r="I29" s="69">
        <v>36</v>
      </c>
      <c r="J29" s="69">
        <v>436</v>
      </c>
      <c r="K29" s="69">
        <v>397</v>
      </c>
      <c r="L29" s="69">
        <v>360</v>
      </c>
    </row>
    <row r="30" spans="1:12" ht="30" x14ac:dyDescent="0.25">
      <c r="A30" s="37"/>
      <c r="B30" s="80" t="s">
        <v>2273</v>
      </c>
      <c r="C30" s="133" t="s">
        <v>2896</v>
      </c>
      <c r="D30" s="133" t="s">
        <v>950</v>
      </c>
      <c r="E30" s="37"/>
      <c r="F30" s="37"/>
      <c r="G30" s="37"/>
      <c r="H30" s="37"/>
      <c r="I30" s="69">
        <f>444+67</f>
        <v>511</v>
      </c>
      <c r="J30" s="69">
        <f>532+61</f>
        <v>593</v>
      </c>
      <c r="K30" s="69">
        <f>698+67</f>
        <v>765</v>
      </c>
      <c r="L30" s="69">
        <v>616</v>
      </c>
    </row>
    <row r="31" spans="1:12" ht="30" x14ac:dyDescent="0.25">
      <c r="A31" s="37"/>
      <c r="B31" s="80" t="s">
        <v>2274</v>
      </c>
      <c r="C31" s="133" t="s">
        <v>2472</v>
      </c>
      <c r="D31" s="133" t="s">
        <v>950</v>
      </c>
      <c r="E31" s="37"/>
      <c r="F31" s="37"/>
      <c r="G31" s="37"/>
      <c r="H31" s="37"/>
      <c r="I31" s="69">
        <v>2166</v>
      </c>
      <c r="J31" s="69">
        <v>2131</v>
      </c>
      <c r="K31" s="69">
        <v>1962</v>
      </c>
      <c r="L31" s="69">
        <v>11760</v>
      </c>
    </row>
    <row r="32" spans="1:12" ht="30" x14ac:dyDescent="0.25">
      <c r="A32" s="37"/>
      <c r="B32" s="80" t="s">
        <v>2276</v>
      </c>
      <c r="C32" s="133" t="s">
        <v>2467</v>
      </c>
      <c r="D32" s="133" t="s">
        <v>950</v>
      </c>
      <c r="E32" s="37"/>
      <c r="F32" s="37"/>
      <c r="G32" s="37"/>
      <c r="H32" s="37"/>
      <c r="I32" s="69">
        <f>I12*1000</f>
        <v>50379</v>
      </c>
      <c r="J32" s="69">
        <f>J12*1000</f>
        <v>150939</v>
      </c>
      <c r="K32" s="69">
        <f>K12*1000</f>
        <v>41639</v>
      </c>
      <c r="L32" s="69">
        <f>L12*1000</f>
        <v>43350</v>
      </c>
    </row>
    <row r="33" spans="1:13" ht="90" hidden="1" x14ac:dyDescent="0.25">
      <c r="A33" s="172" t="s">
        <v>870</v>
      </c>
      <c r="B33" s="171" t="s">
        <v>1484</v>
      </c>
      <c r="C33" s="172"/>
      <c r="D33" s="172" t="s">
        <v>8</v>
      </c>
      <c r="E33" s="197" t="e">
        <f t="shared" ref="E33:J33" si="5">1/E34*E41</f>
        <v>#DIV/0!</v>
      </c>
      <c r="F33" s="197" t="e">
        <f t="shared" si="5"/>
        <v>#DIV/0!</v>
      </c>
      <c r="G33" s="197" t="e">
        <f t="shared" si="5"/>
        <v>#DIV/0!</v>
      </c>
      <c r="H33" s="197" t="e">
        <f t="shared" si="5"/>
        <v>#DIV/0!</v>
      </c>
      <c r="I33" s="197" t="e">
        <f t="shared" si="5"/>
        <v>#DIV/0!</v>
      </c>
      <c r="J33" s="197" t="e">
        <f t="shared" si="5"/>
        <v>#DIV/0!</v>
      </c>
      <c r="K33" s="197" t="e">
        <f>1/K34*K41</f>
        <v>#DIV/0!</v>
      </c>
      <c r="L33" s="197" t="e">
        <f>1/L34*L41</f>
        <v>#DIV/0!</v>
      </c>
      <c r="M33" s="3" t="s">
        <v>94</v>
      </c>
    </row>
    <row r="34" spans="1:13" ht="105" hidden="1" x14ac:dyDescent="0.25">
      <c r="A34" s="172"/>
      <c r="B34" s="171" t="s">
        <v>879</v>
      </c>
      <c r="C34" s="172" t="s">
        <v>872</v>
      </c>
      <c r="D34" s="172"/>
      <c r="E34" s="172">
        <f t="shared" ref="E34:J34" si="6">E35+E36+E37+E38+E39+E40</f>
        <v>0</v>
      </c>
      <c r="F34" s="172">
        <f t="shared" si="6"/>
        <v>0</v>
      </c>
      <c r="G34" s="172">
        <f t="shared" si="6"/>
        <v>0</v>
      </c>
      <c r="H34" s="172">
        <f t="shared" si="6"/>
        <v>0</v>
      </c>
      <c r="I34" s="172">
        <f t="shared" si="6"/>
        <v>0</v>
      </c>
      <c r="J34" s="172">
        <f t="shared" si="6"/>
        <v>0</v>
      </c>
      <c r="K34" s="172">
        <f>K35+K36+K37+K38+K39+K40</f>
        <v>0</v>
      </c>
      <c r="L34" s="172">
        <f>L35+L36+L37+L38+L39+L40</f>
        <v>0</v>
      </c>
    </row>
    <row r="35" spans="1:13" hidden="1" x14ac:dyDescent="0.25">
      <c r="A35" s="172"/>
      <c r="B35" s="171" t="s">
        <v>873</v>
      </c>
      <c r="C35" s="172"/>
      <c r="D35" s="172" t="s">
        <v>950</v>
      </c>
      <c r="E35" s="172"/>
      <c r="F35" s="172"/>
      <c r="G35" s="172"/>
      <c r="H35" s="172"/>
      <c r="I35" s="172"/>
      <c r="J35" s="172"/>
      <c r="K35" s="172"/>
      <c r="L35" s="172"/>
    </row>
    <row r="36" spans="1:13" ht="45" hidden="1" x14ac:dyDescent="0.25">
      <c r="A36" s="171"/>
      <c r="B36" s="171" t="s">
        <v>874</v>
      </c>
      <c r="C36" s="172"/>
      <c r="D36" s="172" t="s">
        <v>950</v>
      </c>
      <c r="E36" s="172"/>
      <c r="F36" s="172"/>
      <c r="G36" s="172"/>
      <c r="H36" s="172"/>
      <c r="I36" s="172"/>
      <c r="J36" s="172"/>
      <c r="K36" s="172"/>
      <c r="L36" s="172"/>
    </row>
    <row r="37" spans="1:13" ht="45" hidden="1" x14ac:dyDescent="0.25">
      <c r="A37" s="171"/>
      <c r="B37" s="171" t="s">
        <v>875</v>
      </c>
      <c r="C37" s="172"/>
      <c r="D37" s="172" t="s">
        <v>950</v>
      </c>
      <c r="E37" s="172"/>
      <c r="F37" s="172"/>
      <c r="G37" s="172"/>
      <c r="H37" s="172"/>
      <c r="I37" s="172"/>
      <c r="J37" s="172"/>
      <c r="K37" s="172"/>
      <c r="L37" s="172"/>
    </row>
    <row r="38" spans="1:13" ht="45" hidden="1" x14ac:dyDescent="0.25">
      <c r="A38" s="171"/>
      <c r="B38" s="171" t="s">
        <v>876</v>
      </c>
      <c r="C38" s="172"/>
      <c r="D38" s="172" t="s">
        <v>950</v>
      </c>
      <c r="E38" s="172"/>
      <c r="F38" s="172"/>
      <c r="G38" s="172"/>
      <c r="H38" s="172"/>
      <c r="I38" s="172"/>
      <c r="J38" s="172"/>
      <c r="K38" s="172"/>
      <c r="L38" s="172"/>
    </row>
    <row r="39" spans="1:13" ht="30" hidden="1" x14ac:dyDescent="0.25">
      <c r="A39" s="171"/>
      <c r="B39" s="171" t="s">
        <v>877</v>
      </c>
      <c r="C39" s="172"/>
      <c r="D39" s="172" t="s">
        <v>950</v>
      </c>
      <c r="E39" s="172"/>
      <c r="F39" s="172"/>
      <c r="G39" s="172"/>
      <c r="H39" s="172"/>
      <c r="I39" s="172"/>
      <c r="J39" s="172"/>
      <c r="K39" s="172"/>
      <c r="L39" s="172"/>
    </row>
    <row r="40" spans="1:13" ht="45" hidden="1" x14ac:dyDescent="0.25">
      <c r="A40" s="171"/>
      <c r="B40" s="171" t="s">
        <v>878</v>
      </c>
      <c r="C40" s="172"/>
      <c r="D40" s="172" t="s">
        <v>950</v>
      </c>
      <c r="E40" s="172"/>
      <c r="F40" s="172"/>
      <c r="G40" s="172"/>
      <c r="H40" s="172"/>
      <c r="I40" s="172"/>
      <c r="J40" s="172"/>
      <c r="K40" s="172"/>
      <c r="L40" s="172"/>
    </row>
    <row r="41" spans="1:13" ht="105" hidden="1" x14ac:dyDescent="0.25">
      <c r="A41" s="171"/>
      <c r="B41" s="171" t="s">
        <v>871</v>
      </c>
      <c r="C41" s="172" t="s">
        <v>872</v>
      </c>
      <c r="D41" s="172" t="s">
        <v>950</v>
      </c>
      <c r="E41" s="172"/>
      <c r="F41" s="172"/>
      <c r="G41" s="172"/>
      <c r="H41" s="172"/>
      <c r="I41" s="172"/>
      <c r="J41" s="172"/>
      <c r="K41" s="172"/>
      <c r="L41" s="172"/>
    </row>
    <row r="42" spans="1:13" ht="45" hidden="1" x14ac:dyDescent="0.25">
      <c r="A42" s="150" t="s">
        <v>880</v>
      </c>
      <c r="B42" s="51" t="s">
        <v>881</v>
      </c>
      <c r="C42" s="150"/>
      <c r="D42" s="150" t="s">
        <v>8</v>
      </c>
      <c r="E42" s="164">
        <f t="shared" ref="E42:J42" si="7">E43/E44*100</f>
        <v>18.897240602760178</v>
      </c>
      <c r="F42" s="164">
        <f t="shared" si="7"/>
        <v>18.897240602760178</v>
      </c>
      <c r="G42" s="164">
        <f t="shared" si="7"/>
        <v>18.897240602760178</v>
      </c>
      <c r="H42" s="164">
        <f t="shared" si="7"/>
        <v>25.38970383142734</v>
      </c>
      <c r="I42" s="164">
        <f t="shared" si="7"/>
        <v>25.38970383142734</v>
      </c>
      <c r="J42" s="164">
        <f t="shared" si="7"/>
        <v>25.38970383142734</v>
      </c>
      <c r="K42" s="164">
        <f>K43/K44*100</f>
        <v>25.38970383142734</v>
      </c>
      <c r="L42" s="164">
        <f>L43/L44*100</f>
        <v>25.38970383142734</v>
      </c>
      <c r="M42" s="3" t="s">
        <v>46</v>
      </c>
    </row>
    <row r="43" spans="1:13" ht="30" hidden="1" x14ac:dyDescent="0.25">
      <c r="A43" s="194"/>
      <c r="B43" s="51" t="s">
        <v>882</v>
      </c>
      <c r="C43" s="150" t="s">
        <v>883</v>
      </c>
      <c r="D43" s="150" t="s">
        <v>950</v>
      </c>
      <c r="E43" s="150">
        <v>121003</v>
      </c>
      <c r="F43" s="150">
        <v>121003</v>
      </c>
      <c r="G43" s="150">
        <v>121003</v>
      </c>
      <c r="H43" s="150">
        <v>160207</v>
      </c>
      <c r="I43" s="150">
        <v>160207</v>
      </c>
      <c r="J43" s="150">
        <v>160207</v>
      </c>
      <c r="K43" s="150">
        <v>160207</v>
      </c>
      <c r="L43" s="150">
        <v>160207</v>
      </c>
    </row>
    <row r="44" spans="1:13" ht="30" hidden="1" x14ac:dyDescent="0.25">
      <c r="A44" s="194"/>
      <c r="B44" s="51" t="s">
        <v>884</v>
      </c>
      <c r="C44" s="150" t="s">
        <v>885</v>
      </c>
      <c r="D44" s="150" t="s">
        <v>950</v>
      </c>
      <c r="E44" s="150">
        <v>640321</v>
      </c>
      <c r="F44" s="150">
        <v>640321</v>
      </c>
      <c r="G44" s="150">
        <v>640321</v>
      </c>
      <c r="H44" s="150">
        <v>630992</v>
      </c>
      <c r="I44" s="150">
        <v>630992</v>
      </c>
      <c r="J44" s="150">
        <v>630992</v>
      </c>
      <c r="K44" s="150">
        <v>630992</v>
      </c>
      <c r="L44" s="150">
        <v>630992</v>
      </c>
    </row>
    <row r="45" spans="1:13" ht="30" x14ac:dyDescent="0.25">
      <c r="A45" s="47" t="s">
        <v>143</v>
      </c>
      <c r="B45" s="48" t="s">
        <v>887</v>
      </c>
      <c r="C45" s="44"/>
      <c r="D45" s="42"/>
      <c r="E45" s="49"/>
      <c r="F45" s="49"/>
      <c r="G45" s="49"/>
      <c r="H45" s="49"/>
      <c r="I45" s="49"/>
      <c r="J45" s="49"/>
      <c r="K45" s="49"/>
      <c r="L45" s="49"/>
    </row>
    <row r="46" spans="1:13" ht="62.25" x14ac:dyDescent="0.25">
      <c r="A46" s="42" t="s">
        <v>151</v>
      </c>
      <c r="B46" s="43" t="s">
        <v>2816</v>
      </c>
      <c r="C46" s="44"/>
      <c r="D46" s="42" t="s">
        <v>8</v>
      </c>
      <c r="E46" s="45"/>
      <c r="F46" s="45"/>
      <c r="G46" s="45"/>
      <c r="H46" s="45"/>
      <c r="I46" s="45"/>
      <c r="J46" s="45"/>
      <c r="K46" s="45"/>
      <c r="L46" s="45"/>
      <c r="M46" s="3" t="s">
        <v>46</v>
      </c>
    </row>
    <row r="47" spans="1:13" x14ac:dyDescent="0.25">
      <c r="A47" s="42"/>
      <c r="B47" s="43" t="s">
        <v>1675</v>
      </c>
      <c r="C47" s="44"/>
      <c r="D47" s="42"/>
      <c r="E47" s="45">
        <f t="shared" ref="E47:K47" si="8">E50/E53*100</f>
        <v>3.3354544928638132</v>
      </c>
      <c r="F47" s="45">
        <f t="shared" si="8"/>
        <v>3.3354544928638132</v>
      </c>
      <c r="G47" s="45">
        <f t="shared" si="8"/>
        <v>3.3354544928638132</v>
      </c>
      <c r="H47" s="45">
        <f t="shared" si="8"/>
        <v>7.3286435673846961</v>
      </c>
      <c r="I47" s="45">
        <f t="shared" si="8"/>
        <v>29.776295678755037</v>
      </c>
      <c r="J47" s="45">
        <f t="shared" si="8"/>
        <v>12.293045534951204</v>
      </c>
      <c r="K47" s="45">
        <f t="shared" si="8"/>
        <v>41.100890991618435</v>
      </c>
      <c r="L47" s="45">
        <f t="shared" ref="L47" si="9">L50/L53*100</f>
        <v>21.833910034602074</v>
      </c>
      <c r="M47" s="3"/>
    </row>
    <row r="48" spans="1:13" x14ac:dyDescent="0.25">
      <c r="A48" s="42"/>
      <c r="B48" s="43" t="s">
        <v>2265</v>
      </c>
      <c r="C48" s="44"/>
      <c r="D48" s="42"/>
      <c r="E48" s="45"/>
      <c r="F48" s="45"/>
      <c r="G48" s="45"/>
      <c r="H48" s="45"/>
      <c r="I48" s="45">
        <f t="shared" ref="I48:K49" si="10">I51/I54*100</f>
        <v>29.809165914387087</v>
      </c>
      <c r="J48" s="45">
        <f t="shared" si="10"/>
        <v>17.740658805382477</v>
      </c>
      <c r="K48" s="45">
        <f t="shared" si="10"/>
        <v>45.254324664910065</v>
      </c>
      <c r="L48" s="45">
        <f t="shared" ref="L48" si="11">L51/L54*100</f>
        <v>20.0218818380744</v>
      </c>
      <c r="M48" s="3"/>
    </row>
    <row r="49" spans="1:13" x14ac:dyDescent="0.25">
      <c r="A49" s="42"/>
      <c r="B49" s="43" t="s">
        <v>2266</v>
      </c>
      <c r="C49" s="44"/>
      <c r="D49" s="42"/>
      <c r="E49" s="45"/>
      <c r="F49" s="45"/>
      <c r="G49" s="45"/>
      <c r="H49" s="45"/>
      <c r="I49" s="45">
        <f t="shared" si="10"/>
        <v>29.206117989803349</v>
      </c>
      <c r="J49" s="45">
        <f t="shared" si="10"/>
        <v>2.0478271656774241</v>
      </c>
      <c r="K49" s="45">
        <f t="shared" si="10"/>
        <v>19.529971738807081</v>
      </c>
      <c r="L49" s="45">
        <f t="shared" ref="L49" si="12">L52/L55*100</f>
        <v>45.086151882578172</v>
      </c>
      <c r="M49" s="3"/>
    </row>
    <row r="50" spans="1:13" ht="45" x14ac:dyDescent="0.25">
      <c r="A50" s="6"/>
      <c r="B50" s="21" t="s">
        <v>890</v>
      </c>
      <c r="C50" s="133"/>
      <c r="D50" s="6" t="s">
        <v>950</v>
      </c>
      <c r="E50" s="111">
        <v>4036</v>
      </c>
      <c r="F50" s="111">
        <v>4036</v>
      </c>
      <c r="G50" s="111">
        <v>4036</v>
      </c>
      <c r="H50" s="111">
        <v>11741</v>
      </c>
      <c r="I50" s="140">
        <f>I51+I52</f>
        <v>15001</v>
      </c>
      <c r="J50" s="140">
        <f>J51+J52</f>
        <v>18555</v>
      </c>
      <c r="K50" s="140">
        <f>K51+K52</f>
        <v>17114</v>
      </c>
      <c r="L50" s="140">
        <f>L51+L52</f>
        <v>9465</v>
      </c>
      <c r="M50" s="3"/>
    </row>
    <row r="51" spans="1:13" ht="30" x14ac:dyDescent="0.25">
      <c r="A51" s="6"/>
      <c r="B51" s="21" t="s">
        <v>2265</v>
      </c>
      <c r="C51" s="133" t="s">
        <v>2897</v>
      </c>
      <c r="D51" s="6"/>
      <c r="E51" s="111"/>
      <c r="F51" s="111"/>
      <c r="G51" s="111"/>
      <c r="H51" s="111"/>
      <c r="I51" s="140">
        <v>14199</v>
      </c>
      <c r="J51" s="140">
        <v>17482</v>
      </c>
      <c r="K51" s="140">
        <v>15801</v>
      </c>
      <c r="L51" s="140">
        <v>8052</v>
      </c>
      <c r="M51" s="3"/>
    </row>
    <row r="52" spans="1:13" ht="30" x14ac:dyDescent="0.25">
      <c r="A52" s="6"/>
      <c r="B52" s="21" t="s">
        <v>2266</v>
      </c>
      <c r="C52" s="133" t="s">
        <v>2898</v>
      </c>
      <c r="D52" s="6"/>
      <c r="E52" s="111"/>
      <c r="F52" s="111"/>
      <c r="G52" s="111"/>
      <c r="H52" s="111"/>
      <c r="I52" s="140">
        <v>802</v>
      </c>
      <c r="J52" s="140">
        <v>1073</v>
      </c>
      <c r="K52" s="140">
        <v>1313</v>
      </c>
      <c r="L52" s="140">
        <v>1413</v>
      </c>
      <c r="M52" s="3"/>
    </row>
    <row r="53" spans="1:13" ht="30" x14ac:dyDescent="0.25">
      <c r="A53" s="6"/>
      <c r="B53" s="21" t="s">
        <v>882</v>
      </c>
      <c r="C53" s="133"/>
      <c r="D53" s="6" t="s">
        <v>950</v>
      </c>
      <c r="E53" s="13">
        <v>121003</v>
      </c>
      <c r="F53" s="13">
        <v>121003</v>
      </c>
      <c r="G53" s="13">
        <v>121003</v>
      </c>
      <c r="H53" s="13">
        <v>160207</v>
      </c>
      <c r="I53" s="140">
        <f>I54+I55</f>
        <v>50379</v>
      </c>
      <c r="J53" s="140">
        <f>J54+J55</f>
        <v>150939</v>
      </c>
      <c r="K53" s="140">
        <f>K54+K55</f>
        <v>41639</v>
      </c>
      <c r="L53" s="140">
        <f>L54+L55</f>
        <v>43350</v>
      </c>
      <c r="M53" s="3"/>
    </row>
    <row r="54" spans="1:13" ht="30" x14ac:dyDescent="0.25">
      <c r="A54" s="6"/>
      <c r="B54" s="21" t="s">
        <v>2265</v>
      </c>
      <c r="C54" s="133" t="s">
        <v>2468</v>
      </c>
      <c r="D54" s="6"/>
      <c r="E54" s="13"/>
      <c r="F54" s="13"/>
      <c r="G54" s="13"/>
      <c r="H54" s="13"/>
      <c r="I54" s="140">
        <v>47633</v>
      </c>
      <c r="J54" s="140">
        <v>98542</v>
      </c>
      <c r="K54" s="140">
        <v>34916</v>
      </c>
      <c r="L54" s="140">
        <v>40216</v>
      </c>
      <c r="M54" s="210"/>
    </row>
    <row r="55" spans="1:13" ht="30" x14ac:dyDescent="0.25">
      <c r="A55" s="6"/>
      <c r="B55" s="21" t="s">
        <v>2266</v>
      </c>
      <c r="C55" s="133" t="s">
        <v>2899</v>
      </c>
      <c r="D55" s="6"/>
      <c r="E55" s="13"/>
      <c r="F55" s="13"/>
      <c r="G55" s="13"/>
      <c r="H55" s="13"/>
      <c r="I55" s="140">
        <v>2746</v>
      </c>
      <c r="J55" s="140">
        <v>52397</v>
      </c>
      <c r="K55" s="140">
        <v>6723</v>
      </c>
      <c r="L55" s="140">
        <v>3134</v>
      </c>
      <c r="M55" s="210"/>
    </row>
    <row r="56" spans="1:13" ht="62.25" x14ac:dyDescent="0.25">
      <c r="A56" s="42" t="s">
        <v>152</v>
      </c>
      <c r="B56" s="43" t="s">
        <v>2815</v>
      </c>
      <c r="C56" s="42"/>
      <c r="D56" s="42"/>
      <c r="E56" s="42"/>
      <c r="F56" s="42"/>
      <c r="G56" s="42"/>
      <c r="H56" s="42"/>
      <c r="I56" s="42"/>
      <c r="J56" s="42"/>
      <c r="K56" s="42"/>
      <c r="L56" s="42"/>
      <c r="M56" s="3"/>
    </row>
    <row r="57" spans="1:13" x14ac:dyDescent="0.25">
      <c r="A57" s="42"/>
      <c r="B57" s="43" t="s">
        <v>2196</v>
      </c>
      <c r="C57" s="42"/>
      <c r="D57" s="42"/>
      <c r="E57" s="42"/>
      <c r="F57" s="42"/>
      <c r="G57" s="42"/>
      <c r="H57" s="42"/>
      <c r="I57" s="78">
        <f t="shared" ref="I57:J59" si="13">I61/I64*100</f>
        <v>17.461600646725948</v>
      </c>
      <c r="J57" s="78">
        <f t="shared" si="13"/>
        <v>10.92217135382603</v>
      </c>
      <c r="K57" s="78">
        <f t="shared" ref="K57:L59" si="14">K61/K64*100</f>
        <v>3.9971448965024985</v>
      </c>
      <c r="L57" s="78">
        <f t="shared" si="14"/>
        <v>4.0064102564102564</v>
      </c>
      <c r="M57" s="3"/>
    </row>
    <row r="58" spans="1:13" x14ac:dyDescent="0.25">
      <c r="A58" s="42"/>
      <c r="B58" s="43" t="s">
        <v>2259</v>
      </c>
      <c r="C58" s="42"/>
      <c r="D58" s="42"/>
      <c r="E58" s="42"/>
      <c r="F58" s="42"/>
      <c r="G58" s="42"/>
      <c r="H58" s="42"/>
      <c r="I58" s="78">
        <f t="shared" si="13"/>
        <v>15.774099318403115</v>
      </c>
      <c r="J58" s="78">
        <f>J62/J65*100</f>
        <v>14.218896164639849</v>
      </c>
      <c r="K58" s="78">
        <f t="shared" si="14"/>
        <v>3.9024390243902438</v>
      </c>
      <c r="L58" s="78">
        <f t="shared" si="14"/>
        <v>4.2797494780793315</v>
      </c>
      <c r="M58" s="3"/>
    </row>
    <row r="59" spans="1:13" x14ac:dyDescent="0.25">
      <c r="A59" s="42"/>
      <c r="B59" s="43" t="s">
        <v>2260</v>
      </c>
      <c r="C59" s="42"/>
      <c r="D59" s="42"/>
      <c r="E59" s="42"/>
      <c r="F59" s="42"/>
      <c r="G59" s="42"/>
      <c r="H59" s="42"/>
      <c r="I59" s="78">
        <f t="shared" si="13"/>
        <v>25.714285714285712</v>
      </c>
      <c r="J59" s="78">
        <f t="shared" si="13"/>
        <v>3.2608695652173911</v>
      </c>
      <c r="K59" s="78">
        <f t="shared" si="14"/>
        <v>4.2553191489361701</v>
      </c>
      <c r="L59" s="78">
        <f t="shared" si="14"/>
        <v>3.103448275862069</v>
      </c>
      <c r="M59" s="3"/>
    </row>
    <row r="60" spans="1:13" ht="45" x14ac:dyDescent="0.25">
      <c r="A60" s="6"/>
      <c r="B60" s="21" t="s">
        <v>2262</v>
      </c>
      <c r="C60" s="6"/>
      <c r="D60" s="6"/>
      <c r="E60" s="13"/>
      <c r="F60" s="13"/>
      <c r="G60" s="13"/>
      <c r="H60" s="13"/>
      <c r="I60" s="13"/>
      <c r="J60" s="13"/>
      <c r="K60" s="13"/>
      <c r="L60" s="13"/>
      <c r="M60" s="3"/>
    </row>
    <row r="61" spans="1:13" x14ac:dyDescent="0.25">
      <c r="A61" s="6"/>
      <c r="B61" s="21" t="s">
        <v>2196</v>
      </c>
      <c r="C61" s="6"/>
      <c r="D61" s="6"/>
      <c r="E61" s="13"/>
      <c r="F61" s="13"/>
      <c r="G61" s="13"/>
      <c r="H61" s="13"/>
      <c r="I61" s="13">
        <f>I62+I63</f>
        <v>216</v>
      </c>
      <c r="J61" s="13">
        <f>J62+J63</f>
        <v>167</v>
      </c>
      <c r="K61" s="13">
        <f>K62+K63</f>
        <v>56</v>
      </c>
      <c r="L61" s="13">
        <f>L62+L63</f>
        <v>50</v>
      </c>
      <c r="M61" s="3"/>
    </row>
    <row r="62" spans="1:13" ht="30" x14ac:dyDescent="0.25">
      <c r="A62" s="6"/>
      <c r="B62" s="21" t="s">
        <v>2259</v>
      </c>
      <c r="C62" s="133" t="s">
        <v>2475</v>
      </c>
      <c r="D62" s="6"/>
      <c r="E62" s="13"/>
      <c r="F62" s="13"/>
      <c r="G62" s="13"/>
      <c r="H62" s="13"/>
      <c r="I62" s="13">
        <v>162</v>
      </c>
      <c r="J62" s="13">
        <v>152</v>
      </c>
      <c r="K62" s="13">
        <v>40</v>
      </c>
      <c r="L62" s="13">
        <v>41</v>
      </c>
      <c r="M62" s="3"/>
    </row>
    <row r="63" spans="1:13" ht="30" x14ac:dyDescent="0.25">
      <c r="A63" s="6"/>
      <c r="B63" s="21" t="s">
        <v>2260</v>
      </c>
      <c r="C63" s="133" t="s">
        <v>2476</v>
      </c>
      <c r="D63" s="6"/>
      <c r="E63" s="13"/>
      <c r="F63" s="13"/>
      <c r="G63" s="13"/>
      <c r="H63" s="13"/>
      <c r="I63" s="13">
        <v>54</v>
      </c>
      <c r="J63" s="13">
        <v>15</v>
      </c>
      <c r="K63" s="13">
        <v>16</v>
      </c>
      <c r="L63" s="13">
        <v>9</v>
      </c>
      <c r="M63" s="3"/>
    </row>
    <row r="64" spans="1:13" ht="30" x14ac:dyDescent="0.25">
      <c r="A64" s="6"/>
      <c r="B64" s="21" t="s">
        <v>2261</v>
      </c>
      <c r="C64" s="6"/>
      <c r="D64" s="6"/>
      <c r="E64" s="13"/>
      <c r="F64" s="13"/>
      <c r="G64" s="13"/>
      <c r="H64" s="13"/>
      <c r="I64" s="13">
        <f>I65+I66</f>
        <v>1237</v>
      </c>
      <c r="J64" s="13">
        <f>J65+J66</f>
        <v>1529</v>
      </c>
      <c r="K64" s="13">
        <f>K65+K66</f>
        <v>1401</v>
      </c>
      <c r="L64" s="13">
        <f>L65+L66</f>
        <v>1248</v>
      </c>
      <c r="M64" s="3"/>
    </row>
    <row r="65" spans="1:13" ht="30" x14ac:dyDescent="0.25">
      <c r="A65" s="6"/>
      <c r="B65" s="21" t="s">
        <v>2259</v>
      </c>
      <c r="C65" s="133" t="s">
        <v>2473</v>
      </c>
      <c r="D65" s="6"/>
      <c r="E65" s="13"/>
      <c r="F65" s="13"/>
      <c r="G65" s="13"/>
      <c r="H65" s="13"/>
      <c r="I65" s="13">
        <v>1027</v>
      </c>
      <c r="J65" s="13">
        <v>1069</v>
      </c>
      <c r="K65" s="13">
        <v>1025</v>
      </c>
      <c r="L65" s="13">
        <v>958</v>
      </c>
      <c r="M65" s="3"/>
    </row>
    <row r="66" spans="1:13" ht="30" x14ac:dyDescent="0.25">
      <c r="A66" s="6"/>
      <c r="B66" s="21" t="s">
        <v>2260</v>
      </c>
      <c r="C66" s="133" t="s">
        <v>2474</v>
      </c>
      <c r="D66" s="6"/>
      <c r="E66" s="13"/>
      <c r="F66" s="13"/>
      <c r="G66" s="13"/>
      <c r="H66" s="13"/>
      <c r="I66" s="13">
        <v>210</v>
      </c>
      <c r="J66" s="13">
        <v>460</v>
      </c>
      <c r="K66" s="13">
        <v>376</v>
      </c>
      <c r="L66" s="13">
        <v>290</v>
      </c>
      <c r="M66" s="3"/>
    </row>
    <row r="67" spans="1:13" ht="47.25" x14ac:dyDescent="0.25">
      <c r="A67" s="42" t="s">
        <v>1661</v>
      </c>
      <c r="B67" s="43" t="s">
        <v>2817</v>
      </c>
      <c r="C67" s="42"/>
      <c r="D67" s="42"/>
      <c r="E67" s="42"/>
      <c r="F67" s="42"/>
      <c r="G67" s="42"/>
      <c r="H67" s="42"/>
      <c r="I67" s="42"/>
      <c r="J67" s="42"/>
      <c r="K67" s="42"/>
      <c r="L67" s="42"/>
      <c r="M67" s="3"/>
    </row>
    <row r="68" spans="1:13" x14ac:dyDescent="0.25">
      <c r="A68" s="42"/>
      <c r="B68" s="43" t="s">
        <v>2149</v>
      </c>
      <c r="C68" s="42"/>
      <c r="D68" s="42"/>
      <c r="E68" s="42"/>
      <c r="F68" s="42"/>
      <c r="G68" s="42"/>
      <c r="H68" s="42"/>
      <c r="I68" s="78">
        <f>I72/$I$75*100</f>
        <v>30.737013438138906</v>
      </c>
      <c r="J68" s="78">
        <f>J72/$J$75*100</f>
        <v>7.4387666540788002</v>
      </c>
      <c r="K68" s="78">
        <f t="shared" ref="K68:L70" si="15">K72/$K$75*100</f>
        <v>20.002881913590624</v>
      </c>
      <c r="L68" s="78">
        <f t="shared" si="15"/>
        <v>27.277312135257809</v>
      </c>
      <c r="M68" s="3"/>
    </row>
    <row r="69" spans="1:13" ht="30" x14ac:dyDescent="0.25">
      <c r="A69" s="42"/>
      <c r="B69" s="43" t="s">
        <v>2247</v>
      </c>
      <c r="C69" s="42"/>
      <c r="D69" s="42"/>
      <c r="E69" s="42"/>
      <c r="F69" s="42"/>
      <c r="G69" s="42"/>
      <c r="H69" s="42"/>
      <c r="I69" s="78">
        <f>I73/$I$75*100</f>
        <v>18.638718513666408</v>
      </c>
      <c r="J69" s="78">
        <f>J73/$J$75*100</f>
        <v>39.301307150570757</v>
      </c>
      <c r="K69" s="78">
        <f t="shared" si="15"/>
        <v>17.284276759768485</v>
      </c>
      <c r="L69" s="78">
        <f t="shared" si="15"/>
        <v>13.477749225485722</v>
      </c>
      <c r="M69" s="3"/>
    </row>
    <row r="70" spans="1:13" ht="30" x14ac:dyDescent="0.25">
      <c r="A70" s="42"/>
      <c r="B70" s="43" t="s">
        <v>2248</v>
      </c>
      <c r="C70" s="42"/>
      <c r="D70" s="42"/>
      <c r="E70" s="42"/>
      <c r="F70" s="42"/>
      <c r="G70" s="42"/>
      <c r="H70" s="42"/>
      <c r="I70" s="78">
        <f>I74/$I$75*100</f>
        <v>50.624268048194686</v>
      </c>
      <c r="J70" s="78">
        <f>J74/$J$75*100</f>
        <v>53.259926195350438</v>
      </c>
      <c r="K70" s="78">
        <f t="shared" si="15"/>
        <v>58.589303297389463</v>
      </c>
      <c r="L70" s="78">
        <f t="shared" si="15"/>
        <v>56.579168567929102</v>
      </c>
      <c r="M70" s="3"/>
    </row>
    <row r="71" spans="1:13" s="89" customFormat="1" ht="30" x14ac:dyDescent="0.25">
      <c r="A71" s="13"/>
      <c r="B71" s="21" t="s">
        <v>2246</v>
      </c>
      <c r="C71" s="13"/>
      <c r="D71" s="13"/>
      <c r="E71" s="13"/>
      <c r="F71" s="13"/>
      <c r="G71" s="13"/>
      <c r="H71" s="13"/>
      <c r="I71" s="13"/>
      <c r="J71" s="13"/>
      <c r="K71" s="13"/>
      <c r="L71" s="13"/>
      <c r="M71" s="88"/>
    </row>
    <row r="72" spans="1:13" s="89" customFormat="1" ht="45" x14ac:dyDescent="0.25">
      <c r="A72" s="13"/>
      <c r="B72" s="21" t="s">
        <v>2149</v>
      </c>
      <c r="C72" s="133" t="s">
        <v>2900</v>
      </c>
      <c r="D72" s="13"/>
      <c r="E72" s="13"/>
      <c r="F72" s="13"/>
      <c r="G72" s="13"/>
      <c r="H72" s="13"/>
      <c r="I72" s="140">
        <f>2640+10797+1926+108+12+2</f>
        <v>15485</v>
      </c>
      <c r="J72" s="140">
        <f>1272+9633+61+223+39+0</f>
        <v>11228</v>
      </c>
      <c r="K72" s="140">
        <v>8329</v>
      </c>
      <c r="L72" s="140">
        <v>11358</v>
      </c>
      <c r="M72" s="88"/>
    </row>
    <row r="73" spans="1:13" s="89" customFormat="1" ht="30" x14ac:dyDescent="0.25">
      <c r="A73" s="13"/>
      <c r="B73" s="21" t="s">
        <v>2247</v>
      </c>
      <c r="C73" s="133" t="s">
        <v>2901</v>
      </c>
      <c r="D73" s="13"/>
      <c r="E73" s="13"/>
      <c r="F73" s="13"/>
      <c r="G73" s="13"/>
      <c r="H73" s="13"/>
      <c r="I73" s="140">
        <f>7495+1895</f>
        <v>9390</v>
      </c>
      <c r="J73" s="140">
        <f>7660+51661</f>
        <v>59321</v>
      </c>
      <c r="K73" s="140">
        <v>7197</v>
      </c>
      <c r="L73" s="140">
        <v>5612</v>
      </c>
      <c r="M73" s="88"/>
    </row>
    <row r="74" spans="1:13" s="89" customFormat="1" ht="30" x14ac:dyDescent="0.25">
      <c r="A74" s="13"/>
      <c r="B74" s="21" t="s">
        <v>2248</v>
      </c>
      <c r="C74" s="133" t="s">
        <v>2902</v>
      </c>
      <c r="D74" s="13"/>
      <c r="E74" s="13"/>
      <c r="F74" s="13"/>
      <c r="G74" s="13"/>
      <c r="H74" s="13"/>
      <c r="I74" s="140">
        <f>24775+729</f>
        <v>25504</v>
      </c>
      <c r="J74" s="140">
        <f>79916+474</f>
        <v>80390</v>
      </c>
      <c r="K74" s="140">
        <v>24396</v>
      </c>
      <c r="L74" s="140">
        <v>23559</v>
      </c>
      <c r="M74" s="88"/>
    </row>
    <row r="75" spans="1:13" ht="30" x14ac:dyDescent="0.25">
      <c r="A75" s="205"/>
      <c r="B75" s="80" t="s">
        <v>2170</v>
      </c>
      <c r="C75" s="133" t="s">
        <v>2467</v>
      </c>
      <c r="D75" s="200"/>
      <c r="E75" s="200"/>
      <c r="F75" s="200"/>
      <c r="G75" s="200"/>
      <c r="H75" s="200"/>
      <c r="I75" s="69">
        <f>I12*1000</f>
        <v>50379</v>
      </c>
      <c r="J75" s="69">
        <f t="shared" ref="J75:L75" si="16">J12*1000</f>
        <v>150939</v>
      </c>
      <c r="K75" s="69">
        <f t="shared" si="16"/>
        <v>41639</v>
      </c>
      <c r="L75" s="69">
        <f t="shared" si="16"/>
        <v>43350</v>
      </c>
    </row>
    <row r="76" spans="1:13" ht="45" x14ac:dyDescent="0.25">
      <c r="A76" s="115" t="s">
        <v>160</v>
      </c>
      <c r="B76" s="116" t="s">
        <v>893</v>
      </c>
      <c r="C76" s="113"/>
      <c r="D76" s="113"/>
      <c r="E76" s="113"/>
      <c r="F76" s="113"/>
      <c r="G76" s="113"/>
      <c r="H76" s="113"/>
      <c r="I76" s="113"/>
      <c r="J76" s="113"/>
      <c r="K76" s="113"/>
      <c r="L76" s="113"/>
    </row>
    <row r="77" spans="1:13" ht="77.25" x14ac:dyDescent="0.25">
      <c r="A77" s="79" t="s">
        <v>161</v>
      </c>
      <c r="B77" s="97" t="s">
        <v>2818</v>
      </c>
      <c r="C77" s="113"/>
      <c r="D77" s="79"/>
      <c r="E77" s="114"/>
      <c r="F77" s="114"/>
      <c r="G77" s="114"/>
      <c r="H77" s="114"/>
      <c r="I77" s="114"/>
      <c r="J77" s="114"/>
      <c r="K77" s="114"/>
      <c r="L77" s="114"/>
      <c r="M77" s="3" t="s">
        <v>594</v>
      </c>
    </row>
    <row r="78" spans="1:13" x14ac:dyDescent="0.25">
      <c r="A78" s="79"/>
      <c r="B78" s="112" t="s">
        <v>1132</v>
      </c>
      <c r="C78" s="79"/>
      <c r="D78" s="79" t="s">
        <v>8</v>
      </c>
      <c r="E78" s="114" t="e">
        <f>E80/E82*100</f>
        <v>#DIV/0!</v>
      </c>
      <c r="F78" s="114" t="e">
        <f>F80/F82*100</f>
        <v>#DIV/0!</v>
      </c>
      <c r="G78" s="114" t="e">
        <f>G80/G82*100</f>
        <v>#DIV/0!</v>
      </c>
      <c r="H78" s="114">
        <v>3.03</v>
      </c>
      <c r="I78" s="78">
        <f>I80/I82*100</f>
        <v>0.90090090090090091</v>
      </c>
      <c r="J78" s="78">
        <f>J80/J82*100</f>
        <v>0</v>
      </c>
      <c r="K78" s="78">
        <f>K80/K82*100</f>
        <v>0</v>
      </c>
      <c r="L78" s="78">
        <f>L80/L82*100</f>
        <v>0</v>
      </c>
      <c r="M78" s="3"/>
    </row>
    <row r="79" spans="1:13" x14ac:dyDescent="0.25">
      <c r="A79" s="79"/>
      <c r="B79" s="112" t="s">
        <v>1133</v>
      </c>
      <c r="C79" s="79"/>
      <c r="D79" s="79" t="s">
        <v>8</v>
      </c>
      <c r="E79" s="114" t="e">
        <f>E81/E82*100</f>
        <v>#DIV/0!</v>
      </c>
      <c r="F79" s="114" t="e">
        <f>F81/F82*100</f>
        <v>#DIV/0!</v>
      </c>
      <c r="G79" s="114" t="e">
        <f>G81/G82*100</f>
        <v>#DIV/0!</v>
      </c>
      <c r="H79" s="78">
        <v>12.12</v>
      </c>
      <c r="I79" s="78">
        <f>I81/I82*100</f>
        <v>12.612612612612612</v>
      </c>
      <c r="J79" s="78">
        <f>J81/J82*100</f>
        <v>15.625</v>
      </c>
      <c r="K79" s="78">
        <f>K81/K82*100</f>
        <v>24.324324324324326</v>
      </c>
      <c r="L79" s="78">
        <f>L81/L82*100</f>
        <v>27.027027027027028</v>
      </c>
      <c r="M79" s="3"/>
    </row>
    <row r="80" spans="1:13" ht="75" x14ac:dyDescent="0.25">
      <c r="A80" s="76"/>
      <c r="B80" s="80" t="s">
        <v>896</v>
      </c>
      <c r="C80" s="133" t="s">
        <v>2478</v>
      </c>
      <c r="D80" s="76" t="s">
        <v>950</v>
      </c>
      <c r="E80" s="39"/>
      <c r="F80" s="39"/>
      <c r="G80" s="39"/>
      <c r="H80" s="39"/>
      <c r="I80" s="39">
        <v>1</v>
      </c>
      <c r="J80" s="39">
        <v>0</v>
      </c>
      <c r="K80" s="39">
        <v>0</v>
      </c>
      <c r="L80" s="39">
        <v>0</v>
      </c>
      <c r="M80" s="3"/>
    </row>
    <row r="81" spans="1:13" ht="75" x14ac:dyDescent="0.25">
      <c r="A81" s="76"/>
      <c r="B81" s="80" t="s">
        <v>897</v>
      </c>
      <c r="C81" s="133" t="s">
        <v>2479</v>
      </c>
      <c r="D81" s="76" t="s">
        <v>950</v>
      </c>
      <c r="E81" s="39"/>
      <c r="F81" s="39"/>
      <c r="G81" s="39"/>
      <c r="H81" s="39"/>
      <c r="I81" s="39">
        <v>14</v>
      </c>
      <c r="J81" s="39">
        <v>10</v>
      </c>
      <c r="K81" s="39">
        <v>9</v>
      </c>
      <c r="L81" s="39">
        <v>10</v>
      </c>
      <c r="M81" s="3"/>
    </row>
    <row r="82" spans="1:13" ht="60" x14ac:dyDescent="0.25">
      <c r="A82" s="76"/>
      <c r="B82" s="80" t="s">
        <v>898</v>
      </c>
      <c r="C82" s="133" t="s">
        <v>2477</v>
      </c>
      <c r="D82" s="76" t="s">
        <v>950</v>
      </c>
      <c r="E82" s="39"/>
      <c r="F82" s="39"/>
      <c r="G82" s="39"/>
      <c r="H82" s="39"/>
      <c r="I82" s="39">
        <v>111</v>
      </c>
      <c r="J82" s="39">
        <v>64</v>
      </c>
      <c r="K82" s="39">
        <v>37</v>
      </c>
      <c r="L82" s="39">
        <v>37</v>
      </c>
      <c r="M82" s="3"/>
    </row>
    <row r="83" spans="1:13" ht="60" x14ac:dyDescent="0.25">
      <c r="A83" s="115" t="s">
        <v>182</v>
      </c>
      <c r="B83" s="116" t="s">
        <v>900</v>
      </c>
      <c r="C83" s="113"/>
      <c r="D83" s="79"/>
      <c r="E83" s="113"/>
      <c r="F83" s="113"/>
      <c r="G83" s="113"/>
      <c r="H83" s="113"/>
      <c r="I83" s="113"/>
      <c r="J83" s="113"/>
      <c r="K83" s="113"/>
      <c r="L83" s="113"/>
    </row>
    <row r="84" spans="1:13" ht="75" x14ac:dyDescent="0.25">
      <c r="A84" s="79" t="s">
        <v>183</v>
      </c>
      <c r="B84" s="97" t="s">
        <v>901</v>
      </c>
      <c r="C84" s="113"/>
      <c r="D84" s="79" t="s">
        <v>8</v>
      </c>
      <c r="E84" s="114" t="e">
        <f>E85/E86*100</f>
        <v>#DIV/0!</v>
      </c>
      <c r="F84" s="114" t="e">
        <f>F85/F86*100</f>
        <v>#DIV/0!</v>
      </c>
      <c r="G84" s="114" t="e">
        <f>G85/G86*100</f>
        <v>#DIV/0!</v>
      </c>
      <c r="H84" s="78">
        <v>0.02</v>
      </c>
      <c r="I84" s="78">
        <f>I85/I86*100</f>
        <v>15.899999997047381</v>
      </c>
      <c r="J84" s="78">
        <f>J85/J86*100</f>
        <v>28.728990095160405</v>
      </c>
      <c r="K84" s="78">
        <f>K85/K86*100</f>
        <v>35.8004437327291</v>
      </c>
      <c r="L84" s="78">
        <f>L85/L86*100</f>
        <v>37.041099009842966</v>
      </c>
      <c r="M84" s="3" t="s">
        <v>905</v>
      </c>
    </row>
    <row r="85" spans="1:13" ht="60" x14ac:dyDescent="0.25">
      <c r="A85" s="76"/>
      <c r="B85" s="80" t="s">
        <v>903</v>
      </c>
      <c r="C85" s="133" t="s">
        <v>2903</v>
      </c>
      <c r="D85" s="76" t="s">
        <v>1114</v>
      </c>
      <c r="E85" s="39"/>
      <c r="F85" s="39"/>
      <c r="G85" s="39"/>
      <c r="H85" s="39"/>
      <c r="I85" s="98">
        <v>53850.5</v>
      </c>
      <c r="J85" s="98">
        <v>30147.8</v>
      </c>
      <c r="K85" s="98">
        <v>49295.6</v>
      </c>
      <c r="L85" s="98">
        <v>44244</v>
      </c>
      <c r="M85" s="20"/>
    </row>
    <row r="86" spans="1:13" ht="45" x14ac:dyDescent="0.25">
      <c r="A86" s="76"/>
      <c r="B86" s="80" t="s">
        <v>904</v>
      </c>
      <c r="C86" s="133" t="s">
        <v>2904</v>
      </c>
      <c r="D86" s="76" t="s">
        <v>1114</v>
      </c>
      <c r="E86" s="39"/>
      <c r="F86" s="39"/>
      <c r="G86" s="39"/>
      <c r="H86" s="39"/>
      <c r="I86" s="98">
        <v>338682.39</v>
      </c>
      <c r="J86" s="98">
        <v>104938.6</v>
      </c>
      <c r="K86" s="98">
        <v>137695.5</v>
      </c>
      <c r="L86" s="98">
        <v>119445.7</v>
      </c>
    </row>
    <row r="87" spans="1:13" ht="60" x14ac:dyDescent="0.25">
      <c r="A87" s="79" t="s">
        <v>207</v>
      </c>
      <c r="B87" s="97" t="s">
        <v>2819</v>
      </c>
      <c r="C87" s="113"/>
      <c r="D87" s="79"/>
      <c r="E87" s="114"/>
      <c r="F87" s="114"/>
      <c r="G87" s="114"/>
      <c r="H87" s="114"/>
      <c r="I87" s="114"/>
      <c r="J87" s="114"/>
      <c r="K87" s="114"/>
      <c r="L87" s="114"/>
      <c r="M87" s="3" t="s">
        <v>594</v>
      </c>
    </row>
    <row r="88" spans="1:13" x14ac:dyDescent="0.25">
      <c r="A88" s="79"/>
      <c r="B88" s="97" t="s">
        <v>180</v>
      </c>
      <c r="C88" s="113"/>
      <c r="D88" s="79" t="s">
        <v>1112</v>
      </c>
      <c r="E88" s="114" t="e">
        <f t="shared" ref="E88:J88" si="17">E90/E92*100</f>
        <v>#DIV/0!</v>
      </c>
      <c r="F88" s="114" t="e">
        <f t="shared" si="17"/>
        <v>#DIV/0!</v>
      </c>
      <c r="G88" s="114" t="e">
        <f t="shared" si="17"/>
        <v>#DIV/0!</v>
      </c>
      <c r="H88" s="114" t="e">
        <f t="shared" si="17"/>
        <v>#DIV/0!</v>
      </c>
      <c r="I88" s="78">
        <f t="shared" si="17"/>
        <v>59.782608695652172</v>
      </c>
      <c r="J88" s="78">
        <f t="shared" si="17"/>
        <v>72.289156626506028</v>
      </c>
      <c r="K88" s="78">
        <f>K90/K92*100</f>
        <v>2.9072859422088282</v>
      </c>
      <c r="L88" s="78">
        <f>L90/L92*100</f>
        <v>4.4634682292620393</v>
      </c>
      <c r="M88" s="3"/>
    </row>
    <row r="89" spans="1:13" x14ac:dyDescent="0.25">
      <c r="A89" s="79"/>
      <c r="B89" s="97" t="s">
        <v>218</v>
      </c>
      <c r="C89" s="113"/>
      <c r="D89" s="79" t="s">
        <v>1112</v>
      </c>
      <c r="E89" s="114" t="e">
        <f t="shared" ref="E89:K89" si="18">E91/E92*100</f>
        <v>#DIV/0!</v>
      </c>
      <c r="F89" s="114" t="e">
        <f t="shared" si="18"/>
        <v>#DIV/0!</v>
      </c>
      <c r="G89" s="114" t="e">
        <f t="shared" si="18"/>
        <v>#DIV/0!</v>
      </c>
      <c r="H89" s="114" t="e">
        <f t="shared" si="18"/>
        <v>#DIV/0!</v>
      </c>
      <c r="I89" s="78">
        <f t="shared" si="18"/>
        <v>24.011857707509883</v>
      </c>
      <c r="J89" s="78">
        <f t="shared" si="18"/>
        <v>38.253012048192772</v>
      </c>
      <c r="K89" s="78">
        <f t="shared" si="18"/>
        <v>2.0031909235951071</v>
      </c>
      <c r="L89" s="78">
        <f t="shared" ref="L89" si="19">L91/L92*100</f>
        <v>3.0214246475004578</v>
      </c>
      <c r="M89" s="3"/>
    </row>
    <row r="90" spans="1:13" ht="45" x14ac:dyDescent="0.25">
      <c r="A90" s="76"/>
      <c r="B90" s="80" t="s">
        <v>908</v>
      </c>
      <c r="C90" s="133" t="s">
        <v>2480</v>
      </c>
      <c r="D90" s="76" t="s">
        <v>1112</v>
      </c>
      <c r="E90" s="39"/>
      <c r="F90" s="39"/>
      <c r="G90" s="39"/>
      <c r="H90" s="39"/>
      <c r="I90" s="69">
        <v>605</v>
      </c>
      <c r="J90" s="69">
        <v>240</v>
      </c>
      <c r="K90" s="69">
        <v>164</v>
      </c>
      <c r="L90" s="69">
        <v>195</v>
      </c>
      <c r="M90" s="3"/>
    </row>
    <row r="91" spans="1:13" ht="60" x14ac:dyDescent="0.25">
      <c r="A91" s="76"/>
      <c r="B91" s="80" t="s">
        <v>909</v>
      </c>
      <c r="C91" s="133" t="s">
        <v>2905</v>
      </c>
      <c r="D91" s="76" t="s">
        <v>1112</v>
      </c>
      <c r="E91" s="39"/>
      <c r="F91" s="39"/>
      <c r="G91" s="39"/>
      <c r="H91" s="39"/>
      <c r="I91" s="69">
        <v>243</v>
      </c>
      <c r="J91" s="69">
        <v>127</v>
      </c>
      <c r="K91" s="69">
        <v>113</v>
      </c>
      <c r="L91" s="69">
        <v>132</v>
      </c>
      <c r="M91" s="3"/>
    </row>
    <row r="92" spans="1:13" ht="45" x14ac:dyDescent="0.25">
      <c r="A92" s="76"/>
      <c r="B92" s="80" t="s">
        <v>910</v>
      </c>
      <c r="C92" s="133" t="s">
        <v>2843</v>
      </c>
      <c r="D92" s="76" t="s">
        <v>950</v>
      </c>
      <c r="E92" s="39"/>
      <c r="F92" s="39"/>
      <c r="G92" s="39"/>
      <c r="H92" s="39"/>
      <c r="I92" s="69">
        <v>1012</v>
      </c>
      <c r="J92" s="69">
        <v>332</v>
      </c>
      <c r="K92" s="69">
        <v>5641</v>
      </c>
      <c r="L92" s="98">
        <v>4368.8</v>
      </c>
      <c r="M92" s="3"/>
    </row>
    <row r="93" spans="1:13" ht="60" x14ac:dyDescent="0.25">
      <c r="A93" s="115" t="s">
        <v>229</v>
      </c>
      <c r="B93" s="116" t="s">
        <v>912</v>
      </c>
      <c r="C93" s="113"/>
      <c r="D93" s="113"/>
      <c r="E93" s="113"/>
      <c r="F93" s="113"/>
      <c r="G93" s="113"/>
      <c r="H93" s="113"/>
      <c r="I93" s="113"/>
      <c r="J93" s="113"/>
      <c r="K93" s="113"/>
      <c r="L93" s="113"/>
    </row>
    <row r="94" spans="1:13" s="89" customFormat="1" ht="30" x14ac:dyDescent="0.25">
      <c r="A94" s="79" t="s">
        <v>228</v>
      </c>
      <c r="B94" s="97" t="s">
        <v>2234</v>
      </c>
      <c r="C94" s="59"/>
      <c r="D94" s="59"/>
      <c r="E94" s="59"/>
      <c r="F94" s="59"/>
      <c r="G94" s="59"/>
      <c r="H94" s="59"/>
      <c r="I94" s="59"/>
      <c r="J94" s="59"/>
      <c r="K94" s="59"/>
      <c r="L94" s="59"/>
    </row>
    <row r="95" spans="1:13" s="89" customFormat="1" x14ac:dyDescent="0.25">
      <c r="A95" s="79"/>
      <c r="B95" s="97" t="s">
        <v>1675</v>
      </c>
      <c r="C95" s="59"/>
      <c r="D95" s="42" t="s">
        <v>8</v>
      </c>
      <c r="E95" s="59"/>
      <c r="F95" s="59"/>
      <c r="G95" s="59"/>
      <c r="H95" s="59"/>
      <c r="I95" s="78">
        <f>I100/I105*100</f>
        <v>82.456140350877192</v>
      </c>
      <c r="J95" s="78">
        <f>J100/J105*100</f>
        <v>106.38297872340425</v>
      </c>
      <c r="K95" s="78">
        <f>K100/K105*100</f>
        <v>90</v>
      </c>
      <c r="L95" s="78">
        <f>L100/L105*100</f>
        <v>102.22222222222221</v>
      </c>
    </row>
    <row r="96" spans="1:13" s="89" customFormat="1" x14ac:dyDescent="0.25">
      <c r="A96" s="79"/>
      <c r="B96" s="97" t="s">
        <v>2238</v>
      </c>
      <c r="C96" s="59"/>
      <c r="D96" s="42" t="s">
        <v>8</v>
      </c>
      <c r="E96" s="59"/>
      <c r="F96" s="59"/>
      <c r="G96" s="59"/>
      <c r="H96" s="59"/>
      <c r="I96" s="78">
        <f t="shared" ref="I96:J98" si="20">I101/I106*100</f>
        <v>79.166666666666657</v>
      </c>
      <c r="J96" s="78">
        <f t="shared" si="20"/>
        <v>78.94736842105263</v>
      </c>
      <c r="K96" s="78">
        <f t="shared" ref="K96:L98" si="21">K101/K106*100</f>
        <v>93.333333333333329</v>
      </c>
      <c r="L96" s="78">
        <f t="shared" si="21"/>
        <v>100</v>
      </c>
    </row>
    <row r="97" spans="1:13" s="89" customFormat="1" x14ac:dyDescent="0.25">
      <c r="A97" s="79"/>
      <c r="B97" s="97" t="s">
        <v>2239</v>
      </c>
      <c r="C97" s="59"/>
      <c r="D97" s="42" t="s">
        <v>8</v>
      </c>
      <c r="E97" s="59"/>
      <c r="F97" s="59"/>
      <c r="G97" s="59"/>
      <c r="H97" s="59"/>
      <c r="I97" s="78">
        <f t="shared" si="20"/>
        <v>90.476190476190482</v>
      </c>
      <c r="J97" s="78">
        <f t="shared" si="20"/>
        <v>115.78947368421053</v>
      </c>
      <c r="K97" s="78">
        <f t="shared" si="21"/>
        <v>81.818181818181827</v>
      </c>
      <c r="L97" s="78">
        <f t="shared" si="21"/>
        <v>100</v>
      </c>
    </row>
    <row r="98" spans="1:13" s="89" customFormat="1" x14ac:dyDescent="0.25">
      <c r="A98" s="79"/>
      <c r="B98" s="97" t="s">
        <v>2240</v>
      </c>
      <c r="C98" s="59"/>
      <c r="D98" s="42" t="s">
        <v>8</v>
      </c>
      <c r="E98" s="59"/>
      <c r="F98" s="59"/>
      <c r="G98" s="59"/>
      <c r="H98" s="59"/>
      <c r="I98" s="78">
        <f t="shared" si="20"/>
        <v>100</v>
      </c>
      <c r="J98" s="78">
        <f t="shared" si="20"/>
        <v>142.85714285714286</v>
      </c>
      <c r="K98" s="78">
        <f t="shared" si="21"/>
        <v>110.00000000000001</v>
      </c>
      <c r="L98" s="78">
        <f t="shared" si="21"/>
        <v>100</v>
      </c>
    </row>
    <row r="99" spans="1:13" s="89" customFormat="1" x14ac:dyDescent="0.25">
      <c r="A99" s="203"/>
      <c r="B99" s="80" t="s">
        <v>2195</v>
      </c>
      <c r="C99" s="204"/>
      <c r="D99" s="204"/>
      <c r="E99" s="204"/>
      <c r="F99" s="204"/>
      <c r="G99" s="204"/>
      <c r="H99" s="204"/>
      <c r="I99" s="39"/>
      <c r="J99" s="39"/>
      <c r="K99" s="39"/>
      <c r="L99" s="39"/>
    </row>
    <row r="100" spans="1:13" s="89" customFormat="1" ht="30" x14ac:dyDescent="0.25">
      <c r="A100" s="203"/>
      <c r="B100" s="80" t="s">
        <v>1675</v>
      </c>
      <c r="C100" s="133" t="s">
        <v>2484</v>
      </c>
      <c r="D100" s="204"/>
      <c r="E100" s="204"/>
      <c r="F100" s="204"/>
      <c r="G100" s="204"/>
      <c r="H100" s="204"/>
      <c r="I100" s="39">
        <v>47</v>
      </c>
      <c r="J100" s="39">
        <v>50</v>
      </c>
      <c r="K100" s="39">
        <v>45</v>
      </c>
      <c r="L100" s="39">
        <v>46</v>
      </c>
    </row>
    <row r="101" spans="1:13" s="89" customFormat="1" ht="30" x14ac:dyDescent="0.25">
      <c r="A101" s="203"/>
      <c r="B101" s="80" t="s">
        <v>2238</v>
      </c>
      <c r="C101" s="133" t="s">
        <v>2906</v>
      </c>
      <c r="D101" s="204"/>
      <c r="E101" s="204"/>
      <c r="F101" s="204"/>
      <c r="G101" s="204"/>
      <c r="H101" s="204"/>
      <c r="I101" s="39">
        <v>19</v>
      </c>
      <c r="J101" s="39">
        <v>15</v>
      </c>
      <c r="K101" s="39">
        <v>14</v>
      </c>
      <c r="L101" s="39">
        <v>14</v>
      </c>
    </row>
    <row r="102" spans="1:13" s="89" customFormat="1" ht="30" x14ac:dyDescent="0.25">
      <c r="A102" s="203"/>
      <c r="B102" s="80" t="s">
        <v>2239</v>
      </c>
      <c r="C102" s="133" t="s">
        <v>2907</v>
      </c>
      <c r="D102" s="204"/>
      <c r="E102" s="204"/>
      <c r="F102" s="204"/>
      <c r="G102" s="204"/>
      <c r="H102" s="204"/>
      <c r="I102" s="39">
        <v>19</v>
      </c>
      <c r="J102" s="39">
        <v>22</v>
      </c>
      <c r="K102" s="39">
        <v>18</v>
      </c>
      <c r="L102" s="39">
        <v>18</v>
      </c>
    </row>
    <row r="103" spans="1:13" s="89" customFormat="1" ht="30" x14ac:dyDescent="0.25">
      <c r="A103" s="203"/>
      <c r="B103" s="80" t="s">
        <v>2240</v>
      </c>
      <c r="C103" s="133" t="s">
        <v>2908</v>
      </c>
      <c r="D103" s="204"/>
      <c r="E103" s="204"/>
      <c r="F103" s="204"/>
      <c r="G103" s="204"/>
      <c r="H103" s="204"/>
      <c r="I103" s="39">
        <v>7</v>
      </c>
      <c r="J103" s="39">
        <v>10</v>
      </c>
      <c r="K103" s="39">
        <v>11</v>
      </c>
      <c r="L103" s="39">
        <v>11</v>
      </c>
    </row>
    <row r="104" spans="1:13" s="89" customFormat="1" x14ac:dyDescent="0.25">
      <c r="A104" s="203"/>
      <c r="B104" s="80" t="s">
        <v>2202</v>
      </c>
      <c r="C104" s="204"/>
      <c r="D104" s="204"/>
      <c r="E104" s="204"/>
      <c r="F104" s="204"/>
      <c r="G104" s="204"/>
      <c r="H104" s="204"/>
      <c r="I104" s="39"/>
      <c r="J104" s="39"/>
      <c r="K104" s="39"/>
      <c r="L104" s="39"/>
    </row>
    <row r="105" spans="1:13" s="89" customFormat="1" ht="30" x14ac:dyDescent="0.25">
      <c r="A105" s="203"/>
      <c r="B105" s="80" t="s">
        <v>1675</v>
      </c>
      <c r="C105" s="133" t="s">
        <v>2484</v>
      </c>
      <c r="D105" s="204"/>
      <c r="E105" s="204"/>
      <c r="F105" s="204"/>
      <c r="G105" s="204"/>
      <c r="H105" s="204"/>
      <c r="I105" s="39">
        <v>57</v>
      </c>
      <c r="J105" s="39">
        <f t="shared" ref="J105:L108" si="22">I100</f>
        <v>47</v>
      </c>
      <c r="K105" s="39">
        <f t="shared" si="22"/>
        <v>50</v>
      </c>
      <c r="L105" s="39">
        <f t="shared" si="22"/>
        <v>45</v>
      </c>
    </row>
    <row r="106" spans="1:13" s="89" customFormat="1" ht="30" x14ac:dyDescent="0.25">
      <c r="A106" s="203"/>
      <c r="B106" s="80" t="s">
        <v>2238</v>
      </c>
      <c r="C106" s="133" t="s">
        <v>2481</v>
      </c>
      <c r="D106" s="204"/>
      <c r="E106" s="204"/>
      <c r="F106" s="204"/>
      <c r="G106" s="204"/>
      <c r="H106" s="204"/>
      <c r="I106" s="39">
        <v>24</v>
      </c>
      <c r="J106" s="39">
        <f t="shared" si="22"/>
        <v>19</v>
      </c>
      <c r="K106" s="39">
        <f t="shared" si="22"/>
        <v>15</v>
      </c>
      <c r="L106" s="39">
        <f t="shared" si="22"/>
        <v>14</v>
      </c>
    </row>
    <row r="107" spans="1:13" s="89" customFormat="1" ht="30" x14ac:dyDescent="0.25">
      <c r="A107" s="203"/>
      <c r="B107" s="80" t="s">
        <v>2239</v>
      </c>
      <c r="C107" s="133" t="s">
        <v>2482</v>
      </c>
      <c r="D107" s="204"/>
      <c r="E107" s="204"/>
      <c r="F107" s="204"/>
      <c r="G107" s="204"/>
      <c r="H107" s="204"/>
      <c r="I107" s="39">
        <v>21</v>
      </c>
      <c r="J107" s="39">
        <f t="shared" si="22"/>
        <v>19</v>
      </c>
      <c r="K107" s="39">
        <f t="shared" si="22"/>
        <v>22</v>
      </c>
      <c r="L107" s="39">
        <f t="shared" si="22"/>
        <v>18</v>
      </c>
    </row>
    <row r="108" spans="1:13" s="89" customFormat="1" ht="30" x14ac:dyDescent="0.25">
      <c r="A108" s="203"/>
      <c r="B108" s="80" t="s">
        <v>2240</v>
      </c>
      <c r="C108" s="133" t="s">
        <v>2483</v>
      </c>
      <c r="D108" s="204"/>
      <c r="E108" s="204"/>
      <c r="F108" s="204"/>
      <c r="G108" s="204"/>
      <c r="H108" s="204"/>
      <c r="I108" s="39">
        <v>7</v>
      </c>
      <c r="J108" s="39">
        <f t="shared" si="22"/>
        <v>7</v>
      </c>
      <c r="K108" s="39">
        <f t="shared" si="22"/>
        <v>10</v>
      </c>
      <c r="L108" s="39">
        <f t="shared" si="22"/>
        <v>11</v>
      </c>
    </row>
    <row r="109" spans="1:13" ht="75" hidden="1" x14ac:dyDescent="0.25">
      <c r="A109" s="172" t="s">
        <v>914</v>
      </c>
      <c r="B109" s="171" t="s">
        <v>913</v>
      </c>
      <c r="C109" s="206"/>
      <c r="D109" s="172"/>
      <c r="E109" s="197"/>
      <c r="F109" s="197"/>
      <c r="G109" s="197"/>
      <c r="H109" s="197"/>
      <c r="I109" s="197"/>
      <c r="J109" s="197"/>
      <c r="K109" s="197"/>
      <c r="L109" s="197"/>
      <c r="M109" s="3" t="s">
        <v>594</v>
      </c>
    </row>
    <row r="110" spans="1:13" hidden="1" x14ac:dyDescent="0.25">
      <c r="A110" s="172"/>
      <c r="B110" s="171" t="s">
        <v>915</v>
      </c>
      <c r="C110" s="206"/>
      <c r="D110" s="172" t="s">
        <v>8</v>
      </c>
      <c r="E110" s="197" t="e">
        <f t="shared" ref="E110:J110" si="23">E113/E116*100</f>
        <v>#DIV/0!</v>
      </c>
      <c r="F110" s="197" t="e">
        <f t="shared" si="23"/>
        <v>#DIV/0!</v>
      </c>
      <c r="G110" s="197" t="e">
        <f t="shared" si="23"/>
        <v>#DIV/0!</v>
      </c>
      <c r="H110" s="197" t="e">
        <f t="shared" si="23"/>
        <v>#DIV/0!</v>
      </c>
      <c r="I110" s="197" t="e">
        <f t="shared" si="23"/>
        <v>#DIV/0!</v>
      </c>
      <c r="J110" s="197" t="e">
        <f t="shared" si="23"/>
        <v>#DIV/0!</v>
      </c>
      <c r="K110" s="197" t="e">
        <f t="shared" ref="K110:L112" si="24">K113/K116*100</f>
        <v>#DIV/0!</v>
      </c>
      <c r="L110" s="197" t="e">
        <f t="shared" si="24"/>
        <v>#DIV/0!</v>
      </c>
      <c r="M110" s="3"/>
    </row>
    <row r="111" spans="1:13" hidden="1" x14ac:dyDescent="0.25">
      <c r="A111" s="172"/>
      <c r="B111" s="171" t="s">
        <v>534</v>
      </c>
      <c r="C111" s="206"/>
      <c r="D111" s="172" t="s">
        <v>8</v>
      </c>
      <c r="E111" s="197" t="e">
        <f t="shared" ref="E111:J112" si="25">E114/E117*100</f>
        <v>#DIV/0!</v>
      </c>
      <c r="F111" s="197" t="e">
        <f t="shared" si="25"/>
        <v>#DIV/0!</v>
      </c>
      <c r="G111" s="197" t="e">
        <f t="shared" si="25"/>
        <v>#DIV/0!</v>
      </c>
      <c r="H111" s="197" t="e">
        <f t="shared" si="25"/>
        <v>#DIV/0!</v>
      </c>
      <c r="I111" s="197" t="e">
        <f t="shared" si="25"/>
        <v>#DIV/0!</v>
      </c>
      <c r="J111" s="197" t="e">
        <f t="shared" si="25"/>
        <v>#DIV/0!</v>
      </c>
      <c r="K111" s="197" t="e">
        <f t="shared" si="24"/>
        <v>#DIV/0!</v>
      </c>
      <c r="L111" s="197" t="e">
        <f t="shared" si="24"/>
        <v>#DIV/0!</v>
      </c>
      <c r="M111" s="3"/>
    </row>
    <row r="112" spans="1:13" hidden="1" x14ac:dyDescent="0.25">
      <c r="A112" s="172"/>
      <c r="B112" s="171" t="s">
        <v>553</v>
      </c>
      <c r="C112" s="206"/>
      <c r="D112" s="172" t="s">
        <v>8</v>
      </c>
      <c r="E112" s="197" t="e">
        <f t="shared" si="25"/>
        <v>#DIV/0!</v>
      </c>
      <c r="F112" s="197" t="e">
        <f t="shared" si="25"/>
        <v>#DIV/0!</v>
      </c>
      <c r="G112" s="197" t="e">
        <f t="shared" si="25"/>
        <v>#DIV/0!</v>
      </c>
      <c r="H112" s="197" t="e">
        <f t="shared" si="25"/>
        <v>#DIV/0!</v>
      </c>
      <c r="I112" s="197" t="e">
        <f t="shared" si="25"/>
        <v>#DIV/0!</v>
      </c>
      <c r="J112" s="197" t="e">
        <f t="shared" si="25"/>
        <v>#DIV/0!</v>
      </c>
      <c r="K112" s="197" t="e">
        <f t="shared" si="24"/>
        <v>#DIV/0!</v>
      </c>
      <c r="L112" s="197" t="e">
        <f t="shared" si="24"/>
        <v>#DIV/0!</v>
      </c>
      <c r="M112" s="3"/>
    </row>
    <row r="113" spans="1:13" ht="49.5" hidden="1" customHeight="1" x14ac:dyDescent="0.25">
      <c r="A113" s="172"/>
      <c r="B113" s="171" t="s">
        <v>916</v>
      </c>
      <c r="C113" s="172" t="s">
        <v>138</v>
      </c>
      <c r="D113" s="172" t="s">
        <v>1112</v>
      </c>
      <c r="E113" s="173"/>
      <c r="F113" s="173"/>
      <c r="G113" s="173"/>
      <c r="H113" s="173"/>
      <c r="I113" s="173"/>
      <c r="J113" s="173"/>
      <c r="K113" s="173"/>
      <c r="L113" s="173"/>
      <c r="M113" s="20"/>
    </row>
    <row r="114" spans="1:13" ht="49.5" hidden="1" customHeight="1" x14ac:dyDescent="0.25">
      <c r="A114" s="172"/>
      <c r="B114" s="171" t="s">
        <v>917</v>
      </c>
      <c r="C114" s="172" t="s">
        <v>138</v>
      </c>
      <c r="D114" s="172" t="s">
        <v>1112</v>
      </c>
      <c r="E114" s="173"/>
      <c r="F114" s="173"/>
      <c r="G114" s="173"/>
      <c r="H114" s="173"/>
      <c r="I114" s="173"/>
      <c r="J114" s="173"/>
      <c r="K114" s="173"/>
      <c r="L114" s="173"/>
    </row>
    <row r="115" spans="1:13" ht="45" hidden="1" x14ac:dyDescent="0.25">
      <c r="A115" s="172"/>
      <c r="B115" s="171" t="s">
        <v>918</v>
      </c>
      <c r="C115" s="172" t="s">
        <v>138</v>
      </c>
      <c r="D115" s="172" t="s">
        <v>1112</v>
      </c>
      <c r="E115" s="173"/>
      <c r="F115" s="173"/>
      <c r="G115" s="173"/>
      <c r="H115" s="173"/>
      <c r="I115" s="173"/>
      <c r="J115" s="173"/>
      <c r="K115" s="173"/>
      <c r="L115" s="173"/>
      <c r="M115" s="20"/>
    </row>
    <row r="116" spans="1:13" ht="45" hidden="1" x14ac:dyDescent="0.25">
      <c r="A116" s="172"/>
      <c r="B116" s="171" t="s">
        <v>919</v>
      </c>
      <c r="C116" s="172" t="s">
        <v>138</v>
      </c>
      <c r="D116" s="172" t="s">
        <v>1112</v>
      </c>
      <c r="E116" s="173"/>
      <c r="F116" s="173"/>
      <c r="G116" s="173"/>
      <c r="H116" s="173"/>
      <c r="I116" s="173"/>
      <c r="J116" s="173"/>
      <c r="K116" s="173"/>
      <c r="L116" s="173"/>
    </row>
    <row r="117" spans="1:13" ht="60" hidden="1" x14ac:dyDescent="0.25">
      <c r="A117" s="172"/>
      <c r="B117" s="171" t="s">
        <v>920</v>
      </c>
      <c r="C117" s="172" t="s">
        <v>138</v>
      </c>
      <c r="D117" s="172" t="s">
        <v>1112</v>
      </c>
      <c r="E117" s="173"/>
      <c r="F117" s="173"/>
      <c r="G117" s="173"/>
      <c r="H117" s="173"/>
      <c r="I117" s="173"/>
      <c r="J117" s="173"/>
      <c r="K117" s="173"/>
      <c r="L117" s="173"/>
    </row>
    <row r="118" spans="1:13" ht="60" hidden="1" x14ac:dyDescent="0.25">
      <c r="A118" s="172"/>
      <c r="B118" s="171" t="s">
        <v>921</v>
      </c>
      <c r="C118" s="172" t="s">
        <v>138</v>
      </c>
      <c r="D118" s="172" t="s">
        <v>1112</v>
      </c>
      <c r="E118" s="173"/>
      <c r="F118" s="173"/>
      <c r="G118" s="173"/>
      <c r="H118" s="173"/>
      <c r="I118" s="173"/>
      <c r="J118" s="173"/>
      <c r="K118" s="173"/>
      <c r="L118" s="173"/>
    </row>
    <row r="119" spans="1:13" ht="30" x14ac:dyDescent="0.25">
      <c r="A119" s="115" t="s">
        <v>234</v>
      </c>
      <c r="B119" s="116" t="s">
        <v>923</v>
      </c>
      <c r="C119" s="113"/>
      <c r="D119" s="113"/>
      <c r="E119" s="113"/>
      <c r="F119" s="113"/>
      <c r="G119" s="113"/>
      <c r="H119" s="113"/>
      <c r="I119" s="113"/>
      <c r="J119" s="113"/>
      <c r="K119" s="113"/>
      <c r="L119" s="113"/>
    </row>
    <row r="120" spans="1:13" ht="45" x14ac:dyDescent="0.25">
      <c r="A120" s="79" t="s">
        <v>237</v>
      </c>
      <c r="B120" s="97" t="s">
        <v>2232</v>
      </c>
      <c r="C120" s="113"/>
      <c r="D120" s="42" t="s">
        <v>8</v>
      </c>
      <c r="E120" s="113"/>
      <c r="F120" s="113"/>
      <c r="G120" s="113"/>
      <c r="H120" s="113"/>
      <c r="I120" s="78">
        <f>I121/I122*100</f>
        <v>7.939816193255126E-3</v>
      </c>
      <c r="J120" s="78">
        <f>J121/J122*100</f>
        <v>0</v>
      </c>
      <c r="K120" s="78">
        <f>K121/K122*100</f>
        <v>3.1220730565095226E-2</v>
      </c>
      <c r="L120" s="78">
        <f>L121/L122*100</f>
        <v>2.306805074971165E-3</v>
      </c>
    </row>
    <row r="121" spans="1:13" ht="30" x14ac:dyDescent="0.25">
      <c r="A121" s="205"/>
      <c r="B121" s="80" t="s">
        <v>2233</v>
      </c>
      <c r="C121" s="133" t="s">
        <v>2914</v>
      </c>
      <c r="D121" s="200"/>
      <c r="E121" s="200"/>
      <c r="F121" s="200"/>
      <c r="G121" s="200"/>
      <c r="H121" s="200"/>
      <c r="I121" s="69">
        <v>4</v>
      </c>
      <c r="J121" s="69">
        <v>0</v>
      </c>
      <c r="K121" s="69">
        <v>13</v>
      </c>
      <c r="L121" s="69">
        <v>1</v>
      </c>
    </row>
    <row r="122" spans="1:13" ht="30" x14ac:dyDescent="0.25">
      <c r="A122" s="205"/>
      <c r="B122" s="80" t="s">
        <v>2170</v>
      </c>
      <c r="C122" s="133" t="s">
        <v>2467</v>
      </c>
      <c r="D122" s="200"/>
      <c r="E122" s="200"/>
      <c r="F122" s="200"/>
      <c r="G122" s="200"/>
      <c r="H122" s="200"/>
      <c r="I122" s="69">
        <f>I12*1000</f>
        <v>50379</v>
      </c>
      <c r="J122" s="69">
        <f t="shared" ref="J122:L122" si="26">J12*1000</f>
        <v>150939</v>
      </c>
      <c r="K122" s="69">
        <f t="shared" si="26"/>
        <v>41639</v>
      </c>
      <c r="L122" s="69">
        <f t="shared" si="26"/>
        <v>43350</v>
      </c>
    </row>
    <row r="123" spans="1:13" ht="60" hidden="1" x14ac:dyDescent="0.25">
      <c r="A123" s="172" t="s">
        <v>925</v>
      </c>
      <c r="B123" s="171" t="s">
        <v>924</v>
      </c>
      <c r="C123" s="172"/>
      <c r="D123" s="172" t="s">
        <v>8</v>
      </c>
      <c r="E123" s="197" t="e">
        <f t="shared" ref="E123:J123" si="27">E124/E125*100</f>
        <v>#DIV/0!</v>
      </c>
      <c r="F123" s="197" t="e">
        <f t="shared" si="27"/>
        <v>#DIV/0!</v>
      </c>
      <c r="G123" s="197" t="e">
        <f t="shared" si="27"/>
        <v>#DIV/0!</v>
      </c>
      <c r="H123" s="202">
        <f t="shared" si="27"/>
        <v>0.12983202981143147</v>
      </c>
      <c r="I123" s="202" t="e">
        <f t="shared" si="27"/>
        <v>#DIV/0!</v>
      </c>
      <c r="J123" s="202" t="e">
        <f t="shared" si="27"/>
        <v>#DIV/0!</v>
      </c>
      <c r="K123" s="202" t="e">
        <f>K124/K125*100</f>
        <v>#DIV/0!</v>
      </c>
      <c r="L123" s="202" t="e">
        <f>L124/L125*100</f>
        <v>#DIV/0!</v>
      </c>
      <c r="M123" s="3" t="s">
        <v>594</v>
      </c>
    </row>
    <row r="124" spans="1:13" ht="30" hidden="1" x14ac:dyDescent="0.25">
      <c r="A124" s="206"/>
      <c r="B124" s="171" t="s">
        <v>926</v>
      </c>
      <c r="C124" s="172" t="s">
        <v>138</v>
      </c>
      <c r="D124" s="172" t="s">
        <v>950</v>
      </c>
      <c r="E124" s="173"/>
      <c r="F124" s="173"/>
      <c r="G124" s="173"/>
      <c r="H124" s="173">
        <v>208</v>
      </c>
      <c r="I124" s="173"/>
      <c r="J124" s="173"/>
      <c r="K124" s="173"/>
      <c r="L124" s="173"/>
    </row>
    <row r="125" spans="1:13" ht="30" hidden="1" x14ac:dyDescent="0.25">
      <c r="A125" s="206"/>
      <c r="B125" s="171" t="s">
        <v>927</v>
      </c>
      <c r="C125" s="172" t="s">
        <v>138</v>
      </c>
      <c r="D125" s="172" t="s">
        <v>950</v>
      </c>
      <c r="E125" s="173"/>
      <c r="F125" s="173"/>
      <c r="G125" s="173"/>
      <c r="H125" s="172">
        <v>160207</v>
      </c>
      <c r="I125" s="172"/>
      <c r="J125" s="172"/>
      <c r="K125" s="172"/>
      <c r="L125" s="172"/>
    </row>
    <row r="126" spans="1:13" ht="45" x14ac:dyDescent="0.25">
      <c r="A126" s="115" t="s">
        <v>249</v>
      </c>
      <c r="B126" s="116" t="s">
        <v>929</v>
      </c>
      <c r="C126" s="113"/>
      <c r="D126" s="113"/>
      <c r="E126" s="113"/>
      <c r="F126" s="113"/>
      <c r="G126" s="113"/>
      <c r="H126" s="113"/>
      <c r="I126" s="113"/>
      <c r="J126" s="113"/>
      <c r="K126" s="113"/>
      <c r="L126" s="113"/>
    </row>
    <row r="127" spans="1:13" ht="45" x14ac:dyDescent="0.25">
      <c r="A127" s="79" t="s">
        <v>250</v>
      </c>
      <c r="B127" s="97" t="s">
        <v>2229</v>
      </c>
      <c r="C127" s="113"/>
      <c r="D127" s="42" t="s">
        <v>8</v>
      </c>
      <c r="E127" s="113"/>
      <c r="F127" s="113"/>
      <c r="G127" s="113"/>
      <c r="H127" s="113"/>
      <c r="I127" s="78">
        <f>I128/I129*100</f>
        <v>0.15273942878765359</v>
      </c>
      <c r="J127" s="78">
        <f>J128/J129*100</f>
        <v>0</v>
      </c>
      <c r="K127" s="78">
        <f>K128/K129*100</f>
        <v>0</v>
      </c>
      <c r="L127" s="78">
        <f>L128/L129*100</f>
        <v>0</v>
      </c>
    </row>
    <row r="128" spans="1:13" ht="30" x14ac:dyDescent="0.25">
      <c r="A128" s="205"/>
      <c r="B128" s="80" t="s">
        <v>2230</v>
      </c>
      <c r="C128" s="133" t="s">
        <v>2485</v>
      </c>
      <c r="D128" s="200"/>
      <c r="E128" s="200"/>
      <c r="F128" s="200"/>
      <c r="G128" s="200"/>
      <c r="H128" s="200"/>
      <c r="I128" s="234">
        <v>48279.199999999997</v>
      </c>
      <c r="J128" s="234">
        <v>0</v>
      </c>
      <c r="K128" s="234">
        <v>0</v>
      </c>
      <c r="L128" s="234">
        <v>0</v>
      </c>
    </row>
    <row r="129" spans="1:13" ht="30" x14ac:dyDescent="0.25">
      <c r="A129" s="205"/>
      <c r="B129" s="80" t="s">
        <v>2231</v>
      </c>
      <c r="C129" s="133" t="s">
        <v>2486</v>
      </c>
      <c r="D129" s="200"/>
      <c r="E129" s="200"/>
      <c r="F129" s="200"/>
      <c r="G129" s="200"/>
      <c r="H129" s="200"/>
      <c r="I129" s="234">
        <v>31608865.100000001</v>
      </c>
      <c r="J129" s="234">
        <v>515498.7</v>
      </c>
      <c r="K129" s="234">
        <v>318114.5</v>
      </c>
      <c r="L129" s="234">
        <v>504745.2</v>
      </c>
    </row>
    <row r="130" spans="1:13" ht="60" hidden="1" x14ac:dyDescent="0.25">
      <c r="A130" s="172" t="s">
        <v>931</v>
      </c>
      <c r="B130" s="171" t="s">
        <v>930</v>
      </c>
      <c r="C130" s="172"/>
      <c r="D130" s="172" t="s">
        <v>8</v>
      </c>
      <c r="E130" s="197" t="e">
        <f>E131/E132*100</f>
        <v>#DIV/0!</v>
      </c>
      <c r="F130" s="197" t="e">
        <f>F131/F132*100</f>
        <v>#DIV/0!</v>
      </c>
      <c r="G130" s="197" t="e">
        <f>G131/G132*100</f>
        <v>#DIV/0!</v>
      </c>
      <c r="H130" s="202">
        <v>0.01</v>
      </c>
      <c r="I130" s="202">
        <v>0.01</v>
      </c>
      <c r="J130" s="202">
        <v>0.01</v>
      </c>
      <c r="K130" s="202">
        <v>0.01</v>
      </c>
      <c r="L130" s="202">
        <v>0.01</v>
      </c>
      <c r="M130" s="3" t="s">
        <v>594</v>
      </c>
    </row>
    <row r="131" spans="1:13" ht="45" hidden="1" x14ac:dyDescent="0.25">
      <c r="A131" s="172"/>
      <c r="B131" s="171" t="s">
        <v>932</v>
      </c>
      <c r="C131" s="172" t="s">
        <v>138</v>
      </c>
      <c r="D131" s="172" t="s">
        <v>1114</v>
      </c>
      <c r="E131" s="173"/>
      <c r="F131" s="173"/>
      <c r="G131" s="173"/>
      <c r="H131" s="173"/>
      <c r="I131" s="173"/>
      <c r="J131" s="173"/>
      <c r="K131" s="173"/>
      <c r="L131" s="173"/>
      <c r="M131" s="3"/>
    </row>
    <row r="132" spans="1:13" ht="45" hidden="1" x14ac:dyDescent="0.25">
      <c r="A132" s="172"/>
      <c r="B132" s="171" t="s">
        <v>933</v>
      </c>
      <c r="C132" s="172" t="s">
        <v>138</v>
      </c>
      <c r="D132" s="172" t="s">
        <v>1114</v>
      </c>
      <c r="E132" s="173"/>
      <c r="F132" s="173"/>
      <c r="G132" s="173"/>
      <c r="H132" s="173"/>
      <c r="I132" s="173"/>
      <c r="J132" s="173"/>
      <c r="K132" s="173"/>
      <c r="L132" s="173"/>
      <c r="M132" s="3"/>
    </row>
    <row r="133" spans="1:13" ht="45" x14ac:dyDescent="0.25">
      <c r="A133" s="115" t="s">
        <v>263</v>
      </c>
      <c r="B133" s="116" t="s">
        <v>935</v>
      </c>
      <c r="C133" s="113"/>
      <c r="D133" s="113"/>
      <c r="E133" s="113"/>
      <c r="F133" s="113"/>
      <c r="G133" s="113"/>
      <c r="H133" s="113"/>
      <c r="I133" s="113"/>
      <c r="J133" s="113"/>
      <c r="K133" s="113"/>
      <c r="L133" s="113"/>
    </row>
    <row r="134" spans="1:13" ht="60" x14ac:dyDescent="0.25">
      <c r="A134" s="79" t="s">
        <v>264</v>
      </c>
      <c r="B134" s="97" t="s">
        <v>1139</v>
      </c>
      <c r="C134" s="113"/>
      <c r="D134" s="79"/>
      <c r="E134" s="114"/>
      <c r="F134" s="114"/>
      <c r="G134" s="114"/>
      <c r="H134" s="114"/>
      <c r="I134" s="114"/>
      <c r="J134" s="114"/>
      <c r="K134" s="114"/>
      <c r="L134" s="114"/>
      <c r="M134" s="3" t="s">
        <v>594</v>
      </c>
    </row>
    <row r="135" spans="1:13" x14ac:dyDescent="0.25">
      <c r="A135" s="113"/>
      <c r="B135" s="97" t="s">
        <v>588</v>
      </c>
      <c r="C135" s="79"/>
      <c r="D135" s="79" t="s">
        <v>8</v>
      </c>
      <c r="E135" s="114" t="e">
        <f t="shared" ref="E135:G136" si="28">E137/E139*100</f>
        <v>#DIV/0!</v>
      </c>
      <c r="F135" s="114" t="e">
        <f t="shared" si="28"/>
        <v>#DIV/0!</v>
      </c>
      <c r="G135" s="114" t="e">
        <f t="shared" si="28"/>
        <v>#DIV/0!</v>
      </c>
      <c r="H135" s="78">
        <v>5.93</v>
      </c>
      <c r="I135" s="78">
        <f t="shared" ref="I135:K136" si="29">I137/I139*100</f>
        <v>15.70950529076603</v>
      </c>
      <c r="J135" s="78">
        <f t="shared" si="29"/>
        <v>4.5031055900621118</v>
      </c>
      <c r="K135" s="78">
        <f t="shared" si="29"/>
        <v>3.2670454545454546</v>
      </c>
      <c r="L135" s="78">
        <f t="shared" ref="L135" si="30">L137/L139*100</f>
        <v>0</v>
      </c>
    </row>
    <row r="136" spans="1:13" x14ac:dyDescent="0.25">
      <c r="A136" s="113"/>
      <c r="B136" s="97" t="s">
        <v>591</v>
      </c>
      <c r="C136" s="79"/>
      <c r="D136" s="79" t="s">
        <v>8</v>
      </c>
      <c r="E136" s="114" t="e">
        <f t="shared" si="28"/>
        <v>#DIV/0!</v>
      </c>
      <c r="F136" s="114" t="e">
        <f t="shared" si="28"/>
        <v>#DIV/0!</v>
      </c>
      <c r="G136" s="114" t="e">
        <f t="shared" si="28"/>
        <v>#DIV/0!</v>
      </c>
      <c r="H136" s="78">
        <v>0</v>
      </c>
      <c r="I136" s="78">
        <f t="shared" si="29"/>
        <v>0</v>
      </c>
      <c r="J136" s="78">
        <f t="shared" si="29"/>
        <v>0</v>
      </c>
      <c r="K136" s="78">
        <f t="shared" si="29"/>
        <v>0</v>
      </c>
      <c r="L136" s="78">
        <f t="shared" ref="L136" si="31">L138/L140*100</f>
        <v>54.24</v>
      </c>
    </row>
    <row r="137" spans="1:13" ht="60" x14ac:dyDescent="0.25">
      <c r="A137" s="92"/>
      <c r="B137" s="80" t="s">
        <v>937</v>
      </c>
      <c r="C137" s="133" t="s">
        <v>2909</v>
      </c>
      <c r="D137" s="77" t="s">
        <v>1111</v>
      </c>
      <c r="E137" s="39"/>
      <c r="F137" s="39"/>
      <c r="G137" s="39"/>
      <c r="H137" s="39"/>
      <c r="I137" s="69">
        <v>5211</v>
      </c>
      <c r="J137" s="69">
        <v>493</v>
      </c>
      <c r="K137" s="69">
        <v>230</v>
      </c>
      <c r="L137" s="69">
        <v>0</v>
      </c>
    </row>
    <row r="138" spans="1:13" ht="45" x14ac:dyDescent="0.25">
      <c r="A138" s="92"/>
      <c r="B138" s="80" t="s">
        <v>938</v>
      </c>
      <c r="C138" s="133" t="s">
        <v>2910</v>
      </c>
      <c r="D138" s="77" t="s">
        <v>1111</v>
      </c>
      <c r="E138" s="39"/>
      <c r="F138" s="39"/>
      <c r="G138" s="39"/>
      <c r="H138" s="39"/>
      <c r="I138" s="69">
        <v>0</v>
      </c>
      <c r="J138" s="69">
        <v>0</v>
      </c>
      <c r="K138" s="69">
        <v>0</v>
      </c>
      <c r="L138" s="69">
        <v>678</v>
      </c>
    </row>
    <row r="139" spans="1:13" ht="45" x14ac:dyDescent="0.25">
      <c r="A139" s="92"/>
      <c r="B139" s="80" t="s">
        <v>939</v>
      </c>
      <c r="C139" s="133" t="s">
        <v>2911</v>
      </c>
      <c r="D139" s="77" t="s">
        <v>1111</v>
      </c>
      <c r="E139" s="39"/>
      <c r="F139" s="39"/>
      <c r="G139" s="39"/>
      <c r="H139" s="39"/>
      <c r="I139" s="69">
        <v>33171</v>
      </c>
      <c r="J139" s="69">
        <v>10948</v>
      </c>
      <c r="K139" s="69">
        <v>7040</v>
      </c>
      <c r="L139" s="69">
        <v>6124</v>
      </c>
    </row>
    <row r="140" spans="1:13" ht="45" x14ac:dyDescent="0.25">
      <c r="A140" s="92"/>
      <c r="B140" s="80" t="s">
        <v>940</v>
      </c>
      <c r="C140" s="133" t="s">
        <v>2912</v>
      </c>
      <c r="D140" s="77" t="s">
        <v>1111</v>
      </c>
      <c r="E140" s="39"/>
      <c r="F140" s="39"/>
      <c r="G140" s="39"/>
      <c r="H140" s="39"/>
      <c r="I140" s="69">
        <v>3356</v>
      </c>
      <c r="J140" s="69">
        <v>610</v>
      </c>
      <c r="K140" s="69">
        <v>610</v>
      </c>
      <c r="L140" s="69">
        <v>1250</v>
      </c>
    </row>
    <row r="141" spans="1:13" ht="30" x14ac:dyDescent="0.25">
      <c r="A141" s="115" t="s">
        <v>270</v>
      </c>
      <c r="B141" s="116" t="s">
        <v>942</v>
      </c>
      <c r="C141" s="113"/>
      <c r="D141" s="113"/>
      <c r="E141" s="113"/>
      <c r="F141" s="113"/>
      <c r="G141" s="113"/>
      <c r="H141" s="113"/>
      <c r="I141" s="113"/>
      <c r="J141" s="113"/>
      <c r="K141" s="113"/>
      <c r="L141" s="113"/>
    </row>
    <row r="142" spans="1:13" s="89" customFormat="1" ht="60" x14ac:dyDescent="0.25">
      <c r="A142" s="79" t="s">
        <v>280</v>
      </c>
      <c r="B142" s="97" t="s">
        <v>2207</v>
      </c>
      <c r="C142" s="113"/>
      <c r="D142" s="42" t="s">
        <v>8</v>
      </c>
      <c r="E142" s="113"/>
      <c r="F142" s="113"/>
      <c r="G142" s="113"/>
      <c r="H142" s="113"/>
      <c r="I142" s="78">
        <f>I143/I144*100</f>
        <v>95.375091041514921</v>
      </c>
      <c r="J142" s="78">
        <f>J143/J144*100</f>
        <v>1.8359829761245874</v>
      </c>
      <c r="K142" s="78">
        <f>K143/K144*100</f>
        <v>21.880113044771679</v>
      </c>
      <c r="L142" s="78">
        <f>L143/L144*100</f>
        <v>61.167836630504148</v>
      </c>
    </row>
    <row r="143" spans="1:13" s="89" customFormat="1" ht="30" x14ac:dyDescent="0.25">
      <c r="A143" s="77"/>
      <c r="B143" s="80" t="s">
        <v>2208</v>
      </c>
      <c r="C143" s="133" t="s">
        <v>2913</v>
      </c>
      <c r="D143" s="200"/>
      <c r="E143" s="200"/>
      <c r="F143" s="200"/>
      <c r="G143" s="200"/>
      <c r="H143" s="200"/>
      <c r="I143" s="69">
        <v>2619</v>
      </c>
      <c r="J143" s="69">
        <v>962</v>
      </c>
      <c r="K143" s="69">
        <v>1471</v>
      </c>
      <c r="L143" s="69">
        <v>1917</v>
      </c>
    </row>
    <row r="144" spans="1:13" s="89" customFormat="1" ht="30" x14ac:dyDescent="0.25">
      <c r="A144" s="77"/>
      <c r="B144" s="80" t="s">
        <v>2209</v>
      </c>
      <c r="C144" s="133" t="s">
        <v>2469</v>
      </c>
      <c r="D144" s="200"/>
      <c r="E144" s="200"/>
      <c r="F144" s="200"/>
      <c r="G144" s="200"/>
      <c r="H144" s="200"/>
      <c r="I144" s="69">
        <f>I55</f>
        <v>2746</v>
      </c>
      <c r="J144" s="69">
        <f>J55</f>
        <v>52397</v>
      </c>
      <c r="K144" s="69">
        <f>K55</f>
        <v>6723</v>
      </c>
      <c r="L144" s="69">
        <f>L55</f>
        <v>3134</v>
      </c>
    </row>
    <row r="145" spans="1:13" ht="60" hidden="1" x14ac:dyDescent="0.25">
      <c r="A145" s="172" t="s">
        <v>944</v>
      </c>
      <c r="B145" s="171" t="s">
        <v>943</v>
      </c>
      <c r="C145" s="206"/>
      <c r="D145" s="172" t="s">
        <v>8</v>
      </c>
      <c r="E145" s="197" t="e">
        <f t="shared" ref="E145:J145" si="32">E146/E147*100</f>
        <v>#DIV/0!</v>
      </c>
      <c r="F145" s="197" t="e">
        <f t="shared" si="32"/>
        <v>#DIV/0!</v>
      </c>
      <c r="G145" s="197" t="e">
        <f t="shared" si="32"/>
        <v>#DIV/0!</v>
      </c>
      <c r="H145" s="197" t="e">
        <f t="shared" si="32"/>
        <v>#DIV/0!</v>
      </c>
      <c r="I145" s="197" t="e">
        <f t="shared" si="32"/>
        <v>#DIV/0!</v>
      </c>
      <c r="J145" s="197" t="e">
        <f t="shared" si="32"/>
        <v>#DIV/0!</v>
      </c>
      <c r="K145" s="197" t="e">
        <f>K146/K147*100</f>
        <v>#DIV/0!</v>
      </c>
      <c r="L145" s="197" t="e">
        <f>L146/L147*100</f>
        <v>#DIV/0!</v>
      </c>
      <c r="M145" s="3" t="s">
        <v>94</v>
      </c>
    </row>
    <row r="146" spans="1:13" ht="60" hidden="1" x14ac:dyDescent="0.25">
      <c r="A146" s="172"/>
      <c r="B146" s="171" t="s">
        <v>945</v>
      </c>
      <c r="C146" s="172" t="s">
        <v>523</v>
      </c>
      <c r="D146" s="172" t="s">
        <v>1114</v>
      </c>
      <c r="E146" s="173"/>
      <c r="F146" s="173"/>
      <c r="G146" s="173"/>
      <c r="H146" s="173"/>
      <c r="I146" s="173"/>
      <c r="J146" s="173"/>
      <c r="K146" s="173"/>
      <c r="L146" s="173"/>
      <c r="M146" s="3"/>
    </row>
    <row r="147" spans="1:13" ht="60" hidden="1" x14ac:dyDescent="0.25">
      <c r="A147" s="172"/>
      <c r="B147" s="171" t="s">
        <v>946</v>
      </c>
      <c r="C147" s="172" t="s">
        <v>523</v>
      </c>
      <c r="D147" s="172" t="s">
        <v>1114</v>
      </c>
      <c r="E147" s="173"/>
      <c r="F147" s="173"/>
      <c r="G147" s="173"/>
      <c r="H147" s="173"/>
      <c r="I147" s="173"/>
      <c r="J147" s="173"/>
      <c r="K147" s="173"/>
      <c r="L147" s="173"/>
      <c r="M147" s="3"/>
    </row>
    <row r="148" spans="1:13" x14ac:dyDescent="0.25">
      <c r="A148" s="398" t="s">
        <v>2833</v>
      </c>
      <c r="B148" s="398"/>
      <c r="C148" s="398"/>
      <c r="D148" s="398"/>
      <c r="E148" s="398"/>
      <c r="F148" s="398"/>
      <c r="G148" s="398"/>
      <c r="H148" s="398"/>
      <c r="I148" s="398"/>
      <c r="J148" s="398"/>
      <c r="K148" s="398"/>
      <c r="L148" s="398"/>
    </row>
    <row r="149" spans="1:13" x14ac:dyDescent="0.25">
      <c r="A149" s="398" t="s">
        <v>2840</v>
      </c>
      <c r="B149" s="398"/>
      <c r="C149" s="398"/>
      <c r="D149" s="398"/>
      <c r="E149" s="398"/>
      <c r="F149" s="398"/>
      <c r="G149" s="398"/>
      <c r="H149" s="398"/>
      <c r="I149" s="398"/>
      <c r="J149" s="398"/>
      <c r="K149" s="398"/>
      <c r="L149" s="398"/>
    </row>
    <row r="150" spans="1:13" s="241" customFormat="1" x14ac:dyDescent="0.25">
      <c r="A150" s="115" t="s">
        <v>322</v>
      </c>
      <c r="B150" s="116" t="s">
        <v>2834</v>
      </c>
      <c r="C150" s="113"/>
      <c r="D150" s="113"/>
      <c r="E150" s="113"/>
      <c r="F150" s="113"/>
      <c r="G150" s="113"/>
      <c r="H150" s="113"/>
      <c r="I150" s="113"/>
      <c r="J150" s="113"/>
      <c r="K150" s="113"/>
      <c r="L150" s="113"/>
    </row>
    <row r="151" spans="1:13" s="89" customFormat="1" ht="30" x14ac:dyDescent="0.25">
      <c r="A151" s="79" t="s">
        <v>324</v>
      </c>
      <c r="B151" s="97" t="s">
        <v>2835</v>
      </c>
      <c r="C151" s="113"/>
      <c r="D151" s="42" t="s">
        <v>8</v>
      </c>
      <c r="E151" s="78">
        <v>13.9</v>
      </c>
      <c r="F151" s="78">
        <v>14.8</v>
      </c>
      <c r="G151" s="78">
        <v>11.9</v>
      </c>
      <c r="H151" s="78">
        <v>8.6</v>
      </c>
      <c r="I151" s="78">
        <v>8.5</v>
      </c>
      <c r="J151" s="78"/>
      <c r="K151" s="78">
        <v>7.4</v>
      </c>
      <c r="L151" s="78"/>
    </row>
    <row r="152" spans="1:13" s="241" customFormat="1" ht="30" x14ac:dyDescent="0.25">
      <c r="A152" s="115" t="s">
        <v>322</v>
      </c>
      <c r="B152" s="116" t="s">
        <v>1024</v>
      </c>
      <c r="C152" s="113"/>
      <c r="D152" s="113"/>
      <c r="E152" s="113"/>
      <c r="F152" s="113"/>
      <c r="G152" s="113"/>
      <c r="H152" s="113"/>
      <c r="I152" s="113"/>
      <c r="J152" s="113"/>
      <c r="K152" s="113"/>
      <c r="L152" s="113"/>
    </row>
    <row r="153" spans="1:13" s="89" customFormat="1" ht="60" x14ac:dyDescent="0.25">
      <c r="A153" s="79" t="s">
        <v>336</v>
      </c>
      <c r="B153" s="97" t="s">
        <v>2836</v>
      </c>
      <c r="C153" s="113"/>
      <c r="D153" s="113"/>
      <c r="E153" s="113"/>
      <c r="F153" s="113"/>
      <c r="G153" s="113"/>
      <c r="H153" s="113"/>
      <c r="I153" s="78"/>
      <c r="J153" s="78"/>
      <c r="K153" s="78"/>
      <c r="L153" s="78"/>
    </row>
    <row r="154" spans="1:13" s="89" customFormat="1" x14ac:dyDescent="0.25">
      <c r="A154" s="79"/>
      <c r="B154" s="97" t="s">
        <v>2837</v>
      </c>
      <c r="C154" s="113"/>
      <c r="D154" s="42" t="s">
        <v>8</v>
      </c>
      <c r="E154" s="113"/>
      <c r="F154" s="113"/>
      <c r="G154" s="113"/>
      <c r="H154" s="113"/>
      <c r="I154" s="45">
        <f t="shared" ref="I154:K155" si="33">I157/I160*100</f>
        <v>6.9897209985315705</v>
      </c>
      <c r="J154" s="45">
        <f t="shared" si="33"/>
        <v>7.6977401129943503</v>
      </c>
      <c r="K154" s="45">
        <f t="shared" si="33"/>
        <v>7.1763181501046542</v>
      </c>
      <c r="L154" s="45">
        <f t="shared" ref="L154" si="34">L157/L160*100</f>
        <v>7.3107590348969662</v>
      </c>
    </row>
    <row r="155" spans="1:13" s="89" customFormat="1" x14ac:dyDescent="0.25">
      <c r="A155" s="79"/>
      <c r="B155" s="97" t="s">
        <v>2838</v>
      </c>
      <c r="C155" s="113"/>
      <c r="D155" s="42" t="s">
        <v>8</v>
      </c>
      <c r="E155" s="113"/>
      <c r="F155" s="113"/>
      <c r="G155" s="113"/>
      <c r="H155" s="113"/>
      <c r="I155" s="45">
        <f t="shared" si="33"/>
        <v>0</v>
      </c>
      <c r="J155" s="45" t="e">
        <f t="shared" si="33"/>
        <v>#DIV/0!</v>
      </c>
      <c r="K155" s="45">
        <f t="shared" si="33"/>
        <v>0</v>
      </c>
      <c r="L155" s="45">
        <f t="shared" ref="L155" si="35">L158/L161*100</f>
        <v>0</v>
      </c>
    </row>
    <row r="156" spans="1:13" s="89" customFormat="1" ht="30" x14ac:dyDescent="0.25">
      <c r="A156" s="205"/>
      <c r="B156" s="80" t="s">
        <v>2280</v>
      </c>
      <c r="C156" s="76" t="s">
        <v>2853</v>
      </c>
      <c r="D156" s="77"/>
      <c r="E156" s="125"/>
      <c r="F156" s="125"/>
      <c r="G156" s="125"/>
      <c r="H156" s="125"/>
      <c r="I156" s="125"/>
      <c r="J156" s="125"/>
      <c r="K156" s="125"/>
      <c r="L156" s="125"/>
      <c r="M156" s="88"/>
    </row>
    <row r="157" spans="1:13" s="89" customFormat="1" x14ac:dyDescent="0.25">
      <c r="A157" s="205"/>
      <c r="B157" s="80" t="s">
        <v>1182</v>
      </c>
      <c r="C157" s="77"/>
      <c r="D157" s="6" t="s">
        <v>950</v>
      </c>
      <c r="E157" s="125"/>
      <c r="F157" s="125"/>
      <c r="G157" s="125"/>
      <c r="H157" s="125"/>
      <c r="I157" s="125">
        <f>342+10+191+171</f>
        <v>714</v>
      </c>
      <c r="J157" s="125">
        <f>176+206+381</f>
        <v>763</v>
      </c>
      <c r="K157" s="125">
        <f>203+307+7+203</f>
        <v>720</v>
      </c>
      <c r="L157" s="125">
        <f>207+254+245</f>
        <v>706</v>
      </c>
      <c r="M157" s="88"/>
    </row>
    <row r="158" spans="1:13" s="89" customFormat="1" x14ac:dyDescent="0.25">
      <c r="A158" s="205"/>
      <c r="B158" s="80" t="s">
        <v>1184</v>
      </c>
      <c r="C158" s="77"/>
      <c r="D158" s="6" t="s">
        <v>950</v>
      </c>
      <c r="E158" s="125"/>
      <c r="F158" s="125"/>
      <c r="G158" s="125"/>
      <c r="H158" s="125"/>
      <c r="I158" s="125">
        <v>0</v>
      </c>
      <c r="J158" s="125">
        <v>0</v>
      </c>
      <c r="K158" s="125">
        <v>0</v>
      </c>
      <c r="L158" s="125">
        <v>0</v>
      </c>
      <c r="M158" s="88"/>
    </row>
    <row r="159" spans="1:13" s="89" customFormat="1" ht="45" x14ac:dyDescent="0.25">
      <c r="A159" s="205"/>
      <c r="B159" s="80" t="s">
        <v>2281</v>
      </c>
      <c r="C159" s="76" t="s">
        <v>2842</v>
      </c>
      <c r="D159" s="77"/>
      <c r="E159" s="125"/>
      <c r="F159" s="125"/>
      <c r="G159" s="125"/>
      <c r="H159" s="125"/>
      <c r="I159" s="125"/>
      <c r="J159" s="125"/>
      <c r="K159" s="125"/>
      <c r="L159" s="125"/>
      <c r="M159" s="88"/>
    </row>
    <row r="160" spans="1:13" s="89" customFormat="1" x14ac:dyDescent="0.25">
      <c r="A160" s="205"/>
      <c r="B160" s="80" t="s">
        <v>1182</v>
      </c>
      <c r="C160" s="77"/>
      <c r="D160" s="6" t="s">
        <v>950</v>
      </c>
      <c r="E160" s="125"/>
      <c r="F160" s="125"/>
      <c r="G160" s="125"/>
      <c r="H160" s="125"/>
      <c r="I160" s="12">
        <f>564+2932+1413+493+14+19+1664+87+387+1769+248+593+32</f>
        <v>10215</v>
      </c>
      <c r="J160" s="12">
        <f>594+4790+57+1811+2102+558</f>
        <v>9912</v>
      </c>
      <c r="K160" s="12">
        <f>'Высшее (исключен) +'!K37</f>
        <v>10033</v>
      </c>
      <c r="L160" s="12">
        <f>'Высшее (исключен) +'!L37</f>
        <v>9657</v>
      </c>
      <c r="M160" s="88"/>
    </row>
    <row r="161" spans="1:13" s="89" customFormat="1" x14ac:dyDescent="0.25">
      <c r="A161" s="205"/>
      <c r="B161" s="80" t="s">
        <v>1184</v>
      </c>
      <c r="C161" s="77"/>
      <c r="D161" s="6" t="s">
        <v>950</v>
      </c>
      <c r="E161" s="125"/>
      <c r="F161" s="125"/>
      <c r="G161" s="125"/>
      <c r="H161" s="125"/>
      <c r="I161" s="12">
        <v>219</v>
      </c>
      <c r="J161" s="12">
        <v>0</v>
      </c>
      <c r="K161" s="12">
        <f>'Высшее (исключен) +'!K38</f>
        <v>164</v>
      </c>
      <c r="L161" s="12">
        <f>'Высшее (исключен) +'!L38</f>
        <v>236</v>
      </c>
      <c r="M161" s="88"/>
    </row>
    <row r="162" spans="1:13" s="241" customFormat="1" x14ac:dyDescent="0.25">
      <c r="A162" s="398" t="s">
        <v>2841</v>
      </c>
      <c r="B162" s="398"/>
      <c r="C162" s="398"/>
      <c r="D162" s="398"/>
      <c r="E162" s="398"/>
      <c r="F162" s="398"/>
      <c r="G162" s="398"/>
      <c r="H162" s="398"/>
      <c r="I162" s="398"/>
      <c r="J162" s="398"/>
      <c r="K162" s="398"/>
      <c r="L162" s="398"/>
    </row>
    <row r="163" spans="1:13" s="241" customFormat="1" ht="30" x14ac:dyDescent="0.25">
      <c r="A163" s="115" t="s">
        <v>618</v>
      </c>
      <c r="B163" s="116" t="s">
        <v>2839</v>
      </c>
      <c r="C163" s="113"/>
      <c r="D163" s="113"/>
      <c r="E163" s="113"/>
      <c r="F163" s="113"/>
      <c r="G163" s="113"/>
      <c r="H163" s="113"/>
      <c r="I163" s="113"/>
      <c r="J163" s="113"/>
      <c r="K163" s="113"/>
      <c r="L163" s="113"/>
    </row>
    <row r="164" spans="1:13" s="241" customFormat="1" x14ac:dyDescent="0.25">
      <c r="A164" s="56"/>
      <c r="B164" s="43" t="s">
        <v>1034</v>
      </c>
      <c r="C164" s="42"/>
      <c r="D164" s="42"/>
      <c r="E164" s="45"/>
      <c r="F164" s="45"/>
      <c r="G164" s="45"/>
      <c r="H164" s="45"/>
      <c r="I164" s="45"/>
      <c r="J164" s="45"/>
      <c r="K164" s="45"/>
      <c r="L164" s="45"/>
    </row>
    <row r="165" spans="1:13" s="241" customFormat="1" x14ac:dyDescent="0.25">
      <c r="A165" s="56"/>
      <c r="B165" s="43" t="s">
        <v>1182</v>
      </c>
      <c r="C165" s="42"/>
      <c r="D165" s="42" t="s">
        <v>8</v>
      </c>
      <c r="E165" s="45">
        <v>1.47</v>
      </c>
      <c r="F165" s="45">
        <v>1.34</v>
      </c>
      <c r="G165" s="45">
        <v>1.41</v>
      </c>
      <c r="H165" s="45">
        <v>1.34</v>
      </c>
      <c r="I165" s="45">
        <f t="shared" ref="I165:K166" si="36">I171/I177*100</f>
        <v>1.1649534997552617</v>
      </c>
      <c r="J165" s="45">
        <f t="shared" si="36"/>
        <v>0</v>
      </c>
      <c r="K165" s="45">
        <f t="shared" si="36"/>
        <v>1.0166450712648261</v>
      </c>
      <c r="L165" s="45">
        <f t="shared" ref="L165" si="37">L171/L177*100</f>
        <v>0.91125608366987676</v>
      </c>
    </row>
    <row r="166" spans="1:13" s="241" customFormat="1" x14ac:dyDescent="0.25">
      <c r="A166" s="56"/>
      <c r="B166" s="43" t="s">
        <v>1184</v>
      </c>
      <c r="C166" s="42"/>
      <c r="D166" s="42" t="s">
        <v>8</v>
      </c>
      <c r="E166" s="45">
        <v>6.84</v>
      </c>
      <c r="F166" s="45">
        <v>1.84</v>
      </c>
      <c r="G166" s="45">
        <v>1.94</v>
      </c>
      <c r="H166" s="45">
        <v>1.5</v>
      </c>
      <c r="I166" s="45">
        <f t="shared" si="36"/>
        <v>1.214574898785425</v>
      </c>
      <c r="J166" s="45" t="e">
        <f t="shared" si="36"/>
        <v>#DIV/0!</v>
      </c>
      <c r="K166" s="45">
        <f t="shared" si="36"/>
        <v>4.8780487804878048</v>
      </c>
      <c r="L166" s="45">
        <f t="shared" ref="L166" si="38">L172/L178*100</f>
        <v>1.6949152542372881</v>
      </c>
    </row>
    <row r="167" spans="1:13" s="241" customFormat="1" x14ac:dyDescent="0.25">
      <c r="A167" s="56"/>
      <c r="B167" s="43" t="s">
        <v>1035</v>
      </c>
      <c r="C167" s="42"/>
      <c r="D167" s="42"/>
      <c r="E167" s="45"/>
      <c r="F167" s="45"/>
      <c r="G167" s="45"/>
      <c r="H167" s="45"/>
      <c r="I167" s="45"/>
      <c r="J167" s="45"/>
      <c r="K167" s="45"/>
      <c r="L167" s="45"/>
    </row>
    <row r="168" spans="1:13" s="241" customFormat="1" x14ac:dyDescent="0.25">
      <c r="A168" s="56"/>
      <c r="B168" s="43" t="s">
        <v>1182</v>
      </c>
      <c r="C168" s="42"/>
      <c r="D168" s="42" t="s">
        <v>8</v>
      </c>
      <c r="E168" s="45">
        <v>1.47</v>
      </c>
      <c r="F168" s="45">
        <v>1.34</v>
      </c>
      <c r="G168" s="45">
        <v>1.41</v>
      </c>
      <c r="H168" s="45">
        <v>1.28</v>
      </c>
      <c r="I168" s="45">
        <f t="shared" ref="I168:K169" si="39">I174/I177*100</f>
        <v>1.8502202643171806</v>
      </c>
      <c r="J168" s="45">
        <f t="shared" si="39"/>
        <v>0</v>
      </c>
      <c r="K168" s="45">
        <f t="shared" si="39"/>
        <v>0.98674374563938994</v>
      </c>
      <c r="L168" s="45">
        <f t="shared" ref="L168" si="40">L174/L177*100</f>
        <v>0.91125608366987676</v>
      </c>
    </row>
    <row r="169" spans="1:13" s="241" customFormat="1" x14ac:dyDescent="0.25">
      <c r="A169" s="56"/>
      <c r="B169" s="43" t="s">
        <v>1184</v>
      </c>
      <c r="C169" s="42"/>
      <c r="D169" s="42" t="s">
        <v>8</v>
      </c>
      <c r="E169" s="45">
        <v>0.78</v>
      </c>
      <c r="F169" s="45">
        <v>1.57</v>
      </c>
      <c r="G169" s="45">
        <v>1.83</v>
      </c>
      <c r="H169" s="45">
        <v>1.1200000000000001</v>
      </c>
      <c r="I169" s="45">
        <f t="shared" si="39"/>
        <v>1.8218623481781375</v>
      </c>
      <c r="J169" s="45" t="e">
        <f t="shared" si="39"/>
        <v>#DIV/0!</v>
      </c>
      <c r="K169" s="45">
        <f t="shared" si="39"/>
        <v>4.8780487804878048</v>
      </c>
      <c r="L169" s="45">
        <f t="shared" ref="L169" si="41">L175/L178*100</f>
        <v>1.6949152542372881</v>
      </c>
    </row>
    <row r="170" spans="1:13" s="241" customFormat="1" ht="30" x14ac:dyDescent="0.25">
      <c r="A170" s="31"/>
      <c r="B170" s="21" t="s">
        <v>180</v>
      </c>
      <c r="C170" s="6" t="s">
        <v>2854</v>
      </c>
      <c r="D170" s="6"/>
      <c r="E170" s="6"/>
      <c r="F170" s="6"/>
      <c r="G170" s="6"/>
      <c r="H170" s="6"/>
      <c r="I170" s="6"/>
      <c r="J170" s="6"/>
      <c r="K170" s="6"/>
      <c r="L170" s="6"/>
    </row>
    <row r="171" spans="1:13" s="241" customFormat="1" x14ac:dyDescent="0.25">
      <c r="A171" s="31"/>
      <c r="B171" s="21" t="s">
        <v>1182</v>
      </c>
      <c r="C171" s="6"/>
      <c r="D171" s="6" t="s">
        <v>950</v>
      </c>
      <c r="E171" s="6"/>
      <c r="F171" s="6"/>
      <c r="G171" s="6"/>
      <c r="H171" s="6"/>
      <c r="I171" s="6">
        <v>119</v>
      </c>
      <c r="J171" s="6"/>
      <c r="K171" s="6">
        <f>5+13+5+29+14+7+24+1+2+2</f>
        <v>102</v>
      </c>
      <c r="L171" s="6">
        <f>4+11+3+15+21+9+23+1+1</f>
        <v>88</v>
      </c>
    </row>
    <row r="172" spans="1:13" s="241" customFormat="1" x14ac:dyDescent="0.25">
      <c r="A172" s="31"/>
      <c r="B172" s="21" t="s">
        <v>1184</v>
      </c>
      <c r="C172" s="6"/>
      <c r="D172" s="6" t="s">
        <v>950</v>
      </c>
      <c r="E172" s="6"/>
      <c r="F172" s="6"/>
      <c r="G172" s="6"/>
      <c r="H172" s="6"/>
      <c r="I172" s="6">
        <v>6</v>
      </c>
      <c r="J172" s="6"/>
      <c r="K172" s="6">
        <v>8</v>
      </c>
      <c r="L172" s="6">
        <v>4</v>
      </c>
    </row>
    <row r="173" spans="1:13" s="241" customFormat="1" ht="30" x14ac:dyDescent="0.25">
      <c r="A173" s="31"/>
      <c r="B173" s="21" t="s">
        <v>1035</v>
      </c>
      <c r="C173" s="6" t="s">
        <v>2855</v>
      </c>
      <c r="D173" s="6"/>
      <c r="E173" s="6"/>
      <c r="F173" s="6"/>
      <c r="G173" s="6"/>
      <c r="H173" s="6"/>
      <c r="I173" s="6"/>
      <c r="J173" s="6"/>
      <c r="K173" s="6"/>
      <c r="L173" s="6"/>
    </row>
    <row r="174" spans="1:13" s="241" customFormat="1" x14ac:dyDescent="0.25">
      <c r="A174" s="31"/>
      <c r="B174" s="21" t="s">
        <v>1182</v>
      </c>
      <c r="C174" s="6"/>
      <c r="D174" s="6" t="s">
        <v>950</v>
      </c>
      <c r="E174" s="6"/>
      <c r="F174" s="6"/>
      <c r="G174" s="6"/>
      <c r="H174" s="6"/>
      <c r="I174" s="6">
        <v>189</v>
      </c>
      <c r="J174" s="6"/>
      <c r="K174" s="6">
        <v>99</v>
      </c>
      <c r="L174" s="6">
        <f>4+11+3+15+21+9+23+1+1</f>
        <v>88</v>
      </c>
    </row>
    <row r="175" spans="1:13" s="241" customFormat="1" x14ac:dyDescent="0.25">
      <c r="A175" s="31"/>
      <c r="B175" s="21" t="s">
        <v>1184</v>
      </c>
      <c r="C175" s="6"/>
      <c r="D175" s="6" t="s">
        <v>950</v>
      </c>
      <c r="E175" s="6"/>
      <c r="F175" s="6"/>
      <c r="G175" s="6"/>
      <c r="H175" s="6"/>
      <c r="I175" s="6">
        <v>9</v>
      </c>
      <c r="J175" s="6"/>
      <c r="K175" s="6">
        <v>8</v>
      </c>
      <c r="L175" s="6">
        <v>4</v>
      </c>
    </row>
    <row r="176" spans="1:13" s="241" customFormat="1" ht="45" x14ac:dyDescent="0.25">
      <c r="A176" s="31"/>
      <c r="B176" s="21" t="s">
        <v>330</v>
      </c>
      <c r="C176" s="76" t="s">
        <v>2842</v>
      </c>
      <c r="D176" s="76"/>
      <c r="E176" s="6"/>
      <c r="F176" s="6"/>
      <c r="G176" s="6"/>
      <c r="H176" s="6"/>
      <c r="I176" s="6"/>
      <c r="J176" s="6"/>
      <c r="K176" s="6"/>
      <c r="L176" s="6"/>
    </row>
    <row r="177" spans="1:12" s="241" customFormat="1" x14ac:dyDescent="0.25">
      <c r="A177" s="31"/>
      <c r="B177" s="21" t="s">
        <v>1182</v>
      </c>
      <c r="C177" s="6"/>
      <c r="D177" s="6" t="s">
        <v>950</v>
      </c>
      <c r="E177" s="6"/>
      <c r="F177" s="6"/>
      <c r="G177" s="6"/>
      <c r="H177" s="6"/>
      <c r="I177" s="12">
        <f>564+2932+1413+493+14+19+1664+87+387+1769+248+593+32</f>
        <v>10215</v>
      </c>
      <c r="J177" s="12">
        <f>594+4790+57+1811+2102+558</f>
        <v>9912</v>
      </c>
      <c r="K177" s="12">
        <f>'Высшее (исключен) +'!K37</f>
        <v>10033</v>
      </c>
      <c r="L177" s="12">
        <f>'Высшее (исключен) +'!L37</f>
        <v>9657</v>
      </c>
    </row>
    <row r="178" spans="1:12" s="241" customFormat="1" x14ac:dyDescent="0.25">
      <c r="A178" s="31"/>
      <c r="B178" s="21" t="s">
        <v>1184</v>
      </c>
      <c r="C178" s="6"/>
      <c r="D178" s="6" t="s">
        <v>950</v>
      </c>
      <c r="E178" s="6"/>
      <c r="F178" s="6"/>
      <c r="G178" s="6"/>
      <c r="H178" s="6"/>
      <c r="I178" s="12">
        <v>494</v>
      </c>
      <c r="J178" s="12">
        <v>0</v>
      </c>
      <c r="K178" s="12">
        <f>'Высшее (исключен) +'!K38</f>
        <v>164</v>
      </c>
      <c r="L178" s="12">
        <f>'Высшее (исключен) +'!L38</f>
        <v>236</v>
      </c>
    </row>
  </sheetData>
  <mergeCells count="7">
    <mergeCell ref="A149:L149"/>
    <mergeCell ref="A162:L162"/>
    <mergeCell ref="A3:J3"/>
    <mergeCell ref="A4:J4"/>
    <mergeCell ref="A7:L7"/>
    <mergeCell ref="A8:L8"/>
    <mergeCell ref="A148:L14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00B0F0"/>
  </sheetPr>
  <dimension ref="A3:CS534"/>
  <sheetViews>
    <sheetView view="pageBreakPreview" zoomScaleSheetLayoutView="100" workbookViewId="0">
      <pane xSplit="3" ySplit="8" topLeftCell="G544" activePane="bottomRight" state="frozen"/>
      <selection activeCell="J11" sqref="J11"/>
      <selection pane="topRight" activeCell="J11" sqref="J11"/>
      <selection pane="bottomLeft" activeCell="J11" sqref="J11"/>
      <selection pane="bottomRight" activeCell="O442" sqref="O442"/>
    </sheetView>
  </sheetViews>
  <sheetFormatPr defaultRowHeight="15" x14ac:dyDescent="0.25"/>
  <cols>
    <col min="1" max="1" width="9.140625" style="267"/>
    <col min="2" max="2" width="75.140625" style="267" customWidth="1"/>
    <col min="3" max="3" width="22.42578125" style="267" customWidth="1"/>
    <col min="4" max="4" width="13.42578125" style="267" customWidth="1"/>
    <col min="5" max="5" width="11.85546875" style="267" customWidth="1"/>
    <col min="6" max="6" width="12.140625" style="267" customWidth="1"/>
    <col min="7" max="14" width="12" style="267" customWidth="1"/>
    <col min="15" max="15" width="41.85546875" style="267" customWidth="1"/>
    <col min="16" max="18" width="12" style="267" bestFit="1" customWidth="1"/>
    <col min="19" max="19" width="12" style="267" customWidth="1"/>
    <col min="20" max="21" width="9.140625" style="267"/>
    <col min="22" max="22" width="10" style="267" bestFit="1" customWidth="1"/>
    <col min="23" max="24" width="9.140625" style="267"/>
    <col min="25" max="25" width="10" style="267" bestFit="1" customWidth="1"/>
    <col min="26" max="27" width="9.140625" style="267"/>
    <col min="28" max="28" width="10" style="267" bestFit="1" customWidth="1"/>
    <col min="29" max="30" width="9.140625" style="267"/>
    <col min="31" max="31" width="10" style="267" bestFit="1" customWidth="1"/>
    <col min="32" max="33" width="9.140625" style="267"/>
    <col min="34" max="34" width="10" style="267" bestFit="1" customWidth="1"/>
    <col min="35" max="36" width="9.140625" style="267"/>
    <col min="37" max="37" width="10" style="267" bestFit="1" customWidth="1"/>
    <col min="38" max="39" width="9.140625" style="267"/>
    <col min="40" max="40" width="10" style="267" bestFit="1" customWidth="1"/>
    <col min="41" max="42" width="9.140625" style="267"/>
    <col min="43" max="43" width="10" style="267" bestFit="1" customWidth="1"/>
    <col min="44" max="45" width="9.140625" style="267"/>
    <col min="46" max="46" width="10" style="267" bestFit="1" customWidth="1"/>
    <col min="47" max="48" width="9.140625" style="267"/>
    <col min="49" max="49" width="10" style="267" bestFit="1" customWidth="1"/>
    <col min="50" max="51" width="9.140625" style="267"/>
    <col min="52" max="52" width="10" style="267" bestFit="1" customWidth="1"/>
    <col min="53" max="54" width="9.140625" style="267"/>
    <col min="55" max="55" width="10" style="267" bestFit="1" customWidth="1"/>
    <col min="56" max="57" width="9.140625" style="267"/>
    <col min="58" max="58" width="10" style="267" bestFit="1" customWidth="1"/>
    <col min="59" max="60" width="9.140625" style="267"/>
    <col min="61" max="61" width="10" style="267" bestFit="1" customWidth="1"/>
    <col min="62" max="63" width="9.140625" style="267"/>
    <col min="64" max="64" width="10" style="267" bestFit="1" customWidth="1"/>
    <col min="65" max="66" width="9.140625" style="267"/>
    <col min="67" max="67" width="10" style="267" bestFit="1" customWidth="1"/>
    <col min="68" max="69" width="9.140625" style="267"/>
    <col min="70" max="70" width="10" style="267" bestFit="1" customWidth="1"/>
    <col min="71" max="72" width="9.140625" style="267"/>
    <col min="73" max="73" width="10" style="267" bestFit="1" customWidth="1"/>
    <col min="74" max="75" width="9.140625" style="267"/>
    <col min="76" max="76" width="10" style="267" bestFit="1" customWidth="1"/>
    <col min="77" max="78" width="9.140625" style="267"/>
    <col min="79" max="79" width="10" style="267" bestFit="1" customWidth="1"/>
    <col min="80" max="81" width="9.140625" style="267"/>
    <col min="82" max="82" width="10" style="267" bestFit="1" customWidth="1"/>
    <col min="83" max="84" width="9.140625" style="267"/>
    <col min="85" max="85" width="10" style="267" bestFit="1" customWidth="1"/>
    <col min="86" max="16384" width="9.140625" style="267"/>
  </cols>
  <sheetData>
    <row r="3" spans="1:88" ht="18.75" x14ac:dyDescent="0.3">
      <c r="A3" s="408" t="s">
        <v>0</v>
      </c>
      <c r="B3" s="408"/>
      <c r="C3" s="408"/>
      <c r="D3" s="408"/>
      <c r="E3" s="408"/>
      <c r="F3" s="408"/>
      <c r="G3" s="408"/>
      <c r="H3" s="408"/>
      <c r="I3" s="408"/>
      <c r="J3" s="408"/>
      <c r="K3" s="408"/>
      <c r="L3" s="380"/>
      <c r="M3" s="380"/>
      <c r="N3" s="392"/>
      <c r="O3" s="266"/>
    </row>
    <row r="4" spans="1:88" ht="18.75" x14ac:dyDescent="0.3">
      <c r="A4" s="408" t="s">
        <v>1</v>
      </c>
      <c r="B4" s="408"/>
      <c r="C4" s="408"/>
      <c r="D4" s="408"/>
      <c r="E4" s="408"/>
      <c r="F4" s="408"/>
      <c r="G4" s="408"/>
      <c r="H4" s="408"/>
      <c r="I4" s="408"/>
      <c r="J4" s="408"/>
      <c r="K4" s="408"/>
      <c r="L4" s="380"/>
      <c r="M4" s="380"/>
      <c r="N4" s="392"/>
      <c r="O4" s="380"/>
    </row>
    <row r="5" spans="1:88" x14ac:dyDescent="0.25">
      <c r="A5" s="383"/>
      <c r="B5" s="383"/>
      <c r="C5" s="383"/>
      <c r="D5" s="383"/>
      <c r="E5" s="383"/>
      <c r="F5" s="383"/>
      <c r="G5" s="383"/>
      <c r="H5" s="383"/>
      <c r="I5" s="383"/>
      <c r="J5" s="383"/>
      <c r="K5" s="383"/>
      <c r="L5" s="383"/>
      <c r="M5" s="383"/>
      <c r="N5" s="393"/>
      <c r="O5" s="383"/>
    </row>
    <row r="6" spans="1:88" ht="45" x14ac:dyDescent="0.25">
      <c r="A6" s="270" t="s">
        <v>6</v>
      </c>
      <c r="B6" s="270" t="s">
        <v>375</v>
      </c>
      <c r="C6" s="271" t="s">
        <v>9</v>
      </c>
      <c r="D6" s="271" t="s">
        <v>10</v>
      </c>
      <c r="E6" s="271" t="s">
        <v>1401</v>
      </c>
      <c r="F6" s="271" t="s">
        <v>1406</v>
      </c>
      <c r="G6" s="271" t="s">
        <v>1446</v>
      </c>
      <c r="H6" s="271" t="s">
        <v>1486</v>
      </c>
      <c r="I6" s="271" t="s">
        <v>1599</v>
      </c>
      <c r="J6" s="271" t="s">
        <v>2384</v>
      </c>
      <c r="K6" s="271" t="s">
        <v>2723</v>
      </c>
      <c r="L6" s="271" t="s">
        <v>2845</v>
      </c>
      <c r="M6" s="271" t="s">
        <v>3005</v>
      </c>
      <c r="N6" s="271" t="s">
        <v>3012</v>
      </c>
      <c r="O6" s="272" t="s">
        <v>13</v>
      </c>
    </row>
    <row r="7" spans="1:88" x14ac:dyDescent="0.25">
      <c r="A7" s="409" t="s">
        <v>3</v>
      </c>
      <c r="B7" s="410"/>
      <c r="C7" s="410"/>
      <c r="D7" s="410"/>
      <c r="E7" s="410"/>
      <c r="F7" s="410"/>
      <c r="G7" s="410"/>
      <c r="H7" s="410"/>
      <c r="I7" s="410"/>
      <c r="J7" s="410"/>
      <c r="K7" s="410"/>
      <c r="L7" s="411"/>
      <c r="M7" s="375"/>
      <c r="N7" s="375"/>
    </row>
    <row r="8" spans="1:88" x14ac:dyDescent="0.25">
      <c r="A8" s="412" t="s">
        <v>4</v>
      </c>
      <c r="B8" s="413"/>
      <c r="C8" s="413"/>
      <c r="D8" s="413"/>
      <c r="E8" s="413"/>
      <c r="F8" s="413"/>
      <c r="G8" s="413"/>
      <c r="H8" s="413"/>
      <c r="I8" s="413"/>
      <c r="J8" s="413"/>
      <c r="K8" s="413"/>
      <c r="L8" s="414"/>
      <c r="M8" s="375"/>
      <c r="N8" s="375"/>
      <c r="P8" s="378"/>
      <c r="Q8" s="378"/>
      <c r="R8" s="406" t="s">
        <v>1421</v>
      </c>
      <c r="S8" s="406"/>
      <c r="T8" s="378"/>
      <c r="U8" s="406" t="s">
        <v>1422</v>
      </c>
      <c r="V8" s="406"/>
      <c r="W8" s="378"/>
      <c r="X8" s="406" t="s">
        <v>1423</v>
      </c>
      <c r="Y8" s="406"/>
      <c r="Z8" s="378"/>
      <c r="AA8" s="406" t="s">
        <v>1424</v>
      </c>
      <c r="AB8" s="406"/>
      <c r="AC8" s="378"/>
      <c r="AD8" s="406" t="s">
        <v>1425</v>
      </c>
      <c r="AE8" s="406"/>
      <c r="AF8" s="378"/>
      <c r="AG8" s="406" t="s">
        <v>1426</v>
      </c>
      <c r="AH8" s="406"/>
      <c r="AI8" s="378"/>
      <c r="AJ8" s="406" t="s">
        <v>1427</v>
      </c>
      <c r="AK8" s="406"/>
      <c r="AL8" s="378"/>
      <c r="AM8" s="406" t="s">
        <v>1428</v>
      </c>
      <c r="AN8" s="406"/>
      <c r="AO8" s="378"/>
      <c r="AP8" s="406" t="s">
        <v>1429</v>
      </c>
      <c r="AQ8" s="406"/>
      <c r="AR8" s="378"/>
      <c r="AS8" s="406" t="s">
        <v>1430</v>
      </c>
      <c r="AT8" s="406"/>
      <c r="AU8" s="378"/>
      <c r="AV8" s="406" t="s">
        <v>1431</v>
      </c>
      <c r="AW8" s="406"/>
      <c r="AX8" s="378"/>
      <c r="AY8" s="406" t="s">
        <v>1432</v>
      </c>
      <c r="AZ8" s="406"/>
      <c r="BA8" s="378"/>
      <c r="BB8" s="406" t="s">
        <v>1433</v>
      </c>
      <c r="BC8" s="406"/>
      <c r="BD8" s="378"/>
      <c r="BE8" s="406" t="s">
        <v>1434</v>
      </c>
      <c r="BF8" s="406"/>
      <c r="BG8" s="378"/>
      <c r="BH8" s="406" t="s">
        <v>1435</v>
      </c>
      <c r="BI8" s="406"/>
      <c r="BJ8" s="378"/>
      <c r="BK8" s="406" t="s">
        <v>1436</v>
      </c>
      <c r="BL8" s="406"/>
      <c r="BM8" s="378"/>
      <c r="BN8" s="406" t="s">
        <v>1437</v>
      </c>
      <c r="BO8" s="406"/>
      <c r="BP8" s="378"/>
      <c r="BQ8" s="406" t="s">
        <v>1438</v>
      </c>
      <c r="BR8" s="406"/>
      <c r="BS8" s="378"/>
      <c r="BT8" s="406" t="s">
        <v>1439</v>
      </c>
      <c r="BU8" s="406"/>
      <c r="BV8" s="378"/>
      <c r="BW8" s="406" t="s">
        <v>1440</v>
      </c>
      <c r="BX8" s="406"/>
      <c r="BY8" s="378"/>
      <c r="BZ8" s="406" t="s">
        <v>1441</v>
      </c>
      <c r="CA8" s="406"/>
      <c r="CB8" s="378"/>
      <c r="CC8" s="406" t="s">
        <v>1442</v>
      </c>
      <c r="CD8" s="406"/>
      <c r="CE8" s="378"/>
      <c r="CF8" s="406" t="s">
        <v>2435</v>
      </c>
      <c r="CG8" s="406"/>
      <c r="CH8" s="378"/>
      <c r="CI8" s="406" t="s">
        <v>2436</v>
      </c>
      <c r="CJ8" s="406"/>
    </row>
    <row r="9" spans="1:88" ht="30" customHeight="1" x14ac:dyDescent="0.25">
      <c r="A9" s="105" t="s">
        <v>7</v>
      </c>
      <c r="B9" s="290" t="s">
        <v>5</v>
      </c>
      <c r="C9" s="16"/>
      <c r="D9" s="107"/>
      <c r="E9" s="107"/>
      <c r="F9" s="107"/>
      <c r="G9" s="107"/>
      <c r="H9" s="107"/>
      <c r="I9" s="107"/>
      <c r="J9" s="107"/>
      <c r="K9" s="107"/>
      <c r="L9" s="107"/>
      <c r="M9" s="107"/>
      <c r="N9" s="107"/>
      <c r="P9" s="278"/>
      <c r="Q9" s="278"/>
      <c r="R9" s="278">
        <v>2019</v>
      </c>
      <c r="S9" s="278">
        <v>2020</v>
      </c>
      <c r="T9" s="278" t="s">
        <v>1443</v>
      </c>
      <c r="U9" s="278">
        <v>2019</v>
      </c>
      <c r="V9" s="278">
        <v>2020</v>
      </c>
      <c r="W9" s="278" t="s">
        <v>1443</v>
      </c>
      <c r="X9" s="278">
        <v>2019</v>
      </c>
      <c r="Y9" s="278">
        <v>2020</v>
      </c>
      <c r="Z9" s="278" t="s">
        <v>1443</v>
      </c>
      <c r="AA9" s="278">
        <v>2019</v>
      </c>
      <c r="AB9" s="278">
        <v>2020</v>
      </c>
      <c r="AC9" s="278" t="s">
        <v>1443</v>
      </c>
      <c r="AD9" s="278">
        <v>2019</v>
      </c>
      <c r="AE9" s="278">
        <v>2020</v>
      </c>
      <c r="AF9" s="278" t="s">
        <v>1443</v>
      </c>
      <c r="AG9" s="278">
        <v>2019</v>
      </c>
      <c r="AH9" s="278">
        <v>2020</v>
      </c>
      <c r="AI9" s="278" t="s">
        <v>1443</v>
      </c>
      <c r="AJ9" s="278">
        <v>2019</v>
      </c>
      <c r="AK9" s="278">
        <v>2020</v>
      </c>
      <c r="AL9" s="278" t="s">
        <v>1443</v>
      </c>
      <c r="AM9" s="278">
        <v>2019</v>
      </c>
      <c r="AN9" s="278">
        <v>2020</v>
      </c>
      <c r="AO9" s="278" t="s">
        <v>1443</v>
      </c>
      <c r="AP9" s="278">
        <v>2019</v>
      </c>
      <c r="AQ9" s="278">
        <v>2020</v>
      </c>
      <c r="AR9" s="278" t="s">
        <v>1443</v>
      </c>
      <c r="AS9" s="278">
        <v>2019</v>
      </c>
      <c r="AT9" s="278">
        <v>2020</v>
      </c>
      <c r="AU9" s="278" t="s">
        <v>1443</v>
      </c>
      <c r="AV9" s="278">
        <v>2019</v>
      </c>
      <c r="AW9" s="278">
        <v>2020</v>
      </c>
      <c r="AX9" s="278" t="s">
        <v>1443</v>
      </c>
      <c r="AY9" s="278">
        <v>2019</v>
      </c>
      <c r="AZ9" s="278">
        <v>2020</v>
      </c>
      <c r="BA9" s="278" t="s">
        <v>1443</v>
      </c>
      <c r="BB9" s="278">
        <v>2019</v>
      </c>
      <c r="BC9" s="278">
        <v>2020</v>
      </c>
      <c r="BD9" s="278" t="s">
        <v>1443</v>
      </c>
      <c r="BE9" s="278">
        <v>2019</v>
      </c>
      <c r="BF9" s="278">
        <v>2020</v>
      </c>
      <c r="BG9" s="278" t="s">
        <v>1443</v>
      </c>
      <c r="BH9" s="278">
        <v>2019</v>
      </c>
      <c r="BI9" s="278">
        <v>2020</v>
      </c>
      <c r="BJ9" s="278" t="s">
        <v>1443</v>
      </c>
      <c r="BK9" s="278">
        <v>2019</v>
      </c>
      <c r="BL9" s="278">
        <v>2020</v>
      </c>
      <c r="BM9" s="278" t="s">
        <v>1443</v>
      </c>
      <c r="BN9" s="278">
        <v>2019</v>
      </c>
      <c r="BO9" s="278">
        <v>2020</v>
      </c>
      <c r="BP9" s="278" t="s">
        <v>1443</v>
      </c>
      <c r="BQ9" s="278">
        <v>2019</v>
      </c>
      <c r="BR9" s="278">
        <v>2020</v>
      </c>
      <c r="BS9" s="278" t="s">
        <v>1443</v>
      </c>
      <c r="BT9" s="278">
        <v>2019</v>
      </c>
      <c r="BU9" s="278">
        <v>2020</v>
      </c>
      <c r="BV9" s="278" t="s">
        <v>1443</v>
      </c>
      <c r="BW9" s="278">
        <v>2019</v>
      </c>
      <c r="BX9" s="278">
        <v>2020</v>
      </c>
      <c r="BY9" s="278" t="s">
        <v>1443</v>
      </c>
      <c r="BZ9" s="278">
        <v>2019</v>
      </c>
      <c r="CA9" s="278">
        <v>2020</v>
      </c>
      <c r="CB9" s="278" t="s">
        <v>1443</v>
      </c>
      <c r="CC9" s="278">
        <v>2019</v>
      </c>
      <c r="CD9" s="278">
        <v>2020</v>
      </c>
      <c r="CE9" s="278" t="s">
        <v>1443</v>
      </c>
      <c r="CF9" s="278">
        <v>2019</v>
      </c>
      <c r="CG9" s="278">
        <v>2020</v>
      </c>
      <c r="CH9" s="278" t="s">
        <v>1443</v>
      </c>
      <c r="CI9" s="278">
        <v>2019</v>
      </c>
      <c r="CJ9" s="278">
        <v>2020</v>
      </c>
    </row>
    <row r="10" spans="1:88" ht="135" x14ac:dyDescent="0.25">
      <c r="A10" s="95" t="s">
        <v>2</v>
      </c>
      <c r="B10" s="96" t="s">
        <v>1600</v>
      </c>
      <c r="C10" s="16"/>
      <c r="D10" s="95" t="s">
        <v>8</v>
      </c>
      <c r="E10" s="279">
        <f>E32/(E32+E35)*100</f>
        <v>87.940360769213129</v>
      </c>
      <c r="F10" s="279">
        <f>F32/(F32+F35)*100</f>
        <v>94.365088166796056</v>
      </c>
      <c r="G10" s="279">
        <f>G32/(G32+G35)*100</f>
        <v>100</v>
      </c>
      <c r="H10" s="279">
        <f>H32/(H32+H35)*100</f>
        <v>100</v>
      </c>
      <c r="I10" s="279"/>
      <c r="J10" s="279"/>
      <c r="K10" s="279"/>
      <c r="L10" s="279"/>
      <c r="M10" s="279"/>
      <c r="N10" s="279"/>
      <c r="O10" s="281" t="s">
        <v>14</v>
      </c>
    </row>
    <row r="11" spans="1:88" x14ac:dyDescent="0.25">
      <c r="A11" s="95"/>
      <c r="B11" s="352" t="s">
        <v>1745</v>
      </c>
      <c r="C11" s="16"/>
      <c r="D11" s="95"/>
      <c r="E11" s="279"/>
      <c r="F11" s="279"/>
      <c r="G11" s="279"/>
      <c r="H11" s="279"/>
      <c r="I11" s="279">
        <f t="shared" ref="I11:N11" si="0">(I20/(I20+I23))*100</f>
        <v>94.921128107074566</v>
      </c>
      <c r="J11" s="279">
        <f t="shared" si="0"/>
        <v>99.343323648843807</v>
      </c>
      <c r="K11" s="279">
        <f t="shared" si="0"/>
        <v>99.618346916622158</v>
      </c>
      <c r="L11" s="279">
        <f t="shared" si="0"/>
        <v>100</v>
      </c>
      <c r="M11" s="279">
        <f t="shared" si="0"/>
        <v>100</v>
      </c>
      <c r="N11" s="279">
        <f t="shared" si="0"/>
        <v>100</v>
      </c>
      <c r="O11" s="281"/>
      <c r="P11" s="279">
        <f>(P20/(P20+P23))*100</f>
        <v>0</v>
      </c>
      <c r="Q11" s="279">
        <f>(Q20/(Q20+Q23))*100</f>
        <v>99.702983543682819</v>
      </c>
      <c r="R11" s="279" t="e">
        <f>(R20/(R20+R23))*100</f>
        <v>#DIV/0!</v>
      </c>
      <c r="S11" s="279">
        <f>(S20/(S20+S23))*100</f>
        <v>100</v>
      </c>
      <c r="U11" s="279" t="e">
        <f>(U20/(U20+U23))*100</f>
        <v>#DIV/0!</v>
      </c>
      <c r="V11" s="279">
        <f>(V20/(V20+V23))*100</f>
        <v>100</v>
      </c>
      <c r="X11" s="279" t="e">
        <f>(X20/(X20+X23))*100</f>
        <v>#DIV/0!</v>
      </c>
      <c r="Y11" s="279">
        <f>(Y20/(Y20+Y23))*100</f>
        <v>100</v>
      </c>
      <c r="AA11" s="279" t="e">
        <f>(AA20/(AA20+AA23))*100</f>
        <v>#DIV/0!</v>
      </c>
      <c r="AB11" s="279">
        <f>(AB20/(AB20+AB23))*100</f>
        <v>100</v>
      </c>
      <c r="AD11" s="279" t="e">
        <f>(AD20/(AD20+AD23))*100</f>
        <v>#DIV/0!</v>
      </c>
      <c r="AE11" s="279">
        <f>(AE20/(AE20+AE23))*100</f>
        <v>100</v>
      </c>
      <c r="AG11" s="279" t="e">
        <f>(AG20/(AG20+AG23))*100</f>
        <v>#DIV/0!</v>
      </c>
      <c r="AH11" s="279">
        <f>(AH20/(AH20+AH23))*100</f>
        <v>100</v>
      </c>
      <c r="AJ11" s="279">
        <f>(AJ20/(AJ20+AJ23))*100</f>
        <v>0</v>
      </c>
      <c r="AK11" s="279">
        <f>(AK20/(AK20+AK23))*100</f>
        <v>99.520054850874189</v>
      </c>
      <c r="AM11" s="279" t="e">
        <f>(AM20/(AM20+AM23))*100</f>
        <v>#DIV/0!</v>
      </c>
      <c r="AN11" s="279">
        <f>(AN20/(AN20+AN23))*100</f>
        <v>100</v>
      </c>
      <c r="AP11" s="279" t="e">
        <f>(AP20/(AP20+AP23))*100</f>
        <v>#DIV/0!</v>
      </c>
      <c r="AQ11" s="279">
        <f>(AQ20/(AQ20+AQ23))*100</f>
        <v>100</v>
      </c>
      <c r="AS11" s="279">
        <f>(AS20/(AS20+AS23))*100</f>
        <v>0</v>
      </c>
      <c r="AT11" s="279">
        <f>(AT20/(AT20+AT23))*100</f>
        <v>98.922035597894208</v>
      </c>
      <c r="AV11" s="279" t="e">
        <f>(AV20/(AV20+AV23))*100</f>
        <v>#DIV/0!</v>
      </c>
      <c r="AW11" s="279">
        <f>(AW20/(AW20+AW23))*100</f>
        <v>100</v>
      </c>
      <c r="AY11" s="279" t="e">
        <f>(AY20/(AY20+AY23))*100</f>
        <v>#DIV/0!</v>
      </c>
      <c r="AZ11" s="279">
        <f>(AZ20/(AZ20+AZ23))*100</f>
        <v>100</v>
      </c>
      <c r="BB11" s="279" t="e">
        <f>(BB20/(BB20+BB23))*100</f>
        <v>#DIV/0!</v>
      </c>
      <c r="BC11" s="279">
        <f>(BC20/(BC20+BC23))*100</f>
        <v>100</v>
      </c>
      <c r="BE11" s="279">
        <f>(BE20/(BE20+BE23))*100</f>
        <v>0</v>
      </c>
      <c r="BF11" s="279">
        <f>(BF20/(BF20+BF23))*100</f>
        <v>99.350991979738296</v>
      </c>
      <c r="BH11" s="279" t="e">
        <f>(BH20/(BH20+BH23))*100</f>
        <v>#DIV/0!</v>
      </c>
      <c r="BI11" s="279">
        <f>(BI20/(BI20+BI23))*100</f>
        <v>99.770077720207254</v>
      </c>
      <c r="BK11" s="279" t="e">
        <f>(BK20/(BK20+BK23))*100</f>
        <v>#DIV/0!</v>
      </c>
      <c r="BL11" s="279">
        <f>(BL20/(BL20+BL23))*100</f>
        <v>100</v>
      </c>
      <c r="BN11" s="279" t="e">
        <f>(BN20/(BN20+BN23))*100</f>
        <v>#DIV/0!</v>
      </c>
      <c r="BO11" s="279">
        <f>(BO20/(BO20+BO23))*100</f>
        <v>100</v>
      </c>
      <c r="BQ11" s="279">
        <f>(BQ20/(BQ20+BQ23))*100</f>
        <v>0</v>
      </c>
      <c r="BR11" s="279">
        <f>(BR20/(BR20+BR23))*100</f>
        <v>99.200412690224411</v>
      </c>
      <c r="BT11" s="279">
        <f>(BT20/(BT20+BT23))*100</f>
        <v>0</v>
      </c>
      <c r="BU11" s="279">
        <f>(BU20/(BU20+BU23))*100</f>
        <v>100</v>
      </c>
      <c r="BW11" s="279" t="e">
        <f>(BW20/(BW20+BW23))*100</f>
        <v>#DIV/0!</v>
      </c>
      <c r="BX11" s="279">
        <f>(BX20/(BX20+BX23))*100</f>
        <v>100</v>
      </c>
      <c r="BZ11" s="279">
        <f>(BZ20/(BZ20+BZ23))*100</f>
        <v>0</v>
      </c>
      <c r="CA11" s="279">
        <f>(CA20/(CA20+CA23))*100</f>
        <v>100</v>
      </c>
      <c r="CC11" s="279">
        <f>(CC20/(CC20+CC23))*100</f>
        <v>0</v>
      </c>
      <c r="CD11" s="279">
        <f>(CD20/(CD20+CD23))*100</f>
        <v>99.678327301970242</v>
      </c>
      <c r="CF11" s="279" t="e">
        <f>(CF20/(CF20+CF23))*100</f>
        <v>#DIV/0!</v>
      </c>
      <c r="CG11" s="279">
        <f>(CG20/(CG20+CG23))*100</f>
        <v>100</v>
      </c>
      <c r="CI11" s="279" t="e">
        <f>(CI20/(CI20+CI23))*100</f>
        <v>#DIV/0!</v>
      </c>
      <c r="CJ11" s="279" t="e">
        <f>(CJ20/(CJ20+CJ23))*100</f>
        <v>#DIV/0!</v>
      </c>
    </row>
    <row r="12" spans="1:88" x14ac:dyDescent="0.25">
      <c r="A12" s="95"/>
      <c r="B12" s="16" t="s">
        <v>1183</v>
      </c>
      <c r="C12" s="16"/>
      <c r="D12" s="95" t="s">
        <v>8</v>
      </c>
      <c r="E12" s="279"/>
      <c r="F12" s="279"/>
      <c r="G12" s="279"/>
      <c r="H12" s="279"/>
      <c r="I12" s="279"/>
      <c r="J12" s="279"/>
      <c r="K12" s="279"/>
      <c r="L12" s="279"/>
      <c r="M12" s="279"/>
      <c r="N12" s="279"/>
      <c r="O12" s="281"/>
      <c r="P12" s="279"/>
      <c r="Q12" s="279"/>
      <c r="R12" s="279"/>
      <c r="S12" s="279"/>
      <c r="U12" s="279"/>
      <c r="V12" s="279"/>
      <c r="X12" s="279"/>
      <c r="Y12" s="279"/>
      <c r="AA12" s="279"/>
      <c r="AB12" s="279"/>
      <c r="AD12" s="279"/>
      <c r="AE12" s="279"/>
      <c r="AG12" s="279"/>
      <c r="AH12" s="279"/>
      <c r="AJ12" s="279"/>
      <c r="AK12" s="279"/>
      <c r="AM12" s="279"/>
      <c r="AN12" s="279"/>
      <c r="AP12" s="279"/>
      <c r="AQ12" s="279"/>
      <c r="AS12" s="279"/>
      <c r="AT12" s="279"/>
      <c r="AV12" s="279"/>
      <c r="AW12" s="279"/>
      <c r="AY12" s="279"/>
      <c r="AZ12" s="279"/>
      <c r="BB12" s="279"/>
      <c r="BC12" s="279"/>
      <c r="BE12" s="279"/>
      <c r="BF12" s="279"/>
      <c r="BH12" s="279"/>
      <c r="BI12" s="279"/>
      <c r="BK12" s="279"/>
      <c r="BL12" s="279"/>
      <c r="BN12" s="279"/>
      <c r="BO12" s="279"/>
      <c r="BQ12" s="279"/>
      <c r="BR12" s="279"/>
      <c r="BT12" s="279"/>
      <c r="BU12" s="279"/>
      <c r="BW12" s="279"/>
      <c r="BX12" s="279"/>
      <c r="BZ12" s="279"/>
      <c r="CA12" s="279"/>
      <c r="CC12" s="279"/>
      <c r="CD12" s="279"/>
      <c r="CF12" s="279"/>
      <c r="CG12" s="279"/>
      <c r="CI12" s="279"/>
      <c r="CJ12" s="279"/>
    </row>
    <row r="13" spans="1:88" x14ac:dyDescent="0.25">
      <c r="A13" s="95"/>
      <c r="B13" s="16" t="s">
        <v>1185</v>
      </c>
      <c r="C13" s="16"/>
      <c r="D13" s="95" t="s">
        <v>8</v>
      </c>
      <c r="E13" s="279"/>
      <c r="F13" s="279"/>
      <c r="G13" s="279"/>
      <c r="H13" s="279"/>
      <c r="I13" s="279"/>
      <c r="J13" s="279"/>
      <c r="K13" s="279"/>
      <c r="L13" s="279"/>
      <c r="M13" s="279"/>
      <c r="N13" s="279"/>
      <c r="O13" s="281"/>
      <c r="P13" s="279"/>
      <c r="Q13" s="279"/>
      <c r="R13" s="279"/>
      <c r="S13" s="279"/>
      <c r="U13" s="279"/>
      <c r="V13" s="279"/>
      <c r="X13" s="279"/>
      <c r="Y13" s="279"/>
      <c r="AA13" s="279"/>
      <c r="AB13" s="279"/>
      <c r="AD13" s="279"/>
      <c r="AE13" s="279"/>
      <c r="AG13" s="279"/>
      <c r="AH13" s="279"/>
      <c r="AJ13" s="279"/>
      <c r="AK13" s="279"/>
      <c r="AM13" s="279"/>
      <c r="AN13" s="279"/>
      <c r="AP13" s="279"/>
      <c r="AQ13" s="279"/>
      <c r="AS13" s="279"/>
      <c r="AT13" s="279"/>
      <c r="AV13" s="279"/>
      <c r="AW13" s="279"/>
      <c r="AY13" s="279"/>
      <c r="AZ13" s="279"/>
      <c r="BB13" s="279"/>
      <c r="BC13" s="279"/>
      <c r="BE13" s="279"/>
      <c r="BF13" s="279"/>
      <c r="BH13" s="279"/>
      <c r="BI13" s="279"/>
      <c r="BK13" s="279"/>
      <c r="BL13" s="279"/>
      <c r="BN13" s="279"/>
      <c r="BO13" s="279"/>
      <c r="BQ13" s="279"/>
      <c r="BR13" s="279"/>
      <c r="BT13" s="279"/>
      <c r="BU13" s="279"/>
      <c r="BW13" s="279"/>
      <c r="BX13" s="279"/>
      <c r="BZ13" s="279"/>
      <c r="CA13" s="279"/>
      <c r="CC13" s="279"/>
      <c r="CD13" s="279"/>
      <c r="CF13" s="279"/>
      <c r="CG13" s="279"/>
      <c r="CI13" s="279"/>
      <c r="CJ13" s="279"/>
    </row>
    <row r="14" spans="1:88" x14ac:dyDescent="0.25">
      <c r="A14" s="95"/>
      <c r="B14" s="352" t="s">
        <v>1746</v>
      </c>
      <c r="C14" s="16"/>
      <c r="D14" s="95"/>
      <c r="E14" s="279"/>
      <c r="F14" s="279"/>
      <c r="G14" s="279"/>
      <c r="H14" s="279"/>
      <c r="I14" s="279">
        <f t="shared" ref="I14:N14" si="1">(I26/(I26+I29))*100</f>
        <v>73.529411764705884</v>
      </c>
      <c r="J14" s="279">
        <f t="shared" si="1"/>
        <v>96.257135765698692</v>
      </c>
      <c r="K14" s="279">
        <f t="shared" si="1"/>
        <v>97.934545454545457</v>
      </c>
      <c r="L14" s="279">
        <f t="shared" si="1"/>
        <v>100</v>
      </c>
      <c r="M14" s="279">
        <f t="shared" si="1"/>
        <v>100</v>
      </c>
      <c r="N14" s="279">
        <f t="shared" si="1"/>
        <v>100</v>
      </c>
      <c r="O14" s="281"/>
      <c r="P14" s="279">
        <f>(P26/(P26+P29))*100</f>
        <v>0</v>
      </c>
      <c r="Q14" s="279">
        <f>(Q26/(Q26+Q29))*100</f>
        <v>98.342155198242281</v>
      </c>
      <c r="R14" s="279" t="e">
        <f>(R26/(R26+R29))*100</f>
        <v>#DIV/0!</v>
      </c>
      <c r="S14" s="279">
        <f>(S26/(S26+S29))*100</f>
        <v>100</v>
      </c>
      <c r="U14" s="279" t="e">
        <f>(U26/(U26+U29))*100</f>
        <v>#DIV/0!</v>
      </c>
      <c r="V14" s="279">
        <f>(V26/(V26+V29))*100</f>
        <v>100</v>
      </c>
      <c r="X14" s="279" t="e">
        <f>(X26/(X26+X29))*100</f>
        <v>#DIV/0!</v>
      </c>
      <c r="Y14" s="279">
        <f>(Y26/(Y26+Y29))*100</f>
        <v>100</v>
      </c>
      <c r="AA14" s="279" t="e">
        <f>(AA26/(AA26+AA29))*100</f>
        <v>#DIV/0!</v>
      </c>
      <c r="AB14" s="279">
        <f>(AB26/(AB26+AB29))*100</f>
        <v>100</v>
      </c>
      <c r="AD14" s="279" t="e">
        <f>(AD26/(AD26+AD29))*100</f>
        <v>#DIV/0!</v>
      </c>
      <c r="AE14" s="279">
        <f>(AE26/(AE26+AE29))*100</f>
        <v>100</v>
      </c>
      <c r="AG14" s="279" t="e">
        <f>(AG26/(AG26+AG29))*100</f>
        <v>#DIV/0!</v>
      </c>
      <c r="AH14" s="279">
        <f>(AH26/(AH26+AH29))*100</f>
        <v>100</v>
      </c>
      <c r="AJ14" s="279">
        <f>(AJ26/(AJ26+AJ29))*100</f>
        <v>0</v>
      </c>
      <c r="AK14" s="279">
        <f>(AK26/(AK26+AK29))*100</f>
        <v>97.577854671280278</v>
      </c>
      <c r="AM14" s="279" t="e">
        <f>(AM26/(AM26+AM29))*100</f>
        <v>#DIV/0!</v>
      </c>
      <c r="AN14" s="279">
        <f>(AN26/(AN26+AN29))*100</f>
        <v>100</v>
      </c>
      <c r="AP14" s="279" t="e">
        <f>(AP26/(AP26+AP29))*100</f>
        <v>#DIV/0!</v>
      </c>
      <c r="AQ14" s="279">
        <f>(AQ26/(AQ26+AQ29))*100</f>
        <v>100</v>
      </c>
      <c r="AS14" s="279" t="e">
        <f>(AS26/(AS26+AS29))*100</f>
        <v>#DIV/0!</v>
      </c>
      <c r="AT14" s="279">
        <f>(AT26/(AT26+AT29))*100</f>
        <v>93.415007656967845</v>
      </c>
      <c r="AV14" s="279" t="e">
        <f>(AV26/(AV26+AV29))*100</f>
        <v>#DIV/0!</v>
      </c>
      <c r="AW14" s="279">
        <f>(AW26/(AW26+AW29))*100</f>
        <v>100</v>
      </c>
      <c r="AY14" s="279" t="e">
        <f>(AY26/(AY26+AY29))*100</f>
        <v>#DIV/0!</v>
      </c>
      <c r="AZ14" s="279">
        <f>(AZ26/(AZ26+AZ29))*100</f>
        <v>100</v>
      </c>
      <c r="BB14" s="279" t="e">
        <f>(BB26/(BB26+BB29))*100</f>
        <v>#DIV/0!</v>
      </c>
      <c r="BC14" s="279">
        <f>(BC26/(BC26+BC29))*100</f>
        <v>100</v>
      </c>
      <c r="BE14" s="279">
        <f>(BE26/(BE26+BE29))*100</f>
        <v>0</v>
      </c>
      <c r="BF14" s="279">
        <f>(BF26/(BF26+BF29))*100</f>
        <v>96.716016150740245</v>
      </c>
      <c r="BH14" s="279" t="e">
        <f>(BH26/(BH26+BH29))*100</f>
        <v>#DIV/0!</v>
      </c>
      <c r="BI14" s="279">
        <f>(BI26/(BI26+BI29))*100</f>
        <v>98.82294429708223</v>
      </c>
      <c r="BK14" s="279" t="e">
        <f>(BK26/(BK26+BK29))*100</f>
        <v>#DIV/0!</v>
      </c>
      <c r="BL14" s="279">
        <f>(BL26/(BL26+BL29))*100</f>
        <v>100</v>
      </c>
      <c r="BN14" s="279" t="e">
        <f>(BN26/(BN26+BN29))*100</f>
        <v>#DIV/0!</v>
      </c>
      <c r="BO14" s="279">
        <f>(BO26/(BO26+BO29))*100</f>
        <v>100</v>
      </c>
      <c r="BQ14" s="279">
        <f>(BQ26/(BQ26+BQ29))*100</f>
        <v>0</v>
      </c>
      <c r="BR14" s="279">
        <f>(BR26/(BR26+BR29))*100</f>
        <v>95.420974889217135</v>
      </c>
      <c r="BT14" s="279">
        <f>(BT26/(BT26+BT29))*100</f>
        <v>0</v>
      </c>
      <c r="BU14" s="279">
        <f>(BU26/(BU26+BU29))*100</f>
        <v>100</v>
      </c>
      <c r="BW14" s="279" t="e">
        <f>(BW26/(BW26+BW29))*100</f>
        <v>#DIV/0!</v>
      </c>
      <c r="BX14" s="279">
        <f>(BX26/(BX26+BX29))*100</f>
        <v>100</v>
      </c>
      <c r="BZ14" s="279">
        <f>(BZ26/(BZ26+BZ29))*100</f>
        <v>0</v>
      </c>
      <c r="CA14" s="279">
        <f>(CA26/(CA26+CA29))*100</f>
        <v>100</v>
      </c>
      <c r="CC14" s="279">
        <f>(CC26/(CC26+CC29))*100</f>
        <v>0</v>
      </c>
      <c r="CD14" s="279">
        <f>(CD26/(CD26+CD29))*100</f>
        <v>98.160919540229884</v>
      </c>
      <c r="CF14" s="279" t="e">
        <f>(CF26/(CF26+CF29))*100</f>
        <v>#DIV/0!</v>
      </c>
      <c r="CG14" s="279" t="e">
        <f>(CG26/(CG26+CG29))*100</f>
        <v>#DIV/0!</v>
      </c>
      <c r="CI14" s="279" t="e">
        <f>(CI26/(CI26+CI29))*100</f>
        <v>#DIV/0!</v>
      </c>
      <c r="CJ14" s="279" t="e">
        <f>(CJ26/(CJ26+CJ29))*100</f>
        <v>#DIV/0!</v>
      </c>
    </row>
    <row r="15" spans="1:88" x14ac:dyDescent="0.25">
      <c r="A15" s="95"/>
      <c r="B15" s="16" t="s">
        <v>1183</v>
      </c>
      <c r="C15" s="16"/>
      <c r="D15" s="95" t="s">
        <v>8</v>
      </c>
      <c r="E15" s="279"/>
      <c r="F15" s="279"/>
      <c r="G15" s="279"/>
      <c r="H15" s="279"/>
      <c r="I15" s="279"/>
      <c r="J15" s="279"/>
      <c r="K15" s="279"/>
      <c r="L15" s="279"/>
      <c r="M15" s="279"/>
      <c r="N15" s="279"/>
      <c r="O15" s="281"/>
      <c r="P15" s="279"/>
      <c r="Q15" s="279"/>
      <c r="R15" s="279"/>
      <c r="S15" s="279"/>
      <c r="U15" s="279"/>
      <c r="V15" s="279"/>
      <c r="X15" s="279"/>
      <c r="Y15" s="279"/>
      <c r="AA15" s="279"/>
      <c r="AB15" s="279"/>
      <c r="AD15" s="279"/>
      <c r="AE15" s="279"/>
      <c r="AG15" s="279"/>
      <c r="AH15" s="279"/>
      <c r="AJ15" s="279"/>
      <c r="AK15" s="279"/>
      <c r="AM15" s="279"/>
      <c r="AN15" s="279"/>
      <c r="AP15" s="279"/>
      <c r="AQ15" s="279"/>
      <c r="AS15" s="279"/>
      <c r="AT15" s="279"/>
      <c r="AV15" s="279"/>
      <c r="AW15" s="279"/>
      <c r="AY15" s="279"/>
      <c r="AZ15" s="279"/>
      <c r="BB15" s="279"/>
      <c r="BC15" s="279"/>
      <c r="BE15" s="279"/>
      <c r="BF15" s="279"/>
      <c r="BH15" s="279"/>
      <c r="BI15" s="279"/>
      <c r="BK15" s="279"/>
      <c r="BL15" s="279"/>
      <c r="BN15" s="279"/>
      <c r="BO15" s="279"/>
      <c r="BQ15" s="279"/>
      <c r="BR15" s="279"/>
      <c r="BT15" s="279"/>
      <c r="BU15" s="279"/>
      <c r="BW15" s="279"/>
      <c r="BX15" s="279"/>
      <c r="BZ15" s="279"/>
      <c r="CA15" s="279"/>
      <c r="CC15" s="279"/>
      <c r="CD15" s="279"/>
      <c r="CF15" s="279"/>
      <c r="CG15" s="279"/>
      <c r="CI15" s="279"/>
      <c r="CJ15" s="279"/>
    </row>
    <row r="16" spans="1:88" x14ac:dyDescent="0.25">
      <c r="A16" s="95"/>
      <c r="B16" s="16" t="s">
        <v>1185</v>
      </c>
      <c r="C16" s="16"/>
      <c r="D16" s="95" t="s">
        <v>8</v>
      </c>
      <c r="E16" s="279"/>
      <c r="F16" s="279"/>
      <c r="G16" s="279"/>
      <c r="H16" s="279"/>
      <c r="I16" s="279"/>
      <c r="J16" s="279"/>
      <c r="K16" s="279"/>
      <c r="L16" s="279"/>
      <c r="M16" s="279"/>
      <c r="N16" s="279"/>
      <c r="O16" s="281"/>
      <c r="P16" s="279"/>
      <c r="Q16" s="279"/>
      <c r="R16" s="279"/>
      <c r="S16" s="279"/>
      <c r="U16" s="279"/>
      <c r="V16" s="279"/>
      <c r="X16" s="279"/>
      <c r="Y16" s="279"/>
      <c r="AA16" s="279"/>
      <c r="AB16" s="279"/>
      <c r="AD16" s="279"/>
      <c r="AE16" s="279"/>
      <c r="AG16" s="279"/>
      <c r="AH16" s="279"/>
      <c r="AJ16" s="279"/>
      <c r="AK16" s="279"/>
      <c r="AM16" s="279"/>
      <c r="AN16" s="279"/>
      <c r="AP16" s="279"/>
      <c r="AQ16" s="279"/>
      <c r="AS16" s="279"/>
      <c r="AT16" s="279"/>
      <c r="AV16" s="279"/>
      <c r="AW16" s="279"/>
      <c r="AY16" s="279"/>
      <c r="AZ16" s="279"/>
      <c r="BB16" s="279"/>
      <c r="BC16" s="279"/>
      <c r="BE16" s="279"/>
      <c r="BF16" s="279"/>
      <c r="BH16" s="279"/>
      <c r="BI16" s="279"/>
      <c r="BK16" s="279"/>
      <c r="BL16" s="279"/>
      <c r="BN16" s="279"/>
      <c r="BO16" s="279"/>
      <c r="BQ16" s="279"/>
      <c r="BR16" s="279"/>
      <c r="BT16" s="279"/>
      <c r="BU16" s="279"/>
      <c r="BW16" s="279"/>
      <c r="BX16" s="279"/>
      <c r="BZ16" s="279"/>
      <c r="CA16" s="279"/>
      <c r="CC16" s="279"/>
      <c r="CD16" s="279"/>
      <c r="CF16" s="279"/>
      <c r="CG16" s="279"/>
      <c r="CI16" s="279"/>
      <c r="CJ16" s="279"/>
    </row>
    <row r="17" spans="1:88" x14ac:dyDescent="0.25">
      <c r="A17" s="95"/>
      <c r="B17" s="352" t="s">
        <v>1601</v>
      </c>
      <c r="C17" s="16"/>
      <c r="D17" s="95"/>
      <c r="E17" s="279"/>
      <c r="F17" s="279"/>
      <c r="G17" s="279"/>
      <c r="H17" s="279"/>
      <c r="I17" s="279">
        <f t="shared" ref="I17:N19" si="2">I32/(I32+I35)*100</f>
        <v>100</v>
      </c>
      <c r="J17" s="279">
        <f t="shared" si="2"/>
        <v>100</v>
      </c>
      <c r="K17" s="279">
        <f t="shared" si="2"/>
        <v>100</v>
      </c>
      <c r="L17" s="279">
        <f t="shared" si="2"/>
        <v>100</v>
      </c>
      <c r="M17" s="279">
        <f t="shared" si="2"/>
        <v>100</v>
      </c>
      <c r="N17" s="279">
        <f t="shared" si="2"/>
        <v>100</v>
      </c>
      <c r="O17" s="281"/>
      <c r="P17" s="279" t="e">
        <f t="shared" ref="P17:S18" si="3">P32/(P32+P35)*100</f>
        <v>#DIV/0!</v>
      </c>
      <c r="Q17" s="279">
        <f t="shared" si="3"/>
        <v>100</v>
      </c>
      <c r="R17" s="279" t="e">
        <f t="shared" si="3"/>
        <v>#DIV/0!</v>
      </c>
      <c r="S17" s="279">
        <f t="shared" si="3"/>
        <v>100</v>
      </c>
      <c r="U17" s="279" t="e">
        <f t="shared" ref="U17:V19" si="4">U32/(U32+U35)*100</f>
        <v>#DIV/0!</v>
      </c>
      <c r="V17" s="279">
        <f t="shared" si="4"/>
        <v>100</v>
      </c>
      <c r="X17" s="279" t="e">
        <f t="shared" ref="X17:Y19" si="5">X32/(X32+X35)*100</f>
        <v>#DIV/0!</v>
      </c>
      <c r="Y17" s="279">
        <f t="shared" si="5"/>
        <v>100</v>
      </c>
      <c r="AA17" s="279" t="e">
        <f t="shared" ref="AA17:AB19" si="6">AA32/(AA32+AA35)*100</f>
        <v>#DIV/0!</v>
      </c>
      <c r="AB17" s="279">
        <f t="shared" si="6"/>
        <v>100</v>
      </c>
      <c r="AD17" s="279" t="e">
        <f t="shared" ref="AD17:AE19" si="7">AD32/(AD32+AD35)*100</f>
        <v>#DIV/0!</v>
      </c>
      <c r="AE17" s="279">
        <f t="shared" si="7"/>
        <v>100</v>
      </c>
      <c r="AG17" s="279" t="e">
        <f t="shared" ref="AG17:AH19" si="8">AG32/(AG32+AG35)*100</f>
        <v>#DIV/0!</v>
      </c>
      <c r="AH17" s="279">
        <f t="shared" si="8"/>
        <v>100</v>
      </c>
      <c r="AJ17" s="279" t="e">
        <f t="shared" ref="AJ17:AK19" si="9">AJ32/(AJ32+AJ35)*100</f>
        <v>#DIV/0!</v>
      </c>
      <c r="AK17" s="279">
        <f t="shared" si="9"/>
        <v>100</v>
      </c>
      <c r="AM17" s="279" t="e">
        <f t="shared" ref="AM17:AN19" si="10">AM32/(AM32+AM35)*100</f>
        <v>#DIV/0!</v>
      </c>
      <c r="AN17" s="279">
        <f t="shared" si="10"/>
        <v>100</v>
      </c>
      <c r="AP17" s="279" t="e">
        <f t="shared" ref="AP17:AQ19" si="11">AP32/(AP32+AP35)*100</f>
        <v>#DIV/0!</v>
      </c>
      <c r="AQ17" s="279">
        <f t="shared" si="11"/>
        <v>100</v>
      </c>
      <c r="AS17" s="279" t="e">
        <f t="shared" ref="AS17:AT19" si="12">AS32/(AS32+AS35)*100</f>
        <v>#DIV/0!</v>
      </c>
      <c r="AT17" s="279">
        <f t="shared" si="12"/>
        <v>100</v>
      </c>
      <c r="AV17" s="279" t="e">
        <f t="shared" ref="AV17:AW19" si="13">AV32/(AV32+AV35)*100</f>
        <v>#DIV/0!</v>
      </c>
      <c r="AW17" s="279">
        <f t="shared" si="13"/>
        <v>100</v>
      </c>
      <c r="AY17" s="279" t="e">
        <f t="shared" ref="AY17:AZ19" si="14">AY32/(AY32+AY35)*100</f>
        <v>#DIV/0!</v>
      </c>
      <c r="AZ17" s="279">
        <f t="shared" si="14"/>
        <v>100</v>
      </c>
      <c r="BB17" s="279" t="e">
        <f t="shared" ref="BB17:BC19" si="15">BB32/(BB32+BB35)*100</f>
        <v>#DIV/0!</v>
      </c>
      <c r="BC17" s="279">
        <f t="shared" si="15"/>
        <v>100</v>
      </c>
      <c r="BE17" s="279" t="e">
        <f t="shared" ref="BE17:BF19" si="16">BE32/(BE32+BE35)*100</f>
        <v>#DIV/0!</v>
      </c>
      <c r="BF17" s="279">
        <f t="shared" si="16"/>
        <v>100</v>
      </c>
      <c r="BH17" s="279" t="e">
        <f t="shared" ref="BH17:BI19" si="17">BH32/(BH32+BH35)*100</f>
        <v>#DIV/0!</v>
      </c>
      <c r="BI17" s="279">
        <f t="shared" si="17"/>
        <v>100</v>
      </c>
      <c r="BK17" s="279" t="e">
        <f t="shared" ref="BK17:BL19" si="18">BK32/(BK32+BK35)*100</f>
        <v>#DIV/0!</v>
      </c>
      <c r="BL17" s="279">
        <f t="shared" si="18"/>
        <v>100</v>
      </c>
      <c r="BN17" s="279" t="e">
        <f t="shared" ref="BN17:BO19" si="19">BN32/(BN32+BN35)*100</f>
        <v>#DIV/0!</v>
      </c>
      <c r="BO17" s="279">
        <f t="shared" si="19"/>
        <v>100</v>
      </c>
      <c r="BQ17" s="279" t="e">
        <f t="shared" ref="BQ17:BR19" si="20">BQ32/(BQ32+BQ35)*100</f>
        <v>#DIV/0!</v>
      </c>
      <c r="BR17" s="279">
        <f t="shared" si="20"/>
        <v>100</v>
      </c>
      <c r="BT17" s="279" t="e">
        <f t="shared" ref="BT17:BU19" si="21">BT32/(BT32+BT35)*100</f>
        <v>#DIV/0!</v>
      </c>
      <c r="BU17" s="279">
        <f t="shared" si="21"/>
        <v>100</v>
      </c>
      <c r="BW17" s="279" t="e">
        <f t="shared" ref="BW17:BX19" si="22">BW32/(BW32+BW35)*100</f>
        <v>#DIV/0!</v>
      </c>
      <c r="BX17" s="279">
        <f t="shared" si="22"/>
        <v>100</v>
      </c>
      <c r="BZ17" s="279" t="e">
        <f t="shared" ref="BZ17:CA19" si="23">BZ32/(BZ32+BZ35)*100</f>
        <v>#DIV/0!</v>
      </c>
      <c r="CA17" s="279">
        <f t="shared" si="23"/>
        <v>100</v>
      </c>
      <c r="CC17" s="279" t="e">
        <f t="shared" ref="CC17:CD19" si="24">CC32/(CC32+CC35)*100</f>
        <v>#DIV/0!</v>
      </c>
      <c r="CD17" s="279">
        <f t="shared" si="24"/>
        <v>100</v>
      </c>
      <c r="CF17" s="279" t="e">
        <f t="shared" ref="CF17:CG19" si="25">CF32/(CF32+CF35)*100</f>
        <v>#DIV/0!</v>
      </c>
      <c r="CG17" s="279">
        <f t="shared" si="25"/>
        <v>100</v>
      </c>
      <c r="CI17" s="279" t="e">
        <f t="shared" ref="CI17:CJ19" si="26">CI32/(CI32+CI35)*100</f>
        <v>#DIV/0!</v>
      </c>
      <c r="CJ17" s="279" t="e">
        <f t="shared" si="26"/>
        <v>#DIV/0!</v>
      </c>
    </row>
    <row r="18" spans="1:88" x14ac:dyDescent="0.25">
      <c r="A18" s="95"/>
      <c r="B18" s="16" t="s">
        <v>1183</v>
      </c>
      <c r="C18" s="16"/>
      <c r="D18" s="95" t="s">
        <v>8</v>
      </c>
      <c r="E18" s="279">
        <f t="shared" ref="E18:G19" si="27">E33/(E33+E36)*100</f>
        <v>88.172793064361429</v>
      </c>
      <c r="F18" s="293">
        <v>94.68</v>
      </c>
      <c r="G18" s="279">
        <f t="shared" si="27"/>
        <v>100</v>
      </c>
      <c r="H18" s="279">
        <f>H33/(H33+H36)*100</f>
        <v>100</v>
      </c>
      <c r="I18" s="279">
        <f t="shared" si="2"/>
        <v>100</v>
      </c>
      <c r="J18" s="279">
        <f t="shared" si="2"/>
        <v>100</v>
      </c>
      <c r="K18" s="279">
        <f t="shared" si="2"/>
        <v>100</v>
      </c>
      <c r="L18" s="279">
        <f t="shared" si="2"/>
        <v>100</v>
      </c>
      <c r="M18" s="279">
        <f t="shared" si="2"/>
        <v>100</v>
      </c>
      <c r="N18" s="279">
        <f t="shared" si="2"/>
        <v>100</v>
      </c>
      <c r="O18" s="281"/>
      <c r="P18" s="279" t="e">
        <f t="shared" si="3"/>
        <v>#DIV/0!</v>
      </c>
      <c r="Q18" s="279">
        <f t="shared" si="3"/>
        <v>100</v>
      </c>
      <c r="R18" s="279" t="e">
        <f t="shared" si="3"/>
        <v>#DIV/0!</v>
      </c>
      <c r="S18" s="279">
        <f t="shared" si="3"/>
        <v>100</v>
      </c>
      <c r="U18" s="279" t="e">
        <f t="shared" si="4"/>
        <v>#DIV/0!</v>
      </c>
      <c r="V18" s="279">
        <f t="shared" si="4"/>
        <v>100</v>
      </c>
      <c r="X18" s="279" t="e">
        <f t="shared" si="5"/>
        <v>#DIV/0!</v>
      </c>
      <c r="Y18" s="279">
        <f t="shared" si="5"/>
        <v>100</v>
      </c>
      <c r="AA18" s="279" t="e">
        <f t="shared" si="6"/>
        <v>#DIV/0!</v>
      </c>
      <c r="AB18" s="279">
        <f t="shared" si="6"/>
        <v>100</v>
      </c>
      <c r="AD18" s="279" t="e">
        <f t="shared" si="7"/>
        <v>#DIV/0!</v>
      </c>
      <c r="AE18" s="279">
        <f t="shared" si="7"/>
        <v>100</v>
      </c>
      <c r="AG18" s="279" t="e">
        <f t="shared" si="8"/>
        <v>#DIV/0!</v>
      </c>
      <c r="AH18" s="279">
        <f t="shared" si="8"/>
        <v>100</v>
      </c>
      <c r="AJ18" s="279" t="e">
        <f t="shared" si="9"/>
        <v>#DIV/0!</v>
      </c>
      <c r="AK18" s="279">
        <f t="shared" si="9"/>
        <v>100</v>
      </c>
      <c r="AM18" s="279" t="e">
        <f t="shared" si="10"/>
        <v>#DIV/0!</v>
      </c>
      <c r="AN18" s="279">
        <f t="shared" si="10"/>
        <v>100</v>
      </c>
      <c r="AP18" s="279" t="e">
        <f t="shared" si="11"/>
        <v>#DIV/0!</v>
      </c>
      <c r="AQ18" s="279" t="e">
        <f t="shared" si="11"/>
        <v>#DIV/0!</v>
      </c>
      <c r="AS18" s="279" t="e">
        <f t="shared" si="12"/>
        <v>#DIV/0!</v>
      </c>
      <c r="AT18" s="279">
        <f t="shared" si="12"/>
        <v>100</v>
      </c>
      <c r="AV18" s="279" t="e">
        <f t="shared" si="13"/>
        <v>#DIV/0!</v>
      </c>
      <c r="AW18" s="279">
        <f t="shared" si="13"/>
        <v>100</v>
      </c>
      <c r="AY18" s="279" t="e">
        <f t="shared" si="14"/>
        <v>#DIV/0!</v>
      </c>
      <c r="AZ18" s="279">
        <f t="shared" si="14"/>
        <v>100</v>
      </c>
      <c r="BB18" s="279" t="e">
        <f t="shared" si="15"/>
        <v>#DIV/0!</v>
      </c>
      <c r="BC18" s="279">
        <f t="shared" si="15"/>
        <v>100</v>
      </c>
      <c r="BE18" s="279" t="e">
        <f t="shared" si="16"/>
        <v>#DIV/0!</v>
      </c>
      <c r="BF18" s="279">
        <f t="shared" si="16"/>
        <v>100</v>
      </c>
      <c r="BH18" s="279" t="e">
        <f t="shared" si="17"/>
        <v>#DIV/0!</v>
      </c>
      <c r="BI18" s="279">
        <f t="shared" si="17"/>
        <v>100</v>
      </c>
      <c r="BK18" s="279" t="e">
        <f t="shared" si="18"/>
        <v>#DIV/0!</v>
      </c>
      <c r="BL18" s="279">
        <f t="shared" si="18"/>
        <v>100</v>
      </c>
      <c r="BN18" s="279" t="e">
        <f t="shared" si="19"/>
        <v>#DIV/0!</v>
      </c>
      <c r="BO18" s="279">
        <f t="shared" si="19"/>
        <v>100</v>
      </c>
      <c r="BQ18" s="279" t="e">
        <f t="shared" si="20"/>
        <v>#DIV/0!</v>
      </c>
      <c r="BR18" s="279">
        <f t="shared" si="20"/>
        <v>100</v>
      </c>
      <c r="BT18" s="279" t="e">
        <f t="shared" si="21"/>
        <v>#DIV/0!</v>
      </c>
      <c r="BU18" s="279">
        <f t="shared" si="21"/>
        <v>100</v>
      </c>
      <c r="BW18" s="279" t="e">
        <f t="shared" si="22"/>
        <v>#DIV/0!</v>
      </c>
      <c r="BX18" s="279">
        <f t="shared" si="22"/>
        <v>100</v>
      </c>
      <c r="BZ18" s="279" t="e">
        <f t="shared" si="23"/>
        <v>#DIV/0!</v>
      </c>
      <c r="CA18" s="279">
        <f t="shared" si="23"/>
        <v>100</v>
      </c>
      <c r="CC18" s="279" t="e">
        <f t="shared" si="24"/>
        <v>#DIV/0!</v>
      </c>
      <c r="CD18" s="279">
        <f t="shared" si="24"/>
        <v>100</v>
      </c>
      <c r="CF18" s="279" t="e">
        <f t="shared" si="25"/>
        <v>#DIV/0!</v>
      </c>
      <c r="CG18" s="279">
        <f t="shared" si="25"/>
        <v>100</v>
      </c>
      <c r="CI18" s="279" t="e">
        <f t="shared" si="26"/>
        <v>#DIV/0!</v>
      </c>
      <c r="CJ18" s="279" t="e">
        <f t="shared" si="26"/>
        <v>#DIV/0!</v>
      </c>
    </row>
    <row r="19" spans="1:88" x14ac:dyDescent="0.25">
      <c r="A19" s="95"/>
      <c r="B19" s="16" t="s">
        <v>1185</v>
      </c>
      <c r="C19" s="16"/>
      <c r="D19" s="95" t="s">
        <v>8</v>
      </c>
      <c r="E19" s="279">
        <f t="shared" si="27"/>
        <v>85.26587358463523</v>
      </c>
      <c r="F19" s="293">
        <v>90.55</v>
      </c>
      <c r="G19" s="279">
        <f t="shared" si="27"/>
        <v>100</v>
      </c>
      <c r="H19" s="279">
        <f>H34/(H34+H37)*100</f>
        <v>100</v>
      </c>
      <c r="I19" s="279">
        <f t="shared" si="2"/>
        <v>100</v>
      </c>
      <c r="J19" s="279">
        <f t="shared" si="2"/>
        <v>100</v>
      </c>
      <c r="K19" s="279">
        <f t="shared" si="2"/>
        <v>100</v>
      </c>
      <c r="L19" s="279">
        <f t="shared" si="2"/>
        <v>100</v>
      </c>
      <c r="M19" s="279">
        <f t="shared" si="2"/>
        <v>100</v>
      </c>
      <c r="N19" s="279">
        <f t="shared" si="2"/>
        <v>100</v>
      </c>
      <c r="O19" s="281"/>
      <c r="P19" s="279" t="e">
        <f>P34/(P34+P37)*100</f>
        <v>#DIV/0!</v>
      </c>
      <c r="Q19" s="279">
        <f>Q34/(Q34+Q37)*100</f>
        <v>100</v>
      </c>
      <c r="R19" s="279" t="e">
        <f>R34/(R34+R37)*100</f>
        <v>#DIV/0!</v>
      </c>
      <c r="S19" s="279">
        <f>S34/(S34+S37)*100</f>
        <v>100</v>
      </c>
      <c r="U19" s="279" t="e">
        <f t="shared" si="4"/>
        <v>#DIV/0!</v>
      </c>
      <c r="V19" s="279">
        <f t="shared" si="4"/>
        <v>100</v>
      </c>
      <c r="X19" s="279" t="e">
        <f t="shared" si="5"/>
        <v>#DIV/0!</v>
      </c>
      <c r="Y19" s="279">
        <f t="shared" si="5"/>
        <v>100</v>
      </c>
      <c r="AA19" s="279" t="e">
        <f t="shared" si="6"/>
        <v>#DIV/0!</v>
      </c>
      <c r="AB19" s="279">
        <f t="shared" si="6"/>
        <v>100</v>
      </c>
      <c r="AD19" s="279" t="e">
        <f t="shared" si="7"/>
        <v>#DIV/0!</v>
      </c>
      <c r="AE19" s="279">
        <f t="shared" si="7"/>
        <v>100</v>
      </c>
      <c r="AG19" s="279" t="e">
        <f t="shared" si="8"/>
        <v>#DIV/0!</v>
      </c>
      <c r="AH19" s="279">
        <f t="shared" si="8"/>
        <v>100</v>
      </c>
      <c r="AJ19" s="279" t="e">
        <f t="shared" si="9"/>
        <v>#DIV/0!</v>
      </c>
      <c r="AK19" s="279">
        <f t="shared" si="9"/>
        <v>100</v>
      </c>
      <c r="AM19" s="279" t="e">
        <f t="shared" si="10"/>
        <v>#DIV/0!</v>
      </c>
      <c r="AN19" s="279">
        <f t="shared" si="10"/>
        <v>100</v>
      </c>
      <c r="AP19" s="279" t="e">
        <f t="shared" si="11"/>
        <v>#DIV/0!</v>
      </c>
      <c r="AQ19" s="279">
        <f t="shared" si="11"/>
        <v>100</v>
      </c>
      <c r="AS19" s="279" t="e">
        <f t="shared" si="12"/>
        <v>#DIV/0!</v>
      </c>
      <c r="AT19" s="279" t="e">
        <f t="shared" si="12"/>
        <v>#DIV/0!</v>
      </c>
      <c r="AV19" s="279" t="e">
        <f t="shared" si="13"/>
        <v>#DIV/0!</v>
      </c>
      <c r="AW19" s="279" t="e">
        <f t="shared" si="13"/>
        <v>#DIV/0!</v>
      </c>
      <c r="AY19" s="279" t="e">
        <f t="shared" si="14"/>
        <v>#DIV/0!</v>
      </c>
      <c r="AZ19" s="279" t="e">
        <f t="shared" si="14"/>
        <v>#DIV/0!</v>
      </c>
      <c r="BB19" s="279" t="e">
        <f t="shared" si="15"/>
        <v>#DIV/0!</v>
      </c>
      <c r="BC19" s="279" t="e">
        <f t="shared" si="15"/>
        <v>#DIV/0!</v>
      </c>
      <c r="BE19" s="279" t="e">
        <f t="shared" si="16"/>
        <v>#DIV/0!</v>
      </c>
      <c r="BF19" s="279" t="e">
        <f t="shared" si="16"/>
        <v>#DIV/0!</v>
      </c>
      <c r="BH19" s="279" t="e">
        <f t="shared" si="17"/>
        <v>#DIV/0!</v>
      </c>
      <c r="BI19" s="279" t="e">
        <f t="shared" si="17"/>
        <v>#DIV/0!</v>
      </c>
      <c r="BK19" s="279" t="e">
        <f t="shared" si="18"/>
        <v>#DIV/0!</v>
      </c>
      <c r="BL19" s="279" t="e">
        <f t="shared" si="18"/>
        <v>#DIV/0!</v>
      </c>
      <c r="BN19" s="279" t="e">
        <f t="shared" si="19"/>
        <v>#DIV/0!</v>
      </c>
      <c r="BO19" s="279" t="e">
        <f t="shared" si="19"/>
        <v>#DIV/0!</v>
      </c>
      <c r="BQ19" s="279" t="e">
        <f t="shared" si="20"/>
        <v>#DIV/0!</v>
      </c>
      <c r="BR19" s="279" t="e">
        <f t="shared" si="20"/>
        <v>#DIV/0!</v>
      </c>
      <c r="BT19" s="279" t="e">
        <f t="shared" si="21"/>
        <v>#DIV/0!</v>
      </c>
      <c r="BU19" s="279" t="e">
        <f t="shared" si="21"/>
        <v>#DIV/0!</v>
      </c>
      <c r="BW19" s="279" t="e">
        <f t="shared" si="22"/>
        <v>#DIV/0!</v>
      </c>
      <c r="BX19" s="279" t="e">
        <f t="shared" si="22"/>
        <v>#DIV/0!</v>
      </c>
      <c r="BZ19" s="279" t="e">
        <f t="shared" si="23"/>
        <v>#DIV/0!</v>
      </c>
      <c r="CA19" s="279" t="e">
        <f t="shared" si="23"/>
        <v>#DIV/0!</v>
      </c>
      <c r="CC19" s="279" t="e">
        <f t="shared" si="24"/>
        <v>#DIV/0!</v>
      </c>
      <c r="CD19" s="279" t="e">
        <f t="shared" si="24"/>
        <v>#DIV/0!</v>
      </c>
      <c r="CF19" s="279" t="e">
        <f t="shared" si="25"/>
        <v>#DIV/0!</v>
      </c>
      <c r="CG19" s="279" t="e">
        <f t="shared" si="25"/>
        <v>#DIV/0!</v>
      </c>
      <c r="CI19" s="279" t="e">
        <f t="shared" si="26"/>
        <v>#DIV/0!</v>
      </c>
      <c r="CJ19" s="279" t="e">
        <f t="shared" si="26"/>
        <v>#DIV/0!</v>
      </c>
    </row>
    <row r="20" spans="1:88" ht="30" x14ac:dyDescent="0.25">
      <c r="A20" s="107"/>
      <c r="B20" s="352" t="s">
        <v>1745</v>
      </c>
      <c r="C20" s="95" t="s">
        <v>1749</v>
      </c>
      <c r="D20" s="95" t="s">
        <v>950</v>
      </c>
      <c r="E20" s="282">
        <f t="shared" ref="E20:J20" si="28">E21+E22</f>
        <v>0</v>
      </c>
      <c r="F20" s="282">
        <f t="shared" si="28"/>
        <v>0</v>
      </c>
      <c r="G20" s="282">
        <f t="shared" si="28"/>
        <v>0</v>
      </c>
      <c r="H20" s="282">
        <f t="shared" si="28"/>
        <v>0</v>
      </c>
      <c r="I20" s="282">
        <f t="shared" si="28"/>
        <v>111202</v>
      </c>
      <c r="J20" s="282">
        <f t="shared" si="28"/>
        <v>116941</v>
      </c>
      <c r="K20" s="282">
        <f>K21+K22</f>
        <v>115631</v>
      </c>
      <c r="L20" s="282">
        <f>L21+L22</f>
        <v>1830</v>
      </c>
      <c r="M20" s="282">
        <f>M21+M22</f>
        <v>1721</v>
      </c>
      <c r="N20" s="282">
        <f>N21+N22</f>
        <v>1631</v>
      </c>
      <c r="O20" s="281"/>
      <c r="P20" s="282">
        <f>P21+P22</f>
        <v>0</v>
      </c>
      <c r="Q20" s="282">
        <f>Q21+Q22</f>
        <v>111782</v>
      </c>
      <c r="R20" s="282">
        <f>R21+R22</f>
        <v>0</v>
      </c>
      <c r="S20" s="282">
        <f>S21+S22</f>
        <v>1993</v>
      </c>
      <c r="U20" s="282">
        <f>U21+U22</f>
        <v>0</v>
      </c>
      <c r="V20" s="282">
        <f>V21+V22</f>
        <v>1655</v>
      </c>
      <c r="X20" s="282">
        <f>X21+X22</f>
        <v>0</v>
      </c>
      <c r="Y20" s="282">
        <f>Y21+Y22</f>
        <v>1953</v>
      </c>
      <c r="AA20" s="282">
        <f>AA21+AA22</f>
        <v>0</v>
      </c>
      <c r="AB20" s="282">
        <f>AB21+AB22</f>
        <v>2169</v>
      </c>
      <c r="AD20" s="282">
        <f>AD21+AD22</f>
        <v>0</v>
      </c>
      <c r="AE20" s="282">
        <f>AE21+AE22</f>
        <v>2078</v>
      </c>
      <c r="AG20" s="282">
        <f>AG21+AG22</f>
        <v>0</v>
      </c>
      <c r="AH20" s="282">
        <f>AH21+AH22</f>
        <v>1805</v>
      </c>
      <c r="AJ20" s="282">
        <f>AJ21+AJ22</f>
        <v>0</v>
      </c>
      <c r="AK20" s="282">
        <f>AK21+AK22</f>
        <v>2903</v>
      </c>
      <c r="AM20" s="282">
        <f>AM21+AM22</f>
        <v>0</v>
      </c>
      <c r="AN20" s="282">
        <f>AN21+AN22</f>
        <v>7540</v>
      </c>
      <c r="AP20" s="282">
        <f>AP21+AP22</f>
        <v>0</v>
      </c>
      <c r="AQ20" s="282">
        <f>AQ21+AQ22</f>
        <v>937</v>
      </c>
      <c r="AS20" s="282">
        <f>AS21+AS22</f>
        <v>0</v>
      </c>
      <c r="AT20" s="282">
        <f>AT21+AT22</f>
        <v>7892</v>
      </c>
      <c r="AV20" s="282">
        <f>AV21+AV22</f>
        <v>0</v>
      </c>
      <c r="AW20" s="282">
        <f>AW21+AW22</f>
        <v>2092</v>
      </c>
      <c r="AY20" s="282">
        <f>AY21+AY22</f>
        <v>0</v>
      </c>
      <c r="AZ20" s="282">
        <f>AZ21+AZ22</f>
        <v>3408</v>
      </c>
      <c r="BB20" s="282">
        <f>BB21+BB22</f>
        <v>0</v>
      </c>
      <c r="BC20" s="282">
        <f>BC21+BC22</f>
        <v>6654</v>
      </c>
      <c r="BE20" s="282">
        <f>BE21+BE22</f>
        <v>0</v>
      </c>
      <c r="BF20" s="282">
        <f>BF21+BF22</f>
        <v>18829</v>
      </c>
      <c r="BH20" s="282">
        <f>BH21+BH22</f>
        <v>0</v>
      </c>
      <c r="BI20" s="282">
        <f>BI21+BI22</f>
        <v>30809</v>
      </c>
      <c r="BK20" s="282">
        <f>BK21+BK22</f>
        <v>0</v>
      </c>
      <c r="BL20" s="282">
        <f>BL21+BL22</f>
        <v>2559</v>
      </c>
      <c r="BN20" s="282">
        <f>BN21+BN22</f>
        <v>0</v>
      </c>
      <c r="BO20" s="282">
        <f>BO21+BO22</f>
        <v>2515</v>
      </c>
      <c r="BQ20" s="282">
        <f>BQ21+BQ22</f>
        <v>0</v>
      </c>
      <c r="BR20" s="282">
        <f>BR21+BR22</f>
        <v>3846</v>
      </c>
      <c r="BT20" s="282">
        <f>BT21+BT22</f>
        <v>0</v>
      </c>
      <c r="BU20" s="282">
        <f>BU21+BU22</f>
        <v>4008</v>
      </c>
      <c r="BW20" s="282">
        <f>BW21+BW22</f>
        <v>0</v>
      </c>
      <c r="BX20" s="282">
        <f>BX21+BX22</f>
        <v>1057</v>
      </c>
      <c r="BZ20" s="282">
        <f>BZ21+BZ22</f>
        <v>0</v>
      </c>
      <c r="CA20" s="282">
        <f>CA21+CA22</f>
        <v>2496</v>
      </c>
      <c r="CC20" s="282">
        <f>CC21+CC22</f>
        <v>0</v>
      </c>
      <c r="CD20" s="282">
        <f>CD21+CD22</f>
        <v>2479</v>
      </c>
      <c r="CF20" s="282">
        <f>CF21+CF22</f>
        <v>0</v>
      </c>
      <c r="CG20" s="282">
        <f>CG21+CG22</f>
        <v>105</v>
      </c>
      <c r="CI20" s="282">
        <f>CI21+CI22</f>
        <v>0</v>
      </c>
      <c r="CJ20" s="282">
        <f>CJ21+CJ22</f>
        <v>0</v>
      </c>
    </row>
    <row r="21" spans="1:88" x14ac:dyDescent="0.25">
      <c r="A21" s="107"/>
      <c r="B21" s="16" t="s">
        <v>1183</v>
      </c>
      <c r="C21" s="95"/>
      <c r="D21" s="95" t="s">
        <v>950</v>
      </c>
      <c r="E21" s="282"/>
      <c r="F21" s="282"/>
      <c r="G21" s="282"/>
      <c r="H21" s="282"/>
      <c r="I21" s="282">
        <v>103282</v>
      </c>
      <c r="J21" s="282">
        <v>109078</v>
      </c>
      <c r="K21" s="282">
        <v>107387</v>
      </c>
      <c r="L21" s="282">
        <v>1071</v>
      </c>
      <c r="M21" s="282">
        <v>1007</v>
      </c>
      <c r="N21" s="282">
        <v>955</v>
      </c>
      <c r="O21" s="353"/>
      <c r="P21" s="286">
        <f t="shared" ref="P21:Q25" si="29">R21+U21+X21+AA21+AD21+AG21+AJ21+AM21+AP21+AS21+AV21+AY21+BB21+BE21+BH21+BK21+BN21+BQ21+BT21+BW21+BZ21+CC21+CF21+CI21</f>
        <v>0</v>
      </c>
      <c r="Q21" s="286">
        <f t="shared" si="29"/>
        <v>104605</v>
      </c>
      <c r="R21" s="286"/>
      <c r="S21" s="286">
        <v>1338</v>
      </c>
      <c r="T21" s="286"/>
      <c r="U21" s="286"/>
      <c r="V21" s="286">
        <v>940</v>
      </c>
      <c r="W21" s="286"/>
      <c r="X21" s="286"/>
      <c r="Y21" s="286">
        <v>1334</v>
      </c>
      <c r="Z21" s="286"/>
      <c r="AA21" s="286"/>
      <c r="AB21" s="286">
        <v>1284</v>
      </c>
      <c r="AC21" s="286"/>
      <c r="AD21" s="286"/>
      <c r="AE21" s="286">
        <v>1660</v>
      </c>
      <c r="AF21" s="286"/>
      <c r="AG21" s="286"/>
      <c r="AH21" s="286">
        <v>1056</v>
      </c>
      <c r="AI21" s="286"/>
      <c r="AJ21" s="286"/>
      <c r="AK21" s="286">
        <v>2780</v>
      </c>
      <c r="AL21" s="286"/>
      <c r="AM21" s="286"/>
      <c r="AN21" s="286">
        <v>5464</v>
      </c>
      <c r="AO21" s="286"/>
      <c r="AP21" s="286"/>
      <c r="AQ21" s="286">
        <v>0</v>
      </c>
      <c r="AR21" s="286"/>
      <c r="AS21" s="286"/>
      <c r="AT21" s="286">
        <v>7892</v>
      </c>
      <c r="AU21" s="286"/>
      <c r="AV21" s="286"/>
      <c r="AW21" s="286">
        <v>2092</v>
      </c>
      <c r="AX21" s="286"/>
      <c r="AY21" s="286"/>
      <c r="AZ21" s="286">
        <v>3408</v>
      </c>
      <c r="BA21" s="286"/>
      <c r="BB21" s="286"/>
      <c r="BC21" s="286">
        <v>6654</v>
      </c>
      <c r="BD21" s="286"/>
      <c r="BE21" s="286"/>
      <c r="BF21" s="286">
        <v>18829</v>
      </c>
      <c r="BG21" s="286"/>
      <c r="BH21" s="286"/>
      <c r="BI21" s="286">
        <v>30809</v>
      </c>
      <c r="BJ21" s="286"/>
      <c r="BK21" s="286"/>
      <c r="BL21" s="286">
        <v>2559</v>
      </c>
      <c r="BM21" s="286"/>
      <c r="BN21" s="286"/>
      <c r="BO21" s="286">
        <v>2515</v>
      </c>
      <c r="BP21" s="286"/>
      <c r="BQ21" s="286"/>
      <c r="BR21" s="286">
        <v>3846</v>
      </c>
      <c r="BS21" s="286"/>
      <c r="BT21" s="286"/>
      <c r="BU21" s="286">
        <v>4008</v>
      </c>
      <c r="BV21" s="286"/>
      <c r="BW21" s="286"/>
      <c r="BX21" s="286">
        <v>1057</v>
      </c>
      <c r="BY21" s="286"/>
      <c r="BZ21" s="286"/>
      <c r="CA21" s="286">
        <v>2496</v>
      </c>
      <c r="CB21" s="286"/>
      <c r="CC21" s="286"/>
      <c r="CD21" s="286">
        <v>2479</v>
      </c>
      <c r="CE21" s="286"/>
      <c r="CF21" s="286"/>
      <c r="CG21" s="286">
        <v>105</v>
      </c>
      <c r="CH21" s="286"/>
      <c r="CI21" s="286"/>
      <c r="CJ21" s="286">
        <v>0</v>
      </c>
    </row>
    <row r="22" spans="1:88" x14ac:dyDescent="0.25">
      <c r="A22" s="107"/>
      <c r="B22" s="16" t="s">
        <v>1185</v>
      </c>
      <c r="C22" s="95"/>
      <c r="D22" s="95" t="s">
        <v>950</v>
      </c>
      <c r="E22" s="282"/>
      <c r="F22" s="282"/>
      <c r="G22" s="282"/>
      <c r="H22" s="282"/>
      <c r="I22" s="282">
        <v>7920</v>
      </c>
      <c r="J22" s="282">
        <v>7863</v>
      </c>
      <c r="K22" s="282">
        <v>8244</v>
      </c>
      <c r="L22" s="282">
        <v>759</v>
      </c>
      <c r="M22" s="282">
        <v>714</v>
      </c>
      <c r="N22" s="282">
        <v>676</v>
      </c>
      <c r="O22" s="353"/>
      <c r="P22" s="286">
        <f t="shared" si="29"/>
        <v>0</v>
      </c>
      <c r="Q22" s="286">
        <f t="shared" si="29"/>
        <v>7177</v>
      </c>
      <c r="R22" s="286"/>
      <c r="S22" s="286">
        <v>655</v>
      </c>
      <c r="T22" s="286"/>
      <c r="U22" s="286"/>
      <c r="V22" s="286">
        <v>715</v>
      </c>
      <c r="W22" s="286"/>
      <c r="X22" s="286"/>
      <c r="Y22" s="286">
        <v>619</v>
      </c>
      <c r="Z22" s="286"/>
      <c r="AA22" s="286"/>
      <c r="AB22" s="286">
        <v>885</v>
      </c>
      <c r="AC22" s="286"/>
      <c r="AD22" s="286"/>
      <c r="AE22" s="286">
        <v>418</v>
      </c>
      <c r="AF22" s="286"/>
      <c r="AG22" s="286"/>
      <c r="AH22" s="286">
        <v>749</v>
      </c>
      <c r="AI22" s="286"/>
      <c r="AJ22" s="286"/>
      <c r="AK22" s="286">
        <v>123</v>
      </c>
      <c r="AL22" s="286"/>
      <c r="AM22" s="286"/>
      <c r="AN22" s="286">
        <v>2076</v>
      </c>
      <c r="AO22" s="286"/>
      <c r="AP22" s="286"/>
      <c r="AQ22" s="286">
        <v>937</v>
      </c>
      <c r="AR22" s="286"/>
      <c r="AS22" s="286"/>
      <c r="AT22" s="286">
        <v>0</v>
      </c>
      <c r="AU22" s="286"/>
      <c r="AV22" s="286"/>
      <c r="AW22" s="286">
        <v>0</v>
      </c>
      <c r="AX22" s="286"/>
      <c r="AY22" s="286"/>
      <c r="AZ22" s="286">
        <v>0</v>
      </c>
      <c r="BA22" s="286"/>
      <c r="BB22" s="286"/>
      <c r="BC22" s="286">
        <v>0</v>
      </c>
      <c r="BD22" s="286"/>
      <c r="BE22" s="286"/>
      <c r="BF22" s="286">
        <v>0</v>
      </c>
      <c r="BG22" s="286"/>
      <c r="BH22" s="286"/>
      <c r="BI22" s="286">
        <v>0</v>
      </c>
      <c r="BJ22" s="286"/>
      <c r="BK22" s="286"/>
      <c r="BL22" s="286">
        <v>0</v>
      </c>
      <c r="BM22" s="286"/>
      <c r="BN22" s="286"/>
      <c r="BO22" s="286">
        <v>0</v>
      </c>
      <c r="BP22" s="286"/>
      <c r="BQ22" s="286"/>
      <c r="BR22" s="286">
        <v>0</v>
      </c>
      <c r="BS22" s="286"/>
      <c r="BT22" s="286"/>
      <c r="BU22" s="286">
        <v>0</v>
      </c>
      <c r="BV22" s="286"/>
      <c r="BW22" s="286"/>
      <c r="BX22" s="286">
        <v>0</v>
      </c>
      <c r="BY22" s="286"/>
      <c r="BZ22" s="286"/>
      <c r="CA22" s="286">
        <v>0</v>
      </c>
      <c r="CB22" s="286"/>
      <c r="CC22" s="286"/>
      <c r="CD22" s="286">
        <v>0</v>
      </c>
      <c r="CE22" s="286"/>
      <c r="CF22" s="286"/>
      <c r="CG22" s="286">
        <v>0</v>
      </c>
      <c r="CH22" s="286"/>
      <c r="CI22" s="286"/>
      <c r="CJ22" s="286">
        <v>0</v>
      </c>
    </row>
    <row r="23" spans="1:88" ht="45" x14ac:dyDescent="0.25">
      <c r="A23" s="107"/>
      <c r="B23" s="352" t="s">
        <v>1747</v>
      </c>
      <c r="C23" s="95"/>
      <c r="D23" s="95" t="s">
        <v>950</v>
      </c>
      <c r="E23" s="282">
        <f>E24+E25</f>
        <v>0</v>
      </c>
      <c r="F23" s="282">
        <f>F24+F25</f>
        <v>0</v>
      </c>
      <c r="G23" s="282">
        <f>G24+G25</f>
        <v>0</v>
      </c>
      <c r="H23" s="282">
        <f>H24+H25</f>
        <v>0</v>
      </c>
      <c r="I23" s="282">
        <v>5950</v>
      </c>
      <c r="J23" s="282">
        <f>3123-2350</f>
        <v>773</v>
      </c>
      <c r="K23" s="282">
        <v>443</v>
      </c>
      <c r="L23" s="282">
        <v>0</v>
      </c>
      <c r="M23" s="282">
        <v>0</v>
      </c>
      <c r="N23" s="282">
        <v>0</v>
      </c>
      <c r="O23" s="281"/>
      <c r="P23" s="282">
        <f t="shared" si="29"/>
        <v>443</v>
      </c>
      <c r="Q23" s="282">
        <f t="shared" si="29"/>
        <v>333</v>
      </c>
      <c r="R23" s="282">
        <v>0</v>
      </c>
      <c r="S23" s="282">
        <v>0</v>
      </c>
      <c r="T23" s="286"/>
      <c r="U23" s="282">
        <v>0</v>
      </c>
      <c r="V23" s="282">
        <v>0</v>
      </c>
      <c r="W23" s="286"/>
      <c r="X23" s="282">
        <v>0</v>
      </c>
      <c r="Y23" s="282">
        <v>0</v>
      </c>
      <c r="Z23" s="286"/>
      <c r="AA23" s="282">
        <v>0</v>
      </c>
      <c r="AB23" s="282">
        <v>0</v>
      </c>
      <c r="AC23" s="286"/>
      <c r="AD23" s="282">
        <v>0</v>
      </c>
      <c r="AE23" s="282">
        <v>0</v>
      </c>
      <c r="AF23" s="286"/>
      <c r="AG23" s="282">
        <v>0</v>
      </c>
      <c r="AH23" s="282">
        <v>0</v>
      </c>
      <c r="AI23" s="286"/>
      <c r="AJ23" s="282">
        <v>104</v>
      </c>
      <c r="AK23" s="282">
        <v>14</v>
      </c>
      <c r="AL23" s="286"/>
      <c r="AM23" s="282">
        <v>0</v>
      </c>
      <c r="AN23" s="282">
        <v>0</v>
      </c>
      <c r="AO23" s="286"/>
      <c r="AP23" s="282">
        <v>0</v>
      </c>
      <c r="AQ23" s="282">
        <v>0</v>
      </c>
      <c r="AR23" s="286"/>
      <c r="AS23" s="282">
        <v>1</v>
      </c>
      <c r="AT23" s="282">
        <v>86</v>
      </c>
      <c r="AU23" s="286"/>
      <c r="AV23" s="282">
        <v>0</v>
      </c>
      <c r="AW23" s="282">
        <v>0</v>
      </c>
      <c r="AX23" s="286"/>
      <c r="AY23" s="282">
        <v>0</v>
      </c>
      <c r="AZ23" s="282">
        <v>0</v>
      </c>
      <c r="BA23" s="286"/>
      <c r="BB23" s="282">
        <v>0</v>
      </c>
      <c r="BC23" s="282">
        <v>0</v>
      </c>
      <c r="BD23" s="286"/>
      <c r="BE23" s="282">
        <v>181</v>
      </c>
      <c r="BF23" s="282">
        <v>123</v>
      </c>
      <c r="BG23" s="286"/>
      <c r="BH23" s="282">
        <v>0</v>
      </c>
      <c r="BI23" s="282">
        <v>71</v>
      </c>
      <c r="BJ23" s="286"/>
      <c r="BK23" s="282">
        <v>0</v>
      </c>
      <c r="BL23" s="282">
        <v>0</v>
      </c>
      <c r="BM23" s="286"/>
      <c r="BN23" s="282">
        <v>0</v>
      </c>
      <c r="BO23" s="282">
        <v>0</v>
      </c>
      <c r="BP23" s="286"/>
      <c r="BQ23" s="282">
        <v>82</v>
      </c>
      <c r="BR23" s="282">
        <v>31</v>
      </c>
      <c r="BS23" s="286"/>
      <c r="BT23" s="282">
        <v>30</v>
      </c>
      <c r="BU23" s="282">
        <v>0</v>
      </c>
      <c r="BV23" s="286"/>
      <c r="BW23" s="282">
        <v>0</v>
      </c>
      <c r="BX23" s="282">
        <v>0</v>
      </c>
      <c r="BY23" s="286"/>
      <c r="BZ23" s="282">
        <v>39</v>
      </c>
      <c r="CA23" s="282">
        <v>0</v>
      </c>
      <c r="CB23" s="286"/>
      <c r="CC23" s="282">
        <v>6</v>
      </c>
      <c r="CD23" s="282">
        <v>8</v>
      </c>
      <c r="CE23" s="286"/>
      <c r="CF23" s="282">
        <v>0</v>
      </c>
      <c r="CG23" s="282">
        <v>0</v>
      </c>
      <c r="CH23" s="286"/>
      <c r="CI23" s="282">
        <v>0</v>
      </c>
      <c r="CJ23" s="282">
        <v>0</v>
      </c>
    </row>
    <row r="24" spans="1:88" x14ac:dyDescent="0.25">
      <c r="A24" s="107"/>
      <c r="B24" s="16" t="s">
        <v>1183</v>
      </c>
      <c r="C24" s="95"/>
      <c r="D24" s="95" t="s">
        <v>950</v>
      </c>
      <c r="E24" s="282"/>
      <c r="F24" s="282"/>
      <c r="G24" s="282"/>
      <c r="H24" s="282"/>
      <c r="I24" s="282"/>
      <c r="J24" s="282"/>
      <c r="K24" s="282"/>
      <c r="L24" s="282">
        <v>0</v>
      </c>
      <c r="M24" s="282">
        <v>0</v>
      </c>
      <c r="N24" s="282">
        <v>0</v>
      </c>
      <c r="O24" s="281"/>
      <c r="P24" s="286">
        <f t="shared" si="29"/>
        <v>0</v>
      </c>
      <c r="Q24" s="286">
        <f t="shared" si="29"/>
        <v>0</v>
      </c>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row>
    <row r="25" spans="1:88" x14ac:dyDescent="0.25">
      <c r="A25" s="107"/>
      <c r="B25" s="16" t="s">
        <v>1185</v>
      </c>
      <c r="C25" s="95"/>
      <c r="D25" s="95" t="s">
        <v>950</v>
      </c>
      <c r="E25" s="282"/>
      <c r="F25" s="282"/>
      <c r="G25" s="282"/>
      <c r="H25" s="282"/>
      <c r="I25" s="282"/>
      <c r="J25" s="282"/>
      <c r="K25" s="282"/>
      <c r="L25" s="282">
        <v>0</v>
      </c>
      <c r="M25" s="282">
        <v>0</v>
      </c>
      <c r="N25" s="282">
        <v>0</v>
      </c>
      <c r="O25" s="281"/>
      <c r="P25" s="286">
        <f t="shared" si="29"/>
        <v>0</v>
      </c>
      <c r="Q25" s="286">
        <f t="shared" si="29"/>
        <v>0</v>
      </c>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row>
    <row r="26" spans="1:88" ht="30" x14ac:dyDescent="0.25">
      <c r="A26" s="107"/>
      <c r="B26" s="352" t="s">
        <v>1746</v>
      </c>
      <c r="C26" s="95" t="s">
        <v>1750</v>
      </c>
      <c r="D26" s="95" t="s">
        <v>950</v>
      </c>
      <c r="E26" s="282">
        <f>E27+E28</f>
        <v>0</v>
      </c>
      <c r="F26" s="282">
        <f>F27+F28</f>
        <v>0</v>
      </c>
      <c r="G26" s="282">
        <f>G27+G28</f>
        <v>0</v>
      </c>
      <c r="H26" s="282">
        <f>H27+H28</f>
        <v>0</v>
      </c>
      <c r="I26" s="282">
        <v>21500</v>
      </c>
      <c r="J26" s="282">
        <f>J27+J28</f>
        <v>19391</v>
      </c>
      <c r="K26" s="282">
        <f>K27+K28</f>
        <v>20199</v>
      </c>
      <c r="L26" s="282">
        <f>L27+L28</f>
        <v>344</v>
      </c>
      <c r="M26" s="282">
        <f>M27+M28</f>
        <v>376</v>
      </c>
      <c r="N26" s="282">
        <f>N27+N28</f>
        <v>376</v>
      </c>
      <c r="O26" s="281"/>
      <c r="P26" s="282">
        <f>P27+P28</f>
        <v>0</v>
      </c>
      <c r="Q26" s="282">
        <f>Q27+Q28</f>
        <v>19694</v>
      </c>
      <c r="R26" s="282">
        <f>R27+R28</f>
        <v>0</v>
      </c>
      <c r="S26" s="282">
        <f>S27+S28</f>
        <v>493</v>
      </c>
      <c r="T26" s="286"/>
      <c r="U26" s="282">
        <f>U27+U28</f>
        <v>0</v>
      </c>
      <c r="V26" s="282">
        <f>V27+V28</f>
        <v>355</v>
      </c>
      <c r="W26" s="286"/>
      <c r="X26" s="282">
        <f>X27+X28</f>
        <v>0</v>
      </c>
      <c r="Y26" s="282">
        <f>Y27+Y28</f>
        <v>443</v>
      </c>
      <c r="Z26" s="286"/>
      <c r="AA26" s="282">
        <f>AA27+AA28</f>
        <v>0</v>
      </c>
      <c r="AB26" s="282">
        <f>AB27+AB28</f>
        <v>375</v>
      </c>
      <c r="AC26" s="286"/>
      <c r="AD26" s="282">
        <f>AD27+AD28</f>
        <v>0</v>
      </c>
      <c r="AE26" s="282">
        <f>AE27+AE28</f>
        <v>601</v>
      </c>
      <c r="AF26" s="286"/>
      <c r="AG26" s="282">
        <f>AG27+AG28</f>
        <v>0</v>
      </c>
      <c r="AH26" s="282">
        <f>AH27+AH28</f>
        <v>344</v>
      </c>
      <c r="AI26" s="286"/>
      <c r="AJ26" s="282">
        <f>AJ27+AJ28</f>
        <v>0</v>
      </c>
      <c r="AK26" s="282">
        <f>AK27+AK28</f>
        <v>564</v>
      </c>
      <c r="AL26" s="286"/>
      <c r="AM26" s="282">
        <f>AM27+AM28</f>
        <v>0</v>
      </c>
      <c r="AN26" s="282">
        <f>AN27+AN28</f>
        <v>1105</v>
      </c>
      <c r="AO26" s="286"/>
      <c r="AP26" s="282">
        <f>AP27+AP28</f>
        <v>0</v>
      </c>
      <c r="AQ26" s="282">
        <f>AQ27+AQ28</f>
        <v>183</v>
      </c>
      <c r="AR26" s="286"/>
      <c r="AS26" s="282">
        <f>AS27+AS28</f>
        <v>0</v>
      </c>
      <c r="AT26" s="282">
        <f>AT27+AT28</f>
        <v>1220</v>
      </c>
      <c r="AU26" s="286"/>
      <c r="AV26" s="282">
        <f>AV27+AV28</f>
        <v>0</v>
      </c>
      <c r="AW26" s="282">
        <f>AW27+AW28</f>
        <v>303</v>
      </c>
      <c r="AX26" s="286"/>
      <c r="AY26" s="282">
        <f>AY27+AY28</f>
        <v>0</v>
      </c>
      <c r="AZ26" s="282">
        <f>AZ27+AZ28</f>
        <v>650</v>
      </c>
      <c r="BA26" s="286"/>
      <c r="BB26" s="282">
        <f>BB27+BB28</f>
        <v>0</v>
      </c>
      <c r="BC26" s="282">
        <f>BC27+BC28</f>
        <v>278</v>
      </c>
      <c r="BD26" s="286"/>
      <c r="BE26" s="282">
        <f>BE27+BE28</f>
        <v>0</v>
      </c>
      <c r="BF26" s="282">
        <f>BF27+BF28</f>
        <v>3593</v>
      </c>
      <c r="BG26" s="286"/>
      <c r="BH26" s="282">
        <f>BH27+BH28</f>
        <v>0</v>
      </c>
      <c r="BI26" s="282">
        <f>BI27+BI28</f>
        <v>5961</v>
      </c>
      <c r="BJ26" s="286"/>
      <c r="BK26" s="282">
        <f>BK27+BK28</f>
        <v>0</v>
      </c>
      <c r="BL26" s="282">
        <f>BL27+BL28</f>
        <v>430</v>
      </c>
      <c r="BM26" s="286"/>
      <c r="BN26" s="282">
        <f>BN27+BN28</f>
        <v>0</v>
      </c>
      <c r="BO26" s="282">
        <f>BO27+BO28</f>
        <v>392</v>
      </c>
      <c r="BP26" s="286"/>
      <c r="BQ26" s="282">
        <f>BQ27+BQ28</f>
        <v>0</v>
      </c>
      <c r="BR26" s="282">
        <f>BR27+BR28</f>
        <v>646</v>
      </c>
      <c r="BS26" s="286"/>
      <c r="BT26" s="282">
        <f>BT27+BT28</f>
        <v>0</v>
      </c>
      <c r="BU26" s="282">
        <f>BU27+BU28</f>
        <v>758</v>
      </c>
      <c r="BV26" s="286"/>
      <c r="BW26" s="282">
        <f>BW27+BW28</f>
        <v>0</v>
      </c>
      <c r="BX26" s="282">
        <f>BX27+BX28</f>
        <v>175</v>
      </c>
      <c r="BY26" s="286"/>
      <c r="BZ26" s="282">
        <f>BZ27+BZ28</f>
        <v>0</v>
      </c>
      <c r="CA26" s="282">
        <f>CA27+CA28</f>
        <v>398</v>
      </c>
      <c r="CB26" s="286"/>
      <c r="CC26" s="282">
        <f>CC27+CC28</f>
        <v>0</v>
      </c>
      <c r="CD26" s="282">
        <f>CD27+CD28</f>
        <v>427</v>
      </c>
      <c r="CE26" s="286"/>
      <c r="CF26" s="282">
        <f>CF27+CF28</f>
        <v>0</v>
      </c>
      <c r="CG26" s="282">
        <f>CG27+CG28</f>
        <v>0</v>
      </c>
      <c r="CH26" s="286"/>
      <c r="CI26" s="282">
        <f>CI27+CI28</f>
        <v>0</v>
      </c>
      <c r="CJ26" s="282">
        <f>CJ27+CJ28</f>
        <v>0</v>
      </c>
    </row>
    <row r="27" spans="1:88" x14ac:dyDescent="0.25">
      <c r="A27" s="107"/>
      <c r="B27" s="16" t="s">
        <v>1183</v>
      </c>
      <c r="C27" s="95"/>
      <c r="D27" s="95" t="s">
        <v>950</v>
      </c>
      <c r="E27" s="282"/>
      <c r="F27" s="282"/>
      <c r="G27" s="282"/>
      <c r="H27" s="282"/>
      <c r="I27" s="282">
        <v>15402</v>
      </c>
      <c r="J27" s="282">
        <v>17969</v>
      </c>
      <c r="K27" s="282">
        <v>18813</v>
      </c>
      <c r="L27" s="282">
        <v>204</v>
      </c>
      <c r="M27" s="282">
        <v>232</v>
      </c>
      <c r="N27" s="282">
        <v>225</v>
      </c>
      <c r="O27" s="281"/>
      <c r="P27" s="286">
        <f t="shared" ref="P27:Q29" si="30">R27+U27+X27+AA27+AD27+AG27+AJ27+AM27+AP27+AS27+AV27+AY27+BB27+BE27+BH27+BK27+BN27+BQ27+BT27+BW27+BZ27+CC27+CF27+CI27</f>
        <v>0</v>
      </c>
      <c r="Q27" s="286">
        <f t="shared" si="30"/>
        <v>18325</v>
      </c>
      <c r="R27" s="286"/>
      <c r="S27" s="286">
        <v>286</v>
      </c>
      <c r="T27" s="286"/>
      <c r="U27" s="286"/>
      <c r="V27" s="286">
        <v>206</v>
      </c>
      <c r="W27" s="286"/>
      <c r="X27" s="286"/>
      <c r="Y27" s="286">
        <v>291</v>
      </c>
      <c r="Z27" s="286"/>
      <c r="AA27" s="286"/>
      <c r="AB27" s="286">
        <v>216</v>
      </c>
      <c r="AC27" s="286"/>
      <c r="AD27" s="286"/>
      <c r="AE27" s="286">
        <v>497</v>
      </c>
      <c r="AF27" s="286"/>
      <c r="AG27" s="286"/>
      <c r="AH27" s="286">
        <v>204</v>
      </c>
      <c r="AI27" s="286"/>
      <c r="AJ27" s="286"/>
      <c r="AK27" s="286">
        <v>535</v>
      </c>
      <c r="AL27" s="286"/>
      <c r="AM27" s="286"/>
      <c r="AN27" s="286">
        <v>859</v>
      </c>
      <c r="AO27" s="286"/>
      <c r="AP27" s="286"/>
      <c r="AQ27" s="286">
        <v>0</v>
      </c>
      <c r="AR27" s="286"/>
      <c r="AS27" s="286"/>
      <c r="AT27" s="286">
        <v>1220</v>
      </c>
      <c r="AU27" s="286"/>
      <c r="AV27" s="286"/>
      <c r="AW27" s="286">
        <v>303</v>
      </c>
      <c r="AX27" s="286"/>
      <c r="AY27" s="286"/>
      <c r="AZ27" s="286">
        <v>650</v>
      </c>
      <c r="BA27" s="286"/>
      <c r="BB27" s="286"/>
      <c r="BC27" s="286">
        <v>278</v>
      </c>
      <c r="BD27" s="286"/>
      <c r="BE27" s="286"/>
      <c r="BF27" s="286">
        <v>3593</v>
      </c>
      <c r="BG27" s="286"/>
      <c r="BH27" s="286"/>
      <c r="BI27" s="286">
        <v>5961</v>
      </c>
      <c r="BJ27" s="286"/>
      <c r="BK27" s="286"/>
      <c r="BL27" s="286">
        <v>430</v>
      </c>
      <c r="BM27" s="286"/>
      <c r="BN27" s="286"/>
      <c r="BO27" s="286">
        <v>392</v>
      </c>
      <c r="BP27" s="286"/>
      <c r="BQ27" s="286"/>
      <c r="BR27" s="286">
        <v>646</v>
      </c>
      <c r="BS27" s="286"/>
      <c r="BT27" s="286"/>
      <c r="BU27" s="286">
        <v>758</v>
      </c>
      <c r="BV27" s="286"/>
      <c r="BW27" s="286"/>
      <c r="BX27" s="286">
        <v>175</v>
      </c>
      <c r="BY27" s="286"/>
      <c r="BZ27" s="286"/>
      <c r="CA27" s="286">
        <v>398</v>
      </c>
      <c r="CB27" s="286"/>
      <c r="CC27" s="286"/>
      <c r="CD27" s="286">
        <v>427</v>
      </c>
      <c r="CE27" s="286"/>
      <c r="CF27" s="286"/>
      <c r="CG27" s="286">
        <v>0</v>
      </c>
      <c r="CH27" s="286"/>
      <c r="CI27" s="286"/>
      <c r="CJ27" s="286">
        <v>0</v>
      </c>
    </row>
    <row r="28" spans="1:88" x14ac:dyDescent="0.25">
      <c r="A28" s="107"/>
      <c r="B28" s="16" t="s">
        <v>1185</v>
      </c>
      <c r="C28" s="95"/>
      <c r="D28" s="95" t="s">
        <v>950</v>
      </c>
      <c r="E28" s="282"/>
      <c r="F28" s="282"/>
      <c r="G28" s="282"/>
      <c r="H28" s="282"/>
      <c r="I28" s="282">
        <v>1370</v>
      </c>
      <c r="J28" s="282">
        <v>1422</v>
      </c>
      <c r="K28" s="282">
        <v>1386</v>
      </c>
      <c r="L28" s="282">
        <v>140</v>
      </c>
      <c r="M28" s="282">
        <v>144</v>
      </c>
      <c r="N28" s="282">
        <v>151</v>
      </c>
      <c r="O28" s="281"/>
      <c r="P28" s="286">
        <f t="shared" si="30"/>
        <v>0</v>
      </c>
      <c r="Q28" s="286">
        <f t="shared" si="30"/>
        <v>1369</v>
      </c>
      <c r="R28" s="286"/>
      <c r="S28" s="286">
        <v>207</v>
      </c>
      <c r="T28" s="286"/>
      <c r="U28" s="286"/>
      <c r="V28" s="286">
        <v>149</v>
      </c>
      <c r="W28" s="286"/>
      <c r="X28" s="286"/>
      <c r="Y28" s="286">
        <v>152</v>
      </c>
      <c r="Z28" s="286"/>
      <c r="AA28" s="286"/>
      <c r="AB28" s="286">
        <v>159</v>
      </c>
      <c r="AC28" s="286"/>
      <c r="AD28" s="286"/>
      <c r="AE28" s="286">
        <v>104</v>
      </c>
      <c r="AF28" s="286"/>
      <c r="AG28" s="286"/>
      <c r="AH28" s="286">
        <v>140</v>
      </c>
      <c r="AI28" s="286"/>
      <c r="AJ28" s="286"/>
      <c r="AK28" s="286">
        <v>29</v>
      </c>
      <c r="AL28" s="286"/>
      <c r="AM28" s="286"/>
      <c r="AN28" s="286">
        <v>246</v>
      </c>
      <c r="AO28" s="286"/>
      <c r="AP28" s="286"/>
      <c r="AQ28" s="286">
        <v>183</v>
      </c>
      <c r="AR28" s="286"/>
      <c r="AS28" s="286"/>
      <c r="AT28" s="286">
        <v>0</v>
      </c>
      <c r="AU28" s="286"/>
      <c r="AV28" s="286"/>
      <c r="AW28" s="286">
        <v>0</v>
      </c>
      <c r="AX28" s="286"/>
      <c r="AY28" s="286"/>
      <c r="AZ28" s="286">
        <v>0</v>
      </c>
      <c r="BA28" s="286"/>
      <c r="BB28" s="286"/>
      <c r="BC28" s="286">
        <v>0</v>
      </c>
      <c r="BD28" s="286"/>
      <c r="BE28" s="286"/>
      <c r="BF28" s="286">
        <v>0</v>
      </c>
      <c r="BG28" s="286"/>
      <c r="BH28" s="286"/>
      <c r="BI28" s="286">
        <v>0</v>
      </c>
      <c r="BJ28" s="286"/>
      <c r="BK28" s="286"/>
      <c r="BL28" s="286">
        <v>0</v>
      </c>
      <c r="BM28" s="286"/>
      <c r="BN28" s="286"/>
      <c r="BO28" s="286">
        <v>0</v>
      </c>
      <c r="BP28" s="286"/>
      <c r="BQ28" s="286"/>
      <c r="BR28" s="286">
        <v>0</v>
      </c>
      <c r="BS28" s="286"/>
      <c r="BT28" s="286"/>
      <c r="BU28" s="286">
        <v>0</v>
      </c>
      <c r="BV28" s="286"/>
      <c r="BW28" s="286"/>
      <c r="BX28" s="286">
        <v>0</v>
      </c>
      <c r="BY28" s="286"/>
      <c r="BZ28" s="286"/>
      <c r="CA28" s="286">
        <v>0</v>
      </c>
      <c r="CB28" s="286"/>
      <c r="CC28" s="286"/>
      <c r="CD28" s="286">
        <v>0</v>
      </c>
      <c r="CE28" s="286"/>
      <c r="CF28" s="286"/>
      <c r="CG28" s="286">
        <v>0</v>
      </c>
      <c r="CH28" s="286"/>
      <c r="CI28" s="286"/>
      <c r="CJ28" s="286">
        <v>0</v>
      </c>
    </row>
    <row r="29" spans="1:88" ht="45" x14ac:dyDescent="0.25">
      <c r="A29" s="107"/>
      <c r="B29" s="352" t="s">
        <v>1748</v>
      </c>
      <c r="C29" s="95"/>
      <c r="D29" s="95" t="s">
        <v>950</v>
      </c>
      <c r="E29" s="282">
        <f>E30+E31</f>
        <v>0</v>
      </c>
      <c r="F29" s="282">
        <f>F30+F31</f>
        <v>0</v>
      </c>
      <c r="G29" s="282">
        <f>G30+G31</f>
        <v>0</v>
      </c>
      <c r="H29" s="282">
        <f>H30+H31</f>
        <v>0</v>
      </c>
      <c r="I29" s="282">
        <v>7740</v>
      </c>
      <c r="J29" s="282">
        <f>3440-2686</f>
        <v>754</v>
      </c>
      <c r="K29" s="282">
        <v>426</v>
      </c>
      <c r="L29" s="282">
        <v>0</v>
      </c>
      <c r="M29" s="282">
        <v>0</v>
      </c>
      <c r="N29" s="282">
        <v>0</v>
      </c>
      <c r="O29" s="281"/>
      <c r="P29" s="282">
        <f t="shared" si="30"/>
        <v>426</v>
      </c>
      <c r="Q29" s="282">
        <f t="shared" si="30"/>
        <v>332</v>
      </c>
      <c r="R29" s="282">
        <v>0</v>
      </c>
      <c r="S29" s="282">
        <v>0</v>
      </c>
      <c r="T29" s="286"/>
      <c r="U29" s="282">
        <v>0</v>
      </c>
      <c r="V29" s="282">
        <v>0</v>
      </c>
      <c r="W29" s="286"/>
      <c r="X29" s="282">
        <v>0</v>
      </c>
      <c r="Y29" s="282">
        <v>0</v>
      </c>
      <c r="Z29" s="286"/>
      <c r="AA29" s="282">
        <v>0</v>
      </c>
      <c r="AB29" s="282">
        <v>0</v>
      </c>
      <c r="AC29" s="286"/>
      <c r="AD29" s="282">
        <v>0</v>
      </c>
      <c r="AE29" s="282">
        <v>0</v>
      </c>
      <c r="AF29" s="286"/>
      <c r="AG29" s="282">
        <v>0</v>
      </c>
      <c r="AH29" s="282">
        <v>0</v>
      </c>
      <c r="AI29" s="286"/>
      <c r="AJ29" s="282">
        <v>102</v>
      </c>
      <c r="AK29" s="282">
        <v>14</v>
      </c>
      <c r="AL29" s="286"/>
      <c r="AM29" s="282">
        <v>0</v>
      </c>
      <c r="AN29" s="282">
        <v>0</v>
      </c>
      <c r="AO29" s="286"/>
      <c r="AP29" s="282">
        <v>0</v>
      </c>
      <c r="AQ29" s="282">
        <v>0</v>
      </c>
      <c r="AR29" s="286"/>
      <c r="AS29" s="282">
        <v>0</v>
      </c>
      <c r="AT29" s="282">
        <v>86</v>
      </c>
      <c r="AU29" s="286"/>
      <c r="AV29" s="282">
        <v>0</v>
      </c>
      <c r="AW29" s="282">
        <v>0</v>
      </c>
      <c r="AX29" s="286"/>
      <c r="AY29" s="282">
        <v>0</v>
      </c>
      <c r="AZ29" s="282">
        <v>0</v>
      </c>
      <c r="BA29" s="286"/>
      <c r="BB29" s="282">
        <v>0</v>
      </c>
      <c r="BC29" s="282">
        <v>0</v>
      </c>
      <c r="BD29" s="286"/>
      <c r="BE29" s="282">
        <v>177</v>
      </c>
      <c r="BF29" s="282">
        <v>122</v>
      </c>
      <c r="BG29" s="286"/>
      <c r="BH29" s="282">
        <v>0</v>
      </c>
      <c r="BI29" s="282">
        <v>71</v>
      </c>
      <c r="BJ29" s="286"/>
      <c r="BK29" s="282">
        <v>0</v>
      </c>
      <c r="BL29" s="282">
        <v>0</v>
      </c>
      <c r="BM29" s="286"/>
      <c r="BN29" s="282">
        <v>0</v>
      </c>
      <c r="BO29" s="282">
        <v>0</v>
      </c>
      <c r="BP29" s="286"/>
      <c r="BQ29" s="282">
        <v>80</v>
      </c>
      <c r="BR29" s="282">
        <v>31</v>
      </c>
      <c r="BS29" s="286"/>
      <c r="BT29" s="282">
        <v>28</v>
      </c>
      <c r="BU29" s="282">
        <v>0</v>
      </c>
      <c r="BV29" s="286"/>
      <c r="BW29" s="282">
        <v>0</v>
      </c>
      <c r="BX29" s="282">
        <v>0</v>
      </c>
      <c r="BY29" s="286"/>
      <c r="BZ29" s="282">
        <v>35</v>
      </c>
      <c r="CA29" s="282">
        <v>0</v>
      </c>
      <c r="CB29" s="286"/>
      <c r="CC29" s="282">
        <v>4</v>
      </c>
      <c r="CD29" s="282">
        <v>8</v>
      </c>
      <c r="CE29" s="286"/>
      <c r="CF29" s="282">
        <v>0</v>
      </c>
      <c r="CG29" s="282">
        <v>0</v>
      </c>
      <c r="CH29" s="286"/>
      <c r="CI29" s="282">
        <v>0</v>
      </c>
      <c r="CJ29" s="282">
        <v>0</v>
      </c>
    </row>
    <row r="30" spans="1:88" x14ac:dyDescent="0.25">
      <c r="A30" s="107"/>
      <c r="B30" s="16" t="s">
        <v>1183</v>
      </c>
      <c r="C30" s="95"/>
      <c r="D30" s="95" t="s">
        <v>950</v>
      </c>
      <c r="E30" s="282"/>
      <c r="F30" s="282"/>
      <c r="G30" s="282"/>
      <c r="H30" s="282"/>
      <c r="I30" s="282"/>
      <c r="J30" s="282"/>
      <c r="K30" s="282"/>
      <c r="L30" s="282">
        <v>0</v>
      </c>
      <c r="M30" s="282">
        <v>0</v>
      </c>
      <c r="N30" s="282">
        <v>0</v>
      </c>
      <c r="O30" s="281"/>
      <c r="P30" s="282"/>
      <c r="Q30" s="282"/>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row>
    <row r="31" spans="1:88" x14ac:dyDescent="0.25">
      <c r="A31" s="107"/>
      <c r="B31" s="16" t="s">
        <v>1185</v>
      </c>
      <c r="C31" s="95"/>
      <c r="D31" s="95" t="s">
        <v>950</v>
      </c>
      <c r="E31" s="282"/>
      <c r="F31" s="282"/>
      <c r="G31" s="282"/>
      <c r="H31" s="282"/>
      <c r="I31" s="282"/>
      <c r="J31" s="282"/>
      <c r="K31" s="282"/>
      <c r="L31" s="282">
        <v>0</v>
      </c>
      <c r="M31" s="282">
        <v>0</v>
      </c>
      <c r="N31" s="282">
        <v>0</v>
      </c>
      <c r="O31" s="281"/>
      <c r="P31" s="282"/>
      <c r="Q31" s="282"/>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row>
    <row r="32" spans="1:88" ht="30" x14ac:dyDescent="0.25">
      <c r="A32" s="107"/>
      <c r="B32" s="352" t="s">
        <v>11</v>
      </c>
      <c r="C32" s="95" t="s">
        <v>1751</v>
      </c>
      <c r="D32" s="95" t="s">
        <v>950</v>
      </c>
      <c r="E32" s="282">
        <f t="shared" ref="E32:J32" si="31">E33+E34</f>
        <v>76735</v>
      </c>
      <c r="F32" s="282">
        <f t="shared" si="31"/>
        <v>85089</v>
      </c>
      <c r="G32" s="282">
        <f t="shared" si="31"/>
        <v>90512</v>
      </c>
      <c r="H32" s="282">
        <f t="shared" si="31"/>
        <v>93383</v>
      </c>
      <c r="I32" s="282">
        <f t="shared" si="31"/>
        <v>96432</v>
      </c>
      <c r="J32" s="282">
        <f t="shared" si="31"/>
        <v>117718</v>
      </c>
      <c r="K32" s="282">
        <f>K33+K34</f>
        <v>95432</v>
      </c>
      <c r="L32" s="282">
        <f>L33+L34</f>
        <v>1486</v>
      </c>
      <c r="M32" s="282">
        <f>M33+M34</f>
        <v>1345</v>
      </c>
      <c r="N32" s="282">
        <f>N33+N34</f>
        <v>1255</v>
      </c>
      <c r="O32" s="286" t="s">
        <v>1396</v>
      </c>
      <c r="P32" s="282">
        <f>P33+P34</f>
        <v>0</v>
      </c>
      <c r="Q32" s="282">
        <f>Q33+Q34</f>
        <v>92088</v>
      </c>
      <c r="R32" s="282">
        <f>R33+R34</f>
        <v>0</v>
      </c>
      <c r="S32" s="282">
        <f>S33+S34</f>
        <v>1500</v>
      </c>
      <c r="T32" s="286"/>
      <c r="U32" s="282">
        <f>U33+U34</f>
        <v>0</v>
      </c>
      <c r="V32" s="282">
        <f>V33+V34</f>
        <v>1300</v>
      </c>
      <c r="W32" s="286"/>
      <c r="X32" s="282">
        <f>X33+X34</f>
        <v>0</v>
      </c>
      <c r="Y32" s="282">
        <f>Y33+Y34</f>
        <v>1510</v>
      </c>
      <c r="Z32" s="286"/>
      <c r="AA32" s="282">
        <f>AA33+AA34</f>
        <v>0</v>
      </c>
      <c r="AB32" s="282">
        <f>AB33+AB34</f>
        <v>1794</v>
      </c>
      <c r="AC32" s="286"/>
      <c r="AD32" s="282">
        <f>AD33+AD34</f>
        <v>0</v>
      </c>
      <c r="AE32" s="282">
        <f>AE33+AE34</f>
        <v>1477</v>
      </c>
      <c r="AF32" s="286"/>
      <c r="AG32" s="282">
        <f>AG33+AG34</f>
        <v>0</v>
      </c>
      <c r="AH32" s="282">
        <f>AH33+AH34</f>
        <v>1461</v>
      </c>
      <c r="AI32" s="286"/>
      <c r="AJ32" s="282">
        <f>AJ33+AJ34</f>
        <v>0</v>
      </c>
      <c r="AK32" s="282">
        <f>AK33+AK34</f>
        <v>2339</v>
      </c>
      <c r="AL32" s="286"/>
      <c r="AM32" s="282">
        <f>AM33+AM34</f>
        <v>0</v>
      </c>
      <c r="AN32" s="282">
        <f>AN33+AN34</f>
        <v>6435</v>
      </c>
      <c r="AO32" s="286"/>
      <c r="AP32" s="282">
        <f>AP33+AP34</f>
        <v>0</v>
      </c>
      <c r="AQ32" s="282">
        <f>AQ33+AQ34</f>
        <v>754</v>
      </c>
      <c r="AR32" s="286"/>
      <c r="AS32" s="282">
        <f>AS33+AS34</f>
        <v>0</v>
      </c>
      <c r="AT32" s="282">
        <f>AT33+AT34</f>
        <v>6672</v>
      </c>
      <c r="AU32" s="286"/>
      <c r="AV32" s="282">
        <f>AV33+AV34</f>
        <v>0</v>
      </c>
      <c r="AW32" s="282">
        <f>AW33+AW34</f>
        <v>1789</v>
      </c>
      <c r="AX32" s="286"/>
      <c r="AY32" s="282">
        <f>AY33+AY34</f>
        <v>0</v>
      </c>
      <c r="AZ32" s="282">
        <f>AZ33+AZ34</f>
        <v>2758</v>
      </c>
      <c r="BA32" s="286"/>
      <c r="BB32" s="282">
        <f>BB33+BB34</f>
        <v>0</v>
      </c>
      <c r="BC32" s="282">
        <f>BC33+BC34</f>
        <v>6376</v>
      </c>
      <c r="BD32" s="286"/>
      <c r="BE32" s="282">
        <f>BE33+BE34</f>
        <v>0</v>
      </c>
      <c r="BF32" s="282">
        <f>BF33+BF34</f>
        <v>15236</v>
      </c>
      <c r="BG32" s="286"/>
      <c r="BH32" s="282">
        <f>BH33+BH34</f>
        <v>0</v>
      </c>
      <c r="BI32" s="282">
        <f>BI33+BI34</f>
        <v>24848</v>
      </c>
      <c r="BJ32" s="286"/>
      <c r="BK32" s="282">
        <f>BK33+BK34</f>
        <v>0</v>
      </c>
      <c r="BL32" s="282">
        <f>BL33+BL34</f>
        <v>2129</v>
      </c>
      <c r="BM32" s="286"/>
      <c r="BN32" s="282">
        <f>BN33+BN34</f>
        <v>0</v>
      </c>
      <c r="BO32" s="282">
        <f>BO33+BO34</f>
        <v>2123</v>
      </c>
      <c r="BP32" s="286"/>
      <c r="BQ32" s="282">
        <f>BQ33+BQ34</f>
        <v>0</v>
      </c>
      <c r="BR32" s="282">
        <f>BR33+BR34</f>
        <v>3200</v>
      </c>
      <c r="BS32" s="286"/>
      <c r="BT32" s="282">
        <f>BT33+BT34</f>
        <v>0</v>
      </c>
      <c r="BU32" s="282">
        <f>BU33+BU34</f>
        <v>3250</v>
      </c>
      <c r="BV32" s="286"/>
      <c r="BW32" s="282">
        <f>BW33+BW34</f>
        <v>0</v>
      </c>
      <c r="BX32" s="282">
        <f>BX33+BX34</f>
        <v>882</v>
      </c>
      <c r="BY32" s="286"/>
      <c r="BZ32" s="282">
        <f>BZ33+BZ34</f>
        <v>0</v>
      </c>
      <c r="CA32" s="282">
        <f>CA33+CA34</f>
        <v>2098</v>
      </c>
      <c r="CB32" s="286"/>
      <c r="CC32" s="282">
        <f>CC33+CC34</f>
        <v>0</v>
      </c>
      <c r="CD32" s="282">
        <f>CD33+CD34</f>
        <v>2052</v>
      </c>
      <c r="CE32" s="286"/>
      <c r="CF32" s="282">
        <f>CF33+CF34</f>
        <v>0</v>
      </c>
      <c r="CG32" s="282">
        <f>CG33+CG34</f>
        <v>105</v>
      </c>
      <c r="CH32" s="286"/>
      <c r="CI32" s="282">
        <f>CI33+CI34</f>
        <v>0</v>
      </c>
      <c r="CJ32" s="282">
        <f>CJ33+CJ34</f>
        <v>0</v>
      </c>
    </row>
    <row r="33" spans="1:88" x14ac:dyDescent="0.25">
      <c r="A33" s="107"/>
      <c r="B33" s="16" t="s">
        <v>1183</v>
      </c>
      <c r="C33" s="95"/>
      <c r="D33" s="95" t="s">
        <v>950</v>
      </c>
      <c r="E33" s="282">
        <v>70786</v>
      </c>
      <c r="F33" s="282">
        <v>78970</v>
      </c>
      <c r="G33" s="282">
        <v>83998</v>
      </c>
      <c r="H33" s="282">
        <v>86989</v>
      </c>
      <c r="I33" s="282">
        <v>90423</v>
      </c>
      <c r="J33" s="282">
        <f>102448+6850</f>
        <v>109298</v>
      </c>
      <c r="K33" s="282">
        <v>88574</v>
      </c>
      <c r="L33" s="282">
        <v>867</v>
      </c>
      <c r="M33" s="282">
        <v>775</v>
      </c>
      <c r="N33" s="282">
        <v>730</v>
      </c>
      <c r="O33" s="286"/>
      <c r="P33" s="286">
        <f>R33+U33+X33+AA33+AD33+AG33+AJ33+AM33+AP33+AS33+AV33+AY33+BB33+BE33+BH33+BK33+BN33+BQ33+BT33+BW33+BZ33+CC33+CF33+CI33</f>
        <v>0</v>
      </c>
      <c r="Q33" s="286">
        <f>S33+V33+Y33+AB33+AE33+AH33+AK33+AN33+AQ33+AT33+AW33+AZ33+BC33+BF33+BI33+BL33+BO33+BR33+BU33+BX33+CA33+CD33+CG33+CJ33</f>
        <v>86250</v>
      </c>
      <c r="R33" s="286"/>
      <c r="S33" s="286">
        <v>1052</v>
      </c>
      <c r="T33" s="286"/>
      <c r="U33" s="286"/>
      <c r="V33" s="286">
        <v>734</v>
      </c>
      <c r="W33" s="286"/>
      <c r="X33" s="286"/>
      <c r="Y33" s="286">
        <v>1043</v>
      </c>
      <c r="Z33" s="286"/>
      <c r="AA33" s="286"/>
      <c r="AB33" s="286">
        <v>1038</v>
      </c>
      <c r="AC33" s="286"/>
      <c r="AD33" s="286"/>
      <c r="AE33" s="286">
        <v>1163</v>
      </c>
      <c r="AF33" s="286"/>
      <c r="AG33" s="286"/>
      <c r="AH33" s="286">
        <v>852</v>
      </c>
      <c r="AI33" s="286"/>
      <c r="AJ33" s="286"/>
      <c r="AK33" s="286">
        <v>2245</v>
      </c>
      <c r="AL33" s="286"/>
      <c r="AM33" s="286"/>
      <c r="AN33" s="286">
        <v>4605</v>
      </c>
      <c r="AO33" s="286"/>
      <c r="AP33" s="286"/>
      <c r="AQ33" s="286">
        <v>0</v>
      </c>
      <c r="AR33" s="286"/>
      <c r="AS33" s="286"/>
      <c r="AT33" s="286">
        <v>6672</v>
      </c>
      <c r="AU33" s="286"/>
      <c r="AV33" s="286"/>
      <c r="AW33" s="286">
        <v>1789</v>
      </c>
      <c r="AX33" s="286"/>
      <c r="AY33" s="286"/>
      <c r="AZ33" s="286">
        <v>2758</v>
      </c>
      <c r="BA33" s="286"/>
      <c r="BB33" s="286"/>
      <c r="BC33" s="286">
        <v>6376</v>
      </c>
      <c r="BD33" s="286"/>
      <c r="BE33" s="286"/>
      <c r="BF33" s="286">
        <v>15236</v>
      </c>
      <c r="BG33" s="286"/>
      <c r="BH33" s="286"/>
      <c r="BI33" s="286">
        <v>24848</v>
      </c>
      <c r="BJ33" s="286"/>
      <c r="BK33" s="286"/>
      <c r="BL33" s="286">
        <v>2129</v>
      </c>
      <c r="BM33" s="286"/>
      <c r="BN33" s="286"/>
      <c r="BO33" s="286">
        <v>2123</v>
      </c>
      <c r="BP33" s="286"/>
      <c r="BQ33" s="286"/>
      <c r="BR33" s="286">
        <v>3200</v>
      </c>
      <c r="BS33" s="286"/>
      <c r="BT33" s="286"/>
      <c r="BU33" s="286">
        <v>3250</v>
      </c>
      <c r="BV33" s="286"/>
      <c r="BW33" s="286"/>
      <c r="BX33" s="286">
        <v>882</v>
      </c>
      <c r="BY33" s="286"/>
      <c r="BZ33" s="286"/>
      <c r="CA33" s="286">
        <v>2098</v>
      </c>
      <c r="CB33" s="286"/>
      <c r="CC33" s="286"/>
      <c r="CD33" s="286">
        <v>2052</v>
      </c>
      <c r="CE33" s="286"/>
      <c r="CF33" s="286"/>
      <c r="CG33" s="286">
        <v>105</v>
      </c>
      <c r="CH33" s="286"/>
      <c r="CI33" s="286"/>
      <c r="CJ33" s="286">
        <v>0</v>
      </c>
    </row>
    <row r="34" spans="1:88" x14ac:dyDescent="0.25">
      <c r="A34" s="107"/>
      <c r="B34" s="16" t="s">
        <v>1185</v>
      </c>
      <c r="C34" s="95"/>
      <c r="D34" s="95" t="s">
        <v>950</v>
      </c>
      <c r="E34" s="282">
        <v>5949</v>
      </c>
      <c r="F34" s="282">
        <v>6119</v>
      </c>
      <c r="G34" s="282">
        <v>6514</v>
      </c>
      <c r="H34" s="282">
        <v>6394</v>
      </c>
      <c r="I34" s="282">
        <v>6009</v>
      </c>
      <c r="J34" s="282">
        <v>8420</v>
      </c>
      <c r="K34" s="282">
        <v>6858</v>
      </c>
      <c r="L34" s="282">
        <v>619</v>
      </c>
      <c r="M34" s="282">
        <v>570</v>
      </c>
      <c r="N34" s="282">
        <v>525</v>
      </c>
      <c r="O34" s="286"/>
      <c r="P34" s="286">
        <f>R34+U34+X34+AA34+AD34+AG34+AJ34+AM34+AP34+AS34+AV34+AY34+BB34+BE34+BH34+BK34+BN34+BQ34+BT34+BW34+BZ34+CC34+CF34+CI34</f>
        <v>0</v>
      </c>
      <c r="Q34" s="286">
        <f>S34+V34+Y34+AB34+AE34+AH34+AK34+AN34+AQ34+AT34+AW34+AZ34+BC34+BF34+BI34+BL34+BO34+BR34+BU34+BX34+CA34+CD34+CG34+CJ34</f>
        <v>5838</v>
      </c>
      <c r="R34" s="286"/>
      <c r="S34" s="286">
        <v>448</v>
      </c>
      <c r="T34" s="286"/>
      <c r="U34" s="286"/>
      <c r="V34" s="286">
        <v>566</v>
      </c>
      <c r="W34" s="286"/>
      <c r="X34" s="286"/>
      <c r="Y34" s="286">
        <v>467</v>
      </c>
      <c r="Z34" s="286"/>
      <c r="AA34" s="286"/>
      <c r="AB34" s="286">
        <v>756</v>
      </c>
      <c r="AC34" s="286"/>
      <c r="AD34" s="286"/>
      <c r="AE34" s="286">
        <v>314</v>
      </c>
      <c r="AF34" s="286"/>
      <c r="AG34" s="286"/>
      <c r="AH34" s="286">
        <v>609</v>
      </c>
      <c r="AI34" s="286"/>
      <c r="AJ34" s="286"/>
      <c r="AK34" s="286">
        <v>94</v>
      </c>
      <c r="AL34" s="286"/>
      <c r="AM34" s="286"/>
      <c r="AN34" s="286">
        <v>1830</v>
      </c>
      <c r="AO34" s="286"/>
      <c r="AP34" s="286"/>
      <c r="AQ34" s="286">
        <v>754</v>
      </c>
      <c r="AR34" s="286"/>
      <c r="AS34" s="286"/>
      <c r="AT34" s="286">
        <v>0</v>
      </c>
      <c r="AU34" s="286"/>
      <c r="AV34" s="286"/>
      <c r="AW34" s="302">
        <v>0</v>
      </c>
      <c r="AX34" s="286"/>
      <c r="AY34" s="286"/>
      <c r="AZ34" s="302">
        <v>0</v>
      </c>
      <c r="BA34" s="286"/>
      <c r="BB34" s="286"/>
      <c r="BC34" s="302">
        <v>0</v>
      </c>
      <c r="BD34" s="286"/>
      <c r="BE34" s="286"/>
      <c r="BF34" s="286">
        <v>0</v>
      </c>
      <c r="BG34" s="286"/>
      <c r="BH34" s="286"/>
      <c r="BI34" s="286">
        <v>0</v>
      </c>
      <c r="BJ34" s="286"/>
      <c r="BK34" s="286"/>
      <c r="BL34" s="286">
        <v>0</v>
      </c>
      <c r="BM34" s="286"/>
      <c r="BN34" s="286"/>
      <c r="BO34" s="286">
        <v>0</v>
      </c>
      <c r="BP34" s="286"/>
      <c r="BQ34" s="286"/>
      <c r="BR34" s="286">
        <v>0</v>
      </c>
      <c r="BS34" s="286"/>
      <c r="BT34" s="286"/>
      <c r="BU34" s="302">
        <v>0</v>
      </c>
      <c r="BV34" s="286"/>
      <c r="BW34" s="286"/>
      <c r="BX34" s="302">
        <v>0</v>
      </c>
      <c r="BY34" s="286"/>
      <c r="BZ34" s="286"/>
      <c r="CA34" s="286">
        <v>0</v>
      </c>
      <c r="CB34" s="286"/>
      <c r="CC34" s="286"/>
      <c r="CD34" s="286">
        <v>0</v>
      </c>
      <c r="CE34" s="286"/>
      <c r="CF34" s="286"/>
      <c r="CG34" s="286">
        <v>0</v>
      </c>
      <c r="CH34" s="286"/>
      <c r="CI34" s="286"/>
      <c r="CJ34" s="286">
        <v>0</v>
      </c>
    </row>
    <row r="35" spans="1:88" ht="30" x14ac:dyDescent="0.25">
      <c r="A35" s="107"/>
      <c r="B35" s="352" t="s">
        <v>12</v>
      </c>
      <c r="C35" s="95"/>
      <c r="D35" s="95" t="s">
        <v>950</v>
      </c>
      <c r="E35" s="282">
        <f t="shared" ref="E35:J35" si="32">E36+E37</f>
        <v>10523</v>
      </c>
      <c r="F35" s="282">
        <f t="shared" si="32"/>
        <v>5081</v>
      </c>
      <c r="G35" s="282">
        <f t="shared" si="32"/>
        <v>0</v>
      </c>
      <c r="H35" s="282">
        <f t="shared" si="32"/>
        <v>0</v>
      </c>
      <c r="I35" s="282">
        <f t="shared" si="32"/>
        <v>0</v>
      </c>
      <c r="J35" s="282">
        <f t="shared" si="32"/>
        <v>0</v>
      </c>
      <c r="K35" s="282">
        <f>K36+K37</f>
        <v>0</v>
      </c>
      <c r="L35" s="282">
        <v>0</v>
      </c>
      <c r="M35" s="282">
        <v>0</v>
      </c>
      <c r="N35" s="282">
        <v>0</v>
      </c>
      <c r="O35" s="267" t="s">
        <v>1397</v>
      </c>
      <c r="P35" s="282">
        <f>P36+P37</f>
        <v>0</v>
      </c>
      <c r="Q35" s="282">
        <f>Q36+Q37</f>
        <v>0</v>
      </c>
      <c r="R35" s="282">
        <f>R36+R37</f>
        <v>0</v>
      </c>
      <c r="S35" s="282">
        <f>S36+S37</f>
        <v>0</v>
      </c>
      <c r="T35" s="286"/>
      <c r="U35" s="282">
        <f>U36+U37</f>
        <v>0</v>
      </c>
      <c r="V35" s="282">
        <f>V36+V37</f>
        <v>0</v>
      </c>
      <c r="W35" s="286"/>
      <c r="X35" s="282">
        <f>X36+X37</f>
        <v>0</v>
      </c>
      <c r="Y35" s="282">
        <f>Y36+Y37</f>
        <v>0</v>
      </c>
      <c r="Z35" s="286"/>
      <c r="AA35" s="282">
        <f>AA36+AA37</f>
        <v>0</v>
      </c>
      <c r="AB35" s="282">
        <f>AB36+AB37</f>
        <v>0</v>
      </c>
      <c r="AC35" s="286"/>
      <c r="AD35" s="282">
        <f>AD36+AD37</f>
        <v>0</v>
      </c>
      <c r="AE35" s="282">
        <f>AE36+AE37</f>
        <v>0</v>
      </c>
      <c r="AF35" s="286"/>
      <c r="AG35" s="282">
        <f>AG36+AG37</f>
        <v>0</v>
      </c>
      <c r="AH35" s="282">
        <f>AH36+AH37</f>
        <v>0</v>
      </c>
      <c r="AI35" s="286"/>
      <c r="AJ35" s="282">
        <f>AJ36+AJ37</f>
        <v>0</v>
      </c>
      <c r="AK35" s="282">
        <f>AK36+AK37</f>
        <v>0</v>
      </c>
      <c r="AL35" s="286"/>
      <c r="AM35" s="282">
        <f>AM36+AM37</f>
        <v>0</v>
      </c>
      <c r="AN35" s="282">
        <f>AN36+AN37</f>
        <v>0</v>
      </c>
      <c r="AO35" s="286"/>
      <c r="AP35" s="282">
        <f>AP36+AP37</f>
        <v>0</v>
      </c>
      <c r="AQ35" s="282">
        <f>AQ36+AQ37</f>
        <v>0</v>
      </c>
      <c r="AR35" s="286"/>
      <c r="AS35" s="282">
        <f>AS36+AS37</f>
        <v>0</v>
      </c>
      <c r="AT35" s="282">
        <f>AT36+AT37</f>
        <v>0</v>
      </c>
      <c r="AU35" s="286"/>
      <c r="AV35" s="282">
        <f>AV36+AV37</f>
        <v>0</v>
      </c>
      <c r="AW35" s="282">
        <f>AW36+AW37</f>
        <v>0</v>
      </c>
      <c r="AX35" s="286"/>
      <c r="AY35" s="282">
        <f>AY36+AY37</f>
        <v>0</v>
      </c>
      <c r="AZ35" s="282">
        <f>AZ36+AZ37</f>
        <v>0</v>
      </c>
      <c r="BA35" s="286"/>
      <c r="BB35" s="282">
        <f>BB36+BB37</f>
        <v>0</v>
      </c>
      <c r="BC35" s="282">
        <f>BC36+BC37</f>
        <v>0</v>
      </c>
      <c r="BD35" s="286"/>
      <c r="BE35" s="282">
        <f>BE36+BE37</f>
        <v>0</v>
      </c>
      <c r="BF35" s="282">
        <f>BF36+BF37</f>
        <v>0</v>
      </c>
      <c r="BG35" s="286"/>
      <c r="BH35" s="282">
        <f>BH36+BH37</f>
        <v>0</v>
      </c>
      <c r="BI35" s="282">
        <f>BI36+BI37</f>
        <v>0</v>
      </c>
      <c r="BJ35" s="286"/>
      <c r="BK35" s="282">
        <f>BK36+BK37</f>
        <v>0</v>
      </c>
      <c r="BL35" s="282">
        <f>BL36+BL37</f>
        <v>0</v>
      </c>
      <c r="BM35" s="286"/>
      <c r="BN35" s="282">
        <f>BN36+BN37</f>
        <v>0</v>
      </c>
      <c r="BO35" s="282">
        <f>BO36+BO37</f>
        <v>0</v>
      </c>
      <c r="BP35" s="286"/>
      <c r="BQ35" s="282">
        <f>BQ36+BQ37</f>
        <v>0</v>
      </c>
      <c r="BR35" s="282">
        <f>BR36+BR37</f>
        <v>0</v>
      </c>
      <c r="BS35" s="286"/>
      <c r="BT35" s="282">
        <f>BT36+BT37</f>
        <v>0</v>
      </c>
      <c r="BU35" s="282">
        <f>BU36+BU37</f>
        <v>0</v>
      </c>
      <c r="BV35" s="286"/>
      <c r="BW35" s="282">
        <f>BW36+BW37</f>
        <v>0</v>
      </c>
      <c r="BX35" s="282">
        <f>BX36+BX37</f>
        <v>0</v>
      </c>
      <c r="BY35" s="286"/>
      <c r="BZ35" s="282">
        <f>BZ36+BZ37</f>
        <v>0</v>
      </c>
      <c r="CA35" s="282">
        <f>CA36+CA37</f>
        <v>0</v>
      </c>
      <c r="CB35" s="286"/>
      <c r="CC35" s="282">
        <f>CC36+CC37</f>
        <v>0</v>
      </c>
      <c r="CD35" s="282">
        <f>CD36+CD37</f>
        <v>0</v>
      </c>
      <c r="CE35" s="286"/>
      <c r="CF35" s="282">
        <f>CF36+CF37</f>
        <v>0</v>
      </c>
      <c r="CG35" s="282">
        <f>CG36+CG37</f>
        <v>0</v>
      </c>
      <c r="CH35" s="286"/>
      <c r="CI35" s="282">
        <f>CI36+CI37</f>
        <v>0</v>
      </c>
      <c r="CJ35" s="282">
        <f>CJ36+CJ37</f>
        <v>0</v>
      </c>
    </row>
    <row r="36" spans="1:88" x14ac:dyDescent="0.25">
      <c r="A36" s="107"/>
      <c r="B36" s="16" t="s">
        <v>1183</v>
      </c>
      <c r="C36" s="95"/>
      <c r="D36" s="95" t="s">
        <v>950</v>
      </c>
      <c r="E36" s="282">
        <v>9495</v>
      </c>
      <c r="F36" s="282">
        <v>4436</v>
      </c>
      <c r="G36" s="282">
        <v>0</v>
      </c>
      <c r="H36" s="282">
        <v>0</v>
      </c>
      <c r="I36" s="282">
        <v>0</v>
      </c>
      <c r="J36" s="282">
        <v>0</v>
      </c>
      <c r="K36" s="282">
        <v>0</v>
      </c>
      <c r="L36" s="282">
        <v>0</v>
      </c>
      <c r="M36" s="282">
        <v>0</v>
      </c>
      <c r="N36" s="282">
        <v>0</v>
      </c>
      <c r="O36" s="296"/>
      <c r="P36" s="286">
        <f>R36+U36+X36+AA36+AD36+AG36+AJ36+AM36+AP36+AS36+AV36+AY36+BB36+BE36+BH36+BK36+BN36+BQ36+BT36+BW36+BZ36+CC36+CF36+CI36</f>
        <v>0</v>
      </c>
      <c r="Q36" s="286">
        <f>S36+V36+Y36+AB36+AE36+AH36+AK36+AN36+AQ36+AT36+AW36+AZ36+BC36+BF36+BI36+BL36+BO36+BR36+BU36+BX36+CA36+CD36+CG36+CJ36</f>
        <v>0</v>
      </c>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row>
    <row r="37" spans="1:88" x14ac:dyDescent="0.25">
      <c r="A37" s="107"/>
      <c r="B37" s="16" t="s">
        <v>1185</v>
      </c>
      <c r="C37" s="95"/>
      <c r="D37" s="95" t="s">
        <v>950</v>
      </c>
      <c r="E37" s="282">
        <v>1028</v>
      </c>
      <c r="F37" s="282">
        <v>645</v>
      </c>
      <c r="G37" s="282">
        <v>0</v>
      </c>
      <c r="H37" s="282">
        <v>0</v>
      </c>
      <c r="I37" s="282">
        <v>0</v>
      </c>
      <c r="J37" s="282">
        <v>0</v>
      </c>
      <c r="K37" s="282">
        <v>0</v>
      </c>
      <c r="L37" s="282">
        <v>0</v>
      </c>
      <c r="M37" s="282">
        <v>0</v>
      </c>
      <c r="N37" s="282">
        <v>0</v>
      </c>
      <c r="O37" s="296"/>
      <c r="P37" s="286">
        <f>R37+U37+X37+AA37+AD37+AG37+AJ37+AM37+AP37+AS37+AV37+AY37+BB37+BE37+BH37+BK37+BN37+BQ37+BT37+BW37+BZ37+CC37+CF37+CI37</f>
        <v>0</v>
      </c>
      <c r="Q37" s="286">
        <f>S37+V37+Y37+AB37+AE37+AH37+AK37+AN37+AQ37+AT37+AW37+AZ37+BC37+BF37+BI37+BL37+BO37+BR37+BU37+BX37+CA37+CD37+CG37+CJ37</f>
        <v>0</v>
      </c>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row>
    <row r="38" spans="1:88" ht="75" x14ac:dyDescent="0.25">
      <c r="A38" s="95" t="s">
        <v>15</v>
      </c>
      <c r="B38" s="96" t="s">
        <v>1604</v>
      </c>
      <c r="C38" s="107"/>
      <c r="D38" s="95" t="s">
        <v>8</v>
      </c>
      <c r="E38" s="293">
        <f>E51/(E54-E57-E60)*100</f>
        <v>50.054233729881034</v>
      </c>
      <c r="F38" s="293">
        <f>F51/(F54-F57-F60)*100</f>
        <v>55.505400885835662</v>
      </c>
      <c r="G38" s="293">
        <f>G51/(G54-G57-G60)*100</f>
        <v>58.441368433353787</v>
      </c>
      <c r="H38" s="293">
        <f>H51/(H54-H57-H60)*100</f>
        <v>59.207269852100964</v>
      </c>
      <c r="I38" s="293"/>
      <c r="J38" s="293"/>
      <c r="K38" s="293"/>
      <c r="L38" s="293"/>
      <c r="M38" s="293"/>
      <c r="N38" s="293"/>
      <c r="O38" s="281" t="s">
        <v>14</v>
      </c>
    </row>
    <row r="39" spans="1:88" x14ac:dyDescent="0.25">
      <c r="A39" s="95"/>
      <c r="B39" s="354" t="s">
        <v>2410</v>
      </c>
      <c r="C39" s="107"/>
      <c r="D39" s="95"/>
      <c r="E39" s="293"/>
      <c r="F39" s="293"/>
      <c r="G39" s="293"/>
      <c r="H39" s="293"/>
      <c r="I39" s="293"/>
      <c r="J39" s="293"/>
      <c r="K39" s="293"/>
      <c r="L39" s="293"/>
      <c r="M39" s="293"/>
      <c r="N39" s="293"/>
      <c r="O39" s="281"/>
    </row>
    <row r="40" spans="1:88" x14ac:dyDescent="0.25">
      <c r="A40" s="95"/>
      <c r="B40" s="297" t="s">
        <v>1603</v>
      </c>
      <c r="C40" s="107"/>
      <c r="D40" s="95"/>
      <c r="E40" s="293"/>
      <c r="F40" s="293"/>
      <c r="G40" s="293"/>
      <c r="H40" s="293"/>
      <c r="I40" s="293">
        <f>I51/(I54-I60-I57)*100</f>
        <v>61.585984324573538</v>
      </c>
      <c r="J40" s="293">
        <f>J51/(J54-J60-J57)*100</f>
        <v>65.442601885392094</v>
      </c>
      <c r="K40" s="293">
        <f>K51/(K54-K60-K57)*100</f>
        <v>66.808853256586843</v>
      </c>
      <c r="L40" s="293">
        <f t="shared" ref="L40:N40" si="33">L51/(L54-L60-L57)*100</f>
        <v>-7.7677320769132825</v>
      </c>
      <c r="M40" s="293">
        <f t="shared" si="33"/>
        <v>81.757719714964367</v>
      </c>
      <c r="N40" s="293">
        <f t="shared" si="33"/>
        <v>79.755501222493891</v>
      </c>
      <c r="O40" s="281"/>
      <c r="P40" s="293">
        <f>P51/(P54-P60-P57)*100</f>
        <v>66.808853256586843</v>
      </c>
      <c r="Q40" s="293">
        <f>Q51/(Q54-Q60-Q57)*100</f>
        <v>65.612303282146726</v>
      </c>
      <c r="R40" s="293">
        <f>R51/(R54-R60-R57)*100</f>
        <v>85.34827862289832</v>
      </c>
      <c r="S40" s="293">
        <f>S51/(S54-S60-S57)*100</f>
        <v>80.160320641282567</v>
      </c>
      <c r="U40" s="293">
        <f>U51/(U54-U60-U57)*100</f>
        <v>78.073234524847422</v>
      </c>
      <c r="V40" s="293">
        <f>V51/(V54-V60-V57)*100</f>
        <v>72.997811816192552</v>
      </c>
      <c r="X40" s="293">
        <f>X51/(X54-X60-X57)*100</f>
        <v>72.117400419287208</v>
      </c>
      <c r="Y40" s="293">
        <f>Y51/(Y54-Y60-Y57)*100</f>
        <v>67.625899280575538</v>
      </c>
      <c r="AA40" s="293">
        <f>AA51/(AA54-AA60-AA57)*100</f>
        <v>66.769316909294517</v>
      </c>
      <c r="AB40" s="293">
        <f>AB51/(AB54-AB60-AB57)*100</f>
        <v>60.440771349862253</v>
      </c>
      <c r="AD40" s="293">
        <f>AD51/(AD54-AD60-AD57)*100</f>
        <v>80.652019844082218</v>
      </c>
      <c r="AE40" s="293">
        <f>AE51/(AE54-AE60-AE57)*100</f>
        <v>72.963483146067418</v>
      </c>
      <c r="AG40" s="293">
        <f>AG51/(AG54-AG60-AG57)*100</f>
        <v>70.417287630402384</v>
      </c>
      <c r="AH40" s="293">
        <f>AH51/(AH54-AH60-AH57)*100</f>
        <v>66.497093023255815</v>
      </c>
      <c r="AJ40" s="293">
        <f>AJ51/(AJ54-AJ60-AJ57)*100</f>
        <v>71.837108213223516</v>
      </c>
      <c r="AK40" s="293">
        <f>AK51/(AK54-AK60-AK57)*100</f>
        <v>67.84232365145229</v>
      </c>
      <c r="AM40" s="293">
        <f>AM51/(AM54-AM60-AM57)*100</f>
        <v>54.736411375571173</v>
      </c>
      <c r="AN40" s="293">
        <f>AN51/(AN54-AN60-AN57)*100</f>
        <v>51.618144888287063</v>
      </c>
      <c r="AP40" s="293">
        <f>AP51/(AP54-AP60-AP57)*100</f>
        <v>57.707736389684818</v>
      </c>
      <c r="AQ40" s="293">
        <f>AQ51/(AQ54-AQ60-AQ57)*100</f>
        <v>53.61823361823361</v>
      </c>
      <c r="AS40" s="293">
        <f>AS51/(AS54-AS60-AS57)*100</f>
        <v>77.19432002287239</v>
      </c>
      <c r="AT40" s="293">
        <f>AT51/(AT54-AT60-AT57)*100</f>
        <v>77.456978967495218</v>
      </c>
      <c r="AV40" s="293">
        <f>AV51/(AV54-AV60-AV57)*100</f>
        <v>63.05147058823529</v>
      </c>
      <c r="AW40" s="293">
        <f>AW51/(AW54-AW60-AW57)*100</f>
        <v>55.697856769472033</v>
      </c>
      <c r="AY40" s="293">
        <f>AY51/(AY54-AY60-AY57)*100</f>
        <v>70.646672914714145</v>
      </c>
      <c r="AZ40" s="293">
        <f>AZ51/(AZ54-AZ60-AZ57)*100</f>
        <v>64.313652449245666</v>
      </c>
      <c r="BB40" s="293">
        <f>BB51/(BB54-BB60-BB57)*100</f>
        <v>62.165855324963701</v>
      </c>
      <c r="BC40" s="293">
        <f>BC51/(BC54-BC60-BC57)*100</f>
        <v>57.082380831428324</v>
      </c>
      <c r="BE40" s="293">
        <f>BE51/(BE54-BE60-BE57)*100</f>
        <v>67.911207895753577</v>
      </c>
      <c r="BF40" s="293">
        <f>BF51/(BF54-BF60-BF57)*100</f>
        <v>67.897254207263074</v>
      </c>
      <c r="BH40" s="293">
        <f>BH51/(BH54-BH60-BH57)*100</f>
        <v>65.880647293350108</v>
      </c>
      <c r="BI40" s="293">
        <f>BI51/(BI54-BI60-BI57)*100</f>
        <v>70.306088126471579</v>
      </c>
      <c r="BK40" s="293">
        <f>BK51/(BK54-BK60-BK57)*100</f>
        <v>64.412094064949613</v>
      </c>
      <c r="BL40" s="293">
        <f>BL51/(BL54-BL60-BL57)*100</f>
        <v>58.003557136505115</v>
      </c>
      <c r="BN40" s="293">
        <f>BN51/(BN54-BN60-BN57)*100</f>
        <v>68.162552979306895</v>
      </c>
      <c r="BO40" s="293">
        <f>BO51/(BO54-BO60-BO57)*100</f>
        <v>63.943382170350141</v>
      </c>
      <c r="BQ40" s="293">
        <f>BQ51/(BQ54-BQ60-BQ57)*100</f>
        <v>66.857423152387184</v>
      </c>
      <c r="BR40" s="293">
        <f>BR51/(BR54-BR60-BR57)*100</f>
        <v>63.971560846560848</v>
      </c>
      <c r="BT40" s="293">
        <f>BT51/(BT54-BT60-BT57)*100</f>
        <v>62.02945990180033</v>
      </c>
      <c r="BU40" s="293">
        <f>BU51/(BU54-BU60-BU57)*100</f>
        <v>59.902525476295963</v>
      </c>
      <c r="BW40" s="293">
        <f>BW51/(BW54-BW60-BW57)*100</f>
        <v>59.842931937172771</v>
      </c>
      <c r="BX40" s="293">
        <f>BX51/(BX54-BX60-BX57)*100</f>
        <v>57.478632478632477</v>
      </c>
      <c r="BZ40" s="293">
        <f>BZ51/(BZ54-BZ60-BZ57)*100</f>
        <v>65.014299332697817</v>
      </c>
      <c r="CA40" s="293">
        <f>CA51/(CA54-CA60-CA57)*100</f>
        <v>59.471573484312337</v>
      </c>
      <c r="CC40" s="293">
        <f>CC51/(CC54-CC60-CC57)*100</f>
        <v>72.020585048754057</v>
      </c>
      <c r="CD40" s="293">
        <f>CD51/(CD54-CD60-CD57)*100</f>
        <v>68.63066012002183</v>
      </c>
      <c r="CF40" s="293">
        <f>CF51/(CF54-CF60-CF57)*100</f>
        <v>-52.261306532663319</v>
      </c>
      <c r="CG40" s="293">
        <f>CG51/(CG54-CG60-CG57)*100</f>
        <v>-74.482758620689665</v>
      </c>
      <c r="CI40" s="293">
        <f>CI51/(CI54-CI60-CI57)*100</f>
        <v>0</v>
      </c>
      <c r="CJ40" s="293">
        <f>CJ51/(CJ54-CJ60-CJ57)*100</f>
        <v>0</v>
      </c>
    </row>
    <row r="41" spans="1:88" x14ac:dyDescent="0.25">
      <c r="A41" s="95"/>
      <c r="B41" s="297" t="s">
        <v>1746</v>
      </c>
      <c r="C41" s="107"/>
      <c r="D41" s="95"/>
      <c r="E41" s="293"/>
      <c r="F41" s="293"/>
      <c r="G41" s="293"/>
      <c r="H41" s="293"/>
      <c r="I41" s="293">
        <f>I63/I66*100</f>
        <v>21.92172200493745</v>
      </c>
      <c r="J41" s="293">
        <f>J63/J66*100</f>
        <v>28.389259779807919</v>
      </c>
      <c r="K41" s="293">
        <f>K63/K66*100</f>
        <v>31.007168843927975</v>
      </c>
      <c r="L41" s="293">
        <f t="shared" ref="L41:N41" si="34">L63/L66*100</f>
        <v>33.013435700575819</v>
      </c>
      <c r="M41" s="293">
        <f t="shared" si="34"/>
        <v>42.922374429223744</v>
      </c>
      <c r="N41" s="293">
        <f t="shared" si="34"/>
        <v>40.604751619870413</v>
      </c>
      <c r="O41" s="281"/>
      <c r="P41" s="293">
        <f>P63/P66*100</f>
        <v>0</v>
      </c>
      <c r="Q41" s="293">
        <f>Q63/Q66*100</f>
        <v>31.270244522070499</v>
      </c>
      <c r="R41" s="293">
        <f>R63/R66*100</f>
        <v>0</v>
      </c>
      <c r="S41" s="293">
        <f>S63/S66*100</f>
        <v>51.515151515151516</v>
      </c>
      <c r="U41" s="293">
        <f>U63/U66*100</f>
        <v>0</v>
      </c>
      <c r="V41" s="293">
        <f>V63/V66*100</f>
        <v>43.082524271844655</v>
      </c>
      <c r="X41" s="293">
        <f>X63/X66*100</f>
        <v>0</v>
      </c>
      <c r="Y41" s="293">
        <f>Y63/Y66*100</f>
        <v>45.066124109867751</v>
      </c>
      <c r="AA41" s="293">
        <f>AA63/AA66*100</f>
        <v>0</v>
      </c>
      <c r="AB41" s="293">
        <f>AB63/AB66*100</f>
        <v>30.096308186195824</v>
      </c>
      <c r="AD41" s="293">
        <f>AD63/AD66*100</f>
        <v>0</v>
      </c>
      <c r="AE41" s="293">
        <f>AE63/AE66*100</f>
        <v>58.576998050682263</v>
      </c>
      <c r="AG41" s="293">
        <f>AG63/AG66*100</f>
        <v>0</v>
      </c>
      <c r="AH41" s="293">
        <f>AH63/AH66*100</f>
        <v>34.747474747474747</v>
      </c>
      <c r="AJ41" s="293">
        <f>AJ63/AJ66*100</f>
        <v>0</v>
      </c>
      <c r="AK41" s="293">
        <f>AK63/AK66*100</f>
        <v>37.954239569313593</v>
      </c>
      <c r="AM41" s="293">
        <f>AM63/AM66*100</f>
        <v>0</v>
      </c>
      <c r="AN41" s="293">
        <f>AN63/AN66*100</f>
        <v>21.898533491874751</v>
      </c>
      <c r="AP41" s="293">
        <f>AP63/AP66*100</f>
        <v>0</v>
      </c>
      <c r="AQ41" s="293">
        <f>AQ63/AQ66*100</f>
        <v>30.602006688963211</v>
      </c>
      <c r="AS41" s="293">
        <f>AS63/AS66*100</f>
        <v>0</v>
      </c>
      <c r="AT41" s="293">
        <f>AT63/AT66*100</f>
        <v>31.43519711414584</v>
      </c>
      <c r="AV41" s="293">
        <f>AV63/AV66*100</f>
        <v>0</v>
      </c>
      <c r="AW41" s="293">
        <f>AW63/AW66*100</f>
        <v>22.90249433106576</v>
      </c>
      <c r="AY41" s="293">
        <f>AY63/AY66*100</f>
        <v>0</v>
      </c>
      <c r="AZ41" s="293">
        <f>AZ63/AZ66*100</f>
        <v>36.011080332409975</v>
      </c>
      <c r="BB41" s="293">
        <f>BB63/BB66*100</f>
        <v>0</v>
      </c>
      <c r="BC41" s="293">
        <f>BC63/BC66*100</f>
        <v>6.5923642399810287</v>
      </c>
      <c r="BE41" s="293">
        <f>BE63/BE66*100</f>
        <v>0</v>
      </c>
      <c r="BF41" s="293">
        <f>BF63/BF66*100</f>
        <v>35.033151326053044</v>
      </c>
      <c r="BH41" s="293">
        <f>BH63/BH66*100</f>
        <v>0</v>
      </c>
      <c r="BI41" s="293">
        <f>BI63/BI66*100</f>
        <v>34.270438082097279</v>
      </c>
      <c r="BK41" s="293">
        <f>BK63/BK66*100</f>
        <v>0</v>
      </c>
      <c r="BL41" s="293">
        <f>BL63/BL66*100</f>
        <v>27.58178319435536</v>
      </c>
      <c r="BN41" s="293">
        <f>BN63/BN66*100</f>
        <v>0</v>
      </c>
      <c r="BO41" s="293">
        <f>BO63/BO66*100</f>
        <v>29.166666666666668</v>
      </c>
      <c r="BQ41" s="293">
        <f>BQ63/BQ66*100</f>
        <v>0</v>
      </c>
      <c r="BR41" s="293">
        <f>BR63/BR66*100</f>
        <v>29.524680073126142</v>
      </c>
      <c r="BT41" s="293">
        <f>BT63/BT66*100</f>
        <v>0</v>
      </c>
      <c r="BU41" s="293">
        <f>BU63/BU66*100</f>
        <v>31.244847485572958</v>
      </c>
      <c r="BW41" s="293">
        <f>BW63/BW66*100</f>
        <v>0</v>
      </c>
      <c r="BX41" s="293">
        <f>BX63/BX66*100</f>
        <v>27.34375</v>
      </c>
      <c r="BZ41" s="293">
        <f>BZ63/BZ66*100</f>
        <v>0</v>
      </c>
      <c r="CA41" s="293">
        <f>CA63/CA66*100</f>
        <v>26.21870882740448</v>
      </c>
      <c r="CC41" s="293">
        <f>CC63/CC66*100</f>
        <v>0</v>
      </c>
      <c r="CD41" s="293">
        <f>CD63/CD66*100</f>
        <v>33.542812254516889</v>
      </c>
      <c r="CF41" s="293" t="e">
        <f>CF63/CF66*100</f>
        <v>#DIV/0!</v>
      </c>
      <c r="CG41" s="293" t="e">
        <f>CG63/CG66*100</f>
        <v>#DIV/0!</v>
      </c>
      <c r="CI41" s="293" t="e">
        <f>CI63/CI66*100</f>
        <v>#DIV/0!</v>
      </c>
      <c r="CJ41" s="293" t="e">
        <f>CJ63/CJ66*100</f>
        <v>#DIV/0!</v>
      </c>
    </row>
    <row r="42" spans="1:88" x14ac:dyDescent="0.25">
      <c r="A42" s="95"/>
      <c r="B42" s="297" t="s">
        <v>1601</v>
      </c>
      <c r="C42" s="107"/>
      <c r="D42" s="95"/>
      <c r="E42" s="293"/>
      <c r="F42" s="293"/>
      <c r="G42" s="293"/>
      <c r="H42" s="293"/>
      <c r="I42" s="293">
        <f>I69/(I72-I57)*100</f>
        <v>87.56854101709493</v>
      </c>
      <c r="J42" s="293">
        <f>J69/(J72-J57)*100</f>
        <v>87.992017248445322</v>
      </c>
      <c r="K42" s="293">
        <f>K69/(K72-K57)*100</f>
        <v>88.014984678893242</v>
      </c>
      <c r="L42" s="293">
        <f t="shared" ref="L42:N42" si="35">L69/(L72-L57)*100</f>
        <v>-6.040404861590992</v>
      </c>
      <c r="M42" s="293">
        <f t="shared" si="35"/>
        <v>85.760781122864117</v>
      </c>
      <c r="N42" s="293">
        <f t="shared" si="35"/>
        <v>76.852418860992046</v>
      </c>
      <c r="O42" s="281"/>
      <c r="P42" s="293">
        <f>P69/(P72-P57)*100</f>
        <v>87.999527182462117</v>
      </c>
      <c r="Q42" s="293">
        <f>Q69/(Q72-Q57)*100</f>
        <v>85.26629531018564</v>
      </c>
      <c r="R42" s="293">
        <f>R69/(R72-R57)*100</f>
        <v>101.8170019467878</v>
      </c>
      <c r="S42" s="293">
        <f>S69/(S72-S57)*100</f>
        <v>97.984395318595574</v>
      </c>
      <c r="U42" s="293">
        <f>U69/(U72-U57)*100</f>
        <v>96.530612244897966</v>
      </c>
      <c r="V42" s="293">
        <f>V69/(V72-V57)*100</f>
        <v>89.869952087611225</v>
      </c>
      <c r="X42" s="293">
        <f>X69/(X72-X57)*100</f>
        <v>86.216072378924963</v>
      </c>
      <c r="Y42" s="293">
        <f>Y69/(Y72-Y57)*100</f>
        <v>79.080578512396698</v>
      </c>
      <c r="AA42" s="293">
        <f>AA69/(AA72-AA57)*100</f>
        <v>89.638865004299234</v>
      </c>
      <c r="AB42" s="293">
        <f>AB69/(AB72-AB57)*100</f>
        <v>76.300335570469798</v>
      </c>
      <c r="AD42" s="293">
        <f>AD69/(AD72-AD57)*100</f>
        <v>85.746102449888639</v>
      </c>
      <c r="AE42" s="293">
        <f>AE69/(AE72-AE57)*100</f>
        <v>81.064763995609226</v>
      </c>
      <c r="AG42" s="293">
        <f>AG69/(AG72-AG57)*100</f>
        <v>88.370720188902013</v>
      </c>
      <c r="AH42" s="293">
        <f>AH69/(AH72-AH57)*100</f>
        <v>84.335981838819521</v>
      </c>
      <c r="AJ42" s="293">
        <f>AJ69/(AJ72-AJ57)*100</f>
        <v>88.388214904679373</v>
      </c>
      <c r="AK42" s="293">
        <f>AK69/(AK72-AK57)*100</f>
        <v>83.415147265077138</v>
      </c>
      <c r="AM42" s="293">
        <f>AM69/(AM72-AM57)*100</f>
        <v>74.413874317524886</v>
      </c>
      <c r="AN42" s="293">
        <f>AN69/(AN72-AN57)*100</f>
        <v>67.040312628547923</v>
      </c>
      <c r="AP42" s="293">
        <f>AP69/(AP72-AP57)*100</f>
        <v>69.921534437663468</v>
      </c>
      <c r="AQ42" s="293">
        <f>AQ69/(AQ72-AQ57)*100</f>
        <v>65.514261019879001</v>
      </c>
      <c r="AS42" s="293">
        <f>AS69/(AS72-AS57)*100</f>
        <v>99.168179068360558</v>
      </c>
      <c r="AT42" s="293">
        <f>AT69/(AT72-AT57)*100</f>
        <v>104.60556315549476</v>
      </c>
      <c r="AV42" s="293">
        <f>AV69/(AV72-AV57)*100</f>
        <v>83.380281690140848</v>
      </c>
      <c r="AW42" s="293">
        <f>AW69/(AW72-AW57)*100</f>
        <v>73.032361166600083</v>
      </c>
      <c r="AY42" s="293">
        <f>AY69/(AY72-AY57)*100</f>
        <v>85.949008498583567</v>
      </c>
      <c r="AZ42" s="293">
        <f>AZ69/(AZ72-AZ57)*100</f>
        <v>78.647586980920309</v>
      </c>
      <c r="BB42" s="293">
        <f>BB69/(BB72-BB57)*100</f>
        <v>90.229578216764551</v>
      </c>
      <c r="BC42" s="293">
        <f>BC69/(BC72-BC57)*100</f>
        <v>85.119831445878319</v>
      </c>
      <c r="BE42" s="293">
        <f>BE69/(BE72-BE57)*100</f>
        <v>85.923689267087568</v>
      </c>
      <c r="BF42" s="293">
        <f>BF69/(BF72-BF57)*100</f>
        <v>86.654794368078356</v>
      </c>
      <c r="BH42" s="293">
        <f>BH69/(BH72-BH57)*100</f>
        <v>92.433567446238513</v>
      </c>
      <c r="BI42" s="293">
        <f>BI69/(BI72-BI57)*100</f>
        <v>93.349509209220244</v>
      </c>
      <c r="BK42" s="293">
        <f>BK69/(BK72-BK57)*100</f>
        <v>80.178940123881631</v>
      </c>
      <c r="BL42" s="293">
        <f>BL69/(BL72-BL57)*100</f>
        <v>74.140864239537265</v>
      </c>
      <c r="BN42" s="293">
        <f>BN69/(BN72-BN57)*100</f>
        <v>86.351706036745398</v>
      </c>
      <c r="BO42" s="293">
        <f>BO69/(BO72-BO57)*100</f>
        <v>81.364144614237802</v>
      </c>
      <c r="BQ42" s="293">
        <f>BQ69/(BQ72-BQ57)*100</f>
        <v>88.518329938900209</v>
      </c>
      <c r="BR42" s="293">
        <f>BR69/(BR72-BR57)*100</f>
        <v>83.497409326424872</v>
      </c>
      <c r="BT42" s="293">
        <f>BT69/(BT72-BT57)*100</f>
        <v>79.254947613504072</v>
      </c>
      <c r="BU42" s="293">
        <f>BU69/(BU72-BU57)*100</f>
        <v>75.903337169159954</v>
      </c>
      <c r="BW42" s="293">
        <f>BW69/(BW72-BW57)*100</f>
        <v>75.590551181102356</v>
      </c>
      <c r="BX42" s="293">
        <f>BX69/(BX72-BX57)*100</f>
        <v>73.133116883116884</v>
      </c>
      <c r="BZ42" s="293">
        <f>BZ69/(BZ72-BZ57)*100</f>
        <v>86.183719193427933</v>
      </c>
      <c r="CA42" s="293">
        <f>CA69/(CA72-CA57)*100</f>
        <v>78.022785740536577</v>
      </c>
      <c r="CC42" s="293">
        <f>CC69/(CC72-CC57)*100</f>
        <v>93.261678379495663</v>
      </c>
      <c r="CD42" s="293">
        <f>CD69/(CD72-CD57)*100</f>
        <v>87.296280819055582</v>
      </c>
      <c r="CF42" s="293">
        <f>CF69/(CF72-CF57)*100</f>
        <v>-52.261306532663319</v>
      </c>
      <c r="CG42" s="293">
        <f>CG69/(CG72-CG57)*100</f>
        <v>-74.482758620689665</v>
      </c>
      <c r="CI42" s="293">
        <f>CI69/(CI72-CI57)*100</f>
        <v>0</v>
      </c>
      <c r="CJ42" s="293">
        <f>CJ69/(CJ72-CJ57)*100</f>
        <v>0</v>
      </c>
    </row>
    <row r="43" spans="1:88" x14ac:dyDescent="0.25">
      <c r="A43" s="95"/>
      <c r="B43" s="354" t="s">
        <v>1183</v>
      </c>
      <c r="C43" s="107"/>
      <c r="D43" s="95"/>
      <c r="E43" s="293"/>
      <c r="F43" s="293"/>
      <c r="G43" s="293"/>
      <c r="H43" s="293"/>
      <c r="I43" s="293"/>
      <c r="J43" s="293"/>
      <c r="K43" s="293"/>
      <c r="L43" s="293"/>
      <c r="M43" s="293"/>
      <c r="N43" s="293"/>
      <c r="O43" s="281"/>
      <c r="P43" s="293"/>
      <c r="Q43" s="293"/>
      <c r="R43" s="293"/>
      <c r="S43" s="293"/>
      <c r="U43" s="293"/>
      <c r="V43" s="293"/>
      <c r="X43" s="293"/>
      <c r="Y43" s="293"/>
      <c r="AA43" s="293"/>
      <c r="AB43" s="293"/>
      <c r="AD43" s="293"/>
      <c r="AE43" s="293"/>
      <c r="AG43" s="293"/>
      <c r="AH43" s="293"/>
      <c r="AJ43" s="293"/>
      <c r="AK43" s="293"/>
      <c r="AM43" s="293"/>
      <c r="AN43" s="293"/>
      <c r="AP43" s="293"/>
      <c r="AQ43" s="293"/>
      <c r="AS43" s="293"/>
      <c r="AT43" s="293"/>
      <c r="AV43" s="293"/>
      <c r="AW43" s="293"/>
      <c r="AY43" s="293"/>
      <c r="AZ43" s="293"/>
      <c r="BB43" s="293"/>
      <c r="BC43" s="293"/>
      <c r="BE43" s="293"/>
      <c r="BF43" s="293"/>
      <c r="BH43" s="293"/>
      <c r="BI43" s="293"/>
      <c r="BK43" s="293"/>
      <c r="BL43" s="293"/>
      <c r="BN43" s="293"/>
      <c r="BO43" s="293"/>
      <c r="BQ43" s="293"/>
      <c r="BR43" s="293"/>
      <c r="BT43" s="293"/>
      <c r="BU43" s="293"/>
      <c r="BW43" s="293"/>
      <c r="BX43" s="293"/>
      <c r="BZ43" s="293"/>
      <c r="CA43" s="293"/>
      <c r="CC43" s="293"/>
      <c r="CD43" s="293"/>
      <c r="CF43" s="293"/>
      <c r="CG43" s="293"/>
      <c r="CI43" s="293"/>
      <c r="CJ43" s="293"/>
    </row>
    <row r="44" spans="1:88" x14ac:dyDescent="0.25">
      <c r="A44" s="95"/>
      <c r="B44" s="297" t="s">
        <v>1603</v>
      </c>
      <c r="C44" s="107"/>
      <c r="D44" s="95" t="s">
        <v>8</v>
      </c>
      <c r="E44" s="293">
        <f t="shared" ref="E44:N44" si="36">E52/(E55-E61-E58)*100</f>
        <v>50.031469931910507</v>
      </c>
      <c r="F44" s="293">
        <f t="shared" si="36"/>
        <v>55.686308194468303</v>
      </c>
      <c r="G44" s="293">
        <f t="shared" si="36"/>
        <v>58.706628573482114</v>
      </c>
      <c r="H44" s="293">
        <f t="shared" si="36"/>
        <v>59.592088273271514</v>
      </c>
      <c r="I44" s="293">
        <f t="shared" si="36"/>
        <v>62.205113425830625</v>
      </c>
      <c r="J44" s="293">
        <f t="shared" si="36"/>
        <v>66.057941675001942</v>
      </c>
      <c r="K44" s="293">
        <f t="shared" si="36"/>
        <v>66.808458323088274</v>
      </c>
      <c r="L44" s="293">
        <f>L52/(L55-L61-L58)*100</f>
        <v>-4.6914012878356477</v>
      </c>
      <c r="M44" s="293">
        <f t="shared" si="36"/>
        <v>89.511111111111106</v>
      </c>
      <c r="N44" s="293">
        <f t="shared" si="36"/>
        <v>86.347197106690771</v>
      </c>
      <c r="O44" s="281"/>
      <c r="P44" s="293">
        <f>P52/(P55-P61-P58)*100</f>
        <v>67.1760511433489</v>
      </c>
      <c r="Q44" s="293">
        <f>Q52/(Q55-Q61-Q58)*100</f>
        <v>66.313142971221097</v>
      </c>
      <c r="R44" s="293">
        <f>R52/(R55-R61-R58)*100</f>
        <v>84.862653419053174</v>
      </c>
      <c r="S44" s="293">
        <f>S52/(S55-S61-S58)*100</f>
        <v>78.016241299303942</v>
      </c>
      <c r="U44" s="293">
        <f>U52/(U55-U61-U58)*100</f>
        <v>70.310391363022944</v>
      </c>
      <c r="V44" s="293">
        <f>V52/(V55-V61-V58)*100</f>
        <v>63.715627095908786</v>
      </c>
      <c r="X44" s="293">
        <f>X52/(X55-X61-X58)*100</f>
        <v>70.098039215686271</v>
      </c>
      <c r="Y44" s="293">
        <f>Y52/(Y55-Y61-Y58)*100</f>
        <v>65.608207132388856</v>
      </c>
      <c r="AA44" s="293">
        <f>AA52/(AA55-AA61-AA58)*100</f>
        <v>69.252873563218387</v>
      </c>
      <c r="AB44" s="293">
        <f>AB52/(AB55-AB61-AB58)*100</f>
        <v>61.069418386491556</v>
      </c>
      <c r="AD44" s="293">
        <f>AD52/(AD55-AD61-AD58)*100</f>
        <v>91.857947163274147</v>
      </c>
      <c r="AE44" s="293">
        <f>AE52/(AE55-AE61-AE58)*100</f>
        <v>71.092077087794436</v>
      </c>
      <c r="AG44" s="293">
        <f>AG52/(AG55-AG61-AG58)*100</f>
        <v>80.131482834185547</v>
      </c>
      <c r="AH44" s="293">
        <f>AH52/(AH55-AH61-AH58)*100</f>
        <v>76.382978723404264</v>
      </c>
      <c r="AJ44" s="293">
        <f>AJ52/(AJ55-AJ61-AJ58)*100</f>
        <v>73.588610702012772</v>
      </c>
      <c r="AK44" s="293">
        <f>AK52/(AK55-AK61-AK58)*100</f>
        <v>69.481481481481481</v>
      </c>
      <c r="AM44" s="293">
        <f>AM52/(AM55-AM61-AM58)*100</f>
        <v>54.164997997597119</v>
      </c>
      <c r="AN44" s="293">
        <f>AN52/(AN55-AN61-AN58)*100</f>
        <v>56.05353883593591</v>
      </c>
      <c r="AP44" s="293" t="e">
        <f>AP52/(AP55-AP61-AP58)*100</f>
        <v>#DIV/0!</v>
      </c>
      <c r="AQ44" s="293" t="e">
        <f>AQ52/(AQ55-AQ61-AQ58)*100</f>
        <v>#DIV/0!</v>
      </c>
      <c r="AS44" s="293">
        <f>AS52/(AS55-AS61-AS58)*100</f>
        <v>77.19432002287239</v>
      </c>
      <c r="AT44" s="293">
        <f>AT52/(AT55-AT61-AT58)*100</f>
        <v>77.456978967495218</v>
      </c>
      <c r="AV44" s="293">
        <f>AV52/(AV55-AV61-AV58)*100</f>
        <v>63.05147058823529</v>
      </c>
      <c r="AW44" s="293">
        <f>AW52/(AW55-AW61-AW58)*100</f>
        <v>55.697856769472033</v>
      </c>
      <c r="AY44" s="293">
        <f>AY52/(AY55-AY61-AY58)*100</f>
        <v>70.646672914714145</v>
      </c>
      <c r="AZ44" s="293">
        <f>AZ52/(AZ55-AZ61-AZ58)*100</f>
        <v>64.313652449245666</v>
      </c>
      <c r="BB44" s="293">
        <f>BB52/(BB55-BB61-BB58)*100</f>
        <v>62.165855324963701</v>
      </c>
      <c r="BC44" s="293">
        <f>BC52/(BC55-BC61-BC58)*100</f>
        <v>57.082380831428324</v>
      </c>
      <c r="BE44" s="293">
        <f>BE52/(BE55-BE61-BE58)*100</f>
        <v>67.911207895753577</v>
      </c>
      <c r="BF44" s="293">
        <f>BF52/(BF55-BF61-BF58)*100</f>
        <v>67.897254207263074</v>
      </c>
      <c r="BH44" s="293">
        <f>BH52/(BH55-BH61-BH58)*100</f>
        <v>65.880647293350108</v>
      </c>
      <c r="BI44" s="293">
        <f>BI52/(BI55-BI61-BI58)*100</f>
        <v>70.306088126471579</v>
      </c>
      <c r="BK44" s="293">
        <f>BK52/(BK55-BK61-BK58)*100</f>
        <v>64.412094064949613</v>
      </c>
      <c r="BL44" s="293">
        <f>BL52/(BL55-BL61-BL58)*100</f>
        <v>58.003557136505115</v>
      </c>
      <c r="BN44" s="293">
        <f>BN52/(BN55-BN61-BN58)*100</f>
        <v>68.162552979306895</v>
      </c>
      <c r="BO44" s="293">
        <f>BO52/(BO55-BO61-BO58)*100</f>
        <v>63.943382170350141</v>
      </c>
      <c r="BQ44" s="293">
        <f>BQ52/(BQ55-BQ61-BQ58)*100</f>
        <v>66.857423152387184</v>
      </c>
      <c r="BR44" s="293">
        <f>BR52/(BR55-BR61-BR58)*100</f>
        <v>63.971560846560848</v>
      </c>
      <c r="BT44" s="293">
        <f>BT52/(BT55-BT61-BT58)*100</f>
        <v>62.02945990180033</v>
      </c>
      <c r="BU44" s="293">
        <f>BU52/(BU55-BU61-BU58)*100</f>
        <v>59.902525476295963</v>
      </c>
      <c r="BW44" s="293">
        <f>BW52/(BW55-BW61-BW58)*100</f>
        <v>59.842931937172771</v>
      </c>
      <c r="BX44" s="293">
        <f>BX52/(BX55-BX61-BX58)*100</f>
        <v>57.478632478632477</v>
      </c>
      <c r="BZ44" s="293">
        <f>BZ52/(BZ55-BZ61-BZ58)*100</f>
        <v>65.014299332697817</v>
      </c>
      <c r="CA44" s="293">
        <f>CA52/(CA55-CA61-CA58)*100</f>
        <v>59.471573484312337</v>
      </c>
      <c r="CC44" s="293">
        <f>CC52/(CC55-CC61-CC58)*100</f>
        <v>72.020585048754057</v>
      </c>
      <c r="CD44" s="293">
        <f>CD52/(CD55-CD61-CD58)*100</f>
        <v>68.63066012002183</v>
      </c>
      <c r="CF44" s="293">
        <f>CF52/(CF55-CF61-CF58)*100</f>
        <v>-54.450261780104711</v>
      </c>
      <c r="CG44" s="293">
        <f>CG52/(CG55-CG61-CG58)*100</f>
        <v>-77.142857142857153</v>
      </c>
      <c r="CI44" s="293">
        <f>CI52/(CI55-CI61-CI58)*100</f>
        <v>0</v>
      </c>
      <c r="CJ44" s="293">
        <f>CJ52/(CJ55-CJ61-CJ58)*100</f>
        <v>0</v>
      </c>
    </row>
    <row r="45" spans="1:88" x14ac:dyDescent="0.25">
      <c r="A45" s="95"/>
      <c r="B45" s="297" t="s">
        <v>1746</v>
      </c>
      <c r="C45" s="107"/>
      <c r="D45" s="95" t="s">
        <v>8</v>
      </c>
      <c r="E45" s="293"/>
      <c r="F45" s="293"/>
      <c r="G45" s="293"/>
      <c r="H45" s="293"/>
      <c r="I45" s="293">
        <f>I64/I67*100</f>
        <v>21.762411879406031</v>
      </c>
      <c r="J45" s="293">
        <f>J64/J67*100</f>
        <v>28.41937116467388</v>
      </c>
      <c r="K45" s="293">
        <f>K64/K67*100</f>
        <v>31.061469116845807</v>
      </c>
      <c r="L45" s="293">
        <f t="shared" ref="L45:N45" si="37">L64/L67*100</f>
        <v>35.111876075731494</v>
      </c>
      <c r="M45" s="293">
        <f t="shared" si="37"/>
        <v>44.61538461538462</v>
      </c>
      <c r="N45" s="293">
        <f t="shared" si="37"/>
        <v>40.467625899280577</v>
      </c>
      <c r="O45" s="281"/>
      <c r="P45" s="293">
        <f>P64/P67*100</f>
        <v>0</v>
      </c>
      <c r="Q45" s="293">
        <f>Q64/Q67*100</f>
        <v>31.375738378563479</v>
      </c>
      <c r="R45" s="293">
        <f>R64/R67*100</f>
        <v>0</v>
      </c>
      <c r="S45" s="293">
        <f>S64/S67*100</f>
        <v>43.597560975609753</v>
      </c>
      <c r="U45" s="293">
        <f>U64/U67*100</f>
        <v>0</v>
      </c>
      <c r="V45" s="293">
        <f>V64/V67*100</f>
        <v>39.539347408829173</v>
      </c>
      <c r="X45" s="293">
        <f>X64/X67*100</f>
        <v>0</v>
      </c>
      <c r="Y45" s="293">
        <f>Y64/Y67*100</f>
        <v>42.296511627906973</v>
      </c>
      <c r="AA45" s="293">
        <f>AA64/AA67*100</f>
        <v>0</v>
      </c>
      <c r="AB45" s="293">
        <f>AB64/AB67*100</f>
        <v>29.629629629629626</v>
      </c>
      <c r="AD45" s="293">
        <f>AD64/AD67*100</f>
        <v>0</v>
      </c>
      <c r="AE45" s="293">
        <f>AE64/AE67*100</f>
        <v>59.663865546218489</v>
      </c>
      <c r="AG45" s="293">
        <f>AG64/AG67*100</f>
        <v>0</v>
      </c>
      <c r="AH45" s="293">
        <f>AH64/AH67*100</f>
        <v>40.078585461689585</v>
      </c>
      <c r="AJ45" s="293">
        <f>AJ64/AJ67*100</f>
        <v>0</v>
      </c>
      <c r="AK45" s="293">
        <f>AK64/AK67*100</f>
        <v>38.461538461538467</v>
      </c>
      <c r="AM45" s="293">
        <f>AM64/AM67*100</f>
        <v>0</v>
      </c>
      <c r="AN45" s="293">
        <f>AN64/AN67*100</f>
        <v>26.398279041180082</v>
      </c>
      <c r="AP45" s="293" t="e">
        <f>AP64/AP67*100</f>
        <v>#DIV/0!</v>
      </c>
      <c r="AQ45" s="293" t="e">
        <f>AQ64/AQ67*100</f>
        <v>#DIV/0!</v>
      </c>
      <c r="AS45" s="293">
        <f>AS64/AS67*100</f>
        <v>0</v>
      </c>
      <c r="AT45" s="293">
        <f>AT64/AT67*100</f>
        <v>31.43519711414584</v>
      </c>
      <c r="AV45" s="293">
        <f>AV64/AV67*100</f>
        <v>0</v>
      </c>
      <c r="AW45" s="293">
        <f>AW64/AW67*100</f>
        <v>22.90249433106576</v>
      </c>
      <c r="AY45" s="293">
        <f>AY64/AY67*100</f>
        <v>0</v>
      </c>
      <c r="AZ45" s="293">
        <f>AZ64/AZ67*100</f>
        <v>36.011080332409975</v>
      </c>
      <c r="BB45" s="293">
        <f>BB64/BB67*100</f>
        <v>0</v>
      </c>
      <c r="BC45" s="293">
        <f>BC64/BC67*100</f>
        <v>6.5923642399810287</v>
      </c>
      <c r="BE45" s="293">
        <f>BE64/BE67*100</f>
        <v>0</v>
      </c>
      <c r="BF45" s="293">
        <f>BF64/BF67*100</f>
        <v>35.033151326053044</v>
      </c>
      <c r="BH45" s="293">
        <f>BH64/BH67*100</f>
        <v>0</v>
      </c>
      <c r="BI45" s="293">
        <f>BI64/BI67*100</f>
        <v>34.270438082097279</v>
      </c>
      <c r="BK45" s="293">
        <f>BK64/BK67*100</f>
        <v>0</v>
      </c>
      <c r="BL45" s="293">
        <f>BL64/BL67*100</f>
        <v>27.58178319435536</v>
      </c>
      <c r="BN45" s="293">
        <f>BN64/BN67*100</f>
        <v>0</v>
      </c>
      <c r="BO45" s="293">
        <f>BO64/BO67*100</f>
        <v>29.166666666666668</v>
      </c>
      <c r="BQ45" s="293">
        <f>BQ64/BQ67*100</f>
        <v>0</v>
      </c>
      <c r="BR45" s="293">
        <f>BR64/BR67*100</f>
        <v>29.524680073126142</v>
      </c>
      <c r="BT45" s="293">
        <f>BT64/BT67*100</f>
        <v>0</v>
      </c>
      <c r="BU45" s="293">
        <f>BU64/BU67*100</f>
        <v>31.244847485572958</v>
      </c>
      <c r="BW45" s="293">
        <f>BW64/BW67*100</f>
        <v>0</v>
      </c>
      <c r="BX45" s="293">
        <f>BX64/BX67*100</f>
        <v>27.34375</v>
      </c>
      <c r="BZ45" s="293">
        <f>BZ64/BZ67*100</f>
        <v>0</v>
      </c>
      <c r="CA45" s="293">
        <f>CA64/CA67*100</f>
        <v>26.21870882740448</v>
      </c>
      <c r="CC45" s="293">
        <f>CC64/CC67*100</f>
        <v>0</v>
      </c>
      <c r="CD45" s="293">
        <f>CD64/CD67*100</f>
        <v>33.542812254516889</v>
      </c>
      <c r="CF45" s="293" t="e">
        <f>CF64/CF67*100</f>
        <v>#DIV/0!</v>
      </c>
      <c r="CG45" s="293" t="e">
        <f>CG64/CG67*100</f>
        <v>#DIV/0!</v>
      </c>
      <c r="CI45" s="293" t="e">
        <f>CI64/CI67*100</f>
        <v>#DIV/0!</v>
      </c>
      <c r="CJ45" s="293" t="e">
        <f>CJ64/CJ67*100</f>
        <v>#DIV/0!</v>
      </c>
    </row>
    <row r="46" spans="1:88" x14ac:dyDescent="0.25">
      <c r="A46" s="95"/>
      <c r="B46" s="297" t="s">
        <v>1601</v>
      </c>
      <c r="C46" s="16"/>
      <c r="D46" s="95" t="s">
        <v>8</v>
      </c>
      <c r="E46" s="293"/>
      <c r="F46" s="293"/>
      <c r="G46" s="293"/>
      <c r="H46" s="293"/>
      <c r="I46" s="293">
        <f>I70/(I73-I58)*100</f>
        <v>88.838585935294176</v>
      </c>
      <c r="J46" s="293">
        <f>J70/(J73-J58)*100</f>
        <v>88.987111141102631</v>
      </c>
      <c r="K46" s="293">
        <f>K70/(K73-K58)*100</f>
        <v>88.011320791671977</v>
      </c>
      <c r="L46" s="293">
        <f t="shared" ref="L46:N46" si="38">L70/(L73-L58)*100</f>
        <v>-3.7035454933788978</v>
      </c>
      <c r="M46" s="293">
        <f t="shared" si="38"/>
        <v>101.32231404958678</v>
      </c>
      <c r="N46" s="293">
        <f t="shared" si="38"/>
        <v>82.207207207207205</v>
      </c>
      <c r="O46" s="281"/>
      <c r="P46" s="293">
        <f>P70/(P73-P58)*100</f>
        <v>88.526436398891434</v>
      </c>
      <c r="Q46" s="293">
        <f>Q70/(Q73-Q58)*100</f>
        <v>86.311171309110179</v>
      </c>
      <c r="R46" s="293">
        <f>R70/(R73-R58)*100</f>
        <v>105.21327014218009</v>
      </c>
      <c r="S46" s="293">
        <f>S70/(S73-S58)*100</f>
        <v>99.157303370786522</v>
      </c>
      <c r="U46" s="293">
        <f>U70/(U73-U58)*100</f>
        <v>85.848074921956297</v>
      </c>
      <c r="V46" s="293">
        <f>V70/(V73-V58)*100</f>
        <v>76.701030927835063</v>
      </c>
      <c r="X46" s="293">
        <f>X70/(X73-X58)*100</f>
        <v>83.357988165680467</v>
      </c>
      <c r="Y46" s="293">
        <f>Y70/(Y73-Y58)*100</f>
        <v>77.409860191317151</v>
      </c>
      <c r="AA46" s="293">
        <f>AA70/(AA73-AA58)*100</f>
        <v>93.156732891832235</v>
      </c>
      <c r="AB46" s="293">
        <f>AB70/(AB73-AB58)*100</f>
        <v>75.267284390591598</v>
      </c>
      <c r="AD46" s="293">
        <f>AD70/(AD73-AD58)*100</f>
        <v>96.409214092140928</v>
      </c>
      <c r="AE46" s="293">
        <f>AE70/(AE73-AE58)*100</f>
        <v>77.43009320905459</v>
      </c>
      <c r="AG46" s="293">
        <f>AG70/(AG73-AG58)*100</f>
        <v>98.372093023255815</v>
      </c>
      <c r="AH46" s="293">
        <f>AH70/(AH73-AH58)*100</f>
        <v>96.892341842397329</v>
      </c>
      <c r="AJ46" s="293">
        <f>AJ70/(AJ73-AJ58)*100</f>
        <v>91.129332836377188</v>
      </c>
      <c r="AK46" s="293">
        <f>AK70/(AK73-AK58)*100</f>
        <v>85.708913125235057</v>
      </c>
      <c r="AM46" s="293">
        <f>AM70/(AM73-AM58)*100</f>
        <v>71.326830778758321</v>
      </c>
      <c r="AN46" s="293">
        <f>AN70/(AN73-AN58)*100</f>
        <v>70.656779661016941</v>
      </c>
      <c r="AP46" s="293" t="e">
        <f>AP70/(AP73-AP58)*100</f>
        <v>#DIV/0!</v>
      </c>
      <c r="AQ46" s="293" t="e">
        <f>AQ70/(AQ73-AQ58)*100</f>
        <v>#DIV/0!</v>
      </c>
      <c r="AS46" s="293">
        <f>AS70/(AS73-AS58)*100</f>
        <v>99.168179068360558</v>
      </c>
      <c r="AT46" s="293">
        <f>AT70/(AT73-AT58)*100</f>
        <v>104.60556315549476</v>
      </c>
      <c r="AV46" s="293">
        <f>AV70/(AV73-AV58)*100</f>
        <v>83.380281690140848</v>
      </c>
      <c r="AW46" s="293">
        <f>AW70/(AW73-AW58)*100</f>
        <v>73.032361166600083</v>
      </c>
      <c r="AY46" s="293">
        <f>AY70/(AY73-AY58)*100</f>
        <v>85.949008498583567</v>
      </c>
      <c r="AZ46" s="293">
        <f>AZ70/(AZ73-AZ58)*100</f>
        <v>78.647586980920309</v>
      </c>
      <c r="BB46" s="293">
        <f>BB70/(BB73-BB58)*100</f>
        <v>90.229578216764551</v>
      </c>
      <c r="BC46" s="293">
        <f>BC70/(BC73-BC58)*100</f>
        <v>85.119831445878319</v>
      </c>
      <c r="BE46" s="293">
        <f>BE70/(BE73-BE58)*100</f>
        <v>85.923689267087568</v>
      </c>
      <c r="BF46" s="293">
        <f>BF70/(BF73-BF58)*100</f>
        <v>86.654794368078356</v>
      </c>
      <c r="BH46" s="293">
        <f>BH70/(BH73-BH58)*100</f>
        <v>92.433567446238513</v>
      </c>
      <c r="BI46" s="293">
        <f>BI70/(BI73-BI58)*100</f>
        <v>93.349509209220244</v>
      </c>
      <c r="BK46" s="293">
        <f>BK70/(BK73-BK58)*100</f>
        <v>80.178940123881631</v>
      </c>
      <c r="BL46" s="293">
        <f>BL70/(BL73-BL58)*100</f>
        <v>74.140864239537265</v>
      </c>
      <c r="BN46" s="293">
        <f>BN70/(BN73-BN58)*100</f>
        <v>86.351706036745398</v>
      </c>
      <c r="BO46" s="293">
        <f>BO70/(BO73-BO58)*100</f>
        <v>81.364144614237802</v>
      </c>
      <c r="BQ46" s="293">
        <f>BQ70/(BQ73-BQ58)*100</f>
        <v>88.518329938900209</v>
      </c>
      <c r="BR46" s="293">
        <f>BR70/(BR73-BR58)*100</f>
        <v>83.497409326424872</v>
      </c>
      <c r="BT46" s="293">
        <f>BT70/(BT73-BT58)*100</f>
        <v>79.254947613504072</v>
      </c>
      <c r="BU46" s="293">
        <f>BU70/(BU73-BU58)*100</f>
        <v>75.903337169159954</v>
      </c>
      <c r="BW46" s="293">
        <f>BW70/(BW73-BW58)*100</f>
        <v>75.590551181102356</v>
      </c>
      <c r="BX46" s="293">
        <f>BX70/(BX73-BX58)*100</f>
        <v>73.133116883116884</v>
      </c>
      <c r="BZ46" s="293">
        <f>BZ70/(BZ73-BZ58)*100</f>
        <v>86.183719193427933</v>
      </c>
      <c r="CA46" s="293">
        <f>CA70/(CA73-CA58)*100</f>
        <v>78.022785740536577</v>
      </c>
      <c r="CC46" s="293">
        <f>CC70/(CC73-CC58)*100</f>
        <v>93.261678379495663</v>
      </c>
      <c r="CD46" s="293">
        <f>CD70/(CD73-CD58)*100</f>
        <v>87.296280819055582</v>
      </c>
      <c r="CF46" s="293">
        <f>CF70/(CF73-CF58)*100</f>
        <v>-54.450261780104711</v>
      </c>
      <c r="CG46" s="293">
        <f>CG70/(CG73-CG58)*100</f>
        <v>-77.142857142857153</v>
      </c>
      <c r="CI46" s="293">
        <f>CI70/(CI73-CI58)*100</f>
        <v>0</v>
      </c>
      <c r="CJ46" s="293">
        <f>CJ70/(CJ73-CJ58)*100</f>
        <v>0</v>
      </c>
    </row>
    <row r="47" spans="1:88" x14ac:dyDescent="0.25">
      <c r="A47" s="95"/>
      <c r="B47" s="352" t="s">
        <v>1185</v>
      </c>
      <c r="C47" s="16"/>
      <c r="D47" s="95"/>
      <c r="E47" s="293"/>
      <c r="F47" s="293"/>
      <c r="G47" s="293"/>
      <c r="H47" s="293"/>
      <c r="I47" s="293"/>
      <c r="J47" s="293"/>
      <c r="K47" s="293"/>
      <c r="L47" s="293"/>
      <c r="M47" s="293"/>
      <c r="N47" s="293"/>
      <c r="O47" s="281"/>
      <c r="P47" s="293"/>
      <c r="Q47" s="293"/>
      <c r="R47" s="293"/>
      <c r="S47" s="293"/>
      <c r="U47" s="293"/>
      <c r="V47" s="293"/>
      <c r="X47" s="293"/>
      <c r="Y47" s="293"/>
      <c r="AA47" s="293"/>
      <c r="AB47" s="293"/>
      <c r="AD47" s="293"/>
      <c r="AE47" s="293"/>
      <c r="AG47" s="293"/>
      <c r="AH47" s="293"/>
      <c r="AJ47" s="293"/>
      <c r="AK47" s="293"/>
      <c r="AM47" s="293"/>
      <c r="AN47" s="293"/>
      <c r="AP47" s="293"/>
      <c r="AQ47" s="293"/>
      <c r="AS47" s="293"/>
      <c r="AT47" s="293"/>
      <c r="AV47" s="293"/>
      <c r="AW47" s="293"/>
      <c r="AY47" s="293"/>
      <c r="AZ47" s="293"/>
      <c r="BB47" s="293"/>
      <c r="BC47" s="293"/>
      <c r="BE47" s="293"/>
      <c r="BF47" s="293"/>
      <c r="BH47" s="293"/>
      <c r="BI47" s="293"/>
      <c r="BK47" s="293"/>
      <c r="BL47" s="293"/>
      <c r="BN47" s="293"/>
      <c r="BO47" s="293"/>
      <c r="BQ47" s="293"/>
      <c r="BR47" s="293"/>
      <c r="BT47" s="293"/>
      <c r="BU47" s="293"/>
      <c r="BW47" s="293"/>
      <c r="BX47" s="293"/>
      <c r="BZ47" s="293"/>
      <c r="CA47" s="293"/>
      <c r="CC47" s="293"/>
      <c r="CD47" s="293"/>
      <c r="CF47" s="293"/>
      <c r="CG47" s="293"/>
      <c r="CI47" s="293"/>
      <c r="CJ47" s="293"/>
    </row>
    <row r="48" spans="1:88" x14ac:dyDescent="0.25">
      <c r="A48" s="95"/>
      <c r="B48" s="297" t="s">
        <v>1603</v>
      </c>
      <c r="C48" s="107"/>
      <c r="D48" s="95" t="s">
        <v>8</v>
      </c>
      <c r="E48" s="293">
        <f t="shared" ref="E48:N48" si="39">E53/(E56-E62-E59)*100</f>
        <v>50.306618735462038</v>
      </c>
      <c r="F48" s="293">
        <f t="shared" si="39"/>
        <v>53.40228245363766</v>
      </c>
      <c r="G48" s="293">
        <f t="shared" si="39"/>
        <v>55.315444610443841</v>
      </c>
      <c r="H48" s="293">
        <f t="shared" si="39"/>
        <v>54.613606109437399</v>
      </c>
      <c r="I48" s="293">
        <f t="shared" si="39"/>
        <v>54.246269697392279</v>
      </c>
      <c r="J48" s="293">
        <f t="shared" si="39"/>
        <v>57.880014722119988</v>
      </c>
      <c r="K48" s="293">
        <f t="shared" si="39"/>
        <v>66.814017039061241</v>
      </c>
      <c r="L48" s="293">
        <f>L53/(L56-L62-L59)*100</f>
        <v>-103.97260273972601</v>
      </c>
      <c r="M48" s="293">
        <f t="shared" si="39"/>
        <v>72.857142857142847</v>
      </c>
      <c r="N48" s="293">
        <f t="shared" si="39"/>
        <v>74.531422271223818</v>
      </c>
      <c r="O48" s="281"/>
      <c r="P48" s="293">
        <f>P53/(P56-P62-P59)*100</f>
        <v>62.00771580131812</v>
      </c>
      <c r="Q48" s="293">
        <f>Q53/(Q56-Q62-Q59)*100</f>
        <v>56.791771356783919</v>
      </c>
      <c r="R48" s="293">
        <f>R53/(R56-R62-R59)*100</f>
        <v>86.404066073697578</v>
      </c>
      <c r="S48" s="293">
        <f>S53/(S56-S62-S59)*100</f>
        <v>84.954604409857325</v>
      </c>
      <c r="U48" s="293">
        <f>U53/(U56-U62-U59)*100</f>
        <v>92.241379310344826</v>
      </c>
      <c r="V48" s="293">
        <f>V53/(V56-V62-V59)*100</f>
        <v>90.428211586901767</v>
      </c>
      <c r="X48" s="293">
        <f>X53/(X56-X62-X59)*100</f>
        <v>77.128953771289531</v>
      </c>
      <c r="Y48" s="293">
        <f>Y53/(Y56-Y62-Y59)*100</f>
        <v>72.362385321100916</v>
      </c>
      <c r="AA48" s="293">
        <f>AA53/(AA56-AA62-AA59)*100</f>
        <v>63.274932614555254</v>
      </c>
      <c r="AB48" s="293">
        <f>AB53/(AB56-AB62-AB59)*100</f>
        <v>59.546061415220294</v>
      </c>
      <c r="AD48" s="293">
        <f>AD53/(AD56-AD62-AD59)*100</f>
        <v>30.214424951267056</v>
      </c>
      <c r="AE48" s="293">
        <f>AE53/(AE56-AE62-AE59)*100</f>
        <v>81.481481481481481</v>
      </c>
      <c r="AG48" s="293">
        <f>AG53/(AG56-AG62-AG59)*100</f>
        <v>60.304182509505701</v>
      </c>
      <c r="AH48" s="293">
        <f>AH53/(AH56-AH62-AH59)*100</f>
        <v>56.110283159463492</v>
      </c>
      <c r="AJ48" s="293">
        <f>AJ53/(AJ56-AJ62-AJ59)*100</f>
        <v>47.811447811447813</v>
      </c>
      <c r="AK48" s="293">
        <f>AK53/(AK56-AK62-AK59)*100</f>
        <v>44.791666666666671</v>
      </c>
      <c r="AM48" s="293">
        <f>AM53/(AM56-AM62-AM59)*100</f>
        <v>55.957219251336895</v>
      </c>
      <c r="AN48" s="293">
        <f>AN53/(AN56-AN62-AN59)*100</f>
        <v>42.705786471067647</v>
      </c>
      <c r="AP48" s="293">
        <f>AP53/(AP56-AP62-AP59)*100</f>
        <v>57.707736389684818</v>
      </c>
      <c r="AQ48" s="293">
        <f>AQ53/(AQ56-AQ62-AQ59)*100</f>
        <v>53.61823361823361</v>
      </c>
      <c r="AS48" s="293" t="e">
        <f>AS53/(AS56-AS62-AS59)*100</f>
        <v>#DIV/0!</v>
      </c>
      <c r="AT48" s="293" t="e">
        <f>AT53/(AT56-AT62-AT59)*100</f>
        <v>#DIV/0!</v>
      </c>
      <c r="AV48" s="293" t="e">
        <f>AV53/(AV56-AV62-AV59)*100</f>
        <v>#DIV/0!</v>
      </c>
      <c r="AW48" s="293" t="e">
        <f>AW53/(AW56-AW62-AW59)*100</f>
        <v>#DIV/0!</v>
      </c>
      <c r="AY48" s="293" t="e">
        <f>AY53/(AY56-AY62-AY59)*100</f>
        <v>#DIV/0!</v>
      </c>
      <c r="AZ48" s="293" t="e">
        <f>AZ53/(AZ56-AZ62-AZ59)*100</f>
        <v>#DIV/0!</v>
      </c>
      <c r="BB48" s="293" t="e">
        <f>BB53/(BB56-BB62-BB59)*100</f>
        <v>#DIV/0!</v>
      </c>
      <c r="BC48" s="293" t="e">
        <f>BC53/(BC56-BC62-BC59)*100</f>
        <v>#DIV/0!</v>
      </c>
      <c r="BE48" s="293" t="e">
        <f>BE53/(BE56-BE62-BE59)*100</f>
        <v>#DIV/0!</v>
      </c>
      <c r="BF48" s="293" t="e">
        <f>BF53/(BF56-BF62-BF59)*100</f>
        <v>#DIV/0!</v>
      </c>
      <c r="BH48" s="293" t="e">
        <f>BH53/(BH56-BH62-BH59)*100</f>
        <v>#DIV/0!</v>
      </c>
      <c r="BI48" s="293" t="e">
        <f>BI53/(BI56-BI62-BI59)*100</f>
        <v>#DIV/0!</v>
      </c>
      <c r="BK48" s="293" t="e">
        <f>BK53/(BK56-BK62-BK59)*100</f>
        <v>#DIV/0!</v>
      </c>
      <c r="BL48" s="293" t="e">
        <f>BL53/(BL56-BL62-BL59)*100</f>
        <v>#DIV/0!</v>
      </c>
      <c r="BN48" s="293" t="e">
        <f>BN53/(BN56-BN62-BN59)*100</f>
        <v>#DIV/0!</v>
      </c>
      <c r="BO48" s="293" t="e">
        <f>BO53/(BO56-BO62-BO59)*100</f>
        <v>#DIV/0!</v>
      </c>
      <c r="BQ48" s="293" t="e">
        <f>BQ53/(BQ56-BQ62-BQ59)*100</f>
        <v>#DIV/0!</v>
      </c>
      <c r="BR48" s="293" t="e">
        <f>BR53/(BR56-BR62-BR59)*100</f>
        <v>#DIV/0!</v>
      </c>
      <c r="BT48" s="293" t="e">
        <f>BT53/(BT56-BT62-BT59)*100</f>
        <v>#DIV/0!</v>
      </c>
      <c r="BU48" s="293" t="e">
        <f>BU53/(BU56-BU62-BU59)*100</f>
        <v>#DIV/0!</v>
      </c>
      <c r="BW48" s="293" t="e">
        <f>BW53/(BW56-BW62-BW59)*100</f>
        <v>#DIV/0!</v>
      </c>
      <c r="BX48" s="293" t="e">
        <f>BX53/(BX56-BX62-BX59)*100</f>
        <v>#DIV/0!</v>
      </c>
      <c r="BZ48" s="293" t="e">
        <f>BZ53/(BZ56-BZ62-BZ59)*100</f>
        <v>#DIV/0!</v>
      </c>
      <c r="CA48" s="293" t="e">
        <f>CA53/(CA56-CA62-CA59)*100</f>
        <v>#DIV/0!</v>
      </c>
      <c r="CC48" s="293" t="e">
        <f>CC53/(CC56-CC62-CC59)*100</f>
        <v>#DIV/0!</v>
      </c>
      <c r="CD48" s="293" t="e">
        <f>CD53/(CD56-CD62-CD59)*100</f>
        <v>#DIV/0!</v>
      </c>
      <c r="CF48" s="293">
        <f>CF53/(CF56-CF62-CF59)*100</f>
        <v>0</v>
      </c>
      <c r="CG48" s="293">
        <f>CG53/(CG56-CG62-CG59)*100</f>
        <v>0</v>
      </c>
      <c r="CI48" s="293" t="e">
        <f>CI53/(CI56-CI62-CI59)*100</f>
        <v>#DIV/0!</v>
      </c>
      <c r="CJ48" s="293" t="e">
        <f>CJ53/(CJ56-CJ62-CJ59)*100</f>
        <v>#DIV/0!</v>
      </c>
    </row>
    <row r="49" spans="1:88" x14ac:dyDescent="0.25">
      <c r="A49" s="95"/>
      <c r="B49" s="297" t="s">
        <v>1746</v>
      </c>
      <c r="C49" s="107"/>
      <c r="D49" s="95" t="s">
        <v>8</v>
      </c>
      <c r="E49" s="293"/>
      <c r="F49" s="293"/>
      <c r="G49" s="293"/>
      <c r="H49" s="293"/>
      <c r="I49" s="293">
        <f>I65/I68*100</f>
        <v>23.877025036818853</v>
      </c>
      <c r="J49" s="293">
        <f>J65/J68*100</f>
        <v>28.01418439716312</v>
      </c>
      <c r="K49" s="293">
        <f>K65/K68*100</f>
        <v>30.288461538461537</v>
      </c>
      <c r="L49" s="293">
        <f t="shared" ref="L49:N49" si="40">L65/L68*100</f>
        <v>30.368763557483732</v>
      </c>
      <c r="M49" s="293">
        <f t="shared" si="40"/>
        <v>40.449438202247187</v>
      </c>
      <c r="N49" s="293">
        <f t="shared" si="40"/>
        <v>40.810810810810807</v>
      </c>
      <c r="O49" s="281"/>
      <c r="P49" s="293">
        <f>P65/P68*100</f>
        <v>0</v>
      </c>
      <c r="Q49" s="293">
        <f>Q65/Q68*100</f>
        <v>29.923497267759565</v>
      </c>
      <c r="R49" s="293">
        <f>R65/R68*100</f>
        <v>0</v>
      </c>
      <c r="S49" s="293">
        <f>S65/S68*100</f>
        <v>68.770764119601324</v>
      </c>
      <c r="U49" s="293">
        <f>U65/U68*100</f>
        <v>0</v>
      </c>
      <c r="V49" s="293">
        <f>V65/V68*100</f>
        <v>49.174917491749177</v>
      </c>
      <c r="X49" s="293">
        <f>X65/X68*100</f>
        <v>0</v>
      </c>
      <c r="Y49" s="293">
        <f>Y65/Y68*100</f>
        <v>51.525423728813557</v>
      </c>
      <c r="AA49" s="293">
        <f>AA65/AA68*100</f>
        <v>0</v>
      </c>
      <c r="AB49" s="293">
        <f>AB65/AB68*100</f>
        <v>30.754352030947775</v>
      </c>
      <c r="AD49" s="293">
        <f>AD65/AD68*100</f>
        <v>0</v>
      </c>
      <c r="AE49" s="293">
        <f>AE65/AE68*100</f>
        <v>53.8860103626943</v>
      </c>
      <c r="AG49" s="293">
        <f>AG65/AG68*100</f>
        <v>0</v>
      </c>
      <c r="AH49" s="293">
        <f>AH65/AH68*100</f>
        <v>29.106029106029109</v>
      </c>
      <c r="AJ49" s="293">
        <f>AJ65/AJ68*100</f>
        <v>0</v>
      </c>
      <c r="AK49" s="293">
        <f>AK65/AK68*100</f>
        <v>30.526315789473685</v>
      </c>
      <c r="AM49" s="293">
        <f>AM65/AM68*100</f>
        <v>0</v>
      </c>
      <c r="AN49" s="293">
        <f>AN65/AN68*100</f>
        <v>13.727678571428573</v>
      </c>
      <c r="AP49" s="293">
        <f>AP65/AP68*100</f>
        <v>0</v>
      </c>
      <c r="AQ49" s="293">
        <f>AQ65/AQ68*100</f>
        <v>30.602006688963211</v>
      </c>
      <c r="AS49" s="293" t="e">
        <f>AS65/AS68*100</f>
        <v>#DIV/0!</v>
      </c>
      <c r="AT49" s="293" t="e">
        <f>AT65/AT68*100</f>
        <v>#DIV/0!</v>
      </c>
      <c r="AV49" s="293" t="e">
        <f>AV65/AV68*100</f>
        <v>#DIV/0!</v>
      </c>
      <c r="AW49" s="293" t="e">
        <f>AW65/AW68*100</f>
        <v>#DIV/0!</v>
      </c>
      <c r="AY49" s="293" t="e">
        <f>AY65/AY68*100</f>
        <v>#DIV/0!</v>
      </c>
      <c r="AZ49" s="293" t="e">
        <f>AZ65/AZ68*100</f>
        <v>#DIV/0!</v>
      </c>
      <c r="BB49" s="293" t="e">
        <f>BB65/BB68*100</f>
        <v>#DIV/0!</v>
      </c>
      <c r="BC49" s="293" t="e">
        <f>BC65/BC68*100</f>
        <v>#DIV/0!</v>
      </c>
      <c r="BE49" s="293" t="e">
        <f>BE65/BE68*100</f>
        <v>#DIV/0!</v>
      </c>
      <c r="BF49" s="293" t="e">
        <f>BF65/BF68*100</f>
        <v>#DIV/0!</v>
      </c>
      <c r="BH49" s="293" t="e">
        <f>BH65/BH68*100</f>
        <v>#DIV/0!</v>
      </c>
      <c r="BI49" s="293" t="e">
        <f>BI65/BI68*100</f>
        <v>#DIV/0!</v>
      </c>
      <c r="BK49" s="293" t="e">
        <f>BK65/BK68*100</f>
        <v>#DIV/0!</v>
      </c>
      <c r="BL49" s="293" t="e">
        <f>BL65/BL68*100</f>
        <v>#DIV/0!</v>
      </c>
      <c r="BN49" s="293" t="e">
        <f>BN65/BN68*100</f>
        <v>#DIV/0!</v>
      </c>
      <c r="BO49" s="293" t="e">
        <f>BO65/BO68*100</f>
        <v>#DIV/0!</v>
      </c>
      <c r="BQ49" s="293" t="e">
        <f>BQ65/BQ68*100</f>
        <v>#DIV/0!</v>
      </c>
      <c r="BR49" s="293" t="e">
        <f>BR65/BR68*100</f>
        <v>#DIV/0!</v>
      </c>
      <c r="BT49" s="293" t="e">
        <f>BT65/BT68*100</f>
        <v>#DIV/0!</v>
      </c>
      <c r="BU49" s="293" t="e">
        <f>BU65/BU68*100</f>
        <v>#DIV/0!</v>
      </c>
      <c r="BW49" s="293" t="e">
        <f>BW65/BW68*100</f>
        <v>#DIV/0!</v>
      </c>
      <c r="BX49" s="293" t="e">
        <f>BX65/BX68*100</f>
        <v>#DIV/0!</v>
      </c>
      <c r="BZ49" s="293" t="e">
        <f>BZ65/BZ68*100</f>
        <v>#DIV/0!</v>
      </c>
      <c r="CA49" s="293" t="e">
        <f>CA65/CA68*100</f>
        <v>#DIV/0!</v>
      </c>
      <c r="CC49" s="293" t="e">
        <f>CC65/CC68*100</f>
        <v>#DIV/0!</v>
      </c>
      <c r="CD49" s="293" t="e">
        <f>CD65/CD68*100</f>
        <v>#DIV/0!</v>
      </c>
      <c r="CF49" s="293" t="e">
        <f>CF65/CF68*100</f>
        <v>#DIV/0!</v>
      </c>
      <c r="CG49" s="293" t="e">
        <f>CG65/CG68*100</f>
        <v>#DIV/0!</v>
      </c>
      <c r="CI49" s="293" t="e">
        <f>CI65/CI68*100</f>
        <v>#DIV/0!</v>
      </c>
      <c r="CJ49" s="293" t="e">
        <f>CJ65/CJ68*100</f>
        <v>#DIV/0!</v>
      </c>
    </row>
    <row r="50" spans="1:88" x14ac:dyDescent="0.25">
      <c r="A50" s="95"/>
      <c r="B50" s="297" t="s">
        <v>1601</v>
      </c>
      <c r="C50" s="16"/>
      <c r="D50" s="95" t="s">
        <v>8</v>
      </c>
      <c r="E50" s="293"/>
      <c r="F50" s="293"/>
      <c r="G50" s="293"/>
      <c r="H50" s="293"/>
      <c r="I50" s="293">
        <f>I71/(I74-I59)*100</f>
        <v>72.913155825188184</v>
      </c>
      <c r="J50" s="293">
        <f>J71/(J74-J59)*100</f>
        <v>75.860853214243747</v>
      </c>
      <c r="K50" s="293">
        <f>K71/(K74-K59)*100</f>
        <v>88.062547673531654</v>
      </c>
      <c r="L50" s="293">
        <f t="shared" ref="L50:N50" si="41">L71/(L74-L59)*100</f>
        <v>-51.973131821998322</v>
      </c>
      <c r="M50" s="293">
        <f t="shared" si="41"/>
        <v>70.673076923076934</v>
      </c>
      <c r="N50" s="293">
        <f t="shared" si="41"/>
        <v>73.632538569424966</v>
      </c>
      <c r="O50" s="281"/>
      <c r="P50" s="293">
        <f>P71/(P74-P59)*100</f>
        <v>81.159420289855078</v>
      </c>
      <c r="Q50" s="293">
        <f>Q71/(Q74-Q59)*100</f>
        <v>72.22154147776007</v>
      </c>
      <c r="R50" s="293">
        <f>R71/(R74-R59)*100</f>
        <v>94.444444444444443</v>
      </c>
      <c r="S50" s="293">
        <f>S71/(S74-S59)*100</f>
        <v>95.319148936170222</v>
      </c>
      <c r="U50" s="293">
        <f>U71/(U74-U59)*100</f>
        <v>116.69941060903733</v>
      </c>
      <c r="V50" s="293">
        <f>V71/(V74-V59)*100</f>
        <v>115.88594704684319</v>
      </c>
      <c r="X50" s="293">
        <f>X71/(X74-X59)*100</f>
        <v>93.548387096774192</v>
      </c>
      <c r="Y50" s="293">
        <f>Y71/(Y74-Y59)*100</f>
        <v>83.015597920277301</v>
      </c>
      <c r="AA50" s="293">
        <f>AA71/(AA74-AA59)*100</f>
        <v>84.69493278179938</v>
      </c>
      <c r="AB50" s="293">
        <f>AB71/(AB74-AB59)*100</f>
        <v>77.777777777777786</v>
      </c>
      <c r="AD50" s="293">
        <f>AD71/(AD74-AD59)*100</f>
        <v>36.5625</v>
      </c>
      <c r="AE50" s="293">
        <f>AE71/(AE74-AE59)*100</f>
        <v>98.125</v>
      </c>
      <c r="AG50" s="293">
        <f>AG71/(AG74-AG59)*100</f>
        <v>78.057553956834539</v>
      </c>
      <c r="AH50" s="293">
        <f>AH71/(AH74-AH59)*100</f>
        <v>71.196283391405345</v>
      </c>
      <c r="AJ50" s="293">
        <f>AJ71/(AJ74-AJ59)*100</f>
        <v>51.980198019801982</v>
      </c>
      <c r="AK50" s="293">
        <f>AK71/(AK74-AK59)*100</f>
        <v>51.813471502590666</v>
      </c>
      <c r="AM50" s="293">
        <f>AM71/(AM74-AM59)*100</f>
        <v>81.332408049965295</v>
      </c>
      <c r="AN50" s="293">
        <f>AN71/(AN74-AN59)*100</f>
        <v>59.370988446726571</v>
      </c>
      <c r="AP50" s="293">
        <f>AP71/(AP74-AP59)*100</f>
        <v>69.921534437663468</v>
      </c>
      <c r="AQ50" s="293">
        <f>AQ71/(AQ74-AQ59)*100</f>
        <v>65.514261019879001</v>
      </c>
      <c r="AS50" s="293" t="e">
        <f>AS71/(AS74-AS59)*100</f>
        <v>#DIV/0!</v>
      </c>
      <c r="AT50" s="293" t="e">
        <f>AT71/(AT74-AT59)*100</f>
        <v>#DIV/0!</v>
      </c>
      <c r="AV50" s="293" t="e">
        <f>AV71/(AV74-AV59)*100</f>
        <v>#DIV/0!</v>
      </c>
      <c r="AW50" s="293" t="e">
        <f>AW71/(AW74-AW59)*100</f>
        <v>#DIV/0!</v>
      </c>
      <c r="AY50" s="293" t="e">
        <f>AY71/(AY74-AY59)*100</f>
        <v>#DIV/0!</v>
      </c>
      <c r="AZ50" s="293" t="e">
        <f>AZ71/(AZ74-AZ59)*100</f>
        <v>#DIV/0!</v>
      </c>
      <c r="BB50" s="293" t="e">
        <f>BB71/(BB74-BB59)*100</f>
        <v>#DIV/0!</v>
      </c>
      <c r="BC50" s="293" t="e">
        <f>BC71/(BC74-BC59)*100</f>
        <v>#DIV/0!</v>
      </c>
      <c r="BE50" s="293" t="e">
        <f>BE71/(BE74-BE59)*100</f>
        <v>#DIV/0!</v>
      </c>
      <c r="BF50" s="293" t="e">
        <f>BF71/(BF74-BF59)*100</f>
        <v>#DIV/0!</v>
      </c>
      <c r="BH50" s="293" t="e">
        <f>BH71/(BH74-BH59)*100</f>
        <v>#DIV/0!</v>
      </c>
      <c r="BI50" s="293" t="e">
        <f>BI71/(BI74-BI59)*100</f>
        <v>#DIV/0!</v>
      </c>
      <c r="BK50" s="293" t="e">
        <f>BK71/(BK74-BK59)*100</f>
        <v>#DIV/0!</v>
      </c>
      <c r="BL50" s="293" t="e">
        <f>BL71/(BL74-BL59)*100</f>
        <v>#DIV/0!</v>
      </c>
      <c r="BN50" s="293" t="e">
        <f>BN71/(BN74-BN59)*100</f>
        <v>#DIV/0!</v>
      </c>
      <c r="BO50" s="293" t="e">
        <f>BO71/(BO74-BO59)*100</f>
        <v>#DIV/0!</v>
      </c>
      <c r="BQ50" s="293" t="e">
        <f>BQ71/(BQ74-BQ59)*100</f>
        <v>#DIV/0!</v>
      </c>
      <c r="BR50" s="293" t="e">
        <f>BR71/(BR74-BR59)*100</f>
        <v>#DIV/0!</v>
      </c>
      <c r="BT50" s="293" t="e">
        <f>BT71/(BT74-BT59)*100</f>
        <v>#DIV/0!</v>
      </c>
      <c r="BU50" s="293" t="e">
        <f>BU71/(BU74-BU59)*100</f>
        <v>#DIV/0!</v>
      </c>
      <c r="BW50" s="293" t="e">
        <f>BW71/(BW74-BW59)*100</f>
        <v>#DIV/0!</v>
      </c>
      <c r="BX50" s="293" t="e">
        <f>BX71/(BX74-BX59)*100</f>
        <v>#DIV/0!</v>
      </c>
      <c r="BZ50" s="293" t="e">
        <f>BZ71/(BZ74-BZ59)*100</f>
        <v>#DIV/0!</v>
      </c>
      <c r="CA50" s="293" t="e">
        <f>CA71/(CA74-CA59)*100</f>
        <v>#DIV/0!</v>
      </c>
      <c r="CC50" s="293" t="e">
        <f>CC71/(CC74-CC59)*100</f>
        <v>#DIV/0!</v>
      </c>
      <c r="CD50" s="293" t="e">
        <f>CD71/(CD74-CD59)*100</f>
        <v>#DIV/0!</v>
      </c>
      <c r="CF50" s="293">
        <f>CF71/(CF74-CF59)*100</f>
        <v>0</v>
      </c>
      <c r="CG50" s="293">
        <f>CG71/(CG74-CG59)*100</f>
        <v>0</v>
      </c>
      <c r="CI50" s="293" t="e">
        <f>CI71/(CI74-CI59)*100</f>
        <v>#DIV/0!</v>
      </c>
      <c r="CJ50" s="293" t="e">
        <f>CJ71/(CJ74-CJ59)*100</f>
        <v>#DIV/0!</v>
      </c>
    </row>
    <row r="51" spans="1:88" ht="45" x14ac:dyDescent="0.25">
      <c r="A51" s="107"/>
      <c r="B51" s="352" t="s">
        <v>16</v>
      </c>
      <c r="C51" s="95" t="s">
        <v>17</v>
      </c>
      <c r="D51" s="95" t="s">
        <v>950</v>
      </c>
      <c r="E51" s="282">
        <f t="shared" ref="E51:BT51" si="42">E52+E53</f>
        <v>85833</v>
      </c>
      <c r="F51" s="282">
        <f t="shared" si="42"/>
        <v>98249</v>
      </c>
      <c r="G51" s="282">
        <f t="shared" si="42"/>
        <v>105853</v>
      </c>
      <c r="H51" s="282">
        <f t="shared" si="42"/>
        <v>109328</v>
      </c>
      <c r="I51" s="282">
        <f t="shared" si="42"/>
        <v>113543</v>
      </c>
      <c r="J51" s="282">
        <f t="shared" si="42"/>
        <v>118154</v>
      </c>
      <c r="K51" s="282">
        <f>K52+K53</f>
        <v>116997</v>
      </c>
      <c r="L51" s="282">
        <f>L52+L53</f>
        <v>1830</v>
      </c>
      <c r="M51" s="282">
        <f>M52+M53</f>
        <v>1721</v>
      </c>
      <c r="N51" s="282">
        <f>N52+N53</f>
        <v>1631</v>
      </c>
      <c r="O51" s="286" t="s">
        <v>1396</v>
      </c>
      <c r="P51" s="282">
        <f t="shared" si="42"/>
        <v>116997</v>
      </c>
      <c r="Q51" s="282">
        <f t="shared" si="42"/>
        <v>113527</v>
      </c>
      <c r="R51" s="282">
        <f t="shared" si="42"/>
        <v>2132</v>
      </c>
      <c r="S51" s="282">
        <f t="shared" si="42"/>
        <v>2000</v>
      </c>
      <c r="U51" s="282">
        <f t="shared" si="42"/>
        <v>1791</v>
      </c>
      <c r="V51" s="282">
        <f t="shared" si="42"/>
        <v>1668</v>
      </c>
      <c r="X51" s="282">
        <f t="shared" si="42"/>
        <v>2064</v>
      </c>
      <c r="Y51" s="282">
        <f t="shared" si="42"/>
        <v>1974</v>
      </c>
      <c r="AA51" s="282">
        <f t="shared" si="42"/>
        <v>2385</v>
      </c>
      <c r="AB51" s="282">
        <f t="shared" si="42"/>
        <v>2194</v>
      </c>
      <c r="AD51" s="282">
        <f t="shared" si="42"/>
        <v>2276</v>
      </c>
      <c r="AE51" s="282">
        <f t="shared" si="42"/>
        <v>2078</v>
      </c>
      <c r="AG51" s="282">
        <f t="shared" si="42"/>
        <v>1890</v>
      </c>
      <c r="AH51" s="282">
        <f t="shared" si="42"/>
        <v>1830</v>
      </c>
      <c r="AJ51" s="282">
        <f t="shared" si="42"/>
        <v>3140</v>
      </c>
      <c r="AK51" s="282">
        <f t="shared" si="42"/>
        <v>2943</v>
      </c>
      <c r="AM51" s="282">
        <f t="shared" si="42"/>
        <v>8026</v>
      </c>
      <c r="AN51" s="282">
        <f t="shared" si="42"/>
        <v>7624</v>
      </c>
      <c r="AP51" s="282">
        <f t="shared" si="42"/>
        <v>1007</v>
      </c>
      <c r="AQ51" s="282">
        <f t="shared" si="42"/>
        <v>941</v>
      </c>
      <c r="AS51" s="282">
        <f t="shared" si="42"/>
        <v>8100</v>
      </c>
      <c r="AT51" s="282">
        <f t="shared" si="42"/>
        <v>8102</v>
      </c>
      <c r="AV51" s="282">
        <f t="shared" si="42"/>
        <v>2401</v>
      </c>
      <c r="AW51" s="282">
        <f t="shared" si="42"/>
        <v>2131</v>
      </c>
      <c r="AY51" s="282">
        <f t="shared" si="42"/>
        <v>3769</v>
      </c>
      <c r="AZ51" s="282">
        <f t="shared" si="42"/>
        <v>3453</v>
      </c>
      <c r="BB51" s="282">
        <f t="shared" si="42"/>
        <v>7279</v>
      </c>
      <c r="BC51" s="282">
        <f t="shared" si="42"/>
        <v>6742</v>
      </c>
      <c r="BE51" s="282">
        <f t="shared" si="42"/>
        <v>19335</v>
      </c>
      <c r="BF51" s="282">
        <f t="shared" si="42"/>
        <v>19164</v>
      </c>
      <c r="BH51" s="282">
        <f t="shared" si="42"/>
        <v>30900</v>
      </c>
      <c r="BI51" s="282">
        <f t="shared" si="42"/>
        <v>31353</v>
      </c>
      <c r="BK51" s="282">
        <f t="shared" si="42"/>
        <v>2876</v>
      </c>
      <c r="BL51" s="282">
        <f t="shared" si="42"/>
        <v>2609</v>
      </c>
      <c r="BN51" s="282">
        <f t="shared" si="42"/>
        <v>2734</v>
      </c>
      <c r="BO51" s="282">
        <f t="shared" si="42"/>
        <v>2575</v>
      </c>
      <c r="BQ51" s="282">
        <f t="shared" si="42"/>
        <v>4089</v>
      </c>
      <c r="BR51" s="282">
        <f t="shared" si="42"/>
        <v>3869</v>
      </c>
      <c r="BT51" s="282">
        <f t="shared" si="42"/>
        <v>4169</v>
      </c>
      <c r="BU51" s="282">
        <f t="shared" ref="BU51:CA51" si="43">BU52+BU53</f>
        <v>4056</v>
      </c>
      <c r="BW51" s="282">
        <f t="shared" si="43"/>
        <v>1143</v>
      </c>
      <c r="BX51" s="282">
        <f t="shared" si="43"/>
        <v>1076</v>
      </c>
      <c r="BZ51" s="282">
        <f t="shared" si="43"/>
        <v>2728</v>
      </c>
      <c r="CA51" s="282">
        <f t="shared" si="43"/>
        <v>2521</v>
      </c>
      <c r="CC51" s="282">
        <f t="shared" ref="CC51:CJ51" si="44">CC52+CC53</f>
        <v>2659</v>
      </c>
      <c r="CD51" s="282">
        <f t="shared" si="44"/>
        <v>2516</v>
      </c>
      <c r="CF51" s="282">
        <f t="shared" si="44"/>
        <v>104</v>
      </c>
      <c r="CG51" s="282">
        <f t="shared" si="44"/>
        <v>108</v>
      </c>
      <c r="CI51" s="282">
        <f t="shared" si="44"/>
        <v>0</v>
      </c>
      <c r="CJ51" s="282">
        <f t="shared" si="44"/>
        <v>0</v>
      </c>
    </row>
    <row r="52" spans="1:88" x14ac:dyDescent="0.25">
      <c r="A52" s="107"/>
      <c r="B52" s="16" t="s">
        <v>1183</v>
      </c>
      <c r="C52" s="95"/>
      <c r="D52" s="95" t="s">
        <v>950</v>
      </c>
      <c r="E52" s="282">
        <v>78696</v>
      </c>
      <c r="F52" s="282">
        <v>90762</v>
      </c>
      <c r="G52" s="282">
        <v>98016</v>
      </c>
      <c r="H52" s="282">
        <v>101533</v>
      </c>
      <c r="I52" s="282">
        <v>105763</v>
      </c>
      <c r="J52" s="282">
        <v>110291</v>
      </c>
      <c r="K52" s="282">
        <v>108684</v>
      </c>
      <c r="L52" s="282">
        <v>1071</v>
      </c>
      <c r="M52" s="282">
        <v>1007</v>
      </c>
      <c r="N52" s="282">
        <v>955</v>
      </c>
      <c r="O52" s="283"/>
      <c r="P52" s="316">
        <f>R52+U52+X52+AA52+AD52+AG52+AJ52+AM52+AP52+AS52+AV52+AY52+BB52+BE52+BH52+BK52+BN52+BQ52+BT52+BW52+BZ52+CC52+CF52+CI52</f>
        <v>109282</v>
      </c>
      <c r="Q52" s="316">
        <f>S52+V52+Y52+AB52+AE52+AH52+AK52+AN52+AQ52+AT52+AW52+AZ52+BC52+BF52+BI52+BL52+BO52+BR52+BU52+BX52+CA52+CD52+CG52+CJ52</f>
        <v>106294</v>
      </c>
      <c r="R52" s="316">
        <v>1452</v>
      </c>
      <c r="S52" s="316">
        <v>1345</v>
      </c>
      <c r="T52" s="316"/>
      <c r="U52" s="316">
        <v>1042</v>
      </c>
      <c r="V52" s="316">
        <v>950</v>
      </c>
      <c r="W52" s="316"/>
      <c r="X52" s="316">
        <v>1430</v>
      </c>
      <c r="Y52" s="316">
        <v>1343</v>
      </c>
      <c r="Z52" s="316"/>
      <c r="AA52" s="316">
        <v>1446</v>
      </c>
      <c r="AB52" s="316">
        <v>1302</v>
      </c>
      <c r="AC52" s="316"/>
      <c r="AD52" s="316">
        <v>2121</v>
      </c>
      <c r="AE52" s="316">
        <v>1660</v>
      </c>
      <c r="AF52" s="316"/>
      <c r="AG52" s="316">
        <v>1097</v>
      </c>
      <c r="AH52" s="316">
        <v>1077</v>
      </c>
      <c r="AI52" s="316"/>
      <c r="AJ52" s="316">
        <v>2998</v>
      </c>
      <c r="AK52" s="316">
        <v>2814</v>
      </c>
      <c r="AL52" s="316"/>
      <c r="AM52" s="316">
        <v>5410</v>
      </c>
      <c r="AN52" s="316">
        <v>5528</v>
      </c>
      <c r="AO52" s="316"/>
      <c r="AP52" s="316">
        <v>0</v>
      </c>
      <c r="AQ52" s="316">
        <v>0</v>
      </c>
      <c r="AR52" s="316"/>
      <c r="AS52" s="316">
        <v>8100</v>
      </c>
      <c r="AT52" s="316">
        <v>8102</v>
      </c>
      <c r="AU52" s="316"/>
      <c r="AV52" s="316">
        <v>2401</v>
      </c>
      <c r="AW52" s="316">
        <v>2131</v>
      </c>
      <c r="AX52" s="316"/>
      <c r="AY52" s="316">
        <v>3769</v>
      </c>
      <c r="AZ52" s="316">
        <v>3453</v>
      </c>
      <c r="BA52" s="316"/>
      <c r="BB52" s="316">
        <v>7279</v>
      </c>
      <c r="BC52" s="316">
        <v>6742</v>
      </c>
      <c r="BD52" s="316"/>
      <c r="BE52" s="316">
        <v>19335</v>
      </c>
      <c r="BF52" s="316">
        <v>19164</v>
      </c>
      <c r="BG52" s="316"/>
      <c r="BH52" s="316">
        <v>30900</v>
      </c>
      <c r="BI52" s="316">
        <v>31353</v>
      </c>
      <c r="BJ52" s="316"/>
      <c r="BK52" s="316">
        <v>2876</v>
      </c>
      <c r="BL52" s="316">
        <v>2609</v>
      </c>
      <c r="BM52" s="316"/>
      <c r="BN52" s="316">
        <v>2734</v>
      </c>
      <c r="BO52" s="316">
        <v>2575</v>
      </c>
      <c r="BP52" s="316"/>
      <c r="BQ52" s="316">
        <v>4089</v>
      </c>
      <c r="BR52" s="316">
        <v>3869</v>
      </c>
      <c r="BS52" s="316"/>
      <c r="BT52" s="316">
        <v>4169</v>
      </c>
      <c r="BU52" s="316">
        <v>4056</v>
      </c>
      <c r="BV52" s="316"/>
      <c r="BW52" s="316">
        <v>1143</v>
      </c>
      <c r="BX52" s="316">
        <v>1076</v>
      </c>
      <c r="BY52" s="316"/>
      <c r="BZ52" s="316">
        <v>2728</v>
      </c>
      <c r="CA52" s="316">
        <v>2521</v>
      </c>
      <c r="CB52" s="316"/>
      <c r="CC52" s="316">
        <v>2659</v>
      </c>
      <c r="CD52" s="316">
        <v>2516</v>
      </c>
      <c r="CE52" s="316"/>
      <c r="CF52" s="316">
        <v>104</v>
      </c>
      <c r="CG52" s="316">
        <v>108</v>
      </c>
      <c r="CH52" s="316"/>
      <c r="CI52" s="316">
        <v>0</v>
      </c>
      <c r="CJ52" s="316">
        <v>0</v>
      </c>
    </row>
    <row r="53" spans="1:88" x14ac:dyDescent="0.25">
      <c r="A53" s="107"/>
      <c r="B53" s="16" t="s">
        <v>1185</v>
      </c>
      <c r="C53" s="95"/>
      <c r="D53" s="95" t="s">
        <v>950</v>
      </c>
      <c r="E53" s="282">
        <v>7137</v>
      </c>
      <c r="F53" s="282">
        <v>7487</v>
      </c>
      <c r="G53" s="282">
        <v>7837</v>
      </c>
      <c r="H53" s="282">
        <v>7795</v>
      </c>
      <c r="I53" s="282">
        <v>7780</v>
      </c>
      <c r="J53" s="282">
        <v>7863</v>
      </c>
      <c r="K53" s="282">
        <v>8313</v>
      </c>
      <c r="L53" s="282">
        <v>759</v>
      </c>
      <c r="M53" s="282">
        <v>714</v>
      </c>
      <c r="N53" s="282">
        <v>676</v>
      </c>
      <c r="O53" s="283"/>
      <c r="P53" s="316">
        <f>R53+U53+X53+AA53+AD53+AG53+AJ53+AM53+AP53+AS53+AV53+AY53+BB53+BE53+BH53+BK53+BN53+BQ53+BT53+BW53+BZ53+CC53+CF53+CI53</f>
        <v>7715</v>
      </c>
      <c r="Q53" s="316">
        <f>S53+V53+Y53+AB53+AE53+AH53+AK53+AN53+AQ53+AT53+AW53+AZ53+BC53+BF53+BI53+BL53+BO53+BR53+BU53+BX53+CA53+CD53+CG53+CJ53</f>
        <v>7233</v>
      </c>
      <c r="R53" s="316">
        <v>680</v>
      </c>
      <c r="S53" s="316">
        <v>655</v>
      </c>
      <c r="T53" s="316"/>
      <c r="U53" s="316">
        <v>749</v>
      </c>
      <c r="V53" s="316">
        <v>718</v>
      </c>
      <c r="W53" s="316"/>
      <c r="X53" s="316">
        <v>634</v>
      </c>
      <c r="Y53" s="316">
        <v>631</v>
      </c>
      <c r="Z53" s="316"/>
      <c r="AA53" s="316">
        <v>939</v>
      </c>
      <c r="AB53" s="316">
        <v>892</v>
      </c>
      <c r="AC53" s="316"/>
      <c r="AD53" s="316">
        <v>155</v>
      </c>
      <c r="AE53" s="316">
        <v>418</v>
      </c>
      <c r="AF53" s="316"/>
      <c r="AG53" s="316">
        <v>793</v>
      </c>
      <c r="AH53" s="316">
        <v>753</v>
      </c>
      <c r="AI53" s="316"/>
      <c r="AJ53" s="316">
        <v>142</v>
      </c>
      <c r="AK53" s="316">
        <v>129</v>
      </c>
      <c r="AL53" s="316"/>
      <c r="AM53" s="316">
        <v>2616</v>
      </c>
      <c r="AN53" s="316">
        <v>2096</v>
      </c>
      <c r="AO53" s="316"/>
      <c r="AP53" s="316">
        <v>1007</v>
      </c>
      <c r="AQ53" s="316">
        <v>941</v>
      </c>
      <c r="AR53" s="316"/>
      <c r="AS53" s="316">
        <v>0</v>
      </c>
      <c r="AT53" s="316">
        <v>0</v>
      </c>
      <c r="AU53" s="316"/>
      <c r="AV53" s="316">
        <v>0</v>
      </c>
      <c r="AW53" s="316">
        <v>0</v>
      </c>
      <c r="AX53" s="316"/>
      <c r="AY53" s="316">
        <v>0</v>
      </c>
      <c r="AZ53" s="316">
        <v>0</v>
      </c>
      <c r="BA53" s="316"/>
      <c r="BB53" s="316">
        <v>0</v>
      </c>
      <c r="BC53" s="316">
        <v>0</v>
      </c>
      <c r="BD53" s="316"/>
      <c r="BE53" s="316">
        <v>0</v>
      </c>
      <c r="BF53" s="316">
        <v>0</v>
      </c>
      <c r="BG53" s="316"/>
      <c r="BH53" s="316">
        <v>0</v>
      </c>
      <c r="BI53" s="316">
        <v>0</v>
      </c>
      <c r="BJ53" s="316"/>
      <c r="BK53" s="316">
        <v>0</v>
      </c>
      <c r="BL53" s="316">
        <v>0</v>
      </c>
      <c r="BM53" s="316"/>
      <c r="BN53" s="316">
        <v>0</v>
      </c>
      <c r="BO53" s="316">
        <v>0</v>
      </c>
      <c r="BP53" s="316"/>
      <c r="BQ53" s="316">
        <v>0</v>
      </c>
      <c r="BR53" s="316">
        <v>0</v>
      </c>
      <c r="BS53" s="316"/>
      <c r="BT53" s="316">
        <v>0</v>
      </c>
      <c r="BU53" s="316">
        <v>0</v>
      </c>
      <c r="BV53" s="316"/>
      <c r="BW53" s="316">
        <v>0</v>
      </c>
      <c r="BX53" s="316">
        <v>0</v>
      </c>
      <c r="BY53" s="316"/>
      <c r="BZ53" s="316">
        <v>0</v>
      </c>
      <c r="CA53" s="316">
        <v>0</v>
      </c>
      <c r="CB53" s="316"/>
      <c r="CC53" s="316">
        <v>0</v>
      </c>
      <c r="CD53" s="316">
        <v>0</v>
      </c>
      <c r="CE53" s="316"/>
      <c r="CF53" s="316">
        <v>0</v>
      </c>
      <c r="CG53" s="316">
        <v>0</v>
      </c>
      <c r="CH53" s="316"/>
      <c r="CI53" s="316">
        <v>0</v>
      </c>
      <c r="CJ53" s="316">
        <v>0</v>
      </c>
    </row>
    <row r="54" spans="1:88" ht="60" x14ac:dyDescent="0.25">
      <c r="A54" s="107"/>
      <c r="B54" s="352" t="s">
        <v>18</v>
      </c>
      <c r="C54" s="95" t="s">
        <v>19</v>
      </c>
      <c r="D54" s="95" t="s">
        <v>950</v>
      </c>
      <c r="E54" s="282">
        <f t="shared" ref="E54:J54" si="45">E55+E56</f>
        <v>192074</v>
      </c>
      <c r="F54" s="282">
        <f t="shared" si="45"/>
        <v>199690</v>
      </c>
      <c r="G54" s="282">
        <f t="shared" si="45"/>
        <v>203759.83333333334</v>
      </c>
      <c r="H54" s="282">
        <f t="shared" si="45"/>
        <v>207301</v>
      </c>
      <c r="I54" s="282">
        <f>I55+I56</f>
        <v>208288</v>
      </c>
      <c r="J54" s="282">
        <f t="shared" si="45"/>
        <v>205052</v>
      </c>
      <c r="K54" s="282">
        <f>K55+K56</f>
        <v>201093</v>
      </c>
      <c r="L54" s="282">
        <f>L55+L56</f>
        <v>2772</v>
      </c>
      <c r="M54" s="282">
        <f>M55+M56</f>
        <v>2509</v>
      </c>
      <c r="N54" s="282">
        <f>N55+N56</f>
        <v>2417</v>
      </c>
      <c r="P54" s="282">
        <f>P55+P56</f>
        <v>201093</v>
      </c>
      <c r="Q54" s="282">
        <f>Q55+Q56</f>
        <v>199358</v>
      </c>
      <c r="R54" s="282">
        <f>R55+R56</f>
        <v>2926</v>
      </c>
      <c r="S54" s="282">
        <f>S55+S56</f>
        <v>2926</v>
      </c>
      <c r="U54" s="282">
        <f>U55+U56</f>
        <v>2697</v>
      </c>
      <c r="V54" s="282">
        <f>V55+V56</f>
        <v>2697</v>
      </c>
      <c r="X54" s="282">
        <f>X55+X56</f>
        <v>3354</v>
      </c>
      <c r="Y54" s="282">
        <f>Y55+Y56</f>
        <v>3354</v>
      </c>
      <c r="AA54" s="282">
        <f>AA55+AA56</f>
        <v>4149</v>
      </c>
      <c r="AB54" s="282">
        <f>AB55+AB56</f>
        <v>4149</v>
      </c>
      <c r="AD54" s="282">
        <f>AD55+AD56</f>
        <v>3250</v>
      </c>
      <c r="AE54" s="282">
        <f>AE55+AE56</f>
        <v>3250</v>
      </c>
      <c r="AG54" s="282">
        <f>AG55+AG56</f>
        <v>3225</v>
      </c>
      <c r="AH54" s="282">
        <f>AH55+AH56</f>
        <v>3225</v>
      </c>
      <c r="AJ54" s="282">
        <f>AJ55+AJ56</f>
        <v>5081</v>
      </c>
      <c r="AK54" s="282">
        <f>AK55+AK56</f>
        <v>5081</v>
      </c>
      <c r="AM54" s="282">
        <f>AM55+AM56</f>
        <v>16720</v>
      </c>
      <c r="AN54" s="282">
        <f>AN55+AN56</f>
        <v>16872</v>
      </c>
      <c r="AP54" s="282">
        <f>AP55+AP56</f>
        <v>2012</v>
      </c>
      <c r="AQ54" s="282">
        <f>AQ55+AQ56</f>
        <v>2012</v>
      </c>
      <c r="AS54" s="282">
        <f>AS55+AS56</f>
        <v>12299</v>
      </c>
      <c r="AT54" s="282">
        <f>AT55+AT56</f>
        <v>12299</v>
      </c>
      <c r="AV54" s="282">
        <f>AV55+AV56</f>
        <v>4416</v>
      </c>
      <c r="AW54" s="282">
        <f>AW55+AW56</f>
        <v>4416</v>
      </c>
      <c r="AY54" s="282">
        <f>AY55+AY56</f>
        <v>6149</v>
      </c>
      <c r="AZ54" s="282">
        <f>AZ55+AZ56</f>
        <v>6149</v>
      </c>
      <c r="BB54" s="282">
        <f>BB55+BB56</f>
        <v>13450</v>
      </c>
      <c r="BC54" s="282">
        <f>BC55+BC56</f>
        <v>13450</v>
      </c>
      <c r="BE54" s="282">
        <f>BE55+BE56</f>
        <v>32436</v>
      </c>
      <c r="BF54" s="282">
        <f>BF55+BF56</f>
        <v>32436</v>
      </c>
      <c r="BH54" s="282">
        <f>BH55+BH56</f>
        <v>53188</v>
      </c>
      <c r="BI54" s="282">
        <f>BI55+BI56</f>
        <v>51301</v>
      </c>
      <c r="BK54" s="282">
        <f>BK55+BK56</f>
        <v>5082</v>
      </c>
      <c r="BL54" s="282">
        <f>BL55+BL56</f>
        <v>5082</v>
      </c>
      <c r="BN54" s="282">
        <f>BN55+BN56</f>
        <v>4582</v>
      </c>
      <c r="BO54" s="282">
        <f>BO55+BO56</f>
        <v>4582</v>
      </c>
      <c r="BQ54" s="282">
        <f>BQ55+BQ56</f>
        <v>7122</v>
      </c>
      <c r="BR54" s="282">
        <f>BR55+BR56</f>
        <v>7122</v>
      </c>
      <c r="BT54" s="282">
        <f>BT55+BT56</f>
        <v>7634</v>
      </c>
      <c r="BU54" s="282">
        <f>BU55+BU56</f>
        <v>7634</v>
      </c>
      <c r="BW54" s="282">
        <f>BW55+BW56</f>
        <v>2152</v>
      </c>
      <c r="BX54" s="282">
        <f>BX55+BX56</f>
        <v>2152</v>
      </c>
      <c r="BZ54" s="282">
        <f>BZ55+BZ56</f>
        <v>4902</v>
      </c>
      <c r="CA54" s="282">
        <f>CA55+CA56</f>
        <v>4902</v>
      </c>
      <c r="CC54" s="282">
        <f>CC55+CC56</f>
        <v>4267</v>
      </c>
      <c r="CD54" s="282">
        <f>CD55+CD56</f>
        <v>4267</v>
      </c>
      <c r="CF54" s="282">
        <f>CF55+CF56</f>
        <v>0</v>
      </c>
      <c r="CG54" s="282">
        <f>CG55+CG56</f>
        <v>0</v>
      </c>
      <c r="CI54" s="282">
        <f>CI55+CI56</f>
        <v>0</v>
      </c>
      <c r="CJ54" s="282">
        <f>CJ55+CJ56</f>
        <v>0</v>
      </c>
    </row>
    <row r="55" spans="1:88" x14ac:dyDescent="0.25">
      <c r="A55" s="321"/>
      <c r="B55" s="16" t="s">
        <v>1183</v>
      </c>
      <c r="C55" s="95"/>
      <c r="D55" s="95" t="s">
        <v>950</v>
      </c>
      <c r="E55" s="282">
        <v>175917</v>
      </c>
      <c r="F55" s="282">
        <v>183649</v>
      </c>
      <c r="G55" s="282">
        <v>187556</v>
      </c>
      <c r="H55" s="282">
        <v>191110</v>
      </c>
      <c r="I55" s="282">
        <f>191264+642</f>
        <v>191906</v>
      </c>
      <c r="J55" s="282">
        <f t="shared" ref="J55:K56" si="46">J67+J73</f>
        <v>189522</v>
      </c>
      <c r="K55" s="282">
        <f t="shared" si="46"/>
        <v>186614</v>
      </c>
      <c r="L55" s="282">
        <v>1477</v>
      </c>
      <c r="M55" s="282">
        <v>1400</v>
      </c>
      <c r="N55" s="282">
        <v>1381</v>
      </c>
      <c r="P55" s="282">
        <f t="shared" ref="P55:S56" si="47">P67+P73</f>
        <v>186614</v>
      </c>
      <c r="Q55" s="282">
        <f t="shared" si="47"/>
        <v>184597</v>
      </c>
      <c r="R55" s="282">
        <f t="shared" si="47"/>
        <v>2006</v>
      </c>
      <c r="S55" s="282">
        <f t="shared" si="47"/>
        <v>2006</v>
      </c>
      <c r="U55" s="282">
        <f>U67+U73</f>
        <v>1705</v>
      </c>
      <c r="V55" s="282">
        <f>V67+V73</f>
        <v>1705</v>
      </c>
      <c r="X55" s="282">
        <f>X67+X73</f>
        <v>2348</v>
      </c>
      <c r="Y55" s="282">
        <f>Y67+Y73</f>
        <v>2348</v>
      </c>
      <c r="AA55" s="282">
        <f>AA67+AA73</f>
        <v>2428</v>
      </c>
      <c r="AB55" s="282">
        <f>AB67+AB73</f>
        <v>2428</v>
      </c>
      <c r="AD55" s="282">
        <f>AD67+AD73</f>
        <v>2638</v>
      </c>
      <c r="AE55" s="282">
        <f>AE67+AE73</f>
        <v>2638</v>
      </c>
      <c r="AG55" s="282">
        <f>AG67+AG73</f>
        <v>1658</v>
      </c>
      <c r="AH55" s="282">
        <f>AH67+AH73</f>
        <v>1658</v>
      </c>
      <c r="AJ55" s="282">
        <f>AJ67+AJ73</f>
        <v>4756</v>
      </c>
      <c r="AK55" s="282">
        <f>AK67+AK73</f>
        <v>4756</v>
      </c>
      <c r="AM55" s="282">
        <f>AM67+AM73</f>
        <v>11396</v>
      </c>
      <c r="AN55" s="282">
        <f>AN67+AN73</f>
        <v>11266</v>
      </c>
      <c r="AP55" s="282">
        <f>AP67+AP73</f>
        <v>0</v>
      </c>
      <c r="AQ55" s="282">
        <f>AQ67+AQ73</f>
        <v>0</v>
      </c>
      <c r="AS55" s="282">
        <f>AS67+AS73</f>
        <v>12299</v>
      </c>
      <c r="AT55" s="282">
        <f>AT67+AT73</f>
        <v>12299</v>
      </c>
      <c r="AV55" s="282">
        <f>AV67+AV73</f>
        <v>4416</v>
      </c>
      <c r="AW55" s="282">
        <f>AW67+AW73</f>
        <v>4416</v>
      </c>
      <c r="AY55" s="282">
        <f>AY67+AY73</f>
        <v>6149</v>
      </c>
      <c r="AZ55" s="282">
        <f>AZ67+AZ73</f>
        <v>6149</v>
      </c>
      <c r="BB55" s="282">
        <f>BB67+BB73</f>
        <v>13450</v>
      </c>
      <c r="BC55" s="282">
        <f>BC67+BC73</f>
        <v>13450</v>
      </c>
      <c r="BE55" s="282">
        <f>BE67+BE73</f>
        <v>32436</v>
      </c>
      <c r="BF55" s="282">
        <f>BF67+BF73</f>
        <v>32436</v>
      </c>
      <c r="BH55" s="282">
        <f>BH67+BH73</f>
        <v>53188</v>
      </c>
      <c r="BI55" s="282">
        <f>BI67+BI73</f>
        <v>51301</v>
      </c>
      <c r="BK55" s="282">
        <f>BK67+BK73</f>
        <v>5082</v>
      </c>
      <c r="BL55" s="282">
        <f>BL67+BL73</f>
        <v>5082</v>
      </c>
      <c r="BN55" s="282">
        <f>BN67+BN73</f>
        <v>4582</v>
      </c>
      <c r="BO55" s="282">
        <f>BO67+BO73</f>
        <v>4582</v>
      </c>
      <c r="BQ55" s="282">
        <f>BQ67+BQ73</f>
        <v>7122</v>
      </c>
      <c r="BR55" s="282">
        <f>BR67+BR73</f>
        <v>7122</v>
      </c>
      <c r="BT55" s="282">
        <f>BT67+BT73</f>
        <v>7634</v>
      </c>
      <c r="BU55" s="282">
        <f>BU67+BU73</f>
        <v>7634</v>
      </c>
      <c r="BW55" s="282">
        <f>BW67+BW73</f>
        <v>2152</v>
      </c>
      <c r="BX55" s="282">
        <f>BX67+BX73</f>
        <v>2152</v>
      </c>
      <c r="BZ55" s="282">
        <f>BZ67+BZ73</f>
        <v>4902</v>
      </c>
      <c r="CA55" s="282">
        <f>CA67+CA73</f>
        <v>4902</v>
      </c>
      <c r="CC55" s="282">
        <f>CC67+CC73</f>
        <v>4267</v>
      </c>
      <c r="CD55" s="282">
        <f>CD67+CD73</f>
        <v>4267</v>
      </c>
      <c r="CF55" s="282">
        <f>CF67+CF73</f>
        <v>0</v>
      </c>
      <c r="CG55" s="282">
        <f>CG67+CG73</f>
        <v>0</v>
      </c>
      <c r="CI55" s="282">
        <f>CI67+CI73</f>
        <v>0</v>
      </c>
      <c r="CJ55" s="282">
        <f>CJ67+CJ73</f>
        <v>0</v>
      </c>
    </row>
    <row r="56" spans="1:88" x14ac:dyDescent="0.25">
      <c r="A56" s="321"/>
      <c r="B56" s="16" t="s">
        <v>1185</v>
      </c>
      <c r="C56" s="95"/>
      <c r="D56" s="95" t="s">
        <v>950</v>
      </c>
      <c r="E56" s="282">
        <v>16157</v>
      </c>
      <c r="F56" s="282">
        <v>16041</v>
      </c>
      <c r="G56" s="282">
        <v>16203.833333333334</v>
      </c>
      <c r="H56" s="282">
        <v>16191</v>
      </c>
      <c r="I56" s="282">
        <f>16373+9</f>
        <v>16382</v>
      </c>
      <c r="J56" s="282">
        <f t="shared" si="46"/>
        <v>15530</v>
      </c>
      <c r="K56" s="282">
        <f t="shared" si="46"/>
        <v>14479</v>
      </c>
      <c r="L56" s="282">
        <v>1295</v>
      </c>
      <c r="M56" s="282">
        <v>1109</v>
      </c>
      <c r="N56" s="282">
        <v>1036</v>
      </c>
      <c r="P56" s="282">
        <f t="shared" si="47"/>
        <v>14479</v>
      </c>
      <c r="Q56" s="282">
        <f t="shared" si="47"/>
        <v>14761</v>
      </c>
      <c r="R56" s="282">
        <f t="shared" si="47"/>
        <v>920</v>
      </c>
      <c r="S56" s="282">
        <f t="shared" si="47"/>
        <v>920</v>
      </c>
      <c r="U56" s="282">
        <f>U68+U74</f>
        <v>992</v>
      </c>
      <c r="V56" s="282">
        <f>V68+V74</f>
        <v>992</v>
      </c>
      <c r="X56" s="282">
        <f>X68+X74</f>
        <v>1006</v>
      </c>
      <c r="Y56" s="282">
        <f>Y68+Y74</f>
        <v>1006</v>
      </c>
      <c r="AA56" s="282">
        <f>AA68+AA74</f>
        <v>1721</v>
      </c>
      <c r="AB56" s="282">
        <f>AB68+AB74</f>
        <v>1721</v>
      </c>
      <c r="AD56" s="282">
        <f>AD68+AD74</f>
        <v>612</v>
      </c>
      <c r="AE56" s="282">
        <f>AE68+AE74</f>
        <v>612</v>
      </c>
      <c r="AG56" s="282">
        <f>AG68+AG74</f>
        <v>1567</v>
      </c>
      <c r="AH56" s="282">
        <f>AH68+AH74</f>
        <v>1567</v>
      </c>
      <c r="AJ56" s="282">
        <f>AJ68+AJ74</f>
        <v>325</v>
      </c>
      <c r="AK56" s="282">
        <f>AK68+AK74</f>
        <v>325</v>
      </c>
      <c r="AM56" s="282">
        <f>AM68+AM74</f>
        <v>5324</v>
      </c>
      <c r="AN56" s="282">
        <f>AN68+AN74</f>
        <v>5606</v>
      </c>
      <c r="AP56" s="282">
        <f>AP68+AP74</f>
        <v>2012</v>
      </c>
      <c r="AQ56" s="282">
        <f>AQ68+AQ74</f>
        <v>2012</v>
      </c>
      <c r="AS56" s="282">
        <f>AS68+AS74</f>
        <v>0</v>
      </c>
      <c r="AT56" s="282">
        <f>AT68+AT74</f>
        <v>0</v>
      </c>
      <c r="AV56" s="282">
        <f>AV68+AV74</f>
        <v>0</v>
      </c>
      <c r="AW56" s="282">
        <f>AW68+AW74</f>
        <v>0</v>
      </c>
      <c r="AY56" s="282">
        <f>AY68+AY74</f>
        <v>0</v>
      </c>
      <c r="AZ56" s="282">
        <f>AZ68+AZ74</f>
        <v>0</v>
      </c>
      <c r="BB56" s="282">
        <f>BB68+BB74</f>
        <v>0</v>
      </c>
      <c r="BC56" s="282">
        <f>BC68+BC74</f>
        <v>0</v>
      </c>
      <c r="BE56" s="282">
        <f>BE68+BE74</f>
        <v>0</v>
      </c>
      <c r="BF56" s="282">
        <f>BF68+BF74</f>
        <v>0</v>
      </c>
      <c r="BH56" s="282">
        <f>BH68+BH74</f>
        <v>0</v>
      </c>
      <c r="BI56" s="282">
        <f>BI68+BI74</f>
        <v>0</v>
      </c>
      <c r="BK56" s="282">
        <f>BK68+BK74</f>
        <v>0</v>
      </c>
      <c r="BL56" s="282">
        <f>BL68+BL74</f>
        <v>0</v>
      </c>
      <c r="BN56" s="282">
        <f>BN68+BN74</f>
        <v>0</v>
      </c>
      <c r="BO56" s="282">
        <f>BO68+BO74</f>
        <v>0</v>
      </c>
      <c r="BQ56" s="282">
        <f>BQ68+BQ74</f>
        <v>0</v>
      </c>
      <c r="BR56" s="282">
        <f>BR68+BR74</f>
        <v>0</v>
      </c>
      <c r="BT56" s="282">
        <f>BT68+BT74</f>
        <v>0</v>
      </c>
      <c r="BU56" s="282">
        <f>BU68+BU74</f>
        <v>0</v>
      </c>
      <c r="BW56" s="282">
        <f>BW68+BW74</f>
        <v>0</v>
      </c>
      <c r="BX56" s="282">
        <f>BX68+BX74</f>
        <v>0</v>
      </c>
      <c r="BZ56" s="282">
        <f>BZ68+BZ74</f>
        <v>0</v>
      </c>
      <c r="CA56" s="282">
        <f>CA68+CA74</f>
        <v>0</v>
      </c>
      <c r="CC56" s="282">
        <f>CC68+CC74</f>
        <v>0</v>
      </c>
      <c r="CD56" s="282">
        <f>CD68+CD74</f>
        <v>0</v>
      </c>
      <c r="CF56" s="282">
        <f>CF68+CF74</f>
        <v>0</v>
      </c>
      <c r="CG56" s="282">
        <f>CG68+CG74</f>
        <v>0</v>
      </c>
      <c r="CI56" s="282">
        <f>CI68+CI74</f>
        <v>0</v>
      </c>
      <c r="CJ56" s="282">
        <f>CJ68+CJ74</f>
        <v>0</v>
      </c>
    </row>
    <row r="57" spans="1:88" ht="180" x14ac:dyDescent="0.25">
      <c r="A57" s="338"/>
      <c r="B57" s="355" t="s">
        <v>1211</v>
      </c>
      <c r="C57" s="95" t="s">
        <v>2035</v>
      </c>
      <c r="D57" s="95" t="s">
        <v>950</v>
      </c>
      <c r="E57" s="282">
        <f t="shared" ref="E57:BT57" si="48">E58+E59</f>
        <v>20594</v>
      </c>
      <c r="F57" s="282">
        <f t="shared" si="48"/>
        <v>22682</v>
      </c>
      <c r="G57" s="282">
        <f t="shared" si="48"/>
        <v>22633</v>
      </c>
      <c r="H57" s="282">
        <f t="shared" si="48"/>
        <v>22648</v>
      </c>
      <c r="I57" s="282">
        <f t="shared" si="48"/>
        <v>23923</v>
      </c>
      <c r="J57" s="282">
        <f t="shared" si="48"/>
        <v>24506</v>
      </c>
      <c r="K57" s="282">
        <f>K58+K59</f>
        <v>25971</v>
      </c>
      <c r="L57" s="282">
        <f>L58+L59</f>
        <v>26331</v>
      </c>
      <c r="M57" s="282">
        <f>M58+M59</f>
        <v>404</v>
      </c>
      <c r="N57" s="282">
        <v>372</v>
      </c>
      <c r="O57" s="281"/>
      <c r="P57" s="282">
        <f t="shared" si="48"/>
        <v>25971</v>
      </c>
      <c r="Q57" s="282">
        <f t="shared" si="48"/>
        <v>26331</v>
      </c>
      <c r="R57" s="282">
        <f t="shared" si="48"/>
        <v>428</v>
      </c>
      <c r="S57" s="282">
        <f t="shared" si="48"/>
        <v>431</v>
      </c>
      <c r="U57" s="282">
        <f t="shared" si="48"/>
        <v>403</v>
      </c>
      <c r="V57" s="282">
        <f t="shared" si="48"/>
        <v>412</v>
      </c>
      <c r="X57" s="282">
        <f t="shared" si="48"/>
        <v>492</v>
      </c>
      <c r="Y57" s="282">
        <f t="shared" si="48"/>
        <v>435</v>
      </c>
      <c r="AA57" s="282">
        <f t="shared" si="48"/>
        <v>577</v>
      </c>
      <c r="AB57" s="282">
        <f t="shared" si="48"/>
        <v>519</v>
      </c>
      <c r="AD57" s="282">
        <f t="shared" si="48"/>
        <v>428</v>
      </c>
      <c r="AE57" s="282">
        <f t="shared" si="48"/>
        <v>402</v>
      </c>
      <c r="AG57" s="282">
        <f t="shared" si="48"/>
        <v>541</v>
      </c>
      <c r="AH57" s="282">
        <f t="shared" si="48"/>
        <v>473</v>
      </c>
      <c r="AJ57" s="282">
        <f t="shared" si="48"/>
        <v>710</v>
      </c>
      <c r="AK57" s="282">
        <f t="shared" si="48"/>
        <v>743</v>
      </c>
      <c r="AM57" s="282">
        <f t="shared" si="48"/>
        <v>2057</v>
      </c>
      <c r="AN57" s="282">
        <f t="shared" si="48"/>
        <v>2102</v>
      </c>
      <c r="AP57" s="282">
        <f t="shared" si="48"/>
        <v>267</v>
      </c>
      <c r="AQ57" s="282">
        <f t="shared" si="48"/>
        <v>257</v>
      </c>
      <c r="AS57" s="282">
        <f t="shared" si="48"/>
        <v>1806</v>
      </c>
      <c r="AT57" s="282">
        <f t="shared" si="48"/>
        <v>1839</v>
      </c>
      <c r="AV57" s="282">
        <f t="shared" si="48"/>
        <v>608</v>
      </c>
      <c r="AW57" s="282">
        <f t="shared" si="48"/>
        <v>590</v>
      </c>
      <c r="AY57" s="282">
        <f t="shared" si="48"/>
        <v>814</v>
      </c>
      <c r="AZ57" s="282">
        <f t="shared" si="48"/>
        <v>780</v>
      </c>
      <c r="BB57" s="282">
        <f t="shared" si="48"/>
        <v>1741</v>
      </c>
      <c r="BC57" s="282">
        <f t="shared" si="48"/>
        <v>1639</v>
      </c>
      <c r="BE57" s="282">
        <f t="shared" si="48"/>
        <v>3965</v>
      </c>
      <c r="BF57" s="282">
        <f t="shared" si="48"/>
        <v>4211</v>
      </c>
      <c r="BH57" s="282">
        <f t="shared" si="48"/>
        <v>6285</v>
      </c>
      <c r="BI57" s="282">
        <f t="shared" si="48"/>
        <v>6706</v>
      </c>
      <c r="BK57" s="282">
        <f t="shared" si="48"/>
        <v>617</v>
      </c>
      <c r="BL57" s="282">
        <f t="shared" si="48"/>
        <v>584</v>
      </c>
      <c r="BN57" s="282">
        <f t="shared" si="48"/>
        <v>571</v>
      </c>
      <c r="BO57" s="282">
        <f t="shared" si="48"/>
        <v>555</v>
      </c>
      <c r="BQ57" s="282">
        <f t="shared" si="48"/>
        <v>1006</v>
      </c>
      <c r="BR57" s="282">
        <f t="shared" si="48"/>
        <v>1074</v>
      </c>
      <c r="BT57" s="282">
        <f t="shared" si="48"/>
        <v>913</v>
      </c>
      <c r="BU57" s="282">
        <f t="shared" ref="BU57:CA57" si="49">BU58+BU59</f>
        <v>863</v>
      </c>
      <c r="BW57" s="282">
        <f t="shared" si="49"/>
        <v>242</v>
      </c>
      <c r="BX57" s="282">
        <f t="shared" si="49"/>
        <v>280</v>
      </c>
      <c r="BZ57" s="282">
        <f t="shared" si="49"/>
        <v>706</v>
      </c>
      <c r="CA57" s="282">
        <f t="shared" si="49"/>
        <v>663</v>
      </c>
      <c r="CC57" s="282">
        <f t="shared" ref="CC57:CJ57" si="50">CC58+CC59</f>
        <v>575</v>
      </c>
      <c r="CD57" s="282">
        <f t="shared" si="50"/>
        <v>601</v>
      </c>
      <c r="CF57" s="282">
        <f t="shared" si="50"/>
        <v>199</v>
      </c>
      <c r="CG57" s="282">
        <f t="shared" si="50"/>
        <v>145</v>
      </c>
      <c r="CI57" s="282">
        <f t="shared" si="50"/>
        <v>20</v>
      </c>
      <c r="CJ57" s="282">
        <f t="shared" si="50"/>
        <v>27</v>
      </c>
    </row>
    <row r="58" spans="1:88" x14ac:dyDescent="0.25">
      <c r="A58" s="381"/>
      <c r="B58" s="16" t="s">
        <v>1183</v>
      </c>
      <c r="C58" s="95"/>
      <c r="D58" s="95" t="s">
        <v>950</v>
      </c>
      <c r="E58" s="282">
        <f>18529+95</f>
        <v>18624</v>
      </c>
      <c r="F58" s="282">
        <f>20543+118</f>
        <v>20661</v>
      </c>
      <c r="G58" s="282">
        <v>20597</v>
      </c>
      <c r="H58" s="282">
        <v>20730</v>
      </c>
      <c r="I58" s="282">
        <v>21883</v>
      </c>
      <c r="J58" s="282">
        <v>22561</v>
      </c>
      <c r="K58" s="282">
        <v>23934</v>
      </c>
      <c r="L58" s="282">
        <v>24306</v>
      </c>
      <c r="M58" s="282">
        <v>275</v>
      </c>
      <c r="N58" s="282">
        <v>275</v>
      </c>
      <c r="O58" s="315"/>
      <c r="P58" s="286">
        <f>R58+U58+X58+AA58+AD58+AG58+AJ58+AM58+AP58+AS58+AV58+AY58+BB58+BE58+BH58+BK58+BN58+BQ58+BT58+BW58+BZ58+CC58+CF58+CI58</f>
        <v>23934</v>
      </c>
      <c r="Q58" s="286">
        <f>S58+V58+Y58+AB58+AE58+AH58+AK58+AN58+AQ58+AT58+AW58+AZ58+BC58+BF58+BI58+BL58+BO58+BR58+BU58+BX58+CA58+CD58+CG58+CJ58</f>
        <v>24306</v>
      </c>
      <c r="R58" s="286">
        <v>295</v>
      </c>
      <c r="S58" s="286">
        <v>282</v>
      </c>
      <c r="T58" s="286"/>
      <c r="U58" s="286">
        <v>223</v>
      </c>
      <c r="V58" s="286">
        <v>214</v>
      </c>
      <c r="W58" s="286"/>
      <c r="X58" s="286">
        <v>308</v>
      </c>
      <c r="Y58" s="286">
        <v>301</v>
      </c>
      <c r="Z58" s="286"/>
      <c r="AA58" s="286">
        <v>340</v>
      </c>
      <c r="AB58" s="286">
        <v>296</v>
      </c>
      <c r="AC58" s="286"/>
      <c r="AD58" s="286">
        <v>329</v>
      </c>
      <c r="AE58" s="286">
        <v>303</v>
      </c>
      <c r="AF58" s="286"/>
      <c r="AG58" s="286">
        <v>289</v>
      </c>
      <c r="AH58" s="286">
        <v>248</v>
      </c>
      <c r="AI58" s="286"/>
      <c r="AJ58" s="286">
        <v>682</v>
      </c>
      <c r="AK58" s="286">
        <v>706</v>
      </c>
      <c r="AL58" s="286"/>
      <c r="AM58" s="286">
        <v>1408</v>
      </c>
      <c r="AN58" s="286">
        <v>1404</v>
      </c>
      <c r="AO58" s="286"/>
      <c r="AP58" s="286">
        <v>0</v>
      </c>
      <c r="AQ58" s="286">
        <v>0</v>
      </c>
      <c r="AR58" s="286"/>
      <c r="AS58" s="286">
        <v>1806</v>
      </c>
      <c r="AT58" s="286">
        <v>1839</v>
      </c>
      <c r="AU58" s="286"/>
      <c r="AV58" s="286">
        <v>608</v>
      </c>
      <c r="AW58" s="286">
        <v>590</v>
      </c>
      <c r="AX58" s="286"/>
      <c r="AY58" s="286">
        <v>814</v>
      </c>
      <c r="AZ58" s="286">
        <v>780</v>
      </c>
      <c r="BA58" s="286"/>
      <c r="BB58" s="286">
        <v>1741</v>
      </c>
      <c r="BC58" s="286">
        <v>1639</v>
      </c>
      <c r="BD58" s="286"/>
      <c r="BE58" s="286">
        <v>3965</v>
      </c>
      <c r="BF58" s="286">
        <v>4211</v>
      </c>
      <c r="BG58" s="286"/>
      <c r="BH58" s="286">
        <v>6285</v>
      </c>
      <c r="BI58" s="286">
        <v>6706</v>
      </c>
      <c r="BJ58" s="286"/>
      <c r="BK58" s="286">
        <v>617</v>
      </c>
      <c r="BL58" s="286">
        <v>584</v>
      </c>
      <c r="BM58" s="286"/>
      <c r="BN58" s="286">
        <v>571</v>
      </c>
      <c r="BO58" s="286">
        <v>555</v>
      </c>
      <c r="BP58" s="286"/>
      <c r="BQ58" s="286">
        <v>1006</v>
      </c>
      <c r="BR58" s="286">
        <v>1074</v>
      </c>
      <c r="BS58" s="286"/>
      <c r="BT58" s="286">
        <v>913</v>
      </c>
      <c r="BU58" s="286">
        <v>863</v>
      </c>
      <c r="BV58" s="286"/>
      <c r="BW58" s="286">
        <v>242</v>
      </c>
      <c r="BX58" s="286">
        <v>280</v>
      </c>
      <c r="BY58" s="286"/>
      <c r="BZ58" s="286">
        <v>706</v>
      </c>
      <c r="CA58" s="286">
        <v>663</v>
      </c>
      <c r="CB58" s="286"/>
      <c r="CC58" s="286">
        <v>575</v>
      </c>
      <c r="CD58" s="286">
        <v>601</v>
      </c>
      <c r="CE58" s="286"/>
      <c r="CF58" s="286">
        <v>191</v>
      </c>
      <c r="CG58" s="286">
        <v>140</v>
      </c>
      <c r="CH58" s="286"/>
      <c r="CI58" s="286">
        <v>20</v>
      </c>
      <c r="CJ58" s="286">
        <v>27</v>
      </c>
    </row>
    <row r="59" spans="1:88" x14ac:dyDescent="0.25">
      <c r="A59" s="381"/>
      <c r="B59" s="16" t="s">
        <v>1185</v>
      </c>
      <c r="C59" s="95"/>
      <c r="D59" s="95" t="s">
        <v>950</v>
      </c>
      <c r="E59" s="282">
        <v>1970</v>
      </c>
      <c r="F59" s="282">
        <v>2021</v>
      </c>
      <c r="G59" s="282">
        <v>2036</v>
      </c>
      <c r="H59" s="282">
        <v>1918</v>
      </c>
      <c r="I59" s="282">
        <v>2040</v>
      </c>
      <c r="J59" s="282">
        <v>1945</v>
      </c>
      <c r="K59" s="282">
        <v>2037</v>
      </c>
      <c r="L59" s="282">
        <v>2025</v>
      </c>
      <c r="M59" s="282">
        <v>129</v>
      </c>
      <c r="N59" s="282">
        <v>129</v>
      </c>
      <c r="O59" s="315"/>
      <c r="P59" s="286">
        <f>R59+U59+X59+AA59+AD59+AG59+AJ59+AM59+AP59+AS59+AV59+AY59+BB59+BE59+BH59+BK59+BN59+BQ59+BT59+BW59+BZ59+CC59+CF59+CI59</f>
        <v>2037</v>
      </c>
      <c r="Q59" s="286">
        <f>S59+V59+Y59+AB59+AE59+AH59+AK59+AN59+AQ59+AT59+AW59+AZ59+BC59+BF59+BI59+BL59+BO59+BR59+BU59+BX59+CA59+CD59+CG59+CJ59</f>
        <v>2025</v>
      </c>
      <c r="R59" s="286">
        <v>133</v>
      </c>
      <c r="S59" s="286">
        <v>149</v>
      </c>
      <c r="T59" s="286"/>
      <c r="U59" s="286">
        <v>180</v>
      </c>
      <c r="V59" s="286">
        <v>198</v>
      </c>
      <c r="W59" s="286"/>
      <c r="X59" s="286">
        <v>184</v>
      </c>
      <c r="Y59" s="286">
        <v>134</v>
      </c>
      <c r="Z59" s="286"/>
      <c r="AA59" s="286">
        <v>237</v>
      </c>
      <c r="AB59" s="286">
        <v>223</v>
      </c>
      <c r="AC59" s="286"/>
      <c r="AD59" s="286">
        <v>99</v>
      </c>
      <c r="AE59" s="286">
        <v>99</v>
      </c>
      <c r="AF59" s="286"/>
      <c r="AG59" s="286">
        <v>252</v>
      </c>
      <c r="AH59" s="286">
        <v>225</v>
      </c>
      <c r="AI59" s="286"/>
      <c r="AJ59" s="286">
        <v>28</v>
      </c>
      <c r="AK59" s="286">
        <v>37</v>
      </c>
      <c r="AL59" s="286"/>
      <c r="AM59" s="286">
        <v>649</v>
      </c>
      <c r="AN59" s="286">
        <v>698</v>
      </c>
      <c r="AO59" s="286"/>
      <c r="AP59" s="286">
        <v>267</v>
      </c>
      <c r="AQ59" s="286">
        <v>257</v>
      </c>
      <c r="AR59" s="286"/>
      <c r="AS59" s="286">
        <v>0</v>
      </c>
      <c r="AT59" s="286">
        <v>0</v>
      </c>
      <c r="AU59" s="286"/>
      <c r="AV59" s="286">
        <v>0</v>
      </c>
      <c r="AW59" s="286">
        <v>0</v>
      </c>
      <c r="AX59" s="286"/>
      <c r="AY59" s="286">
        <v>0</v>
      </c>
      <c r="AZ59" s="286">
        <v>0</v>
      </c>
      <c r="BA59" s="286"/>
      <c r="BB59" s="286">
        <v>0</v>
      </c>
      <c r="BC59" s="286">
        <v>0</v>
      </c>
      <c r="BD59" s="286"/>
      <c r="BE59" s="286">
        <v>0</v>
      </c>
      <c r="BF59" s="286">
        <v>0</v>
      </c>
      <c r="BG59" s="286"/>
      <c r="BH59" s="286">
        <v>0</v>
      </c>
      <c r="BI59" s="286">
        <v>0</v>
      </c>
      <c r="BJ59" s="286"/>
      <c r="BK59" s="286">
        <v>0</v>
      </c>
      <c r="BL59" s="286">
        <v>0</v>
      </c>
      <c r="BM59" s="286"/>
      <c r="BN59" s="286">
        <v>0</v>
      </c>
      <c r="BO59" s="286">
        <v>0</v>
      </c>
      <c r="BP59" s="286"/>
      <c r="BQ59" s="286">
        <v>0</v>
      </c>
      <c r="BR59" s="286">
        <v>0</v>
      </c>
      <c r="BS59" s="286"/>
      <c r="BT59" s="286">
        <v>0</v>
      </c>
      <c r="BU59" s="286">
        <v>0</v>
      </c>
      <c r="BV59" s="286"/>
      <c r="BW59" s="286">
        <v>0</v>
      </c>
      <c r="BX59" s="286">
        <v>0</v>
      </c>
      <c r="BY59" s="286"/>
      <c r="BZ59" s="286">
        <v>0</v>
      </c>
      <c r="CA59" s="286">
        <v>0</v>
      </c>
      <c r="CB59" s="286"/>
      <c r="CC59" s="286">
        <v>0</v>
      </c>
      <c r="CD59" s="286">
        <v>0</v>
      </c>
      <c r="CE59" s="286"/>
      <c r="CF59" s="286">
        <v>8</v>
      </c>
      <c r="CG59" s="286">
        <v>5</v>
      </c>
      <c r="CH59" s="286"/>
      <c r="CI59" s="286">
        <v>0</v>
      </c>
      <c r="CJ59" s="286">
        <v>0</v>
      </c>
    </row>
    <row r="60" spans="1:88" ht="75" hidden="1" x14ac:dyDescent="0.25">
      <c r="A60" s="381"/>
      <c r="B60" s="355" t="s">
        <v>1211</v>
      </c>
      <c r="C60" s="95" t="s">
        <v>1181</v>
      </c>
      <c r="D60" s="95" t="s">
        <v>950</v>
      </c>
      <c r="E60" s="282">
        <f t="shared" ref="E60:J60" si="51">E61+E62</f>
        <v>0</v>
      </c>
      <c r="F60" s="282">
        <f t="shared" si="51"/>
        <v>0</v>
      </c>
      <c r="G60" s="282">
        <f t="shared" si="51"/>
        <v>0</v>
      </c>
      <c r="H60" s="282">
        <f t="shared" si="51"/>
        <v>0</v>
      </c>
      <c r="I60" s="282">
        <f t="shared" si="51"/>
        <v>0</v>
      </c>
      <c r="J60" s="282">
        <f t="shared" si="51"/>
        <v>0</v>
      </c>
      <c r="K60" s="282">
        <f>K61+K62</f>
        <v>0</v>
      </c>
      <c r="L60" s="282">
        <f>L61+L62</f>
        <v>0</v>
      </c>
      <c r="M60" s="282">
        <f>M61+M62</f>
        <v>0</v>
      </c>
      <c r="N60" s="282">
        <f>N61+N62</f>
        <v>0</v>
      </c>
      <c r="O60" s="281"/>
    </row>
    <row r="61" spans="1:88" hidden="1" x14ac:dyDescent="0.25">
      <c r="A61" s="381"/>
      <c r="B61" s="16" t="s">
        <v>1183</v>
      </c>
      <c r="C61" s="95"/>
      <c r="D61" s="95" t="s">
        <v>950</v>
      </c>
      <c r="E61" s="282">
        <v>0</v>
      </c>
      <c r="F61" s="282">
        <v>0</v>
      </c>
      <c r="G61" s="282">
        <v>0</v>
      </c>
      <c r="H61" s="282">
        <v>0</v>
      </c>
      <c r="I61" s="282">
        <v>0</v>
      </c>
      <c r="J61" s="282"/>
      <c r="K61" s="282"/>
      <c r="L61" s="282"/>
      <c r="M61" s="282"/>
      <c r="N61" s="282"/>
      <c r="O61" s="281"/>
    </row>
    <row r="62" spans="1:88" hidden="1" x14ac:dyDescent="0.25">
      <c r="A62" s="381"/>
      <c r="B62" s="16" t="s">
        <v>1185</v>
      </c>
      <c r="C62" s="95"/>
      <c r="D62" s="95" t="s">
        <v>950</v>
      </c>
      <c r="E62" s="282">
        <v>0</v>
      </c>
      <c r="F62" s="282">
        <v>0</v>
      </c>
      <c r="G62" s="282">
        <v>0</v>
      </c>
      <c r="H62" s="282">
        <v>0</v>
      </c>
      <c r="I62" s="282">
        <v>0</v>
      </c>
      <c r="J62" s="282"/>
      <c r="K62" s="282"/>
      <c r="L62" s="282"/>
      <c r="M62" s="282"/>
      <c r="N62" s="282"/>
      <c r="O62" s="281"/>
      <c r="S62" s="286"/>
      <c r="V62" s="286"/>
      <c r="Y62" s="286"/>
      <c r="AB62" s="286"/>
      <c r="AE62" s="286"/>
      <c r="AH62" s="286"/>
      <c r="AK62" s="286"/>
      <c r="AN62" s="286"/>
      <c r="AQ62" s="286"/>
      <c r="AT62" s="286"/>
      <c r="AW62" s="286"/>
      <c r="AZ62" s="286"/>
      <c r="BC62" s="286"/>
      <c r="BF62" s="286"/>
      <c r="BI62" s="286"/>
      <c r="BL62" s="286"/>
      <c r="BO62" s="286"/>
      <c r="BR62" s="286"/>
      <c r="BU62" s="286"/>
      <c r="BX62" s="286"/>
      <c r="CA62" s="286"/>
      <c r="CD62" s="286"/>
      <c r="CG62" s="286"/>
      <c r="CJ62" s="286"/>
    </row>
    <row r="63" spans="1:88" ht="45" x14ac:dyDescent="0.25">
      <c r="A63" s="381"/>
      <c r="B63" s="352" t="s">
        <v>1754</v>
      </c>
      <c r="C63" s="95"/>
      <c r="D63" s="95"/>
      <c r="E63" s="282">
        <f t="shared" ref="E63:BT63" si="52">E64+E65</f>
        <v>0</v>
      </c>
      <c r="F63" s="282">
        <f t="shared" si="52"/>
        <v>0</v>
      </c>
      <c r="G63" s="282">
        <f t="shared" si="52"/>
        <v>0</v>
      </c>
      <c r="H63" s="282">
        <f t="shared" si="52"/>
        <v>0</v>
      </c>
      <c r="I63" s="282">
        <f t="shared" si="52"/>
        <v>15806</v>
      </c>
      <c r="J63" s="282">
        <f t="shared" si="52"/>
        <v>19391</v>
      </c>
      <c r="K63" s="282">
        <f>K64+K65</f>
        <v>20199</v>
      </c>
      <c r="L63" s="282">
        <f>L64+L65</f>
        <v>344</v>
      </c>
      <c r="M63" s="282">
        <f>M64+M65</f>
        <v>376</v>
      </c>
      <c r="N63" s="282">
        <f>N64+N65</f>
        <v>376</v>
      </c>
      <c r="O63" s="281"/>
      <c r="P63" s="282">
        <f t="shared" si="52"/>
        <v>0</v>
      </c>
      <c r="Q63" s="282">
        <f t="shared" si="52"/>
        <v>19694</v>
      </c>
      <c r="R63" s="282">
        <f t="shared" si="52"/>
        <v>0</v>
      </c>
      <c r="S63" s="282">
        <f t="shared" si="52"/>
        <v>493</v>
      </c>
      <c r="U63" s="282">
        <f t="shared" si="52"/>
        <v>0</v>
      </c>
      <c r="V63" s="282">
        <f t="shared" si="52"/>
        <v>355</v>
      </c>
      <c r="X63" s="282">
        <f t="shared" si="52"/>
        <v>0</v>
      </c>
      <c r="Y63" s="282">
        <f t="shared" si="52"/>
        <v>443</v>
      </c>
      <c r="AA63" s="282">
        <f t="shared" si="52"/>
        <v>0</v>
      </c>
      <c r="AB63" s="282">
        <f t="shared" si="52"/>
        <v>375</v>
      </c>
      <c r="AD63" s="282">
        <f t="shared" si="52"/>
        <v>0</v>
      </c>
      <c r="AE63" s="282">
        <f t="shared" si="52"/>
        <v>601</v>
      </c>
      <c r="AG63" s="282">
        <f t="shared" si="52"/>
        <v>0</v>
      </c>
      <c r="AH63" s="282">
        <f t="shared" si="52"/>
        <v>344</v>
      </c>
      <c r="AJ63" s="282">
        <f t="shared" si="52"/>
        <v>0</v>
      </c>
      <c r="AK63" s="282">
        <f t="shared" si="52"/>
        <v>564</v>
      </c>
      <c r="AM63" s="282">
        <f t="shared" si="52"/>
        <v>0</v>
      </c>
      <c r="AN63" s="282">
        <f t="shared" si="52"/>
        <v>1105</v>
      </c>
      <c r="AP63" s="282">
        <f t="shared" si="52"/>
        <v>0</v>
      </c>
      <c r="AQ63" s="282">
        <f t="shared" si="52"/>
        <v>183</v>
      </c>
      <c r="AS63" s="282">
        <f t="shared" si="52"/>
        <v>0</v>
      </c>
      <c r="AT63" s="282">
        <f t="shared" si="52"/>
        <v>1220</v>
      </c>
      <c r="AV63" s="282">
        <f t="shared" si="52"/>
        <v>0</v>
      </c>
      <c r="AW63" s="282">
        <f t="shared" si="52"/>
        <v>303</v>
      </c>
      <c r="AY63" s="282">
        <f t="shared" si="52"/>
        <v>0</v>
      </c>
      <c r="AZ63" s="282">
        <f t="shared" si="52"/>
        <v>650</v>
      </c>
      <c r="BB63" s="282">
        <f t="shared" si="52"/>
        <v>0</v>
      </c>
      <c r="BC63" s="282">
        <f t="shared" si="52"/>
        <v>278</v>
      </c>
      <c r="BE63" s="282">
        <f t="shared" si="52"/>
        <v>0</v>
      </c>
      <c r="BF63" s="282">
        <f t="shared" si="52"/>
        <v>3593</v>
      </c>
      <c r="BH63" s="282">
        <f t="shared" si="52"/>
        <v>0</v>
      </c>
      <c r="BI63" s="282">
        <f t="shared" si="52"/>
        <v>5961</v>
      </c>
      <c r="BK63" s="282">
        <f t="shared" si="52"/>
        <v>0</v>
      </c>
      <c r="BL63" s="282">
        <f t="shared" si="52"/>
        <v>430</v>
      </c>
      <c r="BN63" s="282">
        <f t="shared" si="52"/>
        <v>0</v>
      </c>
      <c r="BO63" s="282">
        <f t="shared" si="52"/>
        <v>392</v>
      </c>
      <c r="BQ63" s="282">
        <f t="shared" si="52"/>
        <v>0</v>
      </c>
      <c r="BR63" s="282">
        <f t="shared" si="52"/>
        <v>646</v>
      </c>
      <c r="BT63" s="282">
        <f t="shared" si="52"/>
        <v>0</v>
      </c>
      <c r="BU63" s="282">
        <f t="shared" ref="BU63:CA63" si="53">BU64+BU65</f>
        <v>758</v>
      </c>
      <c r="BW63" s="282">
        <f t="shared" si="53"/>
        <v>0</v>
      </c>
      <c r="BX63" s="282">
        <f t="shared" si="53"/>
        <v>175</v>
      </c>
      <c r="BZ63" s="282">
        <f t="shared" si="53"/>
        <v>0</v>
      </c>
      <c r="CA63" s="282">
        <f t="shared" si="53"/>
        <v>398</v>
      </c>
      <c r="CC63" s="282">
        <f t="shared" ref="CC63:CJ63" si="54">CC64+CC65</f>
        <v>0</v>
      </c>
      <c r="CD63" s="282">
        <f t="shared" si="54"/>
        <v>427</v>
      </c>
      <c r="CF63" s="282">
        <f t="shared" si="54"/>
        <v>0</v>
      </c>
      <c r="CG63" s="282">
        <f t="shared" si="54"/>
        <v>0</v>
      </c>
      <c r="CI63" s="282">
        <f t="shared" si="54"/>
        <v>0</v>
      </c>
      <c r="CJ63" s="282">
        <f t="shared" si="54"/>
        <v>0</v>
      </c>
    </row>
    <row r="64" spans="1:88" ht="30" x14ac:dyDescent="0.25">
      <c r="A64" s="381"/>
      <c r="B64" s="16" t="s">
        <v>1183</v>
      </c>
      <c r="C64" s="95" t="s">
        <v>2451</v>
      </c>
      <c r="D64" s="95" t="s">
        <v>950</v>
      </c>
      <c r="E64" s="282"/>
      <c r="F64" s="282"/>
      <c r="G64" s="282"/>
      <c r="H64" s="282"/>
      <c r="I64" s="282">
        <v>14509</v>
      </c>
      <c r="J64" s="282">
        <v>17969</v>
      </c>
      <c r="K64" s="282">
        <f t="shared" ref="K64:N65" si="55">K27</f>
        <v>18813</v>
      </c>
      <c r="L64" s="282">
        <f t="shared" si="55"/>
        <v>204</v>
      </c>
      <c r="M64" s="282">
        <f t="shared" si="55"/>
        <v>232</v>
      </c>
      <c r="N64" s="282">
        <f t="shared" si="55"/>
        <v>225</v>
      </c>
      <c r="O64" s="313"/>
      <c r="P64" s="286">
        <f>R64+U64+X64+AA64+AD64+AG64+AJ64+AM64+AP64+AS64+AV64+AY64+BB64+BE64+BH64+BK64+BN64+BQ64+BT64+BW64+BZ64+CC64+CF64+CI64</f>
        <v>0</v>
      </c>
      <c r="Q64" s="286">
        <f>S64+V64+Y64+AB64+AE64+AH64+AK64+AN64+AQ64+AT64+AW64+AZ64+BC64+BF64+BI64+BL64+BO64+BR64+BU64+BX64+CA64+CD64+CG64+CJ64</f>
        <v>18325</v>
      </c>
      <c r="R64" s="286">
        <f>R27</f>
        <v>0</v>
      </c>
      <c r="S64" s="286">
        <f>S27</f>
        <v>286</v>
      </c>
      <c r="T64" s="286"/>
      <c r="U64" s="286">
        <f>U27</f>
        <v>0</v>
      </c>
      <c r="V64" s="286">
        <f>V27</f>
        <v>206</v>
      </c>
      <c r="W64" s="286"/>
      <c r="X64" s="286">
        <f>X27</f>
        <v>0</v>
      </c>
      <c r="Y64" s="286">
        <f>Y27</f>
        <v>291</v>
      </c>
      <c r="Z64" s="286"/>
      <c r="AA64" s="286">
        <f>AA27</f>
        <v>0</v>
      </c>
      <c r="AB64" s="286">
        <f>AB27</f>
        <v>216</v>
      </c>
      <c r="AC64" s="286"/>
      <c r="AD64" s="286">
        <f>AD27</f>
        <v>0</v>
      </c>
      <c r="AE64" s="286">
        <f>AE27</f>
        <v>497</v>
      </c>
      <c r="AF64" s="286"/>
      <c r="AG64" s="286">
        <f>AG27</f>
        <v>0</v>
      </c>
      <c r="AH64" s="286">
        <f>AH27</f>
        <v>204</v>
      </c>
      <c r="AI64" s="286"/>
      <c r="AJ64" s="286">
        <f>AJ27</f>
        <v>0</v>
      </c>
      <c r="AK64" s="286">
        <f>AK27</f>
        <v>535</v>
      </c>
      <c r="AL64" s="286"/>
      <c r="AM64" s="286">
        <f>AM27</f>
        <v>0</v>
      </c>
      <c r="AN64" s="286">
        <f>AN27</f>
        <v>859</v>
      </c>
      <c r="AO64" s="286"/>
      <c r="AP64" s="286">
        <f>AP27</f>
        <v>0</v>
      </c>
      <c r="AQ64" s="286">
        <f>AQ27</f>
        <v>0</v>
      </c>
      <c r="AR64" s="286"/>
      <c r="AS64" s="286">
        <f>AS27</f>
        <v>0</v>
      </c>
      <c r="AT64" s="286">
        <f>AT27</f>
        <v>1220</v>
      </c>
      <c r="AU64" s="286"/>
      <c r="AV64" s="286">
        <f>AV27</f>
        <v>0</v>
      </c>
      <c r="AW64" s="286">
        <f>AW27</f>
        <v>303</v>
      </c>
      <c r="AX64" s="286"/>
      <c r="AY64" s="286">
        <f>AY27</f>
        <v>0</v>
      </c>
      <c r="AZ64" s="286">
        <f>AZ27</f>
        <v>650</v>
      </c>
      <c r="BA64" s="286"/>
      <c r="BB64" s="286">
        <f>BB27</f>
        <v>0</v>
      </c>
      <c r="BC64" s="286">
        <f>BC27</f>
        <v>278</v>
      </c>
      <c r="BD64" s="286"/>
      <c r="BE64" s="286">
        <f>BE27</f>
        <v>0</v>
      </c>
      <c r="BF64" s="286">
        <f>BF27</f>
        <v>3593</v>
      </c>
      <c r="BG64" s="286"/>
      <c r="BH64" s="286">
        <f>BH27</f>
        <v>0</v>
      </c>
      <c r="BI64" s="286">
        <f>BI27</f>
        <v>5961</v>
      </c>
      <c r="BJ64" s="286"/>
      <c r="BK64" s="286">
        <f>BK27</f>
        <v>0</v>
      </c>
      <c r="BL64" s="286">
        <f>BL27</f>
        <v>430</v>
      </c>
      <c r="BM64" s="286"/>
      <c r="BN64" s="286">
        <f>BN27</f>
        <v>0</v>
      </c>
      <c r="BO64" s="286">
        <f>BO27</f>
        <v>392</v>
      </c>
      <c r="BP64" s="286"/>
      <c r="BQ64" s="286">
        <f>BQ27</f>
        <v>0</v>
      </c>
      <c r="BR64" s="286">
        <f>BR27</f>
        <v>646</v>
      </c>
      <c r="BS64" s="286"/>
      <c r="BT64" s="286">
        <f>BT27</f>
        <v>0</v>
      </c>
      <c r="BU64" s="286">
        <f>BU27</f>
        <v>758</v>
      </c>
      <c r="BV64" s="286"/>
      <c r="BW64" s="286">
        <f>BW27</f>
        <v>0</v>
      </c>
      <c r="BX64" s="286">
        <f>BX27</f>
        <v>175</v>
      </c>
      <c r="BY64" s="286"/>
      <c r="BZ64" s="286">
        <f>BZ27</f>
        <v>0</v>
      </c>
      <c r="CA64" s="286">
        <f>CA27</f>
        <v>398</v>
      </c>
      <c r="CB64" s="286"/>
      <c r="CC64" s="286">
        <f>CC27</f>
        <v>0</v>
      </c>
      <c r="CD64" s="286">
        <f>CD27</f>
        <v>427</v>
      </c>
      <c r="CE64" s="286"/>
      <c r="CF64" s="286">
        <f>CF27</f>
        <v>0</v>
      </c>
      <c r="CG64" s="286">
        <f>CG27</f>
        <v>0</v>
      </c>
      <c r="CH64" s="286"/>
      <c r="CI64" s="286">
        <f>CI27</f>
        <v>0</v>
      </c>
      <c r="CJ64" s="286">
        <f>CJ27</f>
        <v>0</v>
      </c>
    </row>
    <row r="65" spans="1:88" ht="30" x14ac:dyDescent="0.25">
      <c r="A65" s="381"/>
      <c r="B65" s="16" t="s">
        <v>1185</v>
      </c>
      <c r="C65" s="95" t="s">
        <v>2451</v>
      </c>
      <c r="D65" s="95" t="s">
        <v>950</v>
      </c>
      <c r="E65" s="282"/>
      <c r="F65" s="282"/>
      <c r="G65" s="282"/>
      <c r="H65" s="282"/>
      <c r="I65" s="282">
        <v>1297</v>
      </c>
      <c r="J65" s="282">
        <v>1422</v>
      </c>
      <c r="K65" s="282">
        <f t="shared" si="55"/>
        <v>1386</v>
      </c>
      <c r="L65" s="282">
        <f t="shared" si="55"/>
        <v>140</v>
      </c>
      <c r="M65" s="282">
        <f t="shared" si="55"/>
        <v>144</v>
      </c>
      <c r="N65" s="282">
        <f t="shared" si="55"/>
        <v>151</v>
      </c>
      <c r="O65" s="313"/>
      <c r="P65" s="286">
        <f>R65+U65+X65+AA65+AD65+AG65+AJ65+AM65+AP65+AS65+AV65+AY65+BB65+BE65+BH65+BK65+BN65+BQ65+BT65+BW65+BZ65+CC65+CF65+CI65</f>
        <v>0</v>
      </c>
      <c r="Q65" s="286">
        <f>S65+V65+Y65+AB65+AE65+AH65+AK65+AN65+AQ65+AT65+AW65+AZ65+BC65+BF65+BI65+BL65+BO65+BR65+BU65+BX65+CA65+CD65+CG65+CJ65</f>
        <v>1369</v>
      </c>
      <c r="R65" s="286">
        <f>R28</f>
        <v>0</v>
      </c>
      <c r="S65" s="286">
        <f>S28</f>
        <v>207</v>
      </c>
      <c r="T65" s="286"/>
      <c r="U65" s="286">
        <f>U28</f>
        <v>0</v>
      </c>
      <c r="V65" s="286">
        <f>V28</f>
        <v>149</v>
      </c>
      <c r="W65" s="286"/>
      <c r="X65" s="286">
        <f>X28</f>
        <v>0</v>
      </c>
      <c r="Y65" s="286">
        <f>Y28</f>
        <v>152</v>
      </c>
      <c r="Z65" s="286"/>
      <c r="AA65" s="286">
        <f>AA28</f>
        <v>0</v>
      </c>
      <c r="AB65" s="286">
        <f>AB28</f>
        <v>159</v>
      </c>
      <c r="AC65" s="286"/>
      <c r="AD65" s="286">
        <f>AD28</f>
        <v>0</v>
      </c>
      <c r="AE65" s="286">
        <f>AE28</f>
        <v>104</v>
      </c>
      <c r="AF65" s="286"/>
      <c r="AG65" s="286">
        <f>AG28</f>
        <v>0</v>
      </c>
      <c r="AH65" s="286">
        <f>AH28</f>
        <v>140</v>
      </c>
      <c r="AI65" s="286"/>
      <c r="AJ65" s="286">
        <f>AJ28</f>
        <v>0</v>
      </c>
      <c r="AK65" s="286">
        <f>AK28</f>
        <v>29</v>
      </c>
      <c r="AL65" s="286"/>
      <c r="AM65" s="286">
        <f>AM28</f>
        <v>0</v>
      </c>
      <c r="AN65" s="286">
        <f>AN28</f>
        <v>246</v>
      </c>
      <c r="AO65" s="286"/>
      <c r="AP65" s="286">
        <f>AP28</f>
        <v>0</v>
      </c>
      <c r="AQ65" s="286">
        <f>AQ28</f>
        <v>183</v>
      </c>
      <c r="AR65" s="286"/>
      <c r="AS65" s="286">
        <f>AS28</f>
        <v>0</v>
      </c>
      <c r="AT65" s="286">
        <f>AT28</f>
        <v>0</v>
      </c>
      <c r="AU65" s="286"/>
      <c r="AV65" s="286">
        <f>AV28</f>
        <v>0</v>
      </c>
      <c r="AW65" s="286">
        <f>AW28</f>
        <v>0</v>
      </c>
      <c r="AX65" s="286"/>
      <c r="AY65" s="286">
        <f>AY28</f>
        <v>0</v>
      </c>
      <c r="AZ65" s="286">
        <f>AZ28</f>
        <v>0</v>
      </c>
      <c r="BA65" s="286"/>
      <c r="BB65" s="286">
        <f>BB28</f>
        <v>0</v>
      </c>
      <c r="BC65" s="286">
        <f>BC28</f>
        <v>0</v>
      </c>
      <c r="BD65" s="286"/>
      <c r="BE65" s="286">
        <f>BE28</f>
        <v>0</v>
      </c>
      <c r="BF65" s="286">
        <f>BF28</f>
        <v>0</v>
      </c>
      <c r="BG65" s="286"/>
      <c r="BH65" s="286">
        <f>BH28</f>
        <v>0</v>
      </c>
      <c r="BI65" s="286">
        <f>BI28</f>
        <v>0</v>
      </c>
      <c r="BJ65" s="286"/>
      <c r="BK65" s="286">
        <f>BK28</f>
        <v>0</v>
      </c>
      <c r="BL65" s="286">
        <f>BL28</f>
        <v>0</v>
      </c>
      <c r="BM65" s="286"/>
      <c r="BN65" s="286">
        <f>BN28</f>
        <v>0</v>
      </c>
      <c r="BO65" s="286">
        <f>BO28</f>
        <v>0</v>
      </c>
      <c r="BP65" s="286"/>
      <c r="BQ65" s="286">
        <f>BQ28</f>
        <v>0</v>
      </c>
      <c r="BR65" s="286">
        <f>BR28</f>
        <v>0</v>
      </c>
      <c r="BS65" s="286"/>
      <c r="BT65" s="286">
        <f>BT28</f>
        <v>0</v>
      </c>
      <c r="BU65" s="286">
        <f>BU28</f>
        <v>0</v>
      </c>
      <c r="BV65" s="286"/>
      <c r="BW65" s="286">
        <f>BW28</f>
        <v>0</v>
      </c>
      <c r="BX65" s="286">
        <f>BX28</f>
        <v>0</v>
      </c>
      <c r="BY65" s="286"/>
      <c r="BZ65" s="286">
        <f>BZ28</f>
        <v>0</v>
      </c>
      <c r="CA65" s="286">
        <f>CA28</f>
        <v>0</v>
      </c>
      <c r="CB65" s="286"/>
      <c r="CC65" s="286">
        <f>CC28</f>
        <v>0</v>
      </c>
      <c r="CD65" s="286">
        <f>CD28</f>
        <v>0</v>
      </c>
      <c r="CE65" s="286"/>
      <c r="CF65" s="286">
        <f>CF28</f>
        <v>0</v>
      </c>
      <c r="CG65" s="286">
        <f>CG28</f>
        <v>0</v>
      </c>
      <c r="CH65" s="286"/>
      <c r="CI65" s="286">
        <f>CI28</f>
        <v>0</v>
      </c>
      <c r="CJ65" s="286">
        <f>CJ28</f>
        <v>0</v>
      </c>
    </row>
    <row r="66" spans="1:88" ht="45" x14ac:dyDescent="0.25">
      <c r="A66" s="381"/>
      <c r="B66" s="352" t="s">
        <v>1752</v>
      </c>
      <c r="C66" s="95"/>
      <c r="D66" s="95"/>
      <c r="E66" s="282">
        <f t="shared" ref="E66:BT66" si="56">E67+E68</f>
        <v>0</v>
      </c>
      <c r="F66" s="282">
        <f t="shared" si="56"/>
        <v>0</v>
      </c>
      <c r="G66" s="282">
        <f t="shared" si="56"/>
        <v>0</v>
      </c>
      <c r="H66" s="282">
        <f t="shared" si="56"/>
        <v>0</v>
      </c>
      <c r="I66" s="282">
        <f t="shared" si="56"/>
        <v>72102</v>
      </c>
      <c r="J66" s="282">
        <f t="shared" si="56"/>
        <v>68304</v>
      </c>
      <c r="K66" s="282">
        <f>K67+K68</f>
        <v>65143</v>
      </c>
      <c r="L66" s="282">
        <f>L67+L68</f>
        <v>1042</v>
      </c>
      <c r="M66" s="282">
        <f>M67+M68</f>
        <v>876</v>
      </c>
      <c r="N66" s="282">
        <f>N67+N68</f>
        <v>926</v>
      </c>
      <c r="O66" s="313"/>
      <c r="P66" s="282">
        <f t="shared" si="56"/>
        <v>65143</v>
      </c>
      <c r="Q66" s="282">
        <f t="shared" si="56"/>
        <v>62980</v>
      </c>
      <c r="R66" s="282">
        <f t="shared" si="56"/>
        <v>957</v>
      </c>
      <c r="S66" s="282">
        <f t="shared" si="56"/>
        <v>957</v>
      </c>
      <c r="T66" s="286"/>
      <c r="U66" s="282">
        <f t="shared" si="56"/>
        <v>824</v>
      </c>
      <c r="V66" s="282">
        <f t="shared" si="56"/>
        <v>824</v>
      </c>
      <c r="W66" s="286"/>
      <c r="X66" s="282">
        <f t="shared" si="56"/>
        <v>983</v>
      </c>
      <c r="Y66" s="282">
        <f t="shared" si="56"/>
        <v>983</v>
      </c>
      <c r="Z66" s="286"/>
      <c r="AA66" s="282">
        <f t="shared" si="56"/>
        <v>1246</v>
      </c>
      <c r="AB66" s="282">
        <f t="shared" si="56"/>
        <v>1246</v>
      </c>
      <c r="AC66" s="286"/>
      <c r="AD66" s="282">
        <f t="shared" si="56"/>
        <v>1026</v>
      </c>
      <c r="AE66" s="282">
        <f t="shared" si="56"/>
        <v>1026</v>
      </c>
      <c r="AF66" s="286"/>
      <c r="AG66" s="282">
        <f t="shared" si="56"/>
        <v>990</v>
      </c>
      <c r="AH66" s="282">
        <f t="shared" si="56"/>
        <v>990</v>
      </c>
      <c r="AI66" s="286"/>
      <c r="AJ66" s="282">
        <f t="shared" si="56"/>
        <v>1486</v>
      </c>
      <c r="AK66" s="282">
        <f t="shared" si="56"/>
        <v>1486</v>
      </c>
      <c r="AL66" s="286"/>
      <c r="AM66" s="282">
        <f t="shared" si="56"/>
        <v>5322</v>
      </c>
      <c r="AN66" s="282">
        <f t="shared" si="56"/>
        <v>5046</v>
      </c>
      <c r="AO66" s="286"/>
      <c r="AP66" s="282">
        <f t="shared" si="56"/>
        <v>598</v>
      </c>
      <c r="AQ66" s="282">
        <f t="shared" si="56"/>
        <v>598</v>
      </c>
      <c r="AR66" s="286"/>
      <c r="AS66" s="282">
        <f t="shared" si="56"/>
        <v>3881</v>
      </c>
      <c r="AT66" s="282">
        <f t="shared" si="56"/>
        <v>3881</v>
      </c>
      <c r="AU66" s="286"/>
      <c r="AV66" s="282">
        <f t="shared" si="56"/>
        <v>1323</v>
      </c>
      <c r="AW66" s="282">
        <f t="shared" si="56"/>
        <v>1323</v>
      </c>
      <c r="AX66" s="286"/>
      <c r="AY66" s="282">
        <f t="shared" si="56"/>
        <v>1805</v>
      </c>
      <c r="AZ66" s="282">
        <f t="shared" si="56"/>
        <v>1805</v>
      </c>
      <c r="BA66" s="286"/>
      <c r="BB66" s="282">
        <f t="shared" si="56"/>
        <v>4217</v>
      </c>
      <c r="BC66" s="282">
        <f t="shared" si="56"/>
        <v>4217</v>
      </c>
      <c r="BD66" s="286"/>
      <c r="BE66" s="282">
        <f t="shared" si="56"/>
        <v>10256</v>
      </c>
      <c r="BF66" s="282">
        <f t="shared" si="56"/>
        <v>10256</v>
      </c>
      <c r="BG66" s="286"/>
      <c r="BH66" s="282">
        <f t="shared" si="56"/>
        <v>19281</v>
      </c>
      <c r="BI66" s="282">
        <f t="shared" si="56"/>
        <v>17394</v>
      </c>
      <c r="BJ66" s="286"/>
      <c r="BK66" s="282">
        <f t="shared" si="56"/>
        <v>1559</v>
      </c>
      <c r="BL66" s="282">
        <f t="shared" si="56"/>
        <v>1559</v>
      </c>
      <c r="BM66" s="286"/>
      <c r="BN66" s="282">
        <f t="shared" si="56"/>
        <v>1344</v>
      </c>
      <c r="BO66" s="282">
        <f t="shared" si="56"/>
        <v>1344</v>
      </c>
      <c r="BP66" s="286"/>
      <c r="BQ66" s="282">
        <f t="shared" si="56"/>
        <v>2188</v>
      </c>
      <c r="BR66" s="282">
        <f t="shared" si="56"/>
        <v>2188</v>
      </c>
      <c r="BS66" s="286"/>
      <c r="BT66" s="282">
        <f t="shared" si="56"/>
        <v>2426</v>
      </c>
      <c r="BU66" s="282">
        <f t="shared" ref="BU66:CA66" si="57">BU67+BU68</f>
        <v>2426</v>
      </c>
      <c r="BV66" s="286"/>
      <c r="BW66" s="282">
        <f t="shared" si="57"/>
        <v>640</v>
      </c>
      <c r="BX66" s="282">
        <f t="shared" si="57"/>
        <v>640</v>
      </c>
      <c r="BY66" s="286"/>
      <c r="BZ66" s="282">
        <f t="shared" si="57"/>
        <v>1518</v>
      </c>
      <c r="CA66" s="282">
        <f t="shared" si="57"/>
        <v>1518</v>
      </c>
      <c r="CB66" s="286"/>
      <c r="CC66" s="282">
        <f t="shared" ref="CC66:CJ66" si="58">CC67+CC68</f>
        <v>1273</v>
      </c>
      <c r="CD66" s="282">
        <f t="shared" si="58"/>
        <v>1273</v>
      </c>
      <c r="CE66" s="286"/>
      <c r="CF66" s="282">
        <f t="shared" si="58"/>
        <v>0</v>
      </c>
      <c r="CG66" s="282">
        <f t="shared" si="58"/>
        <v>0</v>
      </c>
      <c r="CH66" s="286"/>
      <c r="CI66" s="282">
        <f t="shared" si="58"/>
        <v>0</v>
      </c>
      <c r="CJ66" s="282">
        <f t="shared" si="58"/>
        <v>0</v>
      </c>
    </row>
    <row r="67" spans="1:88" ht="30" x14ac:dyDescent="0.25">
      <c r="A67" s="381"/>
      <c r="B67" s="16" t="s">
        <v>1183</v>
      </c>
      <c r="C67" s="95" t="s">
        <v>19</v>
      </c>
      <c r="D67" s="95" t="s">
        <v>950</v>
      </c>
      <c r="E67" s="282"/>
      <c r="F67" s="282"/>
      <c r="G67" s="282"/>
      <c r="H67" s="282"/>
      <c r="I67" s="282">
        <v>66670</v>
      </c>
      <c r="J67" s="282">
        <f>62778+450</f>
        <v>63228</v>
      </c>
      <c r="K67" s="282">
        <f>58405+2162</f>
        <v>60567</v>
      </c>
      <c r="L67" s="282">
        <v>581</v>
      </c>
      <c r="M67" s="282">
        <v>520</v>
      </c>
      <c r="N67" s="282">
        <v>556</v>
      </c>
      <c r="O67" s="313"/>
      <c r="P67" s="286">
        <f>R67+U67+X67+AA67+AD67+AG67+AJ67+AM67+AP67+AS67+AV67+AY67+BB67+BE67+BH67+BK67+BN67+BQ67+BT67+BW67+BZ67+CC67+CF67+CI67</f>
        <v>60567</v>
      </c>
      <c r="Q67" s="286">
        <f>S67+V67+Y67+AB67+AE67+AH67+AK67+AN67+AQ67+AT67+AW67+AZ67+BC67+BF67+BI67+BL67+BO67+BR67+BU67+BX67+CA67+CD67+CG67+CJ67</f>
        <v>58405</v>
      </c>
      <c r="R67" s="286">
        <v>656</v>
      </c>
      <c r="S67" s="286">
        <v>656</v>
      </c>
      <c r="T67" s="286"/>
      <c r="U67" s="286">
        <v>521</v>
      </c>
      <c r="V67" s="286">
        <v>521</v>
      </c>
      <c r="W67" s="286"/>
      <c r="X67" s="286">
        <v>688</v>
      </c>
      <c r="Y67" s="286">
        <v>688</v>
      </c>
      <c r="Z67" s="286"/>
      <c r="AA67" s="286">
        <v>729</v>
      </c>
      <c r="AB67" s="286">
        <v>729</v>
      </c>
      <c r="AC67" s="286"/>
      <c r="AD67" s="286">
        <v>833</v>
      </c>
      <c r="AE67" s="286">
        <v>833</v>
      </c>
      <c r="AF67" s="286"/>
      <c r="AG67" s="286">
        <v>509</v>
      </c>
      <c r="AH67" s="286">
        <v>509</v>
      </c>
      <c r="AI67" s="286"/>
      <c r="AJ67" s="286">
        <v>1391</v>
      </c>
      <c r="AK67" s="286">
        <v>1391</v>
      </c>
      <c r="AL67" s="286"/>
      <c r="AM67" s="286">
        <v>3529</v>
      </c>
      <c r="AN67" s="286">
        <f>3529-275</f>
        <v>3254</v>
      </c>
      <c r="AO67" s="286"/>
      <c r="AP67" s="286">
        <v>0</v>
      </c>
      <c r="AQ67" s="286">
        <v>0</v>
      </c>
      <c r="AR67" s="286"/>
      <c r="AS67" s="286">
        <v>3881</v>
      </c>
      <c r="AT67" s="286">
        <v>3881</v>
      </c>
      <c r="AU67" s="286"/>
      <c r="AV67" s="286">
        <v>1323</v>
      </c>
      <c r="AW67" s="286">
        <v>1323</v>
      </c>
      <c r="AX67" s="286"/>
      <c r="AY67" s="286">
        <v>1805</v>
      </c>
      <c r="AZ67" s="286">
        <v>1805</v>
      </c>
      <c r="BA67" s="286"/>
      <c r="BB67" s="286">
        <v>4217</v>
      </c>
      <c r="BC67" s="286">
        <v>4217</v>
      </c>
      <c r="BD67" s="286"/>
      <c r="BE67" s="286">
        <v>10256</v>
      </c>
      <c r="BF67" s="286">
        <v>10256</v>
      </c>
      <c r="BG67" s="286"/>
      <c r="BH67" s="286">
        <f>17394+1887</f>
        <v>19281</v>
      </c>
      <c r="BI67" s="286">
        <v>17394</v>
      </c>
      <c r="BJ67" s="286"/>
      <c r="BK67" s="286">
        <v>1559</v>
      </c>
      <c r="BL67" s="286">
        <v>1559</v>
      </c>
      <c r="BM67" s="286"/>
      <c r="BN67" s="286">
        <v>1344</v>
      </c>
      <c r="BO67" s="286">
        <v>1344</v>
      </c>
      <c r="BP67" s="286"/>
      <c r="BQ67" s="286">
        <v>2188</v>
      </c>
      <c r="BR67" s="286">
        <v>2188</v>
      </c>
      <c r="BS67" s="286"/>
      <c r="BT67" s="286">
        <v>2426</v>
      </c>
      <c r="BU67" s="286">
        <v>2426</v>
      </c>
      <c r="BV67" s="286"/>
      <c r="BW67" s="286">
        <v>640</v>
      </c>
      <c r="BX67" s="286">
        <v>640</v>
      </c>
      <c r="BY67" s="286"/>
      <c r="BZ67" s="286">
        <v>1518</v>
      </c>
      <c r="CA67" s="286">
        <v>1518</v>
      </c>
      <c r="CB67" s="286"/>
      <c r="CC67" s="286">
        <v>1273</v>
      </c>
      <c r="CD67" s="286">
        <v>1273</v>
      </c>
      <c r="CE67" s="286"/>
      <c r="CF67" s="286">
        <v>0</v>
      </c>
      <c r="CG67" s="286">
        <v>0</v>
      </c>
      <c r="CH67" s="286"/>
      <c r="CI67" s="286">
        <v>0</v>
      </c>
      <c r="CJ67" s="286">
        <v>0</v>
      </c>
    </row>
    <row r="68" spans="1:88" ht="30" x14ac:dyDescent="0.25">
      <c r="A68" s="381"/>
      <c r="B68" s="16" t="s">
        <v>1185</v>
      </c>
      <c r="C68" s="95" t="s">
        <v>19</v>
      </c>
      <c r="D68" s="95" t="s">
        <v>950</v>
      </c>
      <c r="E68" s="282"/>
      <c r="F68" s="282"/>
      <c r="G68" s="282"/>
      <c r="H68" s="282"/>
      <c r="I68" s="282">
        <f>5422+10</f>
        <v>5432</v>
      </c>
      <c r="J68" s="282">
        <f>5046+30</f>
        <v>5076</v>
      </c>
      <c r="K68" s="282">
        <f>4575+1</f>
        <v>4576</v>
      </c>
      <c r="L68" s="282">
        <v>461</v>
      </c>
      <c r="M68" s="282">
        <v>356</v>
      </c>
      <c r="N68" s="282">
        <v>370</v>
      </c>
      <c r="O68" s="313"/>
      <c r="P68" s="286">
        <f>R68+U68+X68+AA68+AD68+AG68+AJ68+AM68+AP68+AS68+AV68+AY68+BB68+BE68+BH68+BK68+BN68+BQ68+BT68+BW68+BZ68+CC68+CF68+CI68</f>
        <v>4576</v>
      </c>
      <c r="Q68" s="286">
        <f>S68+V68+Y68+AB68+AE68+AH68+AK68+AN68+AQ68+AT68+AW68+AZ68+BC68+BF68+BI68+BL68+BO68+BR68+BU68+BX68+CA68+CD68+CG68+CJ68</f>
        <v>4575</v>
      </c>
      <c r="R68" s="286">
        <v>301</v>
      </c>
      <c r="S68" s="286">
        <v>301</v>
      </c>
      <c r="T68" s="286"/>
      <c r="U68" s="286">
        <v>303</v>
      </c>
      <c r="V68" s="286">
        <v>303</v>
      </c>
      <c r="W68" s="286"/>
      <c r="X68" s="286">
        <v>295</v>
      </c>
      <c r="Y68" s="286">
        <v>295</v>
      </c>
      <c r="Z68" s="286"/>
      <c r="AA68" s="286">
        <v>517</v>
      </c>
      <c r="AB68" s="286">
        <v>517</v>
      </c>
      <c r="AC68" s="286"/>
      <c r="AD68" s="286">
        <v>193</v>
      </c>
      <c r="AE68" s="286">
        <v>193</v>
      </c>
      <c r="AF68" s="286"/>
      <c r="AG68" s="286">
        <v>481</v>
      </c>
      <c r="AH68" s="286">
        <v>481</v>
      </c>
      <c r="AI68" s="286"/>
      <c r="AJ68" s="286">
        <v>95</v>
      </c>
      <c r="AK68" s="286">
        <v>95</v>
      </c>
      <c r="AL68" s="286"/>
      <c r="AM68" s="286">
        <f>1518+275</f>
        <v>1793</v>
      </c>
      <c r="AN68" s="286">
        <f>1518+274</f>
        <v>1792</v>
      </c>
      <c r="AO68" s="286"/>
      <c r="AP68" s="286">
        <v>598</v>
      </c>
      <c r="AQ68" s="286">
        <v>598</v>
      </c>
      <c r="AR68" s="286"/>
      <c r="AS68" s="286">
        <v>0</v>
      </c>
      <c r="AT68" s="286">
        <v>0</v>
      </c>
      <c r="AU68" s="286"/>
      <c r="AV68" s="286">
        <v>0</v>
      </c>
      <c r="AW68" s="286">
        <v>0</v>
      </c>
      <c r="AX68" s="286"/>
      <c r="AY68" s="286">
        <v>0</v>
      </c>
      <c r="AZ68" s="286">
        <v>0</v>
      </c>
      <c r="BA68" s="286"/>
      <c r="BB68" s="286">
        <v>0</v>
      </c>
      <c r="BC68" s="286">
        <v>0</v>
      </c>
      <c r="BD68" s="286"/>
      <c r="BE68" s="286">
        <v>0</v>
      </c>
      <c r="BF68" s="286">
        <v>0</v>
      </c>
      <c r="BG68" s="286"/>
      <c r="BH68" s="286">
        <v>0</v>
      </c>
      <c r="BI68" s="286">
        <v>0</v>
      </c>
      <c r="BJ68" s="286"/>
      <c r="BK68" s="286">
        <v>0</v>
      </c>
      <c r="BL68" s="286">
        <v>0</v>
      </c>
      <c r="BM68" s="286"/>
      <c r="BN68" s="286">
        <v>0</v>
      </c>
      <c r="BO68" s="286">
        <v>0</v>
      </c>
      <c r="BP68" s="286"/>
      <c r="BQ68" s="286">
        <v>0</v>
      </c>
      <c r="BR68" s="286">
        <v>0</v>
      </c>
      <c r="BS68" s="286"/>
      <c r="BT68" s="286">
        <v>0</v>
      </c>
      <c r="BU68" s="286">
        <v>0</v>
      </c>
      <c r="BV68" s="286"/>
      <c r="BW68" s="286">
        <v>0</v>
      </c>
      <c r="BX68" s="286">
        <v>0</v>
      </c>
      <c r="BY68" s="286"/>
      <c r="BZ68" s="286">
        <v>0</v>
      </c>
      <c r="CA68" s="286">
        <v>0</v>
      </c>
      <c r="CB68" s="286"/>
      <c r="CC68" s="286">
        <v>0</v>
      </c>
      <c r="CD68" s="286">
        <v>0</v>
      </c>
      <c r="CE68" s="286"/>
      <c r="CF68" s="286">
        <v>0</v>
      </c>
      <c r="CG68" s="286">
        <v>0</v>
      </c>
      <c r="CH68" s="286"/>
      <c r="CI68" s="286">
        <v>0</v>
      </c>
      <c r="CJ68" s="286">
        <v>0</v>
      </c>
    </row>
    <row r="69" spans="1:88" ht="45" x14ac:dyDescent="0.25">
      <c r="A69" s="381"/>
      <c r="B69" s="352" t="s">
        <v>1755</v>
      </c>
      <c r="C69" s="95"/>
      <c r="D69" s="95"/>
      <c r="E69" s="282">
        <f t="shared" ref="E69:Q69" si="59">E70+E71</f>
        <v>0</v>
      </c>
      <c r="F69" s="282">
        <f t="shared" si="59"/>
        <v>0</v>
      </c>
      <c r="G69" s="282">
        <f t="shared" si="59"/>
        <v>0</v>
      </c>
      <c r="H69" s="282">
        <f t="shared" si="59"/>
        <v>0</v>
      </c>
      <c r="I69" s="282">
        <f t="shared" si="59"/>
        <v>97737</v>
      </c>
      <c r="J69" s="282">
        <f t="shared" si="59"/>
        <v>98764</v>
      </c>
      <c r="K69" s="282">
        <f>K70+K71</f>
        <v>96798</v>
      </c>
      <c r="L69" s="282">
        <f t="shared" ref="L69:N69" si="60">L70+L71</f>
        <v>1486</v>
      </c>
      <c r="M69" s="282">
        <f t="shared" si="60"/>
        <v>1054</v>
      </c>
      <c r="N69" s="282">
        <f t="shared" si="60"/>
        <v>1255</v>
      </c>
      <c r="O69" s="313"/>
      <c r="P69" s="282">
        <f t="shared" si="59"/>
        <v>96781</v>
      </c>
      <c r="Q69" s="282">
        <f t="shared" si="59"/>
        <v>93833</v>
      </c>
      <c r="R69" s="282">
        <f>R70+R71</f>
        <v>1569</v>
      </c>
      <c r="S69" s="282">
        <f>S70+S71</f>
        <v>1507</v>
      </c>
      <c r="T69" s="286"/>
      <c r="U69" s="282">
        <f>U70+U71</f>
        <v>1419</v>
      </c>
      <c r="V69" s="282">
        <f>V70+V71</f>
        <v>1313</v>
      </c>
      <c r="W69" s="286"/>
      <c r="X69" s="282">
        <f>X70+X71</f>
        <v>1620</v>
      </c>
      <c r="Y69" s="282">
        <f>Y70+Y71</f>
        <v>1531</v>
      </c>
      <c r="Z69" s="286"/>
      <c r="AA69" s="282">
        <f>AA70+AA71</f>
        <v>2085</v>
      </c>
      <c r="AB69" s="282">
        <f>AB70+AB71</f>
        <v>1819</v>
      </c>
      <c r="AC69" s="286"/>
      <c r="AD69" s="282">
        <f>AD70+AD71</f>
        <v>1540</v>
      </c>
      <c r="AE69" s="282">
        <f>AE70+AE71</f>
        <v>1477</v>
      </c>
      <c r="AF69" s="286"/>
      <c r="AG69" s="282">
        <f>AG70+AG71</f>
        <v>1497</v>
      </c>
      <c r="AH69" s="282">
        <f>AH70+AH71</f>
        <v>1486</v>
      </c>
      <c r="AI69" s="286"/>
      <c r="AJ69" s="282">
        <f>AJ70+AJ71</f>
        <v>2550</v>
      </c>
      <c r="AK69" s="282">
        <f>AK70+AK71</f>
        <v>2379</v>
      </c>
      <c r="AL69" s="286"/>
      <c r="AM69" s="282">
        <f>AM70+AM71</f>
        <v>6951</v>
      </c>
      <c r="AN69" s="282">
        <f>AN70+AN71</f>
        <v>6519</v>
      </c>
      <c r="AO69" s="286"/>
      <c r="AP69" s="282">
        <f>AP70+AP71</f>
        <v>802</v>
      </c>
      <c r="AQ69" s="282">
        <f>AQ70+AQ71</f>
        <v>758</v>
      </c>
      <c r="AR69" s="286"/>
      <c r="AS69" s="282">
        <f>AS70+AS71</f>
        <v>6557</v>
      </c>
      <c r="AT69" s="282">
        <f>AT70+AT71</f>
        <v>6882</v>
      </c>
      <c r="AU69" s="286"/>
      <c r="AV69" s="282">
        <f>AV70+AV71</f>
        <v>2072</v>
      </c>
      <c r="AW69" s="282">
        <f>AW70+AW71</f>
        <v>1828</v>
      </c>
      <c r="AX69" s="286"/>
      <c r="AY69" s="282">
        <f>AY70+AY71</f>
        <v>3034</v>
      </c>
      <c r="AZ69" s="282">
        <f>AZ70+AZ71</f>
        <v>2803</v>
      </c>
      <c r="BA69" s="286"/>
      <c r="BB69" s="282">
        <f>BB70+BB71</f>
        <v>6760</v>
      </c>
      <c r="BC69" s="282">
        <f>BC70+BC71</f>
        <v>6464</v>
      </c>
      <c r="BD69" s="286"/>
      <c r="BE69" s="282">
        <f>BE70+BE71</f>
        <v>15651</v>
      </c>
      <c r="BF69" s="282">
        <f>BF70+BF71</f>
        <v>15571</v>
      </c>
      <c r="BG69" s="286"/>
      <c r="BH69" s="282">
        <f>BH70+BH71</f>
        <v>25532</v>
      </c>
      <c r="BI69" s="282">
        <f>BI70+BI71</f>
        <v>25392</v>
      </c>
      <c r="BJ69" s="286"/>
      <c r="BK69" s="282">
        <f>BK70+BK71</f>
        <v>2330</v>
      </c>
      <c r="BL69" s="282">
        <f>BL70+BL71</f>
        <v>2179</v>
      </c>
      <c r="BM69" s="286"/>
      <c r="BN69" s="282">
        <f>BN70+BN71</f>
        <v>2303</v>
      </c>
      <c r="BO69" s="282">
        <f>BO70+BO71</f>
        <v>2183</v>
      </c>
      <c r="BP69" s="286"/>
      <c r="BQ69" s="282">
        <f>BQ70+BQ71</f>
        <v>3477</v>
      </c>
      <c r="BR69" s="282">
        <f>BR70+BR71</f>
        <v>3223</v>
      </c>
      <c r="BS69" s="286"/>
      <c r="BT69" s="282">
        <f>BT70+BT71</f>
        <v>3404</v>
      </c>
      <c r="BU69" s="282">
        <f>BU70+BU71</f>
        <v>3298</v>
      </c>
      <c r="BV69" s="286"/>
      <c r="BW69" s="282">
        <f>BW70+BW71</f>
        <v>960</v>
      </c>
      <c r="BX69" s="282">
        <f>BX70+BX71</f>
        <v>901</v>
      </c>
      <c r="BY69" s="286"/>
      <c r="BZ69" s="282">
        <f>BZ70+BZ71</f>
        <v>2308</v>
      </c>
      <c r="CA69" s="282">
        <f>CA70+CA71</f>
        <v>2123</v>
      </c>
      <c r="CB69" s="286"/>
      <c r="CC69" s="282">
        <f>CC70+CC71</f>
        <v>2256</v>
      </c>
      <c r="CD69" s="282">
        <f>CD70+CD71</f>
        <v>2089</v>
      </c>
      <c r="CE69" s="286"/>
      <c r="CF69" s="282">
        <f>CF70+CF71</f>
        <v>104</v>
      </c>
      <c r="CG69" s="282">
        <f>CG70+CG71</f>
        <v>108</v>
      </c>
      <c r="CH69" s="286"/>
      <c r="CI69" s="282">
        <f>CI70+CI71</f>
        <v>0</v>
      </c>
      <c r="CJ69" s="282">
        <f>CJ70+CJ71</f>
        <v>0</v>
      </c>
    </row>
    <row r="70" spans="1:88" ht="30" x14ac:dyDescent="0.25">
      <c r="A70" s="381"/>
      <c r="B70" s="16" t="s">
        <v>1183</v>
      </c>
      <c r="C70" s="95" t="s">
        <v>2451</v>
      </c>
      <c r="D70" s="95" t="s">
        <v>950</v>
      </c>
      <c r="E70" s="282"/>
      <c r="F70" s="282"/>
      <c r="G70" s="282"/>
      <c r="H70" s="282"/>
      <c r="I70" s="282">
        <v>91247</v>
      </c>
      <c r="J70" s="282">
        <v>92309</v>
      </c>
      <c r="K70" s="282">
        <v>89871</v>
      </c>
      <c r="L70" s="282">
        <v>867</v>
      </c>
      <c r="M70" s="282">
        <v>613</v>
      </c>
      <c r="N70" s="282">
        <v>730</v>
      </c>
      <c r="O70" s="313"/>
      <c r="P70" s="286">
        <f>R70+U70+X70+AA70+AD70+AG70+AJ70+AM70+AP70+AS70+AV70+AY70+BB70+BE70+BH70+BK70+BN70+BQ70+BT70+BW70+BZ70+CC70+CF70+CI70</f>
        <v>90397</v>
      </c>
      <c r="Q70" s="286">
        <f>S70+V70+Y70+AB70+AE70+AH70+AK70+AN70+AQ70+AT70+AW70+AZ70+BC70+BF70+BI70+BL70+BO70+BR70+BU70+BX70+CA70+CD70+CG70+CJ70</f>
        <v>87939</v>
      </c>
      <c r="R70" s="286">
        <v>1110</v>
      </c>
      <c r="S70" s="286">
        <v>1059</v>
      </c>
      <c r="T70" s="286"/>
      <c r="U70" s="286">
        <v>825</v>
      </c>
      <c r="V70" s="286">
        <v>744</v>
      </c>
      <c r="W70" s="286"/>
      <c r="X70" s="286">
        <v>1127</v>
      </c>
      <c r="Y70" s="286">
        <v>1052</v>
      </c>
      <c r="Z70" s="286"/>
      <c r="AA70" s="286">
        <v>1266</v>
      </c>
      <c r="AB70" s="286">
        <v>1056</v>
      </c>
      <c r="AC70" s="286"/>
      <c r="AD70" s="286">
        <v>1423</v>
      </c>
      <c r="AE70" s="286">
        <v>1163</v>
      </c>
      <c r="AF70" s="286"/>
      <c r="AG70" s="286">
        <v>846</v>
      </c>
      <c r="AH70" s="286">
        <v>873</v>
      </c>
      <c r="AI70" s="286"/>
      <c r="AJ70" s="286">
        <v>2445</v>
      </c>
      <c r="AK70" s="286">
        <v>2279</v>
      </c>
      <c r="AL70" s="286"/>
      <c r="AM70" s="286">
        <v>4607</v>
      </c>
      <c r="AN70" s="286">
        <v>4669</v>
      </c>
      <c r="AO70" s="286"/>
      <c r="AP70" s="286">
        <v>0</v>
      </c>
      <c r="AQ70" s="286">
        <v>0</v>
      </c>
      <c r="AR70" s="286"/>
      <c r="AS70" s="286">
        <v>6557</v>
      </c>
      <c r="AT70" s="286">
        <v>6882</v>
      </c>
      <c r="AU70" s="286"/>
      <c r="AV70" s="286">
        <v>2072</v>
      </c>
      <c r="AW70" s="286">
        <v>1828</v>
      </c>
      <c r="AX70" s="286"/>
      <c r="AY70" s="286">
        <v>3034</v>
      </c>
      <c r="AZ70" s="286">
        <v>2803</v>
      </c>
      <c r="BA70" s="286"/>
      <c r="BB70" s="286">
        <v>6760</v>
      </c>
      <c r="BC70" s="286">
        <v>6464</v>
      </c>
      <c r="BD70" s="286"/>
      <c r="BE70" s="286">
        <v>15651</v>
      </c>
      <c r="BF70" s="286">
        <v>15571</v>
      </c>
      <c r="BG70" s="286"/>
      <c r="BH70" s="286">
        <v>25532</v>
      </c>
      <c r="BI70" s="286">
        <v>25392</v>
      </c>
      <c r="BJ70" s="286"/>
      <c r="BK70" s="286">
        <v>2330</v>
      </c>
      <c r="BL70" s="286">
        <v>2179</v>
      </c>
      <c r="BM70" s="286"/>
      <c r="BN70" s="286">
        <v>2303</v>
      </c>
      <c r="BO70" s="286">
        <v>2183</v>
      </c>
      <c r="BP70" s="286"/>
      <c r="BQ70" s="286">
        <v>3477</v>
      </c>
      <c r="BR70" s="286">
        <v>3223</v>
      </c>
      <c r="BS70" s="286"/>
      <c r="BT70" s="286">
        <v>3404</v>
      </c>
      <c r="BU70" s="286">
        <v>3298</v>
      </c>
      <c r="BV70" s="286"/>
      <c r="BW70" s="286">
        <v>960</v>
      </c>
      <c r="BX70" s="286">
        <v>901</v>
      </c>
      <c r="BY70" s="286"/>
      <c r="BZ70" s="286">
        <v>2308</v>
      </c>
      <c r="CA70" s="286">
        <v>2123</v>
      </c>
      <c r="CB70" s="286"/>
      <c r="CC70" s="286">
        <v>2256</v>
      </c>
      <c r="CD70" s="286">
        <v>2089</v>
      </c>
      <c r="CE70" s="286"/>
      <c r="CF70" s="286">
        <v>104</v>
      </c>
      <c r="CG70" s="286">
        <v>108</v>
      </c>
      <c r="CH70" s="286"/>
      <c r="CI70" s="286">
        <v>0</v>
      </c>
      <c r="CJ70" s="286">
        <v>0</v>
      </c>
    </row>
    <row r="71" spans="1:88" ht="30" x14ac:dyDescent="0.25">
      <c r="A71" s="381"/>
      <c r="B71" s="16" t="s">
        <v>1185</v>
      </c>
      <c r="C71" s="95" t="s">
        <v>2451</v>
      </c>
      <c r="D71" s="95" t="s">
        <v>950</v>
      </c>
      <c r="E71" s="282"/>
      <c r="F71" s="282"/>
      <c r="G71" s="282"/>
      <c r="H71" s="282"/>
      <c r="I71" s="282">
        <v>6490</v>
      </c>
      <c r="J71" s="282">
        <v>6455</v>
      </c>
      <c r="K71" s="282">
        <v>6927</v>
      </c>
      <c r="L71" s="282">
        <v>619</v>
      </c>
      <c r="M71" s="282">
        <v>441</v>
      </c>
      <c r="N71" s="282">
        <v>525</v>
      </c>
      <c r="O71" s="313"/>
      <c r="P71" s="286">
        <f>R71+U71+X71+AA71+AD71+AG71+AJ71+AM71+AP71+AS71+AV71+AY71+BB71+BE71+BH71+BK71+BN71+BQ71+BT71+BW71+BZ71+CC71+CF71+CI71</f>
        <v>6384</v>
      </c>
      <c r="Q71" s="286">
        <f>S71+V71+Y71+AB71+AE71+AH71+AK71+AN71+AQ71+AT71+AW71+AZ71+BC71+BF71+BI71+BL71+BO71+BR71+BU71+BX71+CA71+CD71+CG71+CJ71</f>
        <v>5894</v>
      </c>
      <c r="R71" s="286">
        <v>459</v>
      </c>
      <c r="S71" s="286">
        <v>448</v>
      </c>
      <c r="T71" s="286"/>
      <c r="U71" s="286">
        <v>594</v>
      </c>
      <c r="V71" s="286">
        <v>569</v>
      </c>
      <c r="W71" s="286"/>
      <c r="X71" s="286">
        <v>493</v>
      </c>
      <c r="Y71" s="286">
        <v>479</v>
      </c>
      <c r="Z71" s="286"/>
      <c r="AA71" s="286">
        <v>819</v>
      </c>
      <c r="AB71" s="286">
        <v>763</v>
      </c>
      <c r="AC71" s="286"/>
      <c r="AD71" s="286">
        <v>117</v>
      </c>
      <c r="AE71" s="286">
        <v>314</v>
      </c>
      <c r="AF71" s="286"/>
      <c r="AG71" s="286">
        <v>651</v>
      </c>
      <c r="AH71" s="286">
        <v>613</v>
      </c>
      <c r="AI71" s="286"/>
      <c r="AJ71" s="286">
        <v>105</v>
      </c>
      <c r="AK71" s="286">
        <v>100</v>
      </c>
      <c r="AL71" s="286"/>
      <c r="AM71" s="286">
        <v>2344</v>
      </c>
      <c r="AN71" s="286">
        <v>1850</v>
      </c>
      <c r="AO71" s="286"/>
      <c r="AP71" s="286">
        <v>802</v>
      </c>
      <c r="AQ71" s="286">
        <v>758</v>
      </c>
      <c r="AR71" s="286"/>
      <c r="AS71" s="286">
        <v>0</v>
      </c>
      <c r="AT71" s="286">
        <v>0</v>
      </c>
      <c r="AU71" s="286"/>
      <c r="AV71" s="286">
        <v>0</v>
      </c>
      <c r="AW71" s="286">
        <v>0</v>
      </c>
      <c r="AX71" s="286"/>
      <c r="AY71" s="286">
        <v>0</v>
      </c>
      <c r="AZ71" s="286">
        <v>0</v>
      </c>
      <c r="BA71" s="286"/>
      <c r="BB71" s="286">
        <v>0</v>
      </c>
      <c r="BC71" s="286">
        <v>0</v>
      </c>
      <c r="BD71" s="286"/>
      <c r="BE71" s="286">
        <v>0</v>
      </c>
      <c r="BF71" s="286">
        <v>0</v>
      </c>
      <c r="BG71" s="286"/>
      <c r="BH71" s="286">
        <v>0</v>
      </c>
      <c r="BI71" s="286">
        <v>0</v>
      </c>
      <c r="BJ71" s="286"/>
      <c r="BK71" s="286">
        <v>0</v>
      </c>
      <c r="BL71" s="286">
        <v>0</v>
      </c>
      <c r="BM71" s="286"/>
      <c r="BN71" s="286">
        <v>0</v>
      </c>
      <c r="BO71" s="286">
        <v>0</v>
      </c>
      <c r="BP71" s="286"/>
      <c r="BQ71" s="286">
        <v>0</v>
      </c>
      <c r="BR71" s="286">
        <v>0</v>
      </c>
      <c r="BS71" s="286"/>
      <c r="BT71" s="286">
        <v>0</v>
      </c>
      <c r="BU71" s="286">
        <v>0</v>
      </c>
      <c r="BV71" s="286"/>
      <c r="BW71" s="286">
        <v>0</v>
      </c>
      <c r="BX71" s="286">
        <v>0</v>
      </c>
      <c r="BY71" s="286"/>
      <c r="BZ71" s="286">
        <v>0</v>
      </c>
      <c r="CA71" s="286">
        <v>0</v>
      </c>
      <c r="CB71" s="286"/>
      <c r="CC71" s="286">
        <v>0</v>
      </c>
      <c r="CD71" s="286">
        <v>0</v>
      </c>
      <c r="CE71" s="286"/>
      <c r="CF71" s="286">
        <v>0</v>
      </c>
      <c r="CG71" s="286">
        <v>0</v>
      </c>
      <c r="CH71" s="286"/>
      <c r="CI71" s="286">
        <v>0</v>
      </c>
      <c r="CJ71" s="286">
        <v>0</v>
      </c>
    </row>
    <row r="72" spans="1:88" ht="30" x14ac:dyDescent="0.25">
      <c r="A72" s="381"/>
      <c r="B72" s="352" t="s">
        <v>1753</v>
      </c>
      <c r="C72" s="95"/>
      <c r="D72" s="95"/>
      <c r="E72" s="282">
        <f t="shared" ref="E72:Q72" si="61">E73+E74</f>
        <v>0</v>
      </c>
      <c r="F72" s="282">
        <f t="shared" si="61"/>
        <v>0</v>
      </c>
      <c r="G72" s="282">
        <f t="shared" si="61"/>
        <v>0</v>
      </c>
      <c r="H72" s="282">
        <f t="shared" si="61"/>
        <v>0</v>
      </c>
      <c r="I72" s="282">
        <f t="shared" si="61"/>
        <v>135535</v>
      </c>
      <c r="J72" s="282">
        <f t="shared" si="61"/>
        <v>136748</v>
      </c>
      <c r="K72" s="282">
        <f>K73+K74</f>
        <v>135950</v>
      </c>
      <c r="L72" s="282">
        <f t="shared" ref="L72:N72" si="62">L73+L74</f>
        <v>1730</v>
      </c>
      <c r="M72" s="282">
        <f t="shared" si="62"/>
        <v>1633</v>
      </c>
      <c r="N72" s="282">
        <f t="shared" si="62"/>
        <v>2005</v>
      </c>
      <c r="O72" s="313"/>
      <c r="P72" s="282">
        <f t="shared" si="61"/>
        <v>135950</v>
      </c>
      <c r="Q72" s="282">
        <f t="shared" si="61"/>
        <v>136378</v>
      </c>
      <c r="R72" s="282">
        <f>R73+R74</f>
        <v>1969</v>
      </c>
      <c r="S72" s="282">
        <f>S73+S74</f>
        <v>1969</v>
      </c>
      <c r="T72" s="286"/>
      <c r="U72" s="282">
        <f>U73+U74</f>
        <v>1873</v>
      </c>
      <c r="V72" s="282">
        <f>V73+V74</f>
        <v>1873</v>
      </c>
      <c r="W72" s="286"/>
      <c r="X72" s="282">
        <f>X73+X74</f>
        <v>2371</v>
      </c>
      <c r="Y72" s="282">
        <f>Y73+Y74</f>
        <v>2371</v>
      </c>
      <c r="Z72" s="286"/>
      <c r="AA72" s="282">
        <f>AA73+AA74</f>
        <v>2903</v>
      </c>
      <c r="AB72" s="282">
        <f>AB73+AB74</f>
        <v>2903</v>
      </c>
      <c r="AC72" s="286"/>
      <c r="AD72" s="282">
        <f>AD73+AD74</f>
        <v>2224</v>
      </c>
      <c r="AE72" s="282">
        <f>AE73+AE74</f>
        <v>2224</v>
      </c>
      <c r="AF72" s="286"/>
      <c r="AG72" s="282">
        <f>AG73+AG74</f>
        <v>2235</v>
      </c>
      <c r="AH72" s="282">
        <f>AH73+AH74</f>
        <v>2235</v>
      </c>
      <c r="AI72" s="286"/>
      <c r="AJ72" s="282">
        <f>AJ73+AJ74</f>
        <v>3595</v>
      </c>
      <c r="AK72" s="282">
        <f>AK73+AK74</f>
        <v>3595</v>
      </c>
      <c r="AL72" s="286"/>
      <c r="AM72" s="282">
        <f>AM73+AM74</f>
        <v>11398</v>
      </c>
      <c r="AN72" s="282">
        <f>AN73+AN74</f>
        <v>11826</v>
      </c>
      <c r="AO72" s="286"/>
      <c r="AP72" s="282">
        <f>AP73+AP74</f>
        <v>1414</v>
      </c>
      <c r="AQ72" s="282">
        <f>AQ73+AQ74</f>
        <v>1414</v>
      </c>
      <c r="AR72" s="286"/>
      <c r="AS72" s="282">
        <f>AS73+AS74</f>
        <v>8418</v>
      </c>
      <c r="AT72" s="282">
        <f>AT73+AT74</f>
        <v>8418</v>
      </c>
      <c r="AU72" s="286"/>
      <c r="AV72" s="282">
        <f>AV73+AV74</f>
        <v>3093</v>
      </c>
      <c r="AW72" s="282">
        <f>AW73+AW74</f>
        <v>3093</v>
      </c>
      <c r="AX72" s="286"/>
      <c r="AY72" s="282">
        <f>AY73+AY74</f>
        <v>4344</v>
      </c>
      <c r="AZ72" s="282">
        <f>AZ73+AZ74</f>
        <v>4344</v>
      </c>
      <c r="BA72" s="286"/>
      <c r="BB72" s="282">
        <f>BB73+BB74</f>
        <v>9233</v>
      </c>
      <c r="BC72" s="282">
        <f>BC73+BC74</f>
        <v>9233</v>
      </c>
      <c r="BD72" s="286"/>
      <c r="BE72" s="282">
        <f>BE73+BE74</f>
        <v>22180</v>
      </c>
      <c r="BF72" s="282">
        <f>BF73+BF74</f>
        <v>22180</v>
      </c>
      <c r="BG72" s="286"/>
      <c r="BH72" s="282">
        <f>BH73+BH74</f>
        <v>33907</v>
      </c>
      <c r="BI72" s="282">
        <f>BI73+BI74</f>
        <v>33907</v>
      </c>
      <c r="BJ72" s="286"/>
      <c r="BK72" s="282">
        <f>BK73+BK74</f>
        <v>3523</v>
      </c>
      <c r="BL72" s="282">
        <f>BL73+BL74</f>
        <v>3523</v>
      </c>
      <c r="BM72" s="286"/>
      <c r="BN72" s="282">
        <f>BN73+BN74</f>
        <v>3238</v>
      </c>
      <c r="BO72" s="282">
        <f>BO73+BO74</f>
        <v>3238</v>
      </c>
      <c r="BP72" s="286"/>
      <c r="BQ72" s="282">
        <f>BQ73+BQ74</f>
        <v>4934</v>
      </c>
      <c r="BR72" s="282">
        <f>BR73+BR74</f>
        <v>4934</v>
      </c>
      <c r="BS72" s="286"/>
      <c r="BT72" s="282">
        <f>BT73+BT74</f>
        <v>5208</v>
      </c>
      <c r="BU72" s="282">
        <f>BU73+BU74</f>
        <v>5208</v>
      </c>
      <c r="BV72" s="286"/>
      <c r="BW72" s="282">
        <f>BW73+BW74</f>
        <v>1512</v>
      </c>
      <c r="BX72" s="282">
        <f>BX73+BX74</f>
        <v>1512</v>
      </c>
      <c r="BY72" s="286"/>
      <c r="BZ72" s="282">
        <f>BZ73+BZ74</f>
        <v>3384</v>
      </c>
      <c r="CA72" s="282">
        <f>CA73+CA74</f>
        <v>3384</v>
      </c>
      <c r="CB72" s="286"/>
      <c r="CC72" s="282">
        <f>CC73+CC74</f>
        <v>2994</v>
      </c>
      <c r="CD72" s="282">
        <f>CD73+CD74</f>
        <v>2994</v>
      </c>
      <c r="CE72" s="286"/>
      <c r="CF72" s="282">
        <f>CF73+CF74</f>
        <v>0</v>
      </c>
      <c r="CG72" s="282">
        <f>CG73+CG74</f>
        <v>0</v>
      </c>
      <c r="CH72" s="286"/>
      <c r="CI72" s="282">
        <f>CI73+CI74</f>
        <v>0</v>
      </c>
      <c r="CJ72" s="282">
        <f>CJ73+CJ74</f>
        <v>0</v>
      </c>
    </row>
    <row r="73" spans="1:88" ht="30" x14ac:dyDescent="0.25">
      <c r="A73" s="381"/>
      <c r="B73" s="16" t="s">
        <v>1183</v>
      </c>
      <c r="C73" s="95" t="s">
        <v>19</v>
      </c>
      <c r="D73" s="95" t="s">
        <v>950</v>
      </c>
      <c r="E73" s="282"/>
      <c r="F73" s="282"/>
      <c r="G73" s="282"/>
      <c r="H73" s="282"/>
      <c r="I73" s="282">
        <f>124124+470</f>
        <v>124594</v>
      </c>
      <c r="J73" s="282">
        <f>126334-40</f>
        <v>126294</v>
      </c>
      <c r="K73" s="282">
        <f>126192-145</f>
        <v>126047</v>
      </c>
      <c r="L73" s="282">
        <v>896</v>
      </c>
      <c r="M73" s="282">
        <v>880</v>
      </c>
      <c r="N73" s="282">
        <v>1163</v>
      </c>
      <c r="O73" s="313"/>
      <c r="P73" s="286">
        <f>R73+U73+X73+AA73+AD73+AG73+AJ73+AM73+AP73+AS73+AV73+AY73+BB73+BE73+BH73+BK73+BN73+BQ73+BT73+BW73+BZ73+CC73+CF73+CI73</f>
        <v>126047</v>
      </c>
      <c r="Q73" s="286">
        <f>S73+V73+Y73+AB73+AE73+AH73+AK73+AN73+AQ73+AT73+AW73+AZ73+BC73+BF73+BI73+BL73+BO73+BR73+BU73+BX73+CA73+CD73+CG73+CJ73</f>
        <v>126192</v>
      </c>
      <c r="R73" s="286">
        <v>1350</v>
      </c>
      <c r="S73" s="286">
        <v>1350</v>
      </c>
      <c r="T73" s="286"/>
      <c r="U73" s="286">
        <v>1184</v>
      </c>
      <c r="V73" s="286">
        <v>1184</v>
      </c>
      <c r="W73" s="286"/>
      <c r="X73" s="286">
        <v>1660</v>
      </c>
      <c r="Y73" s="286">
        <v>1660</v>
      </c>
      <c r="Z73" s="286"/>
      <c r="AA73" s="286">
        <v>1699</v>
      </c>
      <c r="AB73" s="286">
        <v>1699</v>
      </c>
      <c r="AC73" s="286"/>
      <c r="AD73" s="286">
        <v>1805</v>
      </c>
      <c r="AE73" s="286">
        <v>1805</v>
      </c>
      <c r="AF73" s="286"/>
      <c r="AG73" s="286">
        <v>1149</v>
      </c>
      <c r="AH73" s="286">
        <v>1149</v>
      </c>
      <c r="AI73" s="286"/>
      <c r="AJ73" s="286">
        <v>3365</v>
      </c>
      <c r="AK73" s="286">
        <v>3365</v>
      </c>
      <c r="AL73" s="286"/>
      <c r="AM73" s="286">
        <f>8269-402</f>
        <v>7867</v>
      </c>
      <c r="AN73" s="286">
        <f>8269-257</f>
        <v>8012</v>
      </c>
      <c r="AO73" s="286"/>
      <c r="AP73" s="286">
        <v>0</v>
      </c>
      <c r="AQ73" s="286">
        <v>0</v>
      </c>
      <c r="AR73" s="286"/>
      <c r="AS73" s="286">
        <v>8418</v>
      </c>
      <c r="AT73" s="286">
        <v>8418</v>
      </c>
      <c r="AU73" s="286"/>
      <c r="AV73" s="286">
        <v>3093</v>
      </c>
      <c r="AW73" s="286">
        <v>3093</v>
      </c>
      <c r="AX73" s="286"/>
      <c r="AY73" s="286">
        <v>4344</v>
      </c>
      <c r="AZ73" s="286">
        <v>4344</v>
      </c>
      <c r="BA73" s="286"/>
      <c r="BB73" s="286">
        <v>9233</v>
      </c>
      <c r="BC73" s="286">
        <v>9233</v>
      </c>
      <c r="BD73" s="286"/>
      <c r="BE73" s="286">
        <v>22180</v>
      </c>
      <c r="BF73" s="286">
        <v>22180</v>
      </c>
      <c r="BG73" s="286"/>
      <c r="BH73" s="286">
        <v>33907</v>
      </c>
      <c r="BI73" s="286">
        <v>33907</v>
      </c>
      <c r="BJ73" s="286"/>
      <c r="BK73" s="286">
        <v>3523</v>
      </c>
      <c r="BL73" s="286">
        <v>3523</v>
      </c>
      <c r="BM73" s="286"/>
      <c r="BN73" s="286">
        <v>3238</v>
      </c>
      <c r="BO73" s="286">
        <v>3238</v>
      </c>
      <c r="BP73" s="286"/>
      <c r="BQ73" s="286">
        <v>4934</v>
      </c>
      <c r="BR73" s="286">
        <v>4934</v>
      </c>
      <c r="BS73" s="286"/>
      <c r="BT73" s="286">
        <v>5208</v>
      </c>
      <c r="BU73" s="286">
        <v>5208</v>
      </c>
      <c r="BV73" s="286"/>
      <c r="BW73" s="286">
        <v>1512</v>
      </c>
      <c r="BX73" s="286">
        <v>1512</v>
      </c>
      <c r="BY73" s="286"/>
      <c r="BZ73" s="286">
        <v>3384</v>
      </c>
      <c r="CA73" s="286">
        <v>3384</v>
      </c>
      <c r="CB73" s="286"/>
      <c r="CC73" s="286">
        <v>2994</v>
      </c>
      <c r="CD73" s="286">
        <v>2994</v>
      </c>
      <c r="CE73" s="286"/>
      <c r="CF73" s="286">
        <v>0</v>
      </c>
      <c r="CG73" s="286">
        <v>0</v>
      </c>
      <c r="CH73" s="286"/>
      <c r="CI73" s="286">
        <v>0</v>
      </c>
      <c r="CJ73" s="286">
        <v>0</v>
      </c>
    </row>
    <row r="74" spans="1:88" ht="30" x14ac:dyDescent="0.25">
      <c r="A74" s="381"/>
      <c r="B74" s="16" t="s">
        <v>1185</v>
      </c>
      <c r="C74" s="95" t="s">
        <v>19</v>
      </c>
      <c r="D74" s="95" t="s">
        <v>950</v>
      </c>
      <c r="E74" s="282"/>
      <c r="F74" s="282"/>
      <c r="G74" s="282"/>
      <c r="H74" s="282"/>
      <c r="I74" s="282">
        <f>10696+245</f>
        <v>10941</v>
      </c>
      <c r="J74" s="282">
        <f>10642-188</f>
        <v>10454</v>
      </c>
      <c r="K74" s="282">
        <f>10186-283</f>
        <v>9903</v>
      </c>
      <c r="L74" s="282">
        <v>834</v>
      </c>
      <c r="M74" s="282">
        <v>753</v>
      </c>
      <c r="N74" s="282">
        <v>842</v>
      </c>
      <c r="O74" s="313"/>
      <c r="P74" s="286">
        <f>R74+U74+X74+AA74+AD74+AG74+AJ74+AM74+AP74+AS74+AV74+AY74+BB74+BE74+BH74+BK74+BN74+BQ74+BT74+BW74+BZ74+CC74+CF74+CI74</f>
        <v>9903</v>
      </c>
      <c r="Q74" s="286">
        <f>S74+V74+Y74+AB74+AE74+AH74+AK74+AN74+AQ74+AT74+AW74+AZ74+BC74+BF74+BI74+BL74+BO74+BR74+BU74+BX74+CA74+CD74+CG74+CJ74</f>
        <v>10186</v>
      </c>
      <c r="R74" s="286">
        <v>619</v>
      </c>
      <c r="S74" s="286">
        <v>619</v>
      </c>
      <c r="T74" s="286"/>
      <c r="U74" s="286">
        <v>689</v>
      </c>
      <c r="V74" s="286">
        <v>689</v>
      </c>
      <c r="W74" s="286"/>
      <c r="X74" s="286">
        <v>711</v>
      </c>
      <c r="Y74" s="286">
        <v>711</v>
      </c>
      <c r="Z74" s="286"/>
      <c r="AA74" s="286">
        <v>1204</v>
      </c>
      <c r="AB74" s="286">
        <v>1204</v>
      </c>
      <c r="AC74" s="286"/>
      <c r="AD74" s="286">
        <v>419</v>
      </c>
      <c r="AE74" s="286">
        <v>419</v>
      </c>
      <c r="AF74" s="286"/>
      <c r="AG74" s="286">
        <v>1086</v>
      </c>
      <c r="AH74" s="286">
        <v>1086</v>
      </c>
      <c r="AI74" s="286"/>
      <c r="AJ74" s="286">
        <v>230</v>
      </c>
      <c r="AK74" s="286">
        <v>230</v>
      </c>
      <c r="AL74" s="286"/>
      <c r="AM74" s="286">
        <f>3557-26</f>
        <v>3531</v>
      </c>
      <c r="AN74" s="286">
        <f>3557+257</f>
        <v>3814</v>
      </c>
      <c r="AO74" s="286"/>
      <c r="AP74" s="286">
        <v>1414</v>
      </c>
      <c r="AQ74" s="286">
        <v>1414</v>
      </c>
      <c r="AR74" s="286"/>
      <c r="AS74" s="286">
        <v>0</v>
      </c>
      <c r="AT74" s="286">
        <v>0</v>
      </c>
      <c r="AU74" s="286"/>
      <c r="AV74" s="286">
        <v>0</v>
      </c>
      <c r="AW74" s="286">
        <v>0</v>
      </c>
      <c r="AX74" s="286"/>
      <c r="AY74" s="286">
        <v>0</v>
      </c>
      <c r="AZ74" s="286">
        <v>0</v>
      </c>
      <c r="BA74" s="286"/>
      <c r="BB74" s="286">
        <v>0</v>
      </c>
      <c r="BC74" s="286">
        <v>0</v>
      </c>
      <c r="BD74" s="286"/>
      <c r="BE74" s="286">
        <v>0</v>
      </c>
      <c r="BF74" s="286">
        <v>0</v>
      </c>
      <c r="BG74" s="286"/>
      <c r="BH74" s="286">
        <v>0</v>
      </c>
      <c r="BI74" s="286">
        <v>0</v>
      </c>
      <c r="BJ74" s="286"/>
      <c r="BK74" s="286">
        <v>0</v>
      </c>
      <c r="BL74" s="286">
        <v>0</v>
      </c>
      <c r="BM74" s="286"/>
      <c r="BN74" s="286">
        <v>0</v>
      </c>
      <c r="BO74" s="286">
        <v>0</v>
      </c>
      <c r="BP74" s="286"/>
      <c r="BQ74" s="286">
        <v>0</v>
      </c>
      <c r="BR74" s="286">
        <v>0</v>
      </c>
      <c r="BS74" s="286"/>
      <c r="BT74" s="286">
        <v>0</v>
      </c>
      <c r="BU74" s="286">
        <v>0</v>
      </c>
      <c r="BV74" s="286"/>
      <c r="BW74" s="286">
        <v>0</v>
      </c>
      <c r="BX74" s="286">
        <v>0</v>
      </c>
      <c r="BY74" s="286"/>
      <c r="BZ74" s="286">
        <v>0</v>
      </c>
      <c r="CA74" s="286">
        <v>0</v>
      </c>
      <c r="CB74" s="286"/>
      <c r="CC74" s="286">
        <v>0</v>
      </c>
      <c r="CD74" s="286">
        <v>0</v>
      </c>
      <c r="CE74" s="286"/>
      <c r="CF74" s="286">
        <v>0</v>
      </c>
      <c r="CG74" s="286">
        <v>0</v>
      </c>
      <c r="CH74" s="286"/>
      <c r="CI74" s="286">
        <v>0</v>
      </c>
      <c r="CJ74" s="286">
        <v>0</v>
      </c>
    </row>
    <row r="75" spans="1:88" ht="90" x14ac:dyDescent="0.25">
      <c r="A75" s="95" t="s">
        <v>20</v>
      </c>
      <c r="B75" s="96" t="s">
        <v>1605</v>
      </c>
      <c r="C75" s="107"/>
      <c r="D75" s="95" t="s">
        <v>8</v>
      </c>
      <c r="E75" s="279">
        <f t="shared" ref="E75:BT75" si="63">E76/E77*100</f>
        <v>0.1165053068167255</v>
      </c>
      <c r="F75" s="279">
        <f t="shared" si="63"/>
        <v>0.34504167981353501</v>
      </c>
      <c r="G75" s="279">
        <f t="shared" si="63"/>
        <v>0.11889147850045764</v>
      </c>
      <c r="H75" s="279">
        <f t="shared" si="63"/>
        <v>8.9638518952144003E-2</v>
      </c>
      <c r="I75" s="279">
        <f t="shared" si="63"/>
        <v>0.62267158697585945</v>
      </c>
      <c r="J75" s="279">
        <f t="shared" si="63"/>
        <v>0.54420502056637943</v>
      </c>
      <c r="K75" s="279">
        <f>K76/K77*100</f>
        <v>0.73249741446361871</v>
      </c>
      <c r="L75" s="279">
        <f t="shared" ref="L75:N75" si="64">L76/L77*100</f>
        <v>0.54644808743169404</v>
      </c>
      <c r="M75" s="279">
        <f t="shared" si="64"/>
        <v>0.63916327716443933</v>
      </c>
      <c r="N75" s="279">
        <f t="shared" si="64"/>
        <v>0.73574494175352545</v>
      </c>
      <c r="O75" s="281" t="s">
        <v>23</v>
      </c>
      <c r="P75" s="279">
        <f t="shared" si="63"/>
        <v>0.73249741446361871</v>
      </c>
      <c r="Q75" s="279">
        <f t="shared" si="63"/>
        <v>0.40254741162895175</v>
      </c>
      <c r="R75" s="279">
        <f t="shared" si="63"/>
        <v>0</v>
      </c>
      <c r="S75" s="279">
        <f t="shared" si="63"/>
        <v>0</v>
      </c>
      <c r="U75" s="279">
        <f t="shared" si="63"/>
        <v>0</v>
      </c>
      <c r="V75" s="279">
        <f t="shared" si="63"/>
        <v>0</v>
      </c>
      <c r="X75" s="279">
        <f t="shared" si="63"/>
        <v>0</v>
      </c>
      <c r="Y75" s="279">
        <f t="shared" si="63"/>
        <v>0</v>
      </c>
      <c r="AA75" s="279">
        <f t="shared" si="63"/>
        <v>0</v>
      </c>
      <c r="AB75" s="279">
        <f t="shared" si="63"/>
        <v>0</v>
      </c>
      <c r="AD75" s="279">
        <f t="shared" si="63"/>
        <v>0</v>
      </c>
      <c r="AE75" s="279">
        <f t="shared" si="63"/>
        <v>0</v>
      </c>
      <c r="AG75" s="279">
        <f t="shared" si="63"/>
        <v>0.58201058201058198</v>
      </c>
      <c r="AH75" s="279">
        <f t="shared" si="63"/>
        <v>0.54644808743169404</v>
      </c>
      <c r="AJ75" s="279">
        <f t="shared" si="63"/>
        <v>0</v>
      </c>
      <c r="AK75" s="279">
        <f t="shared" si="63"/>
        <v>0</v>
      </c>
      <c r="AM75" s="279">
        <f t="shared" si="63"/>
        <v>0</v>
      </c>
      <c r="AN75" s="279">
        <f t="shared" si="63"/>
        <v>0</v>
      </c>
      <c r="AP75" s="279">
        <f t="shared" si="63"/>
        <v>0</v>
      </c>
      <c r="AQ75" s="279">
        <f t="shared" si="63"/>
        <v>0</v>
      </c>
      <c r="AS75" s="279">
        <f t="shared" si="63"/>
        <v>4.0123456790123457</v>
      </c>
      <c r="AT75" s="279">
        <f t="shared" si="63"/>
        <v>4.4803752159960508</v>
      </c>
      <c r="AV75" s="279">
        <f t="shared" si="63"/>
        <v>0</v>
      </c>
      <c r="AW75" s="279">
        <f t="shared" si="63"/>
        <v>0</v>
      </c>
      <c r="AY75" s="279">
        <f t="shared" si="63"/>
        <v>1.6715309100557179</v>
      </c>
      <c r="AZ75" s="279">
        <f t="shared" si="63"/>
        <v>0</v>
      </c>
      <c r="BB75" s="279">
        <f t="shared" si="63"/>
        <v>3.3246325044648994</v>
      </c>
      <c r="BC75" s="279">
        <f t="shared" si="63"/>
        <v>0</v>
      </c>
      <c r="BE75" s="279">
        <f t="shared" si="63"/>
        <v>0.18619084561675719</v>
      </c>
      <c r="BF75" s="279">
        <f t="shared" si="63"/>
        <v>0</v>
      </c>
      <c r="BH75" s="279">
        <f t="shared" si="63"/>
        <v>0.58252427184466016</v>
      </c>
      <c r="BI75" s="279">
        <f t="shared" si="63"/>
        <v>0.26791694574681846</v>
      </c>
      <c r="BK75" s="279">
        <f t="shared" si="63"/>
        <v>0</v>
      </c>
      <c r="BL75" s="279">
        <f t="shared" si="63"/>
        <v>0</v>
      </c>
      <c r="BN75" s="279">
        <f t="shared" si="63"/>
        <v>0</v>
      </c>
      <c r="BO75" s="279">
        <f t="shared" si="63"/>
        <v>0</v>
      </c>
      <c r="BQ75" s="279">
        <f t="shared" si="63"/>
        <v>0</v>
      </c>
      <c r="BR75" s="279">
        <f t="shared" si="63"/>
        <v>0</v>
      </c>
      <c r="BT75" s="279">
        <f t="shared" si="63"/>
        <v>0</v>
      </c>
      <c r="BU75" s="279">
        <f t="shared" ref="BU75:CA75" si="65">BU76/BU77*100</f>
        <v>0</v>
      </c>
      <c r="BW75" s="279">
        <f t="shared" si="65"/>
        <v>0</v>
      </c>
      <c r="BX75" s="279">
        <f t="shared" si="65"/>
        <v>0</v>
      </c>
      <c r="BZ75" s="279">
        <f t="shared" si="65"/>
        <v>0</v>
      </c>
      <c r="CA75" s="279">
        <f t="shared" si="65"/>
        <v>0</v>
      </c>
      <c r="CC75" s="279">
        <f t="shared" ref="CC75:CJ75" si="66">CC76/CC77*100</f>
        <v>0</v>
      </c>
      <c r="CD75" s="279">
        <f t="shared" si="66"/>
        <v>0</v>
      </c>
      <c r="CF75" s="279">
        <f t="shared" si="66"/>
        <v>0</v>
      </c>
      <c r="CG75" s="279">
        <f t="shared" si="66"/>
        <v>0</v>
      </c>
      <c r="CI75" s="279" t="e">
        <f t="shared" si="66"/>
        <v>#DIV/0!</v>
      </c>
      <c r="CJ75" s="279" t="e">
        <f t="shared" si="66"/>
        <v>#DIV/0!</v>
      </c>
    </row>
    <row r="76" spans="1:88" ht="45" x14ac:dyDescent="0.25">
      <c r="A76" s="107"/>
      <c r="B76" s="16" t="s">
        <v>21</v>
      </c>
      <c r="C76" s="95" t="s">
        <v>17</v>
      </c>
      <c r="D76" s="95" t="s">
        <v>950</v>
      </c>
      <c r="E76" s="282">
        <v>100</v>
      </c>
      <c r="F76" s="282">
        <f>270+69</f>
        <v>339</v>
      </c>
      <c r="G76" s="282">
        <v>126</v>
      </c>
      <c r="H76" s="282">
        <v>98</v>
      </c>
      <c r="I76" s="282">
        <v>707</v>
      </c>
      <c r="J76" s="282">
        <v>643</v>
      </c>
      <c r="K76" s="282">
        <v>857</v>
      </c>
      <c r="L76" s="282">
        <v>10</v>
      </c>
      <c r="M76" s="282">
        <v>11</v>
      </c>
      <c r="N76" s="282">
        <v>12</v>
      </c>
      <c r="O76" s="267" t="s">
        <v>1398</v>
      </c>
      <c r="P76" s="286">
        <f>R76+U76+X76+AA76+AD76+AG76+AJ76+AM76+AP76+AS76+AV76+AY76+BB76+BE76+BH76+BK76+BN76+BQ76+BT76+BW76+BZ76+CC76+CF76+CI76</f>
        <v>857</v>
      </c>
      <c r="Q76" s="286">
        <f>S76+V76+Y76+AB76+AE76+AH76+AK76+AN76+AQ76+AT76+AW76+AZ76+BC76+BF76+BI76+BL76+BO76+BR76+BU76+BX76+CA76+CD76+CG76+CJ76</f>
        <v>457</v>
      </c>
      <c r="R76" s="286">
        <v>0</v>
      </c>
      <c r="S76" s="286">
        <v>0</v>
      </c>
      <c r="T76" s="286"/>
      <c r="U76" s="286">
        <v>0</v>
      </c>
      <c r="V76" s="286">
        <v>0</v>
      </c>
      <c r="W76" s="286"/>
      <c r="X76" s="286">
        <v>0</v>
      </c>
      <c r="Y76" s="286">
        <v>0</v>
      </c>
      <c r="Z76" s="286"/>
      <c r="AA76" s="286">
        <v>0</v>
      </c>
      <c r="AB76" s="286">
        <v>0</v>
      </c>
      <c r="AC76" s="286"/>
      <c r="AD76" s="286">
        <v>0</v>
      </c>
      <c r="AE76" s="286">
        <v>0</v>
      </c>
      <c r="AF76" s="286"/>
      <c r="AG76" s="286">
        <v>11</v>
      </c>
      <c r="AH76" s="286">
        <v>10</v>
      </c>
      <c r="AI76" s="286"/>
      <c r="AJ76" s="286">
        <v>0</v>
      </c>
      <c r="AK76" s="286">
        <v>0</v>
      </c>
      <c r="AL76" s="286"/>
      <c r="AM76" s="286">
        <v>0</v>
      </c>
      <c r="AN76" s="286">
        <v>0</v>
      </c>
      <c r="AO76" s="286"/>
      <c r="AP76" s="286">
        <v>0</v>
      </c>
      <c r="AQ76" s="286">
        <v>0</v>
      </c>
      <c r="AR76" s="286"/>
      <c r="AS76" s="286">
        <v>325</v>
      </c>
      <c r="AT76" s="286">
        <v>363</v>
      </c>
      <c r="AU76" s="286"/>
      <c r="AV76" s="286">
        <v>0</v>
      </c>
      <c r="AW76" s="286">
        <v>0</v>
      </c>
      <c r="AX76" s="286"/>
      <c r="AY76" s="286">
        <v>63</v>
      </c>
      <c r="AZ76" s="286">
        <v>0</v>
      </c>
      <c r="BA76" s="286"/>
      <c r="BB76" s="286">
        <v>242</v>
      </c>
      <c r="BC76" s="286">
        <v>0</v>
      </c>
      <c r="BD76" s="286"/>
      <c r="BE76" s="286">
        <v>36</v>
      </c>
      <c r="BF76" s="286">
        <v>0</v>
      </c>
      <c r="BG76" s="286"/>
      <c r="BH76" s="286">
        <v>180</v>
      </c>
      <c r="BI76" s="286">
        <v>84</v>
      </c>
      <c r="BJ76" s="286"/>
      <c r="BK76" s="286">
        <v>0</v>
      </c>
      <c r="BL76" s="286">
        <v>0</v>
      </c>
      <c r="BM76" s="286"/>
      <c r="BN76" s="286">
        <v>0</v>
      </c>
      <c r="BO76" s="286">
        <v>0</v>
      </c>
      <c r="BP76" s="286"/>
      <c r="BQ76" s="286">
        <v>0</v>
      </c>
      <c r="BR76" s="286">
        <v>0</v>
      </c>
      <c r="BS76" s="286"/>
      <c r="BT76" s="286">
        <v>0</v>
      </c>
      <c r="BU76" s="286">
        <v>0</v>
      </c>
      <c r="BV76" s="286"/>
      <c r="BW76" s="286">
        <v>0</v>
      </c>
      <c r="BX76" s="286">
        <v>0</v>
      </c>
      <c r="BY76" s="286"/>
      <c r="BZ76" s="286">
        <v>0</v>
      </c>
      <c r="CA76" s="286">
        <v>0</v>
      </c>
      <c r="CB76" s="286"/>
      <c r="CC76" s="286">
        <v>0</v>
      </c>
      <c r="CD76" s="286">
        <v>0</v>
      </c>
      <c r="CE76" s="286"/>
      <c r="CF76" s="286">
        <v>0</v>
      </c>
      <c r="CG76" s="286">
        <v>0</v>
      </c>
      <c r="CH76" s="286"/>
      <c r="CI76" s="286">
        <v>0</v>
      </c>
      <c r="CJ76" s="286">
        <v>0</v>
      </c>
    </row>
    <row r="77" spans="1:88" ht="45" x14ac:dyDescent="0.25">
      <c r="A77" s="107"/>
      <c r="B77" s="16" t="s">
        <v>22</v>
      </c>
      <c r="C77" s="95" t="s">
        <v>17</v>
      </c>
      <c r="D77" s="95" t="s">
        <v>950</v>
      </c>
      <c r="E77" s="282">
        <v>85833</v>
      </c>
      <c r="F77" s="282">
        <v>98249</v>
      </c>
      <c r="G77" s="282">
        <v>105979</v>
      </c>
      <c r="H77" s="282">
        <v>109328</v>
      </c>
      <c r="I77" s="282">
        <v>113543</v>
      </c>
      <c r="J77" s="282">
        <f>J51</f>
        <v>118154</v>
      </c>
      <c r="K77" s="282">
        <f>K51</f>
        <v>116997</v>
      </c>
      <c r="L77" s="282">
        <f t="shared" ref="L77:M77" si="67">L51</f>
        <v>1830</v>
      </c>
      <c r="M77" s="282">
        <f t="shared" si="67"/>
        <v>1721</v>
      </c>
      <c r="N77" s="282">
        <v>1631</v>
      </c>
      <c r="O77" s="286" t="s">
        <v>1396</v>
      </c>
      <c r="P77" s="286">
        <f>R77+U77+X77+AA77+AD77+AG77+AJ77+AM77+AP77+AS77+AV77+AY77+BB77+BE77+BH77+BK77+BN77+BQ77+BT77+BW77+BZ77+CC77+CF77+CI77</f>
        <v>116997</v>
      </c>
      <c r="Q77" s="286">
        <f>S77+V77+Y77+AB77+AE77+AH77+AK77+AN77+AQ77+AT77+AW77+AZ77+BC77+BF77+BI77+BL77+BO77+BR77+BU77+BX77+CA77+CD77+CG77+CJ77</f>
        <v>113527</v>
      </c>
      <c r="R77" s="286">
        <f>R51</f>
        <v>2132</v>
      </c>
      <c r="S77" s="286">
        <f>S51</f>
        <v>2000</v>
      </c>
      <c r="T77" s="286"/>
      <c r="U77" s="286">
        <f>U51</f>
        <v>1791</v>
      </c>
      <c r="V77" s="286">
        <f>V51</f>
        <v>1668</v>
      </c>
      <c r="W77" s="286"/>
      <c r="X77" s="286">
        <f>X51</f>
        <v>2064</v>
      </c>
      <c r="Y77" s="286">
        <f>Y51</f>
        <v>1974</v>
      </c>
      <c r="Z77" s="286"/>
      <c r="AA77" s="286">
        <f>AA51</f>
        <v>2385</v>
      </c>
      <c r="AB77" s="286">
        <f>AB51</f>
        <v>2194</v>
      </c>
      <c r="AC77" s="286"/>
      <c r="AD77" s="286">
        <f>AD51</f>
        <v>2276</v>
      </c>
      <c r="AE77" s="286">
        <f>AE51</f>
        <v>2078</v>
      </c>
      <c r="AF77" s="286"/>
      <c r="AG77" s="286">
        <f>AG51</f>
        <v>1890</v>
      </c>
      <c r="AH77" s="286">
        <f>AH51</f>
        <v>1830</v>
      </c>
      <c r="AI77" s="286"/>
      <c r="AJ77" s="286">
        <f>AJ51</f>
        <v>3140</v>
      </c>
      <c r="AK77" s="286">
        <f>AK51</f>
        <v>2943</v>
      </c>
      <c r="AL77" s="286"/>
      <c r="AM77" s="286">
        <f>AM51</f>
        <v>8026</v>
      </c>
      <c r="AN77" s="286">
        <f>AN51</f>
        <v>7624</v>
      </c>
      <c r="AO77" s="286"/>
      <c r="AP77" s="286">
        <f>AP51</f>
        <v>1007</v>
      </c>
      <c r="AQ77" s="286">
        <f>AQ51</f>
        <v>941</v>
      </c>
      <c r="AR77" s="286"/>
      <c r="AS77" s="286">
        <f>AS51</f>
        <v>8100</v>
      </c>
      <c r="AT77" s="286">
        <f>AT51</f>
        <v>8102</v>
      </c>
      <c r="AU77" s="286"/>
      <c r="AV77" s="286">
        <f>AV51</f>
        <v>2401</v>
      </c>
      <c r="AW77" s="286">
        <f>AW51</f>
        <v>2131</v>
      </c>
      <c r="AX77" s="286"/>
      <c r="AY77" s="286">
        <f>AY51</f>
        <v>3769</v>
      </c>
      <c r="AZ77" s="286">
        <f>AZ51</f>
        <v>3453</v>
      </c>
      <c r="BA77" s="286"/>
      <c r="BB77" s="286">
        <f>BB51</f>
        <v>7279</v>
      </c>
      <c r="BC77" s="286">
        <f>BC51</f>
        <v>6742</v>
      </c>
      <c r="BD77" s="286"/>
      <c r="BE77" s="286">
        <f>BE51</f>
        <v>19335</v>
      </c>
      <c r="BF77" s="286">
        <f>BF51</f>
        <v>19164</v>
      </c>
      <c r="BG77" s="286"/>
      <c r="BH77" s="286">
        <f>BH51</f>
        <v>30900</v>
      </c>
      <c r="BI77" s="286">
        <f>BI51</f>
        <v>31353</v>
      </c>
      <c r="BJ77" s="286"/>
      <c r="BK77" s="286">
        <f>BK51</f>
        <v>2876</v>
      </c>
      <c r="BL77" s="286">
        <f>BL51</f>
        <v>2609</v>
      </c>
      <c r="BM77" s="286"/>
      <c r="BN77" s="286">
        <f>BN51</f>
        <v>2734</v>
      </c>
      <c r="BO77" s="286">
        <f>BO51</f>
        <v>2575</v>
      </c>
      <c r="BP77" s="286"/>
      <c r="BQ77" s="286">
        <f>BQ51</f>
        <v>4089</v>
      </c>
      <c r="BR77" s="286">
        <f>BR51</f>
        <v>3869</v>
      </c>
      <c r="BS77" s="286"/>
      <c r="BT77" s="286">
        <f>BT51</f>
        <v>4169</v>
      </c>
      <c r="BU77" s="286">
        <f>BU51</f>
        <v>4056</v>
      </c>
      <c r="BV77" s="286"/>
      <c r="BW77" s="286">
        <f>BW51</f>
        <v>1143</v>
      </c>
      <c r="BX77" s="286">
        <f>BX51</f>
        <v>1076</v>
      </c>
      <c r="BY77" s="286"/>
      <c r="BZ77" s="286">
        <f>BZ51</f>
        <v>2728</v>
      </c>
      <c r="CA77" s="286">
        <f>CA51</f>
        <v>2521</v>
      </c>
      <c r="CB77" s="286"/>
      <c r="CC77" s="286">
        <f>CC51</f>
        <v>2659</v>
      </c>
      <c r="CD77" s="286">
        <f>CD51</f>
        <v>2516</v>
      </c>
      <c r="CE77" s="286"/>
      <c r="CF77" s="286">
        <f>CF51</f>
        <v>104</v>
      </c>
      <c r="CG77" s="286">
        <f>CG51</f>
        <v>108</v>
      </c>
      <c r="CH77" s="286"/>
      <c r="CI77" s="286">
        <f>CI51</f>
        <v>0</v>
      </c>
      <c r="CJ77" s="286">
        <f>CJ51</f>
        <v>0</v>
      </c>
    </row>
    <row r="78" spans="1:88" ht="45" x14ac:dyDescent="0.25">
      <c r="A78" s="95" t="s">
        <v>1606</v>
      </c>
      <c r="B78" s="96" t="s">
        <v>1607</v>
      </c>
      <c r="C78" s="95"/>
      <c r="D78" s="108"/>
      <c r="E78" s="108"/>
      <c r="F78" s="108"/>
      <c r="G78" s="108"/>
      <c r="H78" s="108"/>
      <c r="I78" s="108"/>
      <c r="J78" s="108"/>
      <c r="K78" s="108"/>
      <c r="L78" s="108"/>
      <c r="M78" s="108"/>
      <c r="N78" s="108"/>
    </row>
    <row r="79" spans="1:88" x14ac:dyDescent="0.25">
      <c r="A79" s="95"/>
      <c r="B79" s="354" t="s">
        <v>2410</v>
      </c>
      <c r="C79" s="95"/>
      <c r="D79" s="108"/>
      <c r="E79" s="108"/>
      <c r="F79" s="108"/>
      <c r="G79" s="108"/>
      <c r="H79" s="108"/>
      <c r="I79" s="108"/>
      <c r="J79" s="108"/>
      <c r="K79" s="108"/>
      <c r="L79" s="108"/>
      <c r="M79" s="108"/>
      <c r="N79" s="108"/>
    </row>
    <row r="80" spans="1:88" x14ac:dyDescent="0.25">
      <c r="A80" s="95"/>
      <c r="B80" s="96" t="s">
        <v>1758</v>
      </c>
      <c r="C80" s="95"/>
      <c r="D80" s="95" t="s">
        <v>950</v>
      </c>
      <c r="E80" s="108"/>
      <c r="F80" s="108"/>
      <c r="G80" s="108"/>
      <c r="H80" s="108"/>
      <c r="I80" s="108">
        <f>I99/I112</f>
        <v>12.167130919220055</v>
      </c>
      <c r="J80" s="108">
        <f t="shared" ref="J80:N84" si="68">(J99+J105)/(J112+J118)</f>
        <v>11.650753768844222</v>
      </c>
      <c r="K80" s="108">
        <f t="shared" si="68"/>
        <v>11.061068702290076</v>
      </c>
      <c r="L80" s="108">
        <f t="shared" si="68"/>
        <v>9.5</v>
      </c>
      <c r="M80" s="108">
        <f t="shared" si="68"/>
        <v>6.75</v>
      </c>
      <c r="N80" s="108">
        <f t="shared" si="68"/>
        <v>6.5</v>
      </c>
      <c r="P80" s="108">
        <f t="shared" ref="P80:S84" si="69">(P99+P105)/(P112+P118)</f>
        <v>11.061068702290076</v>
      </c>
      <c r="Q80" s="108">
        <f t="shared" si="69"/>
        <v>10.929384965831435</v>
      </c>
      <c r="R80" s="108">
        <f t="shared" si="69"/>
        <v>10.833333333333334</v>
      </c>
      <c r="S80" s="108">
        <f t="shared" si="69"/>
        <v>8.6666666666666661</v>
      </c>
      <c r="U80" s="108" t="e">
        <f t="shared" ref="U80:V84" si="70">(U99+U105)/(U112+U118)</f>
        <v>#DIV/0!</v>
      </c>
      <c r="V80" s="108" t="e">
        <f t="shared" si="70"/>
        <v>#DIV/0!</v>
      </c>
      <c r="X80" s="108">
        <f t="shared" ref="X80:Y84" si="71">(X99+X105)/(X112+X118)</f>
        <v>11.666666666666666</v>
      </c>
      <c r="Y80" s="108">
        <f t="shared" si="71"/>
        <v>6</v>
      </c>
      <c r="AA80" s="108">
        <f t="shared" ref="AA80:AB84" si="72">(AA99+AA105)/(AA112+AA118)</f>
        <v>9</v>
      </c>
      <c r="AB80" s="108">
        <f t="shared" si="72"/>
        <v>11.5</v>
      </c>
      <c r="AD80" s="108" t="e">
        <f t="shared" ref="AD80:AE84" si="73">(AD99+AD105)/(AD112+AD118)</f>
        <v>#DIV/0!</v>
      </c>
      <c r="AE80" s="108">
        <f t="shared" si="73"/>
        <v>12.833333333333334</v>
      </c>
      <c r="AG80" s="108">
        <f t="shared" ref="AG80:AH84" si="74">(AG99+AG105)/(AG112+AG118)</f>
        <v>9.3333333333333339</v>
      </c>
      <c r="AH80" s="108">
        <f t="shared" si="74"/>
        <v>9.5</v>
      </c>
      <c r="AJ80" s="108">
        <f t="shared" ref="AJ80:AK84" si="75">(AJ99+AJ105)/(AJ112+AJ118)</f>
        <v>9.0277777777777786</v>
      </c>
      <c r="AK80" s="108">
        <f t="shared" si="75"/>
        <v>8.5</v>
      </c>
      <c r="AM80" s="108">
        <f t="shared" ref="AM80:AN84" si="76">(AM99+AM105)/(AM112+AM118)</f>
        <v>8.3333333333333339</v>
      </c>
      <c r="AN80" s="108">
        <f t="shared" si="76"/>
        <v>7.6388888888888893</v>
      </c>
      <c r="AP80" s="108" t="e">
        <f t="shared" ref="AP80:AQ84" si="77">(AP99+AP105)/(AP112+AP118)</f>
        <v>#DIV/0!</v>
      </c>
      <c r="AQ80" s="108" t="e">
        <f t="shared" si="77"/>
        <v>#DIV/0!</v>
      </c>
      <c r="AS80" s="108">
        <f t="shared" ref="AS80:AT84" si="78">(AS99+AS105)/(AS112+AS118)</f>
        <v>8.96875</v>
      </c>
      <c r="AT80" s="108">
        <f t="shared" si="78"/>
        <v>9.0526315789473681</v>
      </c>
      <c r="AV80" s="108">
        <f t="shared" ref="AV80:AW84" si="79">(AV99+AV105)/(AV112+AV118)</f>
        <v>11</v>
      </c>
      <c r="AW80" s="108">
        <f t="shared" si="79"/>
        <v>10.5</v>
      </c>
      <c r="AY80" s="108">
        <f t="shared" ref="AY80:AZ84" si="80">(AY99+AY105)/(AY112+AY118)</f>
        <v>11.026315789473685</v>
      </c>
      <c r="AZ80" s="108">
        <f t="shared" si="80"/>
        <v>10.131578947368421</v>
      </c>
      <c r="BB80" s="108">
        <f t="shared" ref="BB80:BC84" si="81">(BB99+BB105)/(BB112+BB118)</f>
        <v>13.5</v>
      </c>
      <c r="BC80" s="108">
        <f t="shared" si="81"/>
        <v>11.111111111111111</v>
      </c>
      <c r="BE80" s="108">
        <f t="shared" ref="BE80:BF84" si="82">(BE99+BE105)/(BE112+BE118)</f>
        <v>10.435897435897436</v>
      </c>
      <c r="BF80" s="108">
        <f t="shared" si="82"/>
        <v>9.8947368421052637</v>
      </c>
      <c r="BH80" s="108">
        <f t="shared" ref="BH80:BI84" si="83">(BH99+BH105)/(BH112+BH118)</f>
        <v>14.659574468085106</v>
      </c>
      <c r="BI80" s="108">
        <f t="shared" si="83"/>
        <v>14.821782178217822</v>
      </c>
      <c r="BK80" s="108" t="e">
        <f t="shared" ref="BK80:BL84" si="84">(BK99+BK105)/(BK112+BK118)</f>
        <v>#DIV/0!</v>
      </c>
      <c r="BL80" s="108" t="e">
        <f t="shared" si="84"/>
        <v>#DIV/0!</v>
      </c>
      <c r="BN80" s="108">
        <f t="shared" ref="BN80:BO84" si="85">(BN99+BN105)/(BN112+BN118)</f>
        <v>9.5925925925925934</v>
      </c>
      <c r="BO80" s="108">
        <f t="shared" si="85"/>
        <v>8.7931034482758612</v>
      </c>
      <c r="BQ80" s="108">
        <f t="shared" ref="BQ80:BR84" si="86">(BQ99+BQ105)/(BQ112+BQ118)</f>
        <v>15</v>
      </c>
      <c r="BR80" s="108">
        <f t="shared" si="86"/>
        <v>15</v>
      </c>
      <c r="BT80" s="108">
        <f t="shared" ref="BT80:BU84" si="87">(BT99+BT105)/(BT112+BT118)</f>
        <v>10</v>
      </c>
      <c r="BU80" s="108">
        <f t="shared" si="87"/>
        <v>9.4</v>
      </c>
      <c r="BW80" s="108">
        <f t="shared" ref="BW80:BX84" si="88">(BW99+BW105)/(BW112+BW118)</f>
        <v>10</v>
      </c>
      <c r="BX80" s="108">
        <f t="shared" si="88"/>
        <v>8.6666666666666661</v>
      </c>
      <c r="BZ80" s="108">
        <f t="shared" ref="BZ80:CA84" si="89">(BZ99+BZ105)/(BZ112+BZ118)</f>
        <v>9</v>
      </c>
      <c r="CA80" s="108">
        <f t="shared" si="89"/>
        <v>6</v>
      </c>
      <c r="CC80" s="108">
        <f t="shared" ref="CC80:CD84" si="90">(CC99+CC105)/(CC112+CC118)</f>
        <v>11</v>
      </c>
      <c r="CD80" s="108">
        <f t="shared" si="90"/>
        <v>8.3333333333333339</v>
      </c>
      <c r="CF80" s="108">
        <f t="shared" ref="CF80:CG84" si="91">(CF99+CF105)/(CF112+CF118)</f>
        <v>8.6666666666666661</v>
      </c>
      <c r="CG80" s="108" t="e">
        <f t="shared" si="91"/>
        <v>#DIV/0!</v>
      </c>
      <c r="CI80" s="108" t="e">
        <f t="shared" ref="CI80:CJ84" si="92">(CI99+CI105)/(CI112+CI118)</f>
        <v>#DIV/0!</v>
      </c>
      <c r="CJ80" s="108" t="e">
        <f t="shared" si="92"/>
        <v>#DIV/0!</v>
      </c>
    </row>
    <row r="81" spans="1:88" x14ac:dyDescent="0.25">
      <c r="A81" s="95"/>
      <c r="B81" s="96" t="s">
        <v>1759</v>
      </c>
      <c r="C81" s="95"/>
      <c r="D81" s="95" t="s">
        <v>950</v>
      </c>
      <c r="E81" s="108"/>
      <c r="F81" s="108"/>
      <c r="G81" s="108"/>
      <c r="H81" s="108"/>
      <c r="I81" s="108">
        <f>I100/I113</f>
        <v>25.903384011770477</v>
      </c>
      <c r="J81" s="108">
        <f t="shared" si="68"/>
        <v>27.142857142857142</v>
      </c>
      <c r="K81" s="108">
        <f t="shared" si="68"/>
        <v>26.988400789733465</v>
      </c>
      <c r="L81" s="108">
        <f t="shared" si="68"/>
        <v>21.024390243902438</v>
      </c>
      <c r="M81" s="108">
        <f t="shared" si="68"/>
        <v>20.21311475409836</v>
      </c>
      <c r="N81" s="108">
        <f t="shared" si="68"/>
        <v>18.589041095890412</v>
      </c>
      <c r="P81" s="108">
        <f t="shared" si="69"/>
        <v>26.99165644171779</v>
      </c>
      <c r="Q81" s="108">
        <f t="shared" si="69"/>
        <v>26.34713216957606</v>
      </c>
      <c r="R81" s="108">
        <f t="shared" si="69"/>
        <v>21.98936170212766</v>
      </c>
      <c r="S81" s="108">
        <f t="shared" si="69"/>
        <v>21.59550561797753</v>
      </c>
      <c r="U81" s="108">
        <f t="shared" si="70"/>
        <v>18.382978723404257</v>
      </c>
      <c r="V81" s="108">
        <f t="shared" si="70"/>
        <v>19.792207792207794</v>
      </c>
      <c r="X81" s="108">
        <f t="shared" si="71"/>
        <v>21.885057471264368</v>
      </c>
      <c r="Y81" s="108">
        <f t="shared" si="71"/>
        <v>20.397727272727273</v>
      </c>
      <c r="AA81" s="108">
        <f t="shared" si="72"/>
        <v>24.91578947368421</v>
      </c>
      <c r="AB81" s="108">
        <f t="shared" si="72"/>
        <v>22.510416666666668</v>
      </c>
      <c r="AD81" s="108">
        <f t="shared" si="73"/>
        <v>20.715789473684211</v>
      </c>
      <c r="AE81" s="108">
        <f t="shared" si="73"/>
        <v>20.065217391304348</v>
      </c>
      <c r="AG81" s="108">
        <f t="shared" si="74"/>
        <v>21.32</v>
      </c>
      <c r="AH81" s="108">
        <f t="shared" si="74"/>
        <v>21.154929577464788</v>
      </c>
      <c r="AJ81" s="108">
        <f t="shared" si="75"/>
        <v>23.865384615384617</v>
      </c>
      <c r="AK81" s="108">
        <f t="shared" si="75"/>
        <v>21.514018691588785</v>
      </c>
      <c r="AM81" s="108">
        <f t="shared" si="76"/>
        <v>25.360544217687075</v>
      </c>
      <c r="AN81" s="108">
        <f t="shared" si="76"/>
        <v>19.336283185840706</v>
      </c>
      <c r="AP81" s="108">
        <f t="shared" si="77"/>
        <v>18.775510204081634</v>
      </c>
      <c r="AQ81" s="108">
        <f t="shared" si="77"/>
        <v>34.46153846153846</v>
      </c>
      <c r="AS81" s="108">
        <f t="shared" si="78"/>
        <v>33.822510822510822</v>
      </c>
      <c r="AT81" s="108">
        <f t="shared" si="78"/>
        <v>34.756756756756758</v>
      </c>
      <c r="AV81" s="108">
        <f t="shared" si="79"/>
        <v>23.723404255319149</v>
      </c>
      <c r="AW81" s="108">
        <f t="shared" si="79"/>
        <v>20.946236559139784</v>
      </c>
      <c r="AY81" s="108">
        <f t="shared" si="80"/>
        <v>23.928000000000001</v>
      </c>
      <c r="AZ81" s="108">
        <f t="shared" si="80"/>
        <v>22.543103448275861</v>
      </c>
      <c r="BB81" s="108">
        <f t="shared" si="81"/>
        <v>29.368200836820083</v>
      </c>
      <c r="BC81" s="108">
        <f t="shared" si="81"/>
        <v>28.915555555555557</v>
      </c>
      <c r="BE81" s="108">
        <f t="shared" si="82"/>
        <v>25.652354570637119</v>
      </c>
      <c r="BF81" s="108">
        <f t="shared" si="82"/>
        <v>25.923186344238974</v>
      </c>
      <c r="BH81" s="108">
        <f t="shared" si="83"/>
        <v>33.300564971751413</v>
      </c>
      <c r="BI81" s="108">
        <f t="shared" si="83"/>
        <v>33.487612612612615</v>
      </c>
      <c r="BK81" s="108">
        <f t="shared" si="84"/>
        <v>23.008130081300813</v>
      </c>
      <c r="BL81" s="108">
        <f t="shared" si="84"/>
        <v>21.216666666666665</v>
      </c>
      <c r="BN81" s="108">
        <f t="shared" si="85"/>
        <v>24.75</v>
      </c>
      <c r="BO81" s="108">
        <f t="shared" si="85"/>
        <v>24.537634408602152</v>
      </c>
      <c r="BQ81" s="108">
        <f t="shared" si="86"/>
        <v>27.866197183098592</v>
      </c>
      <c r="BR81" s="108">
        <f t="shared" si="86"/>
        <v>26.132231404958677</v>
      </c>
      <c r="BT81" s="108">
        <f t="shared" si="87"/>
        <v>23.924855491329481</v>
      </c>
      <c r="BU81" s="108">
        <f t="shared" si="87"/>
        <v>23.58235294117647</v>
      </c>
      <c r="BW81" s="108">
        <f t="shared" si="88"/>
        <v>23.34090909090909</v>
      </c>
      <c r="BX81" s="108">
        <f t="shared" si="88"/>
        <v>22.894736842105264</v>
      </c>
      <c r="BZ81" s="108">
        <f t="shared" si="89"/>
        <v>23.725490196078432</v>
      </c>
      <c r="CA81" s="108">
        <f t="shared" si="89"/>
        <v>20.851851851851851</v>
      </c>
      <c r="CC81" s="108">
        <f t="shared" si="90"/>
        <v>24.138888888888889</v>
      </c>
      <c r="CD81" s="108">
        <f t="shared" si="90"/>
        <v>23.392156862745097</v>
      </c>
      <c r="CF81" s="108" t="e">
        <f t="shared" si="91"/>
        <v>#DIV/0!</v>
      </c>
      <c r="CG81" s="108" t="e">
        <f t="shared" si="91"/>
        <v>#DIV/0!</v>
      </c>
      <c r="CI81" s="108" t="e">
        <f t="shared" si="92"/>
        <v>#DIV/0!</v>
      </c>
      <c r="CJ81" s="108" t="e">
        <f t="shared" si="92"/>
        <v>#DIV/0!</v>
      </c>
    </row>
    <row r="82" spans="1:88" x14ac:dyDescent="0.25">
      <c r="A82" s="95"/>
      <c r="B82" s="96" t="s">
        <v>1760</v>
      </c>
      <c r="C82" s="95"/>
      <c r="D82" s="95" t="s">
        <v>950</v>
      </c>
      <c r="E82" s="108"/>
      <c r="F82" s="108"/>
      <c r="G82" s="108"/>
      <c r="H82" s="108"/>
      <c r="I82" s="108">
        <f>I101/I114</f>
        <v>23.923076923076923</v>
      </c>
      <c r="J82" s="108">
        <f t="shared" si="68"/>
        <v>25</v>
      </c>
      <c r="K82" s="108">
        <f t="shared" si="68"/>
        <v>27.708333333333332</v>
      </c>
      <c r="L82" s="108" t="e">
        <f t="shared" si="68"/>
        <v>#DIV/0!</v>
      </c>
      <c r="M82" s="108" t="e">
        <f t="shared" si="68"/>
        <v>#DIV/0!</v>
      </c>
      <c r="N82" s="108" t="e">
        <f t="shared" si="68"/>
        <v>#DIV/0!</v>
      </c>
      <c r="P82" s="108">
        <f t="shared" si="69"/>
        <v>23.4</v>
      </c>
      <c r="Q82" s="108">
        <f t="shared" si="69"/>
        <v>26</v>
      </c>
      <c r="R82" s="108" t="e">
        <f t="shared" si="69"/>
        <v>#DIV/0!</v>
      </c>
      <c r="S82" s="108" t="e">
        <f t="shared" si="69"/>
        <v>#DIV/0!</v>
      </c>
      <c r="U82" s="108" t="e">
        <f t="shared" si="70"/>
        <v>#DIV/0!</v>
      </c>
      <c r="V82" s="108" t="e">
        <f t="shared" si="70"/>
        <v>#DIV/0!</v>
      </c>
      <c r="X82" s="108" t="e">
        <f t="shared" si="71"/>
        <v>#DIV/0!</v>
      </c>
      <c r="Y82" s="108" t="e">
        <f t="shared" si="71"/>
        <v>#DIV/0!</v>
      </c>
      <c r="AA82" s="108" t="e">
        <f t="shared" si="72"/>
        <v>#DIV/0!</v>
      </c>
      <c r="AB82" s="108" t="e">
        <f t="shared" si="72"/>
        <v>#DIV/0!</v>
      </c>
      <c r="AD82" s="108">
        <f t="shared" si="73"/>
        <v>23.4</v>
      </c>
      <c r="AE82" s="108">
        <f t="shared" si="73"/>
        <v>26</v>
      </c>
      <c r="AG82" s="108" t="e">
        <f t="shared" si="74"/>
        <v>#DIV/0!</v>
      </c>
      <c r="AH82" s="108" t="e">
        <f t="shared" si="74"/>
        <v>#DIV/0!</v>
      </c>
      <c r="AJ82" s="108" t="e">
        <f t="shared" si="75"/>
        <v>#DIV/0!</v>
      </c>
      <c r="AK82" s="108" t="e">
        <f t="shared" si="75"/>
        <v>#DIV/0!</v>
      </c>
      <c r="AM82" s="108" t="e">
        <f t="shared" si="76"/>
        <v>#DIV/0!</v>
      </c>
      <c r="AN82" s="108" t="e">
        <f t="shared" si="76"/>
        <v>#DIV/0!</v>
      </c>
      <c r="AP82" s="108" t="e">
        <f t="shared" si="77"/>
        <v>#DIV/0!</v>
      </c>
      <c r="AQ82" s="108" t="e">
        <f t="shared" si="77"/>
        <v>#DIV/0!</v>
      </c>
      <c r="AS82" s="108" t="e">
        <f t="shared" si="78"/>
        <v>#DIV/0!</v>
      </c>
      <c r="AT82" s="108" t="e">
        <f t="shared" si="78"/>
        <v>#DIV/0!</v>
      </c>
      <c r="AV82" s="108" t="e">
        <f t="shared" si="79"/>
        <v>#DIV/0!</v>
      </c>
      <c r="AW82" s="108" t="e">
        <f t="shared" si="79"/>
        <v>#DIV/0!</v>
      </c>
      <c r="AY82" s="108" t="e">
        <f t="shared" si="80"/>
        <v>#DIV/0!</v>
      </c>
      <c r="AZ82" s="108" t="e">
        <f t="shared" si="80"/>
        <v>#DIV/0!</v>
      </c>
      <c r="BB82" s="108" t="e">
        <f t="shared" si="81"/>
        <v>#DIV/0!</v>
      </c>
      <c r="BC82" s="108" t="e">
        <f t="shared" si="81"/>
        <v>#DIV/0!</v>
      </c>
      <c r="BE82" s="108" t="e">
        <f t="shared" si="82"/>
        <v>#DIV/0!</v>
      </c>
      <c r="BF82" s="108" t="e">
        <f t="shared" si="82"/>
        <v>#DIV/0!</v>
      </c>
      <c r="BH82" s="108" t="e">
        <f t="shared" si="83"/>
        <v>#DIV/0!</v>
      </c>
      <c r="BI82" s="108" t="e">
        <f t="shared" si="83"/>
        <v>#DIV/0!</v>
      </c>
      <c r="BK82" s="108" t="e">
        <f t="shared" si="84"/>
        <v>#DIV/0!</v>
      </c>
      <c r="BL82" s="108" t="e">
        <f t="shared" si="84"/>
        <v>#DIV/0!</v>
      </c>
      <c r="BN82" s="108" t="e">
        <f t="shared" si="85"/>
        <v>#DIV/0!</v>
      </c>
      <c r="BO82" s="108" t="e">
        <f t="shared" si="85"/>
        <v>#DIV/0!</v>
      </c>
      <c r="BQ82" s="108" t="e">
        <f t="shared" si="86"/>
        <v>#DIV/0!</v>
      </c>
      <c r="BR82" s="108" t="e">
        <f t="shared" si="86"/>
        <v>#DIV/0!</v>
      </c>
      <c r="BT82" s="108" t="e">
        <f t="shared" si="87"/>
        <v>#DIV/0!</v>
      </c>
      <c r="BU82" s="108" t="e">
        <f t="shared" si="87"/>
        <v>#DIV/0!</v>
      </c>
      <c r="BW82" s="108" t="e">
        <f t="shared" si="88"/>
        <v>#DIV/0!</v>
      </c>
      <c r="BX82" s="108" t="e">
        <f t="shared" si="88"/>
        <v>#DIV/0!</v>
      </c>
      <c r="BZ82" s="108" t="e">
        <f t="shared" si="89"/>
        <v>#DIV/0!</v>
      </c>
      <c r="CA82" s="108" t="e">
        <f t="shared" si="89"/>
        <v>#DIV/0!</v>
      </c>
      <c r="CC82" s="108" t="e">
        <f t="shared" si="90"/>
        <v>#DIV/0!</v>
      </c>
      <c r="CD82" s="108" t="e">
        <f t="shared" si="90"/>
        <v>#DIV/0!</v>
      </c>
      <c r="CF82" s="108" t="e">
        <f t="shared" si="91"/>
        <v>#DIV/0!</v>
      </c>
      <c r="CG82" s="108" t="e">
        <f t="shared" si="91"/>
        <v>#DIV/0!</v>
      </c>
      <c r="CI82" s="108" t="e">
        <f t="shared" si="92"/>
        <v>#DIV/0!</v>
      </c>
      <c r="CJ82" s="108" t="e">
        <f t="shared" si="92"/>
        <v>#DIV/0!</v>
      </c>
    </row>
    <row r="83" spans="1:88" x14ac:dyDescent="0.25">
      <c r="A83" s="95"/>
      <c r="B83" s="96" t="s">
        <v>1761</v>
      </c>
      <c r="C83" s="95"/>
      <c r="D83" s="95" t="s">
        <v>950</v>
      </c>
      <c r="E83" s="108"/>
      <c r="F83" s="108"/>
      <c r="G83" s="108"/>
      <c r="H83" s="108"/>
      <c r="I83" s="108">
        <f>I102/I115</f>
        <v>20.701923076923077</v>
      </c>
      <c r="J83" s="108">
        <f>(J102+J108)/(J115+J121)</f>
        <v>15.890909090909091</v>
      </c>
      <c r="K83" s="108">
        <f t="shared" si="68"/>
        <v>15.708955223880597</v>
      </c>
      <c r="L83" s="108">
        <f t="shared" si="68"/>
        <v>17.399999999999999</v>
      </c>
      <c r="M83" s="108">
        <f t="shared" si="68"/>
        <v>16.333333333333332</v>
      </c>
      <c r="N83" s="108">
        <f t="shared" si="68"/>
        <v>16.533333333333335</v>
      </c>
      <c r="P83" s="108">
        <f t="shared" si="69"/>
        <v>15.401408450704226</v>
      </c>
      <c r="Q83" s="108">
        <f t="shared" si="69"/>
        <v>13.121621621621621</v>
      </c>
      <c r="R83" s="108" t="e">
        <f t="shared" si="69"/>
        <v>#DIV/0!</v>
      </c>
      <c r="S83" s="108" t="e">
        <f t="shared" si="69"/>
        <v>#DIV/0!</v>
      </c>
      <c r="U83" s="108">
        <f t="shared" si="70"/>
        <v>0</v>
      </c>
      <c r="V83" s="108">
        <f t="shared" si="70"/>
        <v>12.375</v>
      </c>
      <c r="X83" s="108">
        <f t="shared" si="71"/>
        <v>15.625</v>
      </c>
      <c r="Y83" s="108">
        <f t="shared" si="71"/>
        <v>15.5</v>
      </c>
      <c r="AA83" s="108" t="e">
        <f t="shared" si="72"/>
        <v>#DIV/0!</v>
      </c>
      <c r="AB83" s="108">
        <f t="shared" si="72"/>
        <v>10</v>
      </c>
      <c r="AD83" s="108">
        <f t="shared" si="73"/>
        <v>19.100000000000001</v>
      </c>
      <c r="AE83" s="108" t="e">
        <f t="shared" si="73"/>
        <v>#DIV/0!</v>
      </c>
      <c r="AG83" s="108">
        <f t="shared" si="74"/>
        <v>22.4</v>
      </c>
      <c r="AH83" s="108">
        <f t="shared" si="74"/>
        <v>17.399999999999999</v>
      </c>
      <c r="AJ83" s="108">
        <f t="shared" si="75"/>
        <v>15.136363636363637</v>
      </c>
      <c r="AK83" s="108">
        <f t="shared" si="75"/>
        <v>13.4</v>
      </c>
      <c r="AM83" s="108">
        <f t="shared" si="76"/>
        <v>17.5</v>
      </c>
      <c r="AN83" s="108">
        <f t="shared" si="76"/>
        <v>10.179487179487179</v>
      </c>
      <c r="AP83" s="108">
        <f t="shared" si="77"/>
        <v>15.666666666666666</v>
      </c>
      <c r="AQ83" s="108">
        <f t="shared" si="77"/>
        <v>30</v>
      </c>
      <c r="AS83" s="108" t="e">
        <f t="shared" si="78"/>
        <v>#DIV/0!</v>
      </c>
      <c r="AT83" s="108">
        <f t="shared" si="78"/>
        <v>15</v>
      </c>
      <c r="AV83" s="108">
        <f t="shared" si="79"/>
        <v>17</v>
      </c>
      <c r="AW83" s="108">
        <f t="shared" si="79"/>
        <v>14.25</v>
      </c>
      <c r="AY83" s="108">
        <f t="shared" si="80"/>
        <v>14.958333333333334</v>
      </c>
      <c r="AZ83" s="108">
        <f t="shared" si="80"/>
        <v>15.1</v>
      </c>
      <c r="BB83" s="108">
        <f t="shared" si="81"/>
        <v>10</v>
      </c>
      <c r="BC83" s="108" t="e">
        <f t="shared" si="81"/>
        <v>#DIV/0!</v>
      </c>
      <c r="BE83" s="108" t="e">
        <f t="shared" si="82"/>
        <v>#DIV/0!</v>
      </c>
      <c r="BF83" s="108" t="e">
        <f t="shared" si="82"/>
        <v>#DIV/0!</v>
      </c>
      <c r="BH83" s="108">
        <f t="shared" si="83"/>
        <v>17</v>
      </c>
      <c r="BI83" s="108">
        <f t="shared" si="83"/>
        <v>17</v>
      </c>
      <c r="BK83" s="108">
        <f t="shared" si="84"/>
        <v>11.5</v>
      </c>
      <c r="BL83" s="108">
        <f t="shared" si="84"/>
        <v>10.5</v>
      </c>
      <c r="BN83" s="108" t="e">
        <f t="shared" si="85"/>
        <v>#DIV/0!</v>
      </c>
      <c r="BO83" s="108">
        <f t="shared" si="85"/>
        <v>14</v>
      </c>
      <c r="BQ83" s="108">
        <f t="shared" si="86"/>
        <v>12.75</v>
      </c>
      <c r="BR83" s="108">
        <f t="shared" si="86"/>
        <v>14.142857142857142</v>
      </c>
      <c r="BT83" s="108" t="e">
        <f t="shared" si="87"/>
        <v>#DIV/0!</v>
      </c>
      <c r="BU83" s="108" t="e">
        <f t="shared" si="87"/>
        <v>#DIV/0!</v>
      </c>
      <c r="BW83" s="108">
        <f t="shared" si="88"/>
        <v>14.333333333333334</v>
      </c>
      <c r="BX83" s="108">
        <f t="shared" si="88"/>
        <v>15</v>
      </c>
      <c r="BZ83" s="108">
        <f t="shared" si="89"/>
        <v>14.857142857142858</v>
      </c>
      <c r="CA83" s="108">
        <f t="shared" si="89"/>
        <v>13.9375</v>
      </c>
      <c r="CC83" s="108">
        <f t="shared" si="90"/>
        <v>15</v>
      </c>
      <c r="CD83" s="108">
        <f t="shared" si="90"/>
        <v>15</v>
      </c>
      <c r="CF83" s="108" t="e">
        <f t="shared" si="91"/>
        <v>#DIV/0!</v>
      </c>
      <c r="CG83" s="108" t="e">
        <f t="shared" si="91"/>
        <v>#DIV/0!</v>
      </c>
      <c r="CI83" s="108">
        <f t="shared" si="92"/>
        <v>11.5</v>
      </c>
      <c r="CJ83" s="108" t="e">
        <f t="shared" si="92"/>
        <v>#DIV/0!</v>
      </c>
    </row>
    <row r="84" spans="1:88" x14ac:dyDescent="0.25">
      <c r="A84" s="95"/>
      <c r="B84" s="96" t="s">
        <v>1762</v>
      </c>
      <c r="C84" s="95"/>
      <c r="D84" s="95" t="s">
        <v>950</v>
      </c>
      <c r="E84" s="108"/>
      <c r="F84" s="108"/>
      <c r="G84" s="108"/>
      <c r="H84" s="108"/>
      <c r="I84" s="108">
        <f>I103/I116</f>
        <v>12</v>
      </c>
      <c r="J84" s="108">
        <f t="shared" si="68"/>
        <v>16</v>
      </c>
      <c r="K84" s="108">
        <f t="shared" si="68"/>
        <v>16</v>
      </c>
      <c r="L84" s="108" t="e">
        <f t="shared" si="68"/>
        <v>#DIV/0!</v>
      </c>
      <c r="M84" s="108" t="e">
        <f t="shared" si="68"/>
        <v>#DIV/0!</v>
      </c>
      <c r="N84" s="108" t="e">
        <f t="shared" si="68"/>
        <v>#DIV/0!</v>
      </c>
      <c r="P84" s="108">
        <f t="shared" si="69"/>
        <v>16</v>
      </c>
      <c r="Q84" s="108" t="e">
        <f t="shared" si="69"/>
        <v>#DIV/0!</v>
      </c>
      <c r="R84" s="108" t="e">
        <f t="shared" si="69"/>
        <v>#DIV/0!</v>
      </c>
      <c r="S84" s="108" t="e">
        <f t="shared" si="69"/>
        <v>#DIV/0!</v>
      </c>
      <c r="U84" s="108" t="e">
        <f t="shared" si="70"/>
        <v>#DIV/0!</v>
      </c>
      <c r="V84" s="108" t="e">
        <f t="shared" si="70"/>
        <v>#DIV/0!</v>
      </c>
      <c r="X84" s="108" t="e">
        <f t="shared" si="71"/>
        <v>#DIV/0!</v>
      </c>
      <c r="Y84" s="108" t="e">
        <f t="shared" si="71"/>
        <v>#DIV/0!</v>
      </c>
      <c r="AA84" s="108" t="e">
        <f t="shared" si="72"/>
        <v>#DIV/0!</v>
      </c>
      <c r="AB84" s="108" t="e">
        <f t="shared" si="72"/>
        <v>#DIV/0!</v>
      </c>
      <c r="AD84" s="108" t="e">
        <f t="shared" si="73"/>
        <v>#DIV/0!</v>
      </c>
      <c r="AE84" s="108" t="e">
        <f t="shared" si="73"/>
        <v>#DIV/0!</v>
      </c>
      <c r="AG84" s="108" t="e">
        <f t="shared" si="74"/>
        <v>#DIV/0!</v>
      </c>
      <c r="AH84" s="108" t="e">
        <f t="shared" si="74"/>
        <v>#DIV/0!</v>
      </c>
      <c r="AJ84" s="108" t="e">
        <f t="shared" si="75"/>
        <v>#DIV/0!</v>
      </c>
      <c r="AK84" s="108" t="e">
        <f t="shared" si="75"/>
        <v>#DIV/0!</v>
      </c>
      <c r="AM84" s="108" t="e">
        <f t="shared" si="76"/>
        <v>#DIV/0!</v>
      </c>
      <c r="AN84" s="108" t="e">
        <f t="shared" si="76"/>
        <v>#DIV/0!</v>
      </c>
      <c r="AP84" s="108">
        <f t="shared" si="77"/>
        <v>16</v>
      </c>
      <c r="AQ84" s="108" t="e">
        <f t="shared" si="77"/>
        <v>#DIV/0!</v>
      </c>
      <c r="AS84" s="108" t="e">
        <f t="shared" si="78"/>
        <v>#DIV/0!</v>
      </c>
      <c r="AT84" s="108" t="e">
        <f t="shared" si="78"/>
        <v>#DIV/0!</v>
      </c>
      <c r="AV84" s="108" t="e">
        <f t="shared" si="79"/>
        <v>#DIV/0!</v>
      </c>
      <c r="AW84" s="108" t="e">
        <f t="shared" si="79"/>
        <v>#DIV/0!</v>
      </c>
      <c r="AY84" s="108" t="e">
        <f t="shared" si="80"/>
        <v>#DIV/0!</v>
      </c>
      <c r="AZ84" s="108" t="e">
        <f t="shared" si="80"/>
        <v>#DIV/0!</v>
      </c>
      <c r="BB84" s="108" t="e">
        <f t="shared" si="81"/>
        <v>#DIV/0!</v>
      </c>
      <c r="BC84" s="108" t="e">
        <f t="shared" si="81"/>
        <v>#DIV/0!</v>
      </c>
      <c r="BE84" s="108" t="e">
        <f t="shared" si="82"/>
        <v>#DIV/0!</v>
      </c>
      <c r="BF84" s="108" t="e">
        <f t="shared" si="82"/>
        <v>#DIV/0!</v>
      </c>
      <c r="BH84" s="108" t="e">
        <f t="shared" si="83"/>
        <v>#DIV/0!</v>
      </c>
      <c r="BI84" s="108" t="e">
        <f t="shared" si="83"/>
        <v>#DIV/0!</v>
      </c>
      <c r="BK84" s="108" t="e">
        <f t="shared" si="84"/>
        <v>#DIV/0!</v>
      </c>
      <c r="BL84" s="108" t="e">
        <f t="shared" si="84"/>
        <v>#DIV/0!</v>
      </c>
      <c r="BN84" s="108" t="e">
        <f t="shared" si="85"/>
        <v>#DIV/0!</v>
      </c>
      <c r="BO84" s="108" t="e">
        <f t="shared" si="85"/>
        <v>#DIV/0!</v>
      </c>
      <c r="BQ84" s="108" t="e">
        <f t="shared" si="86"/>
        <v>#DIV/0!</v>
      </c>
      <c r="BR84" s="108" t="e">
        <f t="shared" si="86"/>
        <v>#DIV/0!</v>
      </c>
      <c r="BT84" s="108" t="e">
        <f t="shared" si="87"/>
        <v>#DIV/0!</v>
      </c>
      <c r="BU84" s="108" t="e">
        <f t="shared" si="87"/>
        <v>#DIV/0!</v>
      </c>
      <c r="BW84" s="108" t="e">
        <f t="shared" si="88"/>
        <v>#DIV/0!</v>
      </c>
      <c r="BX84" s="108" t="e">
        <f t="shared" si="88"/>
        <v>#DIV/0!</v>
      </c>
      <c r="BZ84" s="108" t="e">
        <f t="shared" si="89"/>
        <v>#DIV/0!</v>
      </c>
      <c r="CA84" s="108" t="e">
        <f t="shared" si="89"/>
        <v>#DIV/0!</v>
      </c>
      <c r="CC84" s="108" t="e">
        <f t="shared" si="90"/>
        <v>#DIV/0!</v>
      </c>
      <c r="CD84" s="108" t="e">
        <f t="shared" si="90"/>
        <v>#DIV/0!</v>
      </c>
      <c r="CF84" s="108" t="e">
        <f t="shared" si="91"/>
        <v>#DIV/0!</v>
      </c>
      <c r="CG84" s="108" t="e">
        <f t="shared" si="91"/>
        <v>#DIV/0!</v>
      </c>
      <c r="CI84" s="108" t="e">
        <f t="shared" si="92"/>
        <v>#DIV/0!</v>
      </c>
      <c r="CJ84" s="108" t="e">
        <f t="shared" si="92"/>
        <v>#DIV/0!</v>
      </c>
    </row>
    <row r="85" spans="1:88" x14ac:dyDescent="0.25">
      <c r="A85" s="95"/>
      <c r="B85" s="354" t="s">
        <v>2411</v>
      </c>
      <c r="C85" s="95"/>
      <c r="D85" s="95"/>
      <c r="E85" s="108"/>
      <c r="F85" s="108"/>
      <c r="G85" s="108"/>
      <c r="H85" s="108"/>
      <c r="I85" s="108"/>
      <c r="J85" s="108"/>
      <c r="K85" s="108"/>
      <c r="L85" s="108"/>
      <c r="M85" s="108"/>
      <c r="N85" s="108"/>
      <c r="P85" s="356"/>
      <c r="Q85" s="356"/>
      <c r="R85" s="356"/>
      <c r="S85" s="356"/>
      <c r="U85" s="356"/>
      <c r="V85" s="356"/>
      <c r="X85" s="356"/>
      <c r="Y85" s="356"/>
      <c r="AA85" s="356"/>
      <c r="AB85" s="356"/>
      <c r="AD85" s="356"/>
      <c r="AE85" s="356"/>
      <c r="AG85" s="356"/>
      <c r="AH85" s="356"/>
      <c r="AJ85" s="356"/>
      <c r="AK85" s="356"/>
      <c r="AM85" s="356"/>
      <c r="AN85" s="356"/>
      <c r="AP85" s="356"/>
      <c r="AQ85" s="356"/>
      <c r="AS85" s="356"/>
      <c r="AT85" s="356"/>
      <c r="AV85" s="356"/>
      <c r="AW85" s="356"/>
      <c r="AY85" s="356"/>
      <c r="AZ85" s="356"/>
      <c r="BB85" s="356"/>
      <c r="BC85" s="356"/>
      <c r="BE85" s="356"/>
      <c r="BF85" s="356"/>
      <c r="BH85" s="356"/>
      <c r="BI85" s="356"/>
      <c r="BK85" s="356"/>
      <c r="BL85" s="356"/>
      <c r="BN85" s="356"/>
      <c r="BO85" s="356"/>
      <c r="BQ85" s="356"/>
      <c r="BR85" s="356"/>
      <c r="BT85" s="356"/>
      <c r="BU85" s="356"/>
      <c r="BW85" s="356"/>
      <c r="BX85" s="356"/>
      <c r="BZ85" s="356"/>
      <c r="CA85" s="356"/>
      <c r="CC85" s="356"/>
      <c r="CD85" s="356"/>
      <c r="CF85" s="356"/>
      <c r="CG85" s="356"/>
      <c r="CI85" s="356"/>
      <c r="CJ85" s="356"/>
    </row>
    <row r="86" spans="1:88" x14ac:dyDescent="0.25">
      <c r="A86" s="95"/>
      <c r="B86" s="96" t="s">
        <v>1758</v>
      </c>
      <c r="C86" s="95"/>
      <c r="D86" s="95" t="s">
        <v>950</v>
      </c>
      <c r="E86" s="108"/>
      <c r="F86" s="108"/>
      <c r="G86" s="108"/>
      <c r="H86" s="108"/>
      <c r="I86" s="108">
        <f>I99/I112</f>
        <v>12.167130919220055</v>
      </c>
      <c r="J86" s="108">
        <f>J99/J112</f>
        <v>11.687817258883248</v>
      </c>
      <c r="K86" s="108">
        <f>K99/K112</f>
        <v>11.095115681233933</v>
      </c>
      <c r="L86" s="108">
        <f t="shared" ref="L86:N90" si="93">L99/L112</f>
        <v>9.5</v>
      </c>
      <c r="M86" s="108">
        <f t="shared" si="93"/>
        <v>6.75</v>
      </c>
      <c r="N86" s="108">
        <f t="shared" si="93"/>
        <v>6.5</v>
      </c>
      <c r="P86" s="108">
        <f t="shared" ref="P86:S90" si="94">P99/P112</f>
        <v>11.105943152454781</v>
      </c>
      <c r="Q86" s="108">
        <f t="shared" si="94"/>
        <v>10.981395348837209</v>
      </c>
      <c r="R86" s="108">
        <f t="shared" si="94"/>
        <v>10.833333333333334</v>
      </c>
      <c r="S86" s="108">
        <f t="shared" si="94"/>
        <v>8.6666666666666661</v>
      </c>
      <c r="U86" s="108" t="e">
        <f t="shared" ref="U86:V90" si="95">U99/U112</f>
        <v>#DIV/0!</v>
      </c>
      <c r="V86" s="108" t="e">
        <f t="shared" si="95"/>
        <v>#DIV/0!</v>
      </c>
      <c r="X86" s="108">
        <f t="shared" ref="X86:Y90" si="96">X99/X112</f>
        <v>11.666666666666666</v>
      </c>
      <c r="Y86" s="108">
        <f t="shared" si="96"/>
        <v>6.333333333333333</v>
      </c>
      <c r="AA86" s="108">
        <f t="shared" ref="AA86:AB90" si="97">AA99/AA112</f>
        <v>9</v>
      </c>
      <c r="AB86" s="108">
        <f t="shared" si="97"/>
        <v>11.5</v>
      </c>
      <c r="AD86" s="108" t="e">
        <f t="shared" ref="AD86:AE90" si="98">AD99/AD112</f>
        <v>#DIV/0!</v>
      </c>
      <c r="AE86" s="108">
        <f t="shared" si="98"/>
        <v>12.8</v>
      </c>
      <c r="AG86" s="108">
        <f t="shared" ref="AG86:AH90" si="99">AG99/AG112</f>
        <v>9.3333333333333339</v>
      </c>
      <c r="AH86" s="108">
        <f t="shared" si="99"/>
        <v>9.5</v>
      </c>
      <c r="AJ86" s="108">
        <f t="shared" ref="AJ86:AK90" si="100">AJ99/AJ112</f>
        <v>9.0277777777777786</v>
      </c>
      <c r="AK86" s="108">
        <f t="shared" si="100"/>
        <v>8.5</v>
      </c>
      <c r="AM86" s="108">
        <f t="shared" ref="AM86:AN90" si="101">AM99/AM112</f>
        <v>8.375</v>
      </c>
      <c r="AN86" s="108">
        <f t="shared" si="101"/>
        <v>7.666666666666667</v>
      </c>
      <c r="AP86" s="108" t="e">
        <f t="shared" ref="AP86:AQ90" si="102">AP99/AP112</f>
        <v>#DIV/0!</v>
      </c>
      <c r="AQ86" s="108" t="e">
        <f t="shared" si="102"/>
        <v>#DIV/0!</v>
      </c>
      <c r="AS86" s="108">
        <f t="shared" ref="AS86:AT90" si="103">AS99/AS112</f>
        <v>8.96875</v>
      </c>
      <c r="AT86" s="108">
        <f t="shared" si="103"/>
        <v>9.0526315789473681</v>
      </c>
      <c r="AV86" s="108">
        <f t="shared" ref="AV86:AW90" si="104">AV99/AV112</f>
        <v>11</v>
      </c>
      <c r="AW86" s="108">
        <f t="shared" si="104"/>
        <v>10.5</v>
      </c>
      <c r="AY86" s="108">
        <f t="shared" ref="AY86:AZ90" si="105">AY99/AY112</f>
        <v>11.026315789473685</v>
      </c>
      <c r="AZ86" s="108">
        <f t="shared" si="105"/>
        <v>10.131578947368421</v>
      </c>
      <c r="BB86" s="108">
        <f t="shared" ref="BB86:BC90" si="106">BB99/BB112</f>
        <v>13.5</v>
      </c>
      <c r="BC86" s="108">
        <f t="shared" si="106"/>
        <v>11.111111111111111</v>
      </c>
      <c r="BE86" s="108">
        <f t="shared" ref="BE86:BF90" si="107">BE99/BE112</f>
        <v>10.435897435897436</v>
      </c>
      <c r="BF86" s="108">
        <f t="shared" si="107"/>
        <v>9.8947368421052637</v>
      </c>
      <c r="BH86" s="108">
        <f t="shared" ref="BH86:BI90" si="108">BH99/BH112</f>
        <v>14.659574468085106</v>
      </c>
      <c r="BI86" s="108">
        <f t="shared" si="108"/>
        <v>14.821782178217822</v>
      </c>
      <c r="BK86" s="108" t="e">
        <f t="shared" ref="BK86:BL90" si="109">BK99/BK112</f>
        <v>#DIV/0!</v>
      </c>
      <c r="BL86" s="108" t="e">
        <f t="shared" si="109"/>
        <v>#DIV/0!</v>
      </c>
      <c r="BN86" s="108">
        <f t="shared" ref="BN86:BO90" si="110">BN99/BN112</f>
        <v>9.5925925925925934</v>
      </c>
      <c r="BO86" s="108">
        <f t="shared" si="110"/>
        <v>8.7931034482758612</v>
      </c>
      <c r="BQ86" s="108">
        <f t="shared" ref="BQ86:BR90" si="111">BQ99/BQ112</f>
        <v>15</v>
      </c>
      <c r="BR86" s="108">
        <f t="shared" si="111"/>
        <v>15</v>
      </c>
      <c r="BT86" s="108">
        <f t="shared" ref="BT86:BU90" si="112">BT99/BT112</f>
        <v>10</v>
      </c>
      <c r="BU86" s="108">
        <f t="shared" si="112"/>
        <v>9.4</v>
      </c>
      <c r="BW86" s="108">
        <f t="shared" ref="BW86:BX90" si="113">BW99/BW112</f>
        <v>10</v>
      </c>
      <c r="BX86" s="108">
        <f t="shared" si="113"/>
        <v>8.6666666666666661</v>
      </c>
      <c r="BZ86" s="108">
        <f t="shared" ref="BZ86:CA90" si="114">BZ99/BZ112</f>
        <v>9</v>
      </c>
      <c r="CA86" s="108">
        <f t="shared" si="114"/>
        <v>6</v>
      </c>
      <c r="CC86" s="108">
        <f t="shared" ref="CC86:CD90" si="115">CC99/CC112</f>
        <v>11</v>
      </c>
      <c r="CD86" s="108">
        <f t="shared" si="115"/>
        <v>8.3333333333333339</v>
      </c>
      <c r="CF86" s="108">
        <f t="shared" ref="CF86:CG90" si="116">CF99/CF112</f>
        <v>8.6666666666666661</v>
      </c>
      <c r="CG86" s="108" t="e">
        <f t="shared" si="116"/>
        <v>#DIV/0!</v>
      </c>
      <c r="CI86" s="108" t="e">
        <f t="shared" ref="CI86:CJ90" si="117">CI99/CI112</f>
        <v>#DIV/0!</v>
      </c>
      <c r="CJ86" s="108" t="e">
        <f t="shared" si="117"/>
        <v>#DIV/0!</v>
      </c>
    </row>
    <row r="87" spans="1:88" x14ac:dyDescent="0.25">
      <c r="A87" s="95"/>
      <c r="B87" s="96" t="s">
        <v>1759</v>
      </c>
      <c r="C87" s="95"/>
      <c r="D87" s="95" t="s">
        <v>950</v>
      </c>
      <c r="E87" s="108"/>
      <c r="F87" s="108"/>
      <c r="G87" s="108"/>
      <c r="H87" s="108"/>
      <c r="I87" s="108">
        <f>I100/I113</f>
        <v>25.903384011770477</v>
      </c>
      <c r="J87" s="108">
        <f t="shared" ref="J87:M90" si="118">J100/J113</f>
        <v>27.732262382864793</v>
      </c>
      <c r="K87" s="108">
        <f t="shared" si="118"/>
        <v>27.591143710948113</v>
      </c>
      <c r="L87" s="108">
        <f t="shared" si="118"/>
        <v>23.536585365853657</v>
      </c>
      <c r="M87" s="108">
        <f t="shared" si="118"/>
        <v>22.035714285714285</v>
      </c>
      <c r="N87" s="108">
        <f t="shared" si="93"/>
        <v>21.151515151515152</v>
      </c>
      <c r="P87" s="108">
        <f t="shared" si="94"/>
        <v>27.534815211569363</v>
      </c>
      <c r="Q87" s="108">
        <f t="shared" si="94"/>
        <v>26.943478260869565</v>
      </c>
      <c r="R87" s="108">
        <f t="shared" si="94"/>
        <v>23.116666666666667</v>
      </c>
      <c r="S87" s="108">
        <f t="shared" si="94"/>
        <v>22.228070175438596</v>
      </c>
      <c r="U87" s="108">
        <f t="shared" si="95"/>
        <v>18.826923076923077</v>
      </c>
      <c r="V87" s="108">
        <f t="shared" si="95"/>
        <v>19.906976744186046</v>
      </c>
      <c r="X87" s="108">
        <f t="shared" si="96"/>
        <v>25.150943396226417</v>
      </c>
      <c r="Y87" s="108">
        <f t="shared" si="96"/>
        <v>23</v>
      </c>
      <c r="AA87" s="108">
        <f t="shared" si="97"/>
        <v>25.963636363636365</v>
      </c>
      <c r="AB87" s="108">
        <f t="shared" si="97"/>
        <v>23.5</v>
      </c>
      <c r="AD87" s="108">
        <f t="shared" si="98"/>
        <v>20.921348314606742</v>
      </c>
      <c r="AE87" s="108">
        <f t="shared" si="98"/>
        <v>21.072463768115941</v>
      </c>
      <c r="AG87" s="108">
        <f t="shared" si="99"/>
        <v>23.648648648648649</v>
      </c>
      <c r="AH87" s="108">
        <f t="shared" si="99"/>
        <v>23.342857142857142</v>
      </c>
      <c r="AJ87" s="108">
        <f t="shared" si="100"/>
        <v>23.90909090909091</v>
      </c>
      <c r="AK87" s="108">
        <f t="shared" si="100"/>
        <v>21.549019607843139</v>
      </c>
      <c r="AM87" s="108">
        <f t="shared" si="101"/>
        <v>25.293532338308459</v>
      </c>
      <c r="AN87" s="108">
        <f t="shared" si="101"/>
        <v>18.369402985074625</v>
      </c>
      <c r="AP87" s="108" t="e">
        <f t="shared" si="102"/>
        <v>#DIV/0!</v>
      </c>
      <c r="AQ87" s="108" t="e">
        <f t="shared" si="102"/>
        <v>#DIV/0!</v>
      </c>
      <c r="AS87" s="108">
        <f t="shared" si="103"/>
        <v>33.822510822510822</v>
      </c>
      <c r="AT87" s="108">
        <f t="shared" si="103"/>
        <v>34.756756756756758</v>
      </c>
      <c r="AV87" s="108">
        <f t="shared" si="104"/>
        <v>23.723404255319149</v>
      </c>
      <c r="AW87" s="108">
        <f t="shared" si="104"/>
        <v>20.946236559139784</v>
      </c>
      <c r="AY87" s="108">
        <f t="shared" si="105"/>
        <v>23.928000000000001</v>
      </c>
      <c r="AZ87" s="108">
        <f t="shared" si="105"/>
        <v>22.543103448275861</v>
      </c>
      <c r="BB87" s="108">
        <f t="shared" si="106"/>
        <v>29.368200836820083</v>
      </c>
      <c r="BC87" s="108">
        <f t="shared" si="106"/>
        <v>28.915555555555557</v>
      </c>
      <c r="BE87" s="108">
        <f t="shared" si="107"/>
        <v>25.652354570637119</v>
      </c>
      <c r="BF87" s="108">
        <f t="shared" si="107"/>
        <v>25.923186344238974</v>
      </c>
      <c r="BH87" s="108">
        <f t="shared" si="108"/>
        <v>33.300564971751413</v>
      </c>
      <c r="BI87" s="108">
        <f t="shared" si="108"/>
        <v>33.487612612612615</v>
      </c>
      <c r="BK87" s="108">
        <f t="shared" si="109"/>
        <v>23.008130081300813</v>
      </c>
      <c r="BL87" s="108">
        <f t="shared" si="109"/>
        <v>21.216666666666665</v>
      </c>
      <c r="BN87" s="108">
        <f t="shared" si="110"/>
        <v>24.75</v>
      </c>
      <c r="BO87" s="108">
        <f t="shared" si="110"/>
        <v>24.537634408602152</v>
      </c>
      <c r="BQ87" s="108">
        <f t="shared" si="111"/>
        <v>27.866197183098592</v>
      </c>
      <c r="BR87" s="108">
        <f t="shared" si="111"/>
        <v>26.132231404958677</v>
      </c>
      <c r="BT87" s="108">
        <f t="shared" si="112"/>
        <v>23.924855491329481</v>
      </c>
      <c r="BU87" s="108">
        <f t="shared" si="112"/>
        <v>23.58235294117647</v>
      </c>
      <c r="BW87" s="108">
        <f t="shared" si="113"/>
        <v>23.34090909090909</v>
      </c>
      <c r="BX87" s="108">
        <f t="shared" si="113"/>
        <v>22.894736842105264</v>
      </c>
      <c r="BZ87" s="108">
        <f t="shared" si="114"/>
        <v>23.725490196078432</v>
      </c>
      <c r="CA87" s="108">
        <f t="shared" si="114"/>
        <v>20.851851851851851</v>
      </c>
      <c r="CC87" s="108">
        <f t="shared" si="115"/>
        <v>24.138888888888889</v>
      </c>
      <c r="CD87" s="108">
        <f t="shared" si="115"/>
        <v>23.392156862745097</v>
      </c>
      <c r="CF87" s="108" t="e">
        <f t="shared" si="116"/>
        <v>#DIV/0!</v>
      </c>
      <c r="CG87" s="108" t="e">
        <f t="shared" si="116"/>
        <v>#DIV/0!</v>
      </c>
      <c r="CI87" s="108" t="e">
        <f t="shared" si="117"/>
        <v>#DIV/0!</v>
      </c>
      <c r="CJ87" s="108" t="e">
        <f t="shared" si="117"/>
        <v>#DIV/0!</v>
      </c>
    </row>
    <row r="88" spans="1:88" x14ac:dyDescent="0.25">
      <c r="A88" s="95"/>
      <c r="B88" s="96" t="s">
        <v>1760</v>
      </c>
      <c r="C88" s="95"/>
      <c r="D88" s="95" t="s">
        <v>950</v>
      </c>
      <c r="E88" s="108"/>
      <c r="F88" s="108"/>
      <c r="G88" s="108"/>
      <c r="H88" s="108"/>
      <c r="I88" s="108">
        <f>I101/I114</f>
        <v>23.923076923076923</v>
      </c>
      <c r="J88" s="108">
        <f t="shared" si="118"/>
        <v>25</v>
      </c>
      <c r="K88" s="108">
        <f t="shared" si="118"/>
        <v>29.75</v>
      </c>
      <c r="L88" s="108" t="e">
        <f t="shared" si="118"/>
        <v>#DIV/0!</v>
      </c>
      <c r="M88" s="108" t="e">
        <f t="shared" si="118"/>
        <v>#DIV/0!</v>
      </c>
      <c r="N88" s="108" t="e">
        <f t="shared" si="93"/>
        <v>#DIV/0!</v>
      </c>
      <c r="P88" s="108">
        <f t="shared" si="94"/>
        <v>23.4</v>
      </c>
      <c r="Q88" s="108">
        <f t="shared" si="94"/>
        <v>26</v>
      </c>
      <c r="R88" s="108" t="e">
        <f t="shared" si="94"/>
        <v>#DIV/0!</v>
      </c>
      <c r="S88" s="108" t="e">
        <f t="shared" si="94"/>
        <v>#DIV/0!</v>
      </c>
      <c r="U88" s="108" t="e">
        <f t="shared" si="95"/>
        <v>#DIV/0!</v>
      </c>
      <c r="V88" s="108" t="e">
        <f t="shared" si="95"/>
        <v>#DIV/0!</v>
      </c>
      <c r="X88" s="108" t="e">
        <f t="shared" si="96"/>
        <v>#DIV/0!</v>
      </c>
      <c r="Y88" s="108" t="e">
        <f t="shared" si="96"/>
        <v>#DIV/0!</v>
      </c>
      <c r="AA88" s="108" t="e">
        <f t="shared" si="97"/>
        <v>#DIV/0!</v>
      </c>
      <c r="AB88" s="108" t="e">
        <f t="shared" si="97"/>
        <v>#DIV/0!</v>
      </c>
      <c r="AD88" s="108">
        <f t="shared" si="98"/>
        <v>23.4</v>
      </c>
      <c r="AE88" s="108">
        <f t="shared" si="98"/>
        <v>26</v>
      </c>
      <c r="AG88" s="108" t="e">
        <f t="shared" si="99"/>
        <v>#DIV/0!</v>
      </c>
      <c r="AH88" s="108" t="e">
        <f t="shared" si="99"/>
        <v>#DIV/0!</v>
      </c>
      <c r="AJ88" s="108" t="e">
        <f t="shared" si="100"/>
        <v>#DIV/0!</v>
      </c>
      <c r="AK88" s="108" t="e">
        <f t="shared" si="100"/>
        <v>#DIV/0!</v>
      </c>
      <c r="AM88" s="108" t="e">
        <f t="shared" si="101"/>
        <v>#DIV/0!</v>
      </c>
      <c r="AN88" s="108" t="e">
        <f t="shared" si="101"/>
        <v>#DIV/0!</v>
      </c>
      <c r="AP88" s="108" t="e">
        <f t="shared" si="102"/>
        <v>#DIV/0!</v>
      </c>
      <c r="AQ88" s="108" t="e">
        <f t="shared" si="102"/>
        <v>#DIV/0!</v>
      </c>
      <c r="AS88" s="108" t="e">
        <f t="shared" si="103"/>
        <v>#DIV/0!</v>
      </c>
      <c r="AT88" s="108" t="e">
        <f t="shared" si="103"/>
        <v>#DIV/0!</v>
      </c>
      <c r="AV88" s="108" t="e">
        <f t="shared" si="104"/>
        <v>#DIV/0!</v>
      </c>
      <c r="AW88" s="108" t="e">
        <f t="shared" si="104"/>
        <v>#DIV/0!</v>
      </c>
      <c r="AY88" s="108" t="e">
        <f t="shared" si="105"/>
        <v>#DIV/0!</v>
      </c>
      <c r="AZ88" s="108" t="e">
        <f t="shared" si="105"/>
        <v>#DIV/0!</v>
      </c>
      <c r="BB88" s="108" t="e">
        <f t="shared" si="106"/>
        <v>#DIV/0!</v>
      </c>
      <c r="BC88" s="108" t="e">
        <f t="shared" si="106"/>
        <v>#DIV/0!</v>
      </c>
      <c r="BE88" s="108" t="e">
        <f t="shared" si="107"/>
        <v>#DIV/0!</v>
      </c>
      <c r="BF88" s="108" t="e">
        <f t="shared" si="107"/>
        <v>#DIV/0!</v>
      </c>
      <c r="BH88" s="108" t="e">
        <f t="shared" si="108"/>
        <v>#DIV/0!</v>
      </c>
      <c r="BI88" s="108" t="e">
        <f t="shared" si="108"/>
        <v>#DIV/0!</v>
      </c>
      <c r="BK88" s="108" t="e">
        <f t="shared" si="109"/>
        <v>#DIV/0!</v>
      </c>
      <c r="BL88" s="108" t="e">
        <f t="shared" si="109"/>
        <v>#DIV/0!</v>
      </c>
      <c r="BN88" s="108" t="e">
        <f t="shared" si="110"/>
        <v>#DIV/0!</v>
      </c>
      <c r="BO88" s="108" t="e">
        <f t="shared" si="110"/>
        <v>#DIV/0!</v>
      </c>
      <c r="BQ88" s="108" t="e">
        <f t="shared" si="111"/>
        <v>#DIV/0!</v>
      </c>
      <c r="BR88" s="108" t="e">
        <f t="shared" si="111"/>
        <v>#DIV/0!</v>
      </c>
      <c r="BT88" s="108" t="e">
        <f t="shared" si="112"/>
        <v>#DIV/0!</v>
      </c>
      <c r="BU88" s="108" t="e">
        <f t="shared" si="112"/>
        <v>#DIV/0!</v>
      </c>
      <c r="BW88" s="108" t="e">
        <f t="shared" si="113"/>
        <v>#DIV/0!</v>
      </c>
      <c r="BX88" s="108" t="e">
        <f t="shared" si="113"/>
        <v>#DIV/0!</v>
      </c>
      <c r="BZ88" s="108" t="e">
        <f t="shared" si="114"/>
        <v>#DIV/0!</v>
      </c>
      <c r="CA88" s="108" t="e">
        <f t="shared" si="114"/>
        <v>#DIV/0!</v>
      </c>
      <c r="CC88" s="108" t="e">
        <f t="shared" si="115"/>
        <v>#DIV/0!</v>
      </c>
      <c r="CD88" s="108" t="e">
        <f t="shared" si="115"/>
        <v>#DIV/0!</v>
      </c>
      <c r="CF88" s="108" t="e">
        <f t="shared" si="116"/>
        <v>#DIV/0!</v>
      </c>
      <c r="CG88" s="108" t="e">
        <f t="shared" si="116"/>
        <v>#DIV/0!</v>
      </c>
      <c r="CI88" s="108" t="e">
        <f t="shared" si="117"/>
        <v>#DIV/0!</v>
      </c>
      <c r="CJ88" s="108" t="e">
        <f t="shared" si="117"/>
        <v>#DIV/0!</v>
      </c>
    </row>
    <row r="89" spans="1:88" x14ac:dyDescent="0.25">
      <c r="A89" s="95"/>
      <c r="B89" s="96" t="s">
        <v>1761</v>
      </c>
      <c r="C89" s="95"/>
      <c r="D89" s="95" t="s">
        <v>950</v>
      </c>
      <c r="E89" s="108"/>
      <c r="F89" s="108"/>
      <c r="G89" s="108"/>
      <c r="H89" s="108"/>
      <c r="I89" s="108">
        <f>I102/I115</f>
        <v>20.701923076923077</v>
      </c>
      <c r="J89" s="108">
        <f t="shared" si="118"/>
        <v>15.826530612244898</v>
      </c>
      <c r="K89" s="108">
        <f t="shared" si="118"/>
        <v>15.271929824561404</v>
      </c>
      <c r="L89" s="108">
        <f t="shared" si="118"/>
        <v>17.399999999999999</v>
      </c>
      <c r="M89" s="108">
        <f t="shared" si="118"/>
        <v>16.333333333333332</v>
      </c>
      <c r="N89" s="108">
        <f t="shared" si="93"/>
        <v>16.5</v>
      </c>
      <c r="P89" s="108">
        <f t="shared" si="94"/>
        <v>14.907563025210084</v>
      </c>
      <c r="Q89" s="108">
        <f t="shared" si="94"/>
        <v>12.697297297297297</v>
      </c>
      <c r="R89" s="108" t="e">
        <f t="shared" si="94"/>
        <v>#DIV/0!</v>
      </c>
      <c r="S89" s="108" t="e">
        <f t="shared" si="94"/>
        <v>#DIV/0!</v>
      </c>
      <c r="U89" s="108">
        <f t="shared" si="95"/>
        <v>0</v>
      </c>
      <c r="V89" s="108">
        <f t="shared" si="95"/>
        <v>12.333333333333334</v>
      </c>
      <c r="X89" s="108">
        <f t="shared" si="96"/>
        <v>15.5</v>
      </c>
      <c r="Y89" s="108">
        <f t="shared" si="96"/>
        <v>15</v>
      </c>
      <c r="AA89" s="108" t="e">
        <f t="shared" si="97"/>
        <v>#DIV/0!</v>
      </c>
      <c r="AB89" s="108">
        <f t="shared" si="97"/>
        <v>10</v>
      </c>
      <c r="AD89" s="108">
        <f t="shared" si="98"/>
        <v>17.75</v>
      </c>
      <c r="AE89" s="108" t="e">
        <f t="shared" si="98"/>
        <v>#DIV/0!</v>
      </c>
      <c r="AG89" s="108">
        <f t="shared" si="99"/>
        <v>19</v>
      </c>
      <c r="AH89" s="108">
        <f t="shared" si="99"/>
        <v>17.399999999999999</v>
      </c>
      <c r="AJ89" s="108">
        <f t="shared" si="100"/>
        <v>15.3</v>
      </c>
      <c r="AK89" s="108">
        <f t="shared" si="100"/>
        <v>13.478260869565217</v>
      </c>
      <c r="AM89" s="108">
        <f t="shared" si="101"/>
        <v>17.875</v>
      </c>
      <c r="AN89" s="108">
        <f t="shared" si="101"/>
        <v>7.3529411764705879</v>
      </c>
      <c r="AP89" s="108" t="e">
        <f t="shared" si="102"/>
        <v>#DIV/0!</v>
      </c>
      <c r="AQ89" s="108" t="e">
        <f t="shared" si="102"/>
        <v>#DIV/0!</v>
      </c>
      <c r="AS89" s="108" t="e">
        <f t="shared" si="103"/>
        <v>#DIV/0!</v>
      </c>
      <c r="AT89" s="108">
        <f t="shared" si="103"/>
        <v>15</v>
      </c>
      <c r="AV89" s="108">
        <f t="shared" si="104"/>
        <v>17</v>
      </c>
      <c r="AW89" s="108">
        <f t="shared" si="104"/>
        <v>14.25</v>
      </c>
      <c r="AY89" s="108">
        <f t="shared" si="105"/>
        <v>14.958333333333334</v>
      </c>
      <c r="AZ89" s="108">
        <f t="shared" si="105"/>
        <v>15.1</v>
      </c>
      <c r="BB89" s="108">
        <f t="shared" si="106"/>
        <v>10</v>
      </c>
      <c r="BC89" s="108" t="e">
        <f t="shared" si="106"/>
        <v>#DIV/0!</v>
      </c>
      <c r="BE89" s="108" t="e">
        <f t="shared" si="107"/>
        <v>#DIV/0!</v>
      </c>
      <c r="BF89" s="108" t="e">
        <f t="shared" si="107"/>
        <v>#DIV/0!</v>
      </c>
      <c r="BH89" s="108">
        <f t="shared" si="108"/>
        <v>17</v>
      </c>
      <c r="BI89" s="108">
        <f t="shared" si="108"/>
        <v>17</v>
      </c>
      <c r="BK89" s="108">
        <f t="shared" si="109"/>
        <v>11.5</v>
      </c>
      <c r="BL89" s="108">
        <f t="shared" si="109"/>
        <v>10.5</v>
      </c>
      <c r="BN89" s="108" t="e">
        <f t="shared" si="110"/>
        <v>#DIV/0!</v>
      </c>
      <c r="BO89" s="108">
        <f t="shared" si="110"/>
        <v>14</v>
      </c>
      <c r="BQ89" s="108">
        <f t="shared" si="111"/>
        <v>12.75</v>
      </c>
      <c r="BR89" s="108">
        <f t="shared" si="111"/>
        <v>14.142857142857142</v>
      </c>
      <c r="BT89" s="108" t="e">
        <f t="shared" si="112"/>
        <v>#DIV/0!</v>
      </c>
      <c r="BU89" s="108" t="e">
        <f t="shared" si="112"/>
        <v>#DIV/0!</v>
      </c>
      <c r="BW89" s="108">
        <f t="shared" si="113"/>
        <v>14.333333333333334</v>
      </c>
      <c r="BX89" s="108">
        <f t="shared" si="113"/>
        <v>15</v>
      </c>
      <c r="BZ89" s="108">
        <f t="shared" si="114"/>
        <v>14.857142857142858</v>
      </c>
      <c r="CA89" s="108">
        <f t="shared" si="114"/>
        <v>13.9375</v>
      </c>
      <c r="CC89" s="108">
        <f t="shared" si="115"/>
        <v>15</v>
      </c>
      <c r="CD89" s="108">
        <f t="shared" si="115"/>
        <v>15</v>
      </c>
      <c r="CF89" s="108" t="e">
        <f t="shared" si="116"/>
        <v>#DIV/0!</v>
      </c>
      <c r="CG89" s="108" t="e">
        <f t="shared" si="116"/>
        <v>#DIV/0!</v>
      </c>
      <c r="CI89" s="108">
        <f t="shared" si="117"/>
        <v>11.5</v>
      </c>
      <c r="CJ89" s="108" t="e">
        <f t="shared" si="117"/>
        <v>#DIV/0!</v>
      </c>
    </row>
    <row r="90" spans="1:88" x14ac:dyDescent="0.25">
      <c r="A90" s="95"/>
      <c r="B90" s="96" t="s">
        <v>1762</v>
      </c>
      <c r="C90" s="95"/>
      <c r="D90" s="95" t="s">
        <v>950</v>
      </c>
      <c r="E90" s="108"/>
      <c r="F90" s="108"/>
      <c r="G90" s="108"/>
      <c r="H90" s="108"/>
      <c r="I90" s="108">
        <f>I103/I116</f>
        <v>12</v>
      </c>
      <c r="J90" s="108" t="e">
        <f>J103/J116</f>
        <v>#DIV/0!</v>
      </c>
      <c r="K90" s="108" t="e">
        <f t="shared" si="118"/>
        <v>#DIV/0!</v>
      </c>
      <c r="L90" s="108" t="e">
        <f t="shared" si="118"/>
        <v>#DIV/0!</v>
      </c>
      <c r="M90" s="108" t="e">
        <f t="shared" si="118"/>
        <v>#DIV/0!</v>
      </c>
      <c r="N90" s="108" t="e">
        <f t="shared" si="93"/>
        <v>#DIV/0!</v>
      </c>
      <c r="P90" s="108" t="e">
        <f t="shared" si="94"/>
        <v>#DIV/0!</v>
      </c>
      <c r="Q90" s="108" t="e">
        <f t="shared" si="94"/>
        <v>#DIV/0!</v>
      </c>
      <c r="R90" s="108" t="e">
        <f t="shared" si="94"/>
        <v>#DIV/0!</v>
      </c>
      <c r="S90" s="108" t="e">
        <f t="shared" si="94"/>
        <v>#DIV/0!</v>
      </c>
      <c r="U90" s="108" t="e">
        <f t="shared" si="95"/>
        <v>#DIV/0!</v>
      </c>
      <c r="V90" s="108" t="e">
        <f t="shared" si="95"/>
        <v>#DIV/0!</v>
      </c>
      <c r="X90" s="108" t="e">
        <f t="shared" si="96"/>
        <v>#DIV/0!</v>
      </c>
      <c r="Y90" s="108" t="e">
        <f t="shared" si="96"/>
        <v>#DIV/0!</v>
      </c>
      <c r="AA90" s="108" t="e">
        <f t="shared" si="97"/>
        <v>#DIV/0!</v>
      </c>
      <c r="AB90" s="108" t="e">
        <f t="shared" si="97"/>
        <v>#DIV/0!</v>
      </c>
      <c r="AD90" s="108" t="e">
        <f t="shared" si="98"/>
        <v>#DIV/0!</v>
      </c>
      <c r="AE90" s="108" t="e">
        <f t="shared" si="98"/>
        <v>#DIV/0!</v>
      </c>
      <c r="AG90" s="108" t="e">
        <f t="shared" si="99"/>
        <v>#DIV/0!</v>
      </c>
      <c r="AH90" s="108" t="e">
        <f t="shared" si="99"/>
        <v>#DIV/0!</v>
      </c>
      <c r="AJ90" s="108" t="e">
        <f t="shared" si="100"/>
        <v>#DIV/0!</v>
      </c>
      <c r="AK90" s="108" t="e">
        <f t="shared" si="100"/>
        <v>#DIV/0!</v>
      </c>
      <c r="AM90" s="108" t="e">
        <f t="shared" si="101"/>
        <v>#DIV/0!</v>
      </c>
      <c r="AN90" s="108" t="e">
        <f t="shared" si="101"/>
        <v>#DIV/0!</v>
      </c>
      <c r="AP90" s="108" t="e">
        <f t="shared" si="102"/>
        <v>#DIV/0!</v>
      </c>
      <c r="AQ90" s="108" t="e">
        <f t="shared" si="102"/>
        <v>#DIV/0!</v>
      </c>
      <c r="AS90" s="108" t="e">
        <f t="shared" si="103"/>
        <v>#DIV/0!</v>
      </c>
      <c r="AT90" s="108" t="e">
        <f t="shared" si="103"/>
        <v>#DIV/0!</v>
      </c>
      <c r="AV90" s="108" t="e">
        <f t="shared" si="104"/>
        <v>#DIV/0!</v>
      </c>
      <c r="AW90" s="108" t="e">
        <f t="shared" si="104"/>
        <v>#DIV/0!</v>
      </c>
      <c r="AY90" s="108" t="e">
        <f t="shared" si="105"/>
        <v>#DIV/0!</v>
      </c>
      <c r="AZ90" s="108" t="e">
        <f t="shared" si="105"/>
        <v>#DIV/0!</v>
      </c>
      <c r="BB90" s="108" t="e">
        <f t="shared" si="106"/>
        <v>#DIV/0!</v>
      </c>
      <c r="BC90" s="108" t="e">
        <f t="shared" si="106"/>
        <v>#DIV/0!</v>
      </c>
      <c r="BE90" s="108" t="e">
        <f t="shared" si="107"/>
        <v>#DIV/0!</v>
      </c>
      <c r="BF90" s="108" t="e">
        <f t="shared" si="107"/>
        <v>#DIV/0!</v>
      </c>
      <c r="BH90" s="108" t="e">
        <f t="shared" si="108"/>
        <v>#DIV/0!</v>
      </c>
      <c r="BI90" s="108" t="e">
        <f t="shared" si="108"/>
        <v>#DIV/0!</v>
      </c>
      <c r="BK90" s="108" t="e">
        <f t="shared" si="109"/>
        <v>#DIV/0!</v>
      </c>
      <c r="BL90" s="108" t="e">
        <f t="shared" si="109"/>
        <v>#DIV/0!</v>
      </c>
      <c r="BN90" s="108" t="e">
        <f t="shared" si="110"/>
        <v>#DIV/0!</v>
      </c>
      <c r="BO90" s="108" t="e">
        <f t="shared" si="110"/>
        <v>#DIV/0!</v>
      </c>
      <c r="BQ90" s="108" t="e">
        <f t="shared" si="111"/>
        <v>#DIV/0!</v>
      </c>
      <c r="BR90" s="108" t="e">
        <f t="shared" si="111"/>
        <v>#DIV/0!</v>
      </c>
      <c r="BT90" s="108" t="e">
        <f t="shared" si="112"/>
        <v>#DIV/0!</v>
      </c>
      <c r="BU90" s="108" t="e">
        <f t="shared" si="112"/>
        <v>#DIV/0!</v>
      </c>
      <c r="BW90" s="108" t="e">
        <f t="shared" si="113"/>
        <v>#DIV/0!</v>
      </c>
      <c r="BX90" s="108" t="e">
        <f t="shared" si="113"/>
        <v>#DIV/0!</v>
      </c>
      <c r="BZ90" s="108" t="e">
        <f t="shared" si="114"/>
        <v>#DIV/0!</v>
      </c>
      <c r="CA90" s="108" t="e">
        <f t="shared" si="114"/>
        <v>#DIV/0!</v>
      </c>
      <c r="CC90" s="108" t="e">
        <f t="shared" si="115"/>
        <v>#DIV/0!</v>
      </c>
      <c r="CD90" s="108" t="e">
        <f t="shared" si="115"/>
        <v>#DIV/0!</v>
      </c>
      <c r="CF90" s="108" t="e">
        <f t="shared" si="116"/>
        <v>#DIV/0!</v>
      </c>
      <c r="CG90" s="108" t="e">
        <f t="shared" si="116"/>
        <v>#DIV/0!</v>
      </c>
      <c r="CI90" s="108" t="e">
        <f t="shared" si="117"/>
        <v>#DIV/0!</v>
      </c>
      <c r="CJ90" s="108" t="e">
        <f t="shared" si="117"/>
        <v>#DIV/0!</v>
      </c>
    </row>
    <row r="91" spans="1:88" x14ac:dyDescent="0.25">
      <c r="A91" s="95"/>
      <c r="B91" s="354" t="s">
        <v>2412</v>
      </c>
      <c r="C91" s="95"/>
      <c r="D91" s="95"/>
      <c r="E91" s="108"/>
      <c r="F91" s="108"/>
      <c r="G91" s="108"/>
      <c r="H91" s="108"/>
      <c r="I91" s="108"/>
      <c r="J91" s="108"/>
      <c r="K91" s="108"/>
      <c r="L91" s="108"/>
      <c r="M91" s="108"/>
      <c r="N91" s="108"/>
      <c r="P91" s="108"/>
      <c r="Q91" s="108"/>
      <c r="R91" s="108"/>
      <c r="S91" s="108"/>
      <c r="U91" s="108"/>
      <c r="V91" s="108"/>
      <c r="X91" s="108"/>
      <c r="Y91" s="108"/>
      <c r="AA91" s="108"/>
      <c r="AB91" s="108"/>
      <c r="AD91" s="108"/>
      <c r="AE91" s="108"/>
      <c r="AG91" s="108"/>
      <c r="AH91" s="108"/>
      <c r="AJ91" s="108"/>
      <c r="AK91" s="108"/>
      <c r="AM91" s="108"/>
      <c r="AN91" s="108"/>
      <c r="AP91" s="108"/>
      <c r="AQ91" s="108"/>
      <c r="AS91" s="108"/>
      <c r="AT91" s="108"/>
      <c r="AV91" s="108"/>
      <c r="AW91" s="108"/>
      <c r="AY91" s="108"/>
      <c r="AZ91" s="108"/>
      <c r="BB91" s="108"/>
      <c r="BC91" s="108"/>
      <c r="BE91" s="108"/>
      <c r="BF91" s="108"/>
      <c r="BH91" s="108"/>
      <c r="BI91" s="108"/>
      <c r="BK91" s="108"/>
      <c r="BL91" s="108"/>
      <c r="BN91" s="108"/>
      <c r="BO91" s="108"/>
      <c r="BQ91" s="108"/>
      <c r="BR91" s="108"/>
      <c r="BT91" s="108"/>
      <c r="BU91" s="108"/>
      <c r="BW91" s="108"/>
      <c r="BX91" s="108"/>
      <c r="BZ91" s="108"/>
      <c r="CA91" s="108"/>
      <c r="CC91" s="108"/>
      <c r="CD91" s="108"/>
      <c r="CF91" s="108"/>
      <c r="CG91" s="108"/>
      <c r="CI91" s="108"/>
      <c r="CJ91" s="108"/>
    </row>
    <row r="92" spans="1:88" x14ac:dyDescent="0.25">
      <c r="A92" s="95"/>
      <c r="B92" s="96" t="s">
        <v>1758</v>
      </c>
      <c r="C92" s="95"/>
      <c r="D92" s="95" t="s">
        <v>950</v>
      </c>
      <c r="E92" s="108"/>
      <c r="F92" s="108"/>
      <c r="G92" s="108"/>
      <c r="H92" s="108"/>
      <c r="I92" s="108" t="e">
        <f>I105/I118</f>
        <v>#DIV/0!</v>
      </c>
      <c r="J92" s="108">
        <f>J105/J118</f>
        <v>8</v>
      </c>
      <c r="K92" s="108">
        <f>K105/K118</f>
        <v>7.75</v>
      </c>
      <c r="L92" s="108" t="e">
        <f t="shared" ref="L92:N96" si="119">L105/L118</f>
        <v>#DIV/0!</v>
      </c>
      <c r="M92" s="108" t="e">
        <f t="shared" si="119"/>
        <v>#DIV/0!</v>
      </c>
      <c r="N92" s="108" t="e">
        <f t="shared" si="119"/>
        <v>#DIV/0!</v>
      </c>
      <c r="P92" s="108">
        <f t="shared" ref="P92:S96" si="120">P105/P118</f>
        <v>8.1666666666666661</v>
      </c>
      <c r="Q92" s="108">
        <f t="shared" si="120"/>
        <v>8.4444444444444446</v>
      </c>
      <c r="R92" s="108" t="e">
        <f t="shared" si="120"/>
        <v>#DIV/0!</v>
      </c>
      <c r="S92" s="108" t="e">
        <f t="shared" si="120"/>
        <v>#DIV/0!</v>
      </c>
      <c r="U92" s="108" t="e">
        <f t="shared" ref="U92:V96" si="121">U105/U118</f>
        <v>#DIV/0!</v>
      </c>
      <c r="V92" s="108" t="e">
        <f t="shared" si="121"/>
        <v>#DIV/0!</v>
      </c>
      <c r="X92" s="108" t="e">
        <f t="shared" ref="X92:Y96" si="122">X105/X118</f>
        <v>#DIV/0!</v>
      </c>
      <c r="Y92" s="108">
        <f t="shared" si="122"/>
        <v>5</v>
      </c>
      <c r="AA92" s="108" t="e">
        <f t="shared" ref="AA92:AB96" si="123">AA105/AA118</f>
        <v>#DIV/0!</v>
      </c>
      <c r="AB92" s="108" t="e">
        <f t="shared" si="123"/>
        <v>#DIV/0!</v>
      </c>
      <c r="AD92" s="108" t="e">
        <f t="shared" ref="AD92:AE96" si="124">AD105/AD118</f>
        <v>#DIV/0!</v>
      </c>
      <c r="AE92" s="108">
        <f t="shared" si="124"/>
        <v>13</v>
      </c>
      <c r="AG92" s="108" t="e">
        <f t="shared" ref="AG92:AH96" si="125">AG105/AG118</f>
        <v>#DIV/0!</v>
      </c>
      <c r="AH92" s="108" t="e">
        <f t="shared" si="125"/>
        <v>#DIV/0!</v>
      </c>
      <c r="AJ92" s="108" t="e">
        <f t="shared" ref="AJ92:AK96" si="126">AJ105/AJ118</f>
        <v>#DIV/0!</v>
      </c>
      <c r="AK92" s="108" t="e">
        <f t="shared" si="126"/>
        <v>#DIV/0!</v>
      </c>
      <c r="AM92" s="108">
        <f t="shared" ref="AM92:AN96" si="127">AM105/AM118</f>
        <v>8.1666666666666661</v>
      </c>
      <c r="AN92" s="108">
        <f t="shared" si="127"/>
        <v>7.5</v>
      </c>
      <c r="AP92" s="108" t="e">
        <f t="shared" ref="AP92:AQ96" si="128">AP105/AP118</f>
        <v>#DIV/0!</v>
      </c>
      <c r="AQ92" s="108" t="e">
        <f t="shared" si="128"/>
        <v>#DIV/0!</v>
      </c>
      <c r="AS92" s="108" t="e">
        <f t="shared" ref="AS92:AT96" si="129">AS105/AS118</f>
        <v>#DIV/0!</v>
      </c>
      <c r="AT92" s="108" t="e">
        <f t="shared" si="129"/>
        <v>#DIV/0!</v>
      </c>
      <c r="AV92" s="108" t="e">
        <f t="shared" ref="AV92:AW96" si="130">AV105/AV118</f>
        <v>#DIV/0!</v>
      </c>
      <c r="AW92" s="108" t="e">
        <f t="shared" si="130"/>
        <v>#DIV/0!</v>
      </c>
      <c r="AY92" s="108" t="e">
        <f t="shared" ref="AY92:AZ96" si="131">AY105/AY118</f>
        <v>#DIV/0!</v>
      </c>
      <c r="AZ92" s="108" t="e">
        <f t="shared" si="131"/>
        <v>#DIV/0!</v>
      </c>
      <c r="BB92" s="108" t="e">
        <f t="shared" ref="BB92:BC96" si="132">BB105/BB118</f>
        <v>#DIV/0!</v>
      </c>
      <c r="BC92" s="108" t="e">
        <f t="shared" si="132"/>
        <v>#DIV/0!</v>
      </c>
      <c r="BE92" s="108" t="e">
        <f t="shared" ref="BE92:BF96" si="133">BE105/BE118</f>
        <v>#DIV/0!</v>
      </c>
      <c r="BF92" s="108" t="e">
        <f t="shared" si="133"/>
        <v>#DIV/0!</v>
      </c>
      <c r="BH92" s="108" t="e">
        <f t="shared" ref="BH92:BI96" si="134">BH105/BH118</f>
        <v>#DIV/0!</v>
      </c>
      <c r="BI92" s="108" t="e">
        <f t="shared" si="134"/>
        <v>#DIV/0!</v>
      </c>
      <c r="BK92" s="108" t="e">
        <f t="shared" ref="BK92:BL96" si="135">BK105/BK118</f>
        <v>#DIV/0!</v>
      </c>
      <c r="BL92" s="108" t="e">
        <f t="shared" si="135"/>
        <v>#DIV/0!</v>
      </c>
      <c r="BN92" s="108" t="e">
        <f t="shared" ref="BN92:BO96" si="136">BN105/BN118</f>
        <v>#DIV/0!</v>
      </c>
      <c r="BO92" s="108" t="e">
        <f t="shared" si="136"/>
        <v>#DIV/0!</v>
      </c>
      <c r="BQ92" s="108" t="e">
        <f t="shared" ref="BQ92:BR96" si="137">BQ105/BQ118</f>
        <v>#DIV/0!</v>
      </c>
      <c r="BR92" s="108" t="e">
        <f t="shared" si="137"/>
        <v>#DIV/0!</v>
      </c>
      <c r="BT92" s="108" t="e">
        <f t="shared" ref="BT92:BU96" si="138">BT105/BT118</f>
        <v>#DIV/0!</v>
      </c>
      <c r="BU92" s="108" t="e">
        <f t="shared" si="138"/>
        <v>#DIV/0!</v>
      </c>
      <c r="BW92" s="108" t="e">
        <f t="shared" ref="BW92:BX96" si="139">BW105/BW118</f>
        <v>#DIV/0!</v>
      </c>
      <c r="BX92" s="108" t="e">
        <f t="shared" si="139"/>
        <v>#DIV/0!</v>
      </c>
      <c r="BZ92" s="108" t="e">
        <f t="shared" ref="BZ92:CA96" si="140">BZ105/BZ118</f>
        <v>#DIV/0!</v>
      </c>
      <c r="CA92" s="108" t="e">
        <f t="shared" si="140"/>
        <v>#DIV/0!</v>
      </c>
      <c r="CC92" s="108" t="e">
        <f t="shared" ref="CC92:CD96" si="141">CC105/CC118</f>
        <v>#DIV/0!</v>
      </c>
      <c r="CD92" s="108" t="e">
        <f t="shared" si="141"/>
        <v>#DIV/0!</v>
      </c>
      <c r="CF92" s="108" t="e">
        <f t="shared" ref="CF92:CG96" si="142">CF105/CF118</f>
        <v>#DIV/0!</v>
      </c>
      <c r="CG92" s="108" t="e">
        <f t="shared" si="142"/>
        <v>#DIV/0!</v>
      </c>
      <c r="CI92" s="108" t="e">
        <f t="shared" ref="CI92:CJ96" si="143">CI105/CI118</f>
        <v>#DIV/0!</v>
      </c>
      <c r="CJ92" s="108" t="e">
        <f t="shared" si="143"/>
        <v>#DIV/0!</v>
      </c>
    </row>
    <row r="93" spans="1:88" x14ac:dyDescent="0.25">
      <c r="A93" s="95"/>
      <c r="B93" s="96" t="s">
        <v>1759</v>
      </c>
      <c r="C93" s="95"/>
      <c r="D93" s="95" t="s">
        <v>950</v>
      </c>
      <c r="E93" s="108"/>
      <c r="F93" s="108"/>
      <c r="G93" s="108"/>
      <c r="H93" s="108"/>
      <c r="I93" s="108" t="e">
        <f>I106/I119</f>
        <v>#DIV/0!</v>
      </c>
      <c r="J93" s="108">
        <f t="shared" ref="J93:M96" si="144">J106/J119</f>
        <v>21.027777777777779</v>
      </c>
      <c r="K93" s="108">
        <f t="shared" si="144"/>
        <v>21.008086253369271</v>
      </c>
      <c r="L93" s="108">
        <f t="shared" si="144"/>
        <v>18.512195121951219</v>
      </c>
      <c r="M93" s="108">
        <f t="shared" si="144"/>
        <v>18.666666666666668</v>
      </c>
      <c r="N93" s="108">
        <f t="shared" si="119"/>
        <v>16.475000000000001</v>
      </c>
      <c r="P93" s="108">
        <f t="shared" si="120"/>
        <v>21.04398826979472</v>
      </c>
      <c r="Q93" s="108">
        <f t="shared" si="120"/>
        <v>19.696969696969695</v>
      </c>
      <c r="R93" s="108">
        <f t="shared" si="120"/>
        <v>20</v>
      </c>
      <c r="S93" s="108">
        <f t="shared" si="120"/>
        <v>20.46875</v>
      </c>
      <c r="U93" s="108">
        <f t="shared" si="121"/>
        <v>17.833333333333332</v>
      </c>
      <c r="V93" s="108">
        <f t="shared" si="121"/>
        <v>19.647058823529413</v>
      </c>
      <c r="X93" s="108">
        <f t="shared" si="122"/>
        <v>16.794117647058822</v>
      </c>
      <c r="Y93" s="108">
        <f t="shared" si="122"/>
        <v>16.457142857142856</v>
      </c>
      <c r="AA93" s="108">
        <f t="shared" si="123"/>
        <v>23.475000000000001</v>
      </c>
      <c r="AB93" s="108">
        <f t="shared" si="123"/>
        <v>21.238095238095237</v>
      </c>
      <c r="AD93" s="108">
        <f t="shared" si="124"/>
        <v>17.666666666666668</v>
      </c>
      <c r="AE93" s="108">
        <f t="shared" si="124"/>
        <v>17.043478260869566</v>
      </c>
      <c r="AG93" s="108">
        <f t="shared" si="125"/>
        <v>19.05263157894737</v>
      </c>
      <c r="AH93" s="108">
        <f t="shared" si="125"/>
        <v>19.027777777777779</v>
      </c>
      <c r="AJ93" s="108">
        <f t="shared" si="126"/>
        <v>23</v>
      </c>
      <c r="AK93" s="108">
        <f t="shared" si="126"/>
        <v>20.8</v>
      </c>
      <c r="AM93" s="108">
        <f t="shared" si="127"/>
        <v>25.50537634408602</v>
      </c>
      <c r="AN93" s="108">
        <f t="shared" si="127"/>
        <v>22.985915492957748</v>
      </c>
      <c r="AP93" s="108">
        <f t="shared" si="128"/>
        <v>18.775510204081634</v>
      </c>
      <c r="AQ93" s="108">
        <f t="shared" si="128"/>
        <v>17.23076923076923</v>
      </c>
      <c r="AS93" s="108" t="e">
        <f t="shared" si="129"/>
        <v>#DIV/0!</v>
      </c>
      <c r="AT93" s="108" t="e">
        <f t="shared" si="129"/>
        <v>#DIV/0!</v>
      </c>
      <c r="AV93" s="108" t="e">
        <f t="shared" si="130"/>
        <v>#DIV/0!</v>
      </c>
      <c r="AW93" s="108" t="e">
        <f t="shared" si="130"/>
        <v>#DIV/0!</v>
      </c>
      <c r="AY93" s="108" t="e">
        <f t="shared" si="131"/>
        <v>#DIV/0!</v>
      </c>
      <c r="AZ93" s="108" t="e">
        <f t="shared" si="131"/>
        <v>#DIV/0!</v>
      </c>
      <c r="BB93" s="108" t="e">
        <f t="shared" si="132"/>
        <v>#DIV/0!</v>
      </c>
      <c r="BC93" s="108" t="e">
        <f t="shared" si="132"/>
        <v>#DIV/0!</v>
      </c>
      <c r="BE93" s="108" t="e">
        <f t="shared" si="133"/>
        <v>#DIV/0!</v>
      </c>
      <c r="BF93" s="108" t="e">
        <f t="shared" si="133"/>
        <v>#DIV/0!</v>
      </c>
      <c r="BH93" s="108" t="e">
        <f t="shared" si="134"/>
        <v>#DIV/0!</v>
      </c>
      <c r="BI93" s="108" t="e">
        <f t="shared" si="134"/>
        <v>#DIV/0!</v>
      </c>
      <c r="BK93" s="108" t="e">
        <f t="shared" si="135"/>
        <v>#DIV/0!</v>
      </c>
      <c r="BL93" s="108" t="e">
        <f t="shared" si="135"/>
        <v>#DIV/0!</v>
      </c>
      <c r="BN93" s="108" t="e">
        <f t="shared" si="136"/>
        <v>#DIV/0!</v>
      </c>
      <c r="BO93" s="108" t="e">
        <f t="shared" si="136"/>
        <v>#DIV/0!</v>
      </c>
      <c r="BQ93" s="108" t="e">
        <f t="shared" si="137"/>
        <v>#DIV/0!</v>
      </c>
      <c r="BR93" s="108" t="e">
        <f t="shared" si="137"/>
        <v>#DIV/0!</v>
      </c>
      <c r="BT93" s="108" t="e">
        <f t="shared" si="138"/>
        <v>#DIV/0!</v>
      </c>
      <c r="BU93" s="108" t="e">
        <f t="shared" si="138"/>
        <v>#DIV/0!</v>
      </c>
      <c r="BW93" s="108" t="e">
        <f t="shared" si="139"/>
        <v>#DIV/0!</v>
      </c>
      <c r="BX93" s="108" t="e">
        <f t="shared" si="139"/>
        <v>#DIV/0!</v>
      </c>
      <c r="BZ93" s="108" t="e">
        <f t="shared" si="140"/>
        <v>#DIV/0!</v>
      </c>
      <c r="CA93" s="108" t="e">
        <f t="shared" si="140"/>
        <v>#DIV/0!</v>
      </c>
      <c r="CC93" s="108" t="e">
        <f t="shared" si="141"/>
        <v>#DIV/0!</v>
      </c>
      <c r="CD93" s="108" t="e">
        <f t="shared" si="141"/>
        <v>#DIV/0!</v>
      </c>
      <c r="CF93" s="108" t="e">
        <f t="shared" si="142"/>
        <v>#DIV/0!</v>
      </c>
      <c r="CG93" s="108" t="e">
        <f t="shared" si="142"/>
        <v>#DIV/0!</v>
      </c>
      <c r="CI93" s="108" t="e">
        <f t="shared" si="143"/>
        <v>#DIV/0!</v>
      </c>
      <c r="CJ93" s="108" t="e">
        <f t="shared" si="143"/>
        <v>#DIV/0!</v>
      </c>
    </row>
    <row r="94" spans="1:88" x14ac:dyDescent="0.25">
      <c r="A94" s="95"/>
      <c r="B94" s="96" t="s">
        <v>1760</v>
      </c>
      <c r="C94" s="95"/>
      <c r="D94" s="95" t="s">
        <v>950</v>
      </c>
      <c r="E94" s="108"/>
      <c r="F94" s="108"/>
      <c r="G94" s="108"/>
      <c r="H94" s="108"/>
      <c r="I94" s="108" t="e">
        <f>I107/I120</f>
        <v>#DIV/0!</v>
      </c>
      <c r="J94" s="108" t="e">
        <f>J107/J120</f>
        <v>#DIV/0!</v>
      </c>
      <c r="K94" s="108">
        <f>K107/K120</f>
        <v>17.5</v>
      </c>
      <c r="L94" s="108" t="e">
        <f t="shared" si="144"/>
        <v>#DIV/0!</v>
      </c>
      <c r="M94" s="108" t="e">
        <f t="shared" si="144"/>
        <v>#DIV/0!</v>
      </c>
      <c r="N94" s="108" t="e">
        <f t="shared" si="119"/>
        <v>#DIV/0!</v>
      </c>
      <c r="P94" s="108" t="e">
        <f t="shared" si="120"/>
        <v>#DIV/0!</v>
      </c>
      <c r="Q94" s="108" t="e">
        <f t="shared" si="120"/>
        <v>#DIV/0!</v>
      </c>
      <c r="R94" s="108" t="e">
        <f t="shared" si="120"/>
        <v>#DIV/0!</v>
      </c>
      <c r="S94" s="108" t="e">
        <f t="shared" si="120"/>
        <v>#DIV/0!</v>
      </c>
      <c r="U94" s="108" t="e">
        <f t="shared" si="121"/>
        <v>#DIV/0!</v>
      </c>
      <c r="V94" s="108" t="e">
        <f t="shared" si="121"/>
        <v>#DIV/0!</v>
      </c>
      <c r="X94" s="108" t="e">
        <f t="shared" si="122"/>
        <v>#DIV/0!</v>
      </c>
      <c r="Y94" s="108" t="e">
        <f t="shared" si="122"/>
        <v>#DIV/0!</v>
      </c>
      <c r="AA94" s="108" t="e">
        <f t="shared" si="123"/>
        <v>#DIV/0!</v>
      </c>
      <c r="AB94" s="108" t="e">
        <f t="shared" si="123"/>
        <v>#DIV/0!</v>
      </c>
      <c r="AD94" s="108" t="e">
        <f t="shared" si="124"/>
        <v>#DIV/0!</v>
      </c>
      <c r="AE94" s="108" t="e">
        <f t="shared" si="124"/>
        <v>#DIV/0!</v>
      </c>
      <c r="AG94" s="108" t="e">
        <f t="shared" si="125"/>
        <v>#DIV/0!</v>
      </c>
      <c r="AH94" s="108" t="e">
        <f t="shared" si="125"/>
        <v>#DIV/0!</v>
      </c>
      <c r="AJ94" s="108" t="e">
        <f t="shared" si="126"/>
        <v>#DIV/0!</v>
      </c>
      <c r="AK94" s="108" t="e">
        <f t="shared" si="126"/>
        <v>#DIV/0!</v>
      </c>
      <c r="AM94" s="108" t="e">
        <f t="shared" si="127"/>
        <v>#DIV/0!</v>
      </c>
      <c r="AN94" s="108" t="e">
        <f t="shared" si="127"/>
        <v>#DIV/0!</v>
      </c>
      <c r="AP94" s="108" t="e">
        <f t="shared" si="128"/>
        <v>#DIV/0!</v>
      </c>
      <c r="AQ94" s="108" t="e">
        <f t="shared" si="128"/>
        <v>#DIV/0!</v>
      </c>
      <c r="AS94" s="108" t="e">
        <f t="shared" si="129"/>
        <v>#DIV/0!</v>
      </c>
      <c r="AT94" s="108" t="e">
        <f t="shared" si="129"/>
        <v>#DIV/0!</v>
      </c>
      <c r="AV94" s="108" t="e">
        <f t="shared" si="130"/>
        <v>#DIV/0!</v>
      </c>
      <c r="AW94" s="108" t="e">
        <f t="shared" si="130"/>
        <v>#DIV/0!</v>
      </c>
      <c r="AY94" s="108" t="e">
        <f t="shared" si="131"/>
        <v>#DIV/0!</v>
      </c>
      <c r="AZ94" s="108" t="e">
        <f t="shared" si="131"/>
        <v>#DIV/0!</v>
      </c>
      <c r="BB94" s="108" t="e">
        <f t="shared" si="132"/>
        <v>#DIV/0!</v>
      </c>
      <c r="BC94" s="108" t="e">
        <f t="shared" si="132"/>
        <v>#DIV/0!</v>
      </c>
      <c r="BE94" s="108" t="e">
        <f t="shared" si="133"/>
        <v>#DIV/0!</v>
      </c>
      <c r="BF94" s="108" t="e">
        <f t="shared" si="133"/>
        <v>#DIV/0!</v>
      </c>
      <c r="BH94" s="108" t="e">
        <f t="shared" si="134"/>
        <v>#DIV/0!</v>
      </c>
      <c r="BI94" s="108" t="e">
        <f t="shared" si="134"/>
        <v>#DIV/0!</v>
      </c>
      <c r="BK94" s="108" t="e">
        <f t="shared" si="135"/>
        <v>#DIV/0!</v>
      </c>
      <c r="BL94" s="108" t="e">
        <f t="shared" si="135"/>
        <v>#DIV/0!</v>
      </c>
      <c r="BN94" s="108" t="e">
        <f t="shared" si="136"/>
        <v>#DIV/0!</v>
      </c>
      <c r="BO94" s="108" t="e">
        <f t="shared" si="136"/>
        <v>#DIV/0!</v>
      </c>
      <c r="BQ94" s="108" t="e">
        <f t="shared" si="137"/>
        <v>#DIV/0!</v>
      </c>
      <c r="BR94" s="108" t="e">
        <f t="shared" si="137"/>
        <v>#DIV/0!</v>
      </c>
      <c r="BT94" s="108" t="e">
        <f t="shared" si="138"/>
        <v>#DIV/0!</v>
      </c>
      <c r="BU94" s="108" t="e">
        <f t="shared" si="138"/>
        <v>#DIV/0!</v>
      </c>
      <c r="BW94" s="108" t="e">
        <f t="shared" si="139"/>
        <v>#DIV/0!</v>
      </c>
      <c r="BX94" s="108" t="e">
        <f t="shared" si="139"/>
        <v>#DIV/0!</v>
      </c>
      <c r="BZ94" s="108" t="e">
        <f t="shared" si="140"/>
        <v>#DIV/0!</v>
      </c>
      <c r="CA94" s="108" t="e">
        <f t="shared" si="140"/>
        <v>#DIV/0!</v>
      </c>
      <c r="CC94" s="108" t="e">
        <f t="shared" si="141"/>
        <v>#DIV/0!</v>
      </c>
      <c r="CD94" s="108" t="e">
        <f t="shared" si="141"/>
        <v>#DIV/0!</v>
      </c>
      <c r="CF94" s="108" t="e">
        <f t="shared" si="142"/>
        <v>#DIV/0!</v>
      </c>
      <c r="CG94" s="108" t="e">
        <f t="shared" si="142"/>
        <v>#DIV/0!</v>
      </c>
      <c r="CI94" s="108" t="e">
        <f t="shared" si="143"/>
        <v>#DIV/0!</v>
      </c>
      <c r="CJ94" s="108" t="e">
        <f t="shared" si="143"/>
        <v>#DIV/0!</v>
      </c>
    </row>
    <row r="95" spans="1:88" x14ac:dyDescent="0.25">
      <c r="A95" s="95"/>
      <c r="B95" s="96" t="s">
        <v>1761</v>
      </c>
      <c r="C95" s="95"/>
      <c r="D95" s="95" t="s">
        <v>950</v>
      </c>
      <c r="E95" s="108"/>
      <c r="F95" s="108"/>
      <c r="G95" s="108"/>
      <c r="H95" s="108"/>
      <c r="I95" s="108" t="e">
        <f>I108/I121</f>
        <v>#DIV/0!</v>
      </c>
      <c r="J95" s="108">
        <f t="shared" si="144"/>
        <v>16.416666666666668</v>
      </c>
      <c r="K95" s="108">
        <f t="shared" si="144"/>
        <v>18.2</v>
      </c>
      <c r="L95" s="108" t="e">
        <f t="shared" si="144"/>
        <v>#DIV/0!</v>
      </c>
      <c r="M95" s="108" t="e">
        <f t="shared" si="144"/>
        <v>#DIV/0!</v>
      </c>
      <c r="N95" s="108">
        <f t="shared" si="119"/>
        <v>17</v>
      </c>
      <c r="P95" s="108">
        <f t="shared" si="120"/>
        <v>17.956521739130434</v>
      </c>
      <c r="Q95" s="108">
        <f t="shared" si="120"/>
        <v>15.243243243243244</v>
      </c>
      <c r="R95" s="108" t="e">
        <f t="shared" si="120"/>
        <v>#DIV/0!</v>
      </c>
      <c r="S95" s="108" t="e">
        <f t="shared" si="120"/>
        <v>#DIV/0!</v>
      </c>
      <c r="U95" s="108" t="e">
        <f t="shared" si="121"/>
        <v>#DIV/0!</v>
      </c>
      <c r="V95" s="108">
        <f t="shared" si="121"/>
        <v>12.5</v>
      </c>
      <c r="X95" s="108">
        <f t="shared" si="122"/>
        <v>15.75</v>
      </c>
      <c r="Y95" s="108">
        <f t="shared" si="122"/>
        <v>16.666666666666668</v>
      </c>
      <c r="AA95" s="108" t="e">
        <f t="shared" si="123"/>
        <v>#DIV/0!</v>
      </c>
      <c r="AB95" s="108" t="e">
        <f t="shared" si="123"/>
        <v>#DIV/0!</v>
      </c>
      <c r="AD95" s="108">
        <f t="shared" si="124"/>
        <v>24.5</v>
      </c>
      <c r="AE95" s="108" t="e">
        <f t="shared" si="124"/>
        <v>#DIV/0!</v>
      </c>
      <c r="AG95" s="108">
        <f t="shared" si="125"/>
        <v>27.5</v>
      </c>
      <c r="AH95" s="108" t="e">
        <f t="shared" si="125"/>
        <v>#DIV/0!</v>
      </c>
      <c r="AJ95" s="108">
        <f t="shared" si="126"/>
        <v>13.5</v>
      </c>
      <c r="AK95" s="108">
        <f t="shared" si="126"/>
        <v>12.5</v>
      </c>
      <c r="AM95" s="108">
        <f t="shared" si="127"/>
        <v>17.2</v>
      </c>
      <c r="AN95" s="108">
        <f t="shared" si="127"/>
        <v>15.518518518518519</v>
      </c>
      <c r="AP95" s="108">
        <f t="shared" si="128"/>
        <v>15.666666666666666</v>
      </c>
      <c r="AQ95" s="108">
        <f t="shared" si="128"/>
        <v>15</v>
      </c>
      <c r="AS95" s="108" t="e">
        <f t="shared" si="129"/>
        <v>#DIV/0!</v>
      </c>
      <c r="AT95" s="108" t="e">
        <f t="shared" si="129"/>
        <v>#DIV/0!</v>
      </c>
      <c r="AV95" s="108" t="e">
        <f t="shared" si="130"/>
        <v>#DIV/0!</v>
      </c>
      <c r="AW95" s="108" t="e">
        <f t="shared" si="130"/>
        <v>#DIV/0!</v>
      </c>
      <c r="AY95" s="108" t="e">
        <f t="shared" si="131"/>
        <v>#DIV/0!</v>
      </c>
      <c r="AZ95" s="108" t="e">
        <f t="shared" si="131"/>
        <v>#DIV/0!</v>
      </c>
      <c r="BB95" s="108" t="e">
        <f t="shared" si="132"/>
        <v>#DIV/0!</v>
      </c>
      <c r="BC95" s="108" t="e">
        <f t="shared" si="132"/>
        <v>#DIV/0!</v>
      </c>
      <c r="BE95" s="108" t="e">
        <f t="shared" si="133"/>
        <v>#DIV/0!</v>
      </c>
      <c r="BF95" s="108" t="e">
        <f t="shared" si="133"/>
        <v>#DIV/0!</v>
      </c>
      <c r="BH95" s="108" t="e">
        <f t="shared" si="134"/>
        <v>#DIV/0!</v>
      </c>
      <c r="BI95" s="108" t="e">
        <f t="shared" si="134"/>
        <v>#DIV/0!</v>
      </c>
      <c r="BK95" s="108" t="e">
        <f t="shared" si="135"/>
        <v>#DIV/0!</v>
      </c>
      <c r="BL95" s="108" t="e">
        <f t="shared" si="135"/>
        <v>#DIV/0!</v>
      </c>
      <c r="BN95" s="108" t="e">
        <f t="shared" si="136"/>
        <v>#DIV/0!</v>
      </c>
      <c r="BO95" s="108" t="e">
        <f t="shared" si="136"/>
        <v>#DIV/0!</v>
      </c>
      <c r="BQ95" s="108" t="e">
        <f t="shared" si="137"/>
        <v>#DIV/0!</v>
      </c>
      <c r="BR95" s="108" t="e">
        <f t="shared" si="137"/>
        <v>#DIV/0!</v>
      </c>
      <c r="BT95" s="108" t="e">
        <f t="shared" si="138"/>
        <v>#DIV/0!</v>
      </c>
      <c r="BU95" s="108" t="e">
        <f t="shared" si="138"/>
        <v>#DIV/0!</v>
      </c>
      <c r="BW95" s="108" t="e">
        <f t="shared" si="139"/>
        <v>#DIV/0!</v>
      </c>
      <c r="BX95" s="108" t="e">
        <f t="shared" si="139"/>
        <v>#DIV/0!</v>
      </c>
      <c r="BZ95" s="108" t="e">
        <f t="shared" si="140"/>
        <v>#DIV/0!</v>
      </c>
      <c r="CA95" s="108" t="e">
        <f t="shared" si="140"/>
        <v>#DIV/0!</v>
      </c>
      <c r="CC95" s="108" t="e">
        <f t="shared" si="141"/>
        <v>#DIV/0!</v>
      </c>
      <c r="CD95" s="108" t="e">
        <f t="shared" si="141"/>
        <v>#DIV/0!</v>
      </c>
      <c r="CF95" s="108" t="e">
        <f t="shared" si="142"/>
        <v>#DIV/0!</v>
      </c>
      <c r="CG95" s="108" t="e">
        <f t="shared" si="142"/>
        <v>#DIV/0!</v>
      </c>
      <c r="CI95" s="108" t="e">
        <f t="shared" si="143"/>
        <v>#DIV/0!</v>
      </c>
      <c r="CJ95" s="108" t="e">
        <f t="shared" si="143"/>
        <v>#DIV/0!</v>
      </c>
    </row>
    <row r="96" spans="1:88" x14ac:dyDescent="0.25">
      <c r="A96" s="95"/>
      <c r="B96" s="96" t="s">
        <v>1762</v>
      </c>
      <c r="C96" s="95"/>
      <c r="D96" s="95" t="s">
        <v>950</v>
      </c>
      <c r="E96" s="108"/>
      <c r="F96" s="108"/>
      <c r="G96" s="108"/>
      <c r="H96" s="108"/>
      <c r="I96" s="108" t="e">
        <f>I109/I122</f>
        <v>#DIV/0!</v>
      </c>
      <c r="J96" s="108">
        <f t="shared" si="144"/>
        <v>16</v>
      </c>
      <c r="K96" s="108">
        <f t="shared" si="144"/>
        <v>16</v>
      </c>
      <c r="L96" s="108" t="e">
        <f t="shared" si="144"/>
        <v>#DIV/0!</v>
      </c>
      <c r="M96" s="108" t="e">
        <f t="shared" si="144"/>
        <v>#DIV/0!</v>
      </c>
      <c r="N96" s="108" t="e">
        <f t="shared" si="119"/>
        <v>#DIV/0!</v>
      </c>
      <c r="P96" s="108">
        <f t="shared" si="120"/>
        <v>16</v>
      </c>
      <c r="Q96" s="108" t="e">
        <f t="shared" si="120"/>
        <v>#DIV/0!</v>
      </c>
      <c r="R96" s="108" t="e">
        <f t="shared" si="120"/>
        <v>#DIV/0!</v>
      </c>
      <c r="S96" s="108" t="e">
        <f t="shared" si="120"/>
        <v>#DIV/0!</v>
      </c>
      <c r="U96" s="108" t="e">
        <f t="shared" si="121"/>
        <v>#DIV/0!</v>
      </c>
      <c r="V96" s="108" t="e">
        <f t="shared" si="121"/>
        <v>#DIV/0!</v>
      </c>
      <c r="X96" s="108" t="e">
        <f t="shared" si="122"/>
        <v>#DIV/0!</v>
      </c>
      <c r="Y96" s="108" t="e">
        <f t="shared" si="122"/>
        <v>#DIV/0!</v>
      </c>
      <c r="AA96" s="108" t="e">
        <f t="shared" si="123"/>
        <v>#DIV/0!</v>
      </c>
      <c r="AB96" s="108" t="e">
        <f t="shared" si="123"/>
        <v>#DIV/0!</v>
      </c>
      <c r="AD96" s="108" t="e">
        <f t="shared" si="124"/>
        <v>#DIV/0!</v>
      </c>
      <c r="AE96" s="108" t="e">
        <f t="shared" si="124"/>
        <v>#DIV/0!</v>
      </c>
      <c r="AG96" s="108" t="e">
        <f t="shared" si="125"/>
        <v>#DIV/0!</v>
      </c>
      <c r="AH96" s="108" t="e">
        <f t="shared" si="125"/>
        <v>#DIV/0!</v>
      </c>
      <c r="AJ96" s="108" t="e">
        <f t="shared" si="126"/>
        <v>#DIV/0!</v>
      </c>
      <c r="AK96" s="108" t="e">
        <f t="shared" si="126"/>
        <v>#DIV/0!</v>
      </c>
      <c r="AM96" s="108" t="e">
        <f t="shared" si="127"/>
        <v>#DIV/0!</v>
      </c>
      <c r="AN96" s="108" t="e">
        <f t="shared" si="127"/>
        <v>#DIV/0!</v>
      </c>
      <c r="AP96" s="108">
        <f t="shared" si="128"/>
        <v>16</v>
      </c>
      <c r="AQ96" s="108" t="e">
        <f t="shared" si="128"/>
        <v>#DIV/0!</v>
      </c>
      <c r="AS96" s="108" t="e">
        <f t="shared" si="129"/>
        <v>#DIV/0!</v>
      </c>
      <c r="AT96" s="108" t="e">
        <f t="shared" si="129"/>
        <v>#DIV/0!</v>
      </c>
      <c r="AV96" s="108" t="e">
        <f t="shared" si="130"/>
        <v>#DIV/0!</v>
      </c>
      <c r="AW96" s="108" t="e">
        <f t="shared" si="130"/>
        <v>#DIV/0!</v>
      </c>
      <c r="AY96" s="108" t="e">
        <f t="shared" si="131"/>
        <v>#DIV/0!</v>
      </c>
      <c r="AZ96" s="108" t="e">
        <f t="shared" si="131"/>
        <v>#DIV/0!</v>
      </c>
      <c r="BB96" s="108" t="e">
        <f t="shared" si="132"/>
        <v>#DIV/0!</v>
      </c>
      <c r="BC96" s="108" t="e">
        <f t="shared" si="132"/>
        <v>#DIV/0!</v>
      </c>
      <c r="BE96" s="108" t="e">
        <f t="shared" si="133"/>
        <v>#DIV/0!</v>
      </c>
      <c r="BF96" s="108" t="e">
        <f t="shared" si="133"/>
        <v>#DIV/0!</v>
      </c>
      <c r="BH96" s="108" t="e">
        <f t="shared" si="134"/>
        <v>#DIV/0!</v>
      </c>
      <c r="BI96" s="108" t="e">
        <f t="shared" si="134"/>
        <v>#DIV/0!</v>
      </c>
      <c r="BK96" s="108" t="e">
        <f t="shared" si="135"/>
        <v>#DIV/0!</v>
      </c>
      <c r="BL96" s="108" t="e">
        <f t="shared" si="135"/>
        <v>#DIV/0!</v>
      </c>
      <c r="BN96" s="108" t="e">
        <f t="shared" si="136"/>
        <v>#DIV/0!</v>
      </c>
      <c r="BO96" s="108" t="e">
        <f t="shared" si="136"/>
        <v>#DIV/0!</v>
      </c>
      <c r="BQ96" s="108" t="e">
        <f t="shared" si="137"/>
        <v>#DIV/0!</v>
      </c>
      <c r="BR96" s="108" t="e">
        <f t="shared" si="137"/>
        <v>#DIV/0!</v>
      </c>
      <c r="BT96" s="108" t="e">
        <f t="shared" si="138"/>
        <v>#DIV/0!</v>
      </c>
      <c r="BU96" s="108" t="e">
        <f t="shared" si="138"/>
        <v>#DIV/0!</v>
      </c>
      <c r="BW96" s="108" t="e">
        <f t="shared" si="139"/>
        <v>#DIV/0!</v>
      </c>
      <c r="BX96" s="108" t="e">
        <f t="shared" si="139"/>
        <v>#DIV/0!</v>
      </c>
      <c r="BZ96" s="108" t="e">
        <f t="shared" si="140"/>
        <v>#DIV/0!</v>
      </c>
      <c r="CA96" s="108" t="e">
        <f t="shared" si="140"/>
        <v>#DIV/0!</v>
      </c>
      <c r="CC96" s="108" t="e">
        <f t="shared" si="141"/>
        <v>#DIV/0!</v>
      </c>
      <c r="CD96" s="108" t="e">
        <f t="shared" si="141"/>
        <v>#DIV/0!</v>
      </c>
      <c r="CF96" s="108" t="e">
        <f t="shared" si="142"/>
        <v>#DIV/0!</v>
      </c>
      <c r="CG96" s="108" t="e">
        <f t="shared" si="142"/>
        <v>#DIV/0!</v>
      </c>
      <c r="CI96" s="108" t="e">
        <f t="shared" si="143"/>
        <v>#DIV/0!</v>
      </c>
      <c r="CJ96" s="108" t="e">
        <f t="shared" si="143"/>
        <v>#DIV/0!</v>
      </c>
    </row>
    <row r="97" spans="1:88" x14ac:dyDescent="0.25">
      <c r="A97" s="95"/>
      <c r="B97" s="354" t="s">
        <v>1756</v>
      </c>
      <c r="C97" s="95"/>
      <c r="D97" s="95"/>
      <c r="E97" s="108"/>
      <c r="F97" s="108"/>
      <c r="G97" s="108"/>
      <c r="H97" s="108"/>
      <c r="I97" s="108"/>
      <c r="J97" s="108"/>
      <c r="K97" s="108"/>
      <c r="L97" s="108"/>
      <c r="M97" s="108"/>
      <c r="N97" s="108"/>
    </row>
    <row r="98" spans="1:88" x14ac:dyDescent="0.25">
      <c r="A98" s="95"/>
      <c r="B98" s="354" t="s">
        <v>2411</v>
      </c>
      <c r="C98" s="95"/>
      <c r="D98" s="95"/>
      <c r="E98" s="108"/>
      <c r="F98" s="108"/>
      <c r="G98" s="108"/>
      <c r="H98" s="108"/>
      <c r="I98" s="108"/>
      <c r="J98" s="108"/>
      <c r="K98" s="108"/>
      <c r="L98" s="108"/>
      <c r="M98" s="108"/>
      <c r="N98" s="108"/>
    </row>
    <row r="99" spans="1:88" ht="30" x14ac:dyDescent="0.25">
      <c r="A99" s="95"/>
      <c r="B99" s="96" t="s">
        <v>1758</v>
      </c>
      <c r="C99" s="95" t="s">
        <v>1766</v>
      </c>
      <c r="D99" s="95" t="s">
        <v>950</v>
      </c>
      <c r="E99" s="108"/>
      <c r="F99" s="108"/>
      <c r="G99" s="108"/>
      <c r="H99" s="108"/>
      <c r="I99" s="357">
        <v>4368</v>
      </c>
      <c r="J99" s="357">
        <v>4605</v>
      </c>
      <c r="K99" s="357">
        <v>4316</v>
      </c>
      <c r="L99" s="357">
        <v>19</v>
      </c>
      <c r="M99" s="357">
        <v>27</v>
      </c>
      <c r="N99" s="357">
        <v>26</v>
      </c>
      <c r="O99" s="283"/>
      <c r="P99" s="286">
        <f t="shared" ref="P99:Q103" si="145">R99+U99+X99+AA99+AD99+AG99+AJ99+AM99+AP99+AS99+AV99+AY99+BB99+BE99+BH99+BK99+BN99+BQ99+BT99+BW99+BZ99+CC99+CF99+CI99</f>
        <v>4298</v>
      </c>
      <c r="Q99" s="358">
        <f>S99+V99+Y99+AB99+AE99+AH99+AK99+AN99+AQ99+AT99+AW99+AZ99+BC99+BF99+BI99+BL99+BO99+BR99+BU99+BX99+CA99+CD99+CG99+CJ99</f>
        <v>4722</v>
      </c>
      <c r="R99" s="286">
        <v>65</v>
      </c>
      <c r="S99" s="286">
        <v>78</v>
      </c>
      <c r="T99" s="286"/>
      <c r="U99" s="286">
        <v>0</v>
      </c>
      <c r="V99" s="286">
        <v>0</v>
      </c>
      <c r="W99" s="286"/>
      <c r="X99" s="286">
        <v>35</v>
      </c>
      <c r="Y99" s="286">
        <v>19</v>
      </c>
      <c r="Z99" s="286"/>
      <c r="AA99" s="286">
        <v>18</v>
      </c>
      <c r="AB99" s="286">
        <v>23</v>
      </c>
      <c r="AC99" s="286"/>
      <c r="AD99" s="286">
        <v>0</v>
      </c>
      <c r="AE99" s="286">
        <v>128</v>
      </c>
      <c r="AF99" s="286"/>
      <c r="AG99" s="286">
        <v>28</v>
      </c>
      <c r="AH99" s="286">
        <v>19</v>
      </c>
      <c r="AI99" s="286"/>
      <c r="AJ99" s="286">
        <v>325</v>
      </c>
      <c r="AK99" s="286">
        <v>306</v>
      </c>
      <c r="AL99" s="286"/>
      <c r="AM99" s="286">
        <v>201</v>
      </c>
      <c r="AN99" s="286">
        <v>230</v>
      </c>
      <c r="AO99" s="286"/>
      <c r="AP99" s="286">
        <v>0</v>
      </c>
      <c r="AQ99" s="286">
        <v>0</v>
      </c>
      <c r="AR99" s="286"/>
      <c r="AS99" s="286">
        <v>287</v>
      </c>
      <c r="AT99" s="286">
        <v>344</v>
      </c>
      <c r="AU99" s="286"/>
      <c r="AV99" s="286">
        <v>154</v>
      </c>
      <c r="AW99" s="286">
        <v>126</v>
      </c>
      <c r="AX99" s="286"/>
      <c r="AY99" s="286">
        <v>419</v>
      </c>
      <c r="AZ99" s="286">
        <v>385</v>
      </c>
      <c r="BA99" s="286"/>
      <c r="BB99" s="286">
        <v>81</v>
      </c>
      <c r="BC99" s="286">
        <v>100</v>
      </c>
      <c r="BD99" s="286"/>
      <c r="BE99" s="286">
        <v>814</v>
      </c>
      <c r="BF99" s="286">
        <v>940</v>
      </c>
      <c r="BG99" s="286"/>
      <c r="BH99" s="286">
        <v>1378</v>
      </c>
      <c r="BI99" s="286">
        <v>1497</v>
      </c>
      <c r="BJ99" s="286"/>
      <c r="BK99" s="286">
        <v>0</v>
      </c>
      <c r="BL99" s="286">
        <v>0</v>
      </c>
      <c r="BM99" s="286"/>
      <c r="BN99" s="286">
        <v>259</v>
      </c>
      <c r="BO99" s="286">
        <v>255</v>
      </c>
      <c r="BP99" s="286"/>
      <c r="BQ99" s="286">
        <v>30</v>
      </c>
      <c r="BR99" s="286">
        <v>60</v>
      </c>
      <c r="BS99" s="286"/>
      <c r="BT99" s="286">
        <v>30</v>
      </c>
      <c r="BU99" s="286">
        <v>47</v>
      </c>
      <c r="BV99" s="286"/>
      <c r="BW99" s="286">
        <v>30</v>
      </c>
      <c r="BX99" s="286">
        <v>26</v>
      </c>
      <c r="BY99" s="286"/>
      <c r="BZ99" s="286">
        <v>18</v>
      </c>
      <c r="CA99" s="286">
        <v>6</v>
      </c>
      <c r="CB99" s="286"/>
      <c r="CC99" s="286">
        <v>22</v>
      </c>
      <c r="CD99" s="286">
        <v>25</v>
      </c>
      <c r="CE99" s="286"/>
      <c r="CF99" s="286">
        <v>104</v>
      </c>
      <c r="CG99" s="286">
        <v>108</v>
      </c>
      <c r="CH99" s="286"/>
      <c r="CI99" s="286">
        <v>0</v>
      </c>
      <c r="CJ99" s="286">
        <v>0</v>
      </c>
    </row>
    <row r="100" spans="1:88" ht="30" x14ac:dyDescent="0.25">
      <c r="A100" s="95"/>
      <c r="B100" s="96" t="s">
        <v>1759</v>
      </c>
      <c r="C100" s="95" t="s">
        <v>1767</v>
      </c>
      <c r="D100" s="95" t="s">
        <v>950</v>
      </c>
      <c r="E100" s="108"/>
      <c r="F100" s="108"/>
      <c r="G100" s="108"/>
      <c r="H100" s="108"/>
      <c r="I100" s="357">
        <v>105634</v>
      </c>
      <c r="J100" s="357">
        <v>103580</v>
      </c>
      <c r="K100" s="357">
        <v>101563</v>
      </c>
      <c r="L100" s="357">
        <v>965</v>
      </c>
      <c r="M100" s="357">
        <v>617</v>
      </c>
      <c r="N100" s="357">
        <v>698</v>
      </c>
      <c r="O100" s="283"/>
      <c r="P100" s="286">
        <f t="shared" si="145"/>
        <v>102815</v>
      </c>
      <c r="Q100" s="358">
        <f t="shared" si="145"/>
        <v>99152</v>
      </c>
      <c r="R100" s="286">
        <v>1387</v>
      </c>
      <c r="S100" s="286">
        <v>1267</v>
      </c>
      <c r="T100" s="286"/>
      <c r="U100" s="286">
        <v>979</v>
      </c>
      <c r="V100" s="286">
        <v>856</v>
      </c>
      <c r="W100" s="286"/>
      <c r="X100" s="286">
        <v>1333</v>
      </c>
      <c r="Y100" s="286">
        <v>1219</v>
      </c>
      <c r="Z100" s="286"/>
      <c r="AA100" s="286">
        <v>1428</v>
      </c>
      <c r="AB100" s="286">
        <v>1269</v>
      </c>
      <c r="AC100" s="286"/>
      <c r="AD100" s="286">
        <v>1862</v>
      </c>
      <c r="AE100" s="286">
        <v>1454</v>
      </c>
      <c r="AF100" s="286"/>
      <c r="AG100" s="286">
        <v>875</v>
      </c>
      <c r="AH100" s="286">
        <v>817</v>
      </c>
      <c r="AI100" s="286"/>
      <c r="AJ100" s="286">
        <v>2367</v>
      </c>
      <c r="AK100" s="286">
        <v>2198</v>
      </c>
      <c r="AL100" s="286"/>
      <c r="AM100" s="286">
        <v>5084</v>
      </c>
      <c r="AN100" s="286">
        <v>4923</v>
      </c>
      <c r="AO100" s="286"/>
      <c r="AP100" s="286">
        <v>0</v>
      </c>
      <c r="AQ100" s="286">
        <v>896</v>
      </c>
      <c r="AR100" s="286"/>
      <c r="AS100" s="286">
        <v>7813</v>
      </c>
      <c r="AT100" s="286">
        <v>7716</v>
      </c>
      <c r="AU100" s="286"/>
      <c r="AV100" s="286">
        <v>2230</v>
      </c>
      <c r="AW100" s="286">
        <v>1948</v>
      </c>
      <c r="AX100" s="286"/>
      <c r="AY100" s="286">
        <v>2991</v>
      </c>
      <c r="AZ100" s="286">
        <v>2615</v>
      </c>
      <c r="BA100" s="286"/>
      <c r="BB100" s="286">
        <v>7019</v>
      </c>
      <c r="BC100" s="286">
        <v>6506</v>
      </c>
      <c r="BD100" s="286"/>
      <c r="BE100" s="286">
        <v>18521</v>
      </c>
      <c r="BF100" s="286">
        <v>18224</v>
      </c>
      <c r="BG100" s="286"/>
      <c r="BH100" s="286">
        <v>29471</v>
      </c>
      <c r="BI100" s="286">
        <v>29737</v>
      </c>
      <c r="BJ100" s="286"/>
      <c r="BK100" s="286">
        <v>2830</v>
      </c>
      <c r="BL100" s="286">
        <v>2546</v>
      </c>
      <c r="BM100" s="286"/>
      <c r="BN100" s="286">
        <v>2475</v>
      </c>
      <c r="BO100" s="286">
        <v>2282</v>
      </c>
      <c r="BP100" s="286"/>
      <c r="BQ100" s="286">
        <v>3957</v>
      </c>
      <c r="BR100" s="286">
        <v>3162</v>
      </c>
      <c r="BS100" s="286"/>
      <c r="BT100" s="286">
        <v>4139</v>
      </c>
      <c r="BU100" s="286">
        <v>4009</v>
      </c>
      <c r="BV100" s="286"/>
      <c r="BW100" s="286">
        <v>1027</v>
      </c>
      <c r="BX100" s="286">
        <v>870</v>
      </c>
      <c r="BY100" s="286"/>
      <c r="BZ100" s="286">
        <v>2420</v>
      </c>
      <c r="CA100" s="286">
        <v>2252</v>
      </c>
      <c r="CB100" s="286"/>
      <c r="CC100" s="286">
        <v>2607</v>
      </c>
      <c r="CD100" s="286">
        <v>2386</v>
      </c>
      <c r="CE100" s="286"/>
      <c r="CF100" s="286">
        <v>0</v>
      </c>
      <c r="CG100" s="286">
        <v>0</v>
      </c>
      <c r="CH100" s="286"/>
      <c r="CI100" s="286">
        <v>0</v>
      </c>
      <c r="CJ100" s="286">
        <v>0</v>
      </c>
    </row>
    <row r="101" spans="1:88" ht="30" x14ac:dyDescent="0.25">
      <c r="A101" s="95"/>
      <c r="B101" s="96" t="s">
        <v>1760</v>
      </c>
      <c r="C101" s="95" t="s">
        <v>1768</v>
      </c>
      <c r="D101" s="95" t="s">
        <v>950</v>
      </c>
      <c r="E101" s="108"/>
      <c r="F101" s="108"/>
      <c r="G101" s="108"/>
      <c r="H101" s="108"/>
      <c r="I101" s="357">
        <v>311</v>
      </c>
      <c r="J101" s="357">
        <v>225</v>
      </c>
      <c r="K101" s="357">
        <v>595</v>
      </c>
      <c r="L101" s="357">
        <v>0</v>
      </c>
      <c r="M101" s="357">
        <v>0</v>
      </c>
      <c r="N101" s="357">
        <v>0</v>
      </c>
      <c r="O101" s="283"/>
      <c r="P101" s="286">
        <f t="shared" si="145"/>
        <v>117</v>
      </c>
      <c r="Q101" s="358">
        <f t="shared" si="145"/>
        <v>78</v>
      </c>
      <c r="R101" s="286">
        <v>0</v>
      </c>
      <c r="S101" s="286">
        <v>0</v>
      </c>
      <c r="T101" s="286"/>
      <c r="U101" s="286">
        <v>0</v>
      </c>
      <c r="V101" s="286">
        <v>0</v>
      </c>
      <c r="W101" s="286"/>
      <c r="X101" s="286">
        <v>0</v>
      </c>
      <c r="Y101" s="286">
        <v>0</v>
      </c>
      <c r="Z101" s="286"/>
      <c r="AA101" s="286">
        <v>0</v>
      </c>
      <c r="AB101" s="286">
        <v>0</v>
      </c>
      <c r="AC101" s="286"/>
      <c r="AD101" s="286">
        <v>117</v>
      </c>
      <c r="AE101" s="286">
        <v>78</v>
      </c>
      <c r="AF101" s="286"/>
      <c r="AG101" s="286">
        <v>0</v>
      </c>
      <c r="AH101" s="286">
        <v>0</v>
      </c>
      <c r="AI101" s="286"/>
      <c r="AJ101" s="286">
        <v>0</v>
      </c>
      <c r="AK101" s="286">
        <v>0</v>
      </c>
      <c r="AL101" s="286"/>
      <c r="AM101" s="286">
        <v>0</v>
      </c>
      <c r="AN101" s="286">
        <v>0</v>
      </c>
      <c r="AO101" s="286"/>
      <c r="AP101" s="286">
        <v>0</v>
      </c>
      <c r="AQ101" s="286">
        <v>0</v>
      </c>
      <c r="AR101" s="286"/>
      <c r="AS101" s="286">
        <v>0</v>
      </c>
      <c r="AT101" s="286">
        <v>0</v>
      </c>
      <c r="AU101" s="286"/>
      <c r="AV101" s="286">
        <v>0</v>
      </c>
      <c r="AW101" s="286">
        <v>0</v>
      </c>
      <c r="AX101" s="286"/>
      <c r="AY101" s="286">
        <v>0</v>
      </c>
      <c r="AZ101" s="286">
        <v>0</v>
      </c>
      <c r="BA101" s="286"/>
      <c r="BB101" s="286">
        <v>0</v>
      </c>
      <c r="BC101" s="286">
        <v>0</v>
      </c>
      <c r="BD101" s="286"/>
      <c r="BE101" s="286">
        <v>0</v>
      </c>
      <c r="BF101" s="286">
        <v>0</v>
      </c>
      <c r="BG101" s="286"/>
      <c r="BH101" s="286">
        <v>0</v>
      </c>
      <c r="BI101" s="286">
        <v>0</v>
      </c>
      <c r="BJ101" s="286"/>
      <c r="BK101" s="286">
        <v>0</v>
      </c>
      <c r="BL101" s="286">
        <v>0</v>
      </c>
      <c r="BM101" s="286"/>
      <c r="BN101" s="286">
        <v>0</v>
      </c>
      <c r="BO101" s="286">
        <v>0</v>
      </c>
      <c r="BP101" s="286"/>
      <c r="BQ101" s="286">
        <v>0</v>
      </c>
      <c r="BR101" s="286">
        <v>0</v>
      </c>
      <c r="BS101" s="286"/>
      <c r="BT101" s="286">
        <v>0</v>
      </c>
      <c r="BU101" s="286">
        <v>0</v>
      </c>
      <c r="BV101" s="286"/>
      <c r="BW101" s="286">
        <v>0</v>
      </c>
      <c r="BX101" s="286">
        <v>0</v>
      </c>
      <c r="BY101" s="286"/>
      <c r="BZ101" s="286">
        <v>0</v>
      </c>
      <c r="CA101" s="286">
        <v>0</v>
      </c>
      <c r="CB101" s="286"/>
      <c r="CC101" s="286">
        <v>0</v>
      </c>
      <c r="CD101" s="286">
        <v>0</v>
      </c>
      <c r="CE101" s="286"/>
      <c r="CF101" s="286">
        <v>0</v>
      </c>
      <c r="CG101" s="286">
        <v>0</v>
      </c>
      <c r="CH101" s="286"/>
      <c r="CI101" s="286">
        <v>0</v>
      </c>
      <c r="CJ101" s="286">
        <v>0</v>
      </c>
    </row>
    <row r="102" spans="1:88" ht="30" x14ac:dyDescent="0.25">
      <c r="A102" s="95"/>
      <c r="B102" s="96" t="s">
        <v>1761</v>
      </c>
      <c r="C102" s="95" t="s">
        <v>1769</v>
      </c>
      <c r="D102" s="95" t="s">
        <v>950</v>
      </c>
      <c r="E102" s="108"/>
      <c r="F102" s="108"/>
      <c r="G102" s="108"/>
      <c r="H102" s="108"/>
      <c r="I102" s="357">
        <v>2153</v>
      </c>
      <c r="J102" s="357">
        <v>1551</v>
      </c>
      <c r="K102" s="357">
        <v>1741</v>
      </c>
      <c r="L102" s="357">
        <v>87</v>
      </c>
      <c r="M102" s="357">
        <v>147</v>
      </c>
      <c r="N102" s="357">
        <v>231</v>
      </c>
      <c r="O102" s="283"/>
      <c r="P102" s="286">
        <f t="shared" si="145"/>
        <v>1774</v>
      </c>
      <c r="Q102" s="358">
        <f t="shared" si="145"/>
        <v>2349</v>
      </c>
      <c r="R102" s="286">
        <v>63</v>
      </c>
      <c r="S102" s="286">
        <v>0</v>
      </c>
      <c r="T102" s="286"/>
      <c r="U102" s="286">
        <v>0</v>
      </c>
      <c r="V102" s="286">
        <v>74</v>
      </c>
      <c r="W102" s="286"/>
      <c r="X102" s="286">
        <v>62</v>
      </c>
      <c r="Y102" s="286">
        <v>105</v>
      </c>
      <c r="Z102" s="286"/>
      <c r="AA102" s="286">
        <v>0</v>
      </c>
      <c r="AB102" s="286">
        <v>10</v>
      </c>
      <c r="AC102" s="286"/>
      <c r="AD102" s="286">
        <v>142</v>
      </c>
      <c r="AE102" s="286">
        <v>0</v>
      </c>
      <c r="AF102" s="286"/>
      <c r="AG102" s="286">
        <v>57</v>
      </c>
      <c r="AH102" s="286">
        <v>87</v>
      </c>
      <c r="AI102" s="286"/>
      <c r="AJ102" s="286">
        <v>306</v>
      </c>
      <c r="AK102" s="286">
        <v>310</v>
      </c>
      <c r="AL102" s="286"/>
      <c r="AM102" s="286">
        <v>143</v>
      </c>
      <c r="AN102" s="286">
        <v>375</v>
      </c>
      <c r="AO102" s="286"/>
      <c r="AP102" s="286">
        <v>0</v>
      </c>
      <c r="AQ102" s="286">
        <v>45</v>
      </c>
      <c r="AR102" s="286"/>
      <c r="AS102" s="286">
        <v>0</v>
      </c>
      <c r="AT102" s="286">
        <v>30</v>
      </c>
      <c r="AU102" s="286"/>
      <c r="AV102" s="286">
        <v>17</v>
      </c>
      <c r="AW102" s="286">
        <v>57</v>
      </c>
      <c r="AX102" s="286"/>
      <c r="AY102" s="286">
        <v>359</v>
      </c>
      <c r="AZ102" s="286">
        <v>453</v>
      </c>
      <c r="BA102" s="286"/>
      <c r="BB102" s="286">
        <v>10</v>
      </c>
      <c r="BC102" s="286">
        <v>0</v>
      </c>
      <c r="BD102" s="286"/>
      <c r="BE102" s="286">
        <v>0</v>
      </c>
      <c r="BF102" s="286">
        <v>0</v>
      </c>
      <c r="BG102" s="286"/>
      <c r="BH102" s="286">
        <v>51</v>
      </c>
      <c r="BI102" s="286">
        <v>119</v>
      </c>
      <c r="BJ102" s="286"/>
      <c r="BK102" s="286">
        <v>46</v>
      </c>
      <c r="BL102" s="286">
        <v>63</v>
      </c>
      <c r="BM102" s="286"/>
      <c r="BN102" s="286">
        <v>0</v>
      </c>
      <c r="BO102" s="286">
        <v>14</v>
      </c>
      <c r="BP102" s="286"/>
      <c r="BQ102" s="286">
        <v>102</v>
      </c>
      <c r="BR102" s="286">
        <v>99</v>
      </c>
      <c r="BS102" s="286"/>
      <c r="BT102" s="286">
        <v>0</v>
      </c>
      <c r="BU102" s="286">
        <v>0</v>
      </c>
      <c r="BV102" s="286"/>
      <c r="BW102" s="286">
        <v>86</v>
      </c>
      <c r="BX102" s="286">
        <v>180</v>
      </c>
      <c r="BY102" s="286"/>
      <c r="BZ102" s="286">
        <v>208</v>
      </c>
      <c r="CA102" s="286">
        <v>223</v>
      </c>
      <c r="CB102" s="286"/>
      <c r="CC102" s="286">
        <v>30</v>
      </c>
      <c r="CD102" s="286">
        <v>105</v>
      </c>
      <c r="CE102" s="286"/>
      <c r="CF102" s="286">
        <v>0</v>
      </c>
      <c r="CG102" s="286">
        <v>0</v>
      </c>
      <c r="CH102" s="286"/>
      <c r="CI102" s="286">
        <v>92</v>
      </c>
      <c r="CJ102" s="286">
        <v>0</v>
      </c>
    </row>
    <row r="103" spans="1:88" ht="30" x14ac:dyDescent="0.25">
      <c r="A103" s="95"/>
      <c r="B103" s="96" t="s">
        <v>1762</v>
      </c>
      <c r="C103" s="95" t="s">
        <v>28</v>
      </c>
      <c r="D103" s="95" t="s">
        <v>950</v>
      </c>
      <c r="E103" s="108"/>
      <c r="F103" s="108"/>
      <c r="G103" s="108"/>
      <c r="H103" s="108"/>
      <c r="I103" s="357">
        <v>12</v>
      </c>
      <c r="J103" s="357">
        <v>0</v>
      </c>
      <c r="K103" s="357">
        <v>0</v>
      </c>
      <c r="L103" s="357">
        <v>0</v>
      </c>
      <c r="M103" s="357">
        <v>0</v>
      </c>
      <c r="N103" s="357">
        <v>0</v>
      </c>
      <c r="O103" s="283"/>
      <c r="P103" s="286">
        <f t="shared" si="145"/>
        <v>0</v>
      </c>
      <c r="Q103" s="358">
        <f t="shared" si="145"/>
        <v>0</v>
      </c>
      <c r="R103" s="302">
        <v>0</v>
      </c>
      <c r="S103" s="302">
        <v>0</v>
      </c>
      <c r="T103" s="286"/>
      <c r="U103" s="302">
        <v>0</v>
      </c>
      <c r="V103" s="302">
        <v>0</v>
      </c>
      <c r="W103" s="286"/>
      <c r="X103" s="302">
        <v>0</v>
      </c>
      <c r="Y103" s="302">
        <v>0</v>
      </c>
      <c r="Z103" s="286"/>
      <c r="AA103" s="302">
        <v>0</v>
      </c>
      <c r="AB103" s="302">
        <v>0</v>
      </c>
      <c r="AC103" s="286"/>
      <c r="AD103" s="302">
        <v>0</v>
      </c>
      <c r="AE103" s="302">
        <v>0</v>
      </c>
      <c r="AF103" s="286"/>
      <c r="AG103" s="302">
        <v>0</v>
      </c>
      <c r="AH103" s="302">
        <v>0</v>
      </c>
      <c r="AI103" s="286"/>
      <c r="AJ103" s="302">
        <v>0</v>
      </c>
      <c r="AK103" s="302">
        <v>0</v>
      </c>
      <c r="AL103" s="286"/>
      <c r="AM103" s="302">
        <v>0</v>
      </c>
      <c r="AN103" s="302">
        <v>0</v>
      </c>
      <c r="AO103" s="286"/>
      <c r="AP103" s="302">
        <v>0</v>
      </c>
      <c r="AQ103" s="302">
        <v>0</v>
      </c>
      <c r="AR103" s="286"/>
      <c r="AS103" s="302">
        <v>0</v>
      </c>
      <c r="AT103" s="302">
        <v>0</v>
      </c>
      <c r="AU103" s="302"/>
      <c r="AV103" s="302">
        <v>0</v>
      </c>
      <c r="AW103" s="302">
        <v>0</v>
      </c>
      <c r="AX103" s="302"/>
      <c r="AY103" s="302">
        <v>0</v>
      </c>
      <c r="AZ103" s="302">
        <v>0</v>
      </c>
      <c r="BA103" s="302"/>
      <c r="BB103" s="302">
        <v>0</v>
      </c>
      <c r="BC103" s="302">
        <v>0</v>
      </c>
      <c r="BD103" s="302"/>
      <c r="BE103" s="302">
        <v>0</v>
      </c>
      <c r="BF103" s="302">
        <v>0</v>
      </c>
      <c r="BG103" s="302"/>
      <c r="BH103" s="302">
        <v>0</v>
      </c>
      <c r="BI103" s="302">
        <v>0</v>
      </c>
      <c r="BJ103" s="302"/>
      <c r="BK103" s="302">
        <v>0</v>
      </c>
      <c r="BL103" s="302">
        <v>0</v>
      </c>
      <c r="BM103" s="302"/>
      <c r="BN103" s="302">
        <v>0</v>
      </c>
      <c r="BO103" s="302">
        <v>0</v>
      </c>
      <c r="BP103" s="302"/>
      <c r="BQ103" s="302">
        <v>0</v>
      </c>
      <c r="BR103" s="302">
        <v>0</v>
      </c>
      <c r="BS103" s="302"/>
      <c r="BT103" s="302">
        <v>0</v>
      </c>
      <c r="BU103" s="302">
        <v>0</v>
      </c>
      <c r="BV103" s="302"/>
      <c r="BW103" s="302">
        <v>0</v>
      </c>
      <c r="BX103" s="302">
        <v>0</v>
      </c>
      <c r="BY103" s="302"/>
      <c r="BZ103" s="302">
        <v>0</v>
      </c>
      <c r="CA103" s="302">
        <v>0</v>
      </c>
      <c r="CB103" s="302"/>
      <c r="CC103" s="302">
        <v>0</v>
      </c>
      <c r="CD103" s="302">
        <v>0</v>
      </c>
      <c r="CE103" s="302"/>
      <c r="CF103" s="302">
        <v>0</v>
      </c>
      <c r="CG103" s="302">
        <v>0</v>
      </c>
      <c r="CH103" s="302"/>
      <c r="CI103" s="302">
        <v>0</v>
      </c>
      <c r="CJ103" s="302">
        <v>0</v>
      </c>
    </row>
    <row r="104" spans="1:88" x14ac:dyDescent="0.25">
      <c r="A104" s="95"/>
      <c r="B104" s="354" t="s">
        <v>2412</v>
      </c>
      <c r="C104" s="95"/>
      <c r="D104" s="95"/>
      <c r="E104" s="108"/>
      <c r="F104" s="108"/>
      <c r="G104" s="108"/>
      <c r="H104" s="108"/>
      <c r="I104" s="357"/>
      <c r="J104" s="357"/>
      <c r="K104" s="357"/>
      <c r="L104" s="357"/>
      <c r="M104" s="357"/>
      <c r="N104" s="357"/>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c r="CG104" s="286"/>
      <c r="CH104" s="286"/>
      <c r="CI104" s="286"/>
      <c r="CJ104" s="286"/>
    </row>
    <row r="105" spans="1:88" ht="30" x14ac:dyDescent="0.25">
      <c r="A105" s="95"/>
      <c r="B105" s="96" t="s">
        <v>1758</v>
      </c>
      <c r="C105" s="95" t="s">
        <v>1766</v>
      </c>
      <c r="D105" s="95" t="s">
        <v>950</v>
      </c>
      <c r="E105" s="108"/>
      <c r="F105" s="108"/>
      <c r="G105" s="108"/>
      <c r="H105" s="108"/>
      <c r="I105" s="357"/>
      <c r="J105" s="357">
        <v>32</v>
      </c>
      <c r="K105" s="357">
        <v>31</v>
      </c>
      <c r="L105" s="357">
        <v>0</v>
      </c>
      <c r="M105" s="357">
        <v>0</v>
      </c>
      <c r="N105" s="357">
        <v>0</v>
      </c>
      <c r="O105" s="296"/>
      <c r="P105" s="286">
        <f t="shared" ref="P105:Q109" si="146">R105+U105+X105+AA105+AD105+AG105+AJ105+AM105+AP105+AS105+AV105+AY105+BB105+BE105+BH105+BK105+BN105+BQ105+BT105+BW105+BZ105+CC105+CF105+CI105</f>
        <v>49</v>
      </c>
      <c r="Q105" s="358">
        <f t="shared" si="146"/>
        <v>76</v>
      </c>
      <c r="R105" s="286">
        <v>0</v>
      </c>
      <c r="S105" s="286">
        <v>0</v>
      </c>
      <c r="T105" s="286"/>
      <c r="U105" s="286">
        <v>0</v>
      </c>
      <c r="V105" s="286">
        <v>0</v>
      </c>
      <c r="W105" s="286"/>
      <c r="X105" s="286">
        <v>0</v>
      </c>
      <c r="Y105" s="286">
        <v>5</v>
      </c>
      <c r="Z105" s="286"/>
      <c r="AA105" s="286">
        <v>0</v>
      </c>
      <c r="AB105" s="286">
        <v>0</v>
      </c>
      <c r="AC105" s="286"/>
      <c r="AD105" s="286">
        <v>0</v>
      </c>
      <c r="AE105" s="286">
        <v>26</v>
      </c>
      <c r="AF105" s="286"/>
      <c r="AG105" s="286">
        <v>0</v>
      </c>
      <c r="AH105" s="286">
        <v>0</v>
      </c>
      <c r="AI105" s="286"/>
      <c r="AJ105" s="286">
        <v>0</v>
      </c>
      <c r="AK105" s="286">
        <v>0</v>
      </c>
      <c r="AL105" s="286"/>
      <c r="AM105" s="286">
        <v>49</v>
      </c>
      <c r="AN105" s="286">
        <v>45</v>
      </c>
      <c r="AO105" s="286"/>
      <c r="AP105" s="286">
        <v>0</v>
      </c>
      <c r="AQ105" s="286">
        <v>0</v>
      </c>
      <c r="AR105" s="302"/>
      <c r="AS105" s="302">
        <v>0</v>
      </c>
      <c r="AT105" s="302">
        <v>0</v>
      </c>
      <c r="AU105" s="302"/>
      <c r="AV105" s="302">
        <v>0</v>
      </c>
      <c r="AW105" s="302">
        <v>0</v>
      </c>
      <c r="AX105" s="302"/>
      <c r="AY105" s="302">
        <v>0</v>
      </c>
      <c r="AZ105" s="302">
        <v>0</v>
      </c>
      <c r="BA105" s="302"/>
      <c r="BB105" s="302">
        <v>0</v>
      </c>
      <c r="BC105" s="302">
        <v>0</v>
      </c>
      <c r="BD105" s="302"/>
      <c r="BE105" s="302">
        <v>0</v>
      </c>
      <c r="BF105" s="302">
        <v>0</v>
      </c>
      <c r="BG105" s="302"/>
      <c r="BH105" s="302">
        <v>0</v>
      </c>
      <c r="BI105" s="302">
        <v>0</v>
      </c>
      <c r="BJ105" s="302"/>
      <c r="BK105" s="302">
        <v>0</v>
      </c>
      <c r="BL105" s="302">
        <v>0</v>
      </c>
      <c r="BM105" s="302"/>
      <c r="BN105" s="302">
        <v>0</v>
      </c>
      <c r="BO105" s="302">
        <v>0</v>
      </c>
      <c r="BP105" s="302"/>
      <c r="BQ105" s="302">
        <v>0</v>
      </c>
      <c r="BR105" s="302">
        <v>0</v>
      </c>
      <c r="BS105" s="302"/>
      <c r="BT105" s="302">
        <v>0</v>
      </c>
      <c r="BU105" s="302">
        <v>0</v>
      </c>
      <c r="BV105" s="302"/>
      <c r="BW105" s="302">
        <v>0</v>
      </c>
      <c r="BX105" s="302">
        <v>0</v>
      </c>
      <c r="BY105" s="302"/>
      <c r="BZ105" s="302">
        <v>0</v>
      </c>
      <c r="CA105" s="302">
        <v>0</v>
      </c>
      <c r="CB105" s="302"/>
      <c r="CC105" s="302">
        <v>0</v>
      </c>
      <c r="CD105" s="302">
        <v>0</v>
      </c>
      <c r="CE105" s="302"/>
      <c r="CF105" s="302">
        <v>0</v>
      </c>
      <c r="CG105" s="302">
        <v>0</v>
      </c>
      <c r="CH105" s="286"/>
      <c r="CI105" s="302">
        <v>0</v>
      </c>
      <c r="CJ105" s="302">
        <v>0</v>
      </c>
    </row>
    <row r="106" spans="1:88" ht="30" x14ac:dyDescent="0.25">
      <c r="A106" s="95"/>
      <c r="B106" s="96" t="s">
        <v>1759</v>
      </c>
      <c r="C106" s="95" t="s">
        <v>1767</v>
      </c>
      <c r="D106" s="95" t="s">
        <v>950</v>
      </c>
      <c r="E106" s="108"/>
      <c r="F106" s="108"/>
      <c r="G106" s="108"/>
      <c r="H106" s="108"/>
      <c r="I106" s="357"/>
      <c r="J106" s="357">
        <v>7570</v>
      </c>
      <c r="K106" s="357">
        <v>7794</v>
      </c>
      <c r="L106" s="357">
        <v>759</v>
      </c>
      <c r="M106" s="357">
        <v>616</v>
      </c>
      <c r="N106" s="357">
        <v>659</v>
      </c>
      <c r="O106" s="296"/>
      <c r="P106" s="286">
        <f t="shared" si="146"/>
        <v>7176</v>
      </c>
      <c r="Q106" s="358">
        <f t="shared" si="146"/>
        <v>6500</v>
      </c>
      <c r="R106" s="286">
        <v>680</v>
      </c>
      <c r="S106" s="286">
        <v>655</v>
      </c>
      <c r="T106" s="286"/>
      <c r="U106" s="286">
        <v>749</v>
      </c>
      <c r="V106" s="286">
        <v>668</v>
      </c>
      <c r="W106" s="286"/>
      <c r="X106" s="286">
        <v>571</v>
      </c>
      <c r="Y106" s="286">
        <v>576</v>
      </c>
      <c r="Z106" s="286"/>
      <c r="AA106" s="286">
        <v>939</v>
      </c>
      <c r="AB106" s="286">
        <v>892</v>
      </c>
      <c r="AC106" s="286"/>
      <c r="AD106" s="286">
        <v>106</v>
      </c>
      <c r="AE106" s="286">
        <v>392</v>
      </c>
      <c r="AF106" s="286"/>
      <c r="AG106" s="286">
        <v>724</v>
      </c>
      <c r="AH106" s="286">
        <v>685</v>
      </c>
      <c r="AI106" s="286"/>
      <c r="AJ106" s="286">
        <v>115</v>
      </c>
      <c r="AK106" s="286">
        <v>104</v>
      </c>
      <c r="AL106" s="286"/>
      <c r="AM106" s="286">
        <v>2372</v>
      </c>
      <c r="AN106" s="286">
        <v>1632</v>
      </c>
      <c r="AO106" s="286"/>
      <c r="AP106" s="286">
        <v>920</v>
      </c>
      <c r="AQ106" s="286">
        <v>896</v>
      </c>
      <c r="AR106" s="302"/>
      <c r="AS106" s="302">
        <v>0</v>
      </c>
      <c r="AT106" s="302">
        <v>0</v>
      </c>
      <c r="AU106" s="302"/>
      <c r="AV106" s="302">
        <v>0</v>
      </c>
      <c r="AW106" s="302">
        <v>0</v>
      </c>
      <c r="AX106" s="302"/>
      <c r="AY106" s="302">
        <v>0</v>
      </c>
      <c r="AZ106" s="302">
        <v>0</v>
      </c>
      <c r="BA106" s="302"/>
      <c r="BB106" s="302">
        <v>0</v>
      </c>
      <c r="BC106" s="302">
        <v>0</v>
      </c>
      <c r="BD106" s="302"/>
      <c r="BE106" s="302">
        <v>0</v>
      </c>
      <c r="BF106" s="302">
        <v>0</v>
      </c>
      <c r="BG106" s="302"/>
      <c r="BH106" s="302">
        <v>0</v>
      </c>
      <c r="BI106" s="302">
        <v>0</v>
      </c>
      <c r="BJ106" s="302"/>
      <c r="BK106" s="302">
        <v>0</v>
      </c>
      <c r="BL106" s="302">
        <v>0</v>
      </c>
      <c r="BM106" s="302"/>
      <c r="BN106" s="302">
        <v>0</v>
      </c>
      <c r="BO106" s="302">
        <v>0</v>
      </c>
      <c r="BP106" s="302"/>
      <c r="BQ106" s="302">
        <v>0</v>
      </c>
      <c r="BR106" s="302">
        <v>0</v>
      </c>
      <c r="BS106" s="302"/>
      <c r="BT106" s="302">
        <v>0</v>
      </c>
      <c r="BU106" s="302">
        <v>0</v>
      </c>
      <c r="BV106" s="302"/>
      <c r="BW106" s="302">
        <v>0</v>
      </c>
      <c r="BX106" s="302">
        <v>0</v>
      </c>
      <c r="BY106" s="302"/>
      <c r="BZ106" s="302">
        <v>0</v>
      </c>
      <c r="CA106" s="302">
        <v>0</v>
      </c>
      <c r="CB106" s="302"/>
      <c r="CC106" s="302">
        <v>0</v>
      </c>
      <c r="CD106" s="302">
        <v>0</v>
      </c>
      <c r="CE106" s="302"/>
      <c r="CF106" s="302">
        <v>0</v>
      </c>
      <c r="CG106" s="302">
        <v>0</v>
      </c>
      <c r="CH106" s="286"/>
      <c r="CI106" s="302">
        <v>0</v>
      </c>
      <c r="CJ106" s="302">
        <v>0</v>
      </c>
    </row>
    <row r="107" spans="1:88" ht="30" x14ac:dyDescent="0.25">
      <c r="A107" s="95"/>
      <c r="B107" s="96" t="s">
        <v>1760</v>
      </c>
      <c r="C107" s="95" t="s">
        <v>1768</v>
      </c>
      <c r="D107" s="95" t="s">
        <v>950</v>
      </c>
      <c r="E107" s="108"/>
      <c r="F107" s="108"/>
      <c r="G107" s="108"/>
      <c r="H107" s="108"/>
      <c r="I107" s="357"/>
      <c r="J107" s="357">
        <v>0</v>
      </c>
      <c r="K107" s="357">
        <v>70</v>
      </c>
      <c r="L107" s="357">
        <v>0</v>
      </c>
      <c r="M107" s="357">
        <v>0</v>
      </c>
      <c r="N107" s="357">
        <v>0</v>
      </c>
      <c r="P107" s="286">
        <f t="shared" si="146"/>
        <v>0</v>
      </c>
      <c r="Q107" s="358">
        <f t="shared" si="146"/>
        <v>0</v>
      </c>
      <c r="R107" s="286">
        <v>0</v>
      </c>
      <c r="S107" s="286">
        <v>0</v>
      </c>
      <c r="T107" s="286"/>
      <c r="U107" s="286">
        <v>0</v>
      </c>
      <c r="V107" s="286">
        <v>0</v>
      </c>
      <c r="W107" s="286"/>
      <c r="X107" s="286">
        <v>0</v>
      </c>
      <c r="Y107" s="286">
        <v>0</v>
      </c>
      <c r="Z107" s="286"/>
      <c r="AA107" s="286">
        <v>0</v>
      </c>
      <c r="AB107" s="286">
        <v>0</v>
      </c>
      <c r="AC107" s="286"/>
      <c r="AD107" s="286">
        <v>0</v>
      </c>
      <c r="AE107" s="286">
        <v>0</v>
      </c>
      <c r="AF107" s="286"/>
      <c r="AG107" s="286">
        <v>0</v>
      </c>
      <c r="AH107" s="286">
        <v>0</v>
      </c>
      <c r="AI107" s="286"/>
      <c r="AJ107" s="286">
        <v>0</v>
      </c>
      <c r="AK107" s="286">
        <v>0</v>
      </c>
      <c r="AL107" s="286"/>
      <c r="AM107" s="286">
        <v>0</v>
      </c>
      <c r="AN107" s="286">
        <v>0</v>
      </c>
      <c r="AO107" s="286"/>
      <c r="AP107" s="286">
        <v>0</v>
      </c>
      <c r="AQ107" s="286">
        <v>0</v>
      </c>
      <c r="AR107" s="302"/>
      <c r="AS107" s="302">
        <v>0</v>
      </c>
      <c r="AT107" s="302">
        <v>0</v>
      </c>
      <c r="AU107" s="302"/>
      <c r="AV107" s="302">
        <v>0</v>
      </c>
      <c r="AW107" s="302">
        <v>0</v>
      </c>
      <c r="AX107" s="302"/>
      <c r="AY107" s="302">
        <v>0</v>
      </c>
      <c r="AZ107" s="302">
        <v>0</v>
      </c>
      <c r="BA107" s="302"/>
      <c r="BB107" s="302">
        <v>0</v>
      </c>
      <c r="BC107" s="302">
        <v>0</v>
      </c>
      <c r="BD107" s="302"/>
      <c r="BE107" s="302">
        <v>0</v>
      </c>
      <c r="BF107" s="302">
        <v>0</v>
      </c>
      <c r="BG107" s="302"/>
      <c r="BH107" s="302">
        <v>0</v>
      </c>
      <c r="BI107" s="302">
        <v>0</v>
      </c>
      <c r="BJ107" s="302"/>
      <c r="BK107" s="302">
        <v>0</v>
      </c>
      <c r="BL107" s="302">
        <v>0</v>
      </c>
      <c r="BM107" s="302"/>
      <c r="BN107" s="302">
        <v>0</v>
      </c>
      <c r="BO107" s="302">
        <v>0</v>
      </c>
      <c r="BP107" s="302"/>
      <c r="BQ107" s="302">
        <v>0</v>
      </c>
      <c r="BR107" s="302">
        <v>0</v>
      </c>
      <c r="BS107" s="302"/>
      <c r="BT107" s="302">
        <v>0</v>
      </c>
      <c r="BU107" s="302">
        <v>0</v>
      </c>
      <c r="BV107" s="302"/>
      <c r="BW107" s="302">
        <v>0</v>
      </c>
      <c r="BX107" s="302">
        <v>0</v>
      </c>
      <c r="BY107" s="302"/>
      <c r="BZ107" s="302">
        <v>0</v>
      </c>
      <c r="CA107" s="302">
        <v>0</v>
      </c>
      <c r="CB107" s="302"/>
      <c r="CC107" s="302">
        <v>0</v>
      </c>
      <c r="CD107" s="302">
        <v>0</v>
      </c>
      <c r="CE107" s="302"/>
      <c r="CF107" s="302">
        <v>0</v>
      </c>
      <c r="CG107" s="302">
        <v>0</v>
      </c>
      <c r="CH107" s="286"/>
      <c r="CI107" s="302">
        <v>0</v>
      </c>
      <c r="CJ107" s="302">
        <v>0</v>
      </c>
    </row>
    <row r="108" spans="1:88" ht="30" x14ac:dyDescent="0.25">
      <c r="A108" s="95"/>
      <c r="B108" s="96" t="s">
        <v>1761</v>
      </c>
      <c r="C108" s="95" t="s">
        <v>1769</v>
      </c>
      <c r="D108" s="95" t="s">
        <v>950</v>
      </c>
      <c r="E108" s="108"/>
      <c r="F108" s="108"/>
      <c r="G108" s="108"/>
      <c r="H108" s="108"/>
      <c r="I108" s="357"/>
      <c r="J108" s="357">
        <v>197</v>
      </c>
      <c r="K108" s="357">
        <v>364</v>
      </c>
      <c r="L108" s="357">
        <v>0</v>
      </c>
      <c r="M108" s="357">
        <v>0</v>
      </c>
      <c r="N108" s="357">
        <v>17</v>
      </c>
      <c r="P108" s="286">
        <f t="shared" si="146"/>
        <v>413</v>
      </c>
      <c r="Q108" s="358">
        <f t="shared" si="146"/>
        <v>564</v>
      </c>
      <c r="R108" s="286">
        <v>0</v>
      </c>
      <c r="S108" s="286">
        <v>0</v>
      </c>
      <c r="T108" s="286"/>
      <c r="U108" s="286">
        <v>0</v>
      </c>
      <c r="V108" s="286">
        <v>25</v>
      </c>
      <c r="W108" s="286"/>
      <c r="X108" s="286">
        <v>63</v>
      </c>
      <c r="Y108" s="286">
        <v>50</v>
      </c>
      <c r="Z108" s="286"/>
      <c r="AA108" s="286">
        <v>0</v>
      </c>
      <c r="AB108" s="286">
        <v>0</v>
      </c>
      <c r="AC108" s="286"/>
      <c r="AD108" s="286">
        <v>49</v>
      </c>
      <c r="AE108" s="286">
        <v>0</v>
      </c>
      <c r="AF108" s="286"/>
      <c r="AG108" s="286">
        <v>55</v>
      </c>
      <c r="AH108" s="286">
        <v>0</v>
      </c>
      <c r="AI108" s="286"/>
      <c r="AJ108" s="286">
        <v>27</v>
      </c>
      <c r="AK108" s="286">
        <v>25</v>
      </c>
      <c r="AL108" s="286"/>
      <c r="AM108" s="286">
        <v>172</v>
      </c>
      <c r="AN108" s="286">
        <v>419</v>
      </c>
      <c r="AO108" s="286"/>
      <c r="AP108" s="286">
        <v>47</v>
      </c>
      <c r="AQ108" s="286">
        <v>45</v>
      </c>
      <c r="AR108" s="302"/>
      <c r="AS108" s="302">
        <v>0</v>
      </c>
      <c r="AT108" s="302">
        <v>0</v>
      </c>
      <c r="AU108" s="302"/>
      <c r="AV108" s="302">
        <v>0</v>
      </c>
      <c r="AW108" s="302">
        <v>0</v>
      </c>
      <c r="AX108" s="302"/>
      <c r="AY108" s="302">
        <v>0</v>
      </c>
      <c r="AZ108" s="302">
        <v>0</v>
      </c>
      <c r="BA108" s="302"/>
      <c r="BB108" s="302">
        <v>0</v>
      </c>
      <c r="BC108" s="302">
        <v>0</v>
      </c>
      <c r="BD108" s="302"/>
      <c r="BE108" s="302">
        <v>0</v>
      </c>
      <c r="BF108" s="302">
        <v>0</v>
      </c>
      <c r="BG108" s="302"/>
      <c r="BH108" s="302">
        <v>0</v>
      </c>
      <c r="BI108" s="302">
        <v>0</v>
      </c>
      <c r="BJ108" s="302"/>
      <c r="BK108" s="302">
        <v>0</v>
      </c>
      <c r="BL108" s="302">
        <v>0</v>
      </c>
      <c r="BM108" s="302"/>
      <c r="BN108" s="302">
        <v>0</v>
      </c>
      <c r="BO108" s="302">
        <v>0</v>
      </c>
      <c r="BP108" s="302"/>
      <c r="BQ108" s="302">
        <v>0</v>
      </c>
      <c r="BR108" s="302">
        <v>0</v>
      </c>
      <c r="BS108" s="302"/>
      <c r="BT108" s="302">
        <v>0</v>
      </c>
      <c r="BU108" s="302">
        <v>0</v>
      </c>
      <c r="BV108" s="302"/>
      <c r="BW108" s="302">
        <v>0</v>
      </c>
      <c r="BX108" s="302">
        <v>0</v>
      </c>
      <c r="BY108" s="302"/>
      <c r="BZ108" s="302">
        <v>0</v>
      </c>
      <c r="CA108" s="302">
        <v>0</v>
      </c>
      <c r="CB108" s="302"/>
      <c r="CC108" s="302">
        <v>0</v>
      </c>
      <c r="CD108" s="302">
        <v>0</v>
      </c>
      <c r="CE108" s="302"/>
      <c r="CF108" s="302">
        <v>0</v>
      </c>
      <c r="CG108" s="302">
        <v>0</v>
      </c>
      <c r="CH108" s="286"/>
      <c r="CI108" s="302">
        <v>0</v>
      </c>
      <c r="CJ108" s="302">
        <v>0</v>
      </c>
    </row>
    <row r="109" spans="1:88" ht="30" x14ac:dyDescent="0.25">
      <c r="A109" s="95"/>
      <c r="B109" s="96" t="s">
        <v>1762</v>
      </c>
      <c r="C109" s="95" t="s">
        <v>28</v>
      </c>
      <c r="D109" s="95" t="s">
        <v>950</v>
      </c>
      <c r="E109" s="108"/>
      <c r="F109" s="108"/>
      <c r="G109" s="108"/>
      <c r="H109" s="108"/>
      <c r="I109" s="357"/>
      <c r="J109" s="357">
        <v>16</v>
      </c>
      <c r="K109" s="357">
        <v>16</v>
      </c>
      <c r="L109" s="357">
        <v>0</v>
      </c>
      <c r="M109" s="357">
        <v>0</v>
      </c>
      <c r="N109" s="357">
        <v>0</v>
      </c>
      <c r="P109" s="286">
        <f t="shared" si="146"/>
        <v>16</v>
      </c>
      <c r="Q109" s="358">
        <f t="shared" si="146"/>
        <v>0</v>
      </c>
      <c r="R109" s="302">
        <v>0</v>
      </c>
      <c r="S109" s="302">
        <v>0</v>
      </c>
      <c r="T109" s="302"/>
      <c r="U109" s="302">
        <v>0</v>
      </c>
      <c r="V109" s="302">
        <v>0</v>
      </c>
      <c r="W109" s="302"/>
      <c r="X109" s="302">
        <v>0</v>
      </c>
      <c r="Y109" s="302">
        <v>0</v>
      </c>
      <c r="Z109" s="302"/>
      <c r="AA109" s="302">
        <v>0</v>
      </c>
      <c r="AB109" s="302">
        <v>0</v>
      </c>
      <c r="AC109" s="302"/>
      <c r="AD109" s="302">
        <v>0</v>
      </c>
      <c r="AE109" s="302">
        <v>0</v>
      </c>
      <c r="AF109" s="302"/>
      <c r="AG109" s="302">
        <v>0</v>
      </c>
      <c r="AH109" s="302">
        <v>0</v>
      </c>
      <c r="AI109" s="302"/>
      <c r="AJ109" s="302">
        <v>0</v>
      </c>
      <c r="AK109" s="302">
        <v>0</v>
      </c>
      <c r="AL109" s="302"/>
      <c r="AM109" s="302">
        <v>0</v>
      </c>
      <c r="AN109" s="302">
        <v>0</v>
      </c>
      <c r="AO109" s="302"/>
      <c r="AP109" s="302">
        <v>16</v>
      </c>
      <c r="AQ109" s="302">
        <v>0</v>
      </c>
      <c r="AR109" s="302"/>
      <c r="AS109" s="302">
        <v>0</v>
      </c>
      <c r="AT109" s="302">
        <v>0</v>
      </c>
      <c r="AU109" s="302"/>
      <c r="AV109" s="302">
        <v>0</v>
      </c>
      <c r="AW109" s="302">
        <v>0</v>
      </c>
      <c r="AX109" s="302"/>
      <c r="AY109" s="302">
        <v>0</v>
      </c>
      <c r="AZ109" s="302">
        <v>0</v>
      </c>
      <c r="BA109" s="302"/>
      <c r="BB109" s="302">
        <v>0</v>
      </c>
      <c r="BC109" s="302">
        <v>0</v>
      </c>
      <c r="BD109" s="302"/>
      <c r="BE109" s="302">
        <v>0</v>
      </c>
      <c r="BF109" s="302">
        <v>0</v>
      </c>
      <c r="BG109" s="302"/>
      <c r="BH109" s="302">
        <v>0</v>
      </c>
      <c r="BI109" s="302">
        <v>0</v>
      </c>
      <c r="BJ109" s="302"/>
      <c r="BK109" s="302">
        <v>0</v>
      </c>
      <c r="BL109" s="302">
        <v>0</v>
      </c>
      <c r="BM109" s="302"/>
      <c r="BN109" s="302">
        <v>0</v>
      </c>
      <c r="BO109" s="302">
        <v>0</v>
      </c>
      <c r="BP109" s="302"/>
      <c r="BQ109" s="302">
        <v>0</v>
      </c>
      <c r="BR109" s="302">
        <v>0</v>
      </c>
      <c r="BS109" s="302"/>
      <c r="BT109" s="302">
        <v>0</v>
      </c>
      <c r="BU109" s="302">
        <v>0</v>
      </c>
      <c r="BV109" s="302"/>
      <c r="BW109" s="302">
        <v>0</v>
      </c>
      <c r="BX109" s="302">
        <v>0</v>
      </c>
      <c r="BY109" s="302"/>
      <c r="BZ109" s="302">
        <v>0</v>
      </c>
      <c r="CA109" s="302">
        <v>0</v>
      </c>
      <c r="CB109" s="302"/>
      <c r="CC109" s="302">
        <v>0</v>
      </c>
      <c r="CD109" s="302">
        <v>0</v>
      </c>
      <c r="CE109" s="302"/>
      <c r="CF109" s="302">
        <v>0</v>
      </c>
      <c r="CG109" s="302">
        <v>0</v>
      </c>
      <c r="CH109" s="302"/>
      <c r="CI109" s="302">
        <v>0</v>
      </c>
      <c r="CJ109" s="302">
        <v>0</v>
      </c>
    </row>
    <row r="110" spans="1:88" x14ac:dyDescent="0.25">
      <c r="A110" s="95"/>
      <c r="B110" s="354" t="s">
        <v>1757</v>
      </c>
      <c r="C110" s="95"/>
      <c r="D110" s="95"/>
      <c r="E110" s="108"/>
      <c r="F110" s="108"/>
      <c r="G110" s="108"/>
      <c r="H110" s="108"/>
      <c r="I110" s="357"/>
      <c r="J110" s="357"/>
      <c r="K110" s="357"/>
      <c r="L110" s="357"/>
      <c r="M110" s="357"/>
      <c r="N110" s="357"/>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c r="CG110" s="286"/>
      <c r="CH110" s="286"/>
      <c r="CI110" s="286"/>
      <c r="CJ110" s="286"/>
    </row>
    <row r="111" spans="1:88" x14ac:dyDescent="0.25">
      <c r="A111" s="95"/>
      <c r="B111" s="354" t="s">
        <v>2411</v>
      </c>
      <c r="C111" s="95"/>
      <c r="D111" s="95"/>
      <c r="E111" s="108"/>
      <c r="F111" s="108"/>
      <c r="G111" s="108"/>
      <c r="H111" s="108"/>
      <c r="I111" s="357"/>
      <c r="J111" s="357"/>
      <c r="K111" s="357"/>
      <c r="L111" s="357"/>
      <c r="M111" s="357"/>
      <c r="N111" s="357"/>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c r="CG111" s="286"/>
      <c r="CH111" s="286"/>
      <c r="CI111" s="286"/>
      <c r="CJ111" s="286"/>
    </row>
    <row r="112" spans="1:88" ht="30" x14ac:dyDescent="0.25">
      <c r="A112" s="95"/>
      <c r="B112" s="96" t="s">
        <v>1758</v>
      </c>
      <c r="C112" s="95" t="s">
        <v>1770</v>
      </c>
      <c r="D112" s="95" t="s">
        <v>1763</v>
      </c>
      <c r="E112" s="108"/>
      <c r="F112" s="108"/>
      <c r="G112" s="108"/>
      <c r="H112" s="108"/>
      <c r="I112" s="357">
        <v>359</v>
      </c>
      <c r="J112" s="357">
        <v>394</v>
      </c>
      <c r="K112" s="357">
        <v>389</v>
      </c>
      <c r="L112" s="357">
        <v>2</v>
      </c>
      <c r="M112" s="357">
        <v>4</v>
      </c>
      <c r="N112" s="357">
        <v>4</v>
      </c>
      <c r="O112" s="283"/>
      <c r="P112" s="286">
        <f t="shared" ref="P112:Q116" si="147">R112+U112+X112+AA112+AD112+AG112+AJ112+AM112+AP112+AS112+AV112+AY112+BB112+BE112+BH112+BK112+BN112+BQ112+BT112+BW112+BZ112+CC112+CF112+CI112</f>
        <v>387</v>
      </c>
      <c r="Q112" s="358">
        <f t="shared" si="147"/>
        <v>430</v>
      </c>
      <c r="R112" s="286">
        <v>6</v>
      </c>
      <c r="S112" s="286">
        <v>9</v>
      </c>
      <c r="T112" s="286"/>
      <c r="U112" s="286">
        <v>0</v>
      </c>
      <c r="V112" s="286">
        <v>0</v>
      </c>
      <c r="W112" s="286"/>
      <c r="X112" s="286">
        <v>3</v>
      </c>
      <c r="Y112" s="286">
        <v>3</v>
      </c>
      <c r="Z112" s="286"/>
      <c r="AA112" s="286">
        <v>2</v>
      </c>
      <c r="AB112" s="286">
        <v>2</v>
      </c>
      <c r="AC112" s="286"/>
      <c r="AD112" s="286">
        <v>0</v>
      </c>
      <c r="AE112" s="286">
        <v>10</v>
      </c>
      <c r="AF112" s="286"/>
      <c r="AG112" s="286">
        <v>3</v>
      </c>
      <c r="AH112" s="286">
        <v>2</v>
      </c>
      <c r="AI112" s="286"/>
      <c r="AJ112" s="286">
        <v>36</v>
      </c>
      <c r="AK112" s="286">
        <v>36</v>
      </c>
      <c r="AL112" s="286"/>
      <c r="AM112" s="286">
        <v>24</v>
      </c>
      <c r="AN112" s="286">
        <v>30</v>
      </c>
      <c r="AO112" s="286"/>
      <c r="AP112" s="286">
        <v>0</v>
      </c>
      <c r="AQ112" s="286">
        <v>0</v>
      </c>
      <c r="AR112" s="286"/>
      <c r="AS112" s="286">
        <v>32</v>
      </c>
      <c r="AT112" s="286">
        <v>38</v>
      </c>
      <c r="AU112" s="286"/>
      <c r="AV112" s="286">
        <v>14</v>
      </c>
      <c r="AW112" s="286">
        <v>12</v>
      </c>
      <c r="AX112" s="286"/>
      <c r="AY112" s="286">
        <v>38</v>
      </c>
      <c r="AZ112" s="286">
        <v>38</v>
      </c>
      <c r="BA112" s="286"/>
      <c r="BB112" s="286">
        <v>6</v>
      </c>
      <c r="BC112" s="286">
        <v>9</v>
      </c>
      <c r="BD112" s="286"/>
      <c r="BE112" s="286">
        <v>78</v>
      </c>
      <c r="BF112" s="286">
        <v>95</v>
      </c>
      <c r="BG112" s="286"/>
      <c r="BH112" s="286">
        <v>94</v>
      </c>
      <c r="BI112" s="286">
        <v>101</v>
      </c>
      <c r="BJ112" s="286"/>
      <c r="BK112" s="286">
        <v>0</v>
      </c>
      <c r="BL112" s="286">
        <v>0</v>
      </c>
      <c r="BM112" s="286"/>
      <c r="BN112" s="286">
        <v>27</v>
      </c>
      <c r="BO112" s="286">
        <v>29</v>
      </c>
      <c r="BP112" s="286"/>
      <c r="BQ112" s="286">
        <v>2</v>
      </c>
      <c r="BR112" s="286">
        <v>4</v>
      </c>
      <c r="BS112" s="286"/>
      <c r="BT112" s="286">
        <v>3</v>
      </c>
      <c r="BU112" s="286">
        <v>5</v>
      </c>
      <c r="BV112" s="286"/>
      <c r="BW112" s="286">
        <v>3</v>
      </c>
      <c r="BX112" s="286">
        <v>3</v>
      </c>
      <c r="BY112" s="286"/>
      <c r="BZ112" s="286">
        <v>2</v>
      </c>
      <c r="CA112" s="286">
        <v>1</v>
      </c>
      <c r="CB112" s="286"/>
      <c r="CC112" s="286">
        <v>2</v>
      </c>
      <c r="CD112" s="286">
        <v>3</v>
      </c>
      <c r="CE112" s="286"/>
      <c r="CF112" s="286">
        <v>12</v>
      </c>
      <c r="CG112" s="286"/>
      <c r="CH112" s="286"/>
      <c r="CI112" s="286">
        <v>0</v>
      </c>
      <c r="CJ112" s="286">
        <v>0</v>
      </c>
    </row>
    <row r="113" spans="1:88" ht="30" x14ac:dyDescent="0.25">
      <c r="A113" s="95"/>
      <c r="B113" s="96" t="s">
        <v>1759</v>
      </c>
      <c r="C113" s="95" t="s">
        <v>1771</v>
      </c>
      <c r="D113" s="95" t="s">
        <v>1763</v>
      </c>
      <c r="E113" s="108"/>
      <c r="F113" s="108"/>
      <c r="G113" s="108"/>
      <c r="H113" s="108"/>
      <c r="I113" s="357">
        <v>4078</v>
      </c>
      <c r="J113" s="357">
        <v>3735</v>
      </c>
      <c r="K113" s="357">
        <v>3681</v>
      </c>
      <c r="L113" s="357">
        <v>41</v>
      </c>
      <c r="M113" s="357">
        <v>28</v>
      </c>
      <c r="N113" s="357">
        <v>33</v>
      </c>
      <c r="O113" s="283"/>
      <c r="P113" s="286">
        <f t="shared" si="147"/>
        <v>3734</v>
      </c>
      <c r="Q113" s="358">
        <f t="shared" si="147"/>
        <v>3680</v>
      </c>
      <c r="R113" s="286">
        <v>60</v>
      </c>
      <c r="S113" s="286">
        <v>57</v>
      </c>
      <c r="T113" s="286"/>
      <c r="U113" s="286">
        <v>52</v>
      </c>
      <c r="V113" s="286">
        <v>43</v>
      </c>
      <c r="W113" s="286"/>
      <c r="X113" s="286">
        <v>53</v>
      </c>
      <c r="Y113" s="286">
        <v>53</v>
      </c>
      <c r="Z113" s="286"/>
      <c r="AA113" s="286">
        <v>55</v>
      </c>
      <c r="AB113" s="286">
        <v>54</v>
      </c>
      <c r="AC113" s="286"/>
      <c r="AD113" s="286">
        <v>89</v>
      </c>
      <c r="AE113" s="286">
        <v>69</v>
      </c>
      <c r="AF113" s="286"/>
      <c r="AG113" s="286">
        <v>37</v>
      </c>
      <c r="AH113" s="286">
        <v>35</v>
      </c>
      <c r="AI113" s="286"/>
      <c r="AJ113" s="286">
        <v>99</v>
      </c>
      <c r="AK113" s="286">
        <v>102</v>
      </c>
      <c r="AL113" s="286"/>
      <c r="AM113" s="286">
        <v>201</v>
      </c>
      <c r="AN113" s="286">
        <v>268</v>
      </c>
      <c r="AO113" s="286"/>
      <c r="AP113" s="286">
        <v>0</v>
      </c>
      <c r="AQ113" s="286">
        <v>0</v>
      </c>
      <c r="AR113" s="286"/>
      <c r="AS113" s="286">
        <v>231</v>
      </c>
      <c r="AT113" s="286">
        <v>222</v>
      </c>
      <c r="AU113" s="286"/>
      <c r="AV113" s="286">
        <v>94</v>
      </c>
      <c r="AW113" s="286">
        <v>93</v>
      </c>
      <c r="AX113" s="286"/>
      <c r="AY113" s="286">
        <v>125</v>
      </c>
      <c r="AZ113" s="286">
        <v>116</v>
      </c>
      <c r="BA113" s="286"/>
      <c r="BB113" s="286">
        <v>239</v>
      </c>
      <c r="BC113" s="286">
        <v>225</v>
      </c>
      <c r="BD113" s="286"/>
      <c r="BE113" s="286">
        <v>722</v>
      </c>
      <c r="BF113" s="286">
        <v>703</v>
      </c>
      <c r="BG113" s="286"/>
      <c r="BH113" s="286">
        <v>885</v>
      </c>
      <c r="BI113" s="286">
        <v>888</v>
      </c>
      <c r="BJ113" s="286"/>
      <c r="BK113" s="286">
        <v>123</v>
      </c>
      <c r="BL113" s="286">
        <v>120</v>
      </c>
      <c r="BM113" s="286"/>
      <c r="BN113" s="286">
        <v>100</v>
      </c>
      <c r="BO113" s="286">
        <v>93</v>
      </c>
      <c r="BP113" s="286"/>
      <c r="BQ113" s="286">
        <v>142</v>
      </c>
      <c r="BR113" s="286">
        <v>121</v>
      </c>
      <c r="BS113" s="286"/>
      <c r="BT113" s="286">
        <v>173</v>
      </c>
      <c r="BU113" s="286">
        <v>170</v>
      </c>
      <c r="BV113" s="286"/>
      <c r="BW113" s="286">
        <v>44</v>
      </c>
      <c r="BX113" s="286">
        <v>38</v>
      </c>
      <c r="BY113" s="286"/>
      <c r="BZ113" s="286">
        <v>102</v>
      </c>
      <c r="CA113" s="286">
        <v>108</v>
      </c>
      <c r="CB113" s="286"/>
      <c r="CC113" s="286">
        <v>108</v>
      </c>
      <c r="CD113" s="286">
        <v>102</v>
      </c>
      <c r="CE113" s="286"/>
      <c r="CF113" s="286">
        <v>0</v>
      </c>
      <c r="CG113" s="286"/>
      <c r="CH113" s="286"/>
      <c r="CI113" s="286">
        <v>0</v>
      </c>
      <c r="CJ113" s="286">
        <v>0</v>
      </c>
    </row>
    <row r="114" spans="1:88" ht="30" x14ac:dyDescent="0.25">
      <c r="A114" s="95"/>
      <c r="B114" s="96" t="s">
        <v>1760</v>
      </c>
      <c r="C114" s="95" t="s">
        <v>1772</v>
      </c>
      <c r="D114" s="95" t="s">
        <v>1763</v>
      </c>
      <c r="E114" s="108"/>
      <c r="F114" s="108"/>
      <c r="G114" s="108"/>
      <c r="H114" s="108"/>
      <c r="I114" s="357">
        <v>13</v>
      </c>
      <c r="J114" s="357">
        <v>9</v>
      </c>
      <c r="K114" s="357">
        <v>20</v>
      </c>
      <c r="L114" s="357">
        <v>0</v>
      </c>
      <c r="M114" s="357">
        <v>0</v>
      </c>
      <c r="N114" s="357">
        <v>0</v>
      </c>
      <c r="O114" s="283"/>
      <c r="P114" s="286">
        <f t="shared" si="147"/>
        <v>5</v>
      </c>
      <c r="Q114" s="358">
        <f t="shared" si="147"/>
        <v>3</v>
      </c>
      <c r="R114" s="286">
        <v>0</v>
      </c>
      <c r="S114" s="286">
        <v>0</v>
      </c>
      <c r="T114" s="286"/>
      <c r="U114" s="286">
        <v>0</v>
      </c>
      <c r="V114" s="286">
        <v>0</v>
      </c>
      <c r="W114" s="286"/>
      <c r="X114" s="286">
        <v>0</v>
      </c>
      <c r="Y114" s="286">
        <v>0</v>
      </c>
      <c r="Z114" s="286"/>
      <c r="AA114" s="286">
        <v>0</v>
      </c>
      <c r="AB114" s="286">
        <v>0</v>
      </c>
      <c r="AC114" s="286"/>
      <c r="AD114" s="286">
        <v>5</v>
      </c>
      <c r="AE114" s="286">
        <v>3</v>
      </c>
      <c r="AF114" s="286"/>
      <c r="AG114" s="286">
        <v>0</v>
      </c>
      <c r="AH114" s="286">
        <v>0</v>
      </c>
      <c r="AI114" s="286"/>
      <c r="AJ114" s="286">
        <v>0</v>
      </c>
      <c r="AK114" s="286">
        <v>0</v>
      </c>
      <c r="AL114" s="286"/>
      <c r="AM114" s="286">
        <v>0</v>
      </c>
      <c r="AN114" s="286">
        <v>0</v>
      </c>
      <c r="AO114" s="286"/>
      <c r="AP114" s="286">
        <v>0</v>
      </c>
      <c r="AQ114" s="286">
        <v>0</v>
      </c>
      <c r="AR114" s="286"/>
      <c r="AS114" s="286">
        <v>0</v>
      </c>
      <c r="AT114" s="286">
        <v>0</v>
      </c>
      <c r="AU114" s="286"/>
      <c r="AV114" s="286">
        <v>0</v>
      </c>
      <c r="AW114" s="286">
        <v>0</v>
      </c>
      <c r="AX114" s="286"/>
      <c r="AY114" s="286">
        <v>0</v>
      </c>
      <c r="AZ114" s="286">
        <v>0</v>
      </c>
      <c r="BA114" s="286"/>
      <c r="BB114" s="286">
        <v>0</v>
      </c>
      <c r="BC114" s="286">
        <v>0</v>
      </c>
      <c r="BD114" s="286"/>
      <c r="BE114" s="286">
        <v>0</v>
      </c>
      <c r="BF114" s="286">
        <v>0</v>
      </c>
      <c r="BG114" s="286"/>
      <c r="BH114" s="286">
        <v>0</v>
      </c>
      <c r="BI114" s="286">
        <v>0</v>
      </c>
      <c r="BJ114" s="286"/>
      <c r="BK114" s="286">
        <v>0</v>
      </c>
      <c r="BL114" s="286">
        <v>0</v>
      </c>
      <c r="BM114" s="286"/>
      <c r="BN114" s="286">
        <v>0</v>
      </c>
      <c r="BO114" s="286">
        <v>0</v>
      </c>
      <c r="BP114" s="286"/>
      <c r="BQ114" s="286">
        <v>0</v>
      </c>
      <c r="BR114" s="286">
        <v>0</v>
      </c>
      <c r="BS114" s="286"/>
      <c r="BT114" s="286">
        <v>0</v>
      </c>
      <c r="BU114" s="286">
        <v>0</v>
      </c>
      <c r="BV114" s="286"/>
      <c r="BW114" s="286">
        <v>0</v>
      </c>
      <c r="BX114" s="286">
        <v>0</v>
      </c>
      <c r="BY114" s="286"/>
      <c r="BZ114" s="286">
        <v>0</v>
      </c>
      <c r="CA114" s="286">
        <v>0</v>
      </c>
      <c r="CB114" s="286"/>
      <c r="CC114" s="286">
        <v>0</v>
      </c>
      <c r="CD114" s="286">
        <v>0</v>
      </c>
      <c r="CE114" s="286"/>
      <c r="CF114" s="286">
        <v>0</v>
      </c>
      <c r="CG114" s="286"/>
      <c r="CH114" s="286"/>
      <c r="CI114" s="286">
        <v>0</v>
      </c>
      <c r="CJ114" s="286">
        <v>0</v>
      </c>
    </row>
    <row r="115" spans="1:88" ht="30" x14ac:dyDescent="0.25">
      <c r="A115" s="95"/>
      <c r="B115" s="96" t="s">
        <v>1761</v>
      </c>
      <c r="C115" s="95" t="s">
        <v>1773</v>
      </c>
      <c r="D115" s="95" t="s">
        <v>1763</v>
      </c>
      <c r="E115" s="108"/>
      <c r="F115" s="108"/>
      <c r="G115" s="108"/>
      <c r="H115" s="108"/>
      <c r="I115" s="357">
        <v>104</v>
      </c>
      <c r="J115" s="357">
        <v>98</v>
      </c>
      <c r="K115" s="357">
        <v>114</v>
      </c>
      <c r="L115" s="357">
        <v>5</v>
      </c>
      <c r="M115" s="357">
        <v>9</v>
      </c>
      <c r="N115" s="357">
        <v>14</v>
      </c>
      <c r="O115" s="283"/>
      <c r="P115" s="286">
        <f t="shared" si="147"/>
        <v>119</v>
      </c>
      <c r="Q115" s="358">
        <f t="shared" si="147"/>
        <v>185</v>
      </c>
      <c r="R115" s="286">
        <v>0</v>
      </c>
      <c r="S115" s="286">
        <v>0</v>
      </c>
      <c r="T115" s="286"/>
      <c r="U115" s="286">
        <v>5</v>
      </c>
      <c r="V115" s="286">
        <v>6</v>
      </c>
      <c r="W115" s="286"/>
      <c r="X115" s="286">
        <v>4</v>
      </c>
      <c r="Y115" s="286">
        <v>7</v>
      </c>
      <c r="Z115" s="286"/>
      <c r="AA115" s="286">
        <v>0</v>
      </c>
      <c r="AB115" s="286">
        <v>1</v>
      </c>
      <c r="AC115" s="286"/>
      <c r="AD115" s="286">
        <v>8</v>
      </c>
      <c r="AE115" s="286">
        <v>0</v>
      </c>
      <c r="AF115" s="286"/>
      <c r="AG115" s="286">
        <v>3</v>
      </c>
      <c r="AH115" s="286">
        <v>5</v>
      </c>
      <c r="AI115" s="286"/>
      <c r="AJ115" s="286">
        <v>20</v>
      </c>
      <c r="AK115" s="286">
        <v>23</v>
      </c>
      <c r="AL115" s="286"/>
      <c r="AM115" s="286">
        <v>8</v>
      </c>
      <c r="AN115" s="286">
        <v>51</v>
      </c>
      <c r="AO115" s="286"/>
      <c r="AP115" s="286">
        <v>0</v>
      </c>
      <c r="AQ115" s="286">
        <v>0</v>
      </c>
      <c r="AR115" s="286"/>
      <c r="AS115" s="286">
        <v>0</v>
      </c>
      <c r="AT115" s="286">
        <v>2</v>
      </c>
      <c r="AU115" s="286"/>
      <c r="AV115" s="286">
        <v>1</v>
      </c>
      <c r="AW115" s="286">
        <v>4</v>
      </c>
      <c r="AX115" s="286"/>
      <c r="AY115" s="286">
        <v>24</v>
      </c>
      <c r="AZ115" s="286">
        <v>30</v>
      </c>
      <c r="BA115" s="286"/>
      <c r="BB115" s="286">
        <v>1</v>
      </c>
      <c r="BC115" s="286">
        <v>0</v>
      </c>
      <c r="BD115" s="286"/>
      <c r="BE115" s="286">
        <v>0</v>
      </c>
      <c r="BF115" s="286">
        <v>0</v>
      </c>
      <c r="BG115" s="286"/>
      <c r="BH115" s="286">
        <v>3</v>
      </c>
      <c r="BI115" s="286">
        <v>7</v>
      </c>
      <c r="BJ115" s="286"/>
      <c r="BK115" s="286">
        <v>4</v>
      </c>
      <c r="BL115" s="286">
        <v>6</v>
      </c>
      <c r="BM115" s="286"/>
      <c r="BN115" s="286">
        <v>0</v>
      </c>
      <c r="BO115" s="286">
        <v>1</v>
      </c>
      <c r="BP115" s="286"/>
      <c r="BQ115" s="286">
        <v>8</v>
      </c>
      <c r="BR115" s="286">
        <v>7</v>
      </c>
      <c r="BS115" s="286"/>
      <c r="BT115" s="286">
        <v>0</v>
      </c>
      <c r="BU115" s="286">
        <v>0</v>
      </c>
      <c r="BV115" s="286"/>
      <c r="BW115" s="286">
        <v>6</v>
      </c>
      <c r="BX115" s="286">
        <v>12</v>
      </c>
      <c r="BY115" s="286"/>
      <c r="BZ115" s="286">
        <v>14</v>
      </c>
      <c r="CA115" s="286">
        <v>16</v>
      </c>
      <c r="CB115" s="286"/>
      <c r="CC115" s="286">
        <v>2</v>
      </c>
      <c r="CD115" s="286">
        <v>7</v>
      </c>
      <c r="CE115" s="286"/>
      <c r="CF115" s="286">
        <v>0</v>
      </c>
      <c r="CG115" s="286"/>
      <c r="CH115" s="286"/>
      <c r="CI115" s="286">
        <v>8</v>
      </c>
      <c r="CJ115" s="286">
        <v>0</v>
      </c>
    </row>
    <row r="116" spans="1:88" ht="30" x14ac:dyDescent="0.25">
      <c r="A116" s="95"/>
      <c r="B116" s="96" t="s">
        <v>1762</v>
      </c>
      <c r="C116" s="95" t="s">
        <v>2741</v>
      </c>
      <c r="D116" s="95" t="s">
        <v>1763</v>
      </c>
      <c r="E116" s="108"/>
      <c r="F116" s="108"/>
      <c r="G116" s="108"/>
      <c r="H116" s="108"/>
      <c r="I116" s="357">
        <v>1</v>
      </c>
      <c r="J116" s="357">
        <v>0</v>
      </c>
      <c r="K116" s="357">
        <v>0</v>
      </c>
      <c r="L116" s="357">
        <v>0</v>
      </c>
      <c r="M116" s="357">
        <v>0</v>
      </c>
      <c r="N116" s="357">
        <v>0</v>
      </c>
      <c r="O116" s="283"/>
      <c r="P116" s="286">
        <f t="shared" si="147"/>
        <v>0</v>
      </c>
      <c r="Q116" s="358">
        <f t="shared" si="147"/>
        <v>0</v>
      </c>
      <c r="R116" s="286">
        <v>0</v>
      </c>
      <c r="S116" s="286">
        <v>0</v>
      </c>
      <c r="T116" s="286"/>
      <c r="U116" s="286">
        <v>0</v>
      </c>
      <c r="V116" s="286">
        <v>0</v>
      </c>
      <c r="W116" s="286"/>
      <c r="X116" s="286">
        <v>0</v>
      </c>
      <c r="Y116" s="286">
        <v>0</v>
      </c>
      <c r="Z116" s="286"/>
      <c r="AA116" s="286">
        <v>0</v>
      </c>
      <c r="AB116" s="286">
        <v>0</v>
      </c>
      <c r="AC116" s="286"/>
      <c r="AD116" s="286">
        <v>0</v>
      </c>
      <c r="AE116" s="286">
        <v>0</v>
      </c>
      <c r="AF116" s="286"/>
      <c r="AG116" s="286">
        <v>0</v>
      </c>
      <c r="AH116" s="286">
        <v>0</v>
      </c>
      <c r="AI116" s="286"/>
      <c r="AJ116" s="286">
        <v>0</v>
      </c>
      <c r="AK116" s="286">
        <v>0</v>
      </c>
      <c r="AL116" s="286"/>
      <c r="AM116" s="286">
        <v>0</v>
      </c>
      <c r="AN116" s="286">
        <v>0</v>
      </c>
      <c r="AO116" s="286"/>
      <c r="AP116" s="286">
        <v>0</v>
      </c>
      <c r="AQ116" s="286">
        <v>0</v>
      </c>
      <c r="AR116" s="286"/>
      <c r="AS116" s="286">
        <v>0</v>
      </c>
      <c r="AT116" s="286">
        <v>0</v>
      </c>
      <c r="AU116" s="286"/>
      <c r="AV116" s="286">
        <v>0</v>
      </c>
      <c r="AW116" s="286">
        <v>0</v>
      </c>
      <c r="AX116" s="286"/>
      <c r="AY116" s="286">
        <v>0</v>
      </c>
      <c r="AZ116" s="286">
        <v>0</v>
      </c>
      <c r="BA116" s="286"/>
      <c r="BB116" s="286">
        <v>0</v>
      </c>
      <c r="BC116" s="286">
        <v>0</v>
      </c>
      <c r="BD116" s="286"/>
      <c r="BE116" s="286">
        <v>0</v>
      </c>
      <c r="BF116" s="286">
        <v>0</v>
      </c>
      <c r="BG116" s="286"/>
      <c r="BH116" s="286">
        <v>0</v>
      </c>
      <c r="BI116" s="286">
        <v>0</v>
      </c>
      <c r="BJ116" s="286"/>
      <c r="BK116" s="286">
        <v>0</v>
      </c>
      <c r="BL116" s="286">
        <v>0</v>
      </c>
      <c r="BM116" s="286"/>
      <c r="BN116" s="286">
        <v>0</v>
      </c>
      <c r="BO116" s="286">
        <v>0</v>
      </c>
      <c r="BP116" s="286"/>
      <c r="BQ116" s="286">
        <v>0</v>
      </c>
      <c r="BR116" s="286">
        <v>0</v>
      </c>
      <c r="BS116" s="286"/>
      <c r="BT116" s="286">
        <v>0</v>
      </c>
      <c r="BU116" s="286">
        <v>0</v>
      </c>
      <c r="BV116" s="286"/>
      <c r="BW116" s="286">
        <v>0</v>
      </c>
      <c r="BX116" s="286">
        <v>0</v>
      </c>
      <c r="BY116" s="286"/>
      <c r="BZ116" s="286">
        <v>0</v>
      </c>
      <c r="CA116" s="286">
        <v>0</v>
      </c>
      <c r="CB116" s="286"/>
      <c r="CC116" s="286">
        <v>0</v>
      </c>
      <c r="CD116" s="286">
        <v>0</v>
      </c>
      <c r="CE116" s="286"/>
      <c r="CF116" s="286">
        <v>0</v>
      </c>
      <c r="CG116" s="286"/>
      <c r="CH116" s="286"/>
      <c r="CI116" s="286">
        <v>0</v>
      </c>
      <c r="CJ116" s="286">
        <v>0</v>
      </c>
    </row>
    <row r="117" spans="1:88" x14ac:dyDescent="0.25">
      <c r="A117" s="95"/>
      <c r="B117" s="354" t="s">
        <v>2412</v>
      </c>
      <c r="C117" s="95"/>
      <c r="D117" s="95"/>
      <c r="E117" s="108"/>
      <c r="F117" s="108"/>
      <c r="G117" s="108"/>
      <c r="H117" s="108"/>
      <c r="I117" s="357"/>
      <c r="J117" s="357"/>
      <c r="K117" s="357"/>
      <c r="L117" s="357"/>
      <c r="M117" s="357"/>
      <c r="N117" s="357"/>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c r="CG117" s="286"/>
      <c r="CH117" s="286"/>
      <c r="CI117" s="286"/>
      <c r="CJ117" s="286"/>
    </row>
    <row r="118" spans="1:88" ht="30" x14ac:dyDescent="0.25">
      <c r="A118" s="95"/>
      <c r="B118" s="96" t="s">
        <v>1758</v>
      </c>
      <c r="C118" s="95" t="s">
        <v>1770</v>
      </c>
      <c r="D118" s="95" t="s">
        <v>1763</v>
      </c>
      <c r="E118" s="108"/>
      <c r="F118" s="108"/>
      <c r="G118" s="108"/>
      <c r="H118" s="108"/>
      <c r="I118" s="357"/>
      <c r="J118" s="357">
        <v>4</v>
      </c>
      <c r="K118" s="357">
        <v>4</v>
      </c>
      <c r="L118" s="357">
        <v>0</v>
      </c>
      <c r="M118" s="357">
        <v>0</v>
      </c>
      <c r="N118" s="357">
        <v>0</v>
      </c>
      <c r="P118" s="286">
        <f t="shared" ref="P118:Q122" si="148">R118+U118+X118+AA118+AD118+AG118+AJ118+AM118+AP118+AS118+AV118+AY118+BB118+BE118+BH118+BK118+BN118+BQ118+BT118+BW118+BZ118+CC118+CF118+CI118</f>
        <v>6</v>
      </c>
      <c r="Q118" s="358">
        <f t="shared" si="148"/>
        <v>9</v>
      </c>
      <c r="R118" s="286">
        <v>0</v>
      </c>
      <c r="S118" s="286">
        <v>0</v>
      </c>
      <c r="T118" s="286"/>
      <c r="U118" s="286">
        <v>0</v>
      </c>
      <c r="V118" s="286">
        <v>0</v>
      </c>
      <c r="W118" s="286"/>
      <c r="X118" s="286">
        <v>0</v>
      </c>
      <c r="Y118" s="286">
        <v>1</v>
      </c>
      <c r="Z118" s="286"/>
      <c r="AA118" s="286">
        <v>0</v>
      </c>
      <c r="AB118" s="286">
        <v>0</v>
      </c>
      <c r="AC118" s="286"/>
      <c r="AD118" s="286">
        <v>0</v>
      </c>
      <c r="AE118" s="286">
        <v>2</v>
      </c>
      <c r="AF118" s="286"/>
      <c r="AG118" s="286">
        <v>0</v>
      </c>
      <c r="AH118" s="286">
        <v>0</v>
      </c>
      <c r="AI118" s="286"/>
      <c r="AJ118" s="286">
        <v>0</v>
      </c>
      <c r="AK118" s="286">
        <v>0</v>
      </c>
      <c r="AL118" s="286"/>
      <c r="AM118" s="286">
        <v>6</v>
      </c>
      <c r="AN118" s="286">
        <v>6</v>
      </c>
      <c r="AO118" s="286"/>
      <c r="AP118" s="286">
        <v>0</v>
      </c>
      <c r="AQ118" s="286">
        <v>0</v>
      </c>
      <c r="AR118" s="286"/>
      <c r="AS118" s="286">
        <v>0</v>
      </c>
      <c r="AT118" s="286">
        <v>0</v>
      </c>
      <c r="AU118" s="286"/>
      <c r="AV118" s="286">
        <v>0</v>
      </c>
      <c r="AW118" s="286">
        <v>0</v>
      </c>
      <c r="AX118" s="286"/>
      <c r="AY118" s="286">
        <v>0</v>
      </c>
      <c r="AZ118" s="286">
        <v>0</v>
      </c>
      <c r="BA118" s="286"/>
      <c r="BB118" s="286">
        <v>0</v>
      </c>
      <c r="BC118" s="286">
        <v>0</v>
      </c>
      <c r="BD118" s="286"/>
      <c r="BE118" s="286">
        <v>0</v>
      </c>
      <c r="BF118" s="286">
        <v>0</v>
      </c>
      <c r="BG118" s="286"/>
      <c r="BH118" s="286">
        <v>0</v>
      </c>
      <c r="BI118" s="286">
        <v>0</v>
      </c>
      <c r="BJ118" s="286"/>
      <c r="BK118" s="286">
        <v>0</v>
      </c>
      <c r="BL118" s="286">
        <v>0</v>
      </c>
      <c r="BM118" s="286"/>
      <c r="BN118" s="286">
        <v>0</v>
      </c>
      <c r="BO118" s="286">
        <v>0</v>
      </c>
      <c r="BP118" s="286"/>
      <c r="BQ118" s="286">
        <v>0</v>
      </c>
      <c r="BR118" s="286">
        <v>0</v>
      </c>
      <c r="BS118" s="286"/>
      <c r="BT118" s="286">
        <v>0</v>
      </c>
      <c r="BU118" s="286">
        <v>0</v>
      </c>
      <c r="BV118" s="286"/>
      <c r="BW118" s="286">
        <v>0</v>
      </c>
      <c r="BX118" s="286">
        <v>0</v>
      </c>
      <c r="BY118" s="286"/>
      <c r="BZ118" s="286">
        <v>0</v>
      </c>
      <c r="CA118" s="286">
        <v>0</v>
      </c>
      <c r="CB118" s="286"/>
      <c r="CC118" s="286">
        <v>0</v>
      </c>
      <c r="CD118" s="286">
        <v>0</v>
      </c>
      <c r="CE118" s="286"/>
      <c r="CF118" s="286">
        <v>0</v>
      </c>
      <c r="CG118" s="286">
        <v>0</v>
      </c>
      <c r="CH118" s="286"/>
      <c r="CI118" s="286">
        <v>0</v>
      </c>
      <c r="CJ118" s="286">
        <v>0</v>
      </c>
    </row>
    <row r="119" spans="1:88" ht="30" x14ac:dyDescent="0.25">
      <c r="A119" s="95"/>
      <c r="B119" s="96" t="s">
        <v>1759</v>
      </c>
      <c r="C119" s="95" t="s">
        <v>1771</v>
      </c>
      <c r="D119" s="95" t="s">
        <v>1763</v>
      </c>
      <c r="E119" s="108"/>
      <c r="F119" s="108"/>
      <c r="G119" s="108"/>
      <c r="H119" s="108"/>
      <c r="I119" s="357"/>
      <c r="J119" s="357">
        <v>360</v>
      </c>
      <c r="K119" s="357">
        <v>371</v>
      </c>
      <c r="L119" s="357">
        <v>41</v>
      </c>
      <c r="M119" s="357">
        <v>33</v>
      </c>
      <c r="N119" s="357">
        <v>40</v>
      </c>
      <c r="P119" s="286">
        <f t="shared" si="148"/>
        <v>341</v>
      </c>
      <c r="Q119" s="358">
        <f t="shared" si="148"/>
        <v>330</v>
      </c>
      <c r="R119" s="286">
        <v>34</v>
      </c>
      <c r="S119" s="286">
        <v>32</v>
      </c>
      <c r="T119" s="286"/>
      <c r="U119" s="286">
        <v>42</v>
      </c>
      <c r="V119" s="286">
        <v>34</v>
      </c>
      <c r="W119" s="286"/>
      <c r="X119" s="286">
        <v>34</v>
      </c>
      <c r="Y119" s="286">
        <v>35</v>
      </c>
      <c r="Z119" s="286"/>
      <c r="AA119" s="286">
        <v>40</v>
      </c>
      <c r="AB119" s="286">
        <v>42</v>
      </c>
      <c r="AC119" s="286"/>
      <c r="AD119" s="286">
        <v>6</v>
      </c>
      <c r="AE119" s="286">
        <v>23</v>
      </c>
      <c r="AF119" s="286"/>
      <c r="AG119" s="286">
        <v>38</v>
      </c>
      <c r="AH119" s="286">
        <v>36</v>
      </c>
      <c r="AI119" s="286"/>
      <c r="AJ119" s="286">
        <v>5</v>
      </c>
      <c r="AK119" s="286">
        <v>5</v>
      </c>
      <c r="AL119" s="286"/>
      <c r="AM119" s="286">
        <v>93</v>
      </c>
      <c r="AN119" s="286">
        <v>71</v>
      </c>
      <c r="AO119" s="286"/>
      <c r="AP119" s="286">
        <v>49</v>
      </c>
      <c r="AQ119" s="286">
        <v>52</v>
      </c>
      <c r="AR119" s="286"/>
      <c r="AS119" s="286">
        <v>0</v>
      </c>
      <c r="AT119" s="286">
        <v>0</v>
      </c>
      <c r="AU119" s="286"/>
      <c r="AV119" s="286">
        <v>0</v>
      </c>
      <c r="AW119" s="286">
        <v>0</v>
      </c>
      <c r="AX119" s="286"/>
      <c r="AY119" s="286">
        <v>0</v>
      </c>
      <c r="AZ119" s="286">
        <v>0</v>
      </c>
      <c r="BA119" s="286"/>
      <c r="BB119" s="286">
        <v>0</v>
      </c>
      <c r="BC119" s="286">
        <v>0</v>
      </c>
      <c r="BD119" s="286"/>
      <c r="BE119" s="286">
        <v>0</v>
      </c>
      <c r="BF119" s="286">
        <v>0</v>
      </c>
      <c r="BG119" s="286"/>
      <c r="BH119" s="286">
        <v>0</v>
      </c>
      <c r="BI119" s="286">
        <v>0</v>
      </c>
      <c r="BJ119" s="286"/>
      <c r="BK119" s="286">
        <v>0</v>
      </c>
      <c r="BL119" s="286">
        <v>0</v>
      </c>
      <c r="BM119" s="286"/>
      <c r="BN119" s="286">
        <v>0</v>
      </c>
      <c r="BO119" s="286">
        <v>0</v>
      </c>
      <c r="BP119" s="286"/>
      <c r="BQ119" s="286">
        <v>0</v>
      </c>
      <c r="BR119" s="286">
        <v>0</v>
      </c>
      <c r="BS119" s="286"/>
      <c r="BT119" s="286">
        <v>0</v>
      </c>
      <c r="BU119" s="286">
        <v>0</v>
      </c>
      <c r="BV119" s="286"/>
      <c r="BW119" s="286">
        <v>0</v>
      </c>
      <c r="BX119" s="286">
        <v>0</v>
      </c>
      <c r="BY119" s="286"/>
      <c r="BZ119" s="286">
        <v>0</v>
      </c>
      <c r="CA119" s="286">
        <v>0</v>
      </c>
      <c r="CB119" s="286"/>
      <c r="CC119" s="286">
        <v>0</v>
      </c>
      <c r="CD119" s="286">
        <v>0</v>
      </c>
      <c r="CE119" s="286"/>
      <c r="CF119" s="286">
        <v>0</v>
      </c>
      <c r="CG119" s="286">
        <v>0</v>
      </c>
      <c r="CH119" s="286"/>
      <c r="CI119" s="286">
        <v>0</v>
      </c>
      <c r="CJ119" s="286">
        <v>0</v>
      </c>
    </row>
    <row r="120" spans="1:88" ht="30" x14ac:dyDescent="0.25">
      <c r="A120" s="95"/>
      <c r="B120" s="96" t="s">
        <v>1760</v>
      </c>
      <c r="C120" s="95" t="s">
        <v>1772</v>
      </c>
      <c r="D120" s="95" t="s">
        <v>1763</v>
      </c>
      <c r="E120" s="108"/>
      <c r="F120" s="108"/>
      <c r="G120" s="108"/>
      <c r="H120" s="108"/>
      <c r="I120" s="357"/>
      <c r="J120" s="357">
        <v>0</v>
      </c>
      <c r="K120" s="357">
        <v>4</v>
      </c>
      <c r="L120" s="357">
        <v>0</v>
      </c>
      <c r="M120" s="357">
        <v>0</v>
      </c>
      <c r="N120" s="357">
        <v>0</v>
      </c>
      <c r="P120" s="286">
        <f t="shared" si="148"/>
        <v>0</v>
      </c>
      <c r="Q120" s="358">
        <f t="shared" si="148"/>
        <v>0</v>
      </c>
      <c r="R120" s="286">
        <v>0</v>
      </c>
      <c r="S120" s="286">
        <v>0</v>
      </c>
      <c r="T120" s="286"/>
      <c r="U120" s="286">
        <v>0</v>
      </c>
      <c r="V120" s="286">
        <v>0</v>
      </c>
      <c r="W120" s="286"/>
      <c r="X120" s="286">
        <v>0</v>
      </c>
      <c r="Y120" s="286">
        <v>0</v>
      </c>
      <c r="Z120" s="286"/>
      <c r="AA120" s="286">
        <v>0</v>
      </c>
      <c r="AB120" s="286">
        <v>0</v>
      </c>
      <c r="AC120" s="286"/>
      <c r="AD120" s="286">
        <v>0</v>
      </c>
      <c r="AE120" s="286">
        <v>0</v>
      </c>
      <c r="AF120" s="286"/>
      <c r="AG120" s="286">
        <v>0</v>
      </c>
      <c r="AH120" s="286">
        <v>0</v>
      </c>
      <c r="AI120" s="286"/>
      <c r="AJ120" s="286">
        <v>0</v>
      </c>
      <c r="AK120" s="286">
        <v>0</v>
      </c>
      <c r="AL120" s="286"/>
      <c r="AM120" s="286">
        <v>0</v>
      </c>
      <c r="AN120" s="286">
        <v>0</v>
      </c>
      <c r="AO120" s="286"/>
      <c r="AP120" s="286">
        <v>0</v>
      </c>
      <c r="AQ120" s="286">
        <v>0</v>
      </c>
      <c r="AR120" s="286"/>
      <c r="AS120" s="286">
        <v>0</v>
      </c>
      <c r="AT120" s="286">
        <v>0</v>
      </c>
      <c r="AU120" s="286"/>
      <c r="AV120" s="286">
        <v>0</v>
      </c>
      <c r="AW120" s="286">
        <v>0</v>
      </c>
      <c r="AX120" s="286"/>
      <c r="AY120" s="286">
        <v>0</v>
      </c>
      <c r="AZ120" s="286">
        <v>0</v>
      </c>
      <c r="BA120" s="286"/>
      <c r="BB120" s="286">
        <v>0</v>
      </c>
      <c r="BC120" s="286">
        <v>0</v>
      </c>
      <c r="BD120" s="286"/>
      <c r="BE120" s="286">
        <v>0</v>
      </c>
      <c r="BF120" s="286">
        <v>0</v>
      </c>
      <c r="BG120" s="286"/>
      <c r="BH120" s="286">
        <v>0</v>
      </c>
      <c r="BI120" s="286">
        <v>0</v>
      </c>
      <c r="BJ120" s="286"/>
      <c r="BK120" s="286">
        <v>0</v>
      </c>
      <c r="BL120" s="286">
        <v>0</v>
      </c>
      <c r="BM120" s="286"/>
      <c r="BN120" s="286">
        <v>0</v>
      </c>
      <c r="BO120" s="286">
        <v>0</v>
      </c>
      <c r="BP120" s="286"/>
      <c r="BQ120" s="286">
        <v>0</v>
      </c>
      <c r="BR120" s="286">
        <v>0</v>
      </c>
      <c r="BS120" s="286"/>
      <c r="BT120" s="286">
        <v>0</v>
      </c>
      <c r="BU120" s="286">
        <v>0</v>
      </c>
      <c r="BV120" s="286"/>
      <c r="BW120" s="286">
        <v>0</v>
      </c>
      <c r="BX120" s="286">
        <v>0</v>
      </c>
      <c r="BY120" s="286"/>
      <c r="BZ120" s="286">
        <v>0</v>
      </c>
      <c r="CA120" s="286">
        <v>0</v>
      </c>
      <c r="CB120" s="286"/>
      <c r="CC120" s="286">
        <v>0</v>
      </c>
      <c r="CD120" s="286">
        <v>0</v>
      </c>
      <c r="CE120" s="286"/>
      <c r="CF120" s="286">
        <v>0</v>
      </c>
      <c r="CG120" s="286">
        <v>0</v>
      </c>
      <c r="CH120" s="286"/>
      <c r="CI120" s="286">
        <v>0</v>
      </c>
      <c r="CJ120" s="286">
        <v>0</v>
      </c>
    </row>
    <row r="121" spans="1:88" ht="30" x14ac:dyDescent="0.25">
      <c r="A121" s="95"/>
      <c r="B121" s="96" t="s">
        <v>1761</v>
      </c>
      <c r="C121" s="95" t="s">
        <v>1773</v>
      </c>
      <c r="D121" s="95" t="s">
        <v>1763</v>
      </c>
      <c r="E121" s="108"/>
      <c r="F121" s="108"/>
      <c r="G121" s="108"/>
      <c r="H121" s="108"/>
      <c r="I121" s="357"/>
      <c r="J121" s="357">
        <v>12</v>
      </c>
      <c r="K121" s="357">
        <v>20</v>
      </c>
      <c r="L121" s="357">
        <v>0</v>
      </c>
      <c r="M121" s="357">
        <v>0</v>
      </c>
      <c r="N121" s="357">
        <v>1</v>
      </c>
      <c r="P121" s="286">
        <f t="shared" si="148"/>
        <v>23</v>
      </c>
      <c r="Q121" s="358">
        <f t="shared" si="148"/>
        <v>37</v>
      </c>
      <c r="R121" s="286">
        <v>0</v>
      </c>
      <c r="S121" s="286">
        <v>0</v>
      </c>
      <c r="T121" s="286"/>
      <c r="U121" s="286">
        <v>0</v>
      </c>
      <c r="V121" s="286">
        <v>2</v>
      </c>
      <c r="W121" s="286"/>
      <c r="X121" s="286">
        <v>4</v>
      </c>
      <c r="Y121" s="286">
        <v>3</v>
      </c>
      <c r="Z121" s="286"/>
      <c r="AA121" s="286">
        <v>0</v>
      </c>
      <c r="AB121" s="286">
        <v>0</v>
      </c>
      <c r="AC121" s="286"/>
      <c r="AD121" s="286">
        <v>2</v>
      </c>
      <c r="AE121" s="286">
        <v>0</v>
      </c>
      <c r="AF121" s="286"/>
      <c r="AG121" s="286">
        <v>2</v>
      </c>
      <c r="AH121" s="286">
        <v>0</v>
      </c>
      <c r="AI121" s="286"/>
      <c r="AJ121" s="286">
        <v>2</v>
      </c>
      <c r="AK121" s="286">
        <v>2</v>
      </c>
      <c r="AL121" s="286"/>
      <c r="AM121" s="286">
        <v>10</v>
      </c>
      <c r="AN121" s="286">
        <v>27</v>
      </c>
      <c r="AO121" s="286"/>
      <c r="AP121" s="286">
        <v>3</v>
      </c>
      <c r="AQ121" s="286">
        <v>3</v>
      </c>
      <c r="AR121" s="286"/>
      <c r="AS121" s="286">
        <v>0</v>
      </c>
      <c r="AT121" s="286">
        <v>0</v>
      </c>
      <c r="AU121" s="286"/>
      <c r="AV121" s="286">
        <v>0</v>
      </c>
      <c r="AW121" s="286">
        <v>0</v>
      </c>
      <c r="AX121" s="286"/>
      <c r="AY121" s="286">
        <v>0</v>
      </c>
      <c r="AZ121" s="286">
        <v>0</v>
      </c>
      <c r="BA121" s="286"/>
      <c r="BB121" s="286">
        <v>0</v>
      </c>
      <c r="BC121" s="286">
        <v>0</v>
      </c>
      <c r="BD121" s="286"/>
      <c r="BE121" s="286">
        <v>0</v>
      </c>
      <c r="BF121" s="286">
        <v>0</v>
      </c>
      <c r="BG121" s="286"/>
      <c r="BH121" s="286">
        <v>0</v>
      </c>
      <c r="BI121" s="286">
        <v>0</v>
      </c>
      <c r="BJ121" s="286"/>
      <c r="BK121" s="286">
        <v>0</v>
      </c>
      <c r="BL121" s="286">
        <v>0</v>
      </c>
      <c r="BM121" s="286"/>
      <c r="BN121" s="286">
        <v>0</v>
      </c>
      <c r="BO121" s="286">
        <v>0</v>
      </c>
      <c r="BP121" s="286"/>
      <c r="BQ121" s="286">
        <v>0</v>
      </c>
      <c r="BR121" s="286">
        <v>0</v>
      </c>
      <c r="BS121" s="286"/>
      <c r="BT121" s="286">
        <v>0</v>
      </c>
      <c r="BU121" s="286">
        <v>0</v>
      </c>
      <c r="BV121" s="286"/>
      <c r="BW121" s="286">
        <v>0</v>
      </c>
      <c r="BX121" s="286">
        <v>0</v>
      </c>
      <c r="BY121" s="286"/>
      <c r="BZ121" s="286">
        <v>0</v>
      </c>
      <c r="CA121" s="286">
        <v>0</v>
      </c>
      <c r="CB121" s="286"/>
      <c r="CC121" s="286">
        <v>0</v>
      </c>
      <c r="CD121" s="286">
        <v>0</v>
      </c>
      <c r="CE121" s="286"/>
      <c r="CF121" s="286">
        <v>0</v>
      </c>
      <c r="CG121" s="286">
        <v>0</v>
      </c>
      <c r="CH121" s="286"/>
      <c r="CI121" s="286">
        <v>0</v>
      </c>
      <c r="CJ121" s="286">
        <v>0</v>
      </c>
    </row>
    <row r="122" spans="1:88" ht="30" x14ac:dyDescent="0.25">
      <c r="A122" s="95"/>
      <c r="B122" s="96" t="s">
        <v>1762</v>
      </c>
      <c r="C122" s="95" t="s">
        <v>2741</v>
      </c>
      <c r="D122" s="95" t="s">
        <v>1763</v>
      </c>
      <c r="E122" s="108"/>
      <c r="F122" s="108"/>
      <c r="G122" s="108"/>
      <c r="H122" s="108"/>
      <c r="I122" s="357"/>
      <c r="J122" s="357">
        <v>1</v>
      </c>
      <c r="K122" s="357">
        <v>1</v>
      </c>
      <c r="L122" s="357">
        <v>0</v>
      </c>
      <c r="M122" s="357">
        <v>0</v>
      </c>
      <c r="N122" s="357">
        <v>0</v>
      </c>
      <c r="P122" s="286">
        <f t="shared" si="148"/>
        <v>1</v>
      </c>
      <c r="Q122" s="358">
        <f t="shared" si="148"/>
        <v>0</v>
      </c>
      <c r="R122" s="286">
        <v>0</v>
      </c>
      <c r="S122" s="286">
        <v>0</v>
      </c>
      <c r="T122" s="286"/>
      <c r="U122" s="286">
        <v>0</v>
      </c>
      <c r="V122" s="286">
        <v>0</v>
      </c>
      <c r="W122" s="286"/>
      <c r="X122" s="286">
        <v>0</v>
      </c>
      <c r="Y122" s="286">
        <v>0</v>
      </c>
      <c r="Z122" s="286"/>
      <c r="AA122" s="286">
        <v>0</v>
      </c>
      <c r="AB122" s="286">
        <v>0</v>
      </c>
      <c r="AC122" s="286"/>
      <c r="AD122" s="286">
        <v>0</v>
      </c>
      <c r="AE122" s="286">
        <v>0</v>
      </c>
      <c r="AF122" s="286"/>
      <c r="AG122" s="286">
        <v>0</v>
      </c>
      <c r="AH122" s="286">
        <v>0</v>
      </c>
      <c r="AI122" s="286"/>
      <c r="AJ122" s="286">
        <v>0</v>
      </c>
      <c r="AK122" s="286">
        <v>0</v>
      </c>
      <c r="AL122" s="286"/>
      <c r="AM122" s="286">
        <v>0</v>
      </c>
      <c r="AN122" s="286">
        <v>0</v>
      </c>
      <c r="AO122" s="286"/>
      <c r="AP122" s="286">
        <v>1</v>
      </c>
      <c r="AQ122" s="286">
        <v>0</v>
      </c>
      <c r="AR122" s="286"/>
      <c r="AS122" s="286">
        <v>0</v>
      </c>
      <c r="AT122" s="286">
        <v>0</v>
      </c>
      <c r="AU122" s="286"/>
      <c r="AV122" s="286">
        <v>0</v>
      </c>
      <c r="AW122" s="286">
        <v>0</v>
      </c>
      <c r="AX122" s="286"/>
      <c r="AY122" s="286">
        <v>0</v>
      </c>
      <c r="AZ122" s="286">
        <v>0</v>
      </c>
      <c r="BA122" s="286"/>
      <c r="BB122" s="286">
        <v>0</v>
      </c>
      <c r="BC122" s="286">
        <v>0</v>
      </c>
      <c r="BD122" s="286"/>
      <c r="BE122" s="286">
        <v>0</v>
      </c>
      <c r="BF122" s="286">
        <v>0</v>
      </c>
      <c r="BG122" s="286"/>
      <c r="BH122" s="286">
        <v>0</v>
      </c>
      <c r="BI122" s="286">
        <v>0</v>
      </c>
      <c r="BJ122" s="286"/>
      <c r="BK122" s="286">
        <v>0</v>
      </c>
      <c r="BL122" s="286">
        <v>0</v>
      </c>
      <c r="BM122" s="286"/>
      <c r="BN122" s="286">
        <v>0</v>
      </c>
      <c r="BO122" s="286">
        <v>0</v>
      </c>
      <c r="BP122" s="286"/>
      <c r="BQ122" s="286">
        <v>0</v>
      </c>
      <c r="BR122" s="286">
        <v>0</v>
      </c>
      <c r="BS122" s="286"/>
      <c r="BT122" s="286">
        <v>0</v>
      </c>
      <c r="BU122" s="286">
        <v>0</v>
      </c>
      <c r="BV122" s="286"/>
      <c r="BW122" s="286">
        <v>0</v>
      </c>
      <c r="BX122" s="286">
        <v>0</v>
      </c>
      <c r="BY122" s="286"/>
      <c r="BZ122" s="286">
        <v>0</v>
      </c>
      <c r="CA122" s="286">
        <v>0</v>
      </c>
      <c r="CB122" s="286"/>
      <c r="CC122" s="286">
        <v>0</v>
      </c>
      <c r="CD122" s="286">
        <v>0</v>
      </c>
      <c r="CE122" s="286"/>
      <c r="CF122" s="286">
        <v>0</v>
      </c>
      <c r="CG122" s="286">
        <v>0</v>
      </c>
      <c r="CH122" s="286"/>
      <c r="CI122" s="286">
        <v>0</v>
      </c>
      <c r="CJ122" s="286">
        <v>0</v>
      </c>
    </row>
    <row r="123" spans="1:88" ht="60" x14ac:dyDescent="0.25">
      <c r="A123" s="95" t="s">
        <v>1612</v>
      </c>
      <c r="B123" s="96" t="s">
        <v>1613</v>
      </c>
      <c r="C123" s="95"/>
      <c r="D123" s="95"/>
      <c r="E123" s="108"/>
      <c r="F123" s="108"/>
      <c r="G123" s="108"/>
      <c r="H123" s="108"/>
      <c r="I123" s="359"/>
      <c r="J123" s="359"/>
      <c r="K123" s="359"/>
      <c r="L123" s="359"/>
      <c r="M123" s="359"/>
      <c r="N123" s="359"/>
    </row>
    <row r="124" spans="1:88" x14ac:dyDescent="0.25">
      <c r="A124" s="95"/>
      <c r="B124" s="354" t="s">
        <v>2410</v>
      </c>
      <c r="C124" s="95"/>
      <c r="D124" s="95"/>
      <c r="E124" s="108"/>
      <c r="F124" s="108"/>
      <c r="G124" s="108"/>
      <c r="H124" s="108"/>
      <c r="I124" s="359"/>
      <c r="J124" s="359"/>
      <c r="K124" s="359"/>
      <c r="L124" s="359"/>
      <c r="M124" s="359"/>
      <c r="N124" s="359"/>
    </row>
    <row r="125" spans="1:88" x14ac:dyDescent="0.25">
      <c r="A125" s="95"/>
      <c r="B125" s="96" t="s">
        <v>1614</v>
      </c>
      <c r="C125" s="95"/>
      <c r="D125" s="95" t="s">
        <v>950</v>
      </c>
      <c r="E125" s="108"/>
      <c r="F125" s="108"/>
      <c r="G125" s="108"/>
      <c r="H125" s="108"/>
      <c r="I125" s="108">
        <f>I134/I141</f>
        <v>12.607142857142858</v>
      </c>
      <c r="J125" s="108">
        <f>J134/J141</f>
        <v>12.21301775147929</v>
      </c>
      <c r="K125" s="108">
        <f>K134/K141</f>
        <v>13.363636363636363</v>
      </c>
      <c r="L125" s="108" t="e">
        <f t="shared" ref="L125:N125" si="149">L134/L141</f>
        <v>#DIV/0!</v>
      </c>
      <c r="M125" s="108" t="e">
        <f t="shared" si="149"/>
        <v>#DIV/0!</v>
      </c>
      <c r="N125" s="108" t="e">
        <f t="shared" si="149"/>
        <v>#DIV/0!</v>
      </c>
      <c r="P125" s="108">
        <f>P134/P141</f>
        <v>13</v>
      </c>
      <c r="Q125" s="108">
        <f>Q134/Q141</f>
        <v>12.584269662921349</v>
      </c>
      <c r="R125" s="108">
        <f>R134/R141</f>
        <v>18.636363636363637</v>
      </c>
      <c r="S125" s="108">
        <f>S134/S141</f>
        <v>20.636363636363637</v>
      </c>
      <c r="U125" s="108">
        <f>U134/U141</f>
        <v>5.3</v>
      </c>
      <c r="V125" s="108">
        <f>V134/V141</f>
        <v>6</v>
      </c>
      <c r="X125" s="108">
        <f>X134/X141</f>
        <v>8</v>
      </c>
      <c r="Y125" s="108">
        <f>Y134/Y141</f>
        <v>8.6666666666666661</v>
      </c>
      <c r="AA125" s="108" t="e">
        <f>AA134/AA141</f>
        <v>#DIV/0!</v>
      </c>
      <c r="AB125" s="108" t="e">
        <f>AB134/AB141</f>
        <v>#DIV/0!</v>
      </c>
      <c r="AD125" s="108">
        <f>AD134/AD141</f>
        <v>23.764705882352942</v>
      </c>
      <c r="AE125" s="108">
        <f>AE134/AE141</f>
        <v>16.125</v>
      </c>
      <c r="AG125" s="108" t="e">
        <f>AG134/AG141</f>
        <v>#DIV/0!</v>
      </c>
      <c r="AH125" s="108" t="e">
        <f>AH134/AH141</f>
        <v>#DIV/0!</v>
      </c>
      <c r="AJ125" s="108">
        <f>AJ134/AJ141</f>
        <v>12.818181818181818</v>
      </c>
      <c r="AK125" s="108">
        <f>AK134/AK141</f>
        <v>11.045454545454545</v>
      </c>
      <c r="AM125" s="108">
        <f>AM134/AM141</f>
        <v>6.2857142857142856</v>
      </c>
      <c r="AN125" s="108">
        <f>AN134/AN141</f>
        <v>8.3333333333333339</v>
      </c>
      <c r="AP125" s="108" t="e">
        <f>AP134/AP141</f>
        <v>#DIV/0!</v>
      </c>
      <c r="AQ125" s="108" t="e">
        <f>AQ134/AQ141</f>
        <v>#DIV/0!</v>
      </c>
      <c r="AS125" s="108" t="e">
        <f>AS134/AS141</f>
        <v>#DIV/0!</v>
      </c>
      <c r="AT125" s="108" t="e">
        <f>AT134/AT141</f>
        <v>#DIV/0!</v>
      </c>
      <c r="AV125" s="108" t="e">
        <f>AV134/AV141</f>
        <v>#DIV/0!</v>
      </c>
      <c r="AW125" s="108" t="e">
        <f>AW134/AW141</f>
        <v>#DIV/0!</v>
      </c>
      <c r="AY125" s="108" t="e">
        <f>AY134/AY141</f>
        <v>#DIV/0!</v>
      </c>
      <c r="AZ125" s="108" t="e">
        <f>AZ134/AZ141</f>
        <v>#DIV/0!</v>
      </c>
      <c r="BB125" s="108">
        <f>BB134/BB141</f>
        <v>22.166666666666668</v>
      </c>
      <c r="BC125" s="108">
        <f>BC134/BC141</f>
        <v>21</v>
      </c>
      <c r="BE125" s="108">
        <f>BE134/BE141</f>
        <v>12.142857142857142</v>
      </c>
      <c r="BF125" s="108">
        <f>BF134/BF141</f>
        <v>11</v>
      </c>
      <c r="BH125" s="108">
        <f>BH134/BH141</f>
        <v>10.672413793103448</v>
      </c>
      <c r="BI125" s="108">
        <f>BI134/BI141</f>
        <v>10.75</v>
      </c>
      <c r="BK125" s="108" t="e">
        <f>BK134/BK141</f>
        <v>#DIV/0!</v>
      </c>
      <c r="BL125" s="108" t="e">
        <f>BL134/BL141</f>
        <v>#DIV/0!</v>
      </c>
      <c r="BN125" s="108" t="e">
        <f>BN134/BN141</f>
        <v>#DIV/0!</v>
      </c>
      <c r="BO125" s="108" t="e">
        <f>BO134/BO141</f>
        <v>#DIV/0!</v>
      </c>
      <c r="BQ125" s="108" t="e">
        <f>BQ134/BQ141</f>
        <v>#DIV/0!</v>
      </c>
      <c r="BR125" s="108" t="e">
        <f>BR134/BR141</f>
        <v>#DIV/0!</v>
      </c>
      <c r="BT125" s="108" t="e">
        <f>BT134/BT141</f>
        <v>#DIV/0!</v>
      </c>
      <c r="BU125" s="108" t="e">
        <f>BU134/BU141</f>
        <v>#DIV/0!</v>
      </c>
      <c r="BW125" s="108" t="e">
        <f>BW134/BW141</f>
        <v>#DIV/0!</v>
      </c>
      <c r="BX125" s="108" t="e">
        <f>BX134/BX141</f>
        <v>#DIV/0!</v>
      </c>
      <c r="BZ125" s="108">
        <f>BZ134/BZ141</f>
        <v>14</v>
      </c>
      <c r="CA125" s="108">
        <f>CA134/CA141</f>
        <v>0</v>
      </c>
      <c r="CC125" s="108">
        <f>CC134/CC141</f>
        <v>10</v>
      </c>
      <c r="CD125" s="108">
        <f>CD134/CD141</f>
        <v>10</v>
      </c>
      <c r="CF125" s="108" t="e">
        <f>CF134/CF141</f>
        <v>#DIV/0!</v>
      </c>
      <c r="CG125" s="108" t="e">
        <f>CG134/CG141</f>
        <v>#DIV/0!</v>
      </c>
      <c r="CI125" s="108" t="e">
        <f>CI134/CI141</f>
        <v>#DIV/0!</v>
      </c>
      <c r="CJ125" s="108" t="e">
        <f>CJ134/CJ141</f>
        <v>#DIV/0!</v>
      </c>
    </row>
    <row r="126" spans="1:88" x14ac:dyDescent="0.25">
      <c r="A126" s="95"/>
      <c r="B126" s="96" t="s">
        <v>1615</v>
      </c>
      <c r="C126" s="95"/>
      <c r="D126" s="95" t="s">
        <v>950</v>
      </c>
      <c r="E126" s="108"/>
      <c r="F126" s="108"/>
      <c r="G126" s="108"/>
      <c r="H126" s="108"/>
      <c r="I126" s="108">
        <f>I137/I144</f>
        <v>10.444444444444445</v>
      </c>
      <c r="J126" s="108">
        <f>J137/J144</f>
        <v>10.333333333333334</v>
      </c>
      <c r="K126" s="108">
        <f>K137/K144</f>
        <v>1</v>
      </c>
      <c r="L126" s="108" t="e">
        <f t="shared" ref="L126:N126" si="150">L137/L144</f>
        <v>#DIV/0!</v>
      </c>
      <c r="M126" s="108" t="e">
        <f t="shared" si="150"/>
        <v>#DIV/0!</v>
      </c>
      <c r="N126" s="108" t="e">
        <f t="shared" si="150"/>
        <v>#DIV/0!</v>
      </c>
      <c r="P126" s="108">
        <f>P137/P144</f>
        <v>1</v>
      </c>
      <c r="Q126" s="108">
        <f>Q137/Q144</f>
        <v>1</v>
      </c>
      <c r="R126" s="108" t="e">
        <f>R137/R144</f>
        <v>#DIV/0!</v>
      </c>
      <c r="S126" s="108" t="e">
        <f>S137/S144</f>
        <v>#DIV/0!</v>
      </c>
      <c r="U126" s="108" t="e">
        <f>U137/U144</f>
        <v>#DIV/0!</v>
      </c>
      <c r="V126" s="108" t="e">
        <f>V137/V144</f>
        <v>#DIV/0!</v>
      </c>
      <c r="X126" s="108" t="e">
        <f>X137/X144</f>
        <v>#DIV/0!</v>
      </c>
      <c r="Y126" s="108" t="e">
        <f>Y137/Y144</f>
        <v>#DIV/0!</v>
      </c>
      <c r="AA126" s="108" t="e">
        <f>AA137/AA144</f>
        <v>#DIV/0!</v>
      </c>
      <c r="AB126" s="108" t="e">
        <f>AB137/AB144</f>
        <v>#DIV/0!</v>
      </c>
      <c r="AD126" s="108" t="e">
        <f>AD137/AD144</f>
        <v>#DIV/0!</v>
      </c>
      <c r="AE126" s="108" t="e">
        <f>AE137/AE144</f>
        <v>#DIV/0!</v>
      </c>
      <c r="AG126" s="108" t="e">
        <f>AG137/AG144</f>
        <v>#DIV/0!</v>
      </c>
      <c r="AH126" s="108" t="e">
        <f>AH137/AH144</f>
        <v>#DIV/0!</v>
      </c>
      <c r="AJ126" s="108" t="e">
        <f>AJ137/AJ144</f>
        <v>#DIV/0!</v>
      </c>
      <c r="AK126" s="108" t="e">
        <f>AK137/AK144</f>
        <v>#DIV/0!</v>
      </c>
      <c r="AM126" s="108" t="e">
        <f>AM137/AM144</f>
        <v>#DIV/0!</v>
      </c>
      <c r="AN126" s="108" t="e">
        <f>AN137/AN144</f>
        <v>#DIV/0!</v>
      </c>
      <c r="AP126" s="108" t="e">
        <f>AP137/AP144</f>
        <v>#DIV/0!</v>
      </c>
      <c r="AQ126" s="108" t="e">
        <f>AQ137/AQ144</f>
        <v>#DIV/0!</v>
      </c>
      <c r="AS126" s="108" t="e">
        <f>AS137/AS144</f>
        <v>#DIV/0!</v>
      </c>
      <c r="AT126" s="108" t="e">
        <f>AT137/AT144</f>
        <v>#DIV/0!</v>
      </c>
      <c r="AV126" s="108" t="e">
        <f>AV137/AV144</f>
        <v>#DIV/0!</v>
      </c>
      <c r="AW126" s="108" t="e">
        <f>AW137/AW144</f>
        <v>#DIV/0!</v>
      </c>
      <c r="AY126" s="108" t="e">
        <f>AY137/AY144</f>
        <v>#DIV/0!</v>
      </c>
      <c r="AZ126" s="108" t="e">
        <f>AZ137/AZ144</f>
        <v>#DIV/0!</v>
      </c>
      <c r="BB126" s="108" t="e">
        <f>BB137/BB144</f>
        <v>#DIV/0!</v>
      </c>
      <c r="BC126" s="108" t="e">
        <f>BC137/BC144</f>
        <v>#DIV/0!</v>
      </c>
      <c r="BE126" s="108" t="e">
        <f>BE137/BE144</f>
        <v>#DIV/0!</v>
      </c>
      <c r="BF126" s="108" t="e">
        <f>BF137/BF144</f>
        <v>#DIV/0!</v>
      </c>
      <c r="BH126" s="108" t="e">
        <f>BH137/BH144</f>
        <v>#DIV/0!</v>
      </c>
      <c r="BI126" s="108" t="e">
        <f>BI137/BI144</f>
        <v>#DIV/0!</v>
      </c>
      <c r="BK126" s="108" t="e">
        <f>BK137/BK144</f>
        <v>#DIV/0!</v>
      </c>
      <c r="BL126" s="108" t="e">
        <f>BL137/BL144</f>
        <v>#DIV/0!</v>
      </c>
      <c r="BN126" s="108" t="e">
        <f>BN137/BN144</f>
        <v>#DIV/0!</v>
      </c>
      <c r="BO126" s="108" t="e">
        <f>BO137/BO144</f>
        <v>#DIV/0!</v>
      </c>
      <c r="BQ126" s="108" t="e">
        <f>BQ137/BQ144</f>
        <v>#DIV/0!</v>
      </c>
      <c r="BR126" s="108" t="e">
        <f>BR137/BR144</f>
        <v>#DIV/0!</v>
      </c>
      <c r="BT126" s="108" t="e">
        <f>BT137/BT144</f>
        <v>#DIV/0!</v>
      </c>
      <c r="BU126" s="108" t="e">
        <f>BU137/BU144</f>
        <v>#DIV/0!</v>
      </c>
      <c r="BW126" s="108" t="e">
        <f>BW137/BW144</f>
        <v>#DIV/0!</v>
      </c>
      <c r="BX126" s="108" t="e">
        <f>BX137/BX144</f>
        <v>#DIV/0!</v>
      </c>
      <c r="BZ126" s="108" t="e">
        <f>BZ137/BZ144</f>
        <v>#DIV/0!</v>
      </c>
      <c r="CA126" s="108" t="e">
        <f>CA137/CA144</f>
        <v>#DIV/0!</v>
      </c>
      <c r="CC126" s="108" t="e">
        <f>CC137/CC144</f>
        <v>#DIV/0!</v>
      </c>
      <c r="CD126" s="108" t="e">
        <f>CD137/CD144</f>
        <v>#DIV/0!</v>
      </c>
      <c r="CF126" s="108">
        <f>CF137/CF144</f>
        <v>1</v>
      </c>
      <c r="CG126" s="108">
        <f>CG137/CG144</f>
        <v>1</v>
      </c>
      <c r="CI126" s="108" t="e">
        <f>CI137/CI144</f>
        <v>#DIV/0!</v>
      </c>
      <c r="CJ126" s="108" t="e">
        <f>CJ137/CJ144</f>
        <v>#DIV/0!</v>
      </c>
    </row>
    <row r="127" spans="1:88" x14ac:dyDescent="0.25">
      <c r="A127" s="95"/>
      <c r="B127" s="354" t="s">
        <v>2411</v>
      </c>
      <c r="C127" s="95"/>
      <c r="D127" s="95"/>
      <c r="E127" s="108"/>
      <c r="F127" s="108"/>
      <c r="G127" s="108"/>
      <c r="H127" s="108"/>
      <c r="I127" s="108"/>
      <c r="J127" s="108"/>
      <c r="K127" s="108"/>
      <c r="L127" s="108"/>
      <c r="M127" s="108"/>
      <c r="N127" s="108"/>
      <c r="P127" s="108"/>
      <c r="Q127" s="108"/>
      <c r="R127" s="108"/>
      <c r="S127" s="108"/>
      <c r="U127" s="108"/>
      <c r="V127" s="108"/>
      <c r="X127" s="108"/>
      <c r="Y127" s="108"/>
      <c r="AA127" s="108"/>
      <c r="AB127" s="108"/>
      <c r="AD127" s="108"/>
      <c r="AE127" s="108"/>
      <c r="AG127" s="108"/>
      <c r="AH127" s="108"/>
      <c r="AJ127" s="108"/>
      <c r="AK127" s="108"/>
      <c r="AM127" s="108"/>
      <c r="AN127" s="108"/>
      <c r="AP127" s="108"/>
      <c r="AQ127" s="108"/>
      <c r="AS127" s="108"/>
      <c r="AT127" s="108"/>
      <c r="AV127" s="108"/>
      <c r="AW127" s="108"/>
      <c r="AY127" s="108"/>
      <c r="AZ127" s="108"/>
      <c r="BB127" s="108"/>
      <c r="BC127" s="108"/>
      <c r="BE127" s="108"/>
      <c r="BF127" s="108"/>
      <c r="BH127" s="108"/>
      <c r="BI127" s="108"/>
      <c r="BK127" s="108"/>
      <c r="BL127" s="108"/>
      <c r="BN127" s="108"/>
      <c r="BO127" s="108"/>
      <c r="BQ127" s="108"/>
      <c r="BR127" s="108"/>
      <c r="BT127" s="108"/>
      <c r="BU127" s="108"/>
      <c r="BW127" s="108"/>
      <c r="BX127" s="108"/>
      <c r="BZ127" s="108"/>
      <c r="CA127" s="108"/>
      <c r="CC127" s="108"/>
      <c r="CD127" s="108"/>
      <c r="CF127" s="108"/>
      <c r="CG127" s="108"/>
      <c r="CI127" s="108"/>
      <c r="CJ127" s="108"/>
    </row>
    <row r="128" spans="1:88" x14ac:dyDescent="0.25">
      <c r="A128" s="95"/>
      <c r="B128" s="96" t="s">
        <v>1614</v>
      </c>
      <c r="C128" s="95"/>
      <c r="D128" s="95"/>
      <c r="E128" s="108"/>
      <c r="F128" s="108"/>
      <c r="G128" s="108"/>
      <c r="H128" s="108"/>
      <c r="I128" s="108">
        <f>I135/I142</f>
        <v>12.54140127388535</v>
      </c>
      <c r="J128" s="108">
        <f>J135/J142</f>
        <v>12.193548387096774</v>
      </c>
      <c r="K128" s="108">
        <f>K135/K142</f>
        <v>13.645669291338583</v>
      </c>
      <c r="L128" s="108" t="e">
        <f t="shared" ref="L128:N128" si="151">L135/L142</f>
        <v>#DIV/0!</v>
      </c>
      <c r="M128" s="108" t="e">
        <f t="shared" si="151"/>
        <v>#DIV/0!</v>
      </c>
      <c r="N128" s="108" t="e">
        <f t="shared" si="151"/>
        <v>#DIV/0!</v>
      </c>
      <c r="P128" s="108">
        <f>P135/P142</f>
        <v>13.229007633587786</v>
      </c>
      <c r="Q128" s="108">
        <f>Q135/Q142</f>
        <v>12.36</v>
      </c>
      <c r="R128" s="108">
        <f>R135/R142</f>
        <v>22</v>
      </c>
      <c r="S128" s="108">
        <f>S135/S142</f>
        <v>20.25</v>
      </c>
      <c r="U128" s="108">
        <f>U135/U142</f>
        <v>4.2</v>
      </c>
      <c r="V128" s="108">
        <f>V135/V142</f>
        <v>5.8</v>
      </c>
      <c r="X128" s="108">
        <f>X135/X142</f>
        <v>9</v>
      </c>
      <c r="Y128" s="108">
        <f>Y135/Y142</f>
        <v>7.5</v>
      </c>
      <c r="AA128" s="108" t="e">
        <f>AA135/AA142</f>
        <v>#DIV/0!</v>
      </c>
      <c r="AB128" s="108" t="e">
        <f>AB135/AB142</f>
        <v>#DIV/0!</v>
      </c>
      <c r="AD128" s="108">
        <f>AD135/AD142</f>
        <v>23.764705882352942</v>
      </c>
      <c r="AE128" s="108">
        <f>AE135/AE142</f>
        <v>16.125</v>
      </c>
      <c r="AG128" s="108" t="e">
        <f>AG135/AG142</f>
        <v>#DIV/0!</v>
      </c>
      <c r="AH128" s="108" t="e">
        <f>AH135/AH142</f>
        <v>#DIV/0!</v>
      </c>
      <c r="AJ128" s="108">
        <f>AJ135/AJ142</f>
        <v>12.714285714285714</v>
      </c>
      <c r="AK128" s="108">
        <f>AK135/AK142</f>
        <v>11.19047619047619</v>
      </c>
      <c r="AM128" s="108">
        <f>AM135/AM142</f>
        <v>7</v>
      </c>
      <c r="AN128" s="108">
        <f>AN135/AN142</f>
        <v>11</v>
      </c>
      <c r="AP128" s="108" t="e">
        <f>AP135/AP142</f>
        <v>#DIV/0!</v>
      </c>
      <c r="AQ128" s="108" t="e">
        <f>AQ135/AQ142</f>
        <v>#DIV/0!</v>
      </c>
      <c r="AS128" s="108" t="e">
        <f>AS135/AS142</f>
        <v>#DIV/0!</v>
      </c>
      <c r="AT128" s="108" t="e">
        <f>AT135/AT142</f>
        <v>#DIV/0!</v>
      </c>
      <c r="AV128" s="108" t="e">
        <f>AV135/AV142</f>
        <v>#DIV/0!</v>
      </c>
      <c r="AW128" s="108" t="e">
        <f>AW135/AW142</f>
        <v>#DIV/0!</v>
      </c>
      <c r="AY128" s="108" t="e">
        <f>AY135/AY142</f>
        <v>#DIV/0!</v>
      </c>
      <c r="AZ128" s="108" t="e">
        <f>AZ135/AZ142</f>
        <v>#DIV/0!</v>
      </c>
      <c r="BB128" s="108">
        <f>BB135/BB142</f>
        <v>22.166666666666668</v>
      </c>
      <c r="BC128" s="108">
        <f>BC135/BC142</f>
        <v>21</v>
      </c>
      <c r="BE128" s="108">
        <f>BE135/BE142</f>
        <v>12.142857142857142</v>
      </c>
      <c r="BF128" s="108">
        <f>BF135/BF142</f>
        <v>11</v>
      </c>
      <c r="BH128" s="108">
        <f>BH135/BH142</f>
        <v>10.672413793103448</v>
      </c>
      <c r="BI128" s="108">
        <f>BI135/BI142</f>
        <v>10.75</v>
      </c>
      <c r="BK128" s="108" t="e">
        <f>BK135/BK142</f>
        <v>#DIV/0!</v>
      </c>
      <c r="BL128" s="108" t="e">
        <f>BL135/BL142</f>
        <v>#DIV/0!</v>
      </c>
      <c r="BN128" s="108" t="e">
        <f>BN135/BN142</f>
        <v>#DIV/0!</v>
      </c>
      <c r="BO128" s="108" t="e">
        <f>BO135/BO142</f>
        <v>#DIV/0!</v>
      </c>
      <c r="BQ128" s="108" t="e">
        <f>BQ135/BQ142</f>
        <v>#DIV/0!</v>
      </c>
      <c r="BR128" s="108" t="e">
        <f>BR135/BR142</f>
        <v>#DIV/0!</v>
      </c>
      <c r="BT128" s="108" t="e">
        <f>BT135/BT142</f>
        <v>#DIV/0!</v>
      </c>
      <c r="BU128" s="108" t="e">
        <f>BU135/BU142</f>
        <v>#DIV/0!</v>
      </c>
      <c r="BW128" s="108" t="e">
        <f>BW135/BW142</f>
        <v>#DIV/0!</v>
      </c>
      <c r="BX128" s="108" t="e">
        <f>BX135/BX142</f>
        <v>#DIV/0!</v>
      </c>
      <c r="BZ128" s="108">
        <f>BZ135/BZ142</f>
        <v>14</v>
      </c>
      <c r="CA128" s="108">
        <f>CA135/CA142</f>
        <v>0</v>
      </c>
      <c r="CC128" s="108">
        <f>CC135/CC142</f>
        <v>10</v>
      </c>
      <c r="CD128" s="108">
        <f>CD135/CD142</f>
        <v>10</v>
      </c>
      <c r="CF128" s="108" t="e">
        <f>CF135/CF142</f>
        <v>#DIV/0!</v>
      </c>
      <c r="CG128" s="108" t="e">
        <f>CG135/CG142</f>
        <v>#DIV/0!</v>
      </c>
      <c r="CI128" s="108" t="e">
        <f>CI135/CI142</f>
        <v>#DIV/0!</v>
      </c>
      <c r="CJ128" s="108" t="e">
        <f>CJ135/CJ142</f>
        <v>#DIV/0!</v>
      </c>
    </row>
    <row r="129" spans="1:88" x14ac:dyDescent="0.25">
      <c r="A129" s="95"/>
      <c r="B129" s="96" t="s">
        <v>1615</v>
      </c>
      <c r="C129" s="95"/>
      <c r="D129" s="95"/>
      <c r="E129" s="108"/>
      <c r="F129" s="108"/>
      <c r="G129" s="108"/>
      <c r="H129" s="108"/>
      <c r="I129" s="108">
        <f>I138/I145</f>
        <v>10.444444444444445</v>
      </c>
      <c r="J129" s="108">
        <f>J138/J145</f>
        <v>10.333333333333334</v>
      </c>
      <c r="K129" s="108">
        <f>K138/K145</f>
        <v>1</v>
      </c>
      <c r="L129" s="108" t="e">
        <f t="shared" ref="L129:N129" si="152">L138/L145</f>
        <v>#DIV/0!</v>
      </c>
      <c r="M129" s="108" t="e">
        <f t="shared" si="152"/>
        <v>#DIV/0!</v>
      </c>
      <c r="N129" s="108" t="e">
        <f t="shared" si="152"/>
        <v>#DIV/0!</v>
      </c>
      <c r="P129" s="108">
        <f>P138/P145</f>
        <v>1</v>
      </c>
      <c r="Q129" s="108">
        <f>Q138/Q145</f>
        <v>1</v>
      </c>
      <c r="R129" s="108" t="e">
        <f>R138/R145</f>
        <v>#DIV/0!</v>
      </c>
      <c r="S129" s="108" t="e">
        <f>S138/S145</f>
        <v>#DIV/0!</v>
      </c>
      <c r="U129" s="108" t="e">
        <f>U138/U145</f>
        <v>#DIV/0!</v>
      </c>
      <c r="V129" s="108" t="e">
        <f>V138/V145</f>
        <v>#DIV/0!</v>
      </c>
      <c r="X129" s="108" t="e">
        <f>X138/X145</f>
        <v>#DIV/0!</v>
      </c>
      <c r="Y129" s="108" t="e">
        <f>Y138/Y145</f>
        <v>#DIV/0!</v>
      </c>
      <c r="AA129" s="108" t="e">
        <f>AA138/AA145</f>
        <v>#DIV/0!</v>
      </c>
      <c r="AB129" s="108" t="e">
        <f>AB138/AB145</f>
        <v>#DIV/0!</v>
      </c>
      <c r="AD129" s="108" t="e">
        <f>AD138/AD145</f>
        <v>#DIV/0!</v>
      </c>
      <c r="AE129" s="108" t="e">
        <f>AE138/AE145</f>
        <v>#DIV/0!</v>
      </c>
      <c r="AG129" s="108" t="e">
        <f>AG138/AG145</f>
        <v>#DIV/0!</v>
      </c>
      <c r="AH129" s="108" t="e">
        <f>AH138/AH145</f>
        <v>#DIV/0!</v>
      </c>
      <c r="AJ129" s="108" t="e">
        <f>AJ138/AJ145</f>
        <v>#DIV/0!</v>
      </c>
      <c r="AK129" s="108" t="e">
        <f>AK138/AK145</f>
        <v>#DIV/0!</v>
      </c>
      <c r="AM129" s="108" t="e">
        <f>AM138/AM145</f>
        <v>#DIV/0!</v>
      </c>
      <c r="AN129" s="108" t="e">
        <f>AN138/AN145</f>
        <v>#DIV/0!</v>
      </c>
      <c r="AP129" s="108" t="e">
        <f>AP138/AP145</f>
        <v>#DIV/0!</v>
      </c>
      <c r="AQ129" s="108" t="e">
        <f>AQ138/AQ145</f>
        <v>#DIV/0!</v>
      </c>
      <c r="AS129" s="108" t="e">
        <f>AS138/AS145</f>
        <v>#DIV/0!</v>
      </c>
      <c r="AT129" s="108" t="e">
        <f>AT138/AT145</f>
        <v>#DIV/0!</v>
      </c>
      <c r="AV129" s="108" t="e">
        <f>AV138/AV145</f>
        <v>#DIV/0!</v>
      </c>
      <c r="AW129" s="108" t="e">
        <f>AW138/AW145</f>
        <v>#DIV/0!</v>
      </c>
      <c r="AY129" s="108" t="e">
        <f>AY138/AY145</f>
        <v>#DIV/0!</v>
      </c>
      <c r="AZ129" s="108" t="e">
        <f>AZ138/AZ145</f>
        <v>#DIV/0!</v>
      </c>
      <c r="BB129" s="108" t="e">
        <f>BB138/BB145</f>
        <v>#DIV/0!</v>
      </c>
      <c r="BC129" s="108" t="e">
        <f>BC138/BC145</f>
        <v>#DIV/0!</v>
      </c>
      <c r="BE129" s="108" t="e">
        <f>BE138/BE145</f>
        <v>#DIV/0!</v>
      </c>
      <c r="BF129" s="108" t="e">
        <f>BF138/BF145</f>
        <v>#DIV/0!</v>
      </c>
      <c r="BH129" s="108" t="e">
        <f>BH138/BH145</f>
        <v>#DIV/0!</v>
      </c>
      <c r="BI129" s="108" t="e">
        <f>BI138/BI145</f>
        <v>#DIV/0!</v>
      </c>
      <c r="BK129" s="108" t="e">
        <f>BK138/BK145</f>
        <v>#DIV/0!</v>
      </c>
      <c r="BL129" s="108" t="e">
        <f>BL138/BL145</f>
        <v>#DIV/0!</v>
      </c>
      <c r="BN129" s="108" t="e">
        <f>BN138/BN145</f>
        <v>#DIV/0!</v>
      </c>
      <c r="BO129" s="108" t="e">
        <f>BO138/BO145</f>
        <v>#DIV/0!</v>
      </c>
      <c r="BQ129" s="108" t="e">
        <f>BQ138/BQ145</f>
        <v>#DIV/0!</v>
      </c>
      <c r="BR129" s="108" t="e">
        <f>BR138/BR145</f>
        <v>#DIV/0!</v>
      </c>
      <c r="BT129" s="108" t="e">
        <f>BT138/BT145</f>
        <v>#DIV/0!</v>
      </c>
      <c r="BU129" s="108" t="e">
        <f>BU138/BU145</f>
        <v>#DIV/0!</v>
      </c>
      <c r="BW129" s="108" t="e">
        <f>BW138/BW145</f>
        <v>#DIV/0!</v>
      </c>
      <c r="BX129" s="108" t="e">
        <f>BX138/BX145</f>
        <v>#DIV/0!</v>
      </c>
      <c r="BZ129" s="108" t="e">
        <f>BZ138/BZ145</f>
        <v>#DIV/0!</v>
      </c>
      <c r="CA129" s="108" t="e">
        <f>CA138/CA145</f>
        <v>#DIV/0!</v>
      </c>
      <c r="CC129" s="108" t="e">
        <f>CC138/CC145</f>
        <v>#DIV/0!</v>
      </c>
      <c r="CD129" s="108" t="e">
        <f>CD138/CD145</f>
        <v>#DIV/0!</v>
      </c>
      <c r="CF129" s="108">
        <f>CF138/CF145</f>
        <v>1</v>
      </c>
      <c r="CG129" s="108">
        <f>CG138/CG145</f>
        <v>1</v>
      </c>
      <c r="CI129" s="108" t="e">
        <f>CI138/CI145</f>
        <v>#DIV/0!</v>
      </c>
      <c r="CJ129" s="108" t="e">
        <f>CJ138/CJ145</f>
        <v>#DIV/0!</v>
      </c>
    </row>
    <row r="130" spans="1:88" x14ac:dyDescent="0.25">
      <c r="A130" s="95"/>
      <c r="B130" s="354" t="s">
        <v>2412</v>
      </c>
      <c r="C130" s="95"/>
      <c r="D130" s="95"/>
      <c r="E130" s="108"/>
      <c r="F130" s="108"/>
      <c r="G130" s="108"/>
      <c r="H130" s="108"/>
      <c r="I130" s="108"/>
      <c r="J130" s="108"/>
      <c r="K130" s="108"/>
      <c r="L130" s="108"/>
      <c r="M130" s="108"/>
      <c r="N130" s="108"/>
      <c r="P130" s="108"/>
      <c r="Q130" s="108"/>
      <c r="R130" s="108"/>
      <c r="S130" s="108"/>
      <c r="U130" s="108"/>
      <c r="V130" s="108"/>
      <c r="X130" s="108"/>
      <c r="Y130" s="108"/>
      <c r="AA130" s="108"/>
      <c r="AB130" s="108"/>
      <c r="AD130" s="108"/>
      <c r="AE130" s="108"/>
      <c r="AG130" s="108"/>
      <c r="AH130" s="108"/>
      <c r="AJ130" s="108"/>
      <c r="AK130" s="108"/>
      <c r="AM130" s="108"/>
      <c r="AN130" s="108"/>
      <c r="AP130" s="108"/>
      <c r="AQ130" s="108"/>
      <c r="AS130" s="108"/>
      <c r="AT130" s="108"/>
      <c r="AV130" s="108"/>
      <c r="AW130" s="108"/>
      <c r="AY130" s="108"/>
      <c r="AZ130" s="108"/>
      <c r="BB130" s="108"/>
      <c r="BC130" s="108"/>
      <c r="BE130" s="108"/>
      <c r="BF130" s="108"/>
      <c r="BH130" s="108"/>
      <c r="BI130" s="108"/>
      <c r="BK130" s="108"/>
      <c r="BL130" s="108"/>
      <c r="BN130" s="108"/>
      <c r="BO130" s="108"/>
      <c r="BQ130" s="108"/>
      <c r="BR130" s="108"/>
      <c r="BT130" s="108"/>
      <c r="BU130" s="108"/>
      <c r="BW130" s="108"/>
      <c r="BX130" s="108"/>
      <c r="BZ130" s="108"/>
      <c r="CA130" s="108"/>
      <c r="CC130" s="108"/>
      <c r="CD130" s="108"/>
      <c r="CF130" s="108"/>
      <c r="CG130" s="108"/>
      <c r="CI130" s="108"/>
      <c r="CJ130" s="108"/>
    </row>
    <row r="131" spans="1:88" x14ac:dyDescent="0.25">
      <c r="A131" s="95"/>
      <c r="B131" s="96" t="s">
        <v>1614</v>
      </c>
      <c r="C131" s="95"/>
      <c r="D131" s="95"/>
      <c r="E131" s="108"/>
      <c r="F131" s="108"/>
      <c r="G131" s="108"/>
      <c r="H131" s="108"/>
      <c r="I131" s="108">
        <f>I136/I143</f>
        <v>13.545454545454545</v>
      </c>
      <c r="J131" s="108">
        <f>J136/J143</f>
        <v>12.428571428571429</v>
      </c>
      <c r="K131" s="108">
        <f>K136/K143</f>
        <v>11.125</v>
      </c>
      <c r="L131" s="108" t="e">
        <f t="shared" ref="L131:N131" si="153">L136/L143</f>
        <v>#DIV/0!</v>
      </c>
      <c r="M131" s="108" t="e">
        <f t="shared" si="153"/>
        <v>#DIV/0!</v>
      </c>
      <c r="N131" s="108" t="e">
        <f t="shared" si="153"/>
        <v>#DIV/0!</v>
      </c>
      <c r="P131" s="108">
        <f>P136/P143</f>
        <v>11.125</v>
      </c>
      <c r="Q131" s="108">
        <f>Q136/Q143</f>
        <v>13.785714285714286</v>
      </c>
      <c r="R131" s="108">
        <f>R136/R143</f>
        <v>16.714285714285715</v>
      </c>
      <c r="S131" s="108">
        <f>S136/S143</f>
        <v>20.857142857142858</v>
      </c>
      <c r="U131" s="108">
        <f>U136/U143</f>
        <v>6.4</v>
      </c>
      <c r="V131" s="108">
        <f>V136/V143</f>
        <v>6.25</v>
      </c>
      <c r="X131" s="108">
        <f>X136/X143</f>
        <v>5</v>
      </c>
      <c r="Y131" s="108">
        <f>Y136/Y143</f>
        <v>11</v>
      </c>
      <c r="AA131" s="108" t="e">
        <f>AA136/AA143</f>
        <v>#DIV/0!</v>
      </c>
      <c r="AB131" s="108" t="e">
        <f>AB136/AB143</f>
        <v>#DIV/0!</v>
      </c>
      <c r="AD131" s="108" t="e">
        <f>AD136/AD143</f>
        <v>#DIV/0!</v>
      </c>
      <c r="AE131" s="108" t="e">
        <f>AE136/AE143</f>
        <v>#DIV/0!</v>
      </c>
      <c r="AG131" s="108" t="e">
        <f>AG136/AG143</f>
        <v>#DIV/0!</v>
      </c>
      <c r="AH131" s="108" t="e">
        <f>AH136/AH143</f>
        <v>#DIV/0!</v>
      </c>
      <c r="AJ131" s="108">
        <f>AJ136/AJ143</f>
        <v>15</v>
      </c>
      <c r="AK131" s="108">
        <f>AK136/AK143</f>
        <v>8</v>
      </c>
      <c r="AM131" s="108">
        <f>AM136/AM143</f>
        <v>4.5</v>
      </c>
      <c r="AN131" s="108">
        <f>AN136/AN143</f>
        <v>3</v>
      </c>
      <c r="AP131" s="108" t="e">
        <f>AP136/AP143</f>
        <v>#DIV/0!</v>
      </c>
      <c r="AQ131" s="108" t="e">
        <f>AQ136/AQ143</f>
        <v>#DIV/0!</v>
      </c>
      <c r="AS131" s="108" t="e">
        <f>AS136/AS143</f>
        <v>#DIV/0!</v>
      </c>
      <c r="AT131" s="108" t="e">
        <f>AT136/AT143</f>
        <v>#DIV/0!</v>
      </c>
      <c r="AV131" s="108" t="e">
        <f>AV136/AV143</f>
        <v>#DIV/0!</v>
      </c>
      <c r="AW131" s="108" t="e">
        <f>AW136/AW143</f>
        <v>#DIV/0!</v>
      </c>
      <c r="AY131" s="108" t="e">
        <f>AY136/AY143</f>
        <v>#DIV/0!</v>
      </c>
      <c r="AZ131" s="108" t="e">
        <f>AZ136/AZ143</f>
        <v>#DIV/0!</v>
      </c>
      <c r="BB131" s="108" t="e">
        <f>BB136/BB143</f>
        <v>#DIV/0!</v>
      </c>
      <c r="BC131" s="108" t="e">
        <f>BC136/BC143</f>
        <v>#DIV/0!</v>
      </c>
      <c r="BE131" s="108" t="e">
        <f>BE136/BE143</f>
        <v>#DIV/0!</v>
      </c>
      <c r="BF131" s="108" t="e">
        <f>BF136/BF143</f>
        <v>#DIV/0!</v>
      </c>
      <c r="BH131" s="108" t="e">
        <f>BH136/BH143</f>
        <v>#DIV/0!</v>
      </c>
      <c r="BI131" s="108" t="e">
        <f>BI136/BI143</f>
        <v>#DIV/0!</v>
      </c>
      <c r="BK131" s="108" t="e">
        <f>BK136/BK143</f>
        <v>#DIV/0!</v>
      </c>
      <c r="BL131" s="108" t="e">
        <f>BL136/BL143</f>
        <v>#DIV/0!</v>
      </c>
      <c r="BN131" s="108" t="e">
        <f>BN136/BN143</f>
        <v>#DIV/0!</v>
      </c>
      <c r="BO131" s="108" t="e">
        <f>BO136/BO143</f>
        <v>#DIV/0!</v>
      </c>
      <c r="BQ131" s="108" t="e">
        <f>BQ136/BQ143</f>
        <v>#DIV/0!</v>
      </c>
      <c r="BR131" s="108" t="e">
        <f>BR136/BR143</f>
        <v>#DIV/0!</v>
      </c>
      <c r="BT131" s="108" t="e">
        <f>BT136/BT143</f>
        <v>#DIV/0!</v>
      </c>
      <c r="BU131" s="108" t="e">
        <f>BU136/BU143</f>
        <v>#DIV/0!</v>
      </c>
      <c r="BW131" s="108" t="e">
        <f>BW136/BW143</f>
        <v>#DIV/0!</v>
      </c>
      <c r="BX131" s="108" t="e">
        <f>BX136/BX143</f>
        <v>#DIV/0!</v>
      </c>
      <c r="BZ131" s="108" t="e">
        <f>BZ136/BZ143</f>
        <v>#DIV/0!</v>
      </c>
      <c r="CA131" s="108" t="e">
        <f>CA136/CA143</f>
        <v>#DIV/0!</v>
      </c>
      <c r="CC131" s="108" t="e">
        <f>CC136/CC143</f>
        <v>#DIV/0!</v>
      </c>
      <c r="CD131" s="108" t="e">
        <f>CD136/CD143</f>
        <v>#DIV/0!</v>
      </c>
      <c r="CF131" s="108" t="e">
        <f>CF136/CF143</f>
        <v>#DIV/0!</v>
      </c>
      <c r="CG131" s="108" t="e">
        <f>CG136/CG143</f>
        <v>#DIV/0!</v>
      </c>
      <c r="CI131" s="108" t="e">
        <f>CI136/CI143</f>
        <v>#DIV/0!</v>
      </c>
      <c r="CJ131" s="108" t="e">
        <f>CJ136/CJ143</f>
        <v>#DIV/0!</v>
      </c>
    </row>
    <row r="132" spans="1:88" x14ac:dyDescent="0.25">
      <c r="A132" s="95"/>
      <c r="B132" s="96" t="s">
        <v>1615</v>
      </c>
      <c r="C132" s="95"/>
      <c r="D132" s="95"/>
      <c r="E132" s="108"/>
      <c r="F132" s="108"/>
      <c r="G132" s="108"/>
      <c r="H132" s="108"/>
      <c r="I132" s="108" t="e">
        <f>I139/I146</f>
        <v>#DIV/0!</v>
      </c>
      <c r="J132" s="108" t="e">
        <f>J139/J146</f>
        <v>#DIV/0!</v>
      </c>
      <c r="K132" s="108" t="e">
        <f>K139/K146</f>
        <v>#DIV/0!</v>
      </c>
      <c r="L132" s="108" t="e">
        <f t="shared" ref="L132:N132" si="154">L139/L146</f>
        <v>#DIV/0!</v>
      </c>
      <c r="M132" s="108" t="e">
        <f t="shared" si="154"/>
        <v>#DIV/0!</v>
      </c>
      <c r="N132" s="108" t="e">
        <f t="shared" si="154"/>
        <v>#DIV/0!</v>
      </c>
      <c r="P132" s="108" t="e">
        <f>P139/P146</f>
        <v>#DIV/0!</v>
      </c>
      <c r="Q132" s="108" t="e">
        <f>Q139/Q146</f>
        <v>#DIV/0!</v>
      </c>
      <c r="R132" s="108" t="e">
        <f>R139/R146</f>
        <v>#DIV/0!</v>
      </c>
      <c r="S132" s="108" t="e">
        <f>S139/S146</f>
        <v>#DIV/0!</v>
      </c>
      <c r="U132" s="108" t="e">
        <f>U139/U146</f>
        <v>#DIV/0!</v>
      </c>
      <c r="V132" s="108" t="e">
        <f>V139/V146</f>
        <v>#DIV/0!</v>
      </c>
      <c r="X132" s="108" t="e">
        <f>X139/X146</f>
        <v>#DIV/0!</v>
      </c>
      <c r="Y132" s="108" t="e">
        <f>Y139/Y146</f>
        <v>#DIV/0!</v>
      </c>
      <c r="AA132" s="108" t="e">
        <f>AA139/AA146</f>
        <v>#DIV/0!</v>
      </c>
      <c r="AB132" s="108" t="e">
        <f>AB139/AB146</f>
        <v>#DIV/0!</v>
      </c>
      <c r="AD132" s="108" t="e">
        <f>AD139/AD146</f>
        <v>#DIV/0!</v>
      </c>
      <c r="AE132" s="108" t="e">
        <f>AE139/AE146</f>
        <v>#DIV/0!</v>
      </c>
      <c r="AG132" s="108" t="e">
        <f>AG139/AG146</f>
        <v>#DIV/0!</v>
      </c>
      <c r="AH132" s="108" t="e">
        <f>AH139/AH146</f>
        <v>#DIV/0!</v>
      </c>
      <c r="AJ132" s="108" t="e">
        <f>AJ139/AJ146</f>
        <v>#DIV/0!</v>
      </c>
      <c r="AK132" s="108" t="e">
        <f>AK139/AK146</f>
        <v>#DIV/0!</v>
      </c>
      <c r="AM132" s="108" t="e">
        <f>AM139/AM146</f>
        <v>#DIV/0!</v>
      </c>
      <c r="AN132" s="108" t="e">
        <f>AN139/AN146</f>
        <v>#DIV/0!</v>
      </c>
      <c r="AP132" s="108" t="e">
        <f>AP139/AP146</f>
        <v>#DIV/0!</v>
      </c>
      <c r="AQ132" s="108" t="e">
        <f>AQ139/AQ146</f>
        <v>#DIV/0!</v>
      </c>
      <c r="AS132" s="108" t="e">
        <f>AS139/AS146</f>
        <v>#DIV/0!</v>
      </c>
      <c r="AT132" s="108" t="e">
        <f>AT139/AT146</f>
        <v>#DIV/0!</v>
      </c>
      <c r="AV132" s="108" t="e">
        <f>AV139/AV146</f>
        <v>#DIV/0!</v>
      </c>
      <c r="AW132" s="108" t="e">
        <f>AW139/AW146</f>
        <v>#DIV/0!</v>
      </c>
      <c r="AY132" s="108" t="e">
        <f>AY139/AY146</f>
        <v>#DIV/0!</v>
      </c>
      <c r="AZ132" s="108" t="e">
        <f>AZ139/AZ146</f>
        <v>#DIV/0!</v>
      </c>
      <c r="BB132" s="108" t="e">
        <f>BB139/BB146</f>
        <v>#DIV/0!</v>
      </c>
      <c r="BC132" s="108" t="e">
        <f>BC139/BC146</f>
        <v>#DIV/0!</v>
      </c>
      <c r="BE132" s="108" t="e">
        <f>BE139/BE146</f>
        <v>#DIV/0!</v>
      </c>
      <c r="BF132" s="108" t="e">
        <f>BF139/BF146</f>
        <v>#DIV/0!</v>
      </c>
      <c r="BH132" s="108" t="e">
        <f>BH139/BH146</f>
        <v>#DIV/0!</v>
      </c>
      <c r="BI132" s="108" t="e">
        <f>BI139/BI146</f>
        <v>#DIV/0!</v>
      </c>
      <c r="BK132" s="108" t="e">
        <f>BK139/BK146</f>
        <v>#DIV/0!</v>
      </c>
      <c r="BL132" s="108" t="e">
        <f>BL139/BL146</f>
        <v>#DIV/0!</v>
      </c>
      <c r="BN132" s="108" t="e">
        <f>BN139/BN146</f>
        <v>#DIV/0!</v>
      </c>
      <c r="BO132" s="108" t="e">
        <f>BO139/BO146</f>
        <v>#DIV/0!</v>
      </c>
      <c r="BQ132" s="108" t="e">
        <f>BQ139/BQ146</f>
        <v>#DIV/0!</v>
      </c>
      <c r="BR132" s="108" t="e">
        <f>BR139/BR146</f>
        <v>#DIV/0!</v>
      </c>
      <c r="BT132" s="108" t="e">
        <f>BT139/BT146</f>
        <v>#DIV/0!</v>
      </c>
      <c r="BU132" s="108" t="e">
        <f>BU139/BU146</f>
        <v>#DIV/0!</v>
      </c>
      <c r="BW132" s="108" t="e">
        <f>BW139/BW146</f>
        <v>#DIV/0!</v>
      </c>
      <c r="BX132" s="108" t="e">
        <f>BX139/BX146</f>
        <v>#DIV/0!</v>
      </c>
      <c r="BZ132" s="108" t="e">
        <f>BZ139/BZ146</f>
        <v>#DIV/0!</v>
      </c>
      <c r="CA132" s="108" t="e">
        <f>CA139/CA146</f>
        <v>#DIV/0!</v>
      </c>
      <c r="CC132" s="108" t="e">
        <f>CC139/CC146</f>
        <v>#DIV/0!</v>
      </c>
      <c r="CD132" s="108" t="e">
        <f>CD139/CD146</f>
        <v>#DIV/0!</v>
      </c>
      <c r="CF132" s="108" t="e">
        <f>CF139/CF146</f>
        <v>#DIV/0!</v>
      </c>
      <c r="CG132" s="108" t="e">
        <f>CG139/CG146</f>
        <v>#DIV/0!</v>
      </c>
      <c r="CI132" s="108" t="e">
        <f>CI139/CI146</f>
        <v>#DIV/0!</v>
      </c>
      <c r="CJ132" s="108" t="e">
        <f>CJ139/CJ146</f>
        <v>#DIV/0!</v>
      </c>
    </row>
    <row r="133" spans="1:88" x14ac:dyDescent="0.25">
      <c r="A133" s="95"/>
      <c r="B133" s="354" t="s">
        <v>1756</v>
      </c>
      <c r="C133" s="95"/>
      <c r="D133" s="95"/>
      <c r="E133" s="108"/>
      <c r="F133" s="108"/>
      <c r="G133" s="108"/>
      <c r="H133" s="108"/>
      <c r="I133" s="359"/>
      <c r="J133" s="359"/>
      <c r="K133" s="359"/>
      <c r="L133" s="359"/>
      <c r="M133" s="359"/>
      <c r="N133" s="359"/>
    </row>
    <row r="134" spans="1:88" ht="30" x14ac:dyDescent="0.25">
      <c r="A134" s="95"/>
      <c r="B134" s="96" t="s">
        <v>1764</v>
      </c>
      <c r="C134" s="95" t="s">
        <v>1774</v>
      </c>
      <c r="D134" s="95" t="s">
        <v>950</v>
      </c>
      <c r="E134" s="108"/>
      <c r="F134" s="108"/>
      <c r="G134" s="108"/>
      <c r="H134" s="108"/>
      <c r="I134" s="357">
        <f>I135+I136</f>
        <v>2118</v>
      </c>
      <c r="J134" s="357">
        <f>J135+J136</f>
        <v>2064</v>
      </c>
      <c r="K134" s="357">
        <f>K135+K136</f>
        <v>1911</v>
      </c>
      <c r="L134" s="357">
        <f t="shared" ref="L134:N134" si="155">L135+L136</f>
        <v>0</v>
      </c>
      <c r="M134" s="357">
        <f t="shared" si="155"/>
        <v>0</v>
      </c>
      <c r="N134" s="357">
        <f t="shared" si="155"/>
        <v>0</v>
      </c>
      <c r="P134" s="103">
        <f>P135+P136</f>
        <v>1911</v>
      </c>
      <c r="Q134" s="103">
        <f>Q135+Q136</f>
        <v>1120</v>
      </c>
      <c r="R134" s="103">
        <f>R135+R136</f>
        <v>205</v>
      </c>
      <c r="S134" s="103">
        <f>S135+S136</f>
        <v>227</v>
      </c>
      <c r="T134" s="286"/>
      <c r="U134" s="103">
        <f>U135+U136</f>
        <v>53</v>
      </c>
      <c r="V134" s="103">
        <f>V135+V136</f>
        <v>54</v>
      </c>
      <c r="W134" s="286"/>
      <c r="X134" s="103">
        <f>X135+X136</f>
        <v>32</v>
      </c>
      <c r="Y134" s="103">
        <f>Y135+Y136</f>
        <v>26</v>
      </c>
      <c r="Z134" s="286"/>
      <c r="AA134" s="103">
        <f>AA135+AA136</f>
        <v>0</v>
      </c>
      <c r="AB134" s="103">
        <f>AB135+AB136</f>
        <v>0</v>
      </c>
      <c r="AC134" s="286"/>
      <c r="AD134" s="103">
        <f>AD135+AD136</f>
        <v>404</v>
      </c>
      <c r="AE134" s="103">
        <f>AE135+AE136</f>
        <v>258</v>
      </c>
      <c r="AF134" s="286"/>
      <c r="AG134" s="103">
        <f>AG135+AG136</f>
        <v>0</v>
      </c>
      <c r="AH134" s="103">
        <f>AH135+AH136</f>
        <v>0</v>
      </c>
      <c r="AI134" s="286"/>
      <c r="AJ134" s="103">
        <f>AJ135+AJ136</f>
        <v>282</v>
      </c>
      <c r="AK134" s="103">
        <f>AK135+AK136</f>
        <v>243</v>
      </c>
      <c r="AL134" s="286"/>
      <c r="AM134" s="103">
        <f>AM135+AM136</f>
        <v>44</v>
      </c>
      <c r="AN134" s="103">
        <f>AN135+AN136</f>
        <v>25</v>
      </c>
      <c r="AO134" s="286"/>
      <c r="AP134" s="103">
        <f>AP135+AP136</f>
        <v>0</v>
      </c>
      <c r="AQ134" s="103">
        <f>AQ135+AQ136</f>
        <v>0</v>
      </c>
      <c r="AR134" s="286"/>
      <c r="AS134" s="103">
        <f>AS135+AS136</f>
        <v>0</v>
      </c>
      <c r="AT134" s="103">
        <f>AT135+AT136</f>
        <v>0</v>
      </c>
      <c r="AU134" s="286"/>
      <c r="AV134" s="103">
        <f>AV135+AV136</f>
        <v>0</v>
      </c>
      <c r="AW134" s="103">
        <f>AW135+AW136</f>
        <v>0</v>
      </c>
      <c r="AX134" s="286"/>
      <c r="AY134" s="103">
        <f>AY135+AY136</f>
        <v>0</v>
      </c>
      <c r="AZ134" s="103">
        <f>AZ135+AZ136</f>
        <v>0</v>
      </c>
      <c r="BA134" s="286"/>
      <c r="BB134" s="103">
        <f>BB135+BB136</f>
        <v>133</v>
      </c>
      <c r="BC134" s="103">
        <f>BC135+BC136</f>
        <v>63</v>
      </c>
      <c r="BD134" s="286"/>
      <c r="BE134" s="103">
        <f>BE135+BE136</f>
        <v>85</v>
      </c>
      <c r="BF134" s="103">
        <f>BF135+BF136</f>
        <v>55</v>
      </c>
      <c r="BG134" s="286"/>
      <c r="BH134" s="103">
        <f>BH135+BH136</f>
        <v>619</v>
      </c>
      <c r="BI134" s="103">
        <f>BI135+BI136</f>
        <v>129</v>
      </c>
      <c r="BJ134" s="286"/>
      <c r="BK134" s="103">
        <f>BK135+BK136</f>
        <v>0</v>
      </c>
      <c r="BL134" s="103">
        <f>BL135+BL136</f>
        <v>0</v>
      </c>
      <c r="BM134" s="286"/>
      <c r="BN134" s="103">
        <f>BN135+BN136</f>
        <v>0</v>
      </c>
      <c r="BO134" s="103">
        <f>BO135+BO136</f>
        <v>0</v>
      </c>
      <c r="BP134" s="286"/>
      <c r="BQ134" s="103">
        <f>BQ135+BQ136</f>
        <v>0</v>
      </c>
      <c r="BR134" s="103">
        <f>BR135+BR136</f>
        <v>0</v>
      </c>
      <c r="BS134" s="286"/>
      <c r="BT134" s="103">
        <f>BT135+BT136</f>
        <v>0</v>
      </c>
      <c r="BU134" s="103">
        <f>BU135+BU136</f>
        <v>0</v>
      </c>
      <c r="BV134" s="286"/>
      <c r="BW134" s="103">
        <f>BW135+BW136</f>
        <v>0</v>
      </c>
      <c r="BX134" s="103">
        <f>BX135+BX136</f>
        <v>0</v>
      </c>
      <c r="BY134" s="286"/>
      <c r="BZ134" s="103">
        <f>BZ135+BZ136</f>
        <v>14</v>
      </c>
      <c r="CA134" s="103">
        <f>CA135+CA136</f>
        <v>0</v>
      </c>
      <c r="CB134" s="286"/>
      <c r="CC134" s="103">
        <f>CC135+CC136</f>
        <v>40</v>
      </c>
      <c r="CD134" s="103">
        <f>CD135+CD136</f>
        <v>40</v>
      </c>
      <c r="CE134" s="286"/>
      <c r="CF134" s="103">
        <f>CF135+CF136</f>
        <v>0</v>
      </c>
      <c r="CG134" s="103">
        <f>CG135+CG136</f>
        <v>0</v>
      </c>
      <c r="CH134" s="286"/>
      <c r="CI134" s="103">
        <f>CI135+CI136</f>
        <v>0</v>
      </c>
      <c r="CJ134" s="103">
        <f>CJ135+CJ136</f>
        <v>0</v>
      </c>
    </row>
    <row r="135" spans="1:88" x14ac:dyDescent="0.25">
      <c r="A135" s="95"/>
      <c r="B135" s="96" t="s">
        <v>1183</v>
      </c>
      <c r="C135" s="95"/>
      <c r="D135" s="95"/>
      <c r="E135" s="108"/>
      <c r="F135" s="108"/>
      <c r="G135" s="108"/>
      <c r="H135" s="108"/>
      <c r="I135" s="357">
        <v>1969</v>
      </c>
      <c r="J135" s="357">
        <v>1890</v>
      </c>
      <c r="K135" s="357">
        <v>1733</v>
      </c>
      <c r="L135" s="357">
        <v>0</v>
      </c>
      <c r="M135" s="357">
        <v>0</v>
      </c>
      <c r="N135" s="357">
        <v>0</v>
      </c>
      <c r="P135" s="286">
        <f>R135+U135+X135+AA135+AD135+AG135+AJ135+AM135+AP135+AS135+AV135+AY135+BB135+BE135+BH135+BK135+BN135+BQ135+BT135+BW135+BZ135+CC135+CF135+CI135</f>
        <v>1733</v>
      </c>
      <c r="Q135" s="286">
        <f>S135+V135+Y135+AB135+AE135+AH135+AK135+AN135+AQ135+AT135+AW135+AZ135+BC135+BF135+BI135+BL135+BO135+BR135+BU135+BX135+CA135+CD135+CG135+CJ135</f>
        <v>927</v>
      </c>
      <c r="R135" s="286">
        <v>88</v>
      </c>
      <c r="S135" s="286">
        <v>81</v>
      </c>
      <c r="T135" s="286"/>
      <c r="U135" s="286">
        <v>21</v>
      </c>
      <c r="V135" s="286">
        <v>29</v>
      </c>
      <c r="W135" s="286"/>
      <c r="X135" s="286">
        <v>27</v>
      </c>
      <c r="Y135" s="286">
        <v>15</v>
      </c>
      <c r="Z135" s="286"/>
      <c r="AA135" s="286">
        <v>0</v>
      </c>
      <c r="AB135" s="286">
        <v>0</v>
      </c>
      <c r="AC135" s="286"/>
      <c r="AD135" s="286">
        <v>404</v>
      </c>
      <c r="AE135" s="286">
        <v>258</v>
      </c>
      <c r="AF135" s="286"/>
      <c r="AG135" s="286">
        <v>0</v>
      </c>
      <c r="AH135" s="286">
        <v>0</v>
      </c>
      <c r="AI135" s="286">
        <f>AH135-AH136</f>
        <v>0</v>
      </c>
      <c r="AJ135" s="286">
        <v>267</v>
      </c>
      <c r="AK135" s="286">
        <v>235</v>
      </c>
      <c r="AL135" s="286"/>
      <c r="AM135" s="286">
        <v>35</v>
      </c>
      <c r="AN135" s="286">
        <v>22</v>
      </c>
      <c r="AO135" s="286"/>
      <c r="AP135" s="286">
        <v>0</v>
      </c>
      <c r="AQ135" s="286">
        <v>0</v>
      </c>
      <c r="AR135" s="286"/>
      <c r="AS135" s="286">
        <v>0</v>
      </c>
      <c r="AT135" s="286">
        <v>0</v>
      </c>
      <c r="AU135" s="286"/>
      <c r="AV135" s="286">
        <v>0</v>
      </c>
      <c r="AW135" s="286">
        <v>0</v>
      </c>
      <c r="AX135" s="286"/>
      <c r="AY135" s="286">
        <v>0</v>
      </c>
      <c r="AZ135" s="286">
        <v>0</v>
      </c>
      <c r="BA135" s="286"/>
      <c r="BB135" s="286">
        <v>133</v>
      </c>
      <c r="BC135" s="286">
        <v>63</v>
      </c>
      <c r="BD135" s="286"/>
      <c r="BE135" s="286">
        <v>85</v>
      </c>
      <c r="BF135" s="286">
        <v>55</v>
      </c>
      <c r="BG135" s="286"/>
      <c r="BH135" s="286">
        <v>619</v>
      </c>
      <c r="BI135" s="286">
        <v>129</v>
      </c>
      <c r="BJ135" s="286"/>
      <c r="BK135" s="286">
        <v>0</v>
      </c>
      <c r="BL135" s="286">
        <v>0</v>
      </c>
      <c r="BM135" s="286"/>
      <c r="BN135" s="286">
        <v>0</v>
      </c>
      <c r="BO135" s="286">
        <v>0</v>
      </c>
      <c r="BP135" s="286"/>
      <c r="BQ135" s="286">
        <v>0</v>
      </c>
      <c r="BR135" s="286">
        <v>0</v>
      </c>
      <c r="BS135" s="286"/>
      <c r="BT135" s="286">
        <v>0</v>
      </c>
      <c r="BU135" s="286">
        <v>0</v>
      </c>
      <c r="BV135" s="286"/>
      <c r="BW135" s="286">
        <v>0</v>
      </c>
      <c r="BX135" s="286">
        <v>0</v>
      </c>
      <c r="BY135" s="286"/>
      <c r="BZ135" s="286">
        <v>14</v>
      </c>
      <c r="CA135" s="286">
        <v>0</v>
      </c>
      <c r="CB135" s="286"/>
      <c r="CC135" s="286">
        <v>40</v>
      </c>
      <c r="CD135" s="286">
        <v>40</v>
      </c>
      <c r="CE135" s="286"/>
      <c r="CF135" s="286">
        <v>0</v>
      </c>
      <c r="CG135" s="286">
        <v>0</v>
      </c>
      <c r="CH135" s="286"/>
      <c r="CI135" s="286">
        <v>0</v>
      </c>
      <c r="CJ135" s="286">
        <v>0</v>
      </c>
    </row>
    <row r="136" spans="1:88" x14ac:dyDescent="0.25">
      <c r="A136" s="95"/>
      <c r="B136" s="96" t="s">
        <v>1185</v>
      </c>
      <c r="C136" s="95"/>
      <c r="D136" s="95"/>
      <c r="E136" s="108"/>
      <c r="F136" s="108"/>
      <c r="G136" s="108"/>
      <c r="H136" s="108"/>
      <c r="I136" s="357">
        <v>149</v>
      </c>
      <c r="J136" s="357">
        <v>174</v>
      </c>
      <c r="K136" s="357">
        <v>178</v>
      </c>
      <c r="L136" s="357">
        <v>0</v>
      </c>
      <c r="M136" s="357">
        <v>0</v>
      </c>
      <c r="N136" s="357">
        <v>0</v>
      </c>
      <c r="P136" s="286">
        <f>R136+U136+X136+AA136+AD136+AG136+AJ136+AM136+AP136+AS136+AV136+AY136+BB136+BE136+BH136+BK136+BN136+BQ136+BT136+BW136+BZ136+CC136+CF136+CI136</f>
        <v>178</v>
      </c>
      <c r="Q136" s="286">
        <f>S136+V136+Y136+AB136+AE136+AH136+AK136+AN136+AQ136+AT136+AW136+AZ136+BC136+BF136+BI136+BL136+BO136+BR136+BU136+BX136+CA136+CD136+CG136+CJ136</f>
        <v>193</v>
      </c>
      <c r="R136" s="286">
        <v>117</v>
      </c>
      <c r="S136" s="286">
        <v>146</v>
      </c>
      <c r="T136" s="286"/>
      <c r="U136" s="286">
        <v>32</v>
      </c>
      <c r="V136" s="286">
        <v>25</v>
      </c>
      <c r="W136" s="286"/>
      <c r="X136" s="286">
        <v>5</v>
      </c>
      <c r="Y136" s="286">
        <v>11</v>
      </c>
      <c r="Z136" s="286"/>
      <c r="AA136" s="286">
        <v>0</v>
      </c>
      <c r="AB136" s="286">
        <v>0</v>
      </c>
      <c r="AC136" s="286"/>
      <c r="AD136" s="286">
        <v>0</v>
      </c>
      <c r="AE136" s="286">
        <v>0</v>
      </c>
      <c r="AF136" s="286"/>
      <c r="AG136" s="286">
        <v>0</v>
      </c>
      <c r="AH136" s="286">
        <v>0</v>
      </c>
      <c r="AI136" s="286"/>
      <c r="AJ136" s="286">
        <v>15</v>
      </c>
      <c r="AK136" s="286">
        <v>8</v>
      </c>
      <c r="AL136" s="286"/>
      <c r="AM136" s="286">
        <v>9</v>
      </c>
      <c r="AN136" s="286">
        <v>3</v>
      </c>
      <c r="AO136" s="286"/>
      <c r="AP136" s="286">
        <v>0</v>
      </c>
      <c r="AQ136" s="286">
        <v>0</v>
      </c>
      <c r="AR136" s="286"/>
      <c r="AS136" s="286">
        <v>0</v>
      </c>
      <c r="AT136" s="286">
        <v>0</v>
      </c>
      <c r="AU136" s="286"/>
      <c r="AV136" s="286">
        <v>0</v>
      </c>
      <c r="AW136" s="286">
        <v>0</v>
      </c>
      <c r="AX136" s="286"/>
      <c r="AY136" s="286">
        <v>0</v>
      </c>
      <c r="AZ136" s="286">
        <v>0</v>
      </c>
      <c r="BA136" s="286"/>
      <c r="BB136" s="286">
        <v>0</v>
      </c>
      <c r="BC136" s="286">
        <v>0</v>
      </c>
      <c r="BD136" s="286"/>
      <c r="BE136" s="286">
        <v>0</v>
      </c>
      <c r="BF136" s="286">
        <v>0</v>
      </c>
      <c r="BG136" s="286"/>
      <c r="BH136" s="286">
        <v>0</v>
      </c>
      <c r="BI136" s="286">
        <v>0</v>
      </c>
      <c r="BJ136" s="286"/>
      <c r="BK136" s="286">
        <v>0</v>
      </c>
      <c r="BL136" s="286">
        <v>0</v>
      </c>
      <c r="BM136" s="286"/>
      <c r="BN136" s="286">
        <v>0</v>
      </c>
      <c r="BO136" s="286">
        <v>0</v>
      </c>
      <c r="BP136" s="286"/>
      <c r="BQ136" s="286">
        <v>0</v>
      </c>
      <c r="BR136" s="286">
        <v>0</v>
      </c>
      <c r="BS136" s="286"/>
      <c r="BT136" s="286">
        <v>0</v>
      </c>
      <c r="BU136" s="286">
        <v>0</v>
      </c>
      <c r="BV136" s="286"/>
      <c r="BW136" s="286">
        <v>0</v>
      </c>
      <c r="BX136" s="286">
        <v>0</v>
      </c>
      <c r="BY136" s="286"/>
      <c r="BZ136" s="286">
        <v>0</v>
      </c>
      <c r="CA136" s="286">
        <v>0</v>
      </c>
      <c r="CB136" s="286"/>
      <c r="CC136" s="286">
        <v>0</v>
      </c>
      <c r="CD136" s="286">
        <v>0</v>
      </c>
      <c r="CE136" s="286"/>
      <c r="CF136" s="286">
        <v>0</v>
      </c>
      <c r="CG136" s="286">
        <v>0</v>
      </c>
      <c r="CH136" s="286"/>
      <c r="CI136" s="286">
        <v>0</v>
      </c>
      <c r="CJ136" s="286">
        <v>0</v>
      </c>
    </row>
    <row r="137" spans="1:88" ht="30" x14ac:dyDescent="0.25">
      <c r="A137" s="95"/>
      <c r="B137" s="96" t="s">
        <v>1765</v>
      </c>
      <c r="C137" s="95" t="s">
        <v>1775</v>
      </c>
      <c r="D137" s="95" t="s">
        <v>950</v>
      </c>
      <c r="E137" s="108"/>
      <c r="F137" s="108"/>
      <c r="G137" s="108"/>
      <c r="H137" s="108"/>
      <c r="I137" s="357">
        <f>I138+I139</f>
        <v>94</v>
      </c>
      <c r="J137" s="357">
        <f>J138+J139</f>
        <v>93</v>
      </c>
      <c r="K137" s="357">
        <f>K138+K139</f>
        <v>1</v>
      </c>
      <c r="L137" s="357">
        <f t="shared" ref="L137:N137" si="156">L138+L139</f>
        <v>0</v>
      </c>
      <c r="M137" s="357">
        <f t="shared" si="156"/>
        <v>0</v>
      </c>
      <c r="N137" s="357">
        <f t="shared" si="156"/>
        <v>0</v>
      </c>
      <c r="P137" s="103">
        <f>P138+P139</f>
        <v>1</v>
      </c>
      <c r="Q137" s="103">
        <f>Q138+Q139</f>
        <v>1</v>
      </c>
      <c r="R137" s="103">
        <f>R138+R139</f>
        <v>0</v>
      </c>
      <c r="S137" s="103">
        <f>S138+S139</f>
        <v>0</v>
      </c>
      <c r="T137" s="286"/>
      <c r="U137" s="103">
        <f>U138+U139</f>
        <v>0</v>
      </c>
      <c r="V137" s="103">
        <f>V138+V139</f>
        <v>0</v>
      </c>
      <c r="W137" s="286"/>
      <c r="X137" s="103">
        <f>X138+X139</f>
        <v>0</v>
      </c>
      <c r="Y137" s="103">
        <f>Y138+Y139</f>
        <v>0</v>
      </c>
      <c r="Z137" s="286"/>
      <c r="AA137" s="103">
        <f>AA138+AA139</f>
        <v>0</v>
      </c>
      <c r="AB137" s="103">
        <f>AB138+AB139</f>
        <v>0</v>
      </c>
      <c r="AC137" s="286"/>
      <c r="AD137" s="103">
        <f>AD138+AD139</f>
        <v>0</v>
      </c>
      <c r="AE137" s="103">
        <f>AE138+AE139</f>
        <v>0</v>
      </c>
      <c r="AF137" s="286"/>
      <c r="AG137" s="103">
        <f>AG138+AG139</f>
        <v>0</v>
      </c>
      <c r="AH137" s="103">
        <f>AH138+AH139</f>
        <v>0</v>
      </c>
      <c r="AI137" s="286"/>
      <c r="AJ137" s="103">
        <f>AJ138+AJ139</f>
        <v>0</v>
      </c>
      <c r="AK137" s="103">
        <f>AK138+AK139</f>
        <v>0</v>
      </c>
      <c r="AL137" s="286"/>
      <c r="AM137" s="103">
        <f>AM138+AM139</f>
        <v>0</v>
      </c>
      <c r="AN137" s="103">
        <f>AN138+AN139</f>
        <v>0</v>
      </c>
      <c r="AO137" s="286"/>
      <c r="AP137" s="103">
        <f>AP138+AP139</f>
        <v>0</v>
      </c>
      <c r="AQ137" s="103">
        <f>AQ138+AQ139</f>
        <v>0</v>
      </c>
      <c r="AR137" s="286"/>
      <c r="AS137" s="103">
        <f>AS138+AS139</f>
        <v>0</v>
      </c>
      <c r="AT137" s="103">
        <f>AT138+AT139</f>
        <v>0</v>
      </c>
      <c r="AU137" s="286"/>
      <c r="AV137" s="103">
        <f>AV138+AV139</f>
        <v>0</v>
      </c>
      <c r="AW137" s="103">
        <f>AW138+AW139</f>
        <v>0</v>
      </c>
      <c r="AX137" s="286"/>
      <c r="AY137" s="103">
        <f>AY138+AY139</f>
        <v>0</v>
      </c>
      <c r="AZ137" s="103">
        <f>AZ138+AZ139</f>
        <v>0</v>
      </c>
      <c r="BA137" s="286"/>
      <c r="BB137" s="103">
        <f>BB138+BB139</f>
        <v>0</v>
      </c>
      <c r="BC137" s="103">
        <f>BC138+BC139</f>
        <v>0</v>
      </c>
      <c r="BD137" s="286"/>
      <c r="BE137" s="103">
        <f>BE138+BE139</f>
        <v>0</v>
      </c>
      <c r="BF137" s="103">
        <f>BF138+BF139</f>
        <v>0</v>
      </c>
      <c r="BG137" s="286"/>
      <c r="BH137" s="103">
        <f>BH138+BH139</f>
        <v>0</v>
      </c>
      <c r="BI137" s="103">
        <f>BI138+BI139</f>
        <v>0</v>
      </c>
      <c r="BJ137" s="286"/>
      <c r="BK137" s="103">
        <f>BK138+BK139</f>
        <v>0</v>
      </c>
      <c r="BL137" s="103">
        <f>BL138+BL139</f>
        <v>0</v>
      </c>
      <c r="BM137" s="286"/>
      <c r="BN137" s="103">
        <f>BN138+BN139</f>
        <v>0</v>
      </c>
      <c r="BO137" s="103">
        <f>BO138+BO139</f>
        <v>0</v>
      </c>
      <c r="BP137" s="286"/>
      <c r="BQ137" s="103">
        <f>BQ138+BQ139</f>
        <v>0</v>
      </c>
      <c r="BR137" s="103">
        <f>BR138+BR139</f>
        <v>0</v>
      </c>
      <c r="BS137" s="286"/>
      <c r="BT137" s="103">
        <f>BT138+BT139</f>
        <v>0</v>
      </c>
      <c r="BU137" s="103">
        <f>BU138+BU139</f>
        <v>0</v>
      </c>
      <c r="BV137" s="286"/>
      <c r="BW137" s="103">
        <f>BW138+BW139</f>
        <v>0</v>
      </c>
      <c r="BX137" s="103">
        <f>BX138+BX139</f>
        <v>0</v>
      </c>
      <c r="BY137" s="286"/>
      <c r="BZ137" s="103">
        <f>BZ138+BZ139</f>
        <v>0</v>
      </c>
      <c r="CA137" s="103">
        <f>CA138+CA139</f>
        <v>0</v>
      </c>
      <c r="CB137" s="286"/>
      <c r="CC137" s="103">
        <f>CC138+CC139</f>
        <v>0</v>
      </c>
      <c r="CD137" s="103">
        <f>CD138+CD139</f>
        <v>0</v>
      </c>
      <c r="CE137" s="286"/>
      <c r="CF137" s="103">
        <f>CF138+CF139</f>
        <v>1</v>
      </c>
      <c r="CG137" s="103">
        <f>CG138+CG139</f>
        <v>1</v>
      </c>
      <c r="CH137" s="286"/>
      <c r="CI137" s="103">
        <f>CI138+CI139</f>
        <v>0</v>
      </c>
      <c r="CJ137" s="103">
        <f>CJ138+CJ139</f>
        <v>0</v>
      </c>
    </row>
    <row r="138" spans="1:88" x14ac:dyDescent="0.25">
      <c r="A138" s="95"/>
      <c r="B138" s="96" t="s">
        <v>1183</v>
      </c>
      <c r="C138" s="95"/>
      <c r="D138" s="95"/>
      <c r="E138" s="108"/>
      <c r="F138" s="108"/>
      <c r="G138" s="108"/>
      <c r="H138" s="108"/>
      <c r="I138" s="357">
        <v>94</v>
      </c>
      <c r="J138" s="357">
        <v>93</v>
      </c>
      <c r="K138" s="357">
        <v>1</v>
      </c>
      <c r="L138" s="357">
        <v>0</v>
      </c>
      <c r="M138" s="357">
        <v>0</v>
      </c>
      <c r="N138" s="357">
        <v>0</v>
      </c>
      <c r="P138" s="286">
        <f>R138+U138+X138+AA138+AD138+AG138+AJ138+AM138+AP138+AS138+AV138+AY138+BB138+BE138+BH138+BK138+BN138+BQ138+BT138+BW138+BZ138+CC138+CF138+CI138</f>
        <v>1</v>
      </c>
      <c r="Q138" s="286">
        <f>S138+V138+Y138+AB138+AE138+AH138+AK138+AN138+AQ138+AT138+AW138+AZ138+BC138+BF138+BI138+BL138+BO138+BR138+BU138+BX138+CA138+CD138+CG138+CJ138</f>
        <v>1</v>
      </c>
      <c r="R138" s="286">
        <v>0</v>
      </c>
      <c r="S138" s="286">
        <v>0</v>
      </c>
      <c r="T138" s="286"/>
      <c r="U138" s="286">
        <v>0</v>
      </c>
      <c r="V138" s="286">
        <v>0</v>
      </c>
      <c r="W138" s="286"/>
      <c r="X138" s="286">
        <v>0</v>
      </c>
      <c r="Y138" s="286">
        <v>0</v>
      </c>
      <c r="Z138" s="286"/>
      <c r="AA138" s="286">
        <v>0</v>
      </c>
      <c r="AB138" s="286">
        <v>0</v>
      </c>
      <c r="AC138" s="286"/>
      <c r="AD138" s="286">
        <v>0</v>
      </c>
      <c r="AE138" s="286">
        <v>0</v>
      </c>
      <c r="AF138" s="286"/>
      <c r="AG138" s="286">
        <v>0</v>
      </c>
      <c r="AH138" s="286">
        <v>0</v>
      </c>
      <c r="AI138" s="286"/>
      <c r="AJ138" s="286">
        <v>0</v>
      </c>
      <c r="AK138" s="286">
        <v>0</v>
      </c>
      <c r="AL138" s="286"/>
      <c r="AM138" s="286">
        <v>0</v>
      </c>
      <c r="AN138" s="286">
        <v>0</v>
      </c>
      <c r="AO138" s="286"/>
      <c r="AP138" s="286">
        <v>0</v>
      </c>
      <c r="AQ138" s="286">
        <v>0</v>
      </c>
      <c r="AR138" s="286"/>
      <c r="AS138" s="286">
        <v>0</v>
      </c>
      <c r="AT138" s="286">
        <v>0</v>
      </c>
      <c r="AU138" s="286"/>
      <c r="AV138" s="286">
        <v>0</v>
      </c>
      <c r="AW138" s="286">
        <v>0</v>
      </c>
      <c r="AX138" s="286"/>
      <c r="AY138" s="286">
        <v>0</v>
      </c>
      <c r="AZ138" s="286">
        <v>0</v>
      </c>
      <c r="BA138" s="286"/>
      <c r="BB138" s="286">
        <v>0</v>
      </c>
      <c r="BC138" s="286">
        <v>0</v>
      </c>
      <c r="BD138" s="286"/>
      <c r="BE138" s="286">
        <v>0</v>
      </c>
      <c r="BF138" s="286">
        <v>0</v>
      </c>
      <c r="BG138" s="286"/>
      <c r="BH138" s="286">
        <v>0</v>
      </c>
      <c r="BI138" s="286">
        <v>0</v>
      </c>
      <c r="BJ138" s="286"/>
      <c r="BK138" s="286">
        <v>0</v>
      </c>
      <c r="BL138" s="286">
        <v>0</v>
      </c>
      <c r="BM138" s="286"/>
      <c r="BN138" s="286">
        <v>0</v>
      </c>
      <c r="BO138" s="286">
        <v>0</v>
      </c>
      <c r="BP138" s="286"/>
      <c r="BQ138" s="286">
        <v>0</v>
      </c>
      <c r="BR138" s="286">
        <v>0</v>
      </c>
      <c r="BS138" s="286"/>
      <c r="BT138" s="286">
        <v>0</v>
      </c>
      <c r="BU138" s="286">
        <v>0</v>
      </c>
      <c r="BV138" s="286"/>
      <c r="BW138" s="286">
        <v>0</v>
      </c>
      <c r="BX138" s="286">
        <v>0</v>
      </c>
      <c r="BY138" s="286"/>
      <c r="BZ138" s="286">
        <v>0</v>
      </c>
      <c r="CA138" s="286">
        <v>0</v>
      </c>
      <c r="CB138" s="286"/>
      <c r="CC138" s="286">
        <v>0</v>
      </c>
      <c r="CD138" s="286">
        <v>0</v>
      </c>
      <c r="CE138" s="286"/>
      <c r="CF138" s="286">
        <v>1</v>
      </c>
      <c r="CG138" s="286">
        <v>1</v>
      </c>
      <c r="CH138" s="286"/>
      <c r="CI138" s="286">
        <v>0</v>
      </c>
      <c r="CJ138" s="286">
        <v>0</v>
      </c>
    </row>
    <row r="139" spans="1:88" x14ac:dyDescent="0.25">
      <c r="A139" s="95"/>
      <c r="B139" s="96" t="s">
        <v>1185</v>
      </c>
      <c r="C139" s="95"/>
      <c r="D139" s="95"/>
      <c r="E139" s="108"/>
      <c r="F139" s="108"/>
      <c r="G139" s="108"/>
      <c r="H139" s="108"/>
      <c r="I139" s="357">
        <v>0</v>
      </c>
      <c r="J139" s="357">
        <v>0</v>
      </c>
      <c r="K139" s="357">
        <v>0</v>
      </c>
      <c r="L139" s="357">
        <v>0</v>
      </c>
      <c r="M139" s="357">
        <v>0</v>
      </c>
      <c r="N139" s="357">
        <v>0</v>
      </c>
      <c r="P139" s="286">
        <f>R139+U139+X139+AA139+AD139+AG139+AJ139+AM139+AP139+AS139+AV139+AY139+BB139+BE139+BH139+BK139+BN139+BQ139+BT139+BW139+BZ139+CC139+CF139+CI139</f>
        <v>0</v>
      </c>
      <c r="Q139" s="286">
        <f>S139+V139+Y139+AB139+AE139+AH139+AK139+AN139+AQ139+AT139+AW139+AZ139+BC139+BF139+BI139+BL139+BO139+BR139+BU139+BX139+CA139+CD139+CG139+CJ139</f>
        <v>0</v>
      </c>
      <c r="R139" s="286">
        <v>0</v>
      </c>
      <c r="S139" s="286">
        <v>0</v>
      </c>
      <c r="T139" s="286"/>
      <c r="U139" s="286">
        <v>0</v>
      </c>
      <c r="V139" s="286">
        <v>0</v>
      </c>
      <c r="W139" s="286"/>
      <c r="X139" s="286">
        <v>0</v>
      </c>
      <c r="Y139" s="286">
        <v>0</v>
      </c>
      <c r="Z139" s="286"/>
      <c r="AA139" s="286">
        <v>0</v>
      </c>
      <c r="AB139" s="286">
        <v>0</v>
      </c>
      <c r="AC139" s="286"/>
      <c r="AD139" s="286">
        <v>0</v>
      </c>
      <c r="AE139" s="286">
        <v>0</v>
      </c>
      <c r="AF139" s="286"/>
      <c r="AG139" s="286">
        <v>0</v>
      </c>
      <c r="AH139" s="286">
        <v>0</v>
      </c>
      <c r="AI139" s="286"/>
      <c r="AJ139" s="286">
        <v>0</v>
      </c>
      <c r="AK139" s="286">
        <v>0</v>
      </c>
      <c r="AL139" s="286"/>
      <c r="AM139" s="286">
        <v>0</v>
      </c>
      <c r="AN139" s="286">
        <v>0</v>
      </c>
      <c r="AO139" s="286"/>
      <c r="AP139" s="286">
        <v>0</v>
      </c>
      <c r="AQ139" s="286">
        <v>0</v>
      </c>
      <c r="AR139" s="286"/>
      <c r="AS139" s="286">
        <v>0</v>
      </c>
      <c r="AT139" s="286">
        <v>0</v>
      </c>
      <c r="AU139" s="286"/>
      <c r="AV139" s="286">
        <v>0</v>
      </c>
      <c r="AW139" s="286">
        <v>0</v>
      </c>
      <c r="AX139" s="286"/>
      <c r="AY139" s="286">
        <v>0</v>
      </c>
      <c r="AZ139" s="286">
        <v>0</v>
      </c>
      <c r="BA139" s="286"/>
      <c r="BB139" s="286">
        <v>0</v>
      </c>
      <c r="BC139" s="286">
        <v>0</v>
      </c>
      <c r="BD139" s="286"/>
      <c r="BE139" s="286">
        <v>0</v>
      </c>
      <c r="BF139" s="286">
        <v>0</v>
      </c>
      <c r="BG139" s="286"/>
      <c r="BH139" s="286">
        <v>0</v>
      </c>
      <c r="BI139" s="286">
        <v>0</v>
      </c>
      <c r="BJ139" s="286"/>
      <c r="BK139" s="286">
        <v>0</v>
      </c>
      <c r="BL139" s="286">
        <v>0</v>
      </c>
      <c r="BM139" s="286"/>
      <c r="BN139" s="286">
        <v>0</v>
      </c>
      <c r="BO139" s="286">
        <v>0</v>
      </c>
      <c r="BP139" s="286"/>
      <c r="BQ139" s="286">
        <v>0</v>
      </c>
      <c r="BR139" s="286">
        <v>0</v>
      </c>
      <c r="BS139" s="286"/>
      <c r="BT139" s="286">
        <v>0</v>
      </c>
      <c r="BU139" s="286">
        <v>0</v>
      </c>
      <c r="BV139" s="286"/>
      <c r="BW139" s="286">
        <v>0</v>
      </c>
      <c r="BX139" s="286">
        <v>0</v>
      </c>
      <c r="BY139" s="286"/>
      <c r="BZ139" s="286">
        <v>0</v>
      </c>
      <c r="CA139" s="286">
        <v>0</v>
      </c>
      <c r="CB139" s="286"/>
      <c r="CC139" s="286">
        <v>0</v>
      </c>
      <c r="CD139" s="286">
        <v>0</v>
      </c>
      <c r="CE139" s="286"/>
      <c r="CF139" s="286">
        <v>0</v>
      </c>
      <c r="CG139" s="286">
        <v>0</v>
      </c>
      <c r="CH139" s="286"/>
      <c r="CI139" s="286">
        <v>0</v>
      </c>
      <c r="CJ139" s="286">
        <v>0</v>
      </c>
    </row>
    <row r="140" spans="1:88" x14ac:dyDescent="0.25">
      <c r="A140" s="95"/>
      <c r="B140" s="354" t="s">
        <v>1757</v>
      </c>
      <c r="C140" s="95"/>
      <c r="D140" s="95"/>
      <c r="E140" s="108"/>
      <c r="F140" s="108"/>
      <c r="G140" s="108"/>
      <c r="H140" s="108"/>
      <c r="I140" s="357"/>
      <c r="J140" s="357"/>
      <c r="K140" s="357"/>
      <c r="L140" s="357">
        <v>0</v>
      </c>
      <c r="M140" s="357">
        <v>0</v>
      </c>
      <c r="N140" s="357">
        <v>0</v>
      </c>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c r="CG140" s="286"/>
      <c r="CH140" s="286"/>
      <c r="CI140" s="286"/>
      <c r="CJ140" s="286"/>
    </row>
    <row r="141" spans="1:88" ht="30" x14ac:dyDescent="0.25">
      <c r="A141" s="95"/>
      <c r="B141" s="96" t="s">
        <v>1764</v>
      </c>
      <c r="C141" s="95" t="s">
        <v>1776</v>
      </c>
      <c r="D141" s="95" t="s">
        <v>1763</v>
      </c>
      <c r="E141" s="108"/>
      <c r="F141" s="108"/>
      <c r="G141" s="108"/>
      <c r="H141" s="108"/>
      <c r="I141" s="357">
        <f>I142+I143</f>
        <v>168</v>
      </c>
      <c r="J141" s="357">
        <f>J142+J143</f>
        <v>169</v>
      </c>
      <c r="K141" s="357">
        <f t="shared" ref="K141:N141" si="157">K142+K143</f>
        <v>143</v>
      </c>
      <c r="L141" s="357">
        <f t="shared" si="157"/>
        <v>0</v>
      </c>
      <c r="M141" s="357">
        <f t="shared" si="157"/>
        <v>0</v>
      </c>
      <c r="N141" s="357">
        <f t="shared" si="157"/>
        <v>0</v>
      </c>
      <c r="P141" s="103">
        <f>P142+P143</f>
        <v>147</v>
      </c>
      <c r="Q141" s="103">
        <f>Q142+Q143</f>
        <v>89</v>
      </c>
      <c r="R141" s="103">
        <f>R142+R143</f>
        <v>11</v>
      </c>
      <c r="S141" s="103">
        <f>S142+S143</f>
        <v>11</v>
      </c>
      <c r="T141" s="286"/>
      <c r="U141" s="103">
        <f>U142+U143</f>
        <v>10</v>
      </c>
      <c r="V141" s="103">
        <f>V142+V143</f>
        <v>9</v>
      </c>
      <c r="W141" s="286"/>
      <c r="X141" s="103">
        <f>X142+X143</f>
        <v>4</v>
      </c>
      <c r="Y141" s="103">
        <f>Y142+Y143</f>
        <v>3</v>
      </c>
      <c r="Z141" s="286"/>
      <c r="AA141" s="103">
        <f>AA142+AA143</f>
        <v>0</v>
      </c>
      <c r="AB141" s="103">
        <f>AB142+AB143</f>
        <v>0</v>
      </c>
      <c r="AC141" s="286"/>
      <c r="AD141" s="103">
        <f>AD142+AD143</f>
        <v>17</v>
      </c>
      <c r="AE141" s="103">
        <f>AE142+AE143</f>
        <v>16</v>
      </c>
      <c r="AF141" s="286"/>
      <c r="AG141" s="103">
        <f>AG142+AG143</f>
        <v>0</v>
      </c>
      <c r="AH141" s="103">
        <f>AH142+AH143</f>
        <v>0</v>
      </c>
      <c r="AI141" s="286"/>
      <c r="AJ141" s="103">
        <f>AJ142+AJ143</f>
        <v>22</v>
      </c>
      <c r="AK141" s="103">
        <f>AK142+AK143</f>
        <v>22</v>
      </c>
      <c r="AL141" s="286"/>
      <c r="AM141" s="103">
        <f>AM142+AM143</f>
        <v>7</v>
      </c>
      <c r="AN141" s="103">
        <f>AN142+AN143</f>
        <v>3</v>
      </c>
      <c r="AO141" s="286"/>
      <c r="AP141" s="103">
        <f>AP142+AP143</f>
        <v>0</v>
      </c>
      <c r="AQ141" s="103">
        <f>AQ142+AQ143</f>
        <v>0</v>
      </c>
      <c r="AR141" s="286"/>
      <c r="AS141" s="103">
        <f>AS142+AS143</f>
        <v>0</v>
      </c>
      <c r="AT141" s="103">
        <f>AT142+AT143</f>
        <v>0</v>
      </c>
      <c r="AU141" s="286"/>
      <c r="AV141" s="103">
        <f>AV142+AV143</f>
        <v>0</v>
      </c>
      <c r="AW141" s="103">
        <f>AW142+AW143</f>
        <v>0</v>
      </c>
      <c r="AX141" s="286"/>
      <c r="AY141" s="103">
        <f>AY142+AY143</f>
        <v>0</v>
      </c>
      <c r="AZ141" s="103">
        <f>AZ142+AZ143</f>
        <v>0</v>
      </c>
      <c r="BA141" s="286"/>
      <c r="BB141" s="103">
        <f>BB142+BB143</f>
        <v>6</v>
      </c>
      <c r="BC141" s="103">
        <f>BC142+BC143</f>
        <v>3</v>
      </c>
      <c r="BD141" s="286"/>
      <c r="BE141" s="103">
        <f>BE142+BE143</f>
        <v>7</v>
      </c>
      <c r="BF141" s="103">
        <f>BF142+BF143</f>
        <v>5</v>
      </c>
      <c r="BG141" s="286"/>
      <c r="BH141" s="103">
        <f>BH142+BH143</f>
        <v>58</v>
      </c>
      <c r="BI141" s="103">
        <f>BI142+BI143</f>
        <v>12</v>
      </c>
      <c r="BJ141" s="286"/>
      <c r="BK141" s="103">
        <f>BK142+BK143</f>
        <v>0</v>
      </c>
      <c r="BL141" s="103">
        <f>BL142+BL143</f>
        <v>0</v>
      </c>
      <c r="BM141" s="286"/>
      <c r="BN141" s="103">
        <f>BN142+BN143</f>
        <v>0</v>
      </c>
      <c r="BO141" s="103">
        <f>BO142+BO143</f>
        <v>0</v>
      </c>
      <c r="BP141" s="286"/>
      <c r="BQ141" s="103">
        <f>BQ142+BQ143</f>
        <v>0</v>
      </c>
      <c r="BR141" s="103">
        <f>BR142+BR143</f>
        <v>0</v>
      </c>
      <c r="BS141" s="286"/>
      <c r="BT141" s="103">
        <f>BT142+BT143</f>
        <v>0</v>
      </c>
      <c r="BU141" s="103">
        <f>BU142+BU143</f>
        <v>0</v>
      </c>
      <c r="BV141" s="286"/>
      <c r="BW141" s="103">
        <f>BW142+BW143</f>
        <v>0</v>
      </c>
      <c r="BX141" s="103">
        <f>BX142+BX143</f>
        <v>0</v>
      </c>
      <c r="BY141" s="286"/>
      <c r="BZ141" s="103">
        <f>BZ142+BZ143</f>
        <v>1</v>
      </c>
      <c r="CA141" s="103">
        <f>CA142+CA143</f>
        <v>1</v>
      </c>
      <c r="CB141" s="286"/>
      <c r="CC141" s="103">
        <f>CC142+CC143</f>
        <v>4</v>
      </c>
      <c r="CD141" s="103">
        <f>CD142+CD143</f>
        <v>4</v>
      </c>
      <c r="CE141" s="286"/>
      <c r="CF141" s="103">
        <f>CF142+CF143</f>
        <v>0</v>
      </c>
      <c r="CG141" s="103">
        <f>CG142+CG143</f>
        <v>0</v>
      </c>
      <c r="CH141" s="286"/>
      <c r="CI141" s="103">
        <f>CI142+CI143</f>
        <v>0</v>
      </c>
      <c r="CJ141" s="103">
        <f>CJ142+CJ143</f>
        <v>0</v>
      </c>
    </row>
    <row r="142" spans="1:88" x14ac:dyDescent="0.25">
      <c r="A142" s="95"/>
      <c r="B142" s="96" t="s">
        <v>1183</v>
      </c>
      <c r="C142" s="95"/>
      <c r="D142" s="95"/>
      <c r="E142" s="108"/>
      <c r="F142" s="108"/>
      <c r="G142" s="108"/>
      <c r="H142" s="108"/>
      <c r="I142" s="357">
        <v>157</v>
      </c>
      <c r="J142" s="357">
        <v>155</v>
      </c>
      <c r="K142" s="357">
        <v>127</v>
      </c>
      <c r="L142" s="357">
        <v>0</v>
      </c>
      <c r="M142" s="357">
        <v>0</v>
      </c>
      <c r="N142" s="357">
        <v>0</v>
      </c>
      <c r="P142" s="286">
        <f>R142+U142+X142+AA142+AD142+AG142+AJ142+AM142+AP142+AS142+AV142+AY142+BB142+BE142+BH142+BK142+BN142+BQ142+BT142+BW142+BZ142+CC142+CF142+CI142</f>
        <v>131</v>
      </c>
      <c r="Q142" s="286">
        <f>S142+V142+Y142+AB142+AE142+AH142+AK142+AN142+AQ142+AT142+AW142+AZ142+BC142+BF142+BI142+BL142+BO142+BR142+BU142+BX142+CA142+CD142+CG142+CJ142</f>
        <v>75</v>
      </c>
      <c r="R142" s="286">
        <v>4</v>
      </c>
      <c r="S142" s="286">
        <v>4</v>
      </c>
      <c r="T142" s="286"/>
      <c r="U142" s="286">
        <v>5</v>
      </c>
      <c r="V142" s="286">
        <v>5</v>
      </c>
      <c r="W142" s="286"/>
      <c r="X142" s="286">
        <v>3</v>
      </c>
      <c r="Y142" s="286">
        <v>2</v>
      </c>
      <c r="Z142" s="286"/>
      <c r="AA142" s="286">
        <v>0</v>
      </c>
      <c r="AB142" s="286">
        <v>0</v>
      </c>
      <c r="AC142" s="286"/>
      <c r="AD142" s="286">
        <v>17</v>
      </c>
      <c r="AE142" s="286">
        <v>16</v>
      </c>
      <c r="AF142" s="286"/>
      <c r="AG142" s="286">
        <v>0</v>
      </c>
      <c r="AH142" s="286">
        <v>0</v>
      </c>
      <c r="AI142" s="286">
        <f>AH142-AH143</f>
        <v>0</v>
      </c>
      <c r="AJ142" s="286">
        <v>21</v>
      </c>
      <c r="AK142" s="286">
        <v>21</v>
      </c>
      <c r="AL142" s="286"/>
      <c r="AM142" s="286">
        <v>5</v>
      </c>
      <c r="AN142" s="286">
        <v>2</v>
      </c>
      <c r="AO142" s="286"/>
      <c r="AP142" s="286">
        <v>0</v>
      </c>
      <c r="AQ142" s="286">
        <v>0</v>
      </c>
      <c r="AR142" s="286"/>
      <c r="AS142" s="286">
        <v>0</v>
      </c>
      <c r="AT142" s="286">
        <v>0</v>
      </c>
      <c r="AU142" s="286"/>
      <c r="AV142" s="286">
        <v>0</v>
      </c>
      <c r="AW142" s="286">
        <v>0</v>
      </c>
      <c r="AX142" s="286"/>
      <c r="AY142" s="286">
        <v>0</v>
      </c>
      <c r="AZ142" s="286">
        <v>0</v>
      </c>
      <c r="BA142" s="286"/>
      <c r="BB142" s="286">
        <v>6</v>
      </c>
      <c r="BC142" s="286">
        <v>3</v>
      </c>
      <c r="BD142" s="286"/>
      <c r="BE142" s="286">
        <v>7</v>
      </c>
      <c r="BF142" s="286">
        <v>5</v>
      </c>
      <c r="BG142" s="286"/>
      <c r="BH142" s="286">
        <v>58</v>
      </c>
      <c r="BI142" s="286">
        <v>12</v>
      </c>
      <c r="BJ142" s="286"/>
      <c r="BK142" s="286">
        <v>0</v>
      </c>
      <c r="BL142" s="286">
        <v>0</v>
      </c>
      <c r="BM142" s="286"/>
      <c r="BN142" s="286">
        <v>0</v>
      </c>
      <c r="BO142" s="286">
        <v>0</v>
      </c>
      <c r="BP142" s="286"/>
      <c r="BQ142" s="286">
        <v>0</v>
      </c>
      <c r="BR142" s="286">
        <v>0</v>
      </c>
      <c r="BS142" s="286"/>
      <c r="BT142" s="286">
        <v>0</v>
      </c>
      <c r="BU142" s="286">
        <v>0</v>
      </c>
      <c r="BV142" s="286"/>
      <c r="BW142" s="286">
        <v>0</v>
      </c>
      <c r="BX142" s="286">
        <v>0</v>
      </c>
      <c r="BY142" s="286"/>
      <c r="BZ142" s="286">
        <v>1</v>
      </c>
      <c r="CA142" s="286">
        <v>1</v>
      </c>
      <c r="CB142" s="286"/>
      <c r="CC142" s="286">
        <v>4</v>
      </c>
      <c r="CD142" s="286">
        <v>4</v>
      </c>
      <c r="CE142" s="286"/>
      <c r="CF142" s="286">
        <v>0</v>
      </c>
      <c r="CG142" s="286">
        <v>0</v>
      </c>
      <c r="CH142" s="286"/>
      <c r="CI142" s="286">
        <v>0</v>
      </c>
      <c r="CJ142" s="286">
        <v>0</v>
      </c>
    </row>
    <row r="143" spans="1:88" x14ac:dyDescent="0.25">
      <c r="A143" s="95"/>
      <c r="B143" s="96" t="s">
        <v>1185</v>
      </c>
      <c r="C143" s="95"/>
      <c r="D143" s="95"/>
      <c r="E143" s="108"/>
      <c r="F143" s="108"/>
      <c r="G143" s="108"/>
      <c r="H143" s="108"/>
      <c r="I143" s="357">
        <v>11</v>
      </c>
      <c r="J143" s="357">
        <v>14</v>
      </c>
      <c r="K143" s="357">
        <v>16</v>
      </c>
      <c r="L143" s="357">
        <v>0</v>
      </c>
      <c r="M143" s="357">
        <v>0</v>
      </c>
      <c r="N143" s="357">
        <v>0</v>
      </c>
      <c r="P143" s="286">
        <f>R143+U143+X143+AA143+AD143+AG143+AJ143+AM143+AP143+AS143+AV143+AY143+BB143+BE143+BH143+BK143+BN143+BQ143+BT143+BW143+BZ143+CC143+CF143+CI143</f>
        <v>16</v>
      </c>
      <c r="Q143" s="286">
        <f>S143+V143+Y143+AB143+AE143+AH143+AK143+AN143+AQ143+AT143+AW143+AZ143+BC143+BF143+BI143+BL143+BO143+BR143+BU143+BX143+CA143+CD143+CG143+CJ143</f>
        <v>14</v>
      </c>
      <c r="R143" s="286">
        <v>7</v>
      </c>
      <c r="S143" s="286">
        <v>7</v>
      </c>
      <c r="T143" s="286"/>
      <c r="U143" s="286">
        <v>5</v>
      </c>
      <c r="V143" s="286">
        <v>4</v>
      </c>
      <c r="W143" s="286"/>
      <c r="X143" s="286">
        <v>1</v>
      </c>
      <c r="Y143" s="286">
        <v>1</v>
      </c>
      <c r="Z143" s="286"/>
      <c r="AA143" s="286">
        <v>0</v>
      </c>
      <c r="AB143" s="286">
        <v>0</v>
      </c>
      <c r="AC143" s="286"/>
      <c r="AD143" s="286">
        <v>0</v>
      </c>
      <c r="AE143" s="286">
        <v>0</v>
      </c>
      <c r="AF143" s="286"/>
      <c r="AG143" s="286">
        <v>0</v>
      </c>
      <c r="AH143" s="286">
        <v>0</v>
      </c>
      <c r="AI143" s="286"/>
      <c r="AJ143" s="286">
        <v>1</v>
      </c>
      <c r="AK143" s="286">
        <v>1</v>
      </c>
      <c r="AL143" s="286"/>
      <c r="AM143" s="286">
        <v>2</v>
      </c>
      <c r="AN143" s="286">
        <v>1</v>
      </c>
      <c r="AO143" s="286"/>
      <c r="AP143" s="286">
        <v>0</v>
      </c>
      <c r="AQ143" s="286">
        <v>0</v>
      </c>
      <c r="AR143" s="286"/>
      <c r="AS143" s="286">
        <v>0</v>
      </c>
      <c r="AT143" s="286">
        <v>0</v>
      </c>
      <c r="AU143" s="286"/>
      <c r="AV143" s="286">
        <v>0</v>
      </c>
      <c r="AW143" s="286">
        <v>0</v>
      </c>
      <c r="AX143" s="286"/>
      <c r="AY143" s="286">
        <v>0</v>
      </c>
      <c r="AZ143" s="286">
        <v>0</v>
      </c>
      <c r="BA143" s="286"/>
      <c r="BB143" s="286">
        <v>0</v>
      </c>
      <c r="BC143" s="286">
        <v>0</v>
      </c>
      <c r="BD143" s="286"/>
      <c r="BE143" s="286">
        <v>0</v>
      </c>
      <c r="BF143" s="286">
        <v>0</v>
      </c>
      <c r="BG143" s="286"/>
      <c r="BH143" s="286">
        <v>0</v>
      </c>
      <c r="BI143" s="286">
        <v>0</v>
      </c>
      <c r="BJ143" s="286"/>
      <c r="BK143" s="286">
        <v>0</v>
      </c>
      <c r="BL143" s="286">
        <v>0</v>
      </c>
      <c r="BM143" s="286"/>
      <c r="BN143" s="286">
        <v>0</v>
      </c>
      <c r="BO143" s="286">
        <v>0</v>
      </c>
      <c r="BP143" s="286"/>
      <c r="BQ143" s="286">
        <v>0</v>
      </c>
      <c r="BR143" s="286">
        <v>0</v>
      </c>
      <c r="BS143" s="286"/>
      <c r="BT143" s="286">
        <v>0</v>
      </c>
      <c r="BU143" s="286">
        <v>0</v>
      </c>
      <c r="BV143" s="286"/>
      <c r="BW143" s="286">
        <v>0</v>
      </c>
      <c r="BX143" s="286">
        <v>0</v>
      </c>
      <c r="BY143" s="286"/>
      <c r="BZ143" s="286">
        <v>0</v>
      </c>
      <c r="CA143" s="286">
        <v>0</v>
      </c>
      <c r="CB143" s="286"/>
      <c r="CC143" s="286">
        <v>0</v>
      </c>
      <c r="CD143" s="286">
        <v>0</v>
      </c>
      <c r="CE143" s="286"/>
      <c r="CF143" s="286">
        <v>0</v>
      </c>
      <c r="CG143" s="286">
        <v>0</v>
      </c>
      <c r="CH143" s="286"/>
      <c r="CI143" s="286">
        <v>0</v>
      </c>
      <c r="CJ143" s="286">
        <v>0</v>
      </c>
    </row>
    <row r="144" spans="1:88" ht="30" x14ac:dyDescent="0.25">
      <c r="A144" s="95"/>
      <c r="B144" s="96" t="s">
        <v>1765</v>
      </c>
      <c r="C144" s="95" t="s">
        <v>1777</v>
      </c>
      <c r="D144" s="95" t="s">
        <v>1763</v>
      </c>
      <c r="E144" s="108"/>
      <c r="F144" s="108"/>
      <c r="G144" s="108"/>
      <c r="H144" s="108"/>
      <c r="I144" s="357">
        <f>I145+I146</f>
        <v>9</v>
      </c>
      <c r="J144" s="357">
        <f>J145+J146</f>
        <v>9</v>
      </c>
      <c r="K144" s="357">
        <f>K145+K146</f>
        <v>1</v>
      </c>
      <c r="L144" s="357">
        <f t="shared" ref="L144:N144" si="158">L145+L146</f>
        <v>0</v>
      </c>
      <c r="M144" s="357">
        <f t="shared" si="158"/>
        <v>0</v>
      </c>
      <c r="N144" s="357">
        <f t="shared" si="158"/>
        <v>0</v>
      </c>
      <c r="P144" s="103">
        <f>P145+P146</f>
        <v>1</v>
      </c>
      <c r="Q144" s="103">
        <f>Q145+Q146</f>
        <v>1</v>
      </c>
      <c r="R144" s="103">
        <f>R145+R146</f>
        <v>0</v>
      </c>
      <c r="S144" s="103">
        <f>S145+S146</f>
        <v>0</v>
      </c>
      <c r="T144" s="286"/>
      <c r="U144" s="103">
        <f>U145+U146</f>
        <v>0</v>
      </c>
      <c r="V144" s="103">
        <f>V145+V146</f>
        <v>0</v>
      </c>
      <c r="W144" s="286"/>
      <c r="X144" s="103">
        <f>X145+X146</f>
        <v>0</v>
      </c>
      <c r="Y144" s="103">
        <f>Y145+Y146</f>
        <v>0</v>
      </c>
      <c r="Z144" s="286"/>
      <c r="AA144" s="103">
        <f>AA145+AA146</f>
        <v>0</v>
      </c>
      <c r="AB144" s="103">
        <f>AB145+AB146</f>
        <v>0</v>
      </c>
      <c r="AC144" s="286"/>
      <c r="AD144" s="103">
        <f>AD145+AD146</f>
        <v>0</v>
      </c>
      <c r="AE144" s="103">
        <f>AE145+AE146</f>
        <v>0</v>
      </c>
      <c r="AF144" s="286"/>
      <c r="AG144" s="103">
        <f>AG145+AG146</f>
        <v>0</v>
      </c>
      <c r="AH144" s="103">
        <f>AH145+AH146</f>
        <v>0</v>
      </c>
      <c r="AI144" s="286"/>
      <c r="AJ144" s="103">
        <f>AJ145+AJ146</f>
        <v>0</v>
      </c>
      <c r="AK144" s="103">
        <f>AK145+AK146</f>
        <v>0</v>
      </c>
      <c r="AL144" s="286"/>
      <c r="AM144" s="103">
        <f>AM145+AM146</f>
        <v>0</v>
      </c>
      <c r="AN144" s="103">
        <f>AN145+AN146</f>
        <v>0</v>
      </c>
      <c r="AO144" s="286"/>
      <c r="AP144" s="103">
        <f>AP145+AP146</f>
        <v>0</v>
      </c>
      <c r="AQ144" s="103">
        <f>AQ145+AQ146</f>
        <v>0</v>
      </c>
      <c r="AR144" s="286"/>
      <c r="AS144" s="103">
        <f>AS145+AS146</f>
        <v>0</v>
      </c>
      <c r="AT144" s="103">
        <f>AT145+AT146</f>
        <v>0</v>
      </c>
      <c r="AU144" s="286"/>
      <c r="AV144" s="103">
        <f>AV145+AV146</f>
        <v>0</v>
      </c>
      <c r="AW144" s="103">
        <f>AW145+AW146</f>
        <v>0</v>
      </c>
      <c r="AX144" s="286"/>
      <c r="AY144" s="103">
        <f>AY145+AY146</f>
        <v>0</v>
      </c>
      <c r="AZ144" s="103">
        <f>AZ145+AZ146</f>
        <v>0</v>
      </c>
      <c r="BA144" s="286"/>
      <c r="BB144" s="103">
        <f>BB145+BB146</f>
        <v>0</v>
      </c>
      <c r="BC144" s="103">
        <f>BC145+BC146</f>
        <v>0</v>
      </c>
      <c r="BD144" s="286"/>
      <c r="BE144" s="103">
        <f>BE145+BE146</f>
        <v>0</v>
      </c>
      <c r="BF144" s="103">
        <f>BF145+BF146</f>
        <v>0</v>
      </c>
      <c r="BG144" s="286"/>
      <c r="BH144" s="103">
        <f>BH145+BH146</f>
        <v>0</v>
      </c>
      <c r="BI144" s="103">
        <f>BI145+BI146</f>
        <v>0</v>
      </c>
      <c r="BJ144" s="286"/>
      <c r="BK144" s="103">
        <f>BK145+BK146</f>
        <v>0</v>
      </c>
      <c r="BL144" s="103">
        <f>BL145+BL146</f>
        <v>0</v>
      </c>
      <c r="BM144" s="286"/>
      <c r="BN144" s="103">
        <f>BN145+BN146</f>
        <v>0</v>
      </c>
      <c r="BO144" s="103">
        <f>BO145+BO146</f>
        <v>0</v>
      </c>
      <c r="BP144" s="286"/>
      <c r="BQ144" s="103">
        <f>BQ145+BQ146</f>
        <v>0</v>
      </c>
      <c r="BR144" s="103">
        <f>BR145+BR146</f>
        <v>0</v>
      </c>
      <c r="BS144" s="286"/>
      <c r="BT144" s="103">
        <f>BT145+BT146</f>
        <v>0</v>
      </c>
      <c r="BU144" s="103">
        <f>BU145+BU146</f>
        <v>0</v>
      </c>
      <c r="BV144" s="286"/>
      <c r="BW144" s="103">
        <f>BW145+BW146</f>
        <v>0</v>
      </c>
      <c r="BX144" s="103">
        <f>BX145+BX146</f>
        <v>0</v>
      </c>
      <c r="BY144" s="286"/>
      <c r="BZ144" s="103">
        <f>BZ145+BZ146</f>
        <v>0</v>
      </c>
      <c r="CA144" s="103">
        <f>CA145+CA146</f>
        <v>0</v>
      </c>
      <c r="CB144" s="286"/>
      <c r="CC144" s="103">
        <f>CC145+CC146</f>
        <v>0</v>
      </c>
      <c r="CD144" s="103">
        <f>CD145+CD146</f>
        <v>0</v>
      </c>
      <c r="CE144" s="286"/>
      <c r="CF144" s="103">
        <f>CF145+CF146</f>
        <v>1</v>
      </c>
      <c r="CG144" s="103">
        <f>CG145+CG146</f>
        <v>1</v>
      </c>
      <c r="CH144" s="286"/>
      <c r="CI144" s="103">
        <f>CI145+CI146</f>
        <v>0</v>
      </c>
      <c r="CJ144" s="103">
        <f>CJ145+CJ146</f>
        <v>0</v>
      </c>
    </row>
    <row r="145" spans="1:88" x14ac:dyDescent="0.25">
      <c r="A145" s="95"/>
      <c r="B145" s="96" t="s">
        <v>1183</v>
      </c>
      <c r="C145" s="95"/>
      <c r="D145" s="95"/>
      <c r="E145" s="108"/>
      <c r="F145" s="108"/>
      <c r="G145" s="108"/>
      <c r="H145" s="108"/>
      <c r="I145" s="357">
        <v>9</v>
      </c>
      <c r="J145" s="357">
        <v>9</v>
      </c>
      <c r="K145" s="357">
        <v>1</v>
      </c>
      <c r="L145" s="357">
        <v>0</v>
      </c>
      <c r="M145" s="357">
        <v>0</v>
      </c>
      <c r="N145" s="357">
        <v>0</v>
      </c>
      <c r="P145" s="286">
        <f>R145+U145+X145+AA145+AD145+AG145+AJ145+AM145+AP145+AS145+AV145+AY145+BB145+BE145+BH145+BK145+BN145+BQ145+BT145+BW145+BZ145+CC145+CF145+CI145</f>
        <v>1</v>
      </c>
      <c r="Q145" s="286">
        <f>S145+V145+Y145+AB145+AE145+AH145+AK145+AN145+AQ145+AT145+AW145+AZ145+BC145+BF145+BI145+BL145+BO145+BR145+BU145+BX145+CA145+CD145+CG145+CJ145</f>
        <v>1</v>
      </c>
      <c r="R145" s="286">
        <v>0</v>
      </c>
      <c r="S145" s="286">
        <v>0</v>
      </c>
      <c r="T145" s="286"/>
      <c r="U145" s="286">
        <v>0</v>
      </c>
      <c r="V145" s="286">
        <v>0</v>
      </c>
      <c r="W145" s="286"/>
      <c r="X145" s="286">
        <v>0</v>
      </c>
      <c r="Y145" s="286">
        <v>0</v>
      </c>
      <c r="Z145" s="286"/>
      <c r="AA145" s="286">
        <v>0</v>
      </c>
      <c r="AB145" s="286">
        <v>0</v>
      </c>
      <c r="AC145" s="286"/>
      <c r="AD145" s="286">
        <v>0</v>
      </c>
      <c r="AE145" s="286">
        <v>0</v>
      </c>
      <c r="AF145" s="286"/>
      <c r="AG145" s="286">
        <v>0</v>
      </c>
      <c r="AH145" s="286">
        <v>0</v>
      </c>
      <c r="AI145" s="286"/>
      <c r="AJ145" s="286">
        <v>0</v>
      </c>
      <c r="AK145" s="286">
        <v>0</v>
      </c>
      <c r="AL145" s="286"/>
      <c r="AM145" s="286">
        <v>0</v>
      </c>
      <c r="AN145" s="286">
        <v>0</v>
      </c>
      <c r="AO145" s="286"/>
      <c r="AP145" s="286">
        <v>0</v>
      </c>
      <c r="AQ145" s="286">
        <v>0</v>
      </c>
      <c r="AR145" s="286"/>
      <c r="AS145" s="286">
        <v>0</v>
      </c>
      <c r="AT145" s="286">
        <v>0</v>
      </c>
      <c r="AU145" s="286"/>
      <c r="AV145" s="286">
        <v>0</v>
      </c>
      <c r="AW145" s="286">
        <v>0</v>
      </c>
      <c r="AX145" s="286"/>
      <c r="AY145" s="286">
        <v>0</v>
      </c>
      <c r="AZ145" s="286">
        <v>0</v>
      </c>
      <c r="BA145" s="286"/>
      <c r="BB145" s="286">
        <v>0</v>
      </c>
      <c r="BC145" s="286">
        <v>0</v>
      </c>
      <c r="BD145" s="286"/>
      <c r="BE145" s="286">
        <v>0</v>
      </c>
      <c r="BF145" s="286">
        <v>0</v>
      </c>
      <c r="BG145" s="286"/>
      <c r="BH145" s="286">
        <v>0</v>
      </c>
      <c r="BI145" s="286">
        <v>0</v>
      </c>
      <c r="BJ145" s="286"/>
      <c r="BK145" s="286">
        <v>0</v>
      </c>
      <c r="BL145" s="286">
        <v>0</v>
      </c>
      <c r="BM145" s="286"/>
      <c r="BN145" s="286">
        <v>0</v>
      </c>
      <c r="BO145" s="286">
        <v>0</v>
      </c>
      <c r="BP145" s="286"/>
      <c r="BQ145" s="286">
        <v>0</v>
      </c>
      <c r="BR145" s="286">
        <v>0</v>
      </c>
      <c r="BS145" s="286"/>
      <c r="BT145" s="286">
        <v>0</v>
      </c>
      <c r="BU145" s="286">
        <v>0</v>
      </c>
      <c r="BV145" s="286"/>
      <c r="BW145" s="286">
        <v>0</v>
      </c>
      <c r="BX145" s="286">
        <v>0</v>
      </c>
      <c r="BY145" s="286"/>
      <c r="BZ145" s="286">
        <v>0</v>
      </c>
      <c r="CA145" s="286">
        <v>0</v>
      </c>
      <c r="CB145" s="286"/>
      <c r="CC145" s="286">
        <v>0</v>
      </c>
      <c r="CD145" s="286">
        <v>0</v>
      </c>
      <c r="CE145" s="286"/>
      <c r="CF145" s="286">
        <v>1</v>
      </c>
      <c r="CG145" s="286">
        <v>1</v>
      </c>
      <c r="CH145" s="286"/>
      <c r="CI145" s="286">
        <v>0</v>
      </c>
      <c r="CJ145" s="286">
        <v>0</v>
      </c>
    </row>
    <row r="146" spans="1:88" x14ac:dyDescent="0.25">
      <c r="A146" s="95"/>
      <c r="B146" s="96" t="s">
        <v>1185</v>
      </c>
      <c r="C146" s="95"/>
      <c r="D146" s="95"/>
      <c r="E146" s="108"/>
      <c r="F146" s="108"/>
      <c r="G146" s="108"/>
      <c r="H146" s="108"/>
      <c r="I146" s="357">
        <v>0</v>
      </c>
      <c r="J146" s="357">
        <v>0</v>
      </c>
      <c r="K146" s="357">
        <v>0</v>
      </c>
      <c r="L146" s="357">
        <v>0</v>
      </c>
      <c r="M146" s="357">
        <v>0</v>
      </c>
      <c r="N146" s="357">
        <v>0</v>
      </c>
      <c r="P146" s="286">
        <f>R146+U146+X146+AA146+AD146+AG146+AJ146+AM146+AP146+AS146+AV146+AY146+BB146+BE146+BH146+BK146+BN146+BQ146+BT146+BW146+BZ146+CC146+CF146+CI146</f>
        <v>0</v>
      </c>
      <c r="Q146" s="286">
        <f>S146+V146+Y146+AB146+AE146+AH146+AK146+AN146+AQ146+AT146+AW146+AZ146+BC146+BF146+BI146+BL146+BO146+BR146+BU146+BX146+CA146+CD146+CG146+CJ146</f>
        <v>0</v>
      </c>
      <c r="R146" s="286">
        <v>0</v>
      </c>
      <c r="S146" s="286">
        <v>0</v>
      </c>
      <c r="T146" s="286"/>
      <c r="U146" s="286">
        <v>0</v>
      </c>
      <c r="V146" s="286">
        <v>0</v>
      </c>
      <c r="W146" s="286"/>
      <c r="X146" s="286">
        <v>0</v>
      </c>
      <c r="Y146" s="286">
        <v>0</v>
      </c>
      <c r="Z146" s="286"/>
      <c r="AA146" s="286">
        <v>0</v>
      </c>
      <c r="AB146" s="286">
        <v>0</v>
      </c>
      <c r="AC146" s="286"/>
      <c r="AD146" s="286">
        <v>0</v>
      </c>
      <c r="AE146" s="286">
        <v>0</v>
      </c>
      <c r="AF146" s="286"/>
      <c r="AG146" s="286">
        <v>0</v>
      </c>
      <c r="AH146" s="286">
        <v>0</v>
      </c>
      <c r="AI146" s="286"/>
      <c r="AJ146" s="286">
        <v>0</v>
      </c>
      <c r="AK146" s="286">
        <v>0</v>
      </c>
      <c r="AL146" s="286"/>
      <c r="AM146" s="286">
        <v>0</v>
      </c>
      <c r="AN146" s="286">
        <v>0</v>
      </c>
      <c r="AO146" s="286"/>
      <c r="AP146" s="286">
        <v>0</v>
      </c>
      <c r="AQ146" s="286">
        <v>0</v>
      </c>
      <c r="AR146" s="286"/>
      <c r="AS146" s="286">
        <v>0</v>
      </c>
      <c r="AT146" s="286">
        <v>0</v>
      </c>
      <c r="AU146" s="286"/>
      <c r="AV146" s="286">
        <v>0</v>
      </c>
      <c r="AW146" s="286">
        <v>0</v>
      </c>
      <c r="AX146" s="286"/>
      <c r="AY146" s="286">
        <v>0</v>
      </c>
      <c r="AZ146" s="286">
        <v>0</v>
      </c>
      <c r="BA146" s="286"/>
      <c r="BB146" s="286">
        <v>0</v>
      </c>
      <c r="BC146" s="286">
        <v>0</v>
      </c>
      <c r="BD146" s="286"/>
      <c r="BE146" s="286">
        <v>0</v>
      </c>
      <c r="BF146" s="286">
        <v>0</v>
      </c>
      <c r="BG146" s="286"/>
      <c r="BH146" s="286">
        <v>0</v>
      </c>
      <c r="BI146" s="286">
        <v>0</v>
      </c>
      <c r="BJ146" s="286"/>
      <c r="BK146" s="286">
        <v>0</v>
      </c>
      <c r="BL146" s="286">
        <v>0</v>
      </c>
      <c r="BM146" s="286"/>
      <c r="BN146" s="286">
        <v>0</v>
      </c>
      <c r="BO146" s="286">
        <v>0</v>
      </c>
      <c r="BP146" s="286"/>
      <c r="BQ146" s="286">
        <v>0</v>
      </c>
      <c r="BR146" s="286">
        <v>0</v>
      </c>
      <c r="BS146" s="286"/>
      <c r="BT146" s="286">
        <v>0</v>
      </c>
      <c r="BU146" s="286">
        <v>0</v>
      </c>
      <c r="BV146" s="286"/>
      <c r="BW146" s="286">
        <v>0</v>
      </c>
      <c r="BX146" s="286">
        <v>0</v>
      </c>
      <c r="BY146" s="286"/>
      <c r="BZ146" s="286">
        <v>0</v>
      </c>
      <c r="CA146" s="286">
        <v>0</v>
      </c>
      <c r="CB146" s="286"/>
      <c r="CC146" s="286">
        <v>0</v>
      </c>
      <c r="CD146" s="286">
        <v>0</v>
      </c>
      <c r="CE146" s="286"/>
      <c r="CF146" s="286">
        <v>0</v>
      </c>
      <c r="CG146" s="302">
        <v>0</v>
      </c>
      <c r="CH146" s="286"/>
      <c r="CI146" s="286">
        <v>0</v>
      </c>
      <c r="CJ146" s="286">
        <v>0</v>
      </c>
    </row>
    <row r="147" spans="1:88" ht="30" x14ac:dyDescent="0.25">
      <c r="A147" s="105" t="s">
        <v>25</v>
      </c>
      <c r="B147" s="290" t="s">
        <v>24</v>
      </c>
      <c r="C147" s="107"/>
      <c r="D147" s="95"/>
      <c r="E147" s="291"/>
      <c r="F147" s="291"/>
      <c r="G147" s="291"/>
      <c r="H147" s="291"/>
      <c r="I147" s="291"/>
      <c r="J147" s="291"/>
      <c r="K147" s="291"/>
      <c r="L147" s="291"/>
      <c r="M147" s="291"/>
      <c r="N147" s="291"/>
    </row>
    <row r="148" spans="1:88" ht="45" x14ac:dyDescent="0.25">
      <c r="A148" s="101" t="s">
        <v>26</v>
      </c>
      <c r="B148" s="91" t="s">
        <v>33</v>
      </c>
      <c r="C148" s="101"/>
      <c r="D148" s="101"/>
      <c r="E148" s="293"/>
      <c r="F148" s="293"/>
      <c r="G148" s="293"/>
      <c r="H148" s="293"/>
      <c r="I148" s="293"/>
      <c r="J148" s="293"/>
      <c r="K148" s="293"/>
      <c r="L148" s="293"/>
      <c r="M148" s="293"/>
      <c r="N148" s="293"/>
      <c r="O148" s="281" t="s">
        <v>29</v>
      </c>
    </row>
    <row r="149" spans="1:88" hidden="1" x14ac:dyDescent="0.25">
      <c r="A149" s="101"/>
      <c r="B149" s="91" t="s">
        <v>1182</v>
      </c>
      <c r="C149" s="101"/>
      <c r="D149" s="101" t="s">
        <v>8</v>
      </c>
      <c r="E149" s="293" t="e">
        <f t="shared" ref="E149:N154" si="159">E174/E181*100</f>
        <v>#DIV/0!</v>
      </c>
      <c r="F149" s="293">
        <f t="shared" si="159"/>
        <v>2.5100155342980952</v>
      </c>
      <c r="G149" s="293">
        <f t="shared" si="159"/>
        <v>1.6163925443775804</v>
      </c>
      <c r="H149" s="293">
        <f t="shared" si="159"/>
        <v>1.6176874485031585</v>
      </c>
      <c r="I149" s="293">
        <f t="shared" si="159"/>
        <v>1.883453531697687</v>
      </c>
      <c r="J149" s="293">
        <f t="shared" si="159"/>
        <v>1.7564313128132687</v>
      </c>
      <c r="K149" s="293">
        <f>K174/K181*100</f>
        <v>1.7564313128132687</v>
      </c>
      <c r="L149" s="293">
        <f>L174/L181*100</f>
        <v>1.7564313128132687</v>
      </c>
      <c r="M149" s="293">
        <f>M174/M181*100</f>
        <v>1.7564313128132687</v>
      </c>
      <c r="N149" s="293">
        <f>N174/N181*100</f>
        <v>1.7564313128132687</v>
      </c>
      <c r="O149" s="281"/>
      <c r="P149" s="293" t="e">
        <f t="shared" ref="P149:S154" si="160">P174/P181*100</f>
        <v>#DIV/0!</v>
      </c>
      <c r="Q149" s="293">
        <f t="shared" si="160"/>
        <v>1.7564313128132687</v>
      </c>
      <c r="R149" s="293" t="e">
        <f t="shared" si="160"/>
        <v>#DIV/0!</v>
      </c>
      <c r="S149" s="293">
        <f t="shared" si="160"/>
        <v>7.9703429101019463</v>
      </c>
      <c r="U149" s="293" t="e">
        <f t="shared" ref="U149:V154" si="161">U174/U181*100</f>
        <v>#DIV/0!</v>
      </c>
      <c r="V149" s="293">
        <f t="shared" si="161"/>
        <v>3.4914017717561232</v>
      </c>
      <c r="X149" s="293" t="e">
        <f t="shared" ref="X149:Y154" si="162">X174/X181*100</f>
        <v>#DIV/0!</v>
      </c>
      <c r="Y149" s="293">
        <f t="shared" si="162"/>
        <v>1.2885411872986654</v>
      </c>
      <c r="AA149" s="293" t="e">
        <f t="shared" ref="AA149:AB154" si="163">AA174/AA181*100</f>
        <v>#DIV/0!</v>
      </c>
      <c r="AB149" s="293">
        <f t="shared" si="163"/>
        <v>0</v>
      </c>
      <c r="AD149" s="293" t="e">
        <f t="shared" ref="AD149:AE154" si="164">AD174/AD181*100</f>
        <v>#DIV/0!</v>
      </c>
      <c r="AE149" s="293">
        <f t="shared" si="164"/>
        <v>13.542562338779021</v>
      </c>
      <c r="AG149" s="293" t="e">
        <f t="shared" ref="AG149:AH154" si="165">AG174/AG181*100</f>
        <v>#DIV/0!</v>
      </c>
      <c r="AH149" s="293">
        <f t="shared" si="165"/>
        <v>0</v>
      </c>
      <c r="AJ149" s="293" t="e">
        <f t="shared" ref="AJ149:AK154" si="166">AJ174/AJ181*100</f>
        <v>#DIV/0!</v>
      </c>
      <c r="AK149" s="293">
        <f t="shared" si="166"/>
        <v>9.0660176452692411</v>
      </c>
      <c r="AM149" s="293" t="e">
        <f t="shared" ref="AM149:AN154" si="167">AM174/AM181*100</f>
        <v>#DIV/0!</v>
      </c>
      <c r="AN149" s="293">
        <f t="shared" si="167"/>
        <v>0.43795620437956206</v>
      </c>
      <c r="AP149" s="293" t="e">
        <f t="shared" ref="AP149:AQ154" si="168">AP174/AP181*100</f>
        <v>#DIV/0!</v>
      </c>
      <c r="AQ149" s="293">
        <f t="shared" si="168"/>
        <v>0.27497708524289644</v>
      </c>
      <c r="AS149" s="293" t="e">
        <f t="shared" ref="AS149:AT154" si="169">AS174/AS181*100</f>
        <v>#DIV/0!</v>
      </c>
      <c r="AT149" s="293">
        <f t="shared" si="169"/>
        <v>9.8534302253972167E-2</v>
      </c>
      <c r="AV149" s="293" t="e">
        <f t="shared" ref="AV149:AW154" si="170">AV174/AV181*100</f>
        <v>#DIV/0!</v>
      </c>
      <c r="AW149" s="293">
        <f t="shared" si="170"/>
        <v>0</v>
      </c>
      <c r="AY149" s="293" t="e">
        <f t="shared" ref="AY149:AZ154" si="171">AY174/AY181*100</f>
        <v>#DIV/0!</v>
      </c>
      <c r="AZ149" s="293">
        <f t="shared" si="171"/>
        <v>0</v>
      </c>
      <c r="BB149" s="293" t="e">
        <f t="shared" ref="BB149:BC154" si="172">BB174/BB181*100</f>
        <v>#DIV/0!</v>
      </c>
      <c r="BC149" s="293">
        <f t="shared" si="172"/>
        <v>2.0422436704434186</v>
      </c>
      <c r="BE149" s="293" t="e">
        <f t="shared" ref="BE149:BF154" si="173">BE174/BE181*100</f>
        <v>#DIV/0!</v>
      </c>
      <c r="BF149" s="293">
        <f t="shared" si="173"/>
        <v>0.59206005180525456</v>
      </c>
      <c r="BH149" s="293" t="e">
        <f t="shared" ref="BH149:BI154" si="174">BH174/BH181*100</f>
        <v>#DIV/0!</v>
      </c>
      <c r="BI149" s="293">
        <f t="shared" si="174"/>
        <v>2.8248215988687559</v>
      </c>
      <c r="BK149" s="293" t="e">
        <f t="shared" ref="BK149:BL154" si="175">BK174/BK181*100</f>
        <v>#DIV/0!</v>
      </c>
      <c r="BL149" s="293">
        <f t="shared" si="175"/>
        <v>0</v>
      </c>
      <c r="BN149" s="293" t="e">
        <f t="shared" ref="BN149:BO154" si="176">BN174/BN181*100</f>
        <v>#DIV/0!</v>
      </c>
      <c r="BO149" s="293">
        <f t="shared" si="176"/>
        <v>0</v>
      </c>
      <c r="BQ149" s="293" t="e">
        <f t="shared" ref="BQ149:BR154" si="177">BQ174/BQ181*100</f>
        <v>#DIV/0!</v>
      </c>
      <c r="BR149" s="293">
        <f t="shared" si="177"/>
        <v>0</v>
      </c>
      <c r="BT149" s="293" t="e">
        <f t="shared" ref="BT149:BU154" si="178">BT174/BT181*100</f>
        <v>#DIV/0!</v>
      </c>
      <c r="BU149" s="293">
        <f t="shared" si="178"/>
        <v>0</v>
      </c>
      <c r="BW149" s="293" t="e">
        <f t="shared" ref="BW149:BX154" si="179">BW174/BW181*100</f>
        <v>#DIV/0!</v>
      </c>
      <c r="BX149" s="293">
        <f t="shared" si="179"/>
        <v>0</v>
      </c>
      <c r="BZ149" s="293" t="e">
        <f t="shared" ref="BZ149:CA154" si="180">BZ174/BZ181*100</f>
        <v>#DIV/0!</v>
      </c>
      <c r="CA149" s="293">
        <f t="shared" si="180"/>
        <v>0</v>
      </c>
      <c r="CC149" s="293" t="e">
        <f t="shared" ref="CC149:CD154" si="181">CC174/CC181*100</f>
        <v>#DIV/0!</v>
      </c>
      <c r="CD149" s="293">
        <f t="shared" si="181"/>
        <v>0.67720090293453727</v>
      </c>
      <c r="CF149" s="293" t="e">
        <f t="shared" ref="CF149:CG154" si="182">CF174/CF181*100</f>
        <v>#DIV/0!</v>
      </c>
      <c r="CG149" s="293">
        <f t="shared" si="182"/>
        <v>1.8018018018018018</v>
      </c>
      <c r="CI149" s="293" t="e">
        <f t="shared" ref="CI149:CJ154" si="183">CI174/CI181*100</f>
        <v>#DIV/0!</v>
      </c>
      <c r="CJ149" s="293">
        <f t="shared" si="183"/>
        <v>0</v>
      </c>
    </row>
    <row r="150" spans="1:88" hidden="1" x14ac:dyDescent="0.25">
      <c r="A150" s="101"/>
      <c r="B150" s="91" t="s">
        <v>1183</v>
      </c>
      <c r="C150" s="101"/>
      <c r="D150" s="101" t="s">
        <v>8</v>
      </c>
      <c r="E150" s="293" t="e">
        <f>E175/E182*100</f>
        <v>#DIV/0!</v>
      </c>
      <c r="F150" s="293">
        <f t="shared" si="159"/>
        <v>2.55013946075176</v>
      </c>
      <c r="G150" s="293">
        <f t="shared" si="159"/>
        <v>1.6578925889650671</v>
      </c>
      <c r="H150" s="293">
        <f t="shared" si="159"/>
        <v>1.6306008774091785</v>
      </c>
      <c r="I150" s="293">
        <f t="shared" si="159"/>
        <v>1.8810963667803542</v>
      </c>
      <c r="J150" s="293">
        <f t="shared" si="159"/>
        <v>1.723697650663943</v>
      </c>
      <c r="K150" s="293">
        <f t="shared" si="159"/>
        <v>1.723697650663943</v>
      </c>
      <c r="L150" s="293">
        <f t="shared" si="159"/>
        <v>1.723697650663943</v>
      </c>
      <c r="M150" s="293">
        <f t="shared" si="159"/>
        <v>1.723697650663943</v>
      </c>
      <c r="N150" s="293">
        <f t="shared" si="159"/>
        <v>1.723697650663943</v>
      </c>
      <c r="O150" s="281"/>
      <c r="P150" s="293" t="e">
        <f t="shared" si="160"/>
        <v>#DIV/0!</v>
      </c>
      <c r="Q150" s="293">
        <f t="shared" si="160"/>
        <v>1.723697650663943</v>
      </c>
      <c r="R150" s="293" t="e">
        <f t="shared" si="160"/>
        <v>#DIV/0!</v>
      </c>
      <c r="S150" s="293">
        <f t="shared" si="160"/>
        <v>4.4594594594594597</v>
      </c>
      <c r="U150" s="293" t="e">
        <f t="shared" si="161"/>
        <v>#DIV/0!</v>
      </c>
      <c r="V150" s="293">
        <f t="shared" si="161"/>
        <v>2.6619343389529724</v>
      </c>
      <c r="X150" s="293" t="e">
        <f t="shared" si="162"/>
        <v>#DIV/0!</v>
      </c>
      <c r="Y150" s="293">
        <f t="shared" si="162"/>
        <v>1.8829858776059181</v>
      </c>
      <c r="AA150" s="293" t="e">
        <f t="shared" si="163"/>
        <v>#DIV/0!</v>
      </c>
      <c r="AB150" s="293">
        <f t="shared" si="163"/>
        <v>0</v>
      </c>
      <c r="AD150" s="293" t="e">
        <f t="shared" si="164"/>
        <v>#DIV/0!</v>
      </c>
      <c r="AE150" s="293">
        <f t="shared" si="164"/>
        <v>14.166666666666666</v>
      </c>
      <c r="AG150" s="293" t="e">
        <f t="shared" si="165"/>
        <v>#DIV/0!</v>
      </c>
      <c r="AH150" s="293">
        <f t="shared" si="165"/>
        <v>0</v>
      </c>
      <c r="AJ150" s="293" t="e">
        <f t="shared" si="166"/>
        <v>#DIV/0!</v>
      </c>
      <c r="AK150" s="293">
        <f t="shared" si="166"/>
        <v>9.0909090909090917</v>
      </c>
      <c r="AM150" s="293" t="e">
        <f t="shared" si="167"/>
        <v>#DIV/0!</v>
      </c>
      <c r="AN150" s="293">
        <f t="shared" si="167"/>
        <v>0.50443555400939288</v>
      </c>
      <c r="AP150" s="293" t="e">
        <f t="shared" si="168"/>
        <v>#DIV/0!</v>
      </c>
      <c r="AQ150" s="293" t="e">
        <f t="shared" si="168"/>
        <v>#DIV/0!</v>
      </c>
      <c r="AS150" s="293" t="e">
        <f t="shared" si="169"/>
        <v>#DIV/0!</v>
      </c>
      <c r="AT150" s="293">
        <f t="shared" si="169"/>
        <v>9.8534302253972167E-2</v>
      </c>
      <c r="AV150" s="293" t="e">
        <f t="shared" si="170"/>
        <v>#DIV/0!</v>
      </c>
      <c r="AW150" s="293">
        <f t="shared" si="170"/>
        <v>0</v>
      </c>
      <c r="AY150" s="293" t="e">
        <f t="shared" si="171"/>
        <v>#DIV/0!</v>
      </c>
      <c r="AZ150" s="293">
        <f t="shared" si="171"/>
        <v>0</v>
      </c>
      <c r="BB150" s="293" t="e">
        <f t="shared" si="172"/>
        <v>#DIV/0!</v>
      </c>
      <c r="BC150" s="293">
        <f t="shared" si="172"/>
        <v>2.0422436704434186</v>
      </c>
      <c r="BE150" s="293" t="e">
        <f t="shared" si="173"/>
        <v>#DIV/0!</v>
      </c>
      <c r="BF150" s="293">
        <f t="shared" si="173"/>
        <v>0.59206005180525456</v>
      </c>
      <c r="BH150" s="293" t="e">
        <f t="shared" si="174"/>
        <v>#DIV/0!</v>
      </c>
      <c r="BI150" s="293">
        <f t="shared" si="174"/>
        <v>2.8248215988687559</v>
      </c>
      <c r="BK150" s="293" t="e">
        <f t="shared" si="175"/>
        <v>#DIV/0!</v>
      </c>
      <c r="BL150" s="293">
        <f t="shared" si="175"/>
        <v>0</v>
      </c>
      <c r="BN150" s="293" t="e">
        <f t="shared" si="176"/>
        <v>#DIV/0!</v>
      </c>
      <c r="BO150" s="293">
        <f t="shared" si="176"/>
        <v>0</v>
      </c>
      <c r="BQ150" s="293" t="e">
        <f t="shared" si="177"/>
        <v>#DIV/0!</v>
      </c>
      <c r="BR150" s="293">
        <f t="shared" si="177"/>
        <v>0</v>
      </c>
      <c r="BT150" s="293" t="e">
        <f t="shared" si="178"/>
        <v>#DIV/0!</v>
      </c>
      <c r="BU150" s="293">
        <f t="shared" si="178"/>
        <v>0</v>
      </c>
      <c r="BW150" s="293" t="e">
        <f t="shared" si="179"/>
        <v>#DIV/0!</v>
      </c>
      <c r="BX150" s="293">
        <f t="shared" si="179"/>
        <v>0</v>
      </c>
      <c r="BZ150" s="293" t="e">
        <f t="shared" si="180"/>
        <v>#DIV/0!</v>
      </c>
      <c r="CA150" s="293">
        <f t="shared" si="180"/>
        <v>0</v>
      </c>
      <c r="CC150" s="293" t="e">
        <f t="shared" si="181"/>
        <v>#DIV/0!</v>
      </c>
      <c r="CD150" s="293">
        <f t="shared" si="181"/>
        <v>0.67720090293453727</v>
      </c>
      <c r="CF150" s="293" t="e">
        <f t="shared" si="182"/>
        <v>#DIV/0!</v>
      </c>
      <c r="CG150" s="293">
        <f t="shared" si="182"/>
        <v>1.8018018018018018</v>
      </c>
      <c r="CI150" s="293" t="e">
        <f t="shared" si="183"/>
        <v>#DIV/0!</v>
      </c>
      <c r="CJ150" s="293">
        <f t="shared" si="183"/>
        <v>0</v>
      </c>
    </row>
    <row r="151" spans="1:88" hidden="1" x14ac:dyDescent="0.25">
      <c r="A151" s="101"/>
      <c r="B151" s="91" t="s">
        <v>1185</v>
      </c>
      <c r="C151" s="101"/>
      <c r="D151" s="101" t="s">
        <v>8</v>
      </c>
      <c r="E151" s="293" t="e">
        <f>E176/E183*100</f>
        <v>#DIV/0!</v>
      </c>
      <c r="F151" s="293">
        <f t="shared" si="159"/>
        <v>2.0266666666666664</v>
      </c>
      <c r="G151" s="293">
        <f t="shared" si="159"/>
        <v>1.0973586831695801</v>
      </c>
      <c r="H151" s="293">
        <f t="shared" si="159"/>
        <v>1.4496472097498396</v>
      </c>
      <c r="I151" s="293">
        <f t="shared" si="159"/>
        <v>1.9151670951156812</v>
      </c>
      <c r="J151" s="293">
        <f t="shared" si="159"/>
        <v>2.2128958412819535</v>
      </c>
      <c r="K151" s="293">
        <f t="shared" si="159"/>
        <v>2.2128958412819535</v>
      </c>
      <c r="L151" s="293">
        <f t="shared" si="159"/>
        <v>2.2128958412819535</v>
      </c>
      <c r="M151" s="293">
        <f t="shared" si="159"/>
        <v>2.2128958412819535</v>
      </c>
      <c r="N151" s="293">
        <f t="shared" si="159"/>
        <v>2.2128958412819535</v>
      </c>
      <c r="O151" s="281"/>
      <c r="P151" s="293" t="e">
        <f t="shared" si="160"/>
        <v>#DIV/0!</v>
      </c>
      <c r="Q151" s="293">
        <f t="shared" si="160"/>
        <v>2.2128958412819535</v>
      </c>
      <c r="R151" s="293" t="e">
        <f t="shared" si="160"/>
        <v>#DIV/0!</v>
      </c>
      <c r="S151" s="293">
        <f t="shared" si="160"/>
        <v>15.634218289085547</v>
      </c>
      <c r="U151" s="293" t="e">
        <f t="shared" si="161"/>
        <v>#DIV/0!</v>
      </c>
      <c r="V151" s="293">
        <f t="shared" si="161"/>
        <v>4.6717171717171722</v>
      </c>
      <c r="X151" s="293" t="e">
        <f t="shared" si="162"/>
        <v>#DIV/0!</v>
      </c>
      <c r="Y151" s="293">
        <f t="shared" si="162"/>
        <v>0</v>
      </c>
      <c r="AA151" s="293" t="e">
        <f t="shared" si="163"/>
        <v>#DIV/0!</v>
      </c>
      <c r="AB151" s="293">
        <f t="shared" si="163"/>
        <v>0</v>
      </c>
      <c r="AD151" s="293" t="e">
        <f t="shared" si="164"/>
        <v>#DIV/0!</v>
      </c>
      <c r="AE151" s="293">
        <f t="shared" si="164"/>
        <v>5.4216867469879517</v>
      </c>
      <c r="AG151" s="293" t="e">
        <f t="shared" si="165"/>
        <v>#DIV/0!</v>
      </c>
      <c r="AH151" s="293">
        <f t="shared" si="165"/>
        <v>0</v>
      </c>
      <c r="AJ151" s="293" t="e">
        <f t="shared" si="166"/>
        <v>#DIV/0!</v>
      </c>
      <c r="AK151" s="293">
        <f t="shared" si="166"/>
        <v>8.5106382978723403</v>
      </c>
      <c r="AM151" s="293" t="e">
        <f t="shared" si="167"/>
        <v>#DIV/0!</v>
      </c>
      <c r="AN151" s="293">
        <f t="shared" si="167"/>
        <v>0.28328611898016998</v>
      </c>
      <c r="AP151" s="293" t="e">
        <f t="shared" si="168"/>
        <v>#DIV/0!</v>
      </c>
      <c r="AQ151" s="293">
        <f t="shared" si="168"/>
        <v>0.27497708524289644</v>
      </c>
      <c r="AS151" s="293" t="e">
        <f t="shared" si="169"/>
        <v>#DIV/0!</v>
      </c>
      <c r="AT151" s="293" t="e">
        <f t="shared" si="169"/>
        <v>#DIV/0!</v>
      </c>
      <c r="AV151" s="293" t="e">
        <f t="shared" si="170"/>
        <v>#DIV/0!</v>
      </c>
      <c r="AW151" s="293" t="e">
        <f t="shared" si="170"/>
        <v>#DIV/0!</v>
      </c>
      <c r="AY151" s="293" t="e">
        <f t="shared" si="171"/>
        <v>#DIV/0!</v>
      </c>
      <c r="AZ151" s="293" t="e">
        <f t="shared" si="171"/>
        <v>#DIV/0!</v>
      </c>
      <c r="BB151" s="293" t="e">
        <f t="shared" si="172"/>
        <v>#DIV/0!</v>
      </c>
      <c r="BC151" s="293" t="e">
        <f t="shared" si="172"/>
        <v>#DIV/0!</v>
      </c>
      <c r="BE151" s="293" t="e">
        <f t="shared" si="173"/>
        <v>#DIV/0!</v>
      </c>
      <c r="BF151" s="293" t="e">
        <f t="shared" si="173"/>
        <v>#DIV/0!</v>
      </c>
      <c r="BH151" s="293" t="e">
        <f t="shared" si="174"/>
        <v>#DIV/0!</v>
      </c>
      <c r="BI151" s="293" t="e">
        <f t="shared" si="174"/>
        <v>#DIV/0!</v>
      </c>
      <c r="BK151" s="293" t="e">
        <f t="shared" si="175"/>
        <v>#DIV/0!</v>
      </c>
      <c r="BL151" s="293" t="e">
        <f t="shared" si="175"/>
        <v>#DIV/0!</v>
      </c>
      <c r="BN151" s="293" t="e">
        <f t="shared" si="176"/>
        <v>#DIV/0!</v>
      </c>
      <c r="BO151" s="293" t="e">
        <f t="shared" si="176"/>
        <v>#DIV/0!</v>
      </c>
      <c r="BQ151" s="293" t="e">
        <f t="shared" si="177"/>
        <v>#DIV/0!</v>
      </c>
      <c r="BR151" s="293" t="e">
        <f t="shared" si="177"/>
        <v>#DIV/0!</v>
      </c>
      <c r="BT151" s="293" t="e">
        <f t="shared" si="178"/>
        <v>#DIV/0!</v>
      </c>
      <c r="BU151" s="293" t="e">
        <f t="shared" si="178"/>
        <v>#DIV/0!</v>
      </c>
      <c r="BW151" s="293" t="e">
        <f t="shared" si="179"/>
        <v>#DIV/0!</v>
      </c>
      <c r="BX151" s="293" t="e">
        <f t="shared" si="179"/>
        <v>#DIV/0!</v>
      </c>
      <c r="BZ151" s="293" t="e">
        <f t="shared" si="180"/>
        <v>#DIV/0!</v>
      </c>
      <c r="CA151" s="293" t="e">
        <f t="shared" si="180"/>
        <v>#DIV/0!</v>
      </c>
      <c r="CC151" s="293" t="e">
        <f t="shared" si="181"/>
        <v>#DIV/0!</v>
      </c>
      <c r="CD151" s="293" t="e">
        <f t="shared" si="181"/>
        <v>#DIV/0!</v>
      </c>
      <c r="CF151" s="293" t="e">
        <f t="shared" si="182"/>
        <v>#DIV/0!</v>
      </c>
      <c r="CG151" s="293" t="e">
        <f t="shared" si="182"/>
        <v>#DIV/0!</v>
      </c>
      <c r="CI151" s="293" t="e">
        <f t="shared" si="183"/>
        <v>#DIV/0!</v>
      </c>
      <c r="CJ151" s="293" t="e">
        <f t="shared" si="183"/>
        <v>#DIV/0!</v>
      </c>
    </row>
    <row r="152" spans="1:88" hidden="1" x14ac:dyDescent="0.25">
      <c r="A152" s="101"/>
      <c r="B152" s="91" t="s">
        <v>1184</v>
      </c>
      <c r="C152" s="101"/>
      <c r="D152" s="101" t="s">
        <v>8</v>
      </c>
      <c r="E152" s="293" t="e">
        <f>E177/E184*100</f>
        <v>#DIV/0!</v>
      </c>
      <c r="F152" s="293">
        <f t="shared" si="159"/>
        <v>0</v>
      </c>
      <c r="G152" s="293">
        <f t="shared" si="159"/>
        <v>0</v>
      </c>
      <c r="H152" s="293">
        <f t="shared" si="159"/>
        <v>0</v>
      </c>
      <c r="I152" s="293">
        <f t="shared" si="159"/>
        <v>0</v>
      </c>
      <c r="J152" s="293">
        <f t="shared" si="159"/>
        <v>0</v>
      </c>
      <c r="K152" s="293">
        <f t="shared" si="159"/>
        <v>0</v>
      </c>
      <c r="L152" s="293">
        <f t="shared" si="159"/>
        <v>0</v>
      </c>
      <c r="M152" s="293">
        <f t="shared" si="159"/>
        <v>0</v>
      </c>
      <c r="N152" s="293">
        <f t="shared" si="159"/>
        <v>0</v>
      </c>
      <c r="O152" s="281"/>
      <c r="P152" s="293" t="e">
        <f t="shared" si="160"/>
        <v>#DIV/0!</v>
      </c>
      <c r="Q152" s="293">
        <f t="shared" si="160"/>
        <v>0</v>
      </c>
      <c r="R152" s="293" t="e">
        <f t="shared" si="160"/>
        <v>#DIV/0!</v>
      </c>
      <c r="S152" s="293" t="e">
        <f t="shared" si="160"/>
        <v>#DIV/0!</v>
      </c>
      <c r="U152" s="293" t="e">
        <f t="shared" si="161"/>
        <v>#DIV/0!</v>
      </c>
      <c r="V152" s="293" t="e">
        <f t="shared" si="161"/>
        <v>#DIV/0!</v>
      </c>
      <c r="X152" s="293" t="e">
        <f t="shared" si="162"/>
        <v>#DIV/0!</v>
      </c>
      <c r="Y152" s="293" t="e">
        <f t="shared" si="162"/>
        <v>#DIV/0!</v>
      </c>
      <c r="AA152" s="293" t="e">
        <f t="shared" si="163"/>
        <v>#DIV/0!</v>
      </c>
      <c r="AB152" s="293" t="e">
        <f t="shared" si="163"/>
        <v>#DIV/0!</v>
      </c>
      <c r="AD152" s="293" t="e">
        <f t="shared" si="164"/>
        <v>#DIV/0!</v>
      </c>
      <c r="AE152" s="293" t="e">
        <f t="shared" si="164"/>
        <v>#DIV/0!</v>
      </c>
      <c r="AG152" s="293" t="e">
        <f t="shared" si="165"/>
        <v>#DIV/0!</v>
      </c>
      <c r="AH152" s="293">
        <f t="shared" si="165"/>
        <v>0</v>
      </c>
      <c r="AJ152" s="293" t="e">
        <f t="shared" si="166"/>
        <v>#DIV/0!</v>
      </c>
      <c r="AK152" s="293" t="e">
        <f t="shared" si="166"/>
        <v>#DIV/0!</v>
      </c>
      <c r="AM152" s="293" t="e">
        <f t="shared" si="167"/>
        <v>#DIV/0!</v>
      </c>
      <c r="AN152" s="293" t="e">
        <f t="shared" si="167"/>
        <v>#DIV/0!</v>
      </c>
      <c r="AP152" s="293" t="e">
        <f t="shared" si="168"/>
        <v>#DIV/0!</v>
      </c>
      <c r="AQ152" s="293" t="e">
        <f t="shared" si="168"/>
        <v>#DIV/0!</v>
      </c>
      <c r="AS152" s="293" t="e">
        <f t="shared" si="169"/>
        <v>#DIV/0!</v>
      </c>
      <c r="AT152" s="293">
        <f t="shared" si="169"/>
        <v>0</v>
      </c>
      <c r="AV152" s="293" t="e">
        <f t="shared" si="170"/>
        <v>#DIV/0!</v>
      </c>
      <c r="AW152" s="293" t="e">
        <f t="shared" si="170"/>
        <v>#DIV/0!</v>
      </c>
      <c r="AY152" s="293" t="e">
        <f t="shared" si="171"/>
        <v>#DIV/0!</v>
      </c>
      <c r="AZ152" s="293" t="e">
        <f t="shared" si="171"/>
        <v>#DIV/0!</v>
      </c>
      <c r="BB152" s="293" t="e">
        <f t="shared" si="172"/>
        <v>#DIV/0!</v>
      </c>
      <c r="BC152" s="293">
        <f t="shared" si="172"/>
        <v>0</v>
      </c>
      <c r="BE152" s="293" t="e">
        <f t="shared" si="173"/>
        <v>#DIV/0!</v>
      </c>
      <c r="BF152" s="293" t="e">
        <f t="shared" si="173"/>
        <v>#DIV/0!</v>
      </c>
      <c r="BH152" s="293" t="e">
        <f t="shared" si="174"/>
        <v>#DIV/0!</v>
      </c>
      <c r="BI152" s="293">
        <f t="shared" si="174"/>
        <v>0</v>
      </c>
      <c r="BK152" s="293" t="e">
        <f t="shared" si="175"/>
        <v>#DIV/0!</v>
      </c>
      <c r="BL152" s="293" t="e">
        <f t="shared" si="175"/>
        <v>#DIV/0!</v>
      </c>
      <c r="BN152" s="293" t="e">
        <f t="shared" si="176"/>
        <v>#DIV/0!</v>
      </c>
      <c r="BO152" s="293" t="e">
        <f t="shared" si="176"/>
        <v>#DIV/0!</v>
      </c>
      <c r="BQ152" s="293" t="e">
        <f t="shared" si="177"/>
        <v>#DIV/0!</v>
      </c>
      <c r="BR152" s="293" t="e">
        <f t="shared" si="177"/>
        <v>#DIV/0!</v>
      </c>
      <c r="BT152" s="293" t="e">
        <f t="shared" si="178"/>
        <v>#DIV/0!</v>
      </c>
      <c r="BU152" s="293" t="e">
        <f t="shared" si="178"/>
        <v>#DIV/0!</v>
      </c>
      <c r="BW152" s="293" t="e">
        <f t="shared" si="179"/>
        <v>#DIV/0!</v>
      </c>
      <c r="BX152" s="293" t="e">
        <f t="shared" si="179"/>
        <v>#DIV/0!</v>
      </c>
      <c r="BZ152" s="293" t="e">
        <f t="shared" si="180"/>
        <v>#DIV/0!</v>
      </c>
      <c r="CA152" s="293" t="e">
        <f t="shared" si="180"/>
        <v>#DIV/0!</v>
      </c>
      <c r="CC152" s="293" t="e">
        <f t="shared" si="181"/>
        <v>#DIV/0!</v>
      </c>
      <c r="CD152" s="293" t="e">
        <f t="shared" si="181"/>
        <v>#DIV/0!</v>
      </c>
      <c r="CF152" s="293" t="e">
        <f t="shared" si="182"/>
        <v>#DIV/0!</v>
      </c>
      <c r="CG152" s="293" t="e">
        <f t="shared" si="182"/>
        <v>#DIV/0!</v>
      </c>
      <c r="CI152" s="293" t="e">
        <f t="shared" si="183"/>
        <v>#DIV/0!</v>
      </c>
      <c r="CJ152" s="293" t="e">
        <f t="shared" si="183"/>
        <v>#DIV/0!</v>
      </c>
    </row>
    <row r="153" spans="1:88" hidden="1" x14ac:dyDescent="0.25">
      <c r="A153" s="101"/>
      <c r="B153" s="91" t="s">
        <v>1183</v>
      </c>
      <c r="C153" s="101"/>
      <c r="D153" s="101" t="s">
        <v>8</v>
      </c>
      <c r="E153" s="293" t="e">
        <f>E178/E185*100</f>
        <v>#DIV/0!</v>
      </c>
      <c r="F153" s="293">
        <f t="shared" si="159"/>
        <v>0</v>
      </c>
      <c r="G153" s="293">
        <f t="shared" si="159"/>
        <v>0</v>
      </c>
      <c r="H153" s="293">
        <f t="shared" si="159"/>
        <v>0</v>
      </c>
      <c r="I153" s="293">
        <f t="shared" si="159"/>
        <v>0</v>
      </c>
      <c r="J153" s="293">
        <f t="shared" si="159"/>
        <v>0</v>
      </c>
      <c r="K153" s="293">
        <f t="shared" si="159"/>
        <v>0</v>
      </c>
      <c r="L153" s="293">
        <f t="shared" si="159"/>
        <v>0</v>
      </c>
      <c r="M153" s="293">
        <f t="shared" si="159"/>
        <v>0</v>
      </c>
      <c r="N153" s="293">
        <f t="shared" si="159"/>
        <v>0</v>
      </c>
      <c r="O153" s="281"/>
      <c r="P153" s="293" t="e">
        <f t="shared" si="160"/>
        <v>#DIV/0!</v>
      </c>
      <c r="Q153" s="293">
        <f t="shared" si="160"/>
        <v>0</v>
      </c>
      <c r="R153" s="293" t="e">
        <f t="shared" si="160"/>
        <v>#DIV/0!</v>
      </c>
      <c r="S153" s="293" t="e">
        <f t="shared" si="160"/>
        <v>#DIV/0!</v>
      </c>
      <c r="U153" s="293" t="e">
        <f t="shared" si="161"/>
        <v>#DIV/0!</v>
      </c>
      <c r="V153" s="293" t="e">
        <f t="shared" si="161"/>
        <v>#DIV/0!</v>
      </c>
      <c r="X153" s="293" t="e">
        <f t="shared" si="162"/>
        <v>#DIV/0!</v>
      </c>
      <c r="Y153" s="293" t="e">
        <f t="shared" si="162"/>
        <v>#DIV/0!</v>
      </c>
      <c r="AA153" s="293" t="e">
        <f t="shared" si="163"/>
        <v>#DIV/0!</v>
      </c>
      <c r="AB153" s="293" t="e">
        <f t="shared" si="163"/>
        <v>#DIV/0!</v>
      </c>
      <c r="AD153" s="293" t="e">
        <f t="shared" si="164"/>
        <v>#DIV/0!</v>
      </c>
      <c r="AE153" s="293" t="e">
        <f t="shared" si="164"/>
        <v>#DIV/0!</v>
      </c>
      <c r="AG153" s="293" t="e">
        <f t="shared" si="165"/>
        <v>#DIV/0!</v>
      </c>
      <c r="AH153" s="293">
        <f t="shared" si="165"/>
        <v>0</v>
      </c>
      <c r="AJ153" s="293" t="e">
        <f t="shared" si="166"/>
        <v>#DIV/0!</v>
      </c>
      <c r="AK153" s="293" t="e">
        <f t="shared" si="166"/>
        <v>#DIV/0!</v>
      </c>
      <c r="AM153" s="293" t="e">
        <f t="shared" si="167"/>
        <v>#DIV/0!</v>
      </c>
      <c r="AN153" s="293" t="e">
        <f t="shared" si="167"/>
        <v>#DIV/0!</v>
      </c>
      <c r="AP153" s="293" t="e">
        <f t="shared" si="168"/>
        <v>#DIV/0!</v>
      </c>
      <c r="AQ153" s="293" t="e">
        <f t="shared" si="168"/>
        <v>#DIV/0!</v>
      </c>
      <c r="AS153" s="293" t="e">
        <f t="shared" si="169"/>
        <v>#DIV/0!</v>
      </c>
      <c r="AT153" s="293">
        <f t="shared" si="169"/>
        <v>0</v>
      </c>
      <c r="AV153" s="293" t="e">
        <f t="shared" si="170"/>
        <v>#DIV/0!</v>
      </c>
      <c r="AW153" s="293" t="e">
        <f t="shared" si="170"/>
        <v>#DIV/0!</v>
      </c>
      <c r="AY153" s="293" t="e">
        <f t="shared" si="171"/>
        <v>#DIV/0!</v>
      </c>
      <c r="AZ153" s="293" t="e">
        <f t="shared" si="171"/>
        <v>#DIV/0!</v>
      </c>
      <c r="BB153" s="293" t="e">
        <f t="shared" si="172"/>
        <v>#DIV/0!</v>
      </c>
      <c r="BC153" s="293">
        <f t="shared" si="172"/>
        <v>0</v>
      </c>
      <c r="BE153" s="293" t="e">
        <f t="shared" si="173"/>
        <v>#DIV/0!</v>
      </c>
      <c r="BF153" s="293" t="e">
        <f t="shared" si="173"/>
        <v>#DIV/0!</v>
      </c>
      <c r="BH153" s="293" t="e">
        <f t="shared" si="174"/>
        <v>#DIV/0!</v>
      </c>
      <c r="BI153" s="293">
        <f t="shared" si="174"/>
        <v>0</v>
      </c>
      <c r="BK153" s="293" t="e">
        <f t="shared" si="175"/>
        <v>#DIV/0!</v>
      </c>
      <c r="BL153" s="293" t="e">
        <f t="shared" si="175"/>
        <v>#DIV/0!</v>
      </c>
      <c r="BN153" s="293" t="e">
        <f t="shared" si="176"/>
        <v>#DIV/0!</v>
      </c>
      <c r="BO153" s="293" t="e">
        <f t="shared" si="176"/>
        <v>#DIV/0!</v>
      </c>
      <c r="BQ153" s="293" t="e">
        <f t="shared" si="177"/>
        <v>#DIV/0!</v>
      </c>
      <c r="BR153" s="293" t="e">
        <f t="shared" si="177"/>
        <v>#DIV/0!</v>
      </c>
      <c r="BT153" s="293" t="e">
        <f t="shared" si="178"/>
        <v>#DIV/0!</v>
      </c>
      <c r="BU153" s="293" t="e">
        <f t="shared" si="178"/>
        <v>#DIV/0!</v>
      </c>
      <c r="BW153" s="293" t="e">
        <f t="shared" si="179"/>
        <v>#DIV/0!</v>
      </c>
      <c r="BX153" s="293" t="e">
        <f t="shared" si="179"/>
        <v>#DIV/0!</v>
      </c>
      <c r="BZ153" s="293" t="e">
        <f t="shared" si="180"/>
        <v>#DIV/0!</v>
      </c>
      <c r="CA153" s="293" t="e">
        <f t="shared" si="180"/>
        <v>#DIV/0!</v>
      </c>
      <c r="CC153" s="293" t="e">
        <f t="shared" si="181"/>
        <v>#DIV/0!</v>
      </c>
      <c r="CD153" s="293" t="e">
        <f t="shared" si="181"/>
        <v>#DIV/0!</v>
      </c>
      <c r="CF153" s="293" t="e">
        <f t="shared" si="182"/>
        <v>#DIV/0!</v>
      </c>
      <c r="CG153" s="293" t="e">
        <f t="shared" si="182"/>
        <v>#DIV/0!</v>
      </c>
      <c r="CI153" s="293" t="e">
        <f t="shared" si="183"/>
        <v>#DIV/0!</v>
      </c>
      <c r="CJ153" s="293" t="e">
        <f t="shared" si="183"/>
        <v>#DIV/0!</v>
      </c>
    </row>
    <row r="154" spans="1:88" hidden="1" x14ac:dyDescent="0.25">
      <c r="A154" s="101"/>
      <c r="B154" s="91" t="s">
        <v>1185</v>
      </c>
      <c r="C154" s="101"/>
      <c r="D154" s="101" t="s">
        <v>8</v>
      </c>
      <c r="E154" s="293" t="e">
        <f>E179/E186*100</f>
        <v>#DIV/0!</v>
      </c>
      <c r="F154" s="293" t="e">
        <f t="shared" si="159"/>
        <v>#DIV/0!</v>
      </c>
      <c r="G154" s="293" t="e">
        <f t="shared" si="159"/>
        <v>#DIV/0!</v>
      </c>
      <c r="H154" s="293" t="e">
        <f t="shared" si="159"/>
        <v>#DIV/0!</v>
      </c>
      <c r="I154" s="293" t="e">
        <f t="shared" si="159"/>
        <v>#DIV/0!</v>
      </c>
      <c r="J154" s="293" t="e">
        <f t="shared" si="159"/>
        <v>#DIV/0!</v>
      </c>
      <c r="K154" s="293" t="e">
        <f t="shared" si="159"/>
        <v>#DIV/0!</v>
      </c>
      <c r="L154" s="293" t="e">
        <f t="shared" si="159"/>
        <v>#DIV/0!</v>
      </c>
      <c r="M154" s="293" t="e">
        <f t="shared" si="159"/>
        <v>#DIV/0!</v>
      </c>
      <c r="N154" s="293" t="e">
        <f t="shared" si="159"/>
        <v>#DIV/0!</v>
      </c>
      <c r="O154" s="281"/>
      <c r="P154" s="293" t="e">
        <f t="shared" si="160"/>
        <v>#DIV/0!</v>
      </c>
      <c r="Q154" s="293" t="e">
        <f t="shared" si="160"/>
        <v>#DIV/0!</v>
      </c>
      <c r="R154" s="293" t="e">
        <f t="shared" si="160"/>
        <v>#DIV/0!</v>
      </c>
      <c r="S154" s="293" t="e">
        <f t="shared" si="160"/>
        <v>#DIV/0!</v>
      </c>
      <c r="U154" s="293" t="e">
        <f t="shared" si="161"/>
        <v>#DIV/0!</v>
      </c>
      <c r="V154" s="293" t="e">
        <f t="shared" si="161"/>
        <v>#DIV/0!</v>
      </c>
      <c r="X154" s="293" t="e">
        <f t="shared" si="162"/>
        <v>#DIV/0!</v>
      </c>
      <c r="Y154" s="293" t="e">
        <f t="shared" si="162"/>
        <v>#DIV/0!</v>
      </c>
      <c r="AA154" s="293" t="e">
        <f t="shared" si="163"/>
        <v>#DIV/0!</v>
      </c>
      <c r="AB154" s="293" t="e">
        <f t="shared" si="163"/>
        <v>#DIV/0!</v>
      </c>
      <c r="AD154" s="293" t="e">
        <f t="shared" si="164"/>
        <v>#DIV/0!</v>
      </c>
      <c r="AE154" s="293" t="e">
        <f t="shared" si="164"/>
        <v>#DIV/0!</v>
      </c>
      <c r="AG154" s="293" t="e">
        <f t="shared" si="165"/>
        <v>#DIV/0!</v>
      </c>
      <c r="AH154" s="293" t="e">
        <f t="shared" si="165"/>
        <v>#DIV/0!</v>
      </c>
      <c r="AJ154" s="293" t="e">
        <f t="shared" si="166"/>
        <v>#DIV/0!</v>
      </c>
      <c r="AK154" s="293" t="e">
        <f t="shared" si="166"/>
        <v>#DIV/0!</v>
      </c>
      <c r="AM154" s="293" t="e">
        <f t="shared" si="167"/>
        <v>#DIV/0!</v>
      </c>
      <c r="AN154" s="293" t="e">
        <f t="shared" si="167"/>
        <v>#DIV/0!</v>
      </c>
      <c r="AP154" s="293" t="e">
        <f t="shared" si="168"/>
        <v>#DIV/0!</v>
      </c>
      <c r="AQ154" s="293" t="e">
        <f t="shared" si="168"/>
        <v>#DIV/0!</v>
      </c>
      <c r="AS154" s="293" t="e">
        <f t="shared" si="169"/>
        <v>#DIV/0!</v>
      </c>
      <c r="AT154" s="293" t="e">
        <f t="shared" si="169"/>
        <v>#DIV/0!</v>
      </c>
      <c r="AV154" s="293" t="e">
        <f t="shared" si="170"/>
        <v>#DIV/0!</v>
      </c>
      <c r="AW154" s="293" t="e">
        <f t="shared" si="170"/>
        <v>#DIV/0!</v>
      </c>
      <c r="AY154" s="293" t="e">
        <f t="shared" si="171"/>
        <v>#DIV/0!</v>
      </c>
      <c r="AZ154" s="293" t="e">
        <f t="shared" si="171"/>
        <v>#DIV/0!</v>
      </c>
      <c r="BB154" s="293" t="e">
        <f t="shared" si="172"/>
        <v>#DIV/0!</v>
      </c>
      <c r="BC154" s="293" t="e">
        <f t="shared" si="172"/>
        <v>#DIV/0!</v>
      </c>
      <c r="BE154" s="293" t="e">
        <f t="shared" si="173"/>
        <v>#DIV/0!</v>
      </c>
      <c r="BF154" s="293" t="e">
        <f t="shared" si="173"/>
        <v>#DIV/0!</v>
      </c>
      <c r="BH154" s="293" t="e">
        <f t="shared" si="174"/>
        <v>#DIV/0!</v>
      </c>
      <c r="BI154" s="293" t="e">
        <f t="shared" si="174"/>
        <v>#DIV/0!</v>
      </c>
      <c r="BK154" s="293" t="e">
        <f t="shared" si="175"/>
        <v>#DIV/0!</v>
      </c>
      <c r="BL154" s="293" t="e">
        <f t="shared" si="175"/>
        <v>#DIV/0!</v>
      </c>
      <c r="BN154" s="293" t="e">
        <f t="shared" si="176"/>
        <v>#DIV/0!</v>
      </c>
      <c r="BO154" s="293" t="e">
        <f t="shared" si="176"/>
        <v>#DIV/0!</v>
      </c>
      <c r="BQ154" s="293" t="e">
        <f t="shared" si="177"/>
        <v>#DIV/0!</v>
      </c>
      <c r="BR154" s="293" t="e">
        <f t="shared" si="177"/>
        <v>#DIV/0!</v>
      </c>
      <c r="BT154" s="293" t="e">
        <f t="shared" si="178"/>
        <v>#DIV/0!</v>
      </c>
      <c r="BU154" s="293" t="e">
        <f t="shared" si="178"/>
        <v>#DIV/0!</v>
      </c>
      <c r="BW154" s="293" t="e">
        <f t="shared" si="179"/>
        <v>#DIV/0!</v>
      </c>
      <c r="BX154" s="293" t="e">
        <f t="shared" si="179"/>
        <v>#DIV/0!</v>
      </c>
      <c r="BZ154" s="293" t="e">
        <f t="shared" si="180"/>
        <v>#DIV/0!</v>
      </c>
      <c r="CA154" s="293" t="e">
        <f t="shared" si="180"/>
        <v>#DIV/0!</v>
      </c>
      <c r="CC154" s="293" t="e">
        <f t="shared" si="181"/>
        <v>#DIV/0!</v>
      </c>
      <c r="CD154" s="293" t="e">
        <f t="shared" si="181"/>
        <v>#DIV/0!</v>
      </c>
      <c r="CF154" s="293" t="e">
        <f t="shared" si="182"/>
        <v>#DIV/0!</v>
      </c>
      <c r="CG154" s="293" t="e">
        <f t="shared" si="182"/>
        <v>#DIV/0!</v>
      </c>
      <c r="CI154" s="293" t="e">
        <f t="shared" si="183"/>
        <v>#DIV/0!</v>
      </c>
      <c r="CJ154" s="293" t="e">
        <f t="shared" si="183"/>
        <v>#DIV/0!</v>
      </c>
    </row>
    <row r="155" spans="1:88" x14ac:dyDescent="0.25">
      <c r="A155" s="101"/>
      <c r="B155" s="354" t="s">
        <v>2410</v>
      </c>
      <c r="C155" s="101"/>
      <c r="D155" s="101"/>
      <c r="E155" s="293"/>
      <c r="F155" s="293"/>
      <c r="G155" s="293"/>
      <c r="H155" s="293"/>
      <c r="I155" s="293"/>
      <c r="J155" s="293"/>
      <c r="K155" s="293"/>
      <c r="L155" s="293"/>
      <c r="M155" s="293"/>
      <c r="N155" s="293"/>
      <c r="O155" s="281"/>
      <c r="P155" s="293"/>
      <c r="Q155" s="293"/>
      <c r="R155" s="293"/>
      <c r="S155" s="293"/>
      <c r="U155" s="293"/>
      <c r="V155" s="293"/>
      <c r="X155" s="293"/>
      <c r="Y155" s="293"/>
      <c r="AA155" s="293"/>
      <c r="AB155" s="293"/>
      <c r="AD155" s="293"/>
      <c r="AE155" s="293"/>
      <c r="AG155" s="293"/>
      <c r="AH155" s="293"/>
      <c r="AJ155" s="293"/>
      <c r="AK155" s="293"/>
      <c r="AM155" s="293"/>
      <c r="AN155" s="293"/>
      <c r="AP155" s="293"/>
      <c r="AQ155" s="293"/>
      <c r="AS155" s="293"/>
      <c r="AT155" s="293"/>
      <c r="AV155" s="293"/>
      <c r="AW155" s="293"/>
      <c r="AY155" s="293"/>
      <c r="AZ155" s="293"/>
      <c r="BB155" s="293"/>
      <c r="BC155" s="293"/>
      <c r="BE155" s="293"/>
      <c r="BF155" s="293"/>
      <c r="BH155" s="293"/>
      <c r="BI155" s="293"/>
      <c r="BK155" s="293"/>
      <c r="BL155" s="293"/>
      <c r="BN155" s="293"/>
      <c r="BO155" s="293"/>
      <c r="BQ155" s="293"/>
      <c r="BR155" s="293"/>
      <c r="BT155" s="293"/>
      <c r="BU155" s="293"/>
      <c r="BW155" s="293"/>
      <c r="BX155" s="293"/>
      <c r="BZ155" s="293"/>
      <c r="CA155" s="293"/>
      <c r="CC155" s="293"/>
      <c r="CD155" s="293"/>
      <c r="CF155" s="293"/>
      <c r="CG155" s="293"/>
      <c r="CI155" s="293"/>
      <c r="CJ155" s="293"/>
    </row>
    <row r="156" spans="1:88" x14ac:dyDescent="0.25">
      <c r="A156" s="101"/>
      <c r="B156" s="96" t="s">
        <v>1608</v>
      </c>
      <c r="C156" s="101"/>
      <c r="D156" s="101" t="s">
        <v>8</v>
      </c>
      <c r="E156" s="293"/>
      <c r="F156" s="293"/>
      <c r="G156" s="293"/>
      <c r="H156" s="293"/>
      <c r="I156" s="293">
        <f>I190/$I$187*100</f>
        <v>3.8470006957716461</v>
      </c>
      <c r="J156" s="293">
        <f>(J191+J192)/($J$188+$J$189)*100</f>
        <v>3.9245391607563009</v>
      </c>
      <c r="K156" s="293">
        <f>(K191+K192)/($K$188+$K$189)*100</f>
        <v>3.715479884099592</v>
      </c>
      <c r="L156" s="293">
        <f t="shared" ref="L156:N156" si="184">(L191+L192)/($K$188+$K$189)*100</f>
        <v>1.6239732642717334E-2</v>
      </c>
      <c r="M156" s="293">
        <f t="shared" si="184"/>
        <v>2.3077514808072002E-2</v>
      </c>
      <c r="N156" s="293">
        <f t="shared" si="184"/>
        <v>2.2222792037402669E-2</v>
      </c>
      <c r="O156" s="281"/>
      <c r="P156" s="293">
        <f>(P191+P192)/(P188+P189)*100</f>
        <v>3.715479884099592</v>
      </c>
      <c r="Q156" s="293">
        <f>(Q191+Q192)/(Q188+Q189)*100</f>
        <v>4.2263073982400661</v>
      </c>
      <c r="R156" s="293">
        <f>(R191+R192)/(R188+R189)*100</f>
        <v>3.0487804878048781</v>
      </c>
      <c r="S156" s="293">
        <f>(S191+S192)/(S188+S189)*100</f>
        <v>3.9</v>
      </c>
      <c r="U156" s="293">
        <f>(U191+U192)/(U188+U189)*100</f>
        <v>0</v>
      </c>
      <c r="V156" s="293">
        <f>(V191+V192)/(V188+V189)*100</f>
        <v>0</v>
      </c>
      <c r="X156" s="293">
        <f>(X191+X192)/(X188+X189)*100</f>
        <v>1.695736434108527</v>
      </c>
      <c r="Y156" s="293">
        <f>(Y191+Y192)/(Y188+Y189)*100</f>
        <v>1.21580547112462</v>
      </c>
      <c r="AA156" s="293">
        <f>(AA191+AA192)/(AA188+AA189)*100</f>
        <v>0.75471698113207553</v>
      </c>
      <c r="AB156" s="293">
        <f>(AB191+AB192)/(AB188+AB189)*100</f>
        <v>1.048313582497721</v>
      </c>
      <c r="AD156" s="293">
        <f>(AD191+AD192)/(AD188+AD189)*100</f>
        <v>0</v>
      </c>
      <c r="AE156" s="293">
        <f>(AE191+AE192)/(AE188+AE189)*100</f>
        <v>7.4109720885466803</v>
      </c>
      <c r="AG156" s="293">
        <f>(AG191+AG192)/(AG188+AG189)*100</f>
        <v>1.4814814814814816</v>
      </c>
      <c r="AH156" s="293">
        <f>(AH191+AH192)/(AH188+AH189)*100</f>
        <v>1.0382513661202186</v>
      </c>
      <c r="AJ156" s="293">
        <f>(AJ191+AJ192)/(AJ188+AJ189)*100</f>
        <v>10.35031847133758</v>
      </c>
      <c r="AK156" s="293">
        <f>(AK191+AK192)/(AK188+AK189)*100</f>
        <v>10.397553516819572</v>
      </c>
      <c r="AM156" s="293">
        <f>(AM191+AM192)/(AM188+AM189)*100</f>
        <v>3.1148766508846251</v>
      </c>
      <c r="AN156" s="293">
        <f>(AN191+AN192)/(AN188+AN189)*100</f>
        <v>3.6070304302203566</v>
      </c>
      <c r="AP156" s="293">
        <f>(AP191+AP192)/(AP188+AP189)*100</f>
        <v>0</v>
      </c>
      <c r="AQ156" s="293">
        <f>(AQ191+AQ192)/(AQ188+AQ189)*100</f>
        <v>0</v>
      </c>
      <c r="AS156" s="293">
        <f>(AS191+AS192)/(AS188+AS189)*100</f>
        <v>3.5432098765432101</v>
      </c>
      <c r="AT156" s="293">
        <f>(AT191+AT192)/(AT188+AT189)*100</f>
        <v>4.2458652184645764</v>
      </c>
      <c r="AV156" s="293">
        <f>(AV191+AV192)/(AV188+AV189)*100</f>
        <v>6.4139941690962097</v>
      </c>
      <c r="AW156" s="293">
        <f>(AW191+AW192)/(AW188+AW189)*100</f>
        <v>5.9127170342562181</v>
      </c>
      <c r="AY156" s="293">
        <f>(AY191+AY192)/(AY188+AY189)*100</f>
        <v>11.117007163703899</v>
      </c>
      <c r="AZ156" s="293">
        <f>(AZ191+AZ192)/(AZ188+AZ189)*100</f>
        <v>11.14972487691862</v>
      </c>
      <c r="BB156" s="293">
        <f>(BB191+BB192)/(BB188+BB189)*100</f>
        <v>1.1127902184365985</v>
      </c>
      <c r="BC156" s="293">
        <f>(BC191+BC192)/(BC188+BC189)*100</f>
        <v>1.4832393948383269</v>
      </c>
      <c r="BE156" s="293">
        <f>(BE191+BE192)/(BE188+BE189)*100</f>
        <v>4.2099818981122317</v>
      </c>
      <c r="BF156" s="293">
        <f>(BF191+BF192)/(BF188+BF189)*100</f>
        <v>4.9050302650803586</v>
      </c>
      <c r="BH156" s="293">
        <f>(BH191+BH192)/(BH188+BH189)*100</f>
        <v>4.4595469255663431</v>
      </c>
      <c r="BI156" s="293">
        <f>(BI191+BI192)/(BI188+BI189)*100</f>
        <v>4.7746627117022298</v>
      </c>
      <c r="BK156" s="293">
        <f>(BK191+BK192)/(BK188+BK189)*100</f>
        <v>0</v>
      </c>
      <c r="BL156" s="293">
        <f>(BL191+BL192)/(BL188+BL189)*100</f>
        <v>0</v>
      </c>
      <c r="BN156" s="293">
        <f>(BN191+BN192)/(BN188+BN189)*100</f>
        <v>9.473299195318214</v>
      </c>
      <c r="BO156" s="293">
        <f>(BO191+BO192)/(BO188+BO189)*100</f>
        <v>9.9029126213592242</v>
      </c>
      <c r="BQ156" s="293">
        <f>(BQ191+BQ192)/(BQ188+BQ189)*100</f>
        <v>0.73367571533382248</v>
      </c>
      <c r="BR156" s="293">
        <f>(BR191+BR192)/(BR188+BR189)*100</f>
        <v>1.5507883173946757</v>
      </c>
      <c r="BT156" s="293">
        <f>(BT191+BT192)/(BT188+BT189)*100</f>
        <v>0.71959702566562722</v>
      </c>
      <c r="BU156" s="293">
        <f>(BU191+BU192)/(BU188+BU189)*100</f>
        <v>1.1587771203155819</v>
      </c>
      <c r="BW156" s="293">
        <f>(BW191+BW192)/(BW188+BW189)*100</f>
        <v>2.6246719160104988</v>
      </c>
      <c r="BX156" s="293">
        <f>(BX191+BX192)/(BX188+BX189)*100</f>
        <v>2.4163568773234201</v>
      </c>
      <c r="BZ156" s="293">
        <f>(BZ191+BZ192)/(BZ188+BZ189)*100</f>
        <v>0.65982404692082108</v>
      </c>
      <c r="CA156" s="293">
        <f>(CA191+CA192)/(CA188+CA189)*100</f>
        <v>0.23800079333597779</v>
      </c>
      <c r="CC156" s="293">
        <f>(CC191+CC192)/(CC188+CC189)*100</f>
        <v>0.8273787138021812</v>
      </c>
      <c r="CD156" s="293">
        <f>(CD191+CD192)/(CD188+CD189)*100</f>
        <v>0.99364069952305245</v>
      </c>
      <c r="CF156" s="293">
        <f>(CF191+CF192)/(CF188+CF189)*100</f>
        <v>100</v>
      </c>
      <c r="CG156" s="293">
        <f>(CG191+CG192)/(CG188+CG189)*100</f>
        <v>100</v>
      </c>
      <c r="CI156" s="293" t="e">
        <f>(CI191+CI192)/(CI188+CI189)*100</f>
        <v>#DIV/0!</v>
      </c>
      <c r="CJ156" s="293" t="e">
        <f>(CJ191+CJ192)/(CJ188+CJ189)*100</f>
        <v>#DIV/0!</v>
      </c>
    </row>
    <row r="157" spans="1:88" x14ac:dyDescent="0.25">
      <c r="A157" s="101"/>
      <c r="B157" s="96" t="s">
        <v>1609</v>
      </c>
      <c r="C157" s="101"/>
      <c r="D157" s="101" t="s">
        <v>8</v>
      </c>
      <c r="E157" s="293"/>
      <c r="F157" s="293"/>
      <c r="G157" s="293"/>
      <c r="H157" s="293"/>
      <c r="I157" s="293">
        <f>I193/$I$187*100</f>
        <v>93.034357027733989</v>
      </c>
      <c r="J157" s="293">
        <f>(J194+J195)/($J$188+$J$189)*100</f>
        <v>94.0856847842646</v>
      </c>
      <c r="K157" s="293">
        <f>(K194+K195)/($K$188+$K$189)*100</f>
        <v>93.483593596417009</v>
      </c>
      <c r="L157" s="293">
        <f t="shared" ref="L157:N157" si="185">(L194+L195)/($K$188+$K$189)*100</f>
        <v>1.4735420566339308</v>
      </c>
      <c r="M157" s="293">
        <f t="shared" si="185"/>
        <v>1.0538731762352882</v>
      </c>
      <c r="N157" s="293">
        <f t="shared" si="185"/>
        <v>1.1598587997982854</v>
      </c>
      <c r="O157" s="281"/>
      <c r="P157" s="293">
        <f>(P194+P195)/(P188+P189)*100</f>
        <v>94.025487833021359</v>
      </c>
      <c r="Q157" s="293">
        <f>(Q194+Q195)/(Q188+Q189)*100</f>
        <v>93.06332414315537</v>
      </c>
      <c r="R157" s="293">
        <f>(R194+R195)/(R188+R189)*100</f>
        <v>96.951219512195124</v>
      </c>
      <c r="S157" s="293">
        <f>(S194+S195)/(S188+S189)*100</f>
        <v>96.1</v>
      </c>
      <c r="U157" s="293">
        <f>(U194+U195)/(U188+U189)*100</f>
        <v>96.482412060301499</v>
      </c>
      <c r="V157" s="293">
        <f>(V194+V195)/(V188+V189)*100</f>
        <v>91.366906474820141</v>
      </c>
      <c r="X157" s="293">
        <f>(X194+X195)/(X188+X189)*100</f>
        <v>92.248062015503876</v>
      </c>
      <c r="Y157" s="293">
        <f>(Y194+Y195)/(Y188+Y189)*100</f>
        <v>90.932117527862204</v>
      </c>
      <c r="AA157" s="293">
        <f>(AA194+AA195)/(AA188+AA189)*100</f>
        <v>99.245283018867923</v>
      </c>
      <c r="AB157" s="293">
        <f>(AB194+AB195)/(AB188+AB189)*100</f>
        <v>98.495897903372835</v>
      </c>
      <c r="AD157" s="293">
        <f>(AD194+AD195)/(AD188+AD189)*100</f>
        <v>86.46748681898066</v>
      </c>
      <c r="AE157" s="293">
        <f>(AE194+AE195)/(AE188+AE189)*100</f>
        <v>88.8354186717998</v>
      </c>
      <c r="AG157" s="293">
        <f>(AG194+AG195)/(AG188+AG189)*100</f>
        <v>84.603174603174608</v>
      </c>
      <c r="AH157" s="293">
        <f>(AH194+AH195)/(AH188+AH189)*100</f>
        <v>82.076502732240442</v>
      </c>
      <c r="AJ157" s="293">
        <f>(AJ194+AJ195)/(AJ188+AJ189)*100</f>
        <v>79.044585987261158</v>
      </c>
      <c r="AK157" s="293">
        <f>(AK194+AK195)/(AK188+AK189)*100</f>
        <v>78.219503907577305</v>
      </c>
      <c r="AM157" s="293">
        <f>(AM194+AM195)/(AM188+AM189)*100</f>
        <v>92.898081235983057</v>
      </c>
      <c r="AN157" s="293">
        <f>(AN194+AN195)/(AN188+AN189)*100</f>
        <v>85.978488982161593</v>
      </c>
      <c r="AP157" s="293">
        <f>(AP194+AP195)/(AP188+AP189)*100</f>
        <v>92.949354518371393</v>
      </c>
      <c r="AQ157" s="293">
        <f>(AQ194+AQ195)/(AQ188+AQ189)*100</f>
        <v>190.43570669500531</v>
      </c>
      <c r="AS157" s="293">
        <f>(AS194+AS195)/(AS188+AS189)*100</f>
        <v>96.456790123456798</v>
      </c>
      <c r="AT157" s="293">
        <f>(AT194+AT195)/(AT188+AT189)*100</f>
        <v>95.235744260676384</v>
      </c>
      <c r="AV157" s="293">
        <f>(AV194+AV195)/(AV188+AV189)*100</f>
        <v>92.877967513536035</v>
      </c>
      <c r="AW157" s="293">
        <f>(AW194+AW195)/(AW188+AW189)*100</f>
        <v>91.412482402627873</v>
      </c>
      <c r="AY157" s="293">
        <f>(AY194+AY195)/(AY188+AY189)*100</f>
        <v>79.357919872645269</v>
      </c>
      <c r="AZ157" s="293">
        <f>(AZ194+AZ195)/(AZ188+AZ189)*100</f>
        <v>75.731248189979723</v>
      </c>
      <c r="BB157" s="293">
        <f>(BB194+BB195)/(BB188+BB189)*100</f>
        <v>96.428080780326965</v>
      </c>
      <c r="BC157" s="293">
        <f>(BC194+BC195)/(BC188+BC189)*100</f>
        <v>96.499555028181547</v>
      </c>
      <c r="BE157" s="293">
        <f>(BE194+BE195)/(BE188+BE189)*100</f>
        <v>95.790018101887767</v>
      </c>
      <c r="BF157" s="293">
        <f>(BF194+BF195)/(BF188+BF189)*100</f>
        <v>95.094969734919644</v>
      </c>
      <c r="BH157" s="293">
        <f>(BH194+BH195)/(BH188+BH189)*100</f>
        <v>95.375404530744333</v>
      </c>
      <c r="BI157" s="293">
        <f>(BI194+BI195)/(BI188+BI189)*100</f>
        <v>94.845788281823104</v>
      </c>
      <c r="BK157" s="293">
        <f>(BK194+BK195)/(BK188+BK189)*100</f>
        <v>98.400556328233662</v>
      </c>
      <c r="BL157" s="293">
        <f>(BL194+BL195)/(BL188+BL189)*100</f>
        <v>97.585281717133</v>
      </c>
      <c r="BN157" s="293">
        <f>(BN194+BN195)/(BN188+BN189)*100</f>
        <v>90.526700804681781</v>
      </c>
      <c r="BO157" s="293">
        <f>(BO194+BO195)/(BO188+BO189)*100</f>
        <v>88.621359223300971</v>
      </c>
      <c r="BQ157" s="293">
        <f>(BQ194+BQ195)/(BQ188+BQ189)*100</f>
        <v>96.771826852531177</v>
      </c>
      <c r="BR157" s="293">
        <f>(BR194+BR195)/(BR188+BR189)*100</f>
        <v>81.726544326699397</v>
      </c>
      <c r="BT157" s="293">
        <f>(BT194+BT195)/(BT188+BT189)*100</f>
        <v>99.280402974334365</v>
      </c>
      <c r="BU157" s="293">
        <f>(BU194+BU195)/(BU188+BU189)*100</f>
        <v>98.841222879684423</v>
      </c>
      <c r="BW157" s="293">
        <f>(BW194+BW195)/(BW188+BW189)*100</f>
        <v>89.851268591426077</v>
      </c>
      <c r="BX157" s="293">
        <f>(BX194+BX195)/(BX188+BX189)*100</f>
        <v>80.85501858736059</v>
      </c>
      <c r="BZ157" s="293">
        <f>(BZ194+BZ195)/(BZ188+BZ189)*100</f>
        <v>88.709677419354833</v>
      </c>
      <c r="CA157" s="293">
        <f>(CA194+CA195)/(CA188+CA189)*100</f>
        <v>89.329631098770335</v>
      </c>
      <c r="CC157" s="293">
        <f>(CC194+CC195)/(CC188+CC189)*100</f>
        <v>98.044377585558479</v>
      </c>
      <c r="CD157" s="293">
        <f>(CD194+CD195)/(CD188+CD189)*100</f>
        <v>94.83306836248012</v>
      </c>
      <c r="CF157" s="293">
        <f>(CF194+CF195)/(CF188+CF189)*100</f>
        <v>0</v>
      </c>
      <c r="CG157" s="293">
        <f>(CG194+CG195)/(CG188+CG189)*100</f>
        <v>0</v>
      </c>
      <c r="CI157" s="293" t="e">
        <f>(CI194+CI195)/(CI188+CI189)*100</f>
        <v>#DIV/0!</v>
      </c>
      <c r="CJ157" s="293" t="e">
        <f>(CJ194+CJ195)/(CJ188+CJ189)*100</f>
        <v>#DIV/0!</v>
      </c>
    </row>
    <row r="158" spans="1:88" x14ac:dyDescent="0.25">
      <c r="A158" s="101"/>
      <c r="B158" s="96" t="s">
        <v>1610</v>
      </c>
      <c r="C158" s="101"/>
      <c r="D158" s="101" t="s">
        <v>8</v>
      </c>
      <c r="E158" s="293"/>
      <c r="F158" s="293"/>
      <c r="G158" s="293"/>
      <c r="H158" s="293"/>
      <c r="I158" s="293">
        <f>I196/$I$187*100</f>
        <v>0.27390504038117713</v>
      </c>
      <c r="J158" s="293">
        <f>(J197+J198)/($J$188+$J$189)*100</f>
        <v>0.19042943954500061</v>
      </c>
      <c r="K158" s="293">
        <f>(K197+K198)/($K$188+$K$189)*100</f>
        <v>0.56839064249510673</v>
      </c>
      <c r="L158" s="293">
        <f t="shared" ref="L158:N158" si="186">(L197+L198)/($K$188+$K$189)*100</f>
        <v>0</v>
      </c>
      <c r="M158" s="293">
        <f t="shared" si="186"/>
        <v>0</v>
      </c>
      <c r="N158" s="293">
        <f t="shared" si="186"/>
        <v>0</v>
      </c>
      <c r="O158" s="281"/>
      <c r="P158" s="293">
        <f>(P197+P198)/(P188+P189)*100</f>
        <v>0.10000256416831202</v>
      </c>
      <c r="Q158" s="293">
        <f>(Q197+Q198)/(Q188+Q189)*100</f>
        <v>6.8706122772556305E-2</v>
      </c>
      <c r="R158" s="293">
        <f>(R197+R198)/(R188+R189)*100</f>
        <v>0</v>
      </c>
      <c r="S158" s="293">
        <f>(S197+S198)/(S188+S189)*100</f>
        <v>0</v>
      </c>
      <c r="U158" s="293">
        <f>(U197+U198)/(U188+U189)*100</f>
        <v>0</v>
      </c>
      <c r="V158" s="293">
        <f>(V197+V198)/(V188+V189)*100</f>
        <v>0</v>
      </c>
      <c r="X158" s="293">
        <f>(X197+X198)/(X188+X189)*100</f>
        <v>0</v>
      </c>
      <c r="Y158" s="293">
        <f>(Y197+Y198)/(Y188+Y189)*100</f>
        <v>0</v>
      </c>
      <c r="AA158" s="293">
        <f>(AA197+AA198)/(AA188+AA189)*100</f>
        <v>0</v>
      </c>
      <c r="AB158" s="293">
        <f>(AB197+AB198)/(AB188+AB189)*100</f>
        <v>0</v>
      </c>
      <c r="AD158" s="293">
        <f>(AD197+AD198)/(AD188+AD189)*100</f>
        <v>5.1405975395430579</v>
      </c>
      <c r="AE158" s="293">
        <f>(AE197+AE198)/(AE188+AE189)*100</f>
        <v>3.753609239653513</v>
      </c>
      <c r="AG158" s="293">
        <f>(AG197+AG198)/(AG188+AG189)*100</f>
        <v>0</v>
      </c>
      <c r="AH158" s="293">
        <f>(AH197+AH198)/(AH188+AH189)*100</f>
        <v>0</v>
      </c>
      <c r="AJ158" s="293">
        <f>(AJ197+AJ198)/(AJ188+AJ189)*100</f>
        <v>0</v>
      </c>
      <c r="AK158" s="293">
        <f>(AK197+AK198)/(AK188+AK189)*100</f>
        <v>0</v>
      </c>
      <c r="AM158" s="293">
        <f>(AM197+AM198)/(AM188+AM189)*100</f>
        <v>0</v>
      </c>
      <c r="AN158" s="293">
        <f>(AN197+AN198)/(AN188+AN189)*100</f>
        <v>0</v>
      </c>
      <c r="AP158" s="293">
        <f>(AP197+AP198)/(AP188+AP189)*100</f>
        <v>0</v>
      </c>
      <c r="AQ158" s="293">
        <f>(AQ197+AQ198)/(AQ188+AQ189)*100</f>
        <v>0</v>
      </c>
      <c r="AS158" s="293">
        <f>(AS197+AS198)/(AS188+AS189)*100</f>
        <v>0</v>
      </c>
      <c r="AT158" s="293">
        <f>(AT197+AT198)/(AT188+AT189)*100</f>
        <v>0</v>
      </c>
      <c r="AV158" s="293">
        <f>(AV197+AV198)/(AV188+AV189)*100</f>
        <v>0</v>
      </c>
      <c r="AW158" s="293">
        <f>(AW197+AW198)/(AW188+AW189)*100</f>
        <v>0</v>
      </c>
      <c r="AY158" s="293">
        <f>(AY197+AY198)/(AY188+AY189)*100</f>
        <v>0</v>
      </c>
      <c r="AZ158" s="293">
        <f>(AZ197+AZ198)/(AZ188+AZ189)*100</f>
        <v>0</v>
      </c>
      <c r="BB158" s="293">
        <f>(BB197+BB198)/(BB188+BB189)*100</f>
        <v>0</v>
      </c>
      <c r="BC158" s="293">
        <f>(BC197+BC198)/(BC188+BC189)*100</f>
        <v>0</v>
      </c>
      <c r="BE158" s="293">
        <f>(BE197+BE198)/(BE188+BE189)*100</f>
        <v>0</v>
      </c>
      <c r="BF158" s="293">
        <f>(BF197+BF198)/(BF188+BF189)*100</f>
        <v>0</v>
      </c>
      <c r="BH158" s="293">
        <f>(BH197+BH198)/(BH188+BH189)*100</f>
        <v>0</v>
      </c>
      <c r="BI158" s="293">
        <f>(BI197+BI198)/(BI188+BI189)*100</f>
        <v>0</v>
      </c>
      <c r="BK158" s="293">
        <f>(BK197+BK198)/(BK188+BK189)*100</f>
        <v>0</v>
      </c>
      <c r="BL158" s="293">
        <f>(BL197+BL198)/(BL188+BL189)*100</f>
        <v>0</v>
      </c>
      <c r="BN158" s="293">
        <f>(BN197+BN198)/(BN188+BN189)*100</f>
        <v>0</v>
      </c>
      <c r="BO158" s="293">
        <f>(BO197+BO198)/(BO188+BO189)*100</f>
        <v>0</v>
      </c>
      <c r="BQ158" s="293">
        <f>(BQ197+BQ198)/(BQ188+BQ189)*100</f>
        <v>0</v>
      </c>
      <c r="BR158" s="293">
        <f>(BR197+BR198)/(BR188+BR189)*100</f>
        <v>0</v>
      </c>
      <c r="BT158" s="293">
        <f>(BT197+BT198)/(BT188+BT189)*100</f>
        <v>0</v>
      </c>
      <c r="BU158" s="293">
        <f>(BU197+BU198)/(BU188+BU189)*100</f>
        <v>0</v>
      </c>
      <c r="BW158" s="293">
        <f>(BW197+BW198)/(BW188+BW189)*100</f>
        <v>0</v>
      </c>
      <c r="BX158" s="293">
        <f>(BX197+BX198)/(BX188+BX189)*100</f>
        <v>0</v>
      </c>
      <c r="BZ158" s="293">
        <f>(BZ197+BZ198)/(BZ188+BZ189)*100</f>
        <v>0</v>
      </c>
      <c r="CA158" s="293">
        <f>(CA197+CA198)/(CA188+CA189)*100</f>
        <v>0</v>
      </c>
      <c r="CC158" s="293">
        <f>(CC197+CC198)/(CC188+CC189)*100</f>
        <v>0</v>
      </c>
      <c r="CD158" s="293">
        <f>(CD197+CD198)/(CD188+CD189)*100</f>
        <v>0</v>
      </c>
      <c r="CF158" s="293">
        <f>(CF197+CF198)/(CF188+CF189)*100</f>
        <v>0</v>
      </c>
      <c r="CG158" s="293">
        <f>(CG197+CG198)/(CG188+CG189)*100</f>
        <v>0</v>
      </c>
      <c r="CI158" s="293" t="e">
        <f>(CI197+CI198)/(CI188+CI189)*100</f>
        <v>#DIV/0!</v>
      </c>
      <c r="CJ158" s="293" t="e">
        <f>(CJ197+CJ198)/(CJ188+CJ189)*100</f>
        <v>#DIV/0!</v>
      </c>
    </row>
    <row r="159" spans="1:88" x14ac:dyDescent="0.25">
      <c r="A159" s="101"/>
      <c r="B159" s="96" t="s">
        <v>1611</v>
      </c>
      <c r="C159" s="101"/>
      <c r="D159" s="101" t="s">
        <v>8</v>
      </c>
      <c r="E159" s="293"/>
      <c r="F159" s="293"/>
      <c r="G159" s="293"/>
      <c r="H159" s="293"/>
      <c r="I159" s="293">
        <f>I199/$I$187*100</f>
        <v>1.8961979162079565</v>
      </c>
      <c r="J159" s="293">
        <f>(J200+J201)/($J$188+$J$189)*100</f>
        <v>1.4794251569984935</v>
      </c>
      <c r="K159" s="293">
        <f>(K200+K201)/($K$188+$K$189)*100</f>
        <v>1.7991914322589466</v>
      </c>
      <c r="L159" s="293">
        <f t="shared" ref="L159:N159" si="187">(L200+L201)/($K$188+$K$189)*100</f>
        <v>7.4360881048232005E-2</v>
      </c>
      <c r="M159" s="293">
        <f t="shared" si="187"/>
        <v>0.12564424728839202</v>
      </c>
      <c r="N159" s="293">
        <f t="shared" si="187"/>
        <v>0.21197124712599469</v>
      </c>
      <c r="O159" s="281"/>
      <c r="P159" s="293">
        <f>(P200+P201)/(P188+P189)*100</f>
        <v>1.8692786994538322</v>
      </c>
      <c r="Q159" s="293">
        <f>(Q200+Q201)/(Q188+Q189)*100</f>
        <v>2.565909431236622</v>
      </c>
      <c r="R159" s="293">
        <f>(R200+R201)/(R188+R189)*100</f>
        <v>2.9549718574108819</v>
      </c>
      <c r="S159" s="293">
        <f>(S200+S201)/(S188+S189)*100</f>
        <v>0</v>
      </c>
      <c r="U159" s="293">
        <f>(U200+U201)/(U188+U189)*100</f>
        <v>0</v>
      </c>
      <c r="V159" s="293">
        <f>(V200+V201)/(V188+V189)*100</f>
        <v>5.9352517985611506</v>
      </c>
      <c r="X159" s="293">
        <f>(X200+X201)/(X188+X189)*100</f>
        <v>6.0562015503875966</v>
      </c>
      <c r="Y159" s="293">
        <f>(Y200+Y201)/(Y188+Y189)*100</f>
        <v>7.8520770010131722</v>
      </c>
      <c r="AA159" s="293">
        <f>(AA200+AA201)/(AA188+AA189)*100</f>
        <v>0</v>
      </c>
      <c r="AB159" s="293">
        <f>(AB200+AB201)/(AB188+AB189)*100</f>
        <v>0.45578851412944388</v>
      </c>
      <c r="AD159" s="293">
        <f>(AD200+AD201)/(AD188+AD189)*100</f>
        <v>8.3919156414762739</v>
      </c>
      <c r="AE159" s="293">
        <f>(AE200+AE201)/(AE188+AE189)*100</f>
        <v>0</v>
      </c>
      <c r="AG159" s="293">
        <f>(AG200+AG201)/(AG188+AG189)*100</f>
        <v>5.9259259259259265</v>
      </c>
      <c r="AH159" s="293">
        <f>(AH200+AH201)/(AH188+AH189)*100</f>
        <v>4.7540983606557372</v>
      </c>
      <c r="AJ159" s="293">
        <f>(AJ200+AJ201)/(AJ188+AJ189)*100</f>
        <v>10.605095541401274</v>
      </c>
      <c r="AK159" s="293">
        <f>(AK200+AK201)/(AK188+AK189)*100</f>
        <v>11.382942575603126</v>
      </c>
      <c r="AM159" s="293">
        <f>(AM200+AM201)/(AM188+AM189)*100</f>
        <v>3.9247445801146275</v>
      </c>
      <c r="AN159" s="293">
        <f>(AN200+AN201)/(AN188+AN189)*100</f>
        <v>10.414480587618048</v>
      </c>
      <c r="AP159" s="293">
        <f>(AP200+AP201)/(AP188+AP189)*100</f>
        <v>4.6673286991062559</v>
      </c>
      <c r="AQ159" s="293">
        <f>(AQ200+AQ201)/(AQ188+AQ189)*100</f>
        <v>9.5642933049946866</v>
      </c>
      <c r="AS159" s="293">
        <f>(AS200+AS201)/(AS188+AS189)*100</f>
        <v>0</v>
      </c>
      <c r="AT159" s="293">
        <f>(AT200+AT201)/(AT188+AT189)*100</f>
        <v>0.37027894347074797</v>
      </c>
      <c r="AV159" s="293">
        <f>(AV200+AV201)/(AV188+AV189)*100</f>
        <v>0.70803831736776335</v>
      </c>
      <c r="AW159" s="293">
        <f>(AW200+AW201)/(AW188+AW189)*100</f>
        <v>2.674800563115908</v>
      </c>
      <c r="AY159" s="293">
        <f>(AY200+AY201)/(AY188+AY189)*100</f>
        <v>9.5250729636508353</v>
      </c>
      <c r="AZ159" s="293">
        <f>(AZ200+AZ201)/(AZ188+AZ189)*100</f>
        <v>13.119026933101651</v>
      </c>
      <c r="BB159" s="293">
        <f>(BB200+BB201)/(BB188+BB189)*100</f>
        <v>0.13738150844896277</v>
      </c>
      <c r="BC159" s="293">
        <f>(BC200+BC201)/(BC188+BC189)*100</f>
        <v>0</v>
      </c>
      <c r="BE159" s="293">
        <f>(BE200+BE201)/(BE188+BE189)*100</f>
        <v>0</v>
      </c>
      <c r="BF159" s="293">
        <f>(BF200+BF201)/(BF188+BF189)*100</f>
        <v>0</v>
      </c>
      <c r="BH159" s="293">
        <f>(BH200+BH201)/(BH188+BH189)*100</f>
        <v>0.16504854368932037</v>
      </c>
      <c r="BI159" s="293">
        <f>(BI200+BI201)/(BI188+BI189)*100</f>
        <v>0.3795490064746595</v>
      </c>
      <c r="BK159" s="293">
        <f>(BK200+BK201)/(BK188+BK189)*100</f>
        <v>1.5994436717663423</v>
      </c>
      <c r="BL159" s="293">
        <f>(BL200+BL201)/(BL188+BL189)*100</f>
        <v>2.4147182828669989</v>
      </c>
      <c r="BN159" s="293">
        <f>(BN200+BN201)/(BN188+BN189)*100</f>
        <v>0</v>
      </c>
      <c r="BO159" s="293">
        <f>(BO200+BO201)/(BO188+BO189)*100</f>
        <v>0.5436893203883495</v>
      </c>
      <c r="BQ159" s="293">
        <f>(BQ200+BQ201)/(BQ188+BQ189)*100</f>
        <v>2.4944974321349962</v>
      </c>
      <c r="BR159" s="293">
        <f>(BR200+BR201)/(BR188+BR189)*100</f>
        <v>2.5588007237012147</v>
      </c>
      <c r="BT159" s="293">
        <f>(BT200+BT201)/(BT188+BT189)*100</f>
        <v>0</v>
      </c>
      <c r="BU159" s="293">
        <f>(BU200+BU201)/(BU188+BU189)*100</f>
        <v>0</v>
      </c>
      <c r="BW159" s="293">
        <f>(BW200+BW201)/(BW188+BW189)*100</f>
        <v>7.5240594925634303</v>
      </c>
      <c r="BX159" s="293">
        <f>(BX200+BX201)/(BX188+BX189)*100</f>
        <v>16.728624535315987</v>
      </c>
      <c r="BZ159" s="293">
        <f>(BZ200+BZ201)/(BZ188+BZ189)*100</f>
        <v>7.6246334310850443</v>
      </c>
      <c r="CA159" s="293">
        <f>(CA200+CA201)/(CA188+CA189)*100</f>
        <v>8.8456961523205084</v>
      </c>
      <c r="CC159" s="293">
        <f>(CC200+CC201)/(CC188+CC189)*100</f>
        <v>1.1282437006393382</v>
      </c>
      <c r="CD159" s="293">
        <f>(CD200+CD201)/(CD188+CD189)*100</f>
        <v>4.1732909379968204</v>
      </c>
      <c r="CF159" s="293">
        <f>(CF200+CF201)/(CF188+CF189)*100</f>
        <v>0</v>
      </c>
      <c r="CG159" s="293">
        <f>(CG200+CG201)/(CG188+CG189)*100</f>
        <v>0</v>
      </c>
      <c r="CI159" s="293" t="e">
        <f>(CI200+CI201)/(CI188+CI189)*100</f>
        <v>#DIV/0!</v>
      </c>
      <c r="CJ159" s="293" t="e">
        <f>(CJ200+CJ201)/(CJ188+CJ189)*100</f>
        <v>#DIV/0!</v>
      </c>
    </row>
    <row r="160" spans="1:88" x14ac:dyDescent="0.25">
      <c r="A160" s="101"/>
      <c r="B160" s="96" t="s">
        <v>1617</v>
      </c>
      <c r="C160" s="101"/>
      <c r="D160" s="101" t="s">
        <v>8</v>
      </c>
      <c r="E160" s="293"/>
      <c r="F160" s="293"/>
      <c r="G160" s="293"/>
      <c r="H160" s="293"/>
      <c r="I160" s="293">
        <f>I202/$I$187*100</f>
        <v>1.0568683230141884E-2</v>
      </c>
      <c r="J160" s="293">
        <f>(J203+J204)/($J$188+$J$189)*100</f>
        <v>1.4388002098955599E-2</v>
      </c>
      <c r="K160" s="293">
        <f>(K203+K204)/($K$188+$K$189)*100</f>
        <v>3.2479465285434668E-2</v>
      </c>
      <c r="L160" s="293">
        <f t="shared" ref="L160:N160" si="188">(L203+L204)/($K$188+$K$189)*100</f>
        <v>0</v>
      </c>
      <c r="M160" s="293">
        <f t="shared" si="188"/>
        <v>0</v>
      </c>
      <c r="N160" s="293">
        <f t="shared" si="188"/>
        <v>0</v>
      </c>
      <c r="O160" s="281"/>
      <c r="P160" s="293">
        <f>(P203+P204)/(P188+P189)*100</f>
        <v>1.4530287101378669E-2</v>
      </c>
      <c r="Q160" s="293">
        <f>(Q203+Q204)/(Q188+Q189)*100</f>
        <v>1.0570172734239432E-2</v>
      </c>
      <c r="R160" s="293">
        <f>(R203+R204)/(R188+R189)*100</f>
        <v>0</v>
      </c>
      <c r="S160" s="293">
        <f>(S203+S204)/(S188+S189)*100</f>
        <v>0</v>
      </c>
      <c r="U160" s="293">
        <f>(U203+U204)/(U188+U189)*100</f>
        <v>0</v>
      </c>
      <c r="V160" s="293">
        <f>(V203+V204)/(V188+V189)*100</f>
        <v>0</v>
      </c>
      <c r="X160" s="293">
        <f>(X203+X204)/(X188+X189)*100</f>
        <v>0</v>
      </c>
      <c r="Y160" s="293">
        <f>(Y203+Y204)/(Y188+Y189)*100</f>
        <v>0</v>
      </c>
      <c r="AA160" s="293">
        <f>(AA203+AA204)/(AA188+AA189)*100</f>
        <v>0</v>
      </c>
      <c r="AB160" s="293">
        <f>(AB203+AB204)/(AB188+AB189)*100</f>
        <v>0</v>
      </c>
      <c r="AD160" s="293">
        <f>(AD203+AD204)/(AD188+AD189)*100</f>
        <v>0</v>
      </c>
      <c r="AE160" s="293">
        <f>(AE203+AE204)/(AE188+AE189)*100</f>
        <v>0</v>
      </c>
      <c r="AG160" s="293">
        <f>(AG203+AG204)/(AG188+AG189)*100</f>
        <v>0</v>
      </c>
      <c r="AH160" s="293">
        <f>(AH203+AH204)/(AH188+AH189)*100</f>
        <v>0</v>
      </c>
      <c r="AJ160" s="293">
        <f>(AJ203+AJ204)/(AJ188+AJ189)*100</f>
        <v>0</v>
      </c>
      <c r="AK160" s="293">
        <f>(AK203+AK204)/(AK188+AK189)*100</f>
        <v>0</v>
      </c>
      <c r="AM160" s="293">
        <f>(AM203+AM204)/(AM188+AM189)*100</f>
        <v>0</v>
      </c>
      <c r="AN160" s="293">
        <f>(AN203+AN204)/(AN188+AN189)*100</f>
        <v>0</v>
      </c>
      <c r="AP160" s="293">
        <f>(AP203+AP204)/(AP188+AP189)*100</f>
        <v>0</v>
      </c>
      <c r="AQ160" s="293">
        <f>(AQ203+AQ204)/(AQ188+AQ189)*100</f>
        <v>0</v>
      </c>
      <c r="AS160" s="293">
        <f>(AS203+AS204)/(AS188+AS189)*100</f>
        <v>0.14814814814814814</v>
      </c>
      <c r="AT160" s="293">
        <f>(AT203+AT204)/(AT188+AT189)*100</f>
        <v>0</v>
      </c>
      <c r="AV160" s="293">
        <f>(AV203+AV204)/(AV188+AV189)*100</f>
        <v>0</v>
      </c>
      <c r="AW160" s="293">
        <f>(AW203+AW204)/(AW188+AW189)*100</f>
        <v>0</v>
      </c>
      <c r="AY160" s="293">
        <f>(AY203+AY204)/(AY188+AY189)*100</f>
        <v>0</v>
      </c>
      <c r="AZ160" s="293">
        <f>(AZ203+AZ204)/(AZ188+AZ189)*100</f>
        <v>0</v>
      </c>
      <c r="BB160" s="293">
        <f>(BB203+BB204)/(BB188+BB189)*100</f>
        <v>0</v>
      </c>
      <c r="BC160" s="293">
        <f>(BC203+BC204)/(BC188+BC189)*100</f>
        <v>0</v>
      </c>
      <c r="BE160" s="293">
        <f>(BE203+BE204)/(BE188+BE189)*100</f>
        <v>0</v>
      </c>
      <c r="BF160" s="293">
        <f>(BF203+BF204)/(BF188+BF189)*100</f>
        <v>0</v>
      </c>
      <c r="BH160" s="293">
        <f>(BH203+BH204)/(BH188+BH189)*100</f>
        <v>0</v>
      </c>
      <c r="BI160" s="293">
        <f>(BI203+BI204)/(BI188+BI189)*100</f>
        <v>0</v>
      </c>
      <c r="BK160" s="293">
        <f>(BK203+BK204)/(BK188+BK189)*100</f>
        <v>0</v>
      </c>
      <c r="BL160" s="293">
        <f>(BL203+BL204)/(BL188+BL189)*100</f>
        <v>0</v>
      </c>
      <c r="BN160" s="293">
        <f>(BN203+BN204)/(BN188+BN189)*100</f>
        <v>0</v>
      </c>
      <c r="BO160" s="293">
        <f>(BO203+BO204)/(BO188+BO189)*100</f>
        <v>0</v>
      </c>
      <c r="BQ160" s="293">
        <f>(BQ203+BQ204)/(BQ188+BQ189)*100</f>
        <v>0</v>
      </c>
      <c r="BR160" s="293">
        <f>(BR203+BR204)/(BR188+BR189)*100</f>
        <v>0</v>
      </c>
      <c r="BT160" s="293">
        <f>(BT203+BT204)/(BT188+BT189)*100</f>
        <v>0</v>
      </c>
      <c r="BU160" s="293">
        <f>(BU203+BU204)/(BU188+BU189)*100</f>
        <v>0</v>
      </c>
      <c r="BW160" s="293">
        <f>(BW203+BW204)/(BW188+BW189)*100</f>
        <v>0</v>
      </c>
      <c r="BX160" s="293">
        <f>(BX203+BX204)/(BX188+BX189)*100</f>
        <v>0</v>
      </c>
      <c r="BZ160" s="293">
        <f>(BZ203+BZ204)/(BZ188+BZ189)*100</f>
        <v>0.18328445747800587</v>
      </c>
      <c r="CA160" s="293">
        <f>(CA203+CA204)/(CA188+CA189)*100</f>
        <v>0.47600158667195558</v>
      </c>
      <c r="CC160" s="293">
        <f>(CC203+CC204)/(CC188+CC189)*100</f>
        <v>0</v>
      </c>
      <c r="CD160" s="293">
        <f>(CD203+CD204)/(CD188+CD189)*100</f>
        <v>0</v>
      </c>
      <c r="CF160" s="293">
        <f>(CF203+CF204)/(CF188+CF189)*100</f>
        <v>0</v>
      </c>
      <c r="CG160" s="293">
        <f>(CG203+CG204)/(CG188+CG189)*100</f>
        <v>0</v>
      </c>
      <c r="CI160" s="293" t="e">
        <f>(CI203+CI204)/(CI188+CI189)*100</f>
        <v>#DIV/0!</v>
      </c>
      <c r="CJ160" s="293" t="e">
        <f>(CJ203+CJ204)/(CJ188+CJ189)*100</f>
        <v>#DIV/0!</v>
      </c>
    </row>
    <row r="161" spans="1:88" x14ac:dyDescent="0.25">
      <c r="A161" s="101"/>
      <c r="B161" s="354" t="s">
        <v>2411</v>
      </c>
      <c r="C161" s="101"/>
      <c r="D161" s="101"/>
      <c r="E161" s="293"/>
      <c r="F161" s="293"/>
      <c r="G161" s="293"/>
      <c r="H161" s="293"/>
      <c r="I161" s="293"/>
      <c r="J161" s="293"/>
      <c r="K161" s="293"/>
      <c r="L161" s="293"/>
      <c r="M161" s="293"/>
      <c r="N161" s="293"/>
      <c r="O161" s="281"/>
      <c r="P161" s="360"/>
      <c r="Q161" s="360"/>
      <c r="R161" s="360"/>
      <c r="S161" s="360"/>
      <c r="U161" s="360"/>
      <c r="V161" s="360"/>
      <c r="X161" s="360"/>
      <c r="Y161" s="360"/>
      <c r="AA161" s="360"/>
      <c r="AB161" s="360"/>
      <c r="AD161" s="360"/>
      <c r="AE161" s="360"/>
      <c r="AG161" s="360"/>
      <c r="AH161" s="360"/>
      <c r="AJ161" s="360"/>
      <c r="AK161" s="360"/>
      <c r="AM161" s="360"/>
      <c r="AN161" s="360"/>
      <c r="AP161" s="360"/>
      <c r="AQ161" s="360"/>
      <c r="AS161" s="360"/>
      <c r="AT161" s="360"/>
      <c r="AV161" s="360"/>
      <c r="AW161" s="360"/>
      <c r="AY161" s="360"/>
      <c r="AZ161" s="360"/>
      <c r="BB161" s="360"/>
      <c r="BC161" s="360"/>
      <c r="BE161" s="360"/>
      <c r="BF161" s="360"/>
      <c r="BH161" s="360"/>
      <c r="BI161" s="360"/>
      <c r="BK161" s="360"/>
      <c r="BL161" s="360"/>
      <c r="BN161" s="360"/>
      <c r="BO161" s="360"/>
      <c r="BQ161" s="360"/>
      <c r="BR161" s="360"/>
      <c r="BT161" s="360"/>
      <c r="BU161" s="360"/>
      <c r="BW161" s="360"/>
      <c r="BX161" s="360"/>
      <c r="BZ161" s="360"/>
      <c r="CA161" s="360"/>
      <c r="CC161" s="360"/>
      <c r="CD161" s="360"/>
      <c r="CF161" s="360"/>
      <c r="CG161" s="360"/>
      <c r="CI161" s="360"/>
      <c r="CJ161" s="360"/>
    </row>
    <row r="162" spans="1:88" x14ac:dyDescent="0.25">
      <c r="A162" s="101"/>
      <c r="B162" s="96" t="s">
        <v>1608</v>
      </c>
      <c r="C162" s="101"/>
      <c r="D162" s="101" t="s">
        <v>8</v>
      </c>
      <c r="E162" s="293"/>
      <c r="F162" s="293"/>
      <c r="G162" s="293"/>
      <c r="H162" s="293"/>
      <c r="I162" s="293"/>
      <c r="J162" s="293">
        <f>J191/$J$188*100</f>
        <v>4.1753180223227648</v>
      </c>
      <c r="K162" s="293">
        <f>K191/$K$188*100</f>
        <v>3.9711457068197711</v>
      </c>
      <c r="L162" s="293">
        <f t="shared" ref="L162:N162" si="189">L191/$K$188*100</f>
        <v>1.74818740568989E-2</v>
      </c>
      <c r="M162" s="293">
        <f t="shared" si="189"/>
        <v>2.4842663133487913E-2</v>
      </c>
      <c r="N162" s="293">
        <f t="shared" si="189"/>
        <v>2.3922564498914282E-2</v>
      </c>
      <c r="O162" s="281"/>
      <c r="P162" s="293">
        <f>P191/P188*100</f>
        <v>3.9329441262055966</v>
      </c>
      <c r="Q162" s="293">
        <f>Q191/Q188*100</f>
        <v>4.4423956196963141</v>
      </c>
      <c r="R162" s="293">
        <f>R191/R188*100</f>
        <v>4.4765840220385673</v>
      </c>
      <c r="S162" s="293">
        <f>S191/S188*100</f>
        <v>5.7992565055762082</v>
      </c>
      <c r="U162" s="293">
        <f>U191/U188*100</f>
        <v>0</v>
      </c>
      <c r="V162" s="293">
        <f>V191/V188*100</f>
        <v>0</v>
      </c>
      <c r="X162" s="293">
        <f>X191/X188*100</f>
        <v>2.4475524475524475</v>
      </c>
      <c r="Y162" s="293">
        <f>Y191/Y188*100</f>
        <v>1.4147431124348473</v>
      </c>
      <c r="AA162" s="293">
        <f>AA191/AA188*100</f>
        <v>1.2448132780082988</v>
      </c>
      <c r="AB162" s="293">
        <f>AB191/AB188*100</f>
        <v>1.7665130568356373</v>
      </c>
      <c r="AD162" s="293">
        <f>AD191/AD188*100</f>
        <v>0</v>
      </c>
      <c r="AE162" s="293">
        <f>AE191/AE188*100</f>
        <v>7.7108433734939767</v>
      </c>
      <c r="AG162" s="293">
        <f>AG191/AG188*100</f>
        <v>2.552415679124886</v>
      </c>
      <c r="AH162" s="293">
        <f>AH191/AH188*100</f>
        <v>1.7641597028783658</v>
      </c>
      <c r="AJ162" s="293">
        <f>AJ191/AJ188*100</f>
        <v>10.840560373582388</v>
      </c>
      <c r="AK162" s="293">
        <f>AK191/AK188*100</f>
        <v>10.874200426439232</v>
      </c>
      <c r="AM162" s="293">
        <f>AM191/AM188*100</f>
        <v>3.7153419593345656</v>
      </c>
      <c r="AN162" s="293">
        <f>AN191/AN188*100</f>
        <v>4.1606367583212736</v>
      </c>
      <c r="AP162" s="293" t="e">
        <f>AP191/AP188*100</f>
        <v>#DIV/0!</v>
      </c>
      <c r="AQ162" s="293" t="e">
        <f>AQ191/AQ188*100</f>
        <v>#DIV/0!</v>
      </c>
      <c r="AS162" s="293">
        <f>AS191/AS188*100</f>
        <v>3.5432098765432101</v>
      </c>
      <c r="AT162" s="293">
        <f>AT191/AT188*100</f>
        <v>4.2458652184645764</v>
      </c>
      <c r="AV162" s="293">
        <f>AV191/AV188*100</f>
        <v>6.4139941690962097</v>
      </c>
      <c r="AW162" s="293">
        <f>AW191/AW188*100</f>
        <v>5.9127170342562181</v>
      </c>
      <c r="AY162" s="293">
        <f>AY191/AY188*100</f>
        <v>11.117007163703899</v>
      </c>
      <c r="AZ162" s="293">
        <f>AZ191/AZ188*100</f>
        <v>11.14972487691862</v>
      </c>
      <c r="BB162" s="293">
        <f>BB191/BB188*100</f>
        <v>1.1127902184365985</v>
      </c>
      <c r="BC162" s="293">
        <f>BC191/BC188*100</f>
        <v>1.4832393948383269</v>
      </c>
      <c r="BE162" s="293">
        <f>BE191/BE188*100</f>
        <v>4.2099818981122317</v>
      </c>
      <c r="BF162" s="293">
        <f>BF191/BF188*100</f>
        <v>4.9050302650803586</v>
      </c>
      <c r="BH162" s="293">
        <f>BH191/BH188*100</f>
        <v>4.4595469255663431</v>
      </c>
      <c r="BI162" s="293">
        <f>BI191/BI188*100</f>
        <v>4.7746627117022298</v>
      </c>
      <c r="BK162" s="293">
        <f>BK191/BK188*100</f>
        <v>0</v>
      </c>
      <c r="BL162" s="293">
        <f>BL191/BL188*100</f>
        <v>0</v>
      </c>
      <c r="BN162" s="293">
        <f>BN191/BN188*100</f>
        <v>9.473299195318214</v>
      </c>
      <c r="BO162" s="293">
        <f>BO191/BO188*100</f>
        <v>9.9029126213592242</v>
      </c>
      <c r="BQ162" s="293">
        <f>BQ191/BQ188*100</f>
        <v>0.73367571533382248</v>
      </c>
      <c r="BR162" s="293">
        <f>BR191/BR188*100</f>
        <v>1.5507883173946757</v>
      </c>
      <c r="BT162" s="293">
        <f>BT191/BT188*100</f>
        <v>0.71959702566562722</v>
      </c>
      <c r="BU162" s="293">
        <f>BU191/BU188*100</f>
        <v>1.1587771203155819</v>
      </c>
      <c r="BW162" s="293">
        <f>BW191/BW188*100</f>
        <v>2.6246719160104988</v>
      </c>
      <c r="BX162" s="293">
        <f>BX191/BX188*100</f>
        <v>2.4163568773234201</v>
      </c>
      <c r="BZ162" s="293">
        <f>BZ191/BZ188*100</f>
        <v>0.65982404692082108</v>
      </c>
      <c r="CA162" s="293">
        <f>CA191/CA188*100</f>
        <v>0.23800079333597779</v>
      </c>
      <c r="CC162" s="293">
        <f>CC191/CC188*100</f>
        <v>0.8273787138021812</v>
      </c>
      <c r="CD162" s="293">
        <f>CD191/CD188*100</f>
        <v>0.99364069952305245</v>
      </c>
      <c r="CF162" s="293">
        <f>CF191/CF188*100</f>
        <v>100</v>
      </c>
      <c r="CG162" s="293">
        <f>CG191/CG188*100</f>
        <v>100</v>
      </c>
      <c r="CI162" s="293" t="e">
        <f>CI191/CI188*100</f>
        <v>#DIV/0!</v>
      </c>
      <c r="CJ162" s="293" t="e">
        <f>CJ191/CJ188*100</f>
        <v>#DIV/0!</v>
      </c>
    </row>
    <row r="163" spans="1:88" x14ac:dyDescent="0.25">
      <c r="A163" s="101"/>
      <c r="B163" s="96" t="s">
        <v>1609</v>
      </c>
      <c r="C163" s="101"/>
      <c r="D163" s="101" t="s">
        <v>8</v>
      </c>
      <c r="E163" s="293"/>
      <c r="F163" s="293"/>
      <c r="G163" s="293"/>
      <c r="H163" s="293"/>
      <c r="I163" s="293"/>
      <c r="J163" s="293">
        <f>J194/$J$188*100</f>
        <v>93.91518800264754</v>
      </c>
      <c r="K163" s="293">
        <f>K194/$K$188*100</f>
        <v>93.447977623201211</v>
      </c>
      <c r="L163" s="293">
        <f t="shared" ref="L163:N163" si="190">L194/$K$188*100</f>
        <v>0.88789518236354947</v>
      </c>
      <c r="M163" s="293">
        <f t="shared" si="190"/>
        <v>0.56770085753192734</v>
      </c>
      <c r="N163" s="293">
        <f t="shared" si="190"/>
        <v>0.64222884693239113</v>
      </c>
      <c r="O163" s="281"/>
      <c r="P163" s="293">
        <f>P194/P188*100</f>
        <v>94.082282535092702</v>
      </c>
      <c r="Q163" s="293">
        <f>Q194/Q188*100</f>
        <v>93.280900144881173</v>
      </c>
      <c r="R163" s="293">
        <f>R194/R188*100</f>
        <v>95.523415977961434</v>
      </c>
      <c r="S163" s="293">
        <f>S194/S188*100</f>
        <v>94.20074349442379</v>
      </c>
      <c r="U163" s="293">
        <f>U194/U188*100</f>
        <v>93.953934740882914</v>
      </c>
      <c r="V163" s="293">
        <f>V194/V188*100</f>
        <v>90.10526315789474</v>
      </c>
      <c r="X163" s="293">
        <f>X194/X188*100</f>
        <v>93.216783216783213</v>
      </c>
      <c r="Y163" s="293">
        <f>Y194/Y188*100</f>
        <v>90.76693968726731</v>
      </c>
      <c r="AA163" s="293">
        <f>AA194/AA188*100</f>
        <v>98.755186721991706</v>
      </c>
      <c r="AB163" s="293">
        <f>AB194/AB188*100</f>
        <v>97.465437788018434</v>
      </c>
      <c r="AD163" s="293">
        <f>AD194/AD188*100</f>
        <v>87.788778877887779</v>
      </c>
      <c r="AE163" s="293">
        <f>AE194/AE188*100</f>
        <v>87.590361445783131</v>
      </c>
      <c r="AG163" s="293">
        <f>AG194/AG188*100</f>
        <v>79.76298997265269</v>
      </c>
      <c r="AH163" s="293">
        <f>AH194/AH188*100</f>
        <v>75.858867223769735</v>
      </c>
      <c r="AJ163" s="293">
        <f>AJ194/AJ188*100</f>
        <v>78.952635090060042</v>
      </c>
      <c r="AK163" s="293">
        <f>AK194/AK188*100</f>
        <v>78.109452736318403</v>
      </c>
      <c r="AM163" s="293">
        <f>AM194/AM188*100</f>
        <v>93.97412199630314</v>
      </c>
      <c r="AN163" s="293">
        <f>AN194/AN188*100</f>
        <v>89.055716353111436</v>
      </c>
      <c r="AP163" s="293" t="e">
        <f>AP194/AP188*100</f>
        <v>#DIV/0!</v>
      </c>
      <c r="AQ163" s="293" t="e">
        <f>AQ194/AQ188*100</f>
        <v>#DIV/0!</v>
      </c>
      <c r="AS163" s="293">
        <f>AS194/AS188*100</f>
        <v>96.456790123456798</v>
      </c>
      <c r="AT163" s="293">
        <f>AT194/AT188*100</f>
        <v>95.235744260676384</v>
      </c>
      <c r="AV163" s="293">
        <f>AV194/AV188*100</f>
        <v>92.877967513536035</v>
      </c>
      <c r="AW163" s="293">
        <f>AW194/AW188*100</f>
        <v>91.412482402627873</v>
      </c>
      <c r="AY163" s="293">
        <f>AY194/AY188*100</f>
        <v>79.357919872645269</v>
      </c>
      <c r="AZ163" s="293">
        <f>AZ194/AZ188*100</f>
        <v>75.731248189979723</v>
      </c>
      <c r="BB163" s="293">
        <f>BB194/BB188*100</f>
        <v>96.428080780326965</v>
      </c>
      <c r="BC163" s="293">
        <f>BC194/BC188*100</f>
        <v>96.499555028181547</v>
      </c>
      <c r="BE163" s="293">
        <f>BE194/BE188*100</f>
        <v>95.790018101887767</v>
      </c>
      <c r="BF163" s="293">
        <f>BF194/BF188*100</f>
        <v>95.094969734919644</v>
      </c>
      <c r="BH163" s="293">
        <f>BH194/BH188*100</f>
        <v>95.375404530744333</v>
      </c>
      <c r="BI163" s="293">
        <f>BI194/BI188*100</f>
        <v>94.845788281823104</v>
      </c>
      <c r="BK163" s="293">
        <f>BK194/BK188*100</f>
        <v>98.400556328233662</v>
      </c>
      <c r="BL163" s="293">
        <f>BL194/BL188*100</f>
        <v>97.585281717133</v>
      </c>
      <c r="BN163" s="293">
        <f>BN194/BN188*100</f>
        <v>90.526700804681781</v>
      </c>
      <c r="BO163" s="293">
        <f>BO194/BO188*100</f>
        <v>88.621359223300971</v>
      </c>
      <c r="BQ163" s="293">
        <f>BQ194/BQ188*100</f>
        <v>96.771826852531177</v>
      </c>
      <c r="BR163" s="293">
        <f>BR194/BR188*100</f>
        <v>81.726544326699397</v>
      </c>
      <c r="BT163" s="293">
        <f>BT194/BT188*100</f>
        <v>99.280402974334365</v>
      </c>
      <c r="BU163" s="293">
        <f>BU194/BU188*100</f>
        <v>98.841222879684423</v>
      </c>
      <c r="BW163" s="293">
        <f>BW194/BW188*100</f>
        <v>89.851268591426077</v>
      </c>
      <c r="BX163" s="293">
        <f>BX194/BX188*100</f>
        <v>80.85501858736059</v>
      </c>
      <c r="BZ163" s="293">
        <f>BZ194/BZ188*100</f>
        <v>88.709677419354833</v>
      </c>
      <c r="CA163" s="293">
        <f>CA194/CA188*100</f>
        <v>89.329631098770335</v>
      </c>
      <c r="CC163" s="293">
        <f>CC194/CC188*100</f>
        <v>98.044377585558479</v>
      </c>
      <c r="CD163" s="293">
        <f>CD194/CD188*100</f>
        <v>94.83306836248012</v>
      </c>
      <c r="CF163" s="293">
        <f>CF194/CF188*100</f>
        <v>0</v>
      </c>
      <c r="CG163" s="293">
        <f>CG194/CG188*100</f>
        <v>0</v>
      </c>
      <c r="CI163" s="293" t="e">
        <f>CI194/CI188*100</f>
        <v>#DIV/0!</v>
      </c>
      <c r="CJ163" s="293" t="e">
        <f>CJ194/CJ188*100</f>
        <v>#DIV/0!</v>
      </c>
    </row>
    <row r="164" spans="1:88" x14ac:dyDescent="0.25">
      <c r="A164" s="101"/>
      <c r="B164" s="96" t="s">
        <v>1610</v>
      </c>
      <c r="C164" s="101"/>
      <c r="D164" s="101" t="s">
        <v>8</v>
      </c>
      <c r="E164" s="293"/>
      <c r="F164" s="293"/>
      <c r="G164" s="293"/>
      <c r="H164" s="293"/>
      <c r="I164" s="293"/>
      <c r="J164" s="293">
        <f>J197/$J$188*100</f>
        <v>0.20400576656300151</v>
      </c>
      <c r="K164" s="293">
        <f>K197/$K$188*100</f>
        <v>0.54745868757130767</v>
      </c>
      <c r="L164" s="293">
        <f t="shared" ref="L164:N164" si="191">L197/$K$188*100</f>
        <v>0</v>
      </c>
      <c r="M164" s="293">
        <f t="shared" si="191"/>
        <v>0</v>
      </c>
      <c r="N164" s="293">
        <f t="shared" si="191"/>
        <v>0</v>
      </c>
      <c r="O164" s="281"/>
      <c r="P164" s="293">
        <f>P197/P188*100</f>
        <v>0.10706246225361908</v>
      </c>
      <c r="Q164" s="293">
        <f>Q197/Q188*100</f>
        <v>7.3381376183039498E-2</v>
      </c>
      <c r="R164" s="293">
        <f>R197/R188*100</f>
        <v>0</v>
      </c>
      <c r="S164" s="293">
        <f>S197/S188*100</f>
        <v>0</v>
      </c>
      <c r="U164" s="293">
        <f>U197/U188*100</f>
        <v>0</v>
      </c>
      <c r="V164" s="293">
        <f>V197/V188*100</f>
        <v>0</v>
      </c>
      <c r="X164" s="293">
        <f>X197/X188*100</f>
        <v>0</v>
      </c>
      <c r="Y164" s="293">
        <f>Y197/Y188*100</f>
        <v>0</v>
      </c>
      <c r="AA164" s="293">
        <f>AA197/AA188*100</f>
        <v>0</v>
      </c>
      <c r="AB164" s="293">
        <f>AB197/AB188*100</f>
        <v>0</v>
      </c>
      <c r="AD164" s="293">
        <f>AD197/AD188*100</f>
        <v>5.5162659123055162</v>
      </c>
      <c r="AE164" s="293">
        <f>AE197/AE188*100</f>
        <v>4.6987951807228914</v>
      </c>
      <c r="AG164" s="293">
        <f>AG197/AG188*100</f>
        <v>0</v>
      </c>
      <c r="AH164" s="293">
        <f>AH197/AH188*100</f>
        <v>0</v>
      </c>
      <c r="AJ164" s="293">
        <f>AJ197/AJ188*100</f>
        <v>0</v>
      </c>
      <c r="AK164" s="293">
        <f>AK197/AK188*100</f>
        <v>0</v>
      </c>
      <c r="AM164" s="293">
        <f>AM197/AM188*100</f>
        <v>0</v>
      </c>
      <c r="AN164" s="293">
        <f>AN197/AN188*100</f>
        <v>0</v>
      </c>
      <c r="AP164" s="293" t="e">
        <f>AP197/AP188*100</f>
        <v>#DIV/0!</v>
      </c>
      <c r="AQ164" s="293" t="e">
        <f>AQ197/AQ188*100</f>
        <v>#DIV/0!</v>
      </c>
      <c r="AS164" s="293">
        <f>AS197/AS188*100</f>
        <v>0</v>
      </c>
      <c r="AT164" s="293">
        <f>AT197/AT188*100</f>
        <v>0</v>
      </c>
      <c r="AV164" s="293">
        <f>AV197/AV188*100</f>
        <v>0</v>
      </c>
      <c r="AW164" s="293">
        <f>AW197/AW188*100</f>
        <v>0</v>
      </c>
      <c r="AY164" s="293">
        <f>AY197/AY188*100</f>
        <v>0</v>
      </c>
      <c r="AZ164" s="293">
        <f>AZ197/AZ188*100</f>
        <v>0</v>
      </c>
      <c r="BB164" s="293">
        <f>BB197/BB188*100</f>
        <v>0</v>
      </c>
      <c r="BC164" s="293">
        <f>BC197/BC188*100</f>
        <v>0</v>
      </c>
      <c r="BE164" s="293">
        <f>BE197/BE188*100</f>
        <v>0</v>
      </c>
      <c r="BF164" s="293">
        <f>BF197/BF188*100</f>
        <v>0</v>
      </c>
      <c r="BH164" s="293">
        <f>BH197/BH188*100</f>
        <v>0</v>
      </c>
      <c r="BI164" s="293">
        <f>BI197/BI188*100</f>
        <v>0</v>
      </c>
      <c r="BK164" s="293">
        <f>BK197/BK188*100</f>
        <v>0</v>
      </c>
      <c r="BL164" s="293">
        <f>BL197/BL188*100</f>
        <v>0</v>
      </c>
      <c r="BN164" s="293">
        <f>BN197/BN188*100</f>
        <v>0</v>
      </c>
      <c r="BO164" s="293">
        <f>BO197/BO188*100</f>
        <v>0</v>
      </c>
      <c r="BQ164" s="293">
        <f>BQ197/BQ188*100</f>
        <v>0</v>
      </c>
      <c r="BR164" s="293">
        <f>BR197/BR188*100</f>
        <v>0</v>
      </c>
      <c r="BT164" s="293">
        <f>BT197/BT188*100</f>
        <v>0</v>
      </c>
      <c r="BU164" s="293">
        <f>BU197/BU188*100</f>
        <v>0</v>
      </c>
      <c r="BW164" s="293">
        <f>BW197/BW188*100</f>
        <v>0</v>
      </c>
      <c r="BX164" s="293">
        <f>BX197/BX188*100</f>
        <v>0</v>
      </c>
      <c r="BZ164" s="293">
        <f>BZ197/BZ188*100</f>
        <v>0</v>
      </c>
      <c r="CA164" s="293">
        <f>CA197/CA188*100</f>
        <v>0</v>
      </c>
      <c r="CC164" s="293">
        <f>CC197/CC188*100</f>
        <v>0</v>
      </c>
      <c r="CD164" s="293">
        <f>CD197/CD188*100</f>
        <v>0</v>
      </c>
      <c r="CF164" s="293">
        <f>CF197/CF188*100</f>
        <v>0</v>
      </c>
      <c r="CG164" s="293">
        <f>CG197/CG188*100</f>
        <v>0</v>
      </c>
      <c r="CI164" s="293" t="e">
        <f>CI197/CI188*100</f>
        <v>#DIV/0!</v>
      </c>
      <c r="CJ164" s="293" t="e">
        <f>CJ197/CJ188*100</f>
        <v>#DIV/0!</v>
      </c>
    </row>
    <row r="165" spans="1:88" x14ac:dyDescent="0.25">
      <c r="A165" s="101"/>
      <c r="B165" s="96" t="s">
        <v>1611</v>
      </c>
      <c r="C165" s="101"/>
      <c r="D165" s="101" t="s">
        <v>8</v>
      </c>
      <c r="E165" s="293"/>
      <c r="F165" s="293"/>
      <c r="G165" s="293"/>
      <c r="H165" s="293"/>
      <c r="I165" s="293"/>
      <c r="J165" s="293">
        <f>J200/$J$188*100</f>
        <v>1.4062797508409572</v>
      </c>
      <c r="K165" s="293">
        <f>K200/$K$188*100</f>
        <v>1.6018917227926834</v>
      </c>
      <c r="L165" s="293">
        <f t="shared" ref="L165:N165" si="192">L200/$K$188*100</f>
        <v>8.0048581207905492E-2</v>
      </c>
      <c r="M165" s="293">
        <f t="shared" si="192"/>
        <v>0.13525449928232308</v>
      </c>
      <c r="N165" s="293">
        <f t="shared" si="192"/>
        <v>0.21254278458650769</v>
      </c>
      <c r="O165" s="281"/>
      <c r="P165" s="293">
        <f>P200/P188*100</f>
        <v>1.62332314562325</v>
      </c>
      <c r="Q165" s="293">
        <f>Q200/Q188*100</f>
        <v>2.2099083673584587</v>
      </c>
      <c r="R165" s="293">
        <f>R200/R188*100</f>
        <v>4.338842975206612</v>
      </c>
      <c r="S165" s="293">
        <f>S200/S188*100</f>
        <v>0</v>
      </c>
      <c r="U165" s="293">
        <f>U200/U188*100</f>
        <v>0</v>
      </c>
      <c r="V165" s="293">
        <f>V200/V188*100</f>
        <v>7.7894736842105265</v>
      </c>
      <c r="X165" s="293">
        <f>X200/X188*100</f>
        <v>4.335664335664335</v>
      </c>
      <c r="Y165" s="293">
        <f>Y200/Y188*100</f>
        <v>7.8183172002978401</v>
      </c>
      <c r="AA165" s="293">
        <f>AA200/AA188*100</f>
        <v>0</v>
      </c>
      <c r="AB165" s="293">
        <f>AB200/AB188*100</f>
        <v>0.76804915514592931</v>
      </c>
      <c r="AD165" s="293">
        <f>AD200/AD188*100</f>
        <v>6.6949552098066949</v>
      </c>
      <c r="AE165" s="293">
        <f>AE200/AE188*100</f>
        <v>0</v>
      </c>
      <c r="AG165" s="293">
        <f>AG200/AG188*100</f>
        <v>5.1959890610756609</v>
      </c>
      <c r="AH165" s="293">
        <f>AH200/AH188*100</f>
        <v>8.0779944289693599</v>
      </c>
      <c r="AJ165" s="293">
        <f>AJ200/AJ188*100</f>
        <v>10.206804536357572</v>
      </c>
      <c r="AK165" s="293">
        <f>AK200/AK188*100</f>
        <v>11.016346837242359</v>
      </c>
      <c r="AM165" s="293">
        <f>AM200/AM188*100</f>
        <v>2.6432532347504623</v>
      </c>
      <c r="AN165" s="293">
        <f>AN200/AN188*100</f>
        <v>6.7836468885672936</v>
      </c>
      <c r="AP165" s="293" t="e">
        <f>AP200/AP188*100</f>
        <v>#DIV/0!</v>
      </c>
      <c r="AQ165" s="293" t="e">
        <f>AQ200/AQ188*100</f>
        <v>#DIV/0!</v>
      </c>
      <c r="AS165" s="293">
        <f>AS200/AS188*100</f>
        <v>0</v>
      </c>
      <c r="AT165" s="293">
        <f>AT200/AT188*100</f>
        <v>0.37027894347074797</v>
      </c>
      <c r="AV165" s="293">
        <f>AV200/AV188*100</f>
        <v>0.70803831736776335</v>
      </c>
      <c r="AW165" s="293">
        <f>AW200/AW188*100</f>
        <v>2.674800563115908</v>
      </c>
      <c r="AY165" s="293">
        <f>AY200/AY188*100</f>
        <v>9.5250729636508353</v>
      </c>
      <c r="AZ165" s="293">
        <f>AZ200/AZ188*100</f>
        <v>13.119026933101651</v>
      </c>
      <c r="BB165" s="293">
        <f>BB200/BB188*100</f>
        <v>0.13738150844896277</v>
      </c>
      <c r="BC165" s="293">
        <f>BC200/BC188*100</f>
        <v>0</v>
      </c>
      <c r="BE165" s="293">
        <f>BE200/BE188*100</f>
        <v>0</v>
      </c>
      <c r="BF165" s="293">
        <f>BF200/BF188*100</f>
        <v>0</v>
      </c>
      <c r="BH165" s="293">
        <f>BH200/BH188*100</f>
        <v>0.16504854368932037</v>
      </c>
      <c r="BI165" s="293">
        <f>BI200/BI188*100</f>
        <v>0.3795490064746595</v>
      </c>
      <c r="BK165" s="293">
        <f>BK200/BK188*100</f>
        <v>1.5994436717663423</v>
      </c>
      <c r="BL165" s="293">
        <f>BL200/BL188*100</f>
        <v>2.4147182828669989</v>
      </c>
      <c r="BN165" s="293">
        <f>BN200/BN188*100</f>
        <v>0</v>
      </c>
      <c r="BO165" s="293">
        <f>BO200/BO188*100</f>
        <v>0.5436893203883495</v>
      </c>
      <c r="BQ165" s="293">
        <f>BQ200/BQ188*100</f>
        <v>2.4944974321349962</v>
      </c>
      <c r="BR165" s="293">
        <f>BR200/BR188*100</f>
        <v>2.5588007237012147</v>
      </c>
      <c r="BT165" s="293">
        <f>BT200/BT188*100</f>
        <v>0</v>
      </c>
      <c r="BU165" s="293">
        <f>BU200/BU188*100</f>
        <v>0</v>
      </c>
      <c r="BW165" s="293">
        <f>BW200/BW188*100</f>
        <v>7.5240594925634303</v>
      </c>
      <c r="BX165" s="293">
        <f>BX200/BX188*100</f>
        <v>16.728624535315987</v>
      </c>
      <c r="BZ165" s="293">
        <f>BZ200/BZ188*100</f>
        <v>7.6246334310850443</v>
      </c>
      <c r="CA165" s="293">
        <f>CA200/CA188*100</f>
        <v>8.8456961523205084</v>
      </c>
      <c r="CC165" s="293">
        <f>CC200/CC188*100</f>
        <v>1.1282437006393382</v>
      </c>
      <c r="CD165" s="293">
        <f>CD200/CD188*100</f>
        <v>4.1732909379968204</v>
      </c>
      <c r="CF165" s="293">
        <f>CF200/CF188*100</f>
        <v>0</v>
      </c>
      <c r="CG165" s="293">
        <f>CG200/CG188*100</f>
        <v>0</v>
      </c>
      <c r="CI165" s="293" t="e">
        <f>CI200/CI188*100</f>
        <v>#DIV/0!</v>
      </c>
      <c r="CJ165" s="293" t="e">
        <f>CJ200/CJ188*100</f>
        <v>#DIV/0!</v>
      </c>
    </row>
    <row r="166" spans="1:88" x14ac:dyDescent="0.25">
      <c r="A166" s="101"/>
      <c r="B166" s="96" t="s">
        <v>1617</v>
      </c>
      <c r="C166" s="101"/>
      <c r="D166" s="101" t="s">
        <v>8</v>
      </c>
      <c r="E166" s="293"/>
      <c r="F166" s="293"/>
      <c r="G166" s="293"/>
      <c r="H166" s="293"/>
      <c r="I166" s="293"/>
      <c r="J166" s="293">
        <f>J203/$J$188*100</f>
        <v>1.5413769029204558E-2</v>
      </c>
      <c r="K166" s="293">
        <f>K203/$K$188*100</f>
        <v>1.288138088403077E-2</v>
      </c>
      <c r="L166" s="293">
        <f t="shared" ref="L166:N166" si="193">L203/$K$188*100</f>
        <v>0</v>
      </c>
      <c r="M166" s="293">
        <f t="shared" si="193"/>
        <v>0</v>
      </c>
      <c r="N166" s="293">
        <f t="shared" si="193"/>
        <v>0</v>
      </c>
      <c r="O166" s="281"/>
      <c r="P166" s="293">
        <f>P203/P188*100</f>
        <v>1.5556084259072856E-2</v>
      </c>
      <c r="Q166" s="293">
        <f>Q203/Q188*100</f>
        <v>1.1289442489698385E-2</v>
      </c>
      <c r="R166" s="293">
        <f>R203/R188*100</f>
        <v>0</v>
      </c>
      <c r="S166" s="293">
        <f>S203/S188*100</f>
        <v>0</v>
      </c>
      <c r="U166" s="293">
        <f>U203/U188*100</f>
        <v>0</v>
      </c>
      <c r="V166" s="293">
        <f>V203/V188*100</f>
        <v>0</v>
      </c>
      <c r="X166" s="293">
        <f>X203/X188*100</f>
        <v>0</v>
      </c>
      <c r="Y166" s="293">
        <f>Y203/Y188*100</f>
        <v>0</v>
      </c>
      <c r="AA166" s="293">
        <f>AA203/AA188*100</f>
        <v>0</v>
      </c>
      <c r="AB166" s="293">
        <f>AB203/AB188*100</f>
        <v>0</v>
      </c>
      <c r="AD166" s="293">
        <f>AD203/AD188*100</f>
        <v>0</v>
      </c>
      <c r="AE166" s="293">
        <f>AE203/AE188*100</f>
        <v>0</v>
      </c>
      <c r="AG166" s="293">
        <f>AG203/AG188*100</f>
        <v>0</v>
      </c>
      <c r="AH166" s="293">
        <f>AH203/AH188*100</f>
        <v>0</v>
      </c>
      <c r="AJ166" s="293">
        <f>AJ203/AJ188*100</f>
        <v>0</v>
      </c>
      <c r="AK166" s="293">
        <f>AK203/AK188*100</f>
        <v>0</v>
      </c>
      <c r="AM166" s="293">
        <f>AM203/AM188*100</f>
        <v>0</v>
      </c>
      <c r="AN166" s="293">
        <f>AN203/AN188*100</f>
        <v>0</v>
      </c>
      <c r="AP166" s="293" t="e">
        <f>AP203/AP188*100</f>
        <v>#DIV/0!</v>
      </c>
      <c r="AQ166" s="293" t="e">
        <f>AQ203/AQ188*100</f>
        <v>#DIV/0!</v>
      </c>
      <c r="AS166" s="293">
        <f>AS203/AS188*100</f>
        <v>0.14814814814814814</v>
      </c>
      <c r="AT166" s="293">
        <f>AT203/AT188*100</f>
        <v>0</v>
      </c>
      <c r="AV166" s="293">
        <f>AV203/AV188*100</f>
        <v>0</v>
      </c>
      <c r="AW166" s="293">
        <f>AW203/AW188*100</f>
        <v>0</v>
      </c>
      <c r="AY166" s="293">
        <f>AY203/AY188*100</f>
        <v>0</v>
      </c>
      <c r="AZ166" s="293">
        <f>AZ203/AZ188*100</f>
        <v>0</v>
      </c>
      <c r="BB166" s="293">
        <f>BB203/BB188*100</f>
        <v>0</v>
      </c>
      <c r="BC166" s="293">
        <f>BC203/BC188*100</f>
        <v>0</v>
      </c>
      <c r="BE166" s="293">
        <f>BE203/BE188*100</f>
        <v>0</v>
      </c>
      <c r="BF166" s="293">
        <f>BF203/BF188*100</f>
        <v>0</v>
      </c>
      <c r="BH166" s="293">
        <f>BH203/BH188*100</f>
        <v>0</v>
      </c>
      <c r="BI166" s="293">
        <f>BI203/BI188*100</f>
        <v>0</v>
      </c>
      <c r="BK166" s="293">
        <f>BK203/BK188*100</f>
        <v>0</v>
      </c>
      <c r="BL166" s="293">
        <f>BL203/BL188*100</f>
        <v>0</v>
      </c>
      <c r="BN166" s="293">
        <f>BN203/BN188*100</f>
        <v>0</v>
      </c>
      <c r="BO166" s="293">
        <f>BO203/BO188*100</f>
        <v>0</v>
      </c>
      <c r="BQ166" s="293">
        <f>BQ203/BQ188*100</f>
        <v>0</v>
      </c>
      <c r="BR166" s="293">
        <f>BR203/BR188*100</f>
        <v>0</v>
      </c>
      <c r="BT166" s="293">
        <f>BT203/BT188*100</f>
        <v>0</v>
      </c>
      <c r="BU166" s="293">
        <f>BU203/BU188*100</f>
        <v>0</v>
      </c>
      <c r="BW166" s="293">
        <f>BW203/BW188*100</f>
        <v>0</v>
      </c>
      <c r="BX166" s="293">
        <f>BX203/BX188*100</f>
        <v>0</v>
      </c>
      <c r="BZ166" s="293">
        <f>BZ203/BZ188*100</f>
        <v>0.18328445747800587</v>
      </c>
      <c r="CA166" s="293">
        <f>CA203/CA188*100</f>
        <v>0.47600158667195558</v>
      </c>
      <c r="CC166" s="293">
        <f>CC203/CC188*100</f>
        <v>0</v>
      </c>
      <c r="CD166" s="293">
        <f>CD203/CD188*100</f>
        <v>0</v>
      </c>
      <c r="CF166" s="293">
        <f>CF203/CF188*100</f>
        <v>0</v>
      </c>
      <c r="CG166" s="293">
        <f>CG203/CG188*100</f>
        <v>0</v>
      </c>
      <c r="CI166" s="293" t="e">
        <f>CI203/CI188*100</f>
        <v>#DIV/0!</v>
      </c>
      <c r="CJ166" s="293" t="e">
        <f>CJ203/CJ188*100</f>
        <v>#DIV/0!</v>
      </c>
    </row>
    <row r="167" spans="1:88" x14ac:dyDescent="0.25">
      <c r="A167" s="101"/>
      <c r="B167" s="354" t="s">
        <v>2412</v>
      </c>
      <c r="C167" s="101"/>
      <c r="D167" s="101"/>
      <c r="E167" s="293"/>
      <c r="F167" s="293"/>
      <c r="G167" s="293"/>
      <c r="H167" s="293"/>
      <c r="I167" s="293"/>
      <c r="J167" s="293"/>
      <c r="K167" s="293"/>
      <c r="L167" s="293"/>
      <c r="M167" s="293"/>
      <c r="N167" s="293"/>
      <c r="O167" s="281"/>
      <c r="P167" s="293"/>
      <c r="Q167" s="293"/>
      <c r="R167" s="293"/>
      <c r="S167" s="293"/>
      <c r="U167" s="293"/>
      <c r="V167" s="293"/>
      <c r="X167" s="293"/>
      <c r="Y167" s="293"/>
      <c r="AA167" s="293"/>
      <c r="AB167" s="293"/>
      <c r="AD167" s="293"/>
      <c r="AE167" s="293"/>
      <c r="AG167" s="293"/>
      <c r="AH167" s="293"/>
      <c r="AJ167" s="293"/>
      <c r="AK167" s="293"/>
      <c r="AM167" s="293"/>
      <c r="AN167" s="293"/>
      <c r="AP167" s="293"/>
      <c r="AQ167" s="293"/>
      <c r="AS167" s="293"/>
      <c r="AT167" s="293"/>
      <c r="AV167" s="293"/>
      <c r="AW167" s="293"/>
      <c r="AY167" s="293"/>
      <c r="AZ167" s="293"/>
      <c r="BB167" s="293"/>
      <c r="BC167" s="293"/>
      <c r="BE167" s="293"/>
      <c r="BF167" s="293"/>
      <c r="BH167" s="293"/>
      <c r="BI167" s="293"/>
      <c r="BK167" s="293"/>
      <c r="BL167" s="293"/>
      <c r="BN167" s="293"/>
      <c r="BO167" s="293"/>
      <c r="BQ167" s="293"/>
      <c r="BR167" s="293"/>
      <c r="BT167" s="293"/>
      <c r="BU167" s="293"/>
      <c r="BW167" s="293"/>
      <c r="BX167" s="293"/>
      <c r="BZ167" s="293"/>
      <c r="CA167" s="293"/>
      <c r="CC167" s="293"/>
      <c r="CD167" s="293"/>
      <c r="CF167" s="293"/>
      <c r="CG167" s="293"/>
      <c r="CI167" s="293"/>
      <c r="CJ167" s="293"/>
    </row>
    <row r="168" spans="1:88" x14ac:dyDescent="0.25">
      <c r="A168" s="101"/>
      <c r="B168" s="96" t="s">
        <v>1608</v>
      </c>
      <c r="C168" s="101"/>
      <c r="D168" s="101" t="s">
        <v>8</v>
      </c>
      <c r="E168" s="293"/>
      <c r="F168" s="293"/>
      <c r="G168" s="293"/>
      <c r="H168" s="293"/>
      <c r="I168" s="293"/>
      <c r="J168" s="293">
        <f>J192/$J$189*100</f>
        <v>0.40696935012081903</v>
      </c>
      <c r="K168" s="293">
        <f>K192/$K$189*100</f>
        <v>0.37290990015638154</v>
      </c>
      <c r="L168" s="293">
        <f t="shared" ref="L168:N168" si="194">L192/$K$189*100</f>
        <v>0</v>
      </c>
      <c r="M168" s="293">
        <f t="shared" si="194"/>
        <v>0</v>
      </c>
      <c r="N168" s="293">
        <f t="shared" si="194"/>
        <v>0</v>
      </c>
      <c r="O168" s="281"/>
      <c r="P168" s="293">
        <f>P192/P189*100</f>
        <v>0.63512637718729748</v>
      </c>
      <c r="Q168" s="293">
        <f>Q192/Q189*100</f>
        <v>1.0507396654223697</v>
      </c>
      <c r="R168" s="293">
        <f>R192/R189*100</f>
        <v>0</v>
      </c>
      <c r="S168" s="293">
        <f>S192/S189*100</f>
        <v>0</v>
      </c>
      <c r="U168" s="293">
        <f>U192/U189*100</f>
        <v>0</v>
      </c>
      <c r="V168" s="293">
        <f>V192/V189*100</f>
        <v>0</v>
      </c>
      <c r="X168" s="293">
        <f>X192/X189*100</f>
        <v>0</v>
      </c>
      <c r="Y168" s="293">
        <f>Y192/Y189*100</f>
        <v>0.79239302694136293</v>
      </c>
      <c r="AA168" s="293">
        <f>AA192/AA189*100</f>
        <v>0</v>
      </c>
      <c r="AB168" s="293">
        <f>AB192/AB189*100</f>
        <v>0</v>
      </c>
      <c r="AD168" s="293">
        <f>AD192/AD189*100</f>
        <v>0</v>
      </c>
      <c r="AE168" s="293">
        <f>AE192/AE189*100</f>
        <v>6.2200956937799043</v>
      </c>
      <c r="AG168" s="293">
        <f>AG192/AG189*100</f>
        <v>0</v>
      </c>
      <c r="AH168" s="293">
        <f>AH192/AH189*100</f>
        <v>0</v>
      </c>
      <c r="AJ168" s="293">
        <f>AJ192/AJ189*100</f>
        <v>0</v>
      </c>
      <c r="AK168" s="293">
        <f>AK192/AK189*100</f>
        <v>0</v>
      </c>
      <c r="AM168" s="293">
        <f>AM192/AM189*100</f>
        <v>1.8730886850152906</v>
      </c>
      <c r="AN168" s="293">
        <f>AN192/AN189*100</f>
        <v>2.1469465648854964</v>
      </c>
      <c r="AP168" s="293">
        <f>AP192/AP189*100</f>
        <v>0</v>
      </c>
      <c r="AQ168" s="293">
        <f>AQ192/AQ189*100</f>
        <v>0</v>
      </c>
      <c r="AS168" s="293" t="e">
        <f>AS192/AS189*100</f>
        <v>#DIV/0!</v>
      </c>
      <c r="AT168" s="293" t="e">
        <f>AT192/AT189*100</f>
        <v>#DIV/0!</v>
      </c>
      <c r="AV168" s="293" t="e">
        <f>AV192/AV189*100</f>
        <v>#DIV/0!</v>
      </c>
      <c r="AW168" s="293" t="e">
        <f>AW192/AW189*100</f>
        <v>#DIV/0!</v>
      </c>
      <c r="AY168" s="293" t="e">
        <f>AY192/AY189*100</f>
        <v>#DIV/0!</v>
      </c>
      <c r="AZ168" s="293" t="e">
        <f>AZ192/AZ189*100</f>
        <v>#DIV/0!</v>
      </c>
      <c r="BB168" s="293" t="e">
        <f>BB192/BB189*100</f>
        <v>#DIV/0!</v>
      </c>
      <c r="BC168" s="293" t="e">
        <f>BC192/BC189*100</f>
        <v>#DIV/0!</v>
      </c>
      <c r="BE168" s="293" t="e">
        <f>BE192/BE189*100</f>
        <v>#DIV/0!</v>
      </c>
      <c r="BF168" s="293" t="e">
        <f>BF192/BF189*100</f>
        <v>#DIV/0!</v>
      </c>
      <c r="BH168" s="293" t="e">
        <f>BH192/BH189*100</f>
        <v>#DIV/0!</v>
      </c>
      <c r="BI168" s="293" t="e">
        <f>BI192/BI189*100</f>
        <v>#DIV/0!</v>
      </c>
      <c r="BK168" s="293" t="e">
        <f>BK192/BK189*100</f>
        <v>#DIV/0!</v>
      </c>
      <c r="BL168" s="293" t="e">
        <f>BL192/BL189*100</f>
        <v>#DIV/0!</v>
      </c>
      <c r="BN168" s="293" t="e">
        <f>BN192/BN189*100</f>
        <v>#DIV/0!</v>
      </c>
      <c r="BO168" s="293" t="e">
        <f>BO192/BO189*100</f>
        <v>#DIV/0!</v>
      </c>
      <c r="BQ168" s="293" t="e">
        <f>BQ192/BQ189*100</f>
        <v>#DIV/0!</v>
      </c>
      <c r="BR168" s="293" t="e">
        <f>BR192/BR189*100</f>
        <v>#DIV/0!</v>
      </c>
      <c r="BT168" s="293" t="e">
        <f>BT192/BT189*100</f>
        <v>#DIV/0!</v>
      </c>
      <c r="BU168" s="293" t="e">
        <f>BU192/BU189*100</f>
        <v>#DIV/0!</v>
      </c>
      <c r="BW168" s="293" t="e">
        <f>BW192/BW189*100</f>
        <v>#DIV/0!</v>
      </c>
      <c r="BX168" s="293" t="e">
        <f>BX192/BX189*100</f>
        <v>#DIV/0!</v>
      </c>
      <c r="BZ168" s="293" t="e">
        <f>BZ192/BZ189*100</f>
        <v>#DIV/0!</v>
      </c>
      <c r="CA168" s="293" t="e">
        <f>CA192/CA189*100</f>
        <v>#DIV/0!</v>
      </c>
      <c r="CC168" s="293" t="e">
        <f>CC192/CC189*100</f>
        <v>#DIV/0!</v>
      </c>
      <c r="CD168" s="293" t="e">
        <f>CD192/CD189*100</f>
        <v>#DIV/0!</v>
      </c>
      <c r="CF168" s="293" t="e">
        <f>CF192/CF189*100</f>
        <v>#DIV/0!</v>
      </c>
      <c r="CG168" s="293" t="e">
        <f>CG192/CG189*100</f>
        <v>#DIV/0!</v>
      </c>
      <c r="CI168" s="293" t="e">
        <f>CI192/CI189*100</f>
        <v>#DIV/0!</v>
      </c>
      <c r="CJ168" s="293" t="e">
        <f>CJ192/CJ189*100</f>
        <v>#DIV/0!</v>
      </c>
    </row>
    <row r="169" spans="1:88" x14ac:dyDescent="0.25">
      <c r="A169" s="101"/>
      <c r="B169" s="96" t="s">
        <v>1609</v>
      </c>
      <c r="C169" s="101"/>
      <c r="D169" s="101" t="s">
        <v>8</v>
      </c>
      <c r="E169" s="293"/>
      <c r="F169" s="293"/>
      <c r="G169" s="293"/>
      <c r="H169" s="293"/>
      <c r="I169" s="293"/>
      <c r="J169" s="293">
        <f>J195/$J$189*100</f>
        <v>96.477171563016668</v>
      </c>
      <c r="K169" s="293">
        <f>K195/$K$189*100</f>
        <v>93.94923613617226</v>
      </c>
      <c r="L169" s="293">
        <f t="shared" ref="L169:N169" si="195">L195/$K$189*100</f>
        <v>9.1302778780223743</v>
      </c>
      <c r="M169" s="293">
        <f t="shared" si="195"/>
        <v>7.410080596655841</v>
      </c>
      <c r="N169" s="293">
        <f t="shared" si="195"/>
        <v>7.9273427162275949</v>
      </c>
      <c r="O169" s="281"/>
      <c r="P169" s="293">
        <f>P195/P189*100</f>
        <v>93.220998055735578</v>
      </c>
      <c r="Q169" s="293">
        <f>Q195/Q189*100</f>
        <v>89.865892437439513</v>
      </c>
      <c r="R169" s="293">
        <f>R195/R189*100</f>
        <v>100</v>
      </c>
      <c r="S169" s="293">
        <f>S195/S189*100</f>
        <v>100</v>
      </c>
      <c r="U169" s="293">
        <f>U195/U189*100</f>
        <v>100</v>
      </c>
      <c r="V169" s="293">
        <f>V195/V189*100</f>
        <v>93.036211699164355</v>
      </c>
      <c r="X169" s="293">
        <f>X195/X189*100</f>
        <v>90.063091482649838</v>
      </c>
      <c r="Y169" s="293">
        <f>Y195/Y189*100</f>
        <v>91.283676703645014</v>
      </c>
      <c r="AA169" s="293">
        <f>AA195/AA189*100</f>
        <v>100</v>
      </c>
      <c r="AB169" s="293">
        <f>AB195/AB189*100</f>
        <v>100</v>
      </c>
      <c r="AD169" s="293">
        <f>AD195/AD189*100</f>
        <v>68.387096774193552</v>
      </c>
      <c r="AE169" s="293">
        <f>AE195/AE189*100</f>
        <v>93.779904306220089</v>
      </c>
      <c r="AG169" s="293">
        <f>AG195/AG189*100</f>
        <v>91.298865069356879</v>
      </c>
      <c r="AH169" s="293">
        <f>AH195/AH189*100</f>
        <v>90.969455511288174</v>
      </c>
      <c r="AJ169" s="293">
        <f>AJ195/AJ189*100</f>
        <v>80.985915492957744</v>
      </c>
      <c r="AK169" s="293">
        <f>AK195/AK189*100</f>
        <v>80.620155038759691</v>
      </c>
      <c r="AM169" s="293">
        <f>AM195/AM189*100</f>
        <v>90.672782874617738</v>
      </c>
      <c r="AN169" s="293">
        <f>AN195/AN189*100</f>
        <v>77.862595419847324</v>
      </c>
      <c r="AP169" s="293">
        <f>AP195/AP189*100</f>
        <v>92.949354518371393</v>
      </c>
      <c r="AQ169" s="293">
        <f>AQ195/AQ189*100</f>
        <v>95.217853347502654</v>
      </c>
      <c r="AS169" s="293" t="e">
        <f>AS195/AS189*100</f>
        <v>#DIV/0!</v>
      </c>
      <c r="AT169" s="293" t="e">
        <f>AT195/AT189*100</f>
        <v>#DIV/0!</v>
      </c>
      <c r="AV169" s="293" t="e">
        <f>AV195/AV189*100</f>
        <v>#DIV/0!</v>
      </c>
      <c r="AW169" s="293" t="e">
        <f>AW195/AW189*100</f>
        <v>#DIV/0!</v>
      </c>
      <c r="AY169" s="293" t="e">
        <f>AY195/AY189*100</f>
        <v>#DIV/0!</v>
      </c>
      <c r="AZ169" s="293" t="e">
        <f>AZ195/AZ189*100</f>
        <v>#DIV/0!</v>
      </c>
      <c r="BB169" s="293" t="e">
        <f>BB195/BB189*100</f>
        <v>#DIV/0!</v>
      </c>
      <c r="BC169" s="293" t="e">
        <f>BC195/BC189*100</f>
        <v>#DIV/0!</v>
      </c>
      <c r="BE169" s="293" t="e">
        <f>BE195/BE189*100</f>
        <v>#DIV/0!</v>
      </c>
      <c r="BF169" s="293" t="e">
        <f>BF195/BF189*100</f>
        <v>#DIV/0!</v>
      </c>
      <c r="BH169" s="293" t="e">
        <f>BH195/BH189*100</f>
        <v>#DIV/0!</v>
      </c>
      <c r="BI169" s="293" t="e">
        <f>BI195/BI189*100</f>
        <v>#DIV/0!</v>
      </c>
      <c r="BK169" s="293" t="e">
        <f>BK195/BK189*100</f>
        <v>#DIV/0!</v>
      </c>
      <c r="BL169" s="293" t="e">
        <f>BL195/BL189*100</f>
        <v>#DIV/0!</v>
      </c>
      <c r="BN169" s="293" t="e">
        <f>BN195/BN189*100</f>
        <v>#DIV/0!</v>
      </c>
      <c r="BO169" s="293" t="e">
        <f>BO195/BO189*100</f>
        <v>#DIV/0!</v>
      </c>
      <c r="BQ169" s="293" t="e">
        <f>BQ195/BQ189*100</f>
        <v>#DIV/0!</v>
      </c>
      <c r="BR169" s="293" t="e">
        <f>BR195/BR189*100</f>
        <v>#DIV/0!</v>
      </c>
      <c r="BT169" s="293" t="e">
        <f>BT195/BT189*100</f>
        <v>#DIV/0!</v>
      </c>
      <c r="BU169" s="293" t="e">
        <f>BU195/BU189*100</f>
        <v>#DIV/0!</v>
      </c>
      <c r="BW169" s="293" t="e">
        <f>BW195/BW189*100</f>
        <v>#DIV/0!</v>
      </c>
      <c r="BX169" s="293" t="e">
        <f>BX195/BX189*100</f>
        <v>#DIV/0!</v>
      </c>
      <c r="BZ169" s="293" t="e">
        <f>BZ195/BZ189*100</f>
        <v>#DIV/0!</v>
      </c>
      <c r="CA169" s="293" t="e">
        <f>CA195/CA189*100</f>
        <v>#DIV/0!</v>
      </c>
      <c r="CC169" s="293" t="e">
        <f>CC195/CC189*100</f>
        <v>#DIV/0!</v>
      </c>
      <c r="CD169" s="293" t="e">
        <f>CD195/CD189*100</f>
        <v>#DIV/0!</v>
      </c>
      <c r="CF169" s="293" t="e">
        <f>CF195/CF189*100</f>
        <v>#DIV/0!</v>
      </c>
      <c r="CG169" s="293" t="e">
        <f>CG195/CG189*100</f>
        <v>#DIV/0!</v>
      </c>
      <c r="CI169" s="293" t="e">
        <f>CI195/CI189*100</f>
        <v>#DIV/0!</v>
      </c>
      <c r="CJ169" s="293" t="e">
        <f>CJ195/CJ189*100</f>
        <v>#DIV/0!</v>
      </c>
    </row>
    <row r="170" spans="1:88" x14ac:dyDescent="0.25">
      <c r="A170" s="101"/>
      <c r="B170" s="96" t="s">
        <v>1610</v>
      </c>
      <c r="C170" s="101"/>
      <c r="D170" s="101" t="s">
        <v>8</v>
      </c>
      <c r="E170" s="293"/>
      <c r="F170" s="293"/>
      <c r="G170" s="293"/>
      <c r="H170" s="293"/>
      <c r="I170" s="293"/>
      <c r="J170" s="293">
        <f>J198/$J$189*100</f>
        <v>0</v>
      </c>
      <c r="K170" s="293">
        <f>K198/$K$189*100</f>
        <v>0.84205461325634545</v>
      </c>
      <c r="L170" s="293">
        <f t="shared" ref="L170:N170" si="196">L198/$K$189*100</f>
        <v>0</v>
      </c>
      <c r="M170" s="293">
        <f t="shared" si="196"/>
        <v>0</v>
      </c>
      <c r="N170" s="293">
        <f t="shared" si="196"/>
        <v>0</v>
      </c>
      <c r="O170" s="281"/>
      <c r="P170" s="293">
        <f>P198/P189*100</f>
        <v>0</v>
      </c>
      <c r="Q170" s="293">
        <f>Q198/Q189*100</f>
        <v>0</v>
      </c>
      <c r="R170" s="293">
        <f>R198/R189*100</f>
        <v>0</v>
      </c>
      <c r="S170" s="293">
        <f>S198/S189*100</f>
        <v>0</v>
      </c>
      <c r="U170" s="293">
        <f>U198/U189*100</f>
        <v>0</v>
      </c>
      <c r="V170" s="293">
        <f>V198/V189*100</f>
        <v>0</v>
      </c>
      <c r="X170" s="293">
        <f>X198/X189*100</f>
        <v>0</v>
      </c>
      <c r="Y170" s="293">
        <f>Y198/Y189*100</f>
        <v>0</v>
      </c>
      <c r="AA170" s="293">
        <f>AA198/AA189*100</f>
        <v>0</v>
      </c>
      <c r="AB170" s="293">
        <f>AB198/AB189*100</f>
        <v>0</v>
      </c>
      <c r="AD170" s="293">
        <f>AD198/AD189*100</f>
        <v>0</v>
      </c>
      <c r="AE170" s="293">
        <f>AE198/AE189*100</f>
        <v>0</v>
      </c>
      <c r="AG170" s="293">
        <f>AG198/AG189*100</f>
        <v>0</v>
      </c>
      <c r="AH170" s="293">
        <f>AH198/AH189*100</f>
        <v>0</v>
      </c>
      <c r="AJ170" s="293">
        <f>AJ198/AJ189*100</f>
        <v>0</v>
      </c>
      <c r="AK170" s="293">
        <f>AK198/AK189*100</f>
        <v>0</v>
      </c>
      <c r="AM170" s="293">
        <f>AM198/AM189*100</f>
        <v>0</v>
      </c>
      <c r="AN170" s="293">
        <f>AN198/AN189*100</f>
        <v>0</v>
      </c>
      <c r="AP170" s="293">
        <f>AP198/AP189*100</f>
        <v>0</v>
      </c>
      <c r="AQ170" s="293">
        <f>AQ198/AQ189*100</f>
        <v>0</v>
      </c>
      <c r="AS170" s="293" t="e">
        <f>AS198/AS189*100</f>
        <v>#DIV/0!</v>
      </c>
      <c r="AT170" s="293" t="e">
        <f>AT198/AT189*100</f>
        <v>#DIV/0!</v>
      </c>
      <c r="AV170" s="293" t="e">
        <f>AV198/AV189*100</f>
        <v>#DIV/0!</v>
      </c>
      <c r="AW170" s="293" t="e">
        <f>AW198/AW189*100</f>
        <v>#DIV/0!</v>
      </c>
      <c r="AY170" s="293" t="e">
        <f>AY198/AY189*100</f>
        <v>#DIV/0!</v>
      </c>
      <c r="AZ170" s="293" t="e">
        <f>AZ198/AZ189*100</f>
        <v>#DIV/0!</v>
      </c>
      <c r="BB170" s="293" t="e">
        <f>BB198/BB189*100</f>
        <v>#DIV/0!</v>
      </c>
      <c r="BC170" s="293" t="e">
        <f>BC198/BC189*100</f>
        <v>#DIV/0!</v>
      </c>
      <c r="BE170" s="293" t="e">
        <f>BE198/BE189*100</f>
        <v>#DIV/0!</v>
      </c>
      <c r="BF170" s="293" t="e">
        <f>BF198/BF189*100</f>
        <v>#DIV/0!</v>
      </c>
      <c r="BH170" s="293" t="e">
        <f>BH198/BH189*100</f>
        <v>#DIV/0!</v>
      </c>
      <c r="BI170" s="293" t="e">
        <f>BI198/BI189*100</f>
        <v>#DIV/0!</v>
      </c>
      <c r="BK170" s="293" t="e">
        <f>BK198/BK189*100</f>
        <v>#DIV/0!</v>
      </c>
      <c r="BL170" s="293" t="e">
        <f>BL198/BL189*100</f>
        <v>#DIV/0!</v>
      </c>
      <c r="BN170" s="293" t="e">
        <f>BN198/BN189*100</f>
        <v>#DIV/0!</v>
      </c>
      <c r="BO170" s="293" t="e">
        <f>BO198/BO189*100</f>
        <v>#DIV/0!</v>
      </c>
      <c r="BQ170" s="293" t="e">
        <f>BQ198/BQ189*100</f>
        <v>#DIV/0!</v>
      </c>
      <c r="BR170" s="293" t="e">
        <f>BR198/BR189*100</f>
        <v>#DIV/0!</v>
      </c>
      <c r="BT170" s="293" t="e">
        <f>BT198/BT189*100</f>
        <v>#DIV/0!</v>
      </c>
      <c r="BU170" s="293" t="e">
        <f>BU198/BU189*100</f>
        <v>#DIV/0!</v>
      </c>
      <c r="BW170" s="293" t="e">
        <f>BW198/BW189*100</f>
        <v>#DIV/0!</v>
      </c>
      <c r="BX170" s="293" t="e">
        <f>BX198/BX189*100</f>
        <v>#DIV/0!</v>
      </c>
      <c r="BZ170" s="293" t="e">
        <f>BZ198/BZ189*100</f>
        <v>#DIV/0!</v>
      </c>
      <c r="CA170" s="293" t="e">
        <f>CA198/CA189*100</f>
        <v>#DIV/0!</v>
      </c>
      <c r="CC170" s="293" t="e">
        <f>CC198/CC189*100</f>
        <v>#DIV/0!</v>
      </c>
      <c r="CD170" s="293" t="e">
        <f>CD198/CD189*100</f>
        <v>#DIV/0!</v>
      </c>
      <c r="CF170" s="293" t="e">
        <f>CF198/CF189*100</f>
        <v>#DIV/0!</v>
      </c>
      <c r="CG170" s="293" t="e">
        <f>CG198/CG189*100</f>
        <v>#DIV/0!</v>
      </c>
      <c r="CI170" s="293" t="e">
        <f>CI198/CI189*100</f>
        <v>#DIV/0!</v>
      </c>
      <c r="CJ170" s="293" t="e">
        <f>CJ198/CJ189*100</f>
        <v>#DIV/0!</v>
      </c>
    </row>
    <row r="171" spans="1:88" x14ac:dyDescent="0.25">
      <c r="A171" s="101"/>
      <c r="B171" s="96" t="s">
        <v>1611</v>
      </c>
      <c r="C171" s="101"/>
      <c r="D171" s="101" t="s">
        <v>8</v>
      </c>
      <c r="E171" s="293"/>
      <c r="F171" s="293"/>
      <c r="G171" s="293"/>
      <c r="H171" s="293"/>
      <c r="I171" s="293"/>
      <c r="J171" s="293">
        <f>J201/$J$189*100</f>
        <v>2.5054050616812922</v>
      </c>
      <c r="K171" s="293">
        <f>K201/$K$189*100</f>
        <v>4.3786839889329965</v>
      </c>
      <c r="L171" s="293">
        <f t="shared" ref="L171:N171" si="197">L201/$K$189*100</f>
        <v>0</v>
      </c>
      <c r="M171" s="293">
        <f t="shared" si="197"/>
        <v>0</v>
      </c>
      <c r="N171" s="293">
        <f t="shared" si="197"/>
        <v>0.20449897750511251</v>
      </c>
      <c r="O171" s="281"/>
      <c r="P171" s="293">
        <f>P201/P189*100</f>
        <v>5.3532080362929353</v>
      </c>
      <c r="Q171" s="293">
        <f>Q201/Q189*100</f>
        <v>7.7975943591870589</v>
      </c>
      <c r="R171" s="293">
        <f>R201/R189*100</f>
        <v>0</v>
      </c>
      <c r="S171" s="293">
        <f>S201/S189*100</f>
        <v>0</v>
      </c>
      <c r="U171" s="293">
        <f>U201/U189*100</f>
        <v>0</v>
      </c>
      <c r="V171" s="293">
        <f>V201/V189*100</f>
        <v>3.4818941504178276</v>
      </c>
      <c r="X171" s="293">
        <f>X201/X189*100</f>
        <v>9.9369085173501581</v>
      </c>
      <c r="Y171" s="293">
        <f>Y201/Y189*100</f>
        <v>7.9239302694136287</v>
      </c>
      <c r="AA171" s="293">
        <f>AA201/AA189*100</f>
        <v>0</v>
      </c>
      <c r="AB171" s="293">
        <f>AB201/AB189*100</f>
        <v>0</v>
      </c>
      <c r="AD171" s="293">
        <f>AD201/AD189*100</f>
        <v>31.612903225806448</v>
      </c>
      <c r="AE171" s="293">
        <f>AE201/AE189*100</f>
        <v>0</v>
      </c>
      <c r="AG171" s="293">
        <f>AG201/AG189*100</f>
        <v>6.9356872635561162</v>
      </c>
      <c r="AH171" s="293">
        <f>AH201/AH189*100</f>
        <v>0</v>
      </c>
      <c r="AJ171" s="293">
        <f>AJ201/AJ189*100</f>
        <v>19.014084507042252</v>
      </c>
      <c r="AK171" s="293">
        <f>AK201/AK189*100</f>
        <v>19.379844961240313</v>
      </c>
      <c r="AM171" s="293">
        <f>AM201/AM189*100</f>
        <v>6.5749235474006111</v>
      </c>
      <c r="AN171" s="293">
        <f>AN201/AN189*100</f>
        <v>19.990458015267176</v>
      </c>
      <c r="AP171" s="293">
        <f>AP201/AP189*100</f>
        <v>4.6673286991062559</v>
      </c>
      <c r="AQ171" s="293">
        <f>AQ201/AQ189*100</f>
        <v>4.7821466524973433</v>
      </c>
      <c r="AS171" s="293" t="e">
        <f>AS201/AS189*100</f>
        <v>#DIV/0!</v>
      </c>
      <c r="AT171" s="293" t="e">
        <f>AT201/AT189*100</f>
        <v>#DIV/0!</v>
      </c>
      <c r="AV171" s="293" t="e">
        <f>AV201/AV189*100</f>
        <v>#DIV/0!</v>
      </c>
      <c r="AW171" s="293" t="e">
        <f>AW201/AW189*100</f>
        <v>#DIV/0!</v>
      </c>
      <c r="AY171" s="293" t="e">
        <f>AY201/AY189*100</f>
        <v>#DIV/0!</v>
      </c>
      <c r="AZ171" s="293" t="e">
        <f>AZ201/AZ189*100</f>
        <v>#DIV/0!</v>
      </c>
      <c r="BB171" s="293" t="e">
        <f>BB201/BB189*100</f>
        <v>#DIV/0!</v>
      </c>
      <c r="BC171" s="293" t="e">
        <f>BC201/BC189*100</f>
        <v>#DIV/0!</v>
      </c>
      <c r="BE171" s="293" t="e">
        <f>BE201/BE189*100</f>
        <v>#DIV/0!</v>
      </c>
      <c r="BF171" s="293" t="e">
        <f>BF201/BF189*100</f>
        <v>#DIV/0!</v>
      </c>
      <c r="BH171" s="293" t="e">
        <f>BH201/BH189*100</f>
        <v>#DIV/0!</v>
      </c>
      <c r="BI171" s="293" t="e">
        <f>BI201/BI189*100</f>
        <v>#DIV/0!</v>
      </c>
      <c r="BK171" s="293" t="e">
        <f>BK201/BK189*100</f>
        <v>#DIV/0!</v>
      </c>
      <c r="BL171" s="293" t="e">
        <f>BL201/BL189*100</f>
        <v>#DIV/0!</v>
      </c>
      <c r="BN171" s="293" t="e">
        <f>BN201/BN189*100</f>
        <v>#DIV/0!</v>
      </c>
      <c r="BO171" s="293" t="e">
        <f>BO201/BO189*100</f>
        <v>#DIV/0!</v>
      </c>
      <c r="BQ171" s="293" t="e">
        <f>BQ201/BQ189*100</f>
        <v>#DIV/0!</v>
      </c>
      <c r="BR171" s="293" t="e">
        <f>BR201/BR189*100</f>
        <v>#DIV/0!</v>
      </c>
      <c r="BT171" s="293" t="e">
        <f>BT201/BT189*100</f>
        <v>#DIV/0!</v>
      </c>
      <c r="BU171" s="293" t="e">
        <f>BU201/BU189*100</f>
        <v>#DIV/0!</v>
      </c>
      <c r="BW171" s="293" t="e">
        <f>BW201/BW189*100</f>
        <v>#DIV/0!</v>
      </c>
      <c r="BX171" s="293" t="e">
        <f>BX201/BX189*100</f>
        <v>#DIV/0!</v>
      </c>
      <c r="BZ171" s="293" t="e">
        <f>BZ201/BZ189*100</f>
        <v>#DIV/0!</v>
      </c>
      <c r="CA171" s="293" t="e">
        <f>CA201/CA189*100</f>
        <v>#DIV/0!</v>
      </c>
      <c r="CC171" s="293" t="e">
        <f>CC201/CC189*100</f>
        <v>#DIV/0!</v>
      </c>
      <c r="CD171" s="293" t="e">
        <f>CD201/CD189*100</f>
        <v>#DIV/0!</v>
      </c>
      <c r="CF171" s="293" t="e">
        <f>CF201/CF189*100</f>
        <v>#DIV/0!</v>
      </c>
      <c r="CG171" s="293" t="e">
        <f>CG201/CG189*100</f>
        <v>#DIV/0!</v>
      </c>
      <c r="CI171" s="293" t="e">
        <f>CI201/CI189*100</f>
        <v>#DIV/0!</v>
      </c>
      <c r="CJ171" s="293" t="e">
        <f>CJ201/CJ189*100</f>
        <v>#DIV/0!</v>
      </c>
    </row>
    <row r="172" spans="1:88" x14ac:dyDescent="0.25">
      <c r="A172" s="101"/>
      <c r="B172" s="96" t="s">
        <v>1617</v>
      </c>
      <c r="C172" s="101"/>
      <c r="D172" s="101" t="s">
        <v>8</v>
      </c>
      <c r="E172" s="293"/>
      <c r="F172" s="293"/>
      <c r="G172" s="293"/>
      <c r="H172" s="293"/>
      <c r="I172" s="293"/>
      <c r="J172" s="293">
        <f>J204/$J$189*100</f>
        <v>0</v>
      </c>
      <c r="K172" s="293">
        <f>K204/$K$189*100</f>
        <v>0.28870443883074698</v>
      </c>
      <c r="L172" s="293">
        <f t="shared" ref="L172:N172" si="198">L204/$K$189*100</f>
        <v>0</v>
      </c>
      <c r="M172" s="293">
        <f t="shared" si="198"/>
        <v>0</v>
      </c>
      <c r="N172" s="293">
        <f t="shared" si="198"/>
        <v>0</v>
      </c>
      <c r="O172" s="281"/>
      <c r="P172" s="293">
        <f>P204/P189*100</f>
        <v>0</v>
      </c>
      <c r="Q172" s="293">
        <f>Q204/Q189*100</f>
        <v>0</v>
      </c>
      <c r="R172" s="293">
        <f>R204/R189*100</f>
        <v>0</v>
      </c>
      <c r="S172" s="293">
        <f>S204/S189*100</f>
        <v>0</v>
      </c>
      <c r="U172" s="293">
        <f>U204/U189*100</f>
        <v>0</v>
      </c>
      <c r="V172" s="293">
        <f>V204/V189*100</f>
        <v>0</v>
      </c>
      <c r="X172" s="293">
        <f>X204/X189*100</f>
        <v>0</v>
      </c>
      <c r="Y172" s="293">
        <f>Y204/Y189*100</f>
        <v>0</v>
      </c>
      <c r="AA172" s="293">
        <f>AA204/AA189*100</f>
        <v>0</v>
      </c>
      <c r="AB172" s="293">
        <f>AB204/AB189*100</f>
        <v>0</v>
      </c>
      <c r="AD172" s="293">
        <f>AD204/AD189*100</f>
        <v>0</v>
      </c>
      <c r="AE172" s="293">
        <f>AE204/AE189*100</f>
        <v>0</v>
      </c>
      <c r="AG172" s="293">
        <f>AG204/AG189*100</f>
        <v>0</v>
      </c>
      <c r="AH172" s="293">
        <f>AH204/AH189*100</f>
        <v>0</v>
      </c>
      <c r="AJ172" s="293">
        <f>AJ204/AJ189*100</f>
        <v>0</v>
      </c>
      <c r="AK172" s="293">
        <f>AK204/AK189*100</f>
        <v>0</v>
      </c>
      <c r="AM172" s="293">
        <f>AM204/AM189*100</f>
        <v>0</v>
      </c>
      <c r="AN172" s="293">
        <f>AN204/AN189*100</f>
        <v>0</v>
      </c>
      <c r="AP172" s="293">
        <f>AP204/AP189*100</f>
        <v>0</v>
      </c>
      <c r="AQ172" s="293">
        <f>AQ204/AQ189*100</f>
        <v>0</v>
      </c>
      <c r="AS172" s="293" t="e">
        <f>AS204/AS189*100</f>
        <v>#DIV/0!</v>
      </c>
      <c r="AT172" s="293" t="e">
        <f>AT204/AT189*100</f>
        <v>#DIV/0!</v>
      </c>
      <c r="AV172" s="293" t="e">
        <f>AV204/AV189*100</f>
        <v>#DIV/0!</v>
      </c>
      <c r="AW172" s="293" t="e">
        <f>AW204/AW189*100</f>
        <v>#DIV/0!</v>
      </c>
      <c r="AY172" s="293" t="e">
        <f>AY204/AY189*100</f>
        <v>#DIV/0!</v>
      </c>
      <c r="AZ172" s="293" t="e">
        <f>AZ204/AZ189*100</f>
        <v>#DIV/0!</v>
      </c>
      <c r="BB172" s="293" t="e">
        <f>BB204/BB189*100</f>
        <v>#DIV/0!</v>
      </c>
      <c r="BC172" s="293" t="e">
        <f>BC204/BC189*100</f>
        <v>#DIV/0!</v>
      </c>
      <c r="BE172" s="293" t="e">
        <f>BE204/BE189*100</f>
        <v>#DIV/0!</v>
      </c>
      <c r="BF172" s="293" t="e">
        <f>BF204/BF189*100</f>
        <v>#DIV/0!</v>
      </c>
      <c r="BH172" s="293" t="e">
        <f>BH204/BH189*100</f>
        <v>#DIV/0!</v>
      </c>
      <c r="BI172" s="293" t="e">
        <f>BI204/BI189*100</f>
        <v>#DIV/0!</v>
      </c>
      <c r="BK172" s="293" t="e">
        <f>BK204/BK189*100</f>
        <v>#DIV/0!</v>
      </c>
      <c r="BL172" s="293" t="e">
        <f>BL204/BL189*100</f>
        <v>#DIV/0!</v>
      </c>
      <c r="BN172" s="293" t="e">
        <f>BN204/BN189*100</f>
        <v>#DIV/0!</v>
      </c>
      <c r="BO172" s="293" t="e">
        <f>BO204/BO189*100</f>
        <v>#DIV/0!</v>
      </c>
      <c r="BQ172" s="293" t="e">
        <f>BQ204/BQ189*100</f>
        <v>#DIV/0!</v>
      </c>
      <c r="BR172" s="293" t="e">
        <f>BR204/BR189*100</f>
        <v>#DIV/0!</v>
      </c>
      <c r="BT172" s="293" t="e">
        <f>BT204/BT189*100</f>
        <v>#DIV/0!</v>
      </c>
      <c r="BU172" s="293" t="e">
        <f>BU204/BU189*100</f>
        <v>#DIV/0!</v>
      </c>
      <c r="BW172" s="293" t="e">
        <f>BW204/BW189*100</f>
        <v>#DIV/0!</v>
      </c>
      <c r="BX172" s="293" t="e">
        <f>BX204/BX189*100</f>
        <v>#DIV/0!</v>
      </c>
      <c r="BZ172" s="293" t="e">
        <f>BZ204/BZ189*100</f>
        <v>#DIV/0!</v>
      </c>
      <c r="CA172" s="293" t="e">
        <f>CA204/CA189*100</f>
        <v>#DIV/0!</v>
      </c>
      <c r="CC172" s="293" t="e">
        <f>CC204/CC189*100</f>
        <v>#DIV/0!</v>
      </c>
      <c r="CD172" s="293" t="e">
        <f>CD204/CD189*100</f>
        <v>#DIV/0!</v>
      </c>
      <c r="CF172" s="293" t="e">
        <f>CF204/CF189*100</f>
        <v>#DIV/0!</v>
      </c>
      <c r="CG172" s="293" t="e">
        <f>CG204/CG189*100</f>
        <v>#DIV/0!</v>
      </c>
      <c r="CI172" s="293" t="e">
        <f>CI204/CI189*100</f>
        <v>#DIV/0!</v>
      </c>
      <c r="CJ172" s="293" t="e">
        <f>CJ204/CJ189*100</f>
        <v>#DIV/0!</v>
      </c>
    </row>
    <row r="173" spans="1:88" ht="45" hidden="1" x14ac:dyDescent="0.25">
      <c r="A173" s="102"/>
      <c r="B173" s="138" t="s">
        <v>27</v>
      </c>
      <c r="C173" s="101" t="s">
        <v>28</v>
      </c>
      <c r="D173" s="101"/>
      <c r="E173" s="103"/>
      <c r="F173" s="103"/>
      <c r="G173" s="103"/>
      <c r="H173" s="103"/>
      <c r="I173" s="103"/>
      <c r="J173" s="103"/>
      <c r="K173" s="103"/>
      <c r="L173" s="103"/>
      <c r="M173" s="103"/>
      <c r="N173" s="103"/>
      <c r="O173" s="286" t="s">
        <v>1400</v>
      </c>
    </row>
    <row r="174" spans="1:88" hidden="1" x14ac:dyDescent="0.25">
      <c r="A174" s="102"/>
      <c r="B174" s="91" t="s">
        <v>1182</v>
      </c>
      <c r="C174" s="101"/>
      <c r="D174" s="101" t="s">
        <v>950</v>
      </c>
      <c r="E174" s="103">
        <f t="shared" ref="E174:Y174" si="199">E175+E176</f>
        <v>0</v>
      </c>
      <c r="F174" s="103">
        <f t="shared" si="199"/>
        <v>2456</v>
      </c>
      <c r="G174" s="103">
        <f t="shared" si="199"/>
        <v>1711</v>
      </c>
      <c r="H174" s="103">
        <f t="shared" si="199"/>
        <v>1767</v>
      </c>
      <c r="I174" s="103">
        <f t="shared" si="199"/>
        <v>2118</v>
      </c>
      <c r="J174" s="103">
        <f t="shared" si="199"/>
        <v>2064</v>
      </c>
      <c r="K174" s="103">
        <f>K175+K176</f>
        <v>2064</v>
      </c>
      <c r="L174" s="103">
        <f>L175+L176</f>
        <v>2064</v>
      </c>
      <c r="M174" s="103">
        <f>M175+M176</f>
        <v>2064</v>
      </c>
      <c r="N174" s="103">
        <f>N175+N176</f>
        <v>2064</v>
      </c>
      <c r="O174" s="286"/>
      <c r="P174" s="103">
        <f t="shared" si="199"/>
        <v>0</v>
      </c>
      <c r="Q174" s="103">
        <f t="shared" si="199"/>
        <v>2064</v>
      </c>
      <c r="R174" s="103">
        <f t="shared" si="199"/>
        <v>0</v>
      </c>
      <c r="S174" s="103">
        <f t="shared" si="199"/>
        <v>172</v>
      </c>
      <c r="U174" s="103">
        <f t="shared" si="199"/>
        <v>0</v>
      </c>
      <c r="V174" s="103">
        <f t="shared" si="199"/>
        <v>67</v>
      </c>
      <c r="X174" s="103">
        <f t="shared" si="199"/>
        <v>0</v>
      </c>
      <c r="Y174" s="103">
        <f t="shared" si="199"/>
        <v>28</v>
      </c>
      <c r="AA174" s="103">
        <f>AA175+AA176</f>
        <v>0</v>
      </c>
      <c r="AB174" s="103">
        <f>AB175+AB176</f>
        <v>0</v>
      </c>
      <c r="AD174" s="103">
        <f>AD175+AD176</f>
        <v>0</v>
      </c>
      <c r="AE174" s="103">
        <f>AE175+AE176</f>
        <v>315</v>
      </c>
      <c r="AG174" s="103">
        <f>AG175+AG176</f>
        <v>0</v>
      </c>
      <c r="AH174" s="103">
        <f>AH175+AH176</f>
        <v>0</v>
      </c>
      <c r="AJ174" s="103">
        <f>AJ175+AJ176</f>
        <v>0</v>
      </c>
      <c r="AK174" s="103">
        <f>AK175+AK176</f>
        <v>298</v>
      </c>
      <c r="AM174" s="103">
        <f>AM175+AM176</f>
        <v>0</v>
      </c>
      <c r="AN174" s="103">
        <f>AN175+AN176</f>
        <v>36</v>
      </c>
      <c r="AP174" s="103">
        <f>AP175+AP176</f>
        <v>0</v>
      </c>
      <c r="AQ174" s="103">
        <f>AQ175+AQ176</f>
        <v>3</v>
      </c>
      <c r="AS174" s="103">
        <f>AS175+AS176</f>
        <v>0</v>
      </c>
      <c r="AT174" s="103">
        <f>AT175+AT176</f>
        <v>8</v>
      </c>
      <c r="AV174" s="103">
        <f>AV175+AV176</f>
        <v>0</v>
      </c>
      <c r="AW174" s="103">
        <f>AW175+AW176</f>
        <v>0</v>
      </c>
      <c r="AY174" s="103">
        <f>AY175+AY176</f>
        <v>0</v>
      </c>
      <c r="AZ174" s="103">
        <f>AZ175+AZ176</f>
        <v>0</v>
      </c>
      <c r="BB174" s="103">
        <f>BB175+BB176</f>
        <v>0</v>
      </c>
      <c r="BC174" s="103">
        <f>BC175+BC176</f>
        <v>146</v>
      </c>
      <c r="BE174" s="103">
        <f>BE175+BE176</f>
        <v>0</v>
      </c>
      <c r="BF174" s="103">
        <f>BF175+BF176</f>
        <v>112</v>
      </c>
      <c r="BH174" s="103">
        <f>BH175+BH176</f>
        <v>0</v>
      </c>
      <c r="BI174" s="103">
        <f>BI175+BI176</f>
        <v>859</v>
      </c>
      <c r="BK174" s="103">
        <f>BK175+BK176</f>
        <v>0</v>
      </c>
      <c r="BL174" s="103">
        <f>BL175+BL176</f>
        <v>0</v>
      </c>
      <c r="BN174" s="103">
        <f>BN175+BN176</f>
        <v>0</v>
      </c>
      <c r="BO174" s="103">
        <f>BO175+BO176</f>
        <v>0</v>
      </c>
      <c r="BQ174" s="103">
        <f>BQ175+BQ176</f>
        <v>0</v>
      </c>
      <c r="BR174" s="103">
        <f>BR175+BR176</f>
        <v>0</v>
      </c>
      <c r="BT174" s="103">
        <f>BT175+BT176</f>
        <v>0</v>
      </c>
      <c r="BU174" s="103">
        <f>BU175+BU176</f>
        <v>0</v>
      </c>
      <c r="BW174" s="103">
        <f>BW175+BW176</f>
        <v>0</v>
      </c>
      <c r="BX174" s="103">
        <f>BX175+BX176</f>
        <v>0</v>
      </c>
      <c r="BZ174" s="103">
        <f>BZ175+BZ176</f>
        <v>0</v>
      </c>
      <c r="CA174" s="103">
        <f>CA175+CA176</f>
        <v>0</v>
      </c>
      <c r="CC174" s="103">
        <f>CC175+CC176</f>
        <v>0</v>
      </c>
      <c r="CD174" s="103">
        <f>CD175+CD176</f>
        <v>18</v>
      </c>
      <c r="CF174" s="103">
        <f>CF175+CF176</f>
        <v>0</v>
      </c>
      <c r="CG174" s="103">
        <f>CG175+CG176</f>
        <v>2</v>
      </c>
      <c r="CI174" s="103">
        <f>CI175+CI176</f>
        <v>0</v>
      </c>
      <c r="CJ174" s="103">
        <f>CJ175+CJ176</f>
        <v>0</v>
      </c>
    </row>
    <row r="175" spans="1:88" hidden="1" x14ac:dyDescent="0.25">
      <c r="A175" s="102"/>
      <c r="B175" s="91" t="s">
        <v>1183</v>
      </c>
      <c r="C175" s="101"/>
      <c r="D175" s="101" t="s">
        <v>950</v>
      </c>
      <c r="E175" s="103"/>
      <c r="F175" s="103">
        <v>2304</v>
      </c>
      <c r="G175" s="103">
        <v>1625</v>
      </c>
      <c r="H175" s="103">
        <f>1767-113</f>
        <v>1654</v>
      </c>
      <c r="I175" s="103">
        <v>1969</v>
      </c>
      <c r="J175" s="103">
        <v>1890</v>
      </c>
      <c r="K175" s="103">
        <v>1890</v>
      </c>
      <c r="L175" s="103">
        <v>1890</v>
      </c>
      <c r="M175" s="103">
        <v>1890</v>
      </c>
      <c r="N175" s="103">
        <v>1890</v>
      </c>
      <c r="O175" s="286"/>
      <c r="P175" s="296">
        <f>R175+U175+X175+AA175+AD175+AG175+AJ175+AM175+AP175+AS175+AV175+AY175+BB175+BE175+BH175+BK175+BN175+BQ175+BT175+BW175+BZ175+CC175+CF175+CI175</f>
        <v>0</v>
      </c>
      <c r="Q175" s="296">
        <f>S175+V175+Y175+AB175+AE175+AH175+AK175+AN175+AQ175+AT175+AW175+AZ175+BC175+BF175+BI175+BL175+BO175+BR175+BU175+BX175+CA175+CD175+CG175+CJ175</f>
        <v>1890</v>
      </c>
      <c r="S175" s="267">
        <v>66</v>
      </c>
      <c r="V175" s="267">
        <v>30</v>
      </c>
      <c r="Y175" s="267">
        <v>28</v>
      </c>
      <c r="AB175" s="267">
        <v>0</v>
      </c>
      <c r="AE175" s="267">
        <v>306</v>
      </c>
      <c r="AH175" s="267">
        <v>0</v>
      </c>
      <c r="AK175" s="267">
        <v>286</v>
      </c>
      <c r="AN175" s="267">
        <v>29</v>
      </c>
      <c r="AQ175" s="267">
        <v>0</v>
      </c>
      <c r="AT175" s="267">
        <v>8</v>
      </c>
      <c r="AW175" s="267">
        <v>0</v>
      </c>
      <c r="AZ175" s="267">
        <v>0</v>
      </c>
      <c r="BC175" s="267">
        <v>146</v>
      </c>
      <c r="BF175" s="267">
        <v>112</v>
      </c>
      <c r="BI175" s="267">
        <v>859</v>
      </c>
      <c r="BL175" s="267">
        <v>0</v>
      </c>
      <c r="BO175" s="267">
        <v>0</v>
      </c>
      <c r="BR175" s="267">
        <v>0</v>
      </c>
      <c r="BU175" s="267">
        <v>0</v>
      </c>
      <c r="BX175" s="267">
        <v>0</v>
      </c>
      <c r="CA175" s="267">
        <v>0</v>
      </c>
      <c r="CD175" s="267">
        <v>18</v>
      </c>
      <c r="CG175" s="267">
        <v>2</v>
      </c>
      <c r="CJ175" s="267">
        <v>0</v>
      </c>
    </row>
    <row r="176" spans="1:88" hidden="1" x14ac:dyDescent="0.25">
      <c r="A176" s="102"/>
      <c r="B176" s="91" t="s">
        <v>1185</v>
      </c>
      <c r="C176" s="101"/>
      <c r="D176" s="101" t="s">
        <v>950</v>
      </c>
      <c r="E176" s="103"/>
      <c r="F176" s="103">
        <v>152</v>
      </c>
      <c r="G176" s="103">
        <v>86</v>
      </c>
      <c r="H176" s="103">
        <v>113</v>
      </c>
      <c r="I176" s="103">
        <v>149</v>
      </c>
      <c r="J176" s="103">
        <v>174</v>
      </c>
      <c r="K176" s="103">
        <v>174</v>
      </c>
      <c r="L176" s="103">
        <v>174</v>
      </c>
      <c r="M176" s="103">
        <v>174</v>
      </c>
      <c r="N176" s="103">
        <v>174</v>
      </c>
      <c r="O176" s="286"/>
      <c r="P176" s="296">
        <f>R176+U176+X176+AA176+AD176+AG176+AJ176+AM176+AP176+AS176+AV176+AY176+BB176+BE176+BH176+BK176+BN176+BQ176+BT176+BW176+BZ176+CC176+CF176+CI176</f>
        <v>0</v>
      </c>
      <c r="Q176" s="296">
        <f>S176+V176+Y176+AB176+AE176+AH176+AK176+AN176+AQ176+AT176+AW176+AZ176+BC176+BF176+BI176+BL176+BO176+BR176+BU176+BX176+CA176+CD176+CG176+CJ176</f>
        <v>174</v>
      </c>
      <c r="S176" s="267">
        <v>106</v>
      </c>
      <c r="V176" s="267">
        <v>37</v>
      </c>
      <c r="Y176" s="267">
        <v>0</v>
      </c>
      <c r="AB176" s="267">
        <v>0</v>
      </c>
      <c r="AE176" s="267">
        <v>9</v>
      </c>
      <c r="AH176" s="267">
        <v>0</v>
      </c>
      <c r="AK176" s="267">
        <v>12</v>
      </c>
      <c r="AN176" s="267">
        <v>7</v>
      </c>
      <c r="AQ176" s="267">
        <v>3</v>
      </c>
      <c r="AT176" s="267">
        <v>0</v>
      </c>
      <c r="AW176" s="267">
        <v>0</v>
      </c>
      <c r="AZ176" s="267">
        <v>0</v>
      </c>
      <c r="BC176" s="267">
        <v>0</v>
      </c>
      <c r="BF176" s="267">
        <v>0</v>
      </c>
      <c r="BI176" s="267">
        <v>0</v>
      </c>
      <c r="BL176" s="267">
        <v>0</v>
      </c>
      <c r="BO176" s="267">
        <v>0</v>
      </c>
      <c r="BR176" s="267">
        <v>0</v>
      </c>
      <c r="BU176" s="267">
        <v>0</v>
      </c>
      <c r="BX176" s="267">
        <v>0</v>
      </c>
      <c r="CA176" s="267">
        <v>0</v>
      </c>
      <c r="CD176" s="267">
        <v>0</v>
      </c>
      <c r="CG176" s="267">
        <v>0</v>
      </c>
      <c r="CJ176" s="267">
        <v>0</v>
      </c>
    </row>
    <row r="177" spans="1:88" hidden="1" x14ac:dyDescent="0.25">
      <c r="A177" s="102"/>
      <c r="B177" s="91" t="s">
        <v>1184</v>
      </c>
      <c r="C177" s="101"/>
      <c r="D177" s="101" t="s">
        <v>950</v>
      </c>
      <c r="E177" s="103">
        <f t="shared" ref="E177:Y177" si="200">E178+E179</f>
        <v>0</v>
      </c>
      <c r="F177" s="103">
        <f t="shared" si="200"/>
        <v>0</v>
      </c>
      <c r="G177" s="103">
        <f t="shared" si="200"/>
        <v>0</v>
      </c>
      <c r="H177" s="103">
        <f t="shared" si="200"/>
        <v>0</v>
      </c>
      <c r="I177" s="103">
        <f t="shared" si="200"/>
        <v>0</v>
      </c>
      <c r="J177" s="103">
        <f t="shared" si="200"/>
        <v>0</v>
      </c>
      <c r="K177" s="103">
        <f>K178+K179</f>
        <v>0</v>
      </c>
      <c r="L177" s="103">
        <f>L178+L179</f>
        <v>0</v>
      </c>
      <c r="M177" s="103">
        <f>M178+M179</f>
        <v>0</v>
      </c>
      <c r="N177" s="103">
        <f>N178+N179</f>
        <v>0</v>
      </c>
      <c r="O177" s="286"/>
      <c r="P177" s="103">
        <f t="shared" si="200"/>
        <v>0</v>
      </c>
      <c r="Q177" s="103">
        <f t="shared" si="200"/>
        <v>0</v>
      </c>
      <c r="R177" s="103">
        <f t="shared" si="200"/>
        <v>0</v>
      </c>
      <c r="S177" s="103">
        <f t="shared" si="200"/>
        <v>0</v>
      </c>
      <c r="U177" s="103">
        <f t="shared" si="200"/>
        <v>0</v>
      </c>
      <c r="V177" s="103">
        <f t="shared" si="200"/>
        <v>0</v>
      </c>
      <c r="X177" s="103">
        <f t="shared" si="200"/>
        <v>0</v>
      </c>
      <c r="Y177" s="103">
        <f t="shared" si="200"/>
        <v>0</v>
      </c>
      <c r="AA177" s="103">
        <f>AA178+AA179</f>
        <v>0</v>
      </c>
      <c r="AB177" s="103">
        <f>AB178+AB179</f>
        <v>0</v>
      </c>
      <c r="AD177" s="103">
        <f>AD178+AD179</f>
        <v>0</v>
      </c>
      <c r="AE177" s="103">
        <f>AE178+AE179</f>
        <v>0</v>
      </c>
      <c r="AG177" s="103">
        <f>AG178+AG179</f>
        <v>0</v>
      </c>
      <c r="AH177" s="103">
        <f>AH178+AH179</f>
        <v>0</v>
      </c>
      <c r="AJ177" s="103">
        <f>AJ178+AJ179</f>
        <v>0</v>
      </c>
      <c r="AK177" s="103">
        <f>AK178+AK179</f>
        <v>0</v>
      </c>
      <c r="AM177" s="103">
        <f>AM178+AM179</f>
        <v>0</v>
      </c>
      <c r="AN177" s="103">
        <f>AN178+AN179</f>
        <v>0</v>
      </c>
      <c r="AP177" s="103">
        <f>AP178+AP179</f>
        <v>0</v>
      </c>
      <c r="AQ177" s="103">
        <f>AQ178+AQ179</f>
        <v>0</v>
      </c>
      <c r="AS177" s="103">
        <f>AS178+AS179</f>
        <v>0</v>
      </c>
      <c r="AT177" s="103">
        <f>AT178+AT179</f>
        <v>0</v>
      </c>
      <c r="AV177" s="103">
        <f>AV178+AV179</f>
        <v>0</v>
      </c>
      <c r="AW177" s="103">
        <f>AW178+AW179</f>
        <v>0</v>
      </c>
      <c r="AY177" s="103">
        <f>AY178+AY179</f>
        <v>0</v>
      </c>
      <c r="AZ177" s="103">
        <f>AZ178+AZ179</f>
        <v>0</v>
      </c>
      <c r="BB177" s="103">
        <f>BB178+BB179</f>
        <v>0</v>
      </c>
      <c r="BC177" s="103">
        <f>BC178+BC179</f>
        <v>0</v>
      </c>
      <c r="BE177" s="103">
        <f>BE178+BE179</f>
        <v>0</v>
      </c>
      <c r="BF177" s="103">
        <f>BF178+BF179</f>
        <v>0</v>
      </c>
      <c r="BH177" s="103">
        <f>BH178+BH179</f>
        <v>0</v>
      </c>
      <c r="BI177" s="103">
        <f>BI178+BI179</f>
        <v>0</v>
      </c>
      <c r="BK177" s="103">
        <f>BK178+BK179</f>
        <v>0</v>
      </c>
      <c r="BL177" s="103">
        <f>BL178+BL179</f>
        <v>0</v>
      </c>
      <c r="BN177" s="103">
        <f>BN178+BN179</f>
        <v>0</v>
      </c>
      <c r="BO177" s="103">
        <f>BO178+BO179</f>
        <v>0</v>
      </c>
      <c r="BQ177" s="103">
        <f>BQ178+BQ179</f>
        <v>0</v>
      </c>
      <c r="BR177" s="103">
        <f>BR178+BR179</f>
        <v>0</v>
      </c>
      <c r="BT177" s="103">
        <f>BT178+BT179</f>
        <v>0</v>
      </c>
      <c r="BU177" s="103">
        <f>BU178+BU179</f>
        <v>0</v>
      </c>
      <c r="BW177" s="103">
        <f>BW178+BW179</f>
        <v>0</v>
      </c>
      <c r="BX177" s="103">
        <f>BX178+BX179</f>
        <v>0</v>
      </c>
      <c r="BZ177" s="103">
        <f>BZ178+BZ179</f>
        <v>0</v>
      </c>
      <c r="CA177" s="103">
        <f>CA178+CA179</f>
        <v>0</v>
      </c>
      <c r="CC177" s="103">
        <f>CC178+CC179</f>
        <v>0</v>
      </c>
      <c r="CD177" s="103">
        <f>CD178+CD179</f>
        <v>0</v>
      </c>
      <c r="CF177" s="103">
        <f>CF178+CF179</f>
        <v>0</v>
      </c>
      <c r="CG177" s="103">
        <f>CG178+CG179</f>
        <v>0</v>
      </c>
      <c r="CI177" s="103">
        <f>CI178+CI179</f>
        <v>0</v>
      </c>
      <c r="CJ177" s="103">
        <f>CJ178+CJ179</f>
        <v>0</v>
      </c>
    </row>
    <row r="178" spans="1:88" hidden="1" x14ac:dyDescent="0.25">
      <c r="A178" s="102"/>
      <c r="B178" s="91" t="s">
        <v>1183</v>
      </c>
      <c r="C178" s="101"/>
      <c r="D178" s="101" t="s">
        <v>950</v>
      </c>
      <c r="E178" s="103"/>
      <c r="F178" s="103">
        <v>0</v>
      </c>
      <c r="G178" s="103">
        <v>0</v>
      </c>
      <c r="H178" s="103">
        <v>0</v>
      </c>
      <c r="I178" s="103">
        <v>0</v>
      </c>
      <c r="J178" s="103">
        <v>0</v>
      </c>
      <c r="K178" s="103">
        <v>0</v>
      </c>
      <c r="L178" s="103">
        <v>0</v>
      </c>
      <c r="M178" s="103">
        <v>0</v>
      </c>
      <c r="N178" s="103">
        <v>0</v>
      </c>
      <c r="O178" s="286"/>
      <c r="P178" s="296">
        <f>R178+U178+X178+AA178+AD178+AG178+AJ178+AM178+AP178+AS178+AV178+AY178+BB178+BE178+BH178+BK178+BN178+BQ178+BT178+BW178+BZ178+CC178+CF178+CI178</f>
        <v>0</v>
      </c>
      <c r="Q178" s="296">
        <f>S178+V178+Y178+AB178+AE178+AH178+AK178+AN178+AQ178+AT178+AW178+AZ178+BC178+BF178+BI178+BL178+BO178+BR178+BU178+BX178+CA178+CD178+CG178+CJ178</f>
        <v>0</v>
      </c>
    </row>
    <row r="179" spans="1:88" hidden="1" x14ac:dyDescent="0.25">
      <c r="A179" s="102"/>
      <c r="B179" s="91" t="s">
        <v>1185</v>
      </c>
      <c r="C179" s="101"/>
      <c r="D179" s="101" t="s">
        <v>950</v>
      </c>
      <c r="E179" s="103"/>
      <c r="F179" s="103">
        <v>0</v>
      </c>
      <c r="G179" s="103">
        <v>0</v>
      </c>
      <c r="H179" s="103">
        <v>0</v>
      </c>
      <c r="I179" s="103">
        <v>0</v>
      </c>
      <c r="J179" s="103">
        <v>0</v>
      </c>
      <c r="K179" s="103">
        <v>0</v>
      </c>
      <c r="L179" s="103">
        <v>0</v>
      </c>
      <c r="M179" s="103">
        <v>0</v>
      </c>
      <c r="N179" s="103">
        <v>0</v>
      </c>
      <c r="O179" s="286"/>
      <c r="P179" s="296">
        <f>R179+U179+X179+AA179+AD179+AG179+AJ179+AM179+AP179+AS179+AV179+AY179+BB179+BE179+BH179+BK179+BN179+BQ179+BT179+BW179+BZ179+CC179+CF179+CI179</f>
        <v>0</v>
      </c>
      <c r="Q179" s="296">
        <f>S179+V179+Y179+AB179+AE179+AH179+AK179+AN179+AQ179+AT179+AW179+AZ179+BC179+BF179+BI179+BL179+BO179+BR179+BU179+BX179+CA179+CD179+CG179+CJ179</f>
        <v>0</v>
      </c>
    </row>
    <row r="180" spans="1:88" ht="45" hidden="1" x14ac:dyDescent="0.25">
      <c r="A180" s="102"/>
      <c r="B180" s="138" t="s">
        <v>16</v>
      </c>
      <c r="C180" s="101" t="s">
        <v>17</v>
      </c>
      <c r="D180" s="101"/>
      <c r="E180" s="103"/>
      <c r="F180" s="103"/>
      <c r="G180" s="103"/>
      <c r="H180" s="103"/>
      <c r="I180" s="103"/>
      <c r="J180" s="103"/>
      <c r="K180" s="103"/>
      <c r="L180" s="103"/>
      <c r="M180" s="103"/>
      <c r="N180" s="103"/>
      <c r="O180" s="286" t="s">
        <v>1396</v>
      </c>
    </row>
    <row r="181" spans="1:88" hidden="1" x14ac:dyDescent="0.25">
      <c r="A181" s="102"/>
      <c r="B181" s="91" t="s">
        <v>1182</v>
      </c>
      <c r="C181" s="101"/>
      <c r="D181" s="101" t="s">
        <v>950</v>
      </c>
      <c r="E181" s="103">
        <f t="shared" ref="E181:BT181" si="201">E182+E183</f>
        <v>0</v>
      </c>
      <c r="F181" s="103">
        <f t="shared" si="201"/>
        <v>97848</v>
      </c>
      <c r="G181" s="103">
        <f t="shared" si="201"/>
        <v>105853</v>
      </c>
      <c r="H181" s="103">
        <f t="shared" si="201"/>
        <v>109230</v>
      </c>
      <c r="I181" s="103">
        <f t="shared" si="201"/>
        <v>112453</v>
      </c>
      <c r="J181" s="103">
        <f t="shared" si="201"/>
        <v>117511</v>
      </c>
      <c r="K181" s="103">
        <f>K182+K183</f>
        <v>117511</v>
      </c>
      <c r="L181" s="103">
        <f>L182+L183</f>
        <v>117511</v>
      </c>
      <c r="M181" s="103">
        <f>M182+M183</f>
        <v>117511</v>
      </c>
      <c r="N181" s="103">
        <f>N182+N183</f>
        <v>117511</v>
      </c>
      <c r="O181" s="286"/>
      <c r="P181" s="103">
        <f t="shared" si="201"/>
        <v>0</v>
      </c>
      <c r="Q181" s="103">
        <f t="shared" si="201"/>
        <v>117511</v>
      </c>
      <c r="R181" s="103">
        <f t="shared" si="201"/>
        <v>0</v>
      </c>
      <c r="S181" s="103">
        <f t="shared" si="201"/>
        <v>2158</v>
      </c>
      <c r="U181" s="103">
        <f t="shared" si="201"/>
        <v>0</v>
      </c>
      <c r="V181" s="103">
        <f t="shared" si="201"/>
        <v>1919</v>
      </c>
      <c r="X181" s="103">
        <f t="shared" si="201"/>
        <v>0</v>
      </c>
      <c r="Y181" s="103">
        <f t="shared" si="201"/>
        <v>2173</v>
      </c>
      <c r="AA181" s="103">
        <f t="shared" si="201"/>
        <v>0</v>
      </c>
      <c r="AB181" s="103">
        <f t="shared" si="201"/>
        <v>2413</v>
      </c>
      <c r="AD181" s="103">
        <f t="shared" si="201"/>
        <v>0</v>
      </c>
      <c r="AE181" s="103">
        <f t="shared" si="201"/>
        <v>2326</v>
      </c>
      <c r="AG181" s="103">
        <f t="shared" si="201"/>
        <v>0</v>
      </c>
      <c r="AH181" s="103">
        <f t="shared" si="201"/>
        <v>2000</v>
      </c>
      <c r="AJ181" s="103">
        <f t="shared" si="201"/>
        <v>0</v>
      </c>
      <c r="AK181" s="103">
        <f t="shared" si="201"/>
        <v>3287</v>
      </c>
      <c r="AM181" s="103">
        <f t="shared" si="201"/>
        <v>0</v>
      </c>
      <c r="AN181" s="103">
        <f t="shared" si="201"/>
        <v>8220</v>
      </c>
      <c r="AP181" s="103">
        <f t="shared" si="201"/>
        <v>0</v>
      </c>
      <c r="AQ181" s="103">
        <f t="shared" si="201"/>
        <v>1091</v>
      </c>
      <c r="AS181" s="103">
        <f t="shared" si="201"/>
        <v>0</v>
      </c>
      <c r="AT181" s="103">
        <f t="shared" si="201"/>
        <v>8119</v>
      </c>
      <c r="AV181" s="103">
        <f t="shared" si="201"/>
        <v>0</v>
      </c>
      <c r="AW181" s="103">
        <f t="shared" si="201"/>
        <v>2410</v>
      </c>
      <c r="AY181" s="103">
        <f t="shared" si="201"/>
        <v>0</v>
      </c>
      <c r="AZ181" s="103">
        <f t="shared" si="201"/>
        <v>3875</v>
      </c>
      <c r="BB181" s="103">
        <f t="shared" si="201"/>
        <v>0</v>
      </c>
      <c r="BC181" s="103">
        <f t="shared" si="201"/>
        <v>7149</v>
      </c>
      <c r="BE181" s="103">
        <f t="shared" si="201"/>
        <v>0</v>
      </c>
      <c r="BF181" s="103">
        <f t="shared" si="201"/>
        <v>18917</v>
      </c>
      <c r="BH181" s="103">
        <f t="shared" si="201"/>
        <v>0</v>
      </c>
      <c r="BI181" s="103">
        <f t="shared" si="201"/>
        <v>30409</v>
      </c>
      <c r="BK181" s="103">
        <f t="shared" si="201"/>
        <v>0</v>
      </c>
      <c r="BL181" s="103">
        <f t="shared" si="201"/>
        <v>2964</v>
      </c>
      <c r="BN181" s="103">
        <f t="shared" si="201"/>
        <v>0</v>
      </c>
      <c r="BO181" s="103">
        <f t="shared" si="201"/>
        <v>2794</v>
      </c>
      <c r="BQ181" s="103">
        <f t="shared" si="201"/>
        <v>0</v>
      </c>
      <c r="BR181" s="103">
        <f t="shared" si="201"/>
        <v>4163</v>
      </c>
      <c r="BT181" s="103">
        <f t="shared" si="201"/>
        <v>0</v>
      </c>
      <c r="BU181" s="103">
        <f t="shared" ref="BU181:CA181" si="202">BU182+BU183</f>
        <v>4268</v>
      </c>
      <c r="BW181" s="103">
        <f t="shared" si="202"/>
        <v>0</v>
      </c>
      <c r="BX181" s="103">
        <f t="shared" si="202"/>
        <v>1204</v>
      </c>
      <c r="BZ181" s="103">
        <f t="shared" si="202"/>
        <v>0</v>
      </c>
      <c r="CA181" s="103">
        <f t="shared" si="202"/>
        <v>2791</v>
      </c>
      <c r="CC181" s="103">
        <f t="shared" ref="CC181:CJ181" si="203">CC182+CC183</f>
        <v>0</v>
      </c>
      <c r="CD181" s="103">
        <f t="shared" si="203"/>
        <v>2658</v>
      </c>
      <c r="CF181" s="103">
        <f t="shared" si="203"/>
        <v>0</v>
      </c>
      <c r="CG181" s="103">
        <f t="shared" si="203"/>
        <v>111</v>
      </c>
      <c r="CI181" s="103">
        <f t="shared" si="203"/>
        <v>0</v>
      </c>
      <c r="CJ181" s="103">
        <f t="shared" si="203"/>
        <v>92</v>
      </c>
    </row>
    <row r="182" spans="1:88" hidden="1" x14ac:dyDescent="0.25">
      <c r="A182" s="102"/>
      <c r="B182" s="91" t="s">
        <v>1183</v>
      </c>
      <c r="C182" s="101"/>
      <c r="D182" s="101" t="s">
        <v>950</v>
      </c>
      <c r="E182" s="103"/>
      <c r="F182" s="282">
        <f>90767-419</f>
        <v>90348</v>
      </c>
      <c r="G182" s="282">
        <v>98016</v>
      </c>
      <c r="H182" s="282">
        <f>101533-98</f>
        <v>101435</v>
      </c>
      <c r="I182" s="103">
        <f>104461+93+119</f>
        <v>104673</v>
      </c>
      <c r="J182" s="103">
        <v>109648</v>
      </c>
      <c r="K182" s="103">
        <v>109648</v>
      </c>
      <c r="L182" s="103">
        <v>109648</v>
      </c>
      <c r="M182" s="103">
        <v>109648</v>
      </c>
      <c r="N182" s="103">
        <v>109648</v>
      </c>
      <c r="O182" s="286"/>
      <c r="P182" s="296">
        <f>R182+U182+X182+AA182+AD182+AG182+AJ182+AM182+AP182+AS182+AV182+AY182+BB182+BE182+BH182+BK182+BN182+BQ182+BT182+BW182+BZ182+CC182+CF182+CI182</f>
        <v>0</v>
      </c>
      <c r="Q182" s="296">
        <f>S182+V182+Y182+AB182+AE182+AH182+AK182+AN182+AQ182+AT182+AW182+AZ182+BC182+BF182+BI182+BL182+BO182+BR182+BU182+BX182+CA182+CD182+CG182+CJ182</f>
        <v>109648</v>
      </c>
      <c r="S182" s="267">
        <v>1480</v>
      </c>
      <c r="V182" s="267">
        <v>1127</v>
      </c>
      <c r="Y182" s="267">
        <v>1487</v>
      </c>
      <c r="AB182" s="267">
        <v>1448</v>
      </c>
      <c r="AE182" s="267">
        <v>2160</v>
      </c>
      <c r="AH182" s="267">
        <v>1127</v>
      </c>
      <c r="AK182" s="267">
        <v>3146</v>
      </c>
      <c r="AN182" s="267">
        <v>5749</v>
      </c>
      <c r="AQ182" s="267">
        <v>0</v>
      </c>
      <c r="AT182" s="267">
        <v>8119</v>
      </c>
      <c r="AW182" s="267">
        <v>2410</v>
      </c>
      <c r="AZ182" s="267">
        <v>3875</v>
      </c>
      <c r="BC182" s="267">
        <v>7149</v>
      </c>
      <c r="BF182" s="267">
        <v>18917</v>
      </c>
      <c r="BI182" s="267">
        <v>30409</v>
      </c>
      <c r="BL182" s="267">
        <v>2964</v>
      </c>
      <c r="BO182" s="267">
        <v>2794</v>
      </c>
      <c r="BR182" s="267">
        <v>4163</v>
      </c>
      <c r="BU182" s="267">
        <v>4268</v>
      </c>
      <c r="BX182" s="267">
        <v>1204</v>
      </c>
      <c r="CA182" s="267">
        <v>2791</v>
      </c>
      <c r="CD182" s="267">
        <v>2658</v>
      </c>
      <c r="CG182" s="267">
        <v>111</v>
      </c>
      <c r="CJ182" s="267">
        <v>92</v>
      </c>
    </row>
    <row r="183" spans="1:88" hidden="1" x14ac:dyDescent="0.25">
      <c r="A183" s="102"/>
      <c r="B183" s="91" t="s">
        <v>1185</v>
      </c>
      <c r="C183" s="101"/>
      <c r="D183" s="101" t="s">
        <v>950</v>
      </c>
      <c r="E183" s="103"/>
      <c r="F183" s="282">
        <v>7500</v>
      </c>
      <c r="G183" s="282">
        <v>7837</v>
      </c>
      <c r="H183" s="282">
        <v>7795</v>
      </c>
      <c r="I183" s="103">
        <v>7780</v>
      </c>
      <c r="J183" s="103">
        <v>7863</v>
      </c>
      <c r="K183" s="103">
        <v>7863</v>
      </c>
      <c r="L183" s="103">
        <v>7863</v>
      </c>
      <c r="M183" s="103">
        <v>7863</v>
      </c>
      <c r="N183" s="103">
        <v>7863</v>
      </c>
      <c r="O183" s="286"/>
      <c r="P183" s="296">
        <f>R183+U183+X183+AA183+AD183+AG183+AJ183+AM183+AP183+AS183+AV183+AY183+BB183+BE183+BH183+BK183+BN183+BQ183+BT183+BW183+BZ183+CC183+CF183+CI183</f>
        <v>0</v>
      </c>
      <c r="Q183" s="296">
        <f>S183+V183+Y183+AB183+AE183+AH183+AK183+AN183+AQ183+AT183+AW183+AZ183+BC183+BF183+BI183+BL183+BO183+BR183+BU183+BX183+CA183+CD183+CG183+CJ183</f>
        <v>7863</v>
      </c>
      <c r="S183" s="267">
        <v>678</v>
      </c>
      <c r="V183" s="267">
        <v>792</v>
      </c>
      <c r="Y183" s="267">
        <v>686</v>
      </c>
      <c r="AB183" s="267">
        <v>965</v>
      </c>
      <c r="AE183" s="267">
        <v>166</v>
      </c>
      <c r="AH183" s="267">
        <v>873</v>
      </c>
      <c r="AK183" s="267">
        <v>141</v>
      </c>
      <c r="AN183" s="267">
        <v>2471</v>
      </c>
      <c r="AQ183" s="267">
        <v>1091</v>
      </c>
      <c r="AT183" s="267">
        <v>0</v>
      </c>
      <c r="AW183" s="267">
        <v>0</v>
      </c>
      <c r="AZ183" s="267">
        <v>0</v>
      </c>
      <c r="BC183" s="267">
        <v>0</v>
      </c>
      <c r="BF183" s="267">
        <v>0</v>
      </c>
      <c r="BI183" s="267">
        <v>0</v>
      </c>
      <c r="BL183" s="267">
        <v>0</v>
      </c>
      <c r="BO183" s="267">
        <v>0</v>
      </c>
      <c r="BR183" s="267">
        <v>0</v>
      </c>
      <c r="BU183" s="267">
        <v>0</v>
      </c>
      <c r="BX183" s="267">
        <v>0</v>
      </c>
      <c r="CA183" s="267">
        <v>0</v>
      </c>
      <c r="CD183" s="267">
        <v>0</v>
      </c>
      <c r="CG183" s="267">
        <v>0</v>
      </c>
      <c r="CJ183" s="267">
        <v>0</v>
      </c>
    </row>
    <row r="184" spans="1:88" hidden="1" x14ac:dyDescent="0.25">
      <c r="A184" s="102"/>
      <c r="B184" s="91" t="s">
        <v>1184</v>
      </c>
      <c r="C184" s="101"/>
      <c r="D184" s="101" t="s">
        <v>950</v>
      </c>
      <c r="E184" s="103">
        <f t="shared" ref="E184:BT184" si="204">E185+E186</f>
        <v>0</v>
      </c>
      <c r="F184" s="103">
        <f t="shared" si="204"/>
        <v>419</v>
      </c>
      <c r="G184" s="103">
        <f t="shared" si="204"/>
        <v>126</v>
      </c>
      <c r="H184" s="103">
        <f t="shared" si="204"/>
        <v>98</v>
      </c>
      <c r="I184" s="103">
        <f t="shared" si="204"/>
        <v>1090</v>
      </c>
      <c r="J184" s="103">
        <f t="shared" si="204"/>
        <v>643</v>
      </c>
      <c r="K184" s="103">
        <f>K185+K186</f>
        <v>643</v>
      </c>
      <c r="L184" s="103">
        <f>L185+L186</f>
        <v>643</v>
      </c>
      <c r="M184" s="103">
        <f>M185+M186</f>
        <v>643</v>
      </c>
      <c r="N184" s="103">
        <f>N185+N186</f>
        <v>643</v>
      </c>
      <c r="O184" s="286"/>
      <c r="P184" s="103">
        <f t="shared" si="204"/>
        <v>0</v>
      </c>
      <c r="Q184" s="103">
        <f t="shared" si="204"/>
        <v>643</v>
      </c>
      <c r="R184" s="103">
        <f t="shared" si="204"/>
        <v>0</v>
      </c>
      <c r="S184" s="103">
        <f t="shared" si="204"/>
        <v>0</v>
      </c>
      <c r="U184" s="103">
        <f t="shared" si="204"/>
        <v>0</v>
      </c>
      <c r="V184" s="103">
        <f t="shared" si="204"/>
        <v>0</v>
      </c>
      <c r="X184" s="103">
        <f t="shared" si="204"/>
        <v>0</v>
      </c>
      <c r="Y184" s="103">
        <f t="shared" si="204"/>
        <v>0</v>
      </c>
      <c r="AA184" s="103">
        <f t="shared" si="204"/>
        <v>0</v>
      </c>
      <c r="AB184" s="103">
        <f t="shared" si="204"/>
        <v>0</v>
      </c>
      <c r="AD184" s="103">
        <f t="shared" si="204"/>
        <v>0</v>
      </c>
      <c r="AE184" s="103">
        <f t="shared" si="204"/>
        <v>0</v>
      </c>
      <c r="AG184" s="103">
        <f t="shared" si="204"/>
        <v>0</v>
      </c>
      <c r="AH184" s="103">
        <f t="shared" si="204"/>
        <v>11</v>
      </c>
      <c r="AJ184" s="103">
        <f t="shared" si="204"/>
        <v>0</v>
      </c>
      <c r="AK184" s="103">
        <f t="shared" si="204"/>
        <v>0</v>
      </c>
      <c r="AM184" s="103">
        <f t="shared" si="204"/>
        <v>0</v>
      </c>
      <c r="AN184" s="103">
        <f t="shared" si="204"/>
        <v>0</v>
      </c>
      <c r="AP184" s="103">
        <f t="shared" si="204"/>
        <v>0</v>
      </c>
      <c r="AQ184" s="103">
        <f t="shared" si="204"/>
        <v>0</v>
      </c>
      <c r="AS184" s="103">
        <f t="shared" si="204"/>
        <v>0</v>
      </c>
      <c r="AT184" s="103">
        <f t="shared" si="204"/>
        <v>391</v>
      </c>
      <c r="AV184" s="103">
        <f t="shared" si="204"/>
        <v>0</v>
      </c>
      <c r="AW184" s="103">
        <f t="shared" si="204"/>
        <v>0</v>
      </c>
      <c r="AY184" s="103">
        <f t="shared" si="204"/>
        <v>0</v>
      </c>
      <c r="AZ184" s="103">
        <f t="shared" si="204"/>
        <v>0</v>
      </c>
      <c r="BB184" s="103">
        <f t="shared" si="204"/>
        <v>0</v>
      </c>
      <c r="BC184" s="103">
        <f t="shared" si="204"/>
        <v>35</v>
      </c>
      <c r="BE184" s="103">
        <f t="shared" si="204"/>
        <v>0</v>
      </c>
      <c r="BF184" s="103">
        <f t="shared" si="204"/>
        <v>0</v>
      </c>
      <c r="BH184" s="103">
        <f t="shared" si="204"/>
        <v>0</v>
      </c>
      <c r="BI184" s="103">
        <f t="shared" si="204"/>
        <v>206</v>
      </c>
      <c r="BK184" s="103">
        <f t="shared" si="204"/>
        <v>0</v>
      </c>
      <c r="BL184" s="103">
        <f t="shared" si="204"/>
        <v>0</v>
      </c>
      <c r="BN184" s="103">
        <f t="shared" si="204"/>
        <v>0</v>
      </c>
      <c r="BO184" s="103">
        <f t="shared" si="204"/>
        <v>0</v>
      </c>
      <c r="BQ184" s="103">
        <f t="shared" si="204"/>
        <v>0</v>
      </c>
      <c r="BR184" s="103">
        <f t="shared" si="204"/>
        <v>0</v>
      </c>
      <c r="BT184" s="103">
        <f t="shared" si="204"/>
        <v>0</v>
      </c>
      <c r="BU184" s="103">
        <f t="shared" ref="BU184:CA184" si="205">BU185+BU186</f>
        <v>0</v>
      </c>
      <c r="BW184" s="103">
        <f t="shared" si="205"/>
        <v>0</v>
      </c>
      <c r="BX184" s="103">
        <f t="shared" si="205"/>
        <v>0</v>
      </c>
      <c r="BZ184" s="103">
        <f t="shared" si="205"/>
        <v>0</v>
      </c>
      <c r="CA184" s="103">
        <f t="shared" si="205"/>
        <v>0</v>
      </c>
      <c r="CC184" s="103">
        <f t="shared" ref="CC184:CJ184" si="206">CC185+CC186</f>
        <v>0</v>
      </c>
      <c r="CD184" s="103">
        <f t="shared" si="206"/>
        <v>0</v>
      </c>
      <c r="CF184" s="103">
        <f t="shared" si="206"/>
        <v>0</v>
      </c>
      <c r="CG184" s="103">
        <f t="shared" si="206"/>
        <v>0</v>
      </c>
      <c r="CI184" s="103">
        <f t="shared" si="206"/>
        <v>0</v>
      </c>
      <c r="CJ184" s="103">
        <f t="shared" si="206"/>
        <v>0</v>
      </c>
    </row>
    <row r="185" spans="1:88" hidden="1" x14ac:dyDescent="0.25">
      <c r="A185" s="102"/>
      <c r="B185" s="91" t="s">
        <v>1183</v>
      </c>
      <c r="C185" s="101"/>
      <c r="D185" s="101" t="s">
        <v>950</v>
      </c>
      <c r="E185" s="103"/>
      <c r="F185" s="103">
        <v>419</v>
      </c>
      <c r="G185" s="103">
        <v>126</v>
      </c>
      <c r="H185" s="103">
        <v>98</v>
      </c>
      <c r="I185" s="103">
        <v>1090</v>
      </c>
      <c r="J185" s="103">
        <v>643</v>
      </c>
      <c r="K185" s="103">
        <v>643</v>
      </c>
      <c r="L185" s="103">
        <v>643</v>
      </c>
      <c r="M185" s="103">
        <v>643</v>
      </c>
      <c r="N185" s="103">
        <v>643</v>
      </c>
      <c r="O185" s="286"/>
      <c r="P185" s="296">
        <f>R185+U185+X185+AA185+AD185+AG185+AJ185+AM185+AP185+AS185+AV185+AY185+BB185+BE185+BH185+BK185+BN185+BQ185+BT185+BW185+BZ185+CC185+CF185+CI185</f>
        <v>0</v>
      </c>
      <c r="Q185" s="296">
        <f>S185+V185+Y185+AB185+AE185+AH185+AK185+AN185+AQ185+AT185+AW185+AZ185+BC185+BF185+BI185+BL185+BO185+BR185+BU185+BX185+CA185+CD185+CG185+CJ185</f>
        <v>643</v>
      </c>
      <c r="S185" s="267">
        <v>0</v>
      </c>
      <c r="V185" s="267">
        <v>0</v>
      </c>
      <c r="Y185" s="267">
        <v>0</v>
      </c>
      <c r="AB185" s="267">
        <v>0</v>
      </c>
      <c r="AE185" s="267">
        <v>0</v>
      </c>
      <c r="AH185" s="267">
        <v>11</v>
      </c>
      <c r="AK185" s="267">
        <v>0</v>
      </c>
      <c r="AN185" s="267">
        <v>0</v>
      </c>
      <c r="AQ185" s="267">
        <v>0</v>
      </c>
      <c r="AT185" s="267">
        <v>391</v>
      </c>
      <c r="AW185" s="267">
        <v>0</v>
      </c>
      <c r="AZ185" s="267">
        <v>0</v>
      </c>
      <c r="BC185" s="267">
        <v>35</v>
      </c>
      <c r="BF185" s="267">
        <v>0</v>
      </c>
      <c r="BI185" s="267">
        <v>206</v>
      </c>
      <c r="BL185" s="267">
        <v>0</v>
      </c>
      <c r="BO185" s="267">
        <v>0</v>
      </c>
      <c r="BR185" s="267">
        <v>0</v>
      </c>
      <c r="BU185" s="267">
        <v>0</v>
      </c>
      <c r="BX185" s="267">
        <v>0</v>
      </c>
      <c r="CA185" s="267">
        <v>0</v>
      </c>
      <c r="CD185" s="267">
        <v>0</v>
      </c>
      <c r="CG185" s="267">
        <v>0</v>
      </c>
      <c r="CJ185" s="267">
        <v>0</v>
      </c>
    </row>
    <row r="186" spans="1:88" hidden="1" x14ac:dyDescent="0.25">
      <c r="A186" s="102"/>
      <c r="B186" s="91" t="s">
        <v>1185</v>
      </c>
      <c r="C186" s="101"/>
      <c r="D186" s="101" t="s">
        <v>950</v>
      </c>
      <c r="E186" s="103"/>
      <c r="F186" s="103">
        <v>0</v>
      </c>
      <c r="G186" s="103">
        <v>0</v>
      </c>
      <c r="H186" s="103">
        <v>0</v>
      </c>
      <c r="I186" s="103">
        <v>0</v>
      </c>
      <c r="J186" s="103"/>
      <c r="K186" s="103"/>
      <c r="L186" s="103"/>
      <c r="M186" s="103"/>
      <c r="N186" s="103"/>
      <c r="O186" s="286"/>
    </row>
    <row r="187" spans="1:88" ht="30" x14ac:dyDescent="0.25">
      <c r="A187" s="102"/>
      <c r="B187" s="138" t="s">
        <v>1778</v>
      </c>
      <c r="C187" s="101" t="s">
        <v>17</v>
      </c>
      <c r="D187" s="101"/>
      <c r="E187" s="103"/>
      <c r="F187" s="103"/>
      <c r="G187" s="103"/>
      <c r="H187" s="103"/>
      <c r="I187" s="103">
        <v>113543</v>
      </c>
      <c r="J187" s="103">
        <f>J188+J189</f>
        <v>118154</v>
      </c>
      <c r="K187" s="103">
        <f>K188+K189</f>
        <v>116997</v>
      </c>
      <c r="L187" s="103">
        <f t="shared" ref="L187:N187" si="207">L188+L189</f>
        <v>1830</v>
      </c>
      <c r="M187" s="103">
        <f t="shared" si="207"/>
        <v>1721</v>
      </c>
      <c r="N187" s="103">
        <f t="shared" si="207"/>
        <v>1631</v>
      </c>
      <c r="O187" s="286"/>
      <c r="P187" s="286">
        <f t="shared" ref="P187:Q202" si="208">R187+U187+X187+AA187+AD187+AG187+AJ187+AM187+AP187+AS187+AV187+AY187+BB187+BE187+BH187+BK187+BN187+BQ187+BT187+BW187+BZ187+CC187+CF187+CI187</f>
        <v>116997</v>
      </c>
      <c r="Q187" s="286">
        <f t="shared" si="208"/>
        <v>113527</v>
      </c>
      <c r="R187" s="286">
        <f>R188+R189</f>
        <v>2132</v>
      </c>
      <c r="S187" s="286">
        <f>S188+S189</f>
        <v>2000</v>
      </c>
      <c r="T187" s="286"/>
      <c r="U187" s="286">
        <f>U188+U189</f>
        <v>1791</v>
      </c>
      <c r="V187" s="286">
        <f>V188+V189</f>
        <v>1668</v>
      </c>
      <c r="W187" s="286"/>
      <c r="X187" s="286">
        <f>X188+X189</f>
        <v>2064</v>
      </c>
      <c r="Y187" s="286">
        <f>Y188+Y189</f>
        <v>1974</v>
      </c>
      <c r="Z187" s="286"/>
      <c r="AA187" s="286">
        <f>AA188+AA189</f>
        <v>2385</v>
      </c>
      <c r="AB187" s="286">
        <f>AB188+AB189</f>
        <v>2194</v>
      </c>
      <c r="AC187" s="286"/>
      <c r="AD187" s="286">
        <f>AD188+AD189</f>
        <v>2276</v>
      </c>
      <c r="AE187" s="286">
        <f>AE188+AE189</f>
        <v>2078</v>
      </c>
      <c r="AF187" s="286"/>
      <c r="AG187" s="286">
        <f>AG188+AG189</f>
        <v>1890</v>
      </c>
      <c r="AH187" s="286">
        <f>AH188+AH189</f>
        <v>1830</v>
      </c>
      <c r="AI187" s="286"/>
      <c r="AJ187" s="286">
        <f>AJ188+AJ189</f>
        <v>3140</v>
      </c>
      <c r="AK187" s="286">
        <f>AK188+AK189</f>
        <v>2943</v>
      </c>
      <c r="AL187" s="286"/>
      <c r="AM187" s="286">
        <f>AM188+AM189</f>
        <v>8026</v>
      </c>
      <c r="AN187" s="286">
        <f>AN188+AN189</f>
        <v>7624</v>
      </c>
      <c r="AO187" s="286"/>
      <c r="AP187" s="286">
        <f>AP188+AP189</f>
        <v>1007</v>
      </c>
      <c r="AQ187" s="286">
        <f>AQ188+AQ189</f>
        <v>941</v>
      </c>
      <c r="AR187" s="286"/>
      <c r="AS187" s="286">
        <f>AS188+AS189</f>
        <v>8100</v>
      </c>
      <c r="AT187" s="286">
        <f>AT188+AT189</f>
        <v>8102</v>
      </c>
      <c r="AU187" s="286"/>
      <c r="AV187" s="286">
        <f>AV188+AV189</f>
        <v>2401</v>
      </c>
      <c r="AW187" s="286">
        <f>AW188+AW189</f>
        <v>2131</v>
      </c>
      <c r="AX187" s="286"/>
      <c r="AY187" s="286">
        <f>AY188+AY189</f>
        <v>3769</v>
      </c>
      <c r="AZ187" s="286">
        <f>AZ188+AZ189</f>
        <v>3453</v>
      </c>
      <c r="BA187" s="286"/>
      <c r="BB187" s="286">
        <f>BB188+BB189</f>
        <v>7279</v>
      </c>
      <c r="BC187" s="286">
        <f>BC188+BC189</f>
        <v>6742</v>
      </c>
      <c r="BD187" s="286"/>
      <c r="BE187" s="286">
        <f>BE188+BE189</f>
        <v>19335</v>
      </c>
      <c r="BF187" s="286">
        <f>BF188+BF189</f>
        <v>19164</v>
      </c>
      <c r="BG187" s="286"/>
      <c r="BH187" s="286">
        <f>BH188+BH189</f>
        <v>30900</v>
      </c>
      <c r="BI187" s="286">
        <f>BI188+BI189</f>
        <v>31353</v>
      </c>
      <c r="BJ187" s="286"/>
      <c r="BK187" s="286">
        <f>BK188+BK189</f>
        <v>2876</v>
      </c>
      <c r="BL187" s="286">
        <f>BL188+BL189</f>
        <v>2609</v>
      </c>
      <c r="BM187" s="286"/>
      <c r="BN187" s="286">
        <f>BN188+BN189</f>
        <v>2734</v>
      </c>
      <c r="BO187" s="286">
        <f>BO188+BO189</f>
        <v>2575</v>
      </c>
      <c r="BP187" s="286"/>
      <c r="BQ187" s="286">
        <f>BQ188+BQ189</f>
        <v>4089</v>
      </c>
      <c r="BR187" s="286">
        <f>BR188+BR189</f>
        <v>3869</v>
      </c>
      <c r="BS187" s="286"/>
      <c r="BT187" s="286">
        <f>BT188+BT189</f>
        <v>4169</v>
      </c>
      <c r="BU187" s="286">
        <f>BU188+BU189</f>
        <v>4056</v>
      </c>
      <c r="BV187" s="286"/>
      <c r="BW187" s="286">
        <f>BW188+BW189</f>
        <v>1143</v>
      </c>
      <c r="BX187" s="286">
        <f>BX188+BX189</f>
        <v>1076</v>
      </c>
      <c r="BY187" s="286"/>
      <c r="BZ187" s="286">
        <f>BZ188+BZ189</f>
        <v>2728</v>
      </c>
      <c r="CA187" s="286">
        <f>CA188+CA189</f>
        <v>2521</v>
      </c>
      <c r="CB187" s="286"/>
      <c r="CC187" s="286">
        <f>CC188+CC189</f>
        <v>2659</v>
      </c>
      <c r="CD187" s="286">
        <f>CD188+CD189</f>
        <v>2516</v>
      </c>
      <c r="CE187" s="286"/>
      <c r="CF187" s="286">
        <f>CF188+CF189</f>
        <v>104</v>
      </c>
      <c r="CG187" s="286">
        <f>CG188+CG189</f>
        <v>108</v>
      </c>
      <c r="CH187" s="286"/>
      <c r="CI187" s="286">
        <f>CI188+CI189</f>
        <v>0</v>
      </c>
      <c r="CJ187" s="286">
        <f>CJ188+CJ189</f>
        <v>0</v>
      </c>
    </row>
    <row r="188" spans="1:88" x14ac:dyDescent="0.25">
      <c r="A188" s="102"/>
      <c r="B188" s="91" t="s">
        <v>1183</v>
      </c>
      <c r="C188" s="101"/>
      <c r="D188" s="101" t="s">
        <v>950</v>
      </c>
      <c r="E188" s="103"/>
      <c r="F188" s="103"/>
      <c r="G188" s="103"/>
      <c r="H188" s="103"/>
      <c r="I188" s="103"/>
      <c r="J188" s="103">
        <f t="shared" ref="J188:N189" si="209">J52</f>
        <v>110291</v>
      </c>
      <c r="K188" s="103">
        <f t="shared" si="209"/>
        <v>108684</v>
      </c>
      <c r="L188" s="103">
        <f t="shared" si="209"/>
        <v>1071</v>
      </c>
      <c r="M188" s="103">
        <f t="shared" si="209"/>
        <v>1007</v>
      </c>
      <c r="N188" s="103">
        <f t="shared" si="209"/>
        <v>955</v>
      </c>
      <c r="O188" s="286"/>
      <c r="P188" s="286">
        <f t="shared" si="208"/>
        <v>109282</v>
      </c>
      <c r="Q188" s="286">
        <f t="shared" si="208"/>
        <v>106294</v>
      </c>
      <c r="R188" s="286">
        <f>R52</f>
        <v>1452</v>
      </c>
      <c r="S188" s="286">
        <f>S52</f>
        <v>1345</v>
      </c>
      <c r="T188" s="286"/>
      <c r="U188" s="286">
        <f>U52</f>
        <v>1042</v>
      </c>
      <c r="V188" s="286">
        <f>V52</f>
        <v>950</v>
      </c>
      <c r="W188" s="286"/>
      <c r="X188" s="286">
        <f>X52</f>
        <v>1430</v>
      </c>
      <c r="Y188" s="286">
        <f>Y52</f>
        <v>1343</v>
      </c>
      <c r="Z188" s="286"/>
      <c r="AA188" s="286">
        <f>AA52</f>
        <v>1446</v>
      </c>
      <c r="AB188" s="286">
        <f>AB52</f>
        <v>1302</v>
      </c>
      <c r="AC188" s="286"/>
      <c r="AD188" s="286">
        <f>AD52</f>
        <v>2121</v>
      </c>
      <c r="AE188" s="286">
        <f>AE52</f>
        <v>1660</v>
      </c>
      <c r="AF188" s="286"/>
      <c r="AG188" s="286">
        <f>AG52</f>
        <v>1097</v>
      </c>
      <c r="AH188" s="286">
        <f>AH52</f>
        <v>1077</v>
      </c>
      <c r="AI188" s="286"/>
      <c r="AJ188" s="286">
        <f>AJ52</f>
        <v>2998</v>
      </c>
      <c r="AK188" s="286">
        <f>AK52</f>
        <v>2814</v>
      </c>
      <c r="AL188" s="286"/>
      <c r="AM188" s="286">
        <f>AM52</f>
        <v>5410</v>
      </c>
      <c r="AN188" s="286">
        <f>AN52</f>
        <v>5528</v>
      </c>
      <c r="AO188" s="286"/>
      <c r="AP188" s="286">
        <f>AP52</f>
        <v>0</v>
      </c>
      <c r="AQ188" s="286">
        <f>AQ52</f>
        <v>0</v>
      </c>
      <c r="AR188" s="286"/>
      <c r="AS188" s="286">
        <f>AS52</f>
        <v>8100</v>
      </c>
      <c r="AT188" s="286">
        <f>AT52</f>
        <v>8102</v>
      </c>
      <c r="AU188" s="286"/>
      <c r="AV188" s="286">
        <f>AV52</f>
        <v>2401</v>
      </c>
      <c r="AW188" s="286">
        <f>AW52</f>
        <v>2131</v>
      </c>
      <c r="AX188" s="286"/>
      <c r="AY188" s="286">
        <f>AY52</f>
        <v>3769</v>
      </c>
      <c r="AZ188" s="286">
        <f>AZ52</f>
        <v>3453</v>
      </c>
      <c r="BA188" s="286"/>
      <c r="BB188" s="286">
        <f>BB52</f>
        <v>7279</v>
      </c>
      <c r="BC188" s="286">
        <v>6742</v>
      </c>
      <c r="BD188" s="286"/>
      <c r="BE188" s="286">
        <f>BE52</f>
        <v>19335</v>
      </c>
      <c r="BF188" s="286">
        <f>BF52</f>
        <v>19164</v>
      </c>
      <c r="BG188" s="286"/>
      <c r="BH188" s="286">
        <f>BH52</f>
        <v>30900</v>
      </c>
      <c r="BI188" s="286">
        <f>BI52</f>
        <v>31353</v>
      </c>
      <c r="BJ188" s="286"/>
      <c r="BK188" s="286">
        <f>BK52</f>
        <v>2876</v>
      </c>
      <c r="BL188" s="286">
        <f>BL52</f>
        <v>2609</v>
      </c>
      <c r="BM188" s="286"/>
      <c r="BN188" s="286">
        <f>BN52</f>
        <v>2734</v>
      </c>
      <c r="BO188" s="286">
        <f>BO52</f>
        <v>2575</v>
      </c>
      <c r="BP188" s="286"/>
      <c r="BQ188" s="286">
        <f>BQ52</f>
        <v>4089</v>
      </c>
      <c r="BR188" s="286">
        <f>BR52</f>
        <v>3869</v>
      </c>
      <c r="BS188" s="286"/>
      <c r="BT188" s="286">
        <f>BT52</f>
        <v>4169</v>
      </c>
      <c r="BU188" s="286">
        <f>BU52</f>
        <v>4056</v>
      </c>
      <c r="BV188" s="286"/>
      <c r="BW188" s="286">
        <f>BW52</f>
        <v>1143</v>
      </c>
      <c r="BX188" s="286">
        <f>BX52</f>
        <v>1076</v>
      </c>
      <c r="BY188" s="286"/>
      <c r="BZ188" s="286">
        <f>BZ52</f>
        <v>2728</v>
      </c>
      <c r="CA188" s="286">
        <f>CA52</f>
        <v>2521</v>
      </c>
      <c r="CB188" s="286"/>
      <c r="CC188" s="286">
        <f>CC52</f>
        <v>2659</v>
      </c>
      <c r="CD188" s="286">
        <f>CD52</f>
        <v>2516</v>
      </c>
      <c r="CE188" s="286"/>
      <c r="CF188" s="286">
        <f>CF52</f>
        <v>104</v>
      </c>
      <c r="CG188" s="286">
        <f>CG52</f>
        <v>108</v>
      </c>
      <c r="CH188" s="286"/>
      <c r="CI188" s="286">
        <f>CI52</f>
        <v>0</v>
      </c>
      <c r="CJ188" s="286">
        <f>CJ52</f>
        <v>0</v>
      </c>
    </row>
    <row r="189" spans="1:88" x14ac:dyDescent="0.25">
      <c r="A189" s="102"/>
      <c r="B189" s="91" t="s">
        <v>1185</v>
      </c>
      <c r="C189" s="101"/>
      <c r="D189" s="101" t="s">
        <v>950</v>
      </c>
      <c r="E189" s="103"/>
      <c r="F189" s="103"/>
      <c r="G189" s="103"/>
      <c r="H189" s="103"/>
      <c r="I189" s="103"/>
      <c r="J189" s="103">
        <f t="shared" si="209"/>
        <v>7863</v>
      </c>
      <c r="K189" s="103">
        <f t="shared" si="209"/>
        <v>8313</v>
      </c>
      <c r="L189" s="103">
        <f t="shared" si="209"/>
        <v>759</v>
      </c>
      <c r="M189" s="103">
        <f t="shared" si="209"/>
        <v>714</v>
      </c>
      <c r="N189" s="103">
        <f t="shared" si="209"/>
        <v>676</v>
      </c>
      <c r="O189" s="286"/>
      <c r="P189" s="286">
        <f t="shared" si="208"/>
        <v>7715</v>
      </c>
      <c r="Q189" s="286">
        <f t="shared" si="208"/>
        <v>7233</v>
      </c>
      <c r="R189" s="286">
        <f>R53</f>
        <v>680</v>
      </c>
      <c r="S189" s="286">
        <f>S53</f>
        <v>655</v>
      </c>
      <c r="T189" s="286"/>
      <c r="U189" s="286">
        <f>U53</f>
        <v>749</v>
      </c>
      <c r="V189" s="286">
        <f>V53</f>
        <v>718</v>
      </c>
      <c r="W189" s="286"/>
      <c r="X189" s="286">
        <f>X53</f>
        <v>634</v>
      </c>
      <c r="Y189" s="286">
        <f>Y53</f>
        <v>631</v>
      </c>
      <c r="Z189" s="286"/>
      <c r="AA189" s="286">
        <f>AA53</f>
        <v>939</v>
      </c>
      <c r="AB189" s="286">
        <v>892</v>
      </c>
      <c r="AC189" s="286"/>
      <c r="AD189" s="286">
        <f>AD53</f>
        <v>155</v>
      </c>
      <c r="AE189" s="286">
        <f>AE53</f>
        <v>418</v>
      </c>
      <c r="AF189" s="286"/>
      <c r="AG189" s="286">
        <f>AG53</f>
        <v>793</v>
      </c>
      <c r="AH189" s="286">
        <f>AH53</f>
        <v>753</v>
      </c>
      <c r="AI189" s="286"/>
      <c r="AJ189" s="286">
        <f>AJ53</f>
        <v>142</v>
      </c>
      <c r="AK189" s="286">
        <f>AK53</f>
        <v>129</v>
      </c>
      <c r="AL189" s="286"/>
      <c r="AM189" s="286">
        <f>AM53</f>
        <v>2616</v>
      </c>
      <c r="AN189" s="286">
        <f>AN53</f>
        <v>2096</v>
      </c>
      <c r="AO189" s="286"/>
      <c r="AP189" s="286">
        <f>AP53</f>
        <v>1007</v>
      </c>
      <c r="AQ189" s="286">
        <f>AQ53</f>
        <v>941</v>
      </c>
      <c r="AR189" s="286"/>
      <c r="AS189" s="286">
        <f>AS53</f>
        <v>0</v>
      </c>
      <c r="AT189" s="286">
        <f>AT53</f>
        <v>0</v>
      </c>
      <c r="AU189" s="286"/>
      <c r="AV189" s="286">
        <f>AV53</f>
        <v>0</v>
      </c>
      <c r="AW189" s="286">
        <f>AW53</f>
        <v>0</v>
      </c>
      <c r="AX189" s="286"/>
      <c r="AY189" s="286">
        <f>AY53</f>
        <v>0</v>
      </c>
      <c r="AZ189" s="286">
        <f>AZ53</f>
        <v>0</v>
      </c>
      <c r="BA189" s="286"/>
      <c r="BB189" s="286">
        <f>BB53</f>
        <v>0</v>
      </c>
      <c r="BC189" s="286">
        <f>BC53</f>
        <v>0</v>
      </c>
      <c r="BD189" s="286"/>
      <c r="BE189" s="286">
        <f>BE53</f>
        <v>0</v>
      </c>
      <c r="BF189" s="286">
        <f>BF53</f>
        <v>0</v>
      </c>
      <c r="BG189" s="286"/>
      <c r="BH189" s="286">
        <f>BH53</f>
        <v>0</v>
      </c>
      <c r="BI189" s="286">
        <f>BI53</f>
        <v>0</v>
      </c>
      <c r="BJ189" s="286"/>
      <c r="BK189" s="286">
        <f>BK53</f>
        <v>0</v>
      </c>
      <c r="BL189" s="286">
        <f>BL53</f>
        <v>0</v>
      </c>
      <c r="BM189" s="286"/>
      <c r="BN189" s="286">
        <f>BN53</f>
        <v>0</v>
      </c>
      <c r="BO189" s="286">
        <f>BO53</f>
        <v>0</v>
      </c>
      <c r="BP189" s="286"/>
      <c r="BQ189" s="286">
        <f>BQ53</f>
        <v>0</v>
      </c>
      <c r="BR189" s="286">
        <f>BR53</f>
        <v>0</v>
      </c>
      <c r="BS189" s="286"/>
      <c r="BT189" s="286">
        <f>BT53</f>
        <v>0</v>
      </c>
      <c r="BU189" s="286">
        <f>BU53</f>
        <v>0</v>
      </c>
      <c r="BV189" s="286"/>
      <c r="BW189" s="286">
        <f>BW53</f>
        <v>0</v>
      </c>
      <c r="BX189" s="286">
        <f>BX53</f>
        <v>0</v>
      </c>
      <c r="BY189" s="286"/>
      <c r="BZ189" s="286">
        <f>BZ53</f>
        <v>0</v>
      </c>
      <c r="CA189" s="286">
        <f>CA53</f>
        <v>0</v>
      </c>
      <c r="CB189" s="286"/>
      <c r="CC189" s="286">
        <f>CC53</f>
        <v>0</v>
      </c>
      <c r="CD189" s="286">
        <f>CD53</f>
        <v>0</v>
      </c>
      <c r="CE189" s="286"/>
      <c r="CF189" s="286">
        <f>CF53</f>
        <v>0</v>
      </c>
      <c r="CG189" s="286">
        <f>CG53</f>
        <v>0</v>
      </c>
      <c r="CH189" s="286"/>
      <c r="CI189" s="286">
        <f>CI53</f>
        <v>0</v>
      </c>
      <c r="CJ189" s="286">
        <f>CJ53</f>
        <v>0</v>
      </c>
    </row>
    <row r="190" spans="1:88" ht="30" x14ac:dyDescent="0.25">
      <c r="A190" s="102"/>
      <c r="B190" s="354" t="s">
        <v>1758</v>
      </c>
      <c r="C190" s="95" t="s">
        <v>1766</v>
      </c>
      <c r="D190" s="101"/>
      <c r="E190" s="103"/>
      <c r="F190" s="103"/>
      <c r="G190" s="103"/>
      <c r="H190" s="103"/>
      <c r="I190" s="103">
        <v>4368</v>
      </c>
      <c r="J190" s="103">
        <f>J191+J192</f>
        <v>4637</v>
      </c>
      <c r="K190" s="103">
        <f>K191+K192</f>
        <v>4347</v>
      </c>
      <c r="L190" s="103">
        <f t="shared" ref="L190:N190" si="210">L191+L192</f>
        <v>19</v>
      </c>
      <c r="M190" s="103">
        <f t="shared" si="210"/>
        <v>27</v>
      </c>
      <c r="N190" s="103">
        <f t="shared" si="210"/>
        <v>26</v>
      </c>
      <c r="O190" s="286"/>
      <c r="P190" s="286">
        <f t="shared" si="208"/>
        <v>4347</v>
      </c>
      <c r="Q190" s="358">
        <f t="shared" si="208"/>
        <v>4798</v>
      </c>
      <c r="R190" s="286">
        <f>R191+R192</f>
        <v>65</v>
      </c>
      <c r="S190" s="286">
        <f>S191+S192</f>
        <v>78</v>
      </c>
      <c r="T190" s="286"/>
      <c r="U190" s="286">
        <f>U191+U192</f>
        <v>0</v>
      </c>
      <c r="V190" s="286">
        <f>V191+V192</f>
        <v>0</v>
      </c>
      <c r="W190" s="286"/>
      <c r="X190" s="286">
        <f>X191+X192</f>
        <v>35</v>
      </c>
      <c r="Y190" s="286">
        <f>Y191+Y192</f>
        <v>24</v>
      </c>
      <c r="Z190" s="286"/>
      <c r="AA190" s="286">
        <f>AA191+AA192</f>
        <v>18</v>
      </c>
      <c r="AB190" s="286">
        <f>AB191+AB192</f>
        <v>23</v>
      </c>
      <c r="AC190" s="286"/>
      <c r="AD190" s="286">
        <f>AD191+AD192</f>
        <v>0</v>
      </c>
      <c r="AE190" s="286">
        <f>AE191+AE192</f>
        <v>154</v>
      </c>
      <c r="AF190" s="286"/>
      <c r="AG190" s="286">
        <f>AG191+AG192</f>
        <v>28</v>
      </c>
      <c r="AH190" s="286">
        <f>AH191+AH192</f>
        <v>19</v>
      </c>
      <c r="AI190" s="286"/>
      <c r="AJ190" s="286">
        <f>AJ191+AJ192</f>
        <v>325</v>
      </c>
      <c r="AK190" s="286">
        <f>AK191+AK192</f>
        <v>306</v>
      </c>
      <c r="AL190" s="286"/>
      <c r="AM190" s="286">
        <f>AM191+AM192</f>
        <v>250</v>
      </c>
      <c r="AN190" s="286">
        <f>AN191+AN192</f>
        <v>275</v>
      </c>
      <c r="AO190" s="286"/>
      <c r="AP190" s="286">
        <f>AP191+AP192</f>
        <v>0</v>
      </c>
      <c r="AQ190" s="286">
        <f>AQ191+AQ192</f>
        <v>0</v>
      </c>
      <c r="AR190" s="286"/>
      <c r="AS190" s="286">
        <f>AS191+AS192</f>
        <v>287</v>
      </c>
      <c r="AT190" s="286">
        <f>AT191+AT192</f>
        <v>344</v>
      </c>
      <c r="AU190" s="286"/>
      <c r="AV190" s="286">
        <f>AV191+AV192</f>
        <v>154</v>
      </c>
      <c r="AW190" s="286">
        <f>AW191+AW192</f>
        <v>126</v>
      </c>
      <c r="AX190" s="286"/>
      <c r="AY190" s="286">
        <f>AY191+AY192</f>
        <v>419</v>
      </c>
      <c r="AZ190" s="286">
        <f>AZ191+AZ192</f>
        <v>385</v>
      </c>
      <c r="BA190" s="286"/>
      <c r="BB190" s="286">
        <f>BB191+BB192</f>
        <v>81</v>
      </c>
      <c r="BC190" s="286">
        <f>BC191+BC192</f>
        <v>100</v>
      </c>
      <c r="BD190" s="286"/>
      <c r="BE190" s="286">
        <f>BE191+BE192</f>
        <v>814</v>
      </c>
      <c r="BF190" s="286">
        <f>BF191+BF192</f>
        <v>940</v>
      </c>
      <c r="BG190" s="286"/>
      <c r="BH190" s="286">
        <f>BH191+BH192</f>
        <v>1378</v>
      </c>
      <c r="BI190" s="286">
        <f>BI191+BI192</f>
        <v>1497</v>
      </c>
      <c r="BJ190" s="286"/>
      <c r="BK190" s="286">
        <f>BK191+BK192</f>
        <v>0</v>
      </c>
      <c r="BL190" s="286">
        <f>BL191+BL192</f>
        <v>0</v>
      </c>
      <c r="BM190" s="286"/>
      <c r="BN190" s="286">
        <f>BN191+BN192</f>
        <v>259</v>
      </c>
      <c r="BO190" s="286">
        <f>BO191+BO192</f>
        <v>255</v>
      </c>
      <c r="BP190" s="286"/>
      <c r="BQ190" s="286">
        <f>BQ191+BQ192</f>
        <v>30</v>
      </c>
      <c r="BR190" s="286">
        <f>BR191+BR192</f>
        <v>60</v>
      </c>
      <c r="BS190" s="286"/>
      <c r="BT190" s="286">
        <f>BT191+BT192</f>
        <v>30</v>
      </c>
      <c r="BU190" s="286">
        <f>BU191+BU192</f>
        <v>47</v>
      </c>
      <c r="BV190" s="286"/>
      <c r="BW190" s="286">
        <f>BW191+BW192</f>
        <v>30</v>
      </c>
      <c r="BX190" s="286">
        <f>BX191+BX192</f>
        <v>26</v>
      </c>
      <c r="BY190" s="286"/>
      <c r="BZ190" s="286">
        <f>BZ191+BZ192</f>
        <v>18</v>
      </c>
      <c r="CA190" s="286">
        <f>CA191+CA192</f>
        <v>6</v>
      </c>
      <c r="CB190" s="286"/>
      <c r="CC190" s="286">
        <f>CC191+CC192</f>
        <v>22</v>
      </c>
      <c r="CD190" s="286">
        <f>CD191+CD192</f>
        <v>25</v>
      </c>
      <c r="CE190" s="286"/>
      <c r="CF190" s="286">
        <f>CF191+CF192</f>
        <v>104</v>
      </c>
      <c r="CG190" s="286">
        <f>CG191+CG192</f>
        <v>108</v>
      </c>
      <c r="CH190" s="286"/>
      <c r="CI190" s="286">
        <f>CI191+CI192</f>
        <v>0</v>
      </c>
      <c r="CJ190" s="286">
        <f>CJ191+CJ192</f>
        <v>0</v>
      </c>
    </row>
    <row r="191" spans="1:88" x14ac:dyDescent="0.25">
      <c r="A191" s="102"/>
      <c r="B191" s="91" t="s">
        <v>1183</v>
      </c>
      <c r="C191" s="95"/>
      <c r="D191" s="101" t="s">
        <v>950</v>
      </c>
      <c r="E191" s="103"/>
      <c r="F191" s="103"/>
      <c r="G191" s="103"/>
      <c r="H191" s="103"/>
      <c r="I191" s="103"/>
      <c r="J191" s="103">
        <f>J99</f>
        <v>4605</v>
      </c>
      <c r="K191" s="103">
        <f>K99</f>
        <v>4316</v>
      </c>
      <c r="L191" s="103">
        <f>L99</f>
        <v>19</v>
      </c>
      <c r="M191" s="103">
        <f>M99</f>
        <v>27</v>
      </c>
      <c r="N191" s="103">
        <f>N99</f>
        <v>26</v>
      </c>
      <c r="O191" s="286"/>
      <c r="P191" s="286">
        <f t="shared" si="208"/>
        <v>4298</v>
      </c>
      <c r="Q191" s="286">
        <f t="shared" si="208"/>
        <v>4722</v>
      </c>
      <c r="R191" s="286">
        <f>R99</f>
        <v>65</v>
      </c>
      <c r="S191" s="286">
        <f>S99</f>
        <v>78</v>
      </c>
      <c r="T191" s="286"/>
      <c r="U191" s="286">
        <f>U99</f>
        <v>0</v>
      </c>
      <c r="V191" s="286">
        <f>V99</f>
        <v>0</v>
      </c>
      <c r="W191" s="286"/>
      <c r="X191" s="286">
        <f>X99</f>
        <v>35</v>
      </c>
      <c r="Y191" s="286">
        <f>Y99</f>
        <v>19</v>
      </c>
      <c r="Z191" s="286"/>
      <c r="AA191" s="286">
        <f>AA99</f>
        <v>18</v>
      </c>
      <c r="AB191" s="286">
        <f>AB99</f>
        <v>23</v>
      </c>
      <c r="AC191" s="286"/>
      <c r="AD191" s="286">
        <f>AD99</f>
        <v>0</v>
      </c>
      <c r="AE191" s="286">
        <f>AE99</f>
        <v>128</v>
      </c>
      <c r="AF191" s="286"/>
      <c r="AG191" s="286">
        <f>AG99</f>
        <v>28</v>
      </c>
      <c r="AH191" s="286">
        <f>AH99</f>
        <v>19</v>
      </c>
      <c r="AI191" s="286"/>
      <c r="AJ191" s="286">
        <f>AJ99</f>
        <v>325</v>
      </c>
      <c r="AK191" s="286">
        <f>AK99</f>
        <v>306</v>
      </c>
      <c r="AL191" s="286"/>
      <c r="AM191" s="286">
        <f>AM99</f>
        <v>201</v>
      </c>
      <c r="AN191" s="286">
        <f>AN99</f>
        <v>230</v>
      </c>
      <c r="AO191" s="286"/>
      <c r="AP191" s="286">
        <f>AP99</f>
        <v>0</v>
      </c>
      <c r="AQ191" s="286">
        <f>AQ99</f>
        <v>0</v>
      </c>
      <c r="AR191" s="286"/>
      <c r="AS191" s="286">
        <f>AS99</f>
        <v>287</v>
      </c>
      <c r="AT191" s="286">
        <f>AT99</f>
        <v>344</v>
      </c>
      <c r="AU191" s="286"/>
      <c r="AV191" s="286">
        <f>AV99</f>
        <v>154</v>
      </c>
      <c r="AW191" s="286">
        <f>AW99</f>
        <v>126</v>
      </c>
      <c r="AX191" s="286"/>
      <c r="AY191" s="286">
        <f>AY99</f>
        <v>419</v>
      </c>
      <c r="AZ191" s="286">
        <f>AZ99</f>
        <v>385</v>
      </c>
      <c r="BA191" s="286"/>
      <c r="BB191" s="286">
        <f>BB99</f>
        <v>81</v>
      </c>
      <c r="BC191" s="286">
        <f>BC99</f>
        <v>100</v>
      </c>
      <c r="BD191" s="286"/>
      <c r="BE191" s="286">
        <f>BE99</f>
        <v>814</v>
      </c>
      <c r="BF191" s="286">
        <f>BF99</f>
        <v>940</v>
      </c>
      <c r="BG191" s="286"/>
      <c r="BH191" s="286">
        <f>BH99</f>
        <v>1378</v>
      </c>
      <c r="BI191" s="286">
        <f>BI99</f>
        <v>1497</v>
      </c>
      <c r="BJ191" s="286"/>
      <c r="BK191" s="286">
        <f>BK99</f>
        <v>0</v>
      </c>
      <c r="BL191" s="286">
        <f>BL99</f>
        <v>0</v>
      </c>
      <c r="BM191" s="286"/>
      <c r="BN191" s="286">
        <f>BN99</f>
        <v>259</v>
      </c>
      <c r="BO191" s="286">
        <f>BO99</f>
        <v>255</v>
      </c>
      <c r="BP191" s="286"/>
      <c r="BQ191" s="286">
        <f>BQ99</f>
        <v>30</v>
      </c>
      <c r="BR191" s="286">
        <f>BR99</f>
        <v>60</v>
      </c>
      <c r="BS191" s="286"/>
      <c r="BT191" s="286">
        <f>BT99</f>
        <v>30</v>
      </c>
      <c r="BU191" s="286">
        <f>BU99</f>
        <v>47</v>
      </c>
      <c r="BV191" s="286"/>
      <c r="BW191" s="286">
        <f>BW99</f>
        <v>30</v>
      </c>
      <c r="BX191" s="286">
        <f>BX99</f>
        <v>26</v>
      </c>
      <c r="BY191" s="286"/>
      <c r="BZ191" s="286">
        <f>BZ99</f>
        <v>18</v>
      </c>
      <c r="CA191" s="286">
        <f>CA99</f>
        <v>6</v>
      </c>
      <c r="CB191" s="286"/>
      <c r="CC191" s="286">
        <f>CC99</f>
        <v>22</v>
      </c>
      <c r="CD191" s="286">
        <f>CD99</f>
        <v>25</v>
      </c>
      <c r="CE191" s="286"/>
      <c r="CF191" s="286">
        <f>CF99</f>
        <v>104</v>
      </c>
      <c r="CG191" s="286">
        <f>CG99</f>
        <v>108</v>
      </c>
      <c r="CH191" s="286"/>
      <c r="CI191" s="286">
        <f>CI99</f>
        <v>0</v>
      </c>
      <c r="CJ191" s="286">
        <f>CJ99</f>
        <v>0</v>
      </c>
    </row>
    <row r="192" spans="1:88" x14ac:dyDescent="0.25">
      <c r="A192" s="102"/>
      <c r="B192" s="91" t="s">
        <v>1185</v>
      </c>
      <c r="C192" s="95"/>
      <c r="D192" s="101" t="s">
        <v>950</v>
      </c>
      <c r="E192" s="103"/>
      <c r="F192" s="103"/>
      <c r="G192" s="103"/>
      <c r="H192" s="103"/>
      <c r="I192" s="103"/>
      <c r="J192" s="103">
        <f>J105</f>
        <v>32</v>
      </c>
      <c r="K192" s="103">
        <f>K105</f>
        <v>31</v>
      </c>
      <c r="L192" s="103">
        <f t="shared" ref="L192:N192" si="211">L105</f>
        <v>0</v>
      </c>
      <c r="M192" s="103">
        <f t="shared" si="211"/>
        <v>0</v>
      </c>
      <c r="N192" s="103">
        <f t="shared" si="211"/>
        <v>0</v>
      </c>
      <c r="O192" s="286"/>
      <c r="P192" s="286">
        <f t="shared" si="208"/>
        <v>49</v>
      </c>
      <c r="Q192" s="286">
        <f t="shared" si="208"/>
        <v>76</v>
      </c>
      <c r="R192" s="286">
        <f>R105</f>
        <v>0</v>
      </c>
      <c r="S192" s="286">
        <f>S105</f>
        <v>0</v>
      </c>
      <c r="T192" s="286"/>
      <c r="U192" s="286">
        <f>U105</f>
        <v>0</v>
      </c>
      <c r="V192" s="286">
        <f>V105</f>
        <v>0</v>
      </c>
      <c r="W192" s="286"/>
      <c r="X192" s="286">
        <f>X105</f>
        <v>0</v>
      </c>
      <c r="Y192" s="286">
        <f>Y105</f>
        <v>5</v>
      </c>
      <c r="Z192" s="286"/>
      <c r="AA192" s="286">
        <f>AA105</f>
        <v>0</v>
      </c>
      <c r="AB192" s="286">
        <f>AB105</f>
        <v>0</v>
      </c>
      <c r="AC192" s="286"/>
      <c r="AD192" s="286">
        <f>AD105</f>
        <v>0</v>
      </c>
      <c r="AE192" s="286">
        <f>AE105</f>
        <v>26</v>
      </c>
      <c r="AF192" s="286"/>
      <c r="AG192" s="286">
        <f>AG105</f>
        <v>0</v>
      </c>
      <c r="AH192" s="286">
        <f>AH105</f>
        <v>0</v>
      </c>
      <c r="AI192" s="286"/>
      <c r="AJ192" s="286">
        <f>AJ105</f>
        <v>0</v>
      </c>
      <c r="AK192" s="286">
        <f>AK105</f>
        <v>0</v>
      </c>
      <c r="AL192" s="286"/>
      <c r="AM192" s="286">
        <f>AM105</f>
        <v>49</v>
      </c>
      <c r="AN192" s="286">
        <f>AN105</f>
        <v>45</v>
      </c>
      <c r="AO192" s="286"/>
      <c r="AP192" s="286">
        <f>AP105</f>
        <v>0</v>
      </c>
      <c r="AQ192" s="286">
        <f>AQ105</f>
        <v>0</v>
      </c>
      <c r="AR192" s="286"/>
      <c r="AS192" s="286">
        <f>AS105</f>
        <v>0</v>
      </c>
      <c r="AT192" s="286">
        <f>AT105</f>
        <v>0</v>
      </c>
      <c r="AU192" s="286"/>
      <c r="AV192" s="286">
        <f>AV105</f>
        <v>0</v>
      </c>
      <c r="AW192" s="286">
        <f>AW105</f>
        <v>0</v>
      </c>
      <c r="AX192" s="286"/>
      <c r="AY192" s="286">
        <f>AY105</f>
        <v>0</v>
      </c>
      <c r="AZ192" s="286">
        <f>AZ105</f>
        <v>0</v>
      </c>
      <c r="BA192" s="286"/>
      <c r="BB192" s="286">
        <f>BB105</f>
        <v>0</v>
      </c>
      <c r="BC192" s="286">
        <f>BC105</f>
        <v>0</v>
      </c>
      <c r="BD192" s="286"/>
      <c r="BE192" s="286">
        <f>BE105</f>
        <v>0</v>
      </c>
      <c r="BF192" s="286">
        <f>BF105</f>
        <v>0</v>
      </c>
      <c r="BG192" s="286"/>
      <c r="BH192" s="286">
        <f>BH105</f>
        <v>0</v>
      </c>
      <c r="BI192" s="286">
        <f>BI105</f>
        <v>0</v>
      </c>
      <c r="BJ192" s="286"/>
      <c r="BK192" s="286">
        <f>BK105</f>
        <v>0</v>
      </c>
      <c r="BL192" s="286">
        <f>BL105</f>
        <v>0</v>
      </c>
      <c r="BM192" s="286"/>
      <c r="BN192" s="286">
        <f>BN105</f>
        <v>0</v>
      </c>
      <c r="BO192" s="286">
        <f>BO105</f>
        <v>0</v>
      </c>
      <c r="BP192" s="286"/>
      <c r="BQ192" s="286">
        <f>BQ105</f>
        <v>0</v>
      </c>
      <c r="BR192" s="286">
        <f>BR105</f>
        <v>0</v>
      </c>
      <c r="BS192" s="286"/>
      <c r="BT192" s="286">
        <f>BT105</f>
        <v>0</v>
      </c>
      <c r="BU192" s="286">
        <f>BU105</f>
        <v>0</v>
      </c>
      <c r="BV192" s="286"/>
      <c r="BW192" s="286">
        <f>BW105</f>
        <v>0</v>
      </c>
      <c r="BX192" s="286">
        <f>BX105</f>
        <v>0</v>
      </c>
      <c r="BY192" s="286"/>
      <c r="BZ192" s="286">
        <f>BZ105</f>
        <v>0</v>
      </c>
      <c r="CA192" s="286">
        <f>CA105</f>
        <v>0</v>
      </c>
      <c r="CB192" s="286"/>
      <c r="CC192" s="286">
        <f>CC105</f>
        <v>0</v>
      </c>
      <c r="CD192" s="286">
        <f>CD105</f>
        <v>0</v>
      </c>
      <c r="CE192" s="286"/>
      <c r="CF192" s="286">
        <f>CF105</f>
        <v>0</v>
      </c>
      <c r="CG192" s="286">
        <f>CG105</f>
        <v>0</v>
      </c>
      <c r="CH192" s="286"/>
      <c r="CI192" s="286">
        <f>CI105</f>
        <v>0</v>
      </c>
      <c r="CJ192" s="286">
        <f>CJ105</f>
        <v>0</v>
      </c>
    </row>
    <row r="193" spans="1:97" ht="30" x14ac:dyDescent="0.25">
      <c r="A193" s="102"/>
      <c r="B193" s="354" t="s">
        <v>1759</v>
      </c>
      <c r="C193" s="95" t="s">
        <v>1767</v>
      </c>
      <c r="D193" s="101"/>
      <c r="E193" s="103"/>
      <c r="F193" s="103"/>
      <c r="G193" s="103"/>
      <c r="H193" s="103"/>
      <c r="I193" s="103">
        <v>105634</v>
      </c>
      <c r="J193" s="103">
        <f>J194+J195</f>
        <v>111166</v>
      </c>
      <c r="K193" s="103">
        <f>K194+K195</f>
        <v>109373</v>
      </c>
      <c r="L193" s="103">
        <f t="shared" ref="L193:N193" si="212">L194+L195</f>
        <v>1724</v>
      </c>
      <c r="M193" s="103">
        <f t="shared" si="212"/>
        <v>1233</v>
      </c>
      <c r="N193" s="103">
        <f t="shared" si="212"/>
        <v>1357</v>
      </c>
      <c r="O193" s="286"/>
      <c r="P193" s="286">
        <f t="shared" si="208"/>
        <v>110007</v>
      </c>
      <c r="Q193" s="358">
        <f t="shared" si="208"/>
        <v>105652</v>
      </c>
      <c r="R193" s="286">
        <f>R194+R195</f>
        <v>2067</v>
      </c>
      <c r="S193" s="286">
        <f>S194+S195</f>
        <v>1922</v>
      </c>
      <c r="T193" s="286"/>
      <c r="U193" s="286">
        <f>U194+U195</f>
        <v>1728</v>
      </c>
      <c r="V193" s="286">
        <f>V194+V195</f>
        <v>1524</v>
      </c>
      <c r="W193" s="286"/>
      <c r="X193" s="286">
        <f>X194+X195</f>
        <v>1904</v>
      </c>
      <c r="Y193" s="286">
        <f>Y194+Y195</f>
        <v>1795</v>
      </c>
      <c r="Z193" s="286"/>
      <c r="AA193" s="286">
        <f>AA194+AA195</f>
        <v>2367</v>
      </c>
      <c r="AB193" s="286">
        <f>AB194+AB195</f>
        <v>2161</v>
      </c>
      <c r="AC193" s="286"/>
      <c r="AD193" s="286">
        <f>AD194+AD195</f>
        <v>1968</v>
      </c>
      <c r="AE193" s="286">
        <f>AE194+AE195</f>
        <v>1846</v>
      </c>
      <c r="AF193" s="286"/>
      <c r="AG193" s="286">
        <f>AG194+AG195</f>
        <v>1599</v>
      </c>
      <c r="AH193" s="286">
        <f>AH194+AH195</f>
        <v>1502</v>
      </c>
      <c r="AI193" s="286"/>
      <c r="AJ193" s="286">
        <f>AJ194+AJ195</f>
        <v>2482</v>
      </c>
      <c r="AK193" s="286">
        <f>AK194+AK195</f>
        <v>2302</v>
      </c>
      <c r="AL193" s="286"/>
      <c r="AM193" s="286">
        <f>AM194+AM195</f>
        <v>7456</v>
      </c>
      <c r="AN193" s="286">
        <f>AN194+AN195</f>
        <v>6555</v>
      </c>
      <c r="AO193" s="286"/>
      <c r="AP193" s="286">
        <f>AP194+AP195</f>
        <v>936</v>
      </c>
      <c r="AQ193" s="286">
        <f>AQ194+AQ195</f>
        <v>1792</v>
      </c>
      <c r="AR193" s="286"/>
      <c r="AS193" s="286">
        <f>AS194+AS195</f>
        <v>7813</v>
      </c>
      <c r="AT193" s="286">
        <f>AT194+AT195</f>
        <v>7716</v>
      </c>
      <c r="AU193" s="286"/>
      <c r="AV193" s="286">
        <f>AV194+AV195</f>
        <v>2230</v>
      </c>
      <c r="AW193" s="286">
        <f>AW194+AW195</f>
        <v>1948</v>
      </c>
      <c r="AX193" s="286"/>
      <c r="AY193" s="286">
        <f>AY194+AY195</f>
        <v>2991</v>
      </c>
      <c r="AZ193" s="286">
        <f>AZ194+AZ195</f>
        <v>2615</v>
      </c>
      <c r="BA193" s="286"/>
      <c r="BB193" s="286">
        <f>BB194+BB195</f>
        <v>7019</v>
      </c>
      <c r="BC193" s="286">
        <f>BC194+BC195</f>
        <v>6506</v>
      </c>
      <c r="BD193" s="286"/>
      <c r="BE193" s="286">
        <f>BE194+BE195</f>
        <v>18521</v>
      </c>
      <c r="BF193" s="286">
        <f>BF194+BF195</f>
        <v>18224</v>
      </c>
      <c r="BG193" s="286"/>
      <c r="BH193" s="286">
        <f>BH194+BH195</f>
        <v>29471</v>
      </c>
      <c r="BI193" s="286">
        <f>BI194+BI195</f>
        <v>29737</v>
      </c>
      <c r="BJ193" s="286"/>
      <c r="BK193" s="286">
        <f>BK194+BK195</f>
        <v>2830</v>
      </c>
      <c r="BL193" s="286">
        <f>BL194+BL195</f>
        <v>2546</v>
      </c>
      <c r="BM193" s="286"/>
      <c r="BN193" s="286">
        <f>BN194+BN195</f>
        <v>2475</v>
      </c>
      <c r="BO193" s="286">
        <f>BO194+BO195</f>
        <v>2282</v>
      </c>
      <c r="BP193" s="286"/>
      <c r="BQ193" s="286">
        <f>BQ194+BQ195</f>
        <v>3957</v>
      </c>
      <c r="BR193" s="286">
        <f>BR194+BR195</f>
        <v>3162</v>
      </c>
      <c r="BS193" s="286"/>
      <c r="BT193" s="286">
        <f>BT194+BT195</f>
        <v>4139</v>
      </c>
      <c r="BU193" s="286">
        <f>BU194+BU195</f>
        <v>4009</v>
      </c>
      <c r="BV193" s="286"/>
      <c r="BW193" s="286">
        <f>BW194+BW195</f>
        <v>1027</v>
      </c>
      <c r="BX193" s="286">
        <f>BX194+BX195</f>
        <v>870</v>
      </c>
      <c r="BY193" s="286"/>
      <c r="BZ193" s="286">
        <f>BZ194+BZ195</f>
        <v>2420</v>
      </c>
      <c r="CA193" s="286">
        <f>CA194+CA195</f>
        <v>2252</v>
      </c>
      <c r="CB193" s="286"/>
      <c r="CC193" s="286">
        <f>CC194+CC195</f>
        <v>2607</v>
      </c>
      <c r="CD193" s="286">
        <f>CD194+CD195</f>
        <v>2386</v>
      </c>
      <c r="CE193" s="286"/>
      <c r="CF193" s="286">
        <f>CF194+CF195</f>
        <v>0</v>
      </c>
      <c r="CG193" s="286">
        <f>CG194+CG195</f>
        <v>0</v>
      </c>
      <c r="CH193" s="286"/>
      <c r="CI193" s="286">
        <f>CI194+CI195</f>
        <v>0</v>
      </c>
      <c r="CJ193" s="286">
        <f>CJ194+CJ195</f>
        <v>0</v>
      </c>
    </row>
    <row r="194" spans="1:97" x14ac:dyDescent="0.25">
      <c r="A194" s="102"/>
      <c r="B194" s="91" t="s">
        <v>1183</v>
      </c>
      <c r="C194" s="95"/>
      <c r="D194" s="101" t="s">
        <v>950</v>
      </c>
      <c r="E194" s="103"/>
      <c r="F194" s="103"/>
      <c r="G194" s="103"/>
      <c r="H194" s="103"/>
      <c r="I194" s="103"/>
      <c r="J194" s="103">
        <f>J100</f>
        <v>103580</v>
      </c>
      <c r="K194" s="103">
        <f>K100</f>
        <v>101563</v>
      </c>
      <c r="L194" s="103">
        <f t="shared" ref="L194:N194" si="213">L100</f>
        <v>965</v>
      </c>
      <c r="M194" s="103">
        <f t="shared" si="213"/>
        <v>617</v>
      </c>
      <c r="N194" s="103">
        <f t="shared" si="213"/>
        <v>698</v>
      </c>
      <c r="O194" s="286"/>
      <c r="P194" s="286">
        <f>R194+U194+X194+AA194+AD194+AG194+AJ194+AM194+AP194+AS194+AV194+AY194+BB194+BE194+BH194+BK194+BN194+BQ194+BT194+BW194+BZ194+CC194+CF194+CI194</f>
        <v>102815</v>
      </c>
      <c r="Q194" s="286">
        <f>S194+V194+Y194+AB194+AE194+AH194+AK194+AN194+AQ194+AT194+AW194+AZ194+BC194+BF194+BI194+BL194+BO194+BR194+BU194+BX194+CA194+CD194+CG194+CJ194</f>
        <v>99152</v>
      </c>
      <c r="R194" s="286">
        <f>R100</f>
        <v>1387</v>
      </c>
      <c r="S194" s="286">
        <f>S100</f>
        <v>1267</v>
      </c>
      <c r="T194" s="286"/>
      <c r="U194" s="286">
        <f>U100</f>
        <v>979</v>
      </c>
      <c r="V194" s="286">
        <f>V100</f>
        <v>856</v>
      </c>
      <c r="W194" s="286"/>
      <c r="X194" s="286">
        <f>X100</f>
        <v>1333</v>
      </c>
      <c r="Y194" s="286">
        <f>Y100</f>
        <v>1219</v>
      </c>
      <c r="Z194" s="286"/>
      <c r="AA194" s="286">
        <f>AA100</f>
        <v>1428</v>
      </c>
      <c r="AB194" s="286">
        <f>AB100</f>
        <v>1269</v>
      </c>
      <c r="AC194" s="286"/>
      <c r="AD194" s="286">
        <f>AD100</f>
        <v>1862</v>
      </c>
      <c r="AE194" s="286">
        <f>AE100</f>
        <v>1454</v>
      </c>
      <c r="AF194" s="286"/>
      <c r="AG194" s="286">
        <f>AG100</f>
        <v>875</v>
      </c>
      <c r="AH194" s="286">
        <f>AH100</f>
        <v>817</v>
      </c>
      <c r="AI194" s="286"/>
      <c r="AJ194" s="286">
        <f>AJ100</f>
        <v>2367</v>
      </c>
      <c r="AK194" s="286">
        <f>AK100</f>
        <v>2198</v>
      </c>
      <c r="AL194" s="286"/>
      <c r="AM194" s="286">
        <f>AM100</f>
        <v>5084</v>
      </c>
      <c r="AN194" s="286">
        <f>AN100</f>
        <v>4923</v>
      </c>
      <c r="AO194" s="286"/>
      <c r="AP194" s="286">
        <f>AP100</f>
        <v>0</v>
      </c>
      <c r="AQ194" s="286">
        <f>AQ100</f>
        <v>896</v>
      </c>
      <c r="AR194" s="286"/>
      <c r="AS194" s="286">
        <f>AS100</f>
        <v>7813</v>
      </c>
      <c r="AT194" s="286">
        <f>AT100</f>
        <v>7716</v>
      </c>
      <c r="AU194" s="286"/>
      <c r="AV194" s="286">
        <f>AV100</f>
        <v>2230</v>
      </c>
      <c r="AW194" s="286">
        <f>AW100</f>
        <v>1948</v>
      </c>
      <c r="AX194" s="286"/>
      <c r="AY194" s="286">
        <f>AY100</f>
        <v>2991</v>
      </c>
      <c r="AZ194" s="286">
        <f>AZ100</f>
        <v>2615</v>
      </c>
      <c r="BA194" s="286"/>
      <c r="BB194" s="286">
        <f>BB100</f>
        <v>7019</v>
      </c>
      <c r="BC194" s="286">
        <f>BC100</f>
        <v>6506</v>
      </c>
      <c r="BD194" s="286"/>
      <c r="BE194" s="286">
        <f>BE100</f>
        <v>18521</v>
      </c>
      <c r="BF194" s="286">
        <f>BF100</f>
        <v>18224</v>
      </c>
      <c r="BG194" s="286"/>
      <c r="BH194" s="286">
        <f>BH100</f>
        <v>29471</v>
      </c>
      <c r="BI194" s="286">
        <f>BI100</f>
        <v>29737</v>
      </c>
      <c r="BJ194" s="286"/>
      <c r="BK194" s="286">
        <f>BK100</f>
        <v>2830</v>
      </c>
      <c r="BL194" s="286">
        <f>BL100</f>
        <v>2546</v>
      </c>
      <c r="BM194" s="286"/>
      <c r="BN194" s="286">
        <f>BN100</f>
        <v>2475</v>
      </c>
      <c r="BO194" s="286">
        <f>BO100</f>
        <v>2282</v>
      </c>
      <c r="BP194" s="286"/>
      <c r="BQ194" s="286">
        <f>BQ100</f>
        <v>3957</v>
      </c>
      <c r="BR194" s="286">
        <f>BR100</f>
        <v>3162</v>
      </c>
      <c r="BS194" s="286"/>
      <c r="BT194" s="286">
        <f>BT100</f>
        <v>4139</v>
      </c>
      <c r="BU194" s="286">
        <f>BU100</f>
        <v>4009</v>
      </c>
      <c r="BV194" s="286"/>
      <c r="BW194" s="286">
        <f>BW100</f>
        <v>1027</v>
      </c>
      <c r="BX194" s="286">
        <f>BX100</f>
        <v>870</v>
      </c>
      <c r="BY194" s="286"/>
      <c r="BZ194" s="286">
        <f>BZ100</f>
        <v>2420</v>
      </c>
      <c r="CA194" s="286">
        <f>CA100</f>
        <v>2252</v>
      </c>
      <c r="CB194" s="286"/>
      <c r="CC194" s="286">
        <f>CC100</f>
        <v>2607</v>
      </c>
      <c r="CD194" s="286">
        <f>CD100</f>
        <v>2386</v>
      </c>
      <c r="CE194" s="286"/>
      <c r="CF194" s="286">
        <f>CF100</f>
        <v>0</v>
      </c>
      <c r="CG194" s="286">
        <f>CG100</f>
        <v>0</v>
      </c>
      <c r="CH194" s="286"/>
      <c r="CI194" s="286">
        <f>CI100</f>
        <v>0</v>
      </c>
      <c r="CJ194" s="286">
        <f>CJ100</f>
        <v>0</v>
      </c>
    </row>
    <row r="195" spans="1:97" x14ac:dyDescent="0.25">
      <c r="A195" s="102"/>
      <c r="B195" s="91" t="s">
        <v>1185</v>
      </c>
      <c r="C195" s="95"/>
      <c r="D195" s="101" t="s">
        <v>950</v>
      </c>
      <c r="E195" s="103"/>
      <c r="F195" s="103"/>
      <c r="G195" s="103"/>
      <c r="H195" s="103"/>
      <c r="I195" s="103"/>
      <c r="J195" s="103">
        <f>J106+J109</f>
        <v>7586</v>
      </c>
      <c r="K195" s="103">
        <f>K106+K109</f>
        <v>7810</v>
      </c>
      <c r="L195" s="103">
        <f t="shared" ref="L195:N195" si="214">L106+L109</f>
        <v>759</v>
      </c>
      <c r="M195" s="103">
        <f t="shared" si="214"/>
        <v>616</v>
      </c>
      <c r="N195" s="103">
        <f t="shared" si="214"/>
        <v>659</v>
      </c>
      <c r="O195" s="286"/>
      <c r="P195" s="286">
        <f>R195+U195+X195+AA195+AD195+AG195+AJ195+AM195+AP195+AS195+AV195+AY195+BB195+BE195+BH195+BK195+BN195+BQ195+BT195+BW195+BZ195+CC195+CF195+CI195</f>
        <v>7192</v>
      </c>
      <c r="Q195" s="286">
        <f>S195+V195+Y195+AB195+AE195+AH195+AK195+AN195+AQ195+AT195+AW195+AZ195+BC195+BF195+BI195+BL195+BO195+BR195+BU195+BX195+CA195+CD195+CG195+CJ195</f>
        <v>6500</v>
      </c>
      <c r="R195" s="286">
        <f>R106+R109</f>
        <v>680</v>
      </c>
      <c r="S195" s="286">
        <f>S106+S109</f>
        <v>655</v>
      </c>
      <c r="T195" s="286"/>
      <c r="U195" s="286">
        <f>U106+U109</f>
        <v>749</v>
      </c>
      <c r="V195" s="286">
        <f>V106+V109</f>
        <v>668</v>
      </c>
      <c r="W195" s="286"/>
      <c r="X195" s="286">
        <f>X106+X109</f>
        <v>571</v>
      </c>
      <c r="Y195" s="286">
        <f>Y106+Y109</f>
        <v>576</v>
      </c>
      <c r="Z195" s="286"/>
      <c r="AA195" s="286">
        <f>AA106+AA109</f>
        <v>939</v>
      </c>
      <c r="AB195" s="286">
        <f>AB106+AB109</f>
        <v>892</v>
      </c>
      <c r="AC195" s="286"/>
      <c r="AD195" s="286">
        <f>AD106+AD109</f>
        <v>106</v>
      </c>
      <c r="AE195" s="286">
        <f>AE106+AE109</f>
        <v>392</v>
      </c>
      <c r="AF195" s="286"/>
      <c r="AG195" s="286">
        <f>AG106+AG109</f>
        <v>724</v>
      </c>
      <c r="AH195" s="286">
        <f>AH106+AH109</f>
        <v>685</v>
      </c>
      <c r="AI195" s="286"/>
      <c r="AJ195" s="286">
        <f>AJ106+AJ109</f>
        <v>115</v>
      </c>
      <c r="AK195" s="286">
        <f>AK106+AK109</f>
        <v>104</v>
      </c>
      <c r="AL195" s="286"/>
      <c r="AM195" s="286">
        <f>AM106+AM109</f>
        <v>2372</v>
      </c>
      <c r="AN195" s="286">
        <f>AN106+AN109</f>
        <v>1632</v>
      </c>
      <c r="AO195" s="286"/>
      <c r="AP195" s="286">
        <f>AP106+AP109</f>
        <v>936</v>
      </c>
      <c r="AQ195" s="286">
        <f>AQ106+AQ109</f>
        <v>896</v>
      </c>
      <c r="AR195" s="286"/>
      <c r="AS195" s="286">
        <f>AS106+AS109</f>
        <v>0</v>
      </c>
      <c r="AT195" s="286">
        <f>AT106+AT109</f>
        <v>0</v>
      </c>
      <c r="AU195" s="286"/>
      <c r="AV195" s="286">
        <f>AV106+AV109</f>
        <v>0</v>
      </c>
      <c r="AW195" s="286">
        <f>AW106+AW109</f>
        <v>0</v>
      </c>
      <c r="AX195" s="286"/>
      <c r="AY195" s="286">
        <f>AY106+AY109</f>
        <v>0</v>
      </c>
      <c r="AZ195" s="286">
        <f>AZ106+AZ109</f>
        <v>0</v>
      </c>
      <c r="BA195" s="286"/>
      <c r="BB195" s="286">
        <f>BB106+BB109</f>
        <v>0</v>
      </c>
      <c r="BC195" s="286">
        <f>BC106+BC109</f>
        <v>0</v>
      </c>
      <c r="BD195" s="286"/>
      <c r="BE195" s="286">
        <f>BE106+BE109</f>
        <v>0</v>
      </c>
      <c r="BF195" s="286">
        <f>BF106+BF109</f>
        <v>0</v>
      </c>
      <c r="BG195" s="286"/>
      <c r="BH195" s="286">
        <f>BH106+BH109</f>
        <v>0</v>
      </c>
      <c r="BI195" s="286">
        <f>BI106+BI109</f>
        <v>0</v>
      </c>
      <c r="BJ195" s="286"/>
      <c r="BK195" s="286">
        <f>BK106+BK109</f>
        <v>0</v>
      </c>
      <c r="BL195" s="286">
        <f>BL106+BL109</f>
        <v>0</v>
      </c>
      <c r="BM195" s="286"/>
      <c r="BN195" s="286">
        <f>BN106+BN109</f>
        <v>0</v>
      </c>
      <c r="BO195" s="286">
        <f>BO106+BO109</f>
        <v>0</v>
      </c>
      <c r="BP195" s="286"/>
      <c r="BQ195" s="286">
        <f>BQ106+BQ109</f>
        <v>0</v>
      </c>
      <c r="BR195" s="286">
        <f>BR106+BR109</f>
        <v>0</v>
      </c>
      <c r="BS195" s="286"/>
      <c r="BT195" s="286">
        <f>BT106+BT109</f>
        <v>0</v>
      </c>
      <c r="BU195" s="286">
        <f>BU106+BU109</f>
        <v>0</v>
      </c>
      <c r="BV195" s="286"/>
      <c r="BW195" s="286">
        <f>BW106+BW109</f>
        <v>0</v>
      </c>
      <c r="BX195" s="286">
        <f>BX106+BX109</f>
        <v>0</v>
      </c>
      <c r="BY195" s="286"/>
      <c r="BZ195" s="286">
        <f>BZ106+BZ109</f>
        <v>0</v>
      </c>
      <c r="CA195" s="286">
        <f>CA106+CA109</f>
        <v>0</v>
      </c>
      <c r="CB195" s="286"/>
      <c r="CC195" s="286">
        <f>CC106+CC109</f>
        <v>0</v>
      </c>
      <c r="CD195" s="286">
        <f>CD106+CD109</f>
        <v>0</v>
      </c>
      <c r="CE195" s="286"/>
      <c r="CF195" s="286">
        <f>CF106+CF109</f>
        <v>0</v>
      </c>
      <c r="CG195" s="286">
        <f>CG106+CG109</f>
        <v>0</v>
      </c>
      <c r="CH195" s="286"/>
      <c r="CI195" s="286">
        <f>CI106+CI109</f>
        <v>0</v>
      </c>
      <c r="CJ195" s="286">
        <f>CJ106+CJ109</f>
        <v>0</v>
      </c>
    </row>
    <row r="196" spans="1:97" ht="30" x14ac:dyDescent="0.25">
      <c r="A196" s="102"/>
      <c r="B196" s="354" t="s">
        <v>1760</v>
      </c>
      <c r="C196" s="95" t="s">
        <v>1768</v>
      </c>
      <c r="D196" s="101"/>
      <c r="E196" s="103"/>
      <c r="F196" s="103"/>
      <c r="G196" s="103"/>
      <c r="H196" s="103"/>
      <c r="I196" s="103">
        <v>311</v>
      </c>
      <c r="J196" s="103">
        <f>J197+J198</f>
        <v>225</v>
      </c>
      <c r="K196" s="103">
        <f>K197+K198</f>
        <v>665</v>
      </c>
      <c r="L196" s="103">
        <f t="shared" ref="L196:N196" si="215">L197+L198</f>
        <v>0</v>
      </c>
      <c r="M196" s="103">
        <f t="shared" si="215"/>
        <v>0</v>
      </c>
      <c r="N196" s="103">
        <f t="shared" si="215"/>
        <v>0</v>
      </c>
      <c r="O196" s="286"/>
      <c r="P196" s="286">
        <f t="shared" si="208"/>
        <v>117</v>
      </c>
      <c r="Q196" s="358">
        <f t="shared" si="208"/>
        <v>78</v>
      </c>
      <c r="R196" s="286">
        <f>R197+R198</f>
        <v>0</v>
      </c>
      <c r="S196" s="286">
        <f>S197+S198</f>
        <v>0</v>
      </c>
      <c r="T196" s="286"/>
      <c r="U196" s="286">
        <f>U197+U198</f>
        <v>0</v>
      </c>
      <c r="V196" s="286">
        <f>V197+V198</f>
        <v>0</v>
      </c>
      <c r="W196" s="286"/>
      <c r="X196" s="286">
        <f>X197+X198</f>
        <v>0</v>
      </c>
      <c r="Y196" s="286">
        <f>Y197+Y198</f>
        <v>0</v>
      </c>
      <c r="Z196" s="286"/>
      <c r="AA196" s="286">
        <f>AA197+AA198</f>
        <v>0</v>
      </c>
      <c r="AB196" s="286">
        <f>AB197+AB198</f>
        <v>0</v>
      </c>
      <c r="AC196" s="286"/>
      <c r="AD196" s="286">
        <f>AD197+AD198</f>
        <v>117</v>
      </c>
      <c r="AE196" s="286">
        <f>AE197+AE198</f>
        <v>78</v>
      </c>
      <c r="AF196" s="286"/>
      <c r="AG196" s="286">
        <f>AG197+AG198</f>
        <v>0</v>
      </c>
      <c r="AH196" s="286">
        <f>AH197+AH198</f>
        <v>0</v>
      </c>
      <c r="AI196" s="286"/>
      <c r="AJ196" s="286">
        <f>AJ197+AJ198</f>
        <v>0</v>
      </c>
      <c r="AK196" s="286">
        <f>AK197+AK198</f>
        <v>0</v>
      </c>
      <c r="AL196" s="286"/>
      <c r="AM196" s="286">
        <f>AM197+AM198</f>
        <v>0</v>
      </c>
      <c r="AN196" s="286">
        <f>AN197+AN198</f>
        <v>0</v>
      </c>
      <c r="AO196" s="286"/>
      <c r="AP196" s="286">
        <f>AP197+AP198</f>
        <v>0</v>
      </c>
      <c r="AQ196" s="286">
        <f>AQ197+AQ198</f>
        <v>0</v>
      </c>
      <c r="AR196" s="286"/>
      <c r="AS196" s="286">
        <f>AS197+AS198</f>
        <v>0</v>
      </c>
      <c r="AT196" s="286">
        <f>AT197+AT198</f>
        <v>0</v>
      </c>
      <c r="AU196" s="286"/>
      <c r="AV196" s="286">
        <f>AV197+AV198</f>
        <v>0</v>
      </c>
      <c r="AW196" s="286">
        <f>AW197+AW198</f>
        <v>0</v>
      </c>
      <c r="AX196" s="286"/>
      <c r="AY196" s="286">
        <f>AY197+AY198</f>
        <v>0</v>
      </c>
      <c r="AZ196" s="286">
        <f>AZ197+AZ198</f>
        <v>0</v>
      </c>
      <c r="BA196" s="286"/>
      <c r="BB196" s="286">
        <f>BB197+BB198</f>
        <v>0</v>
      </c>
      <c r="BC196" s="286">
        <f>BC197+BC198</f>
        <v>0</v>
      </c>
      <c r="BD196" s="286"/>
      <c r="BE196" s="286">
        <f>BE197+BE198</f>
        <v>0</v>
      </c>
      <c r="BF196" s="286">
        <f>BF197+BF198</f>
        <v>0</v>
      </c>
      <c r="BG196" s="286"/>
      <c r="BH196" s="286">
        <f>BH197+BH198</f>
        <v>0</v>
      </c>
      <c r="BI196" s="286">
        <f>BI197+BI198</f>
        <v>0</v>
      </c>
      <c r="BJ196" s="286"/>
      <c r="BK196" s="286">
        <f>BK197+BK198</f>
        <v>0</v>
      </c>
      <c r="BL196" s="286">
        <f>BL197+BL198</f>
        <v>0</v>
      </c>
      <c r="BM196" s="286"/>
      <c r="BN196" s="286">
        <f>BN197+BN198</f>
        <v>0</v>
      </c>
      <c r="BO196" s="286">
        <f>BO197+BO198</f>
        <v>0</v>
      </c>
      <c r="BP196" s="286"/>
      <c r="BQ196" s="286">
        <f>BQ197+BQ198</f>
        <v>0</v>
      </c>
      <c r="BR196" s="286">
        <f>BR197+BR198</f>
        <v>0</v>
      </c>
      <c r="BS196" s="286"/>
      <c r="BT196" s="286">
        <f>BT197+BT198</f>
        <v>0</v>
      </c>
      <c r="BU196" s="286">
        <f>BU197+BU198</f>
        <v>0</v>
      </c>
      <c r="BV196" s="286"/>
      <c r="BW196" s="286">
        <f>BW197+BW198</f>
        <v>0</v>
      </c>
      <c r="BX196" s="286">
        <f>BX197+BX198</f>
        <v>0</v>
      </c>
      <c r="BY196" s="286"/>
      <c r="BZ196" s="286">
        <f>BZ197+BZ198</f>
        <v>0</v>
      </c>
      <c r="CA196" s="286">
        <f>CA197+CA198</f>
        <v>0</v>
      </c>
      <c r="CB196" s="286"/>
      <c r="CC196" s="286">
        <f>CC197+CC198</f>
        <v>0</v>
      </c>
      <c r="CD196" s="286">
        <f>CD197+CD198</f>
        <v>0</v>
      </c>
      <c r="CE196" s="286"/>
      <c r="CF196" s="286">
        <f>CF197+CF198</f>
        <v>0</v>
      </c>
      <c r="CG196" s="286">
        <f>CG197+CG198</f>
        <v>0</v>
      </c>
      <c r="CH196" s="286"/>
      <c r="CI196" s="286">
        <f>CI197+CI198</f>
        <v>0</v>
      </c>
      <c r="CJ196" s="286">
        <f>CJ197+CJ198</f>
        <v>0</v>
      </c>
    </row>
    <row r="197" spans="1:97" x14ac:dyDescent="0.25">
      <c r="A197" s="102"/>
      <c r="B197" s="91" t="s">
        <v>1183</v>
      </c>
      <c r="C197" s="95"/>
      <c r="D197" s="101" t="s">
        <v>950</v>
      </c>
      <c r="E197" s="103"/>
      <c r="F197" s="103"/>
      <c r="G197" s="103"/>
      <c r="H197" s="103"/>
      <c r="I197" s="103"/>
      <c r="J197" s="103">
        <f>J101</f>
        <v>225</v>
      </c>
      <c r="K197" s="103">
        <f>K101</f>
        <v>595</v>
      </c>
      <c r="L197" s="103">
        <f t="shared" ref="L197:N197" si="216">L101</f>
        <v>0</v>
      </c>
      <c r="M197" s="103">
        <f t="shared" si="216"/>
        <v>0</v>
      </c>
      <c r="N197" s="103">
        <f t="shared" si="216"/>
        <v>0</v>
      </c>
      <c r="O197" s="286"/>
      <c r="P197" s="286">
        <f t="shared" si="208"/>
        <v>117</v>
      </c>
      <c r="Q197" s="286">
        <f t="shared" si="208"/>
        <v>78</v>
      </c>
      <c r="R197" s="286">
        <f>R101</f>
        <v>0</v>
      </c>
      <c r="S197" s="286">
        <f>S101</f>
        <v>0</v>
      </c>
      <c r="T197" s="286"/>
      <c r="U197" s="286">
        <f>U101</f>
        <v>0</v>
      </c>
      <c r="V197" s="286">
        <f>V101</f>
        <v>0</v>
      </c>
      <c r="W197" s="286"/>
      <c r="X197" s="286">
        <f>X101</f>
        <v>0</v>
      </c>
      <c r="Y197" s="286">
        <f>Y101</f>
        <v>0</v>
      </c>
      <c r="Z197" s="286"/>
      <c r="AA197" s="286">
        <f>AA101</f>
        <v>0</v>
      </c>
      <c r="AB197" s="286">
        <f>AB101</f>
        <v>0</v>
      </c>
      <c r="AC197" s="286"/>
      <c r="AD197" s="286">
        <f>AD101</f>
        <v>117</v>
      </c>
      <c r="AE197" s="286">
        <f>AE101</f>
        <v>78</v>
      </c>
      <c r="AF197" s="286"/>
      <c r="AG197" s="286">
        <f>AG101</f>
        <v>0</v>
      </c>
      <c r="AH197" s="286">
        <f>AH101</f>
        <v>0</v>
      </c>
      <c r="AI197" s="286"/>
      <c r="AJ197" s="286">
        <f>AJ101</f>
        <v>0</v>
      </c>
      <c r="AK197" s="286">
        <f>AK101</f>
        <v>0</v>
      </c>
      <c r="AL197" s="286"/>
      <c r="AM197" s="286">
        <f>AM101</f>
        <v>0</v>
      </c>
      <c r="AN197" s="286">
        <f>AN101</f>
        <v>0</v>
      </c>
      <c r="AO197" s="286"/>
      <c r="AP197" s="286">
        <f>AP101</f>
        <v>0</v>
      </c>
      <c r="AQ197" s="286">
        <f>AQ101</f>
        <v>0</v>
      </c>
      <c r="AR197" s="286"/>
      <c r="AS197" s="286">
        <f>AS101</f>
        <v>0</v>
      </c>
      <c r="AT197" s="286">
        <f>AT101</f>
        <v>0</v>
      </c>
      <c r="AU197" s="286"/>
      <c r="AV197" s="286">
        <f>AV101</f>
        <v>0</v>
      </c>
      <c r="AW197" s="286">
        <f>AW101</f>
        <v>0</v>
      </c>
      <c r="AX197" s="286"/>
      <c r="AY197" s="286">
        <f>AY101</f>
        <v>0</v>
      </c>
      <c r="AZ197" s="286">
        <f>AZ101</f>
        <v>0</v>
      </c>
      <c r="BA197" s="286"/>
      <c r="BB197" s="286">
        <f>BB101</f>
        <v>0</v>
      </c>
      <c r="BC197" s="286">
        <f>BC101</f>
        <v>0</v>
      </c>
      <c r="BD197" s="286"/>
      <c r="BE197" s="286">
        <f>BE101</f>
        <v>0</v>
      </c>
      <c r="BF197" s="286">
        <f>BF101</f>
        <v>0</v>
      </c>
      <c r="BG197" s="286"/>
      <c r="BH197" s="286">
        <f>BH101</f>
        <v>0</v>
      </c>
      <c r="BI197" s="286">
        <f>BI101</f>
        <v>0</v>
      </c>
      <c r="BJ197" s="286"/>
      <c r="BK197" s="286">
        <f>BK101</f>
        <v>0</v>
      </c>
      <c r="BL197" s="286">
        <f>BL101</f>
        <v>0</v>
      </c>
      <c r="BM197" s="286"/>
      <c r="BN197" s="286">
        <f>BN101</f>
        <v>0</v>
      </c>
      <c r="BO197" s="286">
        <f>BO101</f>
        <v>0</v>
      </c>
      <c r="BP197" s="286"/>
      <c r="BQ197" s="286">
        <f>BQ101</f>
        <v>0</v>
      </c>
      <c r="BR197" s="286">
        <f>BR101</f>
        <v>0</v>
      </c>
      <c r="BS197" s="286"/>
      <c r="BT197" s="286">
        <f>BT101</f>
        <v>0</v>
      </c>
      <c r="BU197" s="286">
        <f>BU101</f>
        <v>0</v>
      </c>
      <c r="BV197" s="286"/>
      <c r="BW197" s="286">
        <f>BW101</f>
        <v>0</v>
      </c>
      <c r="BX197" s="286">
        <f>BX101</f>
        <v>0</v>
      </c>
      <c r="BY197" s="286"/>
      <c r="BZ197" s="286">
        <f>BZ101</f>
        <v>0</v>
      </c>
      <c r="CA197" s="286">
        <f>CA101</f>
        <v>0</v>
      </c>
      <c r="CB197" s="286"/>
      <c r="CC197" s="286">
        <f>CC101</f>
        <v>0</v>
      </c>
      <c r="CD197" s="286">
        <f>CD101</f>
        <v>0</v>
      </c>
      <c r="CE197" s="286"/>
      <c r="CF197" s="286">
        <f>CF101</f>
        <v>0</v>
      </c>
      <c r="CG197" s="286">
        <f>CG101</f>
        <v>0</v>
      </c>
      <c r="CH197" s="286"/>
      <c r="CI197" s="286">
        <f>CI101</f>
        <v>0</v>
      </c>
      <c r="CJ197" s="286">
        <f>CJ101</f>
        <v>0</v>
      </c>
    </row>
    <row r="198" spans="1:97" x14ac:dyDescent="0.25">
      <c r="A198" s="102"/>
      <c r="B198" s="91" t="s">
        <v>1185</v>
      </c>
      <c r="C198" s="95"/>
      <c r="D198" s="101" t="s">
        <v>950</v>
      </c>
      <c r="E198" s="103"/>
      <c r="F198" s="103"/>
      <c r="G198" s="103"/>
      <c r="H198" s="103"/>
      <c r="I198" s="103"/>
      <c r="J198" s="103">
        <f>J107</f>
        <v>0</v>
      </c>
      <c r="K198" s="103">
        <f>K107</f>
        <v>70</v>
      </c>
      <c r="L198" s="103">
        <f t="shared" ref="L198:N198" si="217">L107</f>
        <v>0</v>
      </c>
      <c r="M198" s="103">
        <f t="shared" si="217"/>
        <v>0</v>
      </c>
      <c r="N198" s="103">
        <f t="shared" si="217"/>
        <v>0</v>
      </c>
      <c r="O198" s="286"/>
      <c r="P198" s="286">
        <f t="shared" si="208"/>
        <v>0</v>
      </c>
      <c r="Q198" s="286">
        <f t="shared" si="208"/>
        <v>0</v>
      </c>
      <c r="R198" s="286">
        <f>R107</f>
        <v>0</v>
      </c>
      <c r="S198" s="286">
        <f>S107</f>
        <v>0</v>
      </c>
      <c r="T198" s="286"/>
      <c r="U198" s="286">
        <f>U107</f>
        <v>0</v>
      </c>
      <c r="V198" s="286">
        <f>V107</f>
        <v>0</v>
      </c>
      <c r="W198" s="286"/>
      <c r="X198" s="286">
        <f>X107</f>
        <v>0</v>
      </c>
      <c r="Y198" s="286">
        <f>Y107</f>
        <v>0</v>
      </c>
      <c r="Z198" s="286"/>
      <c r="AA198" s="286">
        <f>AA107</f>
        <v>0</v>
      </c>
      <c r="AB198" s="286">
        <f>AB107</f>
        <v>0</v>
      </c>
      <c r="AC198" s="286"/>
      <c r="AD198" s="286">
        <f>AD107</f>
        <v>0</v>
      </c>
      <c r="AE198" s="286">
        <f>AE107</f>
        <v>0</v>
      </c>
      <c r="AF198" s="286"/>
      <c r="AG198" s="286">
        <f>AG107</f>
        <v>0</v>
      </c>
      <c r="AH198" s="286">
        <f>AH107</f>
        <v>0</v>
      </c>
      <c r="AI198" s="286"/>
      <c r="AJ198" s="286">
        <f>AJ107</f>
        <v>0</v>
      </c>
      <c r="AK198" s="286">
        <f>AK107</f>
        <v>0</v>
      </c>
      <c r="AL198" s="286"/>
      <c r="AM198" s="286">
        <f>AM107</f>
        <v>0</v>
      </c>
      <c r="AN198" s="286">
        <f>AN107</f>
        <v>0</v>
      </c>
      <c r="AO198" s="286"/>
      <c r="AP198" s="286">
        <f>AP107</f>
        <v>0</v>
      </c>
      <c r="AQ198" s="286">
        <f>AQ107</f>
        <v>0</v>
      </c>
      <c r="AR198" s="286"/>
      <c r="AS198" s="286">
        <f>AS107</f>
        <v>0</v>
      </c>
      <c r="AT198" s="286">
        <f>AT107</f>
        <v>0</v>
      </c>
      <c r="AU198" s="286"/>
      <c r="AV198" s="286">
        <f>AV107</f>
        <v>0</v>
      </c>
      <c r="AW198" s="286">
        <f>AW107</f>
        <v>0</v>
      </c>
      <c r="AX198" s="286"/>
      <c r="AY198" s="286">
        <f>AY107</f>
        <v>0</v>
      </c>
      <c r="AZ198" s="286">
        <f>AZ107</f>
        <v>0</v>
      </c>
      <c r="BA198" s="286"/>
      <c r="BB198" s="286">
        <f>BB107</f>
        <v>0</v>
      </c>
      <c r="BC198" s="286">
        <f>BC107</f>
        <v>0</v>
      </c>
      <c r="BD198" s="286"/>
      <c r="BE198" s="286">
        <f>BE107</f>
        <v>0</v>
      </c>
      <c r="BF198" s="286">
        <f>BF107</f>
        <v>0</v>
      </c>
      <c r="BG198" s="286"/>
      <c r="BH198" s="286">
        <f>BH107</f>
        <v>0</v>
      </c>
      <c r="BI198" s="286">
        <f>BI107</f>
        <v>0</v>
      </c>
      <c r="BJ198" s="286"/>
      <c r="BK198" s="286">
        <f>BK107</f>
        <v>0</v>
      </c>
      <c r="BL198" s="286">
        <f>BL107</f>
        <v>0</v>
      </c>
      <c r="BM198" s="286"/>
      <c r="BN198" s="286">
        <f>BN107</f>
        <v>0</v>
      </c>
      <c r="BO198" s="286">
        <f>BO107</f>
        <v>0</v>
      </c>
      <c r="BP198" s="286"/>
      <c r="BQ198" s="286">
        <f>BQ107</f>
        <v>0</v>
      </c>
      <c r="BR198" s="286">
        <f>BR107</f>
        <v>0</v>
      </c>
      <c r="BS198" s="286"/>
      <c r="BT198" s="286">
        <f>BT107</f>
        <v>0</v>
      </c>
      <c r="BU198" s="286">
        <f>BU107</f>
        <v>0</v>
      </c>
      <c r="BV198" s="286"/>
      <c r="BW198" s="286">
        <f>BW107</f>
        <v>0</v>
      </c>
      <c r="BX198" s="286">
        <f>BX107</f>
        <v>0</v>
      </c>
      <c r="BY198" s="286"/>
      <c r="BZ198" s="286">
        <f>BZ107</f>
        <v>0</v>
      </c>
      <c r="CA198" s="286">
        <f>CA107</f>
        <v>0</v>
      </c>
      <c r="CB198" s="286"/>
      <c r="CC198" s="286">
        <f>CC107</f>
        <v>0</v>
      </c>
      <c r="CD198" s="286">
        <f>CD107</f>
        <v>0</v>
      </c>
      <c r="CE198" s="286"/>
      <c r="CF198" s="286">
        <f>CF107</f>
        <v>0</v>
      </c>
      <c r="CG198" s="286">
        <f>CG107</f>
        <v>0</v>
      </c>
      <c r="CH198" s="286"/>
      <c r="CI198" s="286">
        <f>CI107</f>
        <v>0</v>
      </c>
      <c r="CJ198" s="286">
        <f>CJ107</f>
        <v>0</v>
      </c>
    </row>
    <row r="199" spans="1:97" ht="30" x14ac:dyDescent="0.25">
      <c r="A199" s="102"/>
      <c r="B199" s="354" t="s">
        <v>1761</v>
      </c>
      <c r="C199" s="95" t="s">
        <v>1769</v>
      </c>
      <c r="D199" s="101"/>
      <c r="E199" s="103"/>
      <c r="F199" s="103"/>
      <c r="G199" s="103"/>
      <c r="H199" s="103"/>
      <c r="I199" s="103">
        <v>2153</v>
      </c>
      <c r="J199" s="103">
        <f>J200+J201</f>
        <v>1748</v>
      </c>
      <c r="K199" s="103">
        <f>K200+K201</f>
        <v>2105</v>
      </c>
      <c r="L199" s="103">
        <f t="shared" ref="L199:N199" si="218">L200+L201</f>
        <v>87</v>
      </c>
      <c r="M199" s="103">
        <f t="shared" si="218"/>
        <v>147</v>
      </c>
      <c r="N199" s="103">
        <f t="shared" si="218"/>
        <v>248</v>
      </c>
      <c r="O199" s="286"/>
      <c r="P199" s="286">
        <f t="shared" si="208"/>
        <v>2187</v>
      </c>
      <c r="Q199" s="358">
        <f t="shared" si="208"/>
        <v>2913</v>
      </c>
      <c r="R199" s="286">
        <f>R200+R201</f>
        <v>63</v>
      </c>
      <c r="S199" s="286">
        <f>S200+S201</f>
        <v>0</v>
      </c>
      <c r="T199" s="286"/>
      <c r="U199" s="286">
        <f>U200+U201</f>
        <v>0</v>
      </c>
      <c r="V199" s="286">
        <f>V200+V201</f>
        <v>99</v>
      </c>
      <c r="W199" s="286"/>
      <c r="X199" s="286">
        <f>X200+X201</f>
        <v>125</v>
      </c>
      <c r="Y199" s="286">
        <f>Y200+Y201</f>
        <v>155</v>
      </c>
      <c r="Z199" s="286"/>
      <c r="AA199" s="286">
        <f>AA200+AA201</f>
        <v>0</v>
      </c>
      <c r="AB199" s="286">
        <f>AB200+AB201</f>
        <v>10</v>
      </c>
      <c r="AC199" s="286"/>
      <c r="AD199" s="286">
        <f>AD200+AD201</f>
        <v>191</v>
      </c>
      <c r="AE199" s="286">
        <f>AE200+AE201</f>
        <v>0</v>
      </c>
      <c r="AF199" s="286"/>
      <c r="AG199" s="286">
        <f>AG200+AG201</f>
        <v>112</v>
      </c>
      <c r="AH199" s="286">
        <f>AH200+AH201</f>
        <v>87</v>
      </c>
      <c r="AI199" s="286"/>
      <c r="AJ199" s="286">
        <f>AJ200+AJ201</f>
        <v>333</v>
      </c>
      <c r="AK199" s="286">
        <f>AK200+AK201</f>
        <v>335</v>
      </c>
      <c r="AL199" s="286"/>
      <c r="AM199" s="286">
        <f>AM200+AM201</f>
        <v>315</v>
      </c>
      <c r="AN199" s="286">
        <f>AN200+AN201</f>
        <v>794</v>
      </c>
      <c r="AO199" s="286"/>
      <c r="AP199" s="286">
        <f>AP200+AP201</f>
        <v>47</v>
      </c>
      <c r="AQ199" s="286">
        <f>AQ200+AQ201</f>
        <v>90</v>
      </c>
      <c r="AR199" s="286"/>
      <c r="AS199" s="286">
        <f>AS200+AS201</f>
        <v>0</v>
      </c>
      <c r="AT199" s="286">
        <f>AT200+AT201</f>
        <v>30</v>
      </c>
      <c r="AU199" s="286"/>
      <c r="AV199" s="286">
        <f>AV200+AV201</f>
        <v>17</v>
      </c>
      <c r="AW199" s="286">
        <f>AW200+AW201</f>
        <v>57</v>
      </c>
      <c r="AX199" s="286"/>
      <c r="AY199" s="286">
        <f>AY200+AY201</f>
        <v>359</v>
      </c>
      <c r="AZ199" s="286">
        <f>AZ200+AZ201</f>
        <v>453</v>
      </c>
      <c r="BA199" s="286"/>
      <c r="BB199" s="286">
        <f>BB200+BB201</f>
        <v>10</v>
      </c>
      <c r="BC199" s="286">
        <f>BC200+BC201</f>
        <v>0</v>
      </c>
      <c r="BD199" s="286"/>
      <c r="BE199" s="286">
        <f>BE200+BE201</f>
        <v>0</v>
      </c>
      <c r="BF199" s="286">
        <f>BF200+BF201</f>
        <v>0</v>
      </c>
      <c r="BG199" s="286"/>
      <c r="BH199" s="286">
        <f>BH200+BH201</f>
        <v>51</v>
      </c>
      <c r="BI199" s="286">
        <f>BI200+BI201</f>
        <v>119</v>
      </c>
      <c r="BJ199" s="286"/>
      <c r="BK199" s="286">
        <f>BK200+BK201</f>
        <v>46</v>
      </c>
      <c r="BL199" s="286">
        <f>BL200+BL201</f>
        <v>63</v>
      </c>
      <c r="BM199" s="286"/>
      <c r="BN199" s="286">
        <f>BN200+BN201</f>
        <v>0</v>
      </c>
      <c r="BO199" s="286">
        <f>BO200+BO201</f>
        <v>14</v>
      </c>
      <c r="BP199" s="286"/>
      <c r="BQ199" s="286">
        <f>BQ200+BQ201</f>
        <v>102</v>
      </c>
      <c r="BR199" s="286">
        <f>BR200+BR201</f>
        <v>99</v>
      </c>
      <c r="BS199" s="286"/>
      <c r="BT199" s="286">
        <f>BT200+BT201</f>
        <v>0</v>
      </c>
      <c r="BU199" s="286">
        <f>BU200+BU201</f>
        <v>0</v>
      </c>
      <c r="BV199" s="286"/>
      <c r="BW199" s="286">
        <f>BW200+BW201</f>
        <v>86</v>
      </c>
      <c r="BX199" s="286">
        <f>BX200+BX201</f>
        <v>180</v>
      </c>
      <c r="BY199" s="286"/>
      <c r="BZ199" s="286">
        <f>BZ200+BZ201</f>
        <v>208</v>
      </c>
      <c r="CA199" s="286">
        <f>CA200+CA201</f>
        <v>223</v>
      </c>
      <c r="CB199" s="286"/>
      <c r="CC199" s="286">
        <f>CC200+CC201</f>
        <v>30</v>
      </c>
      <c r="CD199" s="286">
        <f>CD200+CD201</f>
        <v>105</v>
      </c>
      <c r="CE199" s="286"/>
      <c r="CF199" s="286">
        <f>CF200+CF201</f>
        <v>0</v>
      </c>
      <c r="CG199" s="286">
        <f>CG200+CG201</f>
        <v>0</v>
      </c>
      <c r="CH199" s="286"/>
      <c r="CI199" s="286">
        <f>CI200+CI201</f>
        <v>92</v>
      </c>
      <c r="CJ199" s="286">
        <f>CJ200+CJ201</f>
        <v>0</v>
      </c>
    </row>
    <row r="200" spans="1:97" x14ac:dyDescent="0.25">
      <c r="A200" s="102"/>
      <c r="B200" s="91" t="s">
        <v>1183</v>
      </c>
      <c r="C200" s="95"/>
      <c r="D200" s="101" t="s">
        <v>950</v>
      </c>
      <c r="E200" s="103"/>
      <c r="F200" s="103"/>
      <c r="G200" s="103"/>
      <c r="H200" s="103"/>
      <c r="I200" s="103"/>
      <c r="J200" s="103">
        <f>J102</f>
        <v>1551</v>
      </c>
      <c r="K200" s="103">
        <f>K102</f>
        <v>1741</v>
      </c>
      <c r="L200" s="103">
        <f t="shared" ref="L200:N200" si="219">L102</f>
        <v>87</v>
      </c>
      <c r="M200" s="103">
        <f t="shared" si="219"/>
        <v>147</v>
      </c>
      <c r="N200" s="103">
        <f t="shared" si="219"/>
        <v>231</v>
      </c>
      <c r="O200" s="286"/>
      <c r="P200" s="286">
        <f>R200+U200+X200+AA200+AD200+AG200+AJ200+AM200+AP200+AS200+AV200+AY200+BB200+BE200+BH200+BK200+BN200+BQ200+BT200+BW200+BZ200+CC200+CF200+CI200</f>
        <v>1774</v>
      </c>
      <c r="Q200" s="286">
        <f>S200+V200+Y200+AB200+AE200+AH200+AK200+AN200+AQ200+AT200+AW200+AZ200+BC200+BF200+BI200+BL200+BO200+BR200+BU200+BX200+CA200+CD200+CG200+CJ200</f>
        <v>2349</v>
      </c>
      <c r="R200" s="286">
        <f>R102</f>
        <v>63</v>
      </c>
      <c r="S200" s="286">
        <f>S102</f>
        <v>0</v>
      </c>
      <c r="T200" s="286"/>
      <c r="U200" s="286">
        <f>U102</f>
        <v>0</v>
      </c>
      <c r="V200" s="286">
        <f>V102</f>
        <v>74</v>
      </c>
      <c r="W200" s="286"/>
      <c r="X200" s="286">
        <f>X102</f>
        <v>62</v>
      </c>
      <c r="Y200" s="286">
        <f>Y102</f>
        <v>105</v>
      </c>
      <c r="Z200" s="286"/>
      <c r="AA200" s="286">
        <f>AA102</f>
        <v>0</v>
      </c>
      <c r="AB200" s="286">
        <f>AB102</f>
        <v>10</v>
      </c>
      <c r="AC200" s="286"/>
      <c r="AD200" s="286">
        <f>AD102</f>
        <v>142</v>
      </c>
      <c r="AE200" s="286">
        <f>AE102</f>
        <v>0</v>
      </c>
      <c r="AF200" s="286"/>
      <c r="AG200" s="286">
        <f>AG102</f>
        <v>57</v>
      </c>
      <c r="AH200" s="286">
        <f>AH102</f>
        <v>87</v>
      </c>
      <c r="AI200" s="286"/>
      <c r="AJ200" s="286">
        <f>AJ102</f>
        <v>306</v>
      </c>
      <c r="AK200" s="286">
        <f>AK102</f>
        <v>310</v>
      </c>
      <c r="AL200" s="286"/>
      <c r="AM200" s="286">
        <f>AM102</f>
        <v>143</v>
      </c>
      <c r="AN200" s="286">
        <f>AN102</f>
        <v>375</v>
      </c>
      <c r="AO200" s="286"/>
      <c r="AP200" s="286">
        <f>AP102</f>
        <v>0</v>
      </c>
      <c r="AQ200" s="286">
        <f>AQ102</f>
        <v>45</v>
      </c>
      <c r="AR200" s="286"/>
      <c r="AS200" s="286">
        <f>AS102</f>
        <v>0</v>
      </c>
      <c r="AT200" s="286">
        <f>AT102</f>
        <v>30</v>
      </c>
      <c r="AU200" s="286"/>
      <c r="AV200" s="286">
        <f>AV102</f>
        <v>17</v>
      </c>
      <c r="AW200" s="286">
        <f>AW102</f>
        <v>57</v>
      </c>
      <c r="AX200" s="286"/>
      <c r="AY200" s="286">
        <f>AY102</f>
        <v>359</v>
      </c>
      <c r="AZ200" s="286">
        <f>AZ102</f>
        <v>453</v>
      </c>
      <c r="BA200" s="286"/>
      <c r="BB200" s="286">
        <f>BB102</f>
        <v>10</v>
      </c>
      <c r="BC200" s="286">
        <f>BC102</f>
        <v>0</v>
      </c>
      <c r="BD200" s="286"/>
      <c r="BE200" s="286">
        <f>BE102</f>
        <v>0</v>
      </c>
      <c r="BF200" s="286">
        <f>BF102</f>
        <v>0</v>
      </c>
      <c r="BG200" s="286"/>
      <c r="BH200" s="286">
        <f>BH102</f>
        <v>51</v>
      </c>
      <c r="BI200" s="286">
        <f>BI102</f>
        <v>119</v>
      </c>
      <c r="BJ200" s="286"/>
      <c r="BK200" s="286">
        <f>BK102</f>
        <v>46</v>
      </c>
      <c r="BL200" s="286">
        <f>BL102</f>
        <v>63</v>
      </c>
      <c r="BM200" s="286"/>
      <c r="BN200" s="286">
        <f>BN102</f>
        <v>0</v>
      </c>
      <c r="BO200" s="286">
        <f>BO102</f>
        <v>14</v>
      </c>
      <c r="BP200" s="286"/>
      <c r="BQ200" s="286">
        <f>BQ102</f>
        <v>102</v>
      </c>
      <c r="BR200" s="286">
        <f>BR102</f>
        <v>99</v>
      </c>
      <c r="BS200" s="286"/>
      <c r="BT200" s="286">
        <f>BT102</f>
        <v>0</v>
      </c>
      <c r="BU200" s="286">
        <f>BU102</f>
        <v>0</v>
      </c>
      <c r="BV200" s="286"/>
      <c r="BW200" s="286">
        <f>BW102</f>
        <v>86</v>
      </c>
      <c r="BX200" s="286">
        <f>BX102</f>
        <v>180</v>
      </c>
      <c r="BY200" s="286"/>
      <c r="BZ200" s="286">
        <f>BZ102</f>
        <v>208</v>
      </c>
      <c r="CA200" s="286">
        <f>CA102</f>
        <v>223</v>
      </c>
      <c r="CB200" s="286"/>
      <c r="CC200" s="286">
        <f>CC102</f>
        <v>30</v>
      </c>
      <c r="CD200" s="286">
        <f>CD102</f>
        <v>105</v>
      </c>
      <c r="CE200" s="286"/>
      <c r="CF200" s="286">
        <f>CF102</f>
        <v>0</v>
      </c>
      <c r="CG200" s="286">
        <f>CG102</f>
        <v>0</v>
      </c>
      <c r="CH200" s="286"/>
      <c r="CI200" s="286">
        <f>CI102</f>
        <v>92</v>
      </c>
      <c r="CJ200" s="286">
        <f>CJ102</f>
        <v>0</v>
      </c>
    </row>
    <row r="201" spans="1:97" x14ac:dyDescent="0.25">
      <c r="A201" s="102"/>
      <c r="B201" s="91" t="s">
        <v>1185</v>
      </c>
      <c r="C201" s="95"/>
      <c r="D201" s="101" t="s">
        <v>950</v>
      </c>
      <c r="E201" s="103"/>
      <c r="F201" s="103"/>
      <c r="G201" s="103"/>
      <c r="H201" s="103"/>
      <c r="I201" s="103"/>
      <c r="J201" s="103">
        <f>J108</f>
        <v>197</v>
      </c>
      <c r="K201" s="103">
        <f>K108</f>
        <v>364</v>
      </c>
      <c r="L201" s="103">
        <f t="shared" ref="L201:N201" si="220">L108</f>
        <v>0</v>
      </c>
      <c r="M201" s="103">
        <f t="shared" si="220"/>
        <v>0</v>
      </c>
      <c r="N201" s="103">
        <f t="shared" si="220"/>
        <v>17</v>
      </c>
      <c r="O201" s="286"/>
      <c r="P201" s="286">
        <f>R201+U201+X201+AA201+AD201+AG201+AJ201+AM201+AP201+AS201+AV201+AY201+BB201+BE201+BH201+BK201+BN201+BQ201+BT201+BW201+BZ201+CC201+CF201+CI201</f>
        <v>413</v>
      </c>
      <c r="Q201" s="286">
        <f>S201+V201+Y201+AB201+AE201+AH201+AK201+AN201+AQ201+AT201+AW201+AZ201+BC201+BF201+BI201+BL201+BO201+BR201+BU201+BX201+CA201+CD201+CG201+CJ201</f>
        <v>564</v>
      </c>
      <c r="R201" s="286">
        <f>R108</f>
        <v>0</v>
      </c>
      <c r="S201" s="286">
        <f>S108</f>
        <v>0</v>
      </c>
      <c r="T201" s="286"/>
      <c r="U201" s="286">
        <f>U108</f>
        <v>0</v>
      </c>
      <c r="V201" s="286">
        <f>V108</f>
        <v>25</v>
      </c>
      <c r="W201" s="286"/>
      <c r="X201" s="286">
        <f>X108</f>
        <v>63</v>
      </c>
      <c r="Y201" s="286">
        <f>Y108</f>
        <v>50</v>
      </c>
      <c r="Z201" s="286"/>
      <c r="AA201" s="286">
        <f>AA108</f>
        <v>0</v>
      </c>
      <c r="AB201" s="286">
        <f>AB108</f>
        <v>0</v>
      </c>
      <c r="AC201" s="286"/>
      <c r="AD201" s="286">
        <f>AD108</f>
        <v>49</v>
      </c>
      <c r="AE201" s="286">
        <f>AE108</f>
        <v>0</v>
      </c>
      <c r="AF201" s="286"/>
      <c r="AG201" s="286">
        <f>AG108</f>
        <v>55</v>
      </c>
      <c r="AH201" s="286">
        <f>AH108</f>
        <v>0</v>
      </c>
      <c r="AI201" s="286"/>
      <c r="AJ201" s="286">
        <f>AJ108</f>
        <v>27</v>
      </c>
      <c r="AK201" s="286">
        <f>AK108</f>
        <v>25</v>
      </c>
      <c r="AL201" s="286"/>
      <c r="AM201" s="286">
        <f>AM108</f>
        <v>172</v>
      </c>
      <c r="AN201" s="286">
        <f>AN108</f>
        <v>419</v>
      </c>
      <c r="AO201" s="286"/>
      <c r="AP201" s="286">
        <f>AP108</f>
        <v>47</v>
      </c>
      <c r="AQ201" s="286">
        <f>AQ108</f>
        <v>45</v>
      </c>
      <c r="AR201" s="286"/>
      <c r="AS201" s="286">
        <f>AS108</f>
        <v>0</v>
      </c>
      <c r="AT201" s="286">
        <f>AT108</f>
        <v>0</v>
      </c>
      <c r="AU201" s="286"/>
      <c r="AV201" s="286">
        <f>AV108</f>
        <v>0</v>
      </c>
      <c r="AW201" s="286">
        <f>AW108</f>
        <v>0</v>
      </c>
      <c r="AX201" s="286"/>
      <c r="AY201" s="286">
        <f>AY108</f>
        <v>0</v>
      </c>
      <c r="AZ201" s="286">
        <f>AZ108</f>
        <v>0</v>
      </c>
      <c r="BA201" s="286"/>
      <c r="BB201" s="286">
        <f>BB108</f>
        <v>0</v>
      </c>
      <c r="BC201" s="286">
        <f>BC108</f>
        <v>0</v>
      </c>
      <c r="BD201" s="286"/>
      <c r="BE201" s="286">
        <f>BE108</f>
        <v>0</v>
      </c>
      <c r="BF201" s="286">
        <f>BF108</f>
        <v>0</v>
      </c>
      <c r="BG201" s="286"/>
      <c r="BH201" s="286">
        <f>BH108</f>
        <v>0</v>
      </c>
      <c r="BI201" s="286">
        <f>BI108</f>
        <v>0</v>
      </c>
      <c r="BJ201" s="286"/>
      <c r="BK201" s="286">
        <f>BK108</f>
        <v>0</v>
      </c>
      <c r="BL201" s="286">
        <f>BL108</f>
        <v>0</v>
      </c>
      <c r="BM201" s="286"/>
      <c r="BN201" s="286">
        <f>BN108</f>
        <v>0</v>
      </c>
      <c r="BO201" s="286">
        <f>BO108</f>
        <v>0</v>
      </c>
      <c r="BP201" s="286"/>
      <c r="BQ201" s="286">
        <f>BQ108</f>
        <v>0</v>
      </c>
      <c r="BR201" s="286">
        <f>BR108</f>
        <v>0</v>
      </c>
      <c r="BS201" s="286"/>
      <c r="BT201" s="286">
        <f>BT108</f>
        <v>0</v>
      </c>
      <c r="BU201" s="286">
        <f>BU108</f>
        <v>0</v>
      </c>
      <c r="BV201" s="286"/>
      <c r="BW201" s="286">
        <f>BW108</f>
        <v>0</v>
      </c>
      <c r="BX201" s="286">
        <f>BX108</f>
        <v>0</v>
      </c>
      <c r="BY201" s="286"/>
      <c r="BZ201" s="286">
        <f>BZ108</f>
        <v>0</v>
      </c>
      <c r="CA201" s="286">
        <f>CA108</f>
        <v>0</v>
      </c>
      <c r="CB201" s="286"/>
      <c r="CC201" s="286">
        <f>CC108</f>
        <v>0</v>
      </c>
      <c r="CD201" s="286">
        <f>CD108</f>
        <v>0</v>
      </c>
      <c r="CE201" s="286"/>
      <c r="CF201" s="286">
        <f>CF108</f>
        <v>0</v>
      </c>
      <c r="CG201" s="286">
        <f>CG108</f>
        <v>0</v>
      </c>
      <c r="CH201" s="286"/>
      <c r="CI201" s="286">
        <f>CI108</f>
        <v>0</v>
      </c>
      <c r="CJ201" s="286">
        <f>CJ108</f>
        <v>0</v>
      </c>
    </row>
    <row r="202" spans="1:97" ht="30" x14ac:dyDescent="0.25">
      <c r="A202" s="102"/>
      <c r="B202" s="354" t="s">
        <v>1779</v>
      </c>
      <c r="C202" s="95" t="s">
        <v>1780</v>
      </c>
      <c r="D202" s="101"/>
      <c r="E202" s="103"/>
      <c r="F202" s="103"/>
      <c r="G202" s="103"/>
      <c r="H202" s="103"/>
      <c r="I202" s="103">
        <v>12</v>
      </c>
      <c r="J202" s="103">
        <f>J203+J204</f>
        <v>17</v>
      </c>
      <c r="K202" s="103">
        <f>K203+K204</f>
        <v>38</v>
      </c>
      <c r="L202" s="103">
        <f t="shared" ref="L202:N202" si="221">L203+L204</f>
        <v>0</v>
      </c>
      <c r="M202" s="103">
        <f t="shared" si="221"/>
        <v>0</v>
      </c>
      <c r="N202" s="103">
        <f t="shared" si="221"/>
        <v>0</v>
      </c>
      <c r="O202" s="286"/>
      <c r="P202" s="286">
        <f>R202+U202+X202+AA202+AD202+AG202+AJ202+AM202+AP202+AS202+AV202+AY202+BB202+BE202+BH202+BK202+BN202+BQ202+BT202+BW202+BZ202+CC202+CF202+CI202</f>
        <v>17</v>
      </c>
      <c r="Q202" s="358">
        <f t="shared" si="208"/>
        <v>12</v>
      </c>
      <c r="R202" s="286">
        <f>R203+R204</f>
        <v>0</v>
      </c>
      <c r="S202" s="286">
        <f>S203+S204</f>
        <v>0</v>
      </c>
      <c r="T202" s="286"/>
      <c r="U202" s="286">
        <f>U203+U204</f>
        <v>0</v>
      </c>
      <c r="V202" s="286">
        <f>V203+V204</f>
        <v>0</v>
      </c>
      <c r="W202" s="286"/>
      <c r="X202" s="286">
        <f>X203+X204</f>
        <v>0</v>
      </c>
      <c r="Y202" s="286">
        <f>Y203+Y204</f>
        <v>0</v>
      </c>
      <c r="Z202" s="286"/>
      <c r="AA202" s="286">
        <f>AA203+AA204</f>
        <v>0</v>
      </c>
      <c r="AB202" s="286">
        <f>AB203+AB204</f>
        <v>0</v>
      </c>
      <c r="AC202" s="286"/>
      <c r="AD202" s="286">
        <f>AD203+AD204</f>
        <v>0</v>
      </c>
      <c r="AE202" s="286">
        <f>AE203+AE204</f>
        <v>0</v>
      </c>
      <c r="AF202" s="286"/>
      <c r="AG202" s="286">
        <f>AG203+AG204</f>
        <v>0</v>
      </c>
      <c r="AH202" s="286">
        <f>AH203+AH204</f>
        <v>0</v>
      </c>
      <c r="AI202" s="286"/>
      <c r="AJ202" s="286">
        <f>AJ203+AJ204</f>
        <v>0</v>
      </c>
      <c r="AK202" s="286">
        <f>AK203+AK204</f>
        <v>0</v>
      </c>
      <c r="AL202" s="286"/>
      <c r="AM202" s="286">
        <f>AM203+AM204</f>
        <v>0</v>
      </c>
      <c r="AN202" s="286">
        <f>AN203+AN204</f>
        <v>0</v>
      </c>
      <c r="AO202" s="286"/>
      <c r="AP202" s="286">
        <f>AP203+AP204</f>
        <v>0</v>
      </c>
      <c r="AQ202" s="286">
        <f>AQ203+AQ204</f>
        <v>0</v>
      </c>
      <c r="AR202" s="286"/>
      <c r="AS202" s="286">
        <f>AS203+AS204</f>
        <v>12</v>
      </c>
      <c r="AT202" s="286">
        <f>AT203+AT204</f>
        <v>0</v>
      </c>
      <c r="AU202" s="286"/>
      <c r="AV202" s="286">
        <f>AV203+AV204</f>
        <v>0</v>
      </c>
      <c r="AW202" s="286">
        <f>AW203+AW204</f>
        <v>0</v>
      </c>
      <c r="AX202" s="286"/>
      <c r="AY202" s="286">
        <f>AY203+AY204</f>
        <v>0</v>
      </c>
      <c r="AZ202" s="286">
        <f>AZ203+AZ204</f>
        <v>0</v>
      </c>
      <c r="BA202" s="286"/>
      <c r="BB202" s="286">
        <f>BB203+BB204</f>
        <v>0</v>
      </c>
      <c r="BC202" s="286">
        <f>BC203+BC204</f>
        <v>0</v>
      </c>
      <c r="BD202" s="286"/>
      <c r="BE202" s="286">
        <f>BE203+BE204</f>
        <v>0</v>
      </c>
      <c r="BF202" s="286">
        <f>BF203+BF204</f>
        <v>0</v>
      </c>
      <c r="BG202" s="286"/>
      <c r="BH202" s="286">
        <f>BH203+BH204</f>
        <v>0</v>
      </c>
      <c r="BI202" s="286">
        <f>BI203+BI204</f>
        <v>0</v>
      </c>
      <c r="BJ202" s="286"/>
      <c r="BK202" s="286">
        <f>BK203+BK204</f>
        <v>0</v>
      </c>
      <c r="BL202" s="286">
        <f>BL203+BL204</f>
        <v>0</v>
      </c>
      <c r="BM202" s="286"/>
      <c r="BN202" s="286">
        <f>BN203+BN204</f>
        <v>0</v>
      </c>
      <c r="BO202" s="286">
        <f>BO203+BO204</f>
        <v>0</v>
      </c>
      <c r="BP202" s="286"/>
      <c r="BQ202" s="286">
        <f>BQ203+BQ204</f>
        <v>0</v>
      </c>
      <c r="BR202" s="286">
        <f>BR203+BR204</f>
        <v>0</v>
      </c>
      <c r="BS202" s="286"/>
      <c r="BT202" s="286">
        <f>BT203+BT204</f>
        <v>0</v>
      </c>
      <c r="BU202" s="286">
        <f>BU203+BU204</f>
        <v>0</v>
      </c>
      <c r="BV202" s="286"/>
      <c r="BW202" s="286">
        <f>BW203+BW204</f>
        <v>0</v>
      </c>
      <c r="BX202" s="286">
        <f>BX203+BX204</f>
        <v>0</v>
      </c>
      <c r="BY202" s="286"/>
      <c r="BZ202" s="286">
        <f>BZ203+BZ204</f>
        <v>5</v>
      </c>
      <c r="CA202" s="286">
        <f>CA203+CA204</f>
        <v>12</v>
      </c>
      <c r="CB202" s="286"/>
      <c r="CC202" s="286">
        <f>CC203+CC204</f>
        <v>0</v>
      </c>
      <c r="CD202" s="286">
        <f>CD203+CD204</f>
        <v>0</v>
      </c>
      <c r="CE202" s="286"/>
      <c r="CF202" s="286">
        <f>CF203+CF204</f>
        <v>0</v>
      </c>
      <c r="CG202" s="286">
        <f>CG203+CG204</f>
        <v>0</v>
      </c>
      <c r="CH202" s="286"/>
      <c r="CI202" s="286">
        <f>CI203+CI204</f>
        <v>0</v>
      </c>
      <c r="CJ202" s="286">
        <f>CJ203+CJ204</f>
        <v>0</v>
      </c>
      <c r="CK202" s="304"/>
      <c r="CL202" s="304"/>
      <c r="CM202" s="304"/>
      <c r="CN202" s="304"/>
      <c r="CO202" s="304"/>
      <c r="CP202" s="304"/>
      <c r="CQ202" s="304"/>
      <c r="CR202" s="304"/>
      <c r="CS202" s="304"/>
    </row>
    <row r="203" spans="1:97" x14ac:dyDescent="0.25">
      <c r="A203" s="102"/>
      <c r="B203" s="91" t="s">
        <v>1183</v>
      </c>
      <c r="C203" s="95"/>
      <c r="D203" s="101" t="s">
        <v>950</v>
      </c>
      <c r="E203" s="103"/>
      <c r="F203" s="103"/>
      <c r="G203" s="103"/>
      <c r="H203" s="103"/>
      <c r="I203" s="103"/>
      <c r="J203" s="103">
        <v>17</v>
      </c>
      <c r="K203" s="103">
        <v>14</v>
      </c>
      <c r="L203" s="103">
        <v>0</v>
      </c>
      <c r="M203" s="103">
        <v>0</v>
      </c>
      <c r="N203" s="103">
        <v>0</v>
      </c>
      <c r="O203" s="286"/>
      <c r="P203" s="286">
        <f t="shared" ref="P203:Q204" si="222">R203+U203+X203+AA203+AD203+AG203+AJ203+AM203+AP203+AS203+AV203+AY203+BB203+BE203+BH203+BK203+BN203+BQ203+BT203+BW203+BZ203+CC203+CF203+CI203</f>
        <v>17</v>
      </c>
      <c r="Q203" s="286">
        <f t="shared" si="222"/>
        <v>12</v>
      </c>
      <c r="R203" s="302">
        <v>0</v>
      </c>
      <c r="S203" s="302">
        <v>0</v>
      </c>
      <c r="T203" s="302"/>
      <c r="U203" s="302">
        <v>0</v>
      </c>
      <c r="V203" s="302">
        <v>0</v>
      </c>
      <c r="W203" s="302"/>
      <c r="X203" s="302">
        <v>0</v>
      </c>
      <c r="Y203" s="302">
        <v>0</v>
      </c>
      <c r="Z203" s="302"/>
      <c r="AA203" s="302">
        <v>0</v>
      </c>
      <c r="AB203" s="302">
        <v>0</v>
      </c>
      <c r="AC203" s="302"/>
      <c r="AD203" s="302">
        <v>0</v>
      </c>
      <c r="AE203" s="302">
        <v>0</v>
      </c>
      <c r="AF203" s="302"/>
      <c r="AG203" s="302">
        <v>0</v>
      </c>
      <c r="AH203" s="302">
        <v>0</v>
      </c>
      <c r="AI203" s="302"/>
      <c r="AJ203" s="302">
        <v>0</v>
      </c>
      <c r="AK203" s="302">
        <v>0</v>
      </c>
      <c r="AL203" s="302"/>
      <c r="AM203" s="302">
        <v>0</v>
      </c>
      <c r="AN203" s="302">
        <v>0</v>
      </c>
      <c r="AO203" s="302"/>
      <c r="AP203" s="302">
        <v>0</v>
      </c>
      <c r="AQ203" s="302">
        <v>0</v>
      </c>
      <c r="AR203" s="302"/>
      <c r="AS203" s="302">
        <v>12</v>
      </c>
      <c r="AT203" s="302">
        <v>0</v>
      </c>
      <c r="AU203" s="302"/>
      <c r="AV203" s="302">
        <v>0</v>
      </c>
      <c r="AW203" s="302">
        <v>0</v>
      </c>
      <c r="AX203" s="302"/>
      <c r="AY203" s="302">
        <v>0</v>
      </c>
      <c r="AZ203" s="302">
        <v>0</v>
      </c>
      <c r="BA203" s="302"/>
      <c r="BB203" s="302">
        <v>0</v>
      </c>
      <c r="BC203" s="302">
        <v>0</v>
      </c>
      <c r="BD203" s="302"/>
      <c r="BE203" s="302">
        <v>0</v>
      </c>
      <c r="BF203" s="302">
        <v>0</v>
      </c>
      <c r="BG203" s="302"/>
      <c r="BH203" s="302">
        <v>0</v>
      </c>
      <c r="BI203" s="302">
        <v>0</v>
      </c>
      <c r="BJ203" s="302"/>
      <c r="BK203" s="302">
        <v>0</v>
      </c>
      <c r="BL203" s="302">
        <v>0</v>
      </c>
      <c r="BM203" s="302"/>
      <c r="BN203" s="302">
        <v>0</v>
      </c>
      <c r="BO203" s="302">
        <v>0</v>
      </c>
      <c r="BP203" s="302"/>
      <c r="BQ203" s="302">
        <v>0</v>
      </c>
      <c r="BR203" s="302">
        <v>0</v>
      </c>
      <c r="BS203" s="302"/>
      <c r="BT203" s="302">
        <v>0</v>
      </c>
      <c r="BU203" s="302">
        <v>0</v>
      </c>
      <c r="BV203" s="302"/>
      <c r="BW203" s="302">
        <v>0</v>
      </c>
      <c r="BX203" s="302">
        <v>0</v>
      </c>
      <c r="BY203" s="302"/>
      <c r="BZ203" s="302">
        <v>5</v>
      </c>
      <c r="CA203" s="302">
        <v>12</v>
      </c>
      <c r="CB203" s="302"/>
      <c r="CC203" s="302">
        <v>0</v>
      </c>
      <c r="CD203" s="302">
        <v>0</v>
      </c>
      <c r="CE203" s="302"/>
      <c r="CF203" s="302">
        <v>0</v>
      </c>
      <c r="CG203" s="302">
        <v>0</v>
      </c>
      <c r="CH203" s="302"/>
      <c r="CI203" s="302">
        <v>0</v>
      </c>
      <c r="CJ203" s="302">
        <v>0</v>
      </c>
      <c r="CK203" s="304"/>
      <c r="CL203" s="304"/>
      <c r="CM203" s="304"/>
      <c r="CN203" s="304"/>
      <c r="CO203" s="304"/>
      <c r="CP203" s="304"/>
      <c r="CQ203" s="304"/>
      <c r="CR203" s="304"/>
      <c r="CS203" s="304"/>
    </row>
    <row r="204" spans="1:97" x14ac:dyDescent="0.25">
      <c r="A204" s="102"/>
      <c r="B204" s="91" t="s">
        <v>1185</v>
      </c>
      <c r="C204" s="95"/>
      <c r="D204" s="101" t="s">
        <v>950</v>
      </c>
      <c r="E204" s="103"/>
      <c r="F204" s="103"/>
      <c r="G204" s="103"/>
      <c r="H204" s="103"/>
      <c r="I204" s="103"/>
      <c r="J204" s="103">
        <v>0</v>
      </c>
      <c r="K204" s="103">
        <v>24</v>
      </c>
      <c r="L204" s="103">
        <v>0</v>
      </c>
      <c r="M204" s="103">
        <v>0</v>
      </c>
      <c r="N204" s="103">
        <v>0</v>
      </c>
      <c r="O204" s="286"/>
      <c r="P204" s="286">
        <f t="shared" si="222"/>
        <v>0</v>
      </c>
      <c r="Q204" s="286">
        <f t="shared" si="222"/>
        <v>0</v>
      </c>
      <c r="R204" s="302">
        <v>0</v>
      </c>
      <c r="S204" s="302">
        <v>0</v>
      </c>
      <c r="T204" s="302"/>
      <c r="U204" s="302">
        <v>0</v>
      </c>
      <c r="V204" s="302">
        <v>0</v>
      </c>
      <c r="W204" s="302"/>
      <c r="X204" s="302">
        <v>0</v>
      </c>
      <c r="Y204" s="302">
        <v>0</v>
      </c>
      <c r="Z204" s="302"/>
      <c r="AA204" s="302">
        <v>0</v>
      </c>
      <c r="AB204" s="302">
        <v>0</v>
      </c>
      <c r="AC204" s="302"/>
      <c r="AD204" s="302">
        <v>0</v>
      </c>
      <c r="AE204" s="302">
        <v>0</v>
      </c>
      <c r="AF204" s="302"/>
      <c r="AG204" s="302">
        <v>0</v>
      </c>
      <c r="AH204" s="302">
        <v>0</v>
      </c>
      <c r="AI204" s="302"/>
      <c r="AJ204" s="302">
        <v>0</v>
      </c>
      <c r="AK204" s="302">
        <v>0</v>
      </c>
      <c r="AL204" s="302"/>
      <c r="AM204" s="302">
        <v>0</v>
      </c>
      <c r="AN204" s="302">
        <v>0</v>
      </c>
      <c r="AO204" s="302"/>
      <c r="AP204" s="302">
        <v>0</v>
      </c>
      <c r="AQ204" s="302">
        <v>0</v>
      </c>
      <c r="AR204" s="302"/>
      <c r="AS204" s="302">
        <v>0</v>
      </c>
      <c r="AT204" s="302">
        <v>0</v>
      </c>
      <c r="AU204" s="302"/>
      <c r="AV204" s="302">
        <v>0</v>
      </c>
      <c r="AW204" s="302">
        <v>0</v>
      </c>
      <c r="AX204" s="302"/>
      <c r="AY204" s="302">
        <v>0</v>
      </c>
      <c r="AZ204" s="302">
        <v>0</v>
      </c>
      <c r="BA204" s="302"/>
      <c r="BB204" s="302">
        <v>0</v>
      </c>
      <c r="BC204" s="302">
        <v>0</v>
      </c>
      <c r="BD204" s="302"/>
      <c r="BE204" s="302">
        <v>0</v>
      </c>
      <c r="BF204" s="302">
        <v>0</v>
      </c>
      <c r="BG204" s="302"/>
      <c r="BH204" s="302">
        <v>0</v>
      </c>
      <c r="BI204" s="302">
        <v>0</v>
      </c>
      <c r="BJ204" s="302"/>
      <c r="BK204" s="302">
        <v>0</v>
      </c>
      <c r="BL204" s="302">
        <v>0</v>
      </c>
      <c r="BM204" s="302"/>
      <c r="BN204" s="302">
        <v>0</v>
      </c>
      <c r="BO204" s="302">
        <v>0</v>
      </c>
      <c r="BP204" s="302"/>
      <c r="BQ204" s="302">
        <v>0</v>
      </c>
      <c r="BR204" s="302">
        <v>0</v>
      </c>
      <c r="BS204" s="302"/>
      <c r="BT204" s="302">
        <v>0</v>
      </c>
      <c r="BU204" s="302">
        <v>0</v>
      </c>
      <c r="BV204" s="302"/>
      <c r="BW204" s="302">
        <v>0</v>
      </c>
      <c r="BX204" s="302">
        <v>0</v>
      </c>
      <c r="BY204" s="302"/>
      <c r="BZ204" s="302">
        <v>0</v>
      </c>
      <c r="CA204" s="302">
        <v>0</v>
      </c>
      <c r="CB204" s="302"/>
      <c r="CC204" s="302">
        <v>0</v>
      </c>
      <c r="CD204" s="302">
        <v>0</v>
      </c>
      <c r="CE204" s="302"/>
      <c r="CF204" s="302">
        <v>0</v>
      </c>
      <c r="CG204" s="302">
        <v>0</v>
      </c>
      <c r="CH204" s="302"/>
      <c r="CI204" s="302">
        <v>0</v>
      </c>
      <c r="CJ204" s="302">
        <v>0</v>
      </c>
      <c r="CK204" s="304"/>
      <c r="CL204" s="304"/>
      <c r="CM204" s="304"/>
      <c r="CN204" s="304"/>
      <c r="CO204" s="304"/>
      <c r="CP204" s="304"/>
      <c r="CQ204" s="304"/>
      <c r="CR204" s="304"/>
      <c r="CS204" s="304"/>
    </row>
    <row r="205" spans="1:97" ht="30" x14ac:dyDescent="0.25">
      <c r="A205" s="105" t="s">
        <v>31</v>
      </c>
      <c r="B205" s="290" t="s">
        <v>30</v>
      </c>
      <c r="C205" s="107"/>
      <c r="D205" s="107"/>
      <c r="E205" s="107"/>
      <c r="F205" s="107"/>
      <c r="G205" s="107"/>
      <c r="H205" s="107"/>
      <c r="I205" s="107"/>
      <c r="J205" s="107"/>
      <c r="K205" s="107"/>
      <c r="L205" s="107"/>
      <c r="M205" s="107"/>
      <c r="N205" s="107"/>
      <c r="P205" s="304"/>
      <c r="Q205" s="361"/>
      <c r="R205" s="304"/>
      <c r="S205" s="304"/>
      <c r="T205" s="407"/>
      <c r="U205" s="407"/>
      <c r="V205" s="379"/>
      <c r="W205" s="407"/>
      <c r="X205" s="407"/>
      <c r="Y205" s="379"/>
      <c r="Z205" s="407"/>
      <c r="AA205" s="407"/>
      <c r="AB205" s="379"/>
      <c r="AC205" s="407"/>
      <c r="AD205" s="407"/>
      <c r="AE205" s="379"/>
      <c r="AF205" s="407"/>
      <c r="AG205" s="407"/>
      <c r="AH205" s="379"/>
      <c r="AI205" s="407"/>
      <c r="AJ205" s="407"/>
      <c r="AK205" s="379"/>
      <c r="AL205" s="407"/>
      <c r="AM205" s="407"/>
      <c r="AN205" s="379"/>
      <c r="AO205" s="407"/>
      <c r="AP205" s="407"/>
      <c r="AQ205" s="379"/>
      <c r="AR205" s="407"/>
      <c r="AS205" s="407"/>
      <c r="AT205" s="379"/>
      <c r="AU205" s="407"/>
      <c r="AV205" s="407"/>
      <c r="AW205" s="379"/>
      <c r="AX205" s="407"/>
      <c r="AY205" s="407"/>
      <c r="AZ205" s="379"/>
      <c r="BA205" s="407"/>
      <c r="BB205" s="407"/>
      <c r="BC205" s="379"/>
      <c r="BD205" s="407"/>
      <c r="BE205" s="407"/>
      <c r="BF205" s="379"/>
      <c r="BG205" s="407"/>
      <c r="BH205" s="407"/>
      <c r="BI205" s="379"/>
      <c r="BJ205" s="407"/>
      <c r="BK205" s="407"/>
      <c r="BL205" s="379"/>
      <c r="BM205" s="407"/>
      <c r="BN205" s="407"/>
      <c r="BO205" s="379"/>
      <c r="BP205" s="407"/>
      <c r="BQ205" s="407"/>
      <c r="BR205" s="379"/>
      <c r="BS205" s="407"/>
      <c r="BT205" s="407"/>
      <c r="BU205" s="379"/>
      <c r="BV205" s="407"/>
      <c r="BW205" s="407"/>
      <c r="BX205" s="379"/>
      <c r="BY205" s="407"/>
      <c r="BZ205" s="407"/>
      <c r="CA205" s="379"/>
      <c r="CB205" s="407"/>
      <c r="CC205" s="407"/>
      <c r="CD205" s="379"/>
      <c r="CE205" s="407"/>
      <c r="CF205" s="407"/>
      <c r="CG205" s="379"/>
      <c r="CH205" s="304"/>
      <c r="CI205" s="304"/>
      <c r="CJ205" s="304"/>
      <c r="CK205" s="304"/>
      <c r="CL205" s="304"/>
      <c r="CM205" s="304"/>
      <c r="CN205" s="304"/>
      <c r="CO205" s="304"/>
      <c r="CP205" s="304"/>
      <c r="CQ205" s="304"/>
      <c r="CR205" s="304"/>
      <c r="CS205" s="304"/>
    </row>
    <row r="206" spans="1:97" ht="60" x14ac:dyDescent="0.25">
      <c r="A206" s="95" t="s">
        <v>34</v>
      </c>
      <c r="B206" s="96" t="s">
        <v>1618</v>
      </c>
      <c r="C206" s="107"/>
      <c r="D206" s="95"/>
      <c r="E206" s="279"/>
      <c r="F206" s="279"/>
      <c r="G206" s="279"/>
      <c r="H206" s="279"/>
      <c r="I206" s="279">
        <f t="shared" ref="H206:N212" si="223">I213/I220</f>
        <v>9.877598956067855</v>
      </c>
      <c r="J206" s="279">
        <f t="shared" si="223"/>
        <v>10.096906511707401</v>
      </c>
      <c r="K206" s="279">
        <f t="shared" si="223"/>
        <v>9.9116401219925443</v>
      </c>
      <c r="L206" s="279">
        <f t="shared" si="223"/>
        <v>8.3561643835616444</v>
      </c>
      <c r="M206" s="279">
        <f t="shared" si="223"/>
        <v>7.6488888888888891</v>
      </c>
      <c r="N206" s="279">
        <f t="shared" si="223"/>
        <v>7.5860465116279068</v>
      </c>
      <c r="O206" s="281" t="s">
        <v>29</v>
      </c>
      <c r="P206" s="279">
        <f t="shared" ref="P206:S212" si="224">P213/P220</f>
        <v>9.9116401219925443</v>
      </c>
      <c r="Q206" s="279">
        <f t="shared" si="224"/>
        <v>9.5859519408502774</v>
      </c>
      <c r="R206" s="279">
        <f>R213/R220</f>
        <v>9.3508771929824555</v>
      </c>
      <c r="S206" s="279">
        <f>S213/S220</f>
        <v>8.6206896551724146</v>
      </c>
      <c r="T206" s="319"/>
      <c r="U206" s="279">
        <f t="shared" ref="U206:V212" si="225">U213/U220</f>
        <v>8.0313901345291487</v>
      </c>
      <c r="V206" s="279">
        <f t="shared" si="225"/>
        <v>7.9052132701421804</v>
      </c>
      <c r="W206" s="319"/>
      <c r="X206" s="279">
        <f t="shared" ref="X206:Y212" si="226">X213/X220</f>
        <v>7.6444444444444448</v>
      </c>
      <c r="Y206" s="279">
        <f t="shared" si="226"/>
        <v>7.4210526315789478</v>
      </c>
      <c r="Z206" s="319"/>
      <c r="AA206" s="279">
        <f t="shared" ref="AA206:AB212" si="227">AA213/AA220</f>
        <v>8.0303030303030312</v>
      </c>
      <c r="AB206" s="279">
        <f t="shared" si="227"/>
        <v>7.3624161073825505</v>
      </c>
      <c r="AC206" s="319"/>
      <c r="AD206" s="279">
        <f t="shared" ref="AD206:AE212" si="228">AD213/AD220</f>
        <v>8.7203065134099624</v>
      </c>
      <c r="AE206" s="279">
        <f t="shared" si="228"/>
        <v>8.1490196078431367</v>
      </c>
      <c r="AF206" s="319"/>
      <c r="AG206" s="279">
        <f t="shared" ref="AG206:AH212" si="229">AG213/AG220</f>
        <v>8.75</v>
      </c>
      <c r="AH206" s="279">
        <f t="shared" si="229"/>
        <v>8.3561643835616444</v>
      </c>
      <c r="AI206" s="319"/>
      <c r="AJ206" s="279">
        <f t="shared" ref="AJ206:AK212" si="230">AJ213/AJ220</f>
        <v>8.0512820512820511</v>
      </c>
      <c r="AK206" s="279">
        <f t="shared" si="230"/>
        <v>7.684073107049608</v>
      </c>
      <c r="AL206" s="319"/>
      <c r="AM206" s="279">
        <f t="shared" ref="AM206:AN212" si="231">AM213/AM220</f>
        <v>9.0281214848143989</v>
      </c>
      <c r="AN206" s="279">
        <f t="shared" si="231"/>
        <v>8.3596491228070171</v>
      </c>
      <c r="AO206" s="319"/>
      <c r="AP206" s="279">
        <f t="shared" ref="AP206:AQ212" si="232">AP213/AP220</f>
        <v>6.7583892617449663</v>
      </c>
      <c r="AQ206" s="279">
        <f t="shared" si="232"/>
        <v>6.1503267973856213</v>
      </c>
      <c r="AR206" s="319"/>
      <c r="AS206" s="279">
        <f t="shared" ref="AS206:AT212" si="233">AS213/AS220</f>
        <v>10.305343511450381</v>
      </c>
      <c r="AT206" s="279">
        <f t="shared" si="233"/>
        <v>10.14017521902378</v>
      </c>
      <c r="AU206" s="319"/>
      <c r="AV206" s="279">
        <f t="shared" ref="AV206:AW212" si="234">AV213/AV220</f>
        <v>8.6057347670250888</v>
      </c>
      <c r="AW206" s="279">
        <f t="shared" si="234"/>
        <v>7.7210144927536231</v>
      </c>
      <c r="AX206" s="319"/>
      <c r="AY206" s="279">
        <f t="shared" ref="AY206:AZ212" si="235">AY213/AY220</f>
        <v>7.2203065134099615</v>
      </c>
      <c r="AZ206" s="279">
        <f t="shared" si="235"/>
        <v>6.7705882352941176</v>
      </c>
      <c r="BA206" s="319"/>
      <c r="BB206" s="279">
        <f t="shared" ref="BB206:BC212" si="236">BB213/BB220</f>
        <v>11.079147640791476</v>
      </c>
      <c r="BC206" s="279">
        <f t="shared" si="236"/>
        <v>11.241538461538461</v>
      </c>
      <c r="BD206" s="319"/>
      <c r="BE206" s="279">
        <f t="shared" ref="BE206:BF212" si="237">BE213/BE220</f>
        <v>10.485357917570498</v>
      </c>
      <c r="BF206" s="279">
        <f t="shared" si="237"/>
        <v>10.188197767145136</v>
      </c>
      <c r="BG206" s="319"/>
      <c r="BH206" s="279">
        <f t="shared" ref="BH206:BI212" si="238">BH213/BH220</f>
        <v>12.291169451073985</v>
      </c>
      <c r="BI206" s="279">
        <f t="shared" si="238"/>
        <v>11.985091743119266</v>
      </c>
      <c r="BJ206" s="319"/>
      <c r="BK206" s="279">
        <f t="shared" ref="BK206:BL212" si="239">BK213/BK220</f>
        <v>9.4605263157894743</v>
      </c>
      <c r="BL206" s="279">
        <f t="shared" si="239"/>
        <v>9.6273062730627306</v>
      </c>
      <c r="BM206" s="319"/>
      <c r="BN206" s="279">
        <f t="shared" ref="BN206:BO212" si="240">BN213/BN220</f>
        <v>8.9934210526315788</v>
      </c>
      <c r="BO206" s="279">
        <f t="shared" si="240"/>
        <v>8.5833333333333339</v>
      </c>
      <c r="BP206" s="319"/>
      <c r="BQ206" s="279">
        <f t="shared" ref="BQ206:BR212" si="241">BQ213/BQ220</f>
        <v>9.9007263922518156</v>
      </c>
      <c r="BR206" s="279">
        <f t="shared" si="241"/>
        <v>9.3004807692307701</v>
      </c>
      <c r="BS206" s="319"/>
      <c r="BT206" s="279">
        <f t="shared" ref="BT206:BU212" si="242">BT213/BT220</f>
        <v>9.3896396396396398</v>
      </c>
      <c r="BU206" s="279">
        <f t="shared" si="242"/>
        <v>9.3241379310344836</v>
      </c>
      <c r="BV206" s="319"/>
      <c r="BW206" s="279">
        <f t="shared" ref="BW206:BX212" si="243">BW213/BW220</f>
        <v>8.2230215827338125</v>
      </c>
      <c r="BX206" s="279">
        <f t="shared" si="243"/>
        <v>7.577464788732394</v>
      </c>
      <c r="BY206" s="319"/>
      <c r="BZ206" s="279">
        <f t="shared" ref="BZ206:CA212" si="244">BZ213/BZ220</f>
        <v>8.7435897435897427</v>
      </c>
      <c r="CA206" s="279">
        <f t="shared" si="244"/>
        <v>8.3201320132013201</v>
      </c>
      <c r="CB206" s="319"/>
      <c r="CC206" s="279">
        <f t="shared" ref="CC206:CD212" si="245">CC213/CC220</f>
        <v>9.4964285714285719</v>
      </c>
      <c r="CD206" s="279">
        <f t="shared" si="245"/>
        <v>8.9537366548042705</v>
      </c>
      <c r="CE206" s="319"/>
      <c r="CF206" s="279">
        <f t="shared" ref="CF206:CG212" si="246">CF213/CF220</f>
        <v>1.2530120481927711</v>
      </c>
      <c r="CG206" s="279">
        <f t="shared" si="246"/>
        <v>1.1612903225806452</v>
      </c>
      <c r="CH206" s="319"/>
      <c r="CI206" s="279" t="e">
        <f t="shared" ref="CI206:CJ212" si="247">CI213/CI220</f>
        <v>#DIV/0!</v>
      </c>
      <c r="CJ206" s="279" t="e">
        <f t="shared" si="247"/>
        <v>#DIV/0!</v>
      </c>
      <c r="CK206" s="304"/>
      <c r="CL206" s="304"/>
      <c r="CM206" s="304"/>
      <c r="CN206" s="304"/>
      <c r="CO206" s="304"/>
      <c r="CP206" s="304"/>
      <c r="CQ206" s="304"/>
      <c r="CR206" s="304"/>
      <c r="CS206" s="304"/>
    </row>
    <row r="207" spans="1:97" x14ac:dyDescent="0.25">
      <c r="A207" s="95"/>
      <c r="B207" s="16" t="s">
        <v>1182</v>
      </c>
      <c r="C207" s="107"/>
      <c r="D207" s="95" t="s">
        <v>950</v>
      </c>
      <c r="E207" s="279">
        <f t="shared" ref="E207:G212" si="248">E214/E221</f>
        <v>8.7433024345523069</v>
      </c>
      <c r="F207" s="279">
        <v>9.25</v>
      </c>
      <c r="G207" s="279">
        <f t="shared" si="248"/>
        <v>9.7776648808424156</v>
      </c>
      <c r="H207" s="279">
        <f t="shared" si="223"/>
        <v>9.6826522471412115</v>
      </c>
      <c r="I207" s="279">
        <f t="shared" si="223"/>
        <v>9.8401295064753231</v>
      </c>
      <c r="J207" s="279">
        <f t="shared" si="223"/>
        <v>10.087647008326895</v>
      </c>
      <c r="K207" s="279">
        <f t="shared" si="223"/>
        <v>9.8968896463570513</v>
      </c>
      <c r="L207" s="279">
        <f t="shared" si="223"/>
        <v>8.387096774193548</v>
      </c>
      <c r="M207" s="279">
        <f t="shared" si="223"/>
        <v>7.6681614349775788</v>
      </c>
      <c r="N207" s="279">
        <f t="shared" si="223"/>
        <v>7.5654205607476639</v>
      </c>
      <c r="O207" s="281"/>
      <c r="P207" s="279">
        <f t="shared" si="224"/>
        <v>9.8968896463570513</v>
      </c>
      <c r="Q207" s="279">
        <f t="shared" si="224"/>
        <v>9.5297092288242737</v>
      </c>
      <c r="R207" s="279">
        <f t="shared" si="224"/>
        <v>9.3508771929824555</v>
      </c>
      <c r="S207" s="279">
        <f t="shared" si="224"/>
        <v>8.6206896551724146</v>
      </c>
      <c r="T207" s="320"/>
      <c r="U207" s="279">
        <f t="shared" si="225"/>
        <v>8.0313901345291487</v>
      </c>
      <c r="V207" s="279">
        <f t="shared" si="225"/>
        <v>7.9052132701421804</v>
      </c>
      <c r="W207" s="320"/>
      <c r="X207" s="279">
        <f t="shared" si="226"/>
        <v>7.6444444444444448</v>
      </c>
      <c r="Y207" s="279">
        <f t="shared" si="226"/>
        <v>7.4210526315789478</v>
      </c>
      <c r="Z207" s="320"/>
      <c r="AA207" s="279">
        <f t="shared" si="227"/>
        <v>8.0303030303030312</v>
      </c>
      <c r="AB207" s="279">
        <f t="shared" si="227"/>
        <v>7.3624161073825505</v>
      </c>
      <c r="AC207" s="320"/>
      <c r="AD207" s="279">
        <f t="shared" si="228"/>
        <v>8.7203065134099624</v>
      </c>
      <c r="AE207" s="279">
        <f t="shared" si="228"/>
        <v>8.1490196078431367</v>
      </c>
      <c r="AF207" s="320"/>
      <c r="AG207" s="279">
        <f t="shared" si="229"/>
        <v>8.7803738317757016</v>
      </c>
      <c r="AH207" s="279">
        <f t="shared" si="229"/>
        <v>8.387096774193548</v>
      </c>
      <c r="AI207" s="320"/>
      <c r="AJ207" s="279">
        <f t="shared" si="230"/>
        <v>8.0512820512820511</v>
      </c>
      <c r="AK207" s="279">
        <f t="shared" si="230"/>
        <v>7.684073107049608</v>
      </c>
      <c r="AL207" s="320"/>
      <c r="AM207" s="279">
        <f t="shared" si="231"/>
        <v>9.0281214848143989</v>
      </c>
      <c r="AN207" s="279">
        <f t="shared" si="231"/>
        <v>8.3596491228070171</v>
      </c>
      <c r="AO207" s="320"/>
      <c r="AP207" s="279">
        <f t="shared" si="232"/>
        <v>6.7583892617449663</v>
      </c>
      <c r="AQ207" s="279">
        <f t="shared" si="232"/>
        <v>6.1503267973856213</v>
      </c>
      <c r="AR207" s="320"/>
      <c r="AS207" s="279">
        <f t="shared" si="233"/>
        <v>10.176701570680628</v>
      </c>
      <c r="AT207" s="279">
        <f t="shared" si="233"/>
        <v>9.9601029601029598</v>
      </c>
      <c r="AU207" s="320"/>
      <c r="AV207" s="279">
        <f t="shared" si="234"/>
        <v>8.6057347670250888</v>
      </c>
      <c r="AW207" s="279">
        <f t="shared" si="234"/>
        <v>7.7210144927536231</v>
      </c>
      <c r="AX207" s="320"/>
      <c r="AY207" s="279">
        <f t="shared" si="235"/>
        <v>7.1961165048543689</v>
      </c>
      <c r="AZ207" s="279">
        <f t="shared" si="235"/>
        <v>6.7705882352941176</v>
      </c>
      <c r="BA207" s="320"/>
      <c r="BB207" s="279">
        <f t="shared" si="236"/>
        <v>10.927018633540373</v>
      </c>
      <c r="BC207" s="279">
        <f t="shared" si="236"/>
        <v>10.372307692307693</v>
      </c>
      <c r="BD207" s="320"/>
      <c r="BE207" s="279">
        <f t="shared" si="237"/>
        <v>10.48858695652174</v>
      </c>
      <c r="BF207" s="279">
        <f t="shared" si="237"/>
        <v>10.188197767145136</v>
      </c>
      <c r="BG207" s="320"/>
      <c r="BH207" s="279">
        <f t="shared" si="238"/>
        <v>12.322503008423586</v>
      </c>
      <c r="BI207" s="279">
        <f t="shared" si="238"/>
        <v>12.012677679600461</v>
      </c>
      <c r="BJ207" s="320"/>
      <c r="BK207" s="279">
        <f t="shared" si="239"/>
        <v>9.4605263157894743</v>
      </c>
      <c r="BL207" s="279">
        <f t="shared" si="239"/>
        <v>9.6273062730627306</v>
      </c>
      <c r="BM207" s="320"/>
      <c r="BN207" s="279">
        <f t="shared" si="240"/>
        <v>8.9934210526315788</v>
      </c>
      <c r="BO207" s="279">
        <f t="shared" si="240"/>
        <v>8.5833333333333339</v>
      </c>
      <c r="BP207" s="320"/>
      <c r="BQ207" s="279">
        <f t="shared" si="241"/>
        <v>9.9007263922518156</v>
      </c>
      <c r="BR207" s="279">
        <f t="shared" si="241"/>
        <v>9.3004807692307701</v>
      </c>
      <c r="BS207" s="320"/>
      <c r="BT207" s="279">
        <f t="shared" si="242"/>
        <v>9.3896396396396398</v>
      </c>
      <c r="BU207" s="279">
        <f t="shared" si="242"/>
        <v>9.3241379310344836</v>
      </c>
      <c r="BV207" s="320"/>
      <c r="BW207" s="279">
        <f t="shared" si="243"/>
        <v>8.2230215827338125</v>
      </c>
      <c r="BX207" s="279">
        <f t="shared" si="243"/>
        <v>7.577464788732394</v>
      </c>
      <c r="BY207" s="320"/>
      <c r="BZ207" s="279">
        <f t="shared" si="244"/>
        <v>8.7435897435897427</v>
      </c>
      <c r="CA207" s="279">
        <f t="shared" si="244"/>
        <v>8.3201320132013201</v>
      </c>
      <c r="CB207" s="320"/>
      <c r="CC207" s="279">
        <f t="shared" si="245"/>
        <v>9.4964285714285719</v>
      </c>
      <c r="CD207" s="279">
        <f t="shared" si="245"/>
        <v>8.9537366548042705</v>
      </c>
      <c r="CE207" s="320"/>
      <c r="CF207" s="279">
        <f t="shared" si="246"/>
        <v>1.2530120481927711</v>
      </c>
      <c r="CG207" s="279">
        <f t="shared" si="246"/>
        <v>1.1612903225806452</v>
      </c>
      <c r="CH207" s="320"/>
      <c r="CI207" s="279" t="e">
        <f t="shared" si="247"/>
        <v>#DIV/0!</v>
      </c>
      <c r="CJ207" s="279" t="e">
        <f t="shared" si="247"/>
        <v>#DIV/0!</v>
      </c>
      <c r="CK207" s="304"/>
      <c r="CL207" s="304"/>
      <c r="CM207" s="304"/>
      <c r="CN207" s="304"/>
      <c r="CO207" s="304"/>
      <c r="CP207" s="304"/>
      <c r="CQ207" s="304"/>
      <c r="CR207" s="304"/>
      <c r="CS207" s="304"/>
    </row>
    <row r="208" spans="1:97" x14ac:dyDescent="0.25">
      <c r="A208" s="95"/>
      <c r="B208" s="16" t="s">
        <v>1183</v>
      </c>
      <c r="C208" s="16"/>
      <c r="D208" s="95" t="s">
        <v>950</v>
      </c>
      <c r="E208" s="279">
        <f t="shared" si="248"/>
        <v>8.8362901414776562</v>
      </c>
      <c r="F208" s="279">
        <f t="shared" si="248"/>
        <v>9.3760249091852614</v>
      </c>
      <c r="G208" s="279">
        <f>G215/G222</f>
        <v>9.9156297420333832</v>
      </c>
      <c r="H208" s="279">
        <f t="shared" si="223"/>
        <v>9.8204085584277276</v>
      </c>
      <c r="I208" s="279">
        <f t="shared" si="223"/>
        <v>9.9774092078924799</v>
      </c>
      <c r="J208" s="279">
        <f t="shared" si="223"/>
        <v>10.259941985589968</v>
      </c>
      <c r="K208" s="279">
        <f t="shared" si="223"/>
        <v>10.076348004859359</v>
      </c>
      <c r="L208" s="279">
        <f t="shared" si="223"/>
        <v>8.4206349206349209</v>
      </c>
      <c r="M208" s="279">
        <f t="shared" si="223"/>
        <v>7.6030534351145036</v>
      </c>
      <c r="N208" s="279">
        <f t="shared" si="223"/>
        <v>7.4251968503937009</v>
      </c>
      <c r="O208" s="281"/>
      <c r="P208" s="279">
        <f t="shared" si="224"/>
        <v>10.060777581887352</v>
      </c>
      <c r="Q208" s="279">
        <f t="shared" si="224"/>
        <v>9.7214108569853952</v>
      </c>
      <c r="R208" s="279">
        <f t="shared" si="224"/>
        <v>9.0186335403726705</v>
      </c>
      <c r="S208" s="279">
        <f t="shared" si="224"/>
        <v>8.0538922155688617</v>
      </c>
      <c r="T208" s="320"/>
      <c r="U208" s="279">
        <f t="shared" si="225"/>
        <v>7.7761194029850742</v>
      </c>
      <c r="V208" s="279">
        <f t="shared" si="225"/>
        <v>7.661290322580645</v>
      </c>
      <c r="W208" s="320"/>
      <c r="X208" s="279">
        <f t="shared" si="226"/>
        <v>8.6666666666666661</v>
      </c>
      <c r="Y208" s="279">
        <f t="shared" si="226"/>
        <v>8.3937500000000007</v>
      </c>
      <c r="Z208" s="320"/>
      <c r="AA208" s="279">
        <f t="shared" si="227"/>
        <v>8.2159090909090917</v>
      </c>
      <c r="AB208" s="279">
        <f t="shared" si="227"/>
        <v>7.3146067415730336</v>
      </c>
      <c r="AC208" s="320"/>
      <c r="AD208" s="279">
        <f t="shared" si="228"/>
        <v>8.9493670886075947</v>
      </c>
      <c r="AE208" s="279">
        <f t="shared" si="228"/>
        <v>8.9729729729729737</v>
      </c>
      <c r="AF208" s="320"/>
      <c r="AG208" s="279">
        <f t="shared" si="229"/>
        <v>8.8292682926829276</v>
      </c>
      <c r="AH208" s="279">
        <f t="shared" si="229"/>
        <v>8.4015748031496056</v>
      </c>
      <c r="AI208" s="320"/>
      <c r="AJ208" s="279">
        <f t="shared" si="230"/>
        <v>8.0591397849462361</v>
      </c>
      <c r="AK208" s="279">
        <f t="shared" si="230"/>
        <v>7.7095890410958905</v>
      </c>
      <c r="AL208" s="320"/>
      <c r="AM208" s="279">
        <f t="shared" si="231"/>
        <v>9.0924369747899156</v>
      </c>
      <c r="AN208" s="279">
        <f t="shared" si="231"/>
        <v>8.5972006220839816</v>
      </c>
      <c r="AO208" s="320"/>
      <c r="AP208" s="279" t="e">
        <f t="shared" si="232"/>
        <v>#DIV/0!</v>
      </c>
      <c r="AQ208" s="279" t="e">
        <f t="shared" si="232"/>
        <v>#DIV/0!</v>
      </c>
      <c r="AR208" s="320"/>
      <c r="AS208" s="279">
        <f t="shared" si="233"/>
        <v>10.176701570680628</v>
      </c>
      <c r="AT208" s="279">
        <f t="shared" si="233"/>
        <v>9.9601029601029598</v>
      </c>
      <c r="AU208" s="320"/>
      <c r="AV208" s="279">
        <f t="shared" si="234"/>
        <v>8.6057347670250888</v>
      </c>
      <c r="AW208" s="279">
        <f t="shared" si="234"/>
        <v>7.7210144927536231</v>
      </c>
      <c r="AX208" s="320"/>
      <c r="AY208" s="279">
        <f t="shared" si="235"/>
        <v>7.1961165048543689</v>
      </c>
      <c r="AZ208" s="279">
        <f t="shared" si="235"/>
        <v>6.7705882352941176</v>
      </c>
      <c r="BA208" s="320"/>
      <c r="BB208" s="279">
        <f t="shared" si="236"/>
        <v>10.927018633540373</v>
      </c>
      <c r="BC208" s="279">
        <f t="shared" si="236"/>
        <v>10.372307692307693</v>
      </c>
      <c r="BD208" s="320"/>
      <c r="BE208" s="279">
        <f t="shared" si="237"/>
        <v>10.48858695652174</v>
      </c>
      <c r="BF208" s="279">
        <f t="shared" si="237"/>
        <v>10.188197767145136</v>
      </c>
      <c r="BG208" s="320"/>
      <c r="BH208" s="279">
        <f t="shared" si="238"/>
        <v>12.322503008423586</v>
      </c>
      <c r="BI208" s="279">
        <f t="shared" si="238"/>
        <v>12.012677679600461</v>
      </c>
      <c r="BJ208" s="320"/>
      <c r="BK208" s="279">
        <f t="shared" si="239"/>
        <v>9.4605263157894743</v>
      </c>
      <c r="BL208" s="279">
        <f t="shared" si="239"/>
        <v>9.6273062730627306</v>
      </c>
      <c r="BM208" s="320"/>
      <c r="BN208" s="279">
        <f t="shared" si="240"/>
        <v>8.9934210526315788</v>
      </c>
      <c r="BO208" s="279">
        <f t="shared" si="240"/>
        <v>8.5833333333333339</v>
      </c>
      <c r="BP208" s="320"/>
      <c r="BQ208" s="279">
        <f t="shared" si="241"/>
        <v>9.9007263922518156</v>
      </c>
      <c r="BR208" s="279">
        <f t="shared" si="241"/>
        <v>9.3004807692307701</v>
      </c>
      <c r="BS208" s="320"/>
      <c r="BT208" s="279">
        <f t="shared" si="242"/>
        <v>9.3896396396396398</v>
      </c>
      <c r="BU208" s="279">
        <f t="shared" si="242"/>
        <v>9.3241379310344836</v>
      </c>
      <c r="BV208" s="320"/>
      <c r="BW208" s="279">
        <f t="shared" si="243"/>
        <v>8.2230215827338125</v>
      </c>
      <c r="BX208" s="279">
        <f t="shared" si="243"/>
        <v>7.577464788732394</v>
      </c>
      <c r="BY208" s="320"/>
      <c r="BZ208" s="279">
        <f t="shared" si="244"/>
        <v>8.7435897435897427</v>
      </c>
      <c r="CA208" s="279">
        <f t="shared" si="244"/>
        <v>8.3201320132013201</v>
      </c>
      <c r="CB208" s="320"/>
      <c r="CC208" s="279">
        <f t="shared" si="245"/>
        <v>9.4964285714285719</v>
      </c>
      <c r="CD208" s="279">
        <f t="shared" si="245"/>
        <v>8.9537366548042705</v>
      </c>
      <c r="CE208" s="320"/>
      <c r="CF208" s="279">
        <f t="shared" si="246"/>
        <v>1.2530120481927711</v>
      </c>
      <c r="CG208" s="279">
        <f t="shared" si="246"/>
        <v>1.1612903225806452</v>
      </c>
      <c r="CH208" s="320"/>
      <c r="CI208" s="279" t="e">
        <f t="shared" si="247"/>
        <v>#DIV/0!</v>
      </c>
      <c r="CJ208" s="279" t="e">
        <f t="shared" si="247"/>
        <v>#DIV/0!</v>
      </c>
      <c r="CK208" s="304"/>
      <c r="CL208" s="304"/>
      <c r="CM208" s="304"/>
      <c r="CN208" s="304"/>
      <c r="CO208" s="304"/>
      <c r="CP208" s="304"/>
      <c r="CQ208" s="304"/>
      <c r="CR208" s="304"/>
      <c r="CS208" s="304"/>
    </row>
    <row r="209" spans="1:97" x14ac:dyDescent="0.25">
      <c r="A209" s="95"/>
      <c r="B209" s="16" t="s">
        <v>1185</v>
      </c>
      <c r="C209" s="16"/>
      <c r="D209" s="95" t="s">
        <v>950</v>
      </c>
      <c r="E209" s="279">
        <f t="shared" si="248"/>
        <v>7.8342480790340288</v>
      </c>
      <c r="F209" s="279">
        <f t="shared" si="248"/>
        <v>8.0213903743315509</v>
      </c>
      <c r="G209" s="279">
        <f>G216/G223</f>
        <v>8.3283740701381515</v>
      </c>
      <c r="H209" s="279">
        <f t="shared" si="223"/>
        <v>8.1880252100840334</v>
      </c>
      <c r="I209" s="279">
        <f t="shared" si="223"/>
        <v>8.3030949839914623</v>
      </c>
      <c r="J209" s="279">
        <f t="shared" si="223"/>
        <v>8.1735966735966734</v>
      </c>
      <c r="K209" s="279">
        <f t="shared" si="223"/>
        <v>8.0396518375241772</v>
      </c>
      <c r="L209" s="279">
        <f t="shared" si="223"/>
        <v>8.3406593406593412</v>
      </c>
      <c r="M209" s="279">
        <f t="shared" si="223"/>
        <v>7.7608695652173916</v>
      </c>
      <c r="N209" s="279">
        <f t="shared" si="223"/>
        <v>7.7701149425287355</v>
      </c>
      <c r="O209" s="281"/>
      <c r="P209" s="279">
        <f t="shared" si="224"/>
        <v>8.0532359081419624</v>
      </c>
      <c r="Q209" s="279">
        <f t="shared" si="224"/>
        <v>7.3957055214723928</v>
      </c>
      <c r="R209" s="279">
        <f t="shared" si="224"/>
        <v>10.149253731343284</v>
      </c>
      <c r="S209" s="279">
        <f t="shared" si="224"/>
        <v>10.076923076923077</v>
      </c>
      <c r="T209" s="320"/>
      <c r="U209" s="279">
        <f t="shared" si="225"/>
        <v>8.4157303370786511</v>
      </c>
      <c r="V209" s="279">
        <f>V216/V223</f>
        <v>8.2528735632183903</v>
      </c>
      <c r="W209" s="320"/>
      <c r="X209" s="279">
        <f t="shared" si="226"/>
        <v>6.038095238095238</v>
      </c>
      <c r="Y209" s="279">
        <f t="shared" si="226"/>
        <v>5.9528301886792452</v>
      </c>
      <c r="Z209" s="320"/>
      <c r="AA209" s="279">
        <f t="shared" si="227"/>
        <v>7.7603305785123968</v>
      </c>
      <c r="AB209" s="279">
        <f>AB216/AB223</f>
        <v>7.4333333333333336</v>
      </c>
      <c r="AC209" s="320"/>
      <c r="AD209" s="279">
        <f t="shared" si="228"/>
        <v>6.458333333333333</v>
      </c>
      <c r="AE209" s="279">
        <f t="shared" si="228"/>
        <v>5.9714285714285715</v>
      </c>
      <c r="AF209" s="320"/>
      <c r="AG209" s="279">
        <f t="shared" si="229"/>
        <v>8.7142857142857135</v>
      </c>
      <c r="AH209" s="279">
        <f t="shared" si="229"/>
        <v>8.3666666666666671</v>
      </c>
      <c r="AI209" s="320"/>
      <c r="AJ209" s="279">
        <f t="shared" si="230"/>
        <v>7.8888888888888893</v>
      </c>
      <c r="AK209" s="279">
        <f t="shared" si="230"/>
        <v>7.166666666666667</v>
      </c>
      <c r="AL209" s="320"/>
      <c r="AM209" s="279">
        <f t="shared" si="231"/>
        <v>8.8979591836734695</v>
      </c>
      <c r="AN209" s="279">
        <f t="shared" si="231"/>
        <v>7.7918215613382902</v>
      </c>
      <c r="AO209" s="320"/>
      <c r="AP209" s="279">
        <f t="shared" si="232"/>
        <v>6.7583892617449663</v>
      </c>
      <c r="AQ209" s="279">
        <f t="shared" si="232"/>
        <v>6.1503267973856213</v>
      </c>
      <c r="AR209" s="320"/>
      <c r="AS209" s="279" t="e">
        <f t="shared" si="233"/>
        <v>#DIV/0!</v>
      </c>
      <c r="AT209" s="279" t="e">
        <f t="shared" si="233"/>
        <v>#DIV/0!</v>
      </c>
      <c r="AU209" s="320"/>
      <c r="AV209" s="279" t="e">
        <f t="shared" si="234"/>
        <v>#DIV/0!</v>
      </c>
      <c r="AW209" s="279" t="e">
        <f t="shared" si="234"/>
        <v>#DIV/0!</v>
      </c>
      <c r="AX209" s="320"/>
      <c r="AY209" s="279" t="e">
        <f t="shared" si="235"/>
        <v>#DIV/0!</v>
      </c>
      <c r="AZ209" s="279" t="e">
        <f t="shared" si="235"/>
        <v>#DIV/0!</v>
      </c>
      <c r="BA209" s="320"/>
      <c r="BB209" s="279" t="e">
        <f t="shared" si="236"/>
        <v>#DIV/0!</v>
      </c>
      <c r="BC209" s="279" t="e">
        <f t="shared" si="236"/>
        <v>#DIV/0!</v>
      </c>
      <c r="BD209" s="320"/>
      <c r="BE209" s="279" t="e">
        <f t="shared" si="237"/>
        <v>#DIV/0!</v>
      </c>
      <c r="BF209" s="279" t="e">
        <f t="shared" si="237"/>
        <v>#DIV/0!</v>
      </c>
      <c r="BG209" s="320"/>
      <c r="BH209" s="279" t="e">
        <f t="shared" si="238"/>
        <v>#DIV/0!</v>
      </c>
      <c r="BI209" s="279" t="e">
        <f t="shared" si="238"/>
        <v>#DIV/0!</v>
      </c>
      <c r="BJ209" s="320"/>
      <c r="BK209" s="279" t="e">
        <f t="shared" si="239"/>
        <v>#DIV/0!</v>
      </c>
      <c r="BL209" s="279" t="e">
        <f t="shared" si="239"/>
        <v>#DIV/0!</v>
      </c>
      <c r="BM209" s="320"/>
      <c r="BN209" s="279" t="e">
        <f t="shared" si="240"/>
        <v>#DIV/0!</v>
      </c>
      <c r="BO209" s="279" t="e">
        <f t="shared" si="240"/>
        <v>#DIV/0!</v>
      </c>
      <c r="BP209" s="320"/>
      <c r="BQ209" s="279" t="e">
        <f t="shared" si="241"/>
        <v>#DIV/0!</v>
      </c>
      <c r="BR209" s="279" t="e">
        <f t="shared" si="241"/>
        <v>#DIV/0!</v>
      </c>
      <c r="BS209" s="320"/>
      <c r="BT209" s="279" t="e">
        <f t="shared" si="242"/>
        <v>#DIV/0!</v>
      </c>
      <c r="BU209" s="279" t="e">
        <f t="shared" si="242"/>
        <v>#DIV/0!</v>
      </c>
      <c r="BV209" s="320"/>
      <c r="BW209" s="279" t="e">
        <f t="shared" si="243"/>
        <v>#DIV/0!</v>
      </c>
      <c r="BX209" s="279" t="e">
        <f t="shared" si="243"/>
        <v>#DIV/0!</v>
      </c>
      <c r="BY209" s="320"/>
      <c r="BZ209" s="279" t="e">
        <f t="shared" si="244"/>
        <v>#DIV/0!</v>
      </c>
      <c r="CA209" s="279" t="e">
        <f t="shared" si="244"/>
        <v>#DIV/0!</v>
      </c>
      <c r="CB209" s="320"/>
      <c r="CC209" s="279" t="e">
        <f t="shared" si="245"/>
        <v>#DIV/0!</v>
      </c>
      <c r="CD209" s="279" t="e">
        <f t="shared" si="245"/>
        <v>#DIV/0!</v>
      </c>
      <c r="CE209" s="320"/>
      <c r="CF209" s="279" t="e">
        <f t="shared" si="246"/>
        <v>#DIV/0!</v>
      </c>
      <c r="CG209" s="279" t="e">
        <f t="shared" si="246"/>
        <v>#DIV/0!</v>
      </c>
      <c r="CH209" s="320"/>
      <c r="CI209" s="279" t="e">
        <f t="shared" si="247"/>
        <v>#DIV/0!</v>
      </c>
      <c r="CJ209" s="279" t="e">
        <f t="shared" si="247"/>
        <v>#DIV/0!</v>
      </c>
      <c r="CK209" s="304"/>
      <c r="CL209" s="304"/>
      <c r="CM209" s="304"/>
      <c r="CN209" s="304"/>
      <c r="CO209" s="304"/>
      <c r="CP209" s="304"/>
      <c r="CQ209" s="304"/>
      <c r="CR209" s="304"/>
      <c r="CS209" s="304"/>
    </row>
    <row r="210" spans="1:97" x14ac:dyDescent="0.25">
      <c r="A210" s="95"/>
      <c r="B210" s="16" t="s">
        <v>1184</v>
      </c>
      <c r="C210" s="16"/>
      <c r="D210" s="95" t="s">
        <v>950</v>
      </c>
      <c r="E210" s="279" t="e">
        <f t="shared" si="248"/>
        <v>#DIV/0!</v>
      </c>
      <c r="F210" s="279">
        <f t="shared" si="248"/>
        <v>10.475</v>
      </c>
      <c r="G210" s="279">
        <f>G217/G224</f>
        <v>7.4117647058823533</v>
      </c>
      <c r="H210" s="279">
        <f t="shared" si="223"/>
        <v>9.8000000000000007</v>
      </c>
      <c r="I210" s="279">
        <f t="shared" si="223"/>
        <v>16.268656716417912</v>
      </c>
      <c r="J210" s="279">
        <f t="shared" si="223"/>
        <v>12.132075471698114</v>
      </c>
      <c r="K210" s="279">
        <f t="shared" si="223"/>
        <v>12.420289855072463</v>
      </c>
      <c r="L210" s="279">
        <f t="shared" si="223"/>
        <v>5</v>
      </c>
      <c r="M210" s="279">
        <f t="shared" si="223"/>
        <v>5.5</v>
      </c>
      <c r="N210" s="279">
        <f t="shared" si="223"/>
        <v>12</v>
      </c>
      <c r="O210" s="281"/>
      <c r="P210" s="279">
        <f t="shared" si="224"/>
        <v>12.420289855072463</v>
      </c>
      <c r="Q210" s="279">
        <f t="shared" si="224"/>
        <v>27.621621621621621</v>
      </c>
      <c r="R210" s="279" t="e">
        <f t="shared" si="224"/>
        <v>#DIV/0!</v>
      </c>
      <c r="S210" s="279" t="e">
        <f t="shared" si="224"/>
        <v>#DIV/0!</v>
      </c>
      <c r="T210" s="320"/>
      <c r="U210" s="279" t="e">
        <f t="shared" si="225"/>
        <v>#DIV/0!</v>
      </c>
      <c r="V210" s="279" t="e">
        <f>V217/V224</f>
        <v>#DIV/0!</v>
      </c>
      <c r="W210" s="320"/>
      <c r="X210" s="279" t="e">
        <f t="shared" si="226"/>
        <v>#DIV/0!</v>
      </c>
      <c r="Y210" s="279" t="e">
        <f t="shared" si="226"/>
        <v>#DIV/0!</v>
      </c>
      <c r="Z210" s="320"/>
      <c r="AA210" s="279" t="e">
        <f t="shared" si="227"/>
        <v>#DIV/0!</v>
      </c>
      <c r="AB210" s="279" t="e">
        <f>AB217/AB224</f>
        <v>#DIV/0!</v>
      </c>
      <c r="AC210" s="320"/>
      <c r="AD210" s="279" t="e">
        <f t="shared" si="228"/>
        <v>#DIV/0!</v>
      </c>
      <c r="AE210" s="279" t="e">
        <f t="shared" si="228"/>
        <v>#DIV/0!</v>
      </c>
      <c r="AF210" s="320"/>
      <c r="AG210" s="279">
        <f t="shared" si="229"/>
        <v>5.5</v>
      </c>
      <c r="AH210" s="279">
        <f t="shared" si="229"/>
        <v>5</v>
      </c>
      <c r="AI210" s="320"/>
      <c r="AJ210" s="279" t="e">
        <f t="shared" si="230"/>
        <v>#DIV/0!</v>
      </c>
      <c r="AK210" s="279" t="e">
        <f t="shared" si="230"/>
        <v>#DIV/0!</v>
      </c>
      <c r="AL210" s="320"/>
      <c r="AM210" s="279" t="e">
        <f t="shared" si="231"/>
        <v>#DIV/0!</v>
      </c>
      <c r="AN210" s="279" t="e">
        <f t="shared" si="231"/>
        <v>#DIV/0!</v>
      </c>
      <c r="AO210" s="320"/>
      <c r="AP210" s="279" t="e">
        <f t="shared" si="232"/>
        <v>#DIV/0!</v>
      </c>
      <c r="AQ210" s="279" t="e">
        <f t="shared" si="232"/>
        <v>#DIV/0!</v>
      </c>
      <c r="AR210" s="320"/>
      <c r="AS210" s="279">
        <f t="shared" si="233"/>
        <v>14.772727272727273</v>
      </c>
      <c r="AT210" s="279">
        <f t="shared" si="233"/>
        <v>16.5</v>
      </c>
      <c r="AU210" s="320"/>
      <c r="AV210" s="279" t="e">
        <f t="shared" si="234"/>
        <v>#DIV/0!</v>
      </c>
      <c r="AW210" s="279" t="e">
        <f t="shared" si="234"/>
        <v>#DIV/0!</v>
      </c>
      <c r="AX210" s="320"/>
      <c r="AY210" s="279">
        <f t="shared" si="235"/>
        <v>9</v>
      </c>
      <c r="AZ210" s="279" t="e">
        <f t="shared" si="235"/>
        <v>#DIV/0!</v>
      </c>
      <c r="BA210" s="320"/>
      <c r="BB210" s="279">
        <f t="shared" si="236"/>
        <v>18.615384615384617</v>
      </c>
      <c r="BC210" s="279" t="e">
        <f t="shared" si="236"/>
        <v>#DIV/0!</v>
      </c>
      <c r="BD210" s="320"/>
      <c r="BE210" s="279">
        <f t="shared" si="237"/>
        <v>9</v>
      </c>
      <c r="BF210" s="279" t="e">
        <f t="shared" si="237"/>
        <v>#DIV/0!</v>
      </c>
      <c r="BG210" s="320"/>
      <c r="BH210" s="279">
        <f t="shared" si="238"/>
        <v>8.5714285714285712</v>
      </c>
      <c r="BI210" s="279">
        <f t="shared" si="238"/>
        <v>6.4615384615384617</v>
      </c>
      <c r="BJ210" s="320"/>
      <c r="BK210" s="279" t="e">
        <f t="shared" si="239"/>
        <v>#DIV/0!</v>
      </c>
      <c r="BL210" s="279" t="e">
        <f t="shared" si="239"/>
        <v>#DIV/0!</v>
      </c>
      <c r="BM210" s="320"/>
      <c r="BN210" s="279" t="e">
        <f t="shared" si="240"/>
        <v>#DIV/0!</v>
      </c>
      <c r="BO210" s="279" t="e">
        <f t="shared" si="240"/>
        <v>#DIV/0!</v>
      </c>
      <c r="BP210" s="320"/>
      <c r="BQ210" s="279" t="e">
        <f t="shared" si="241"/>
        <v>#DIV/0!</v>
      </c>
      <c r="BR210" s="279" t="e">
        <f t="shared" si="241"/>
        <v>#DIV/0!</v>
      </c>
      <c r="BS210" s="320"/>
      <c r="BT210" s="279" t="e">
        <f t="shared" si="242"/>
        <v>#DIV/0!</v>
      </c>
      <c r="BU210" s="279" t="e">
        <f t="shared" si="242"/>
        <v>#DIV/0!</v>
      </c>
      <c r="BV210" s="320"/>
      <c r="BW210" s="279" t="e">
        <f t="shared" si="243"/>
        <v>#DIV/0!</v>
      </c>
      <c r="BX210" s="279" t="e">
        <f t="shared" si="243"/>
        <v>#DIV/0!</v>
      </c>
      <c r="BY210" s="320"/>
      <c r="BZ210" s="279" t="e">
        <f t="shared" si="244"/>
        <v>#DIV/0!</v>
      </c>
      <c r="CA210" s="279" t="e">
        <f t="shared" si="244"/>
        <v>#DIV/0!</v>
      </c>
      <c r="CB210" s="320"/>
      <c r="CC210" s="279" t="e">
        <f t="shared" si="245"/>
        <v>#DIV/0!</v>
      </c>
      <c r="CD210" s="279" t="e">
        <f t="shared" si="245"/>
        <v>#DIV/0!</v>
      </c>
      <c r="CE210" s="320"/>
      <c r="CF210" s="279" t="e">
        <f t="shared" si="246"/>
        <v>#DIV/0!</v>
      </c>
      <c r="CG210" s="279" t="e">
        <f t="shared" si="246"/>
        <v>#DIV/0!</v>
      </c>
      <c r="CH210" s="320"/>
      <c r="CI210" s="279" t="e">
        <f t="shared" si="247"/>
        <v>#DIV/0!</v>
      </c>
      <c r="CJ210" s="279" t="e">
        <f t="shared" si="247"/>
        <v>#DIV/0!</v>
      </c>
      <c r="CK210" s="304"/>
      <c r="CL210" s="304"/>
      <c r="CM210" s="304"/>
      <c r="CN210" s="304"/>
      <c r="CO210" s="304"/>
      <c r="CP210" s="304"/>
      <c r="CQ210" s="304"/>
      <c r="CR210" s="304"/>
      <c r="CS210" s="304"/>
    </row>
    <row r="211" spans="1:97" x14ac:dyDescent="0.25">
      <c r="A211" s="95"/>
      <c r="B211" s="16" t="s">
        <v>1183</v>
      </c>
      <c r="C211" s="16"/>
      <c r="D211" s="95" t="s">
        <v>950</v>
      </c>
      <c r="E211" s="279" t="e">
        <f t="shared" si="248"/>
        <v>#DIV/0!</v>
      </c>
      <c r="F211" s="279">
        <f t="shared" si="248"/>
        <v>10.475</v>
      </c>
      <c r="G211" s="279">
        <f>G218/G225</f>
        <v>7.4117647058823533</v>
      </c>
      <c r="H211" s="279">
        <f t="shared" si="223"/>
        <v>9.8000000000000007</v>
      </c>
      <c r="I211" s="279">
        <f t="shared" si="223"/>
        <v>16.268656716417912</v>
      </c>
      <c r="J211" s="279">
        <f t="shared" si="223"/>
        <v>12.132075471698114</v>
      </c>
      <c r="K211" s="279">
        <f t="shared" si="223"/>
        <v>12.420289855072463</v>
      </c>
      <c r="L211" s="279">
        <f t="shared" si="223"/>
        <v>5</v>
      </c>
      <c r="M211" s="279">
        <f t="shared" si="223"/>
        <v>5.5</v>
      </c>
      <c r="N211" s="279">
        <f t="shared" si="223"/>
        <v>12</v>
      </c>
      <c r="O211" s="281"/>
      <c r="P211" s="279">
        <f t="shared" si="224"/>
        <v>12.420289855072463</v>
      </c>
      <c r="Q211" s="279">
        <f t="shared" si="224"/>
        <v>27.621621621621621</v>
      </c>
      <c r="R211" s="279" t="e">
        <f t="shared" si="224"/>
        <v>#DIV/0!</v>
      </c>
      <c r="S211" s="279" t="e">
        <f t="shared" si="224"/>
        <v>#DIV/0!</v>
      </c>
      <c r="T211" s="320"/>
      <c r="U211" s="279" t="e">
        <f t="shared" si="225"/>
        <v>#DIV/0!</v>
      </c>
      <c r="V211" s="279" t="e">
        <f>V218/V225</f>
        <v>#DIV/0!</v>
      </c>
      <c r="W211" s="320"/>
      <c r="X211" s="279" t="e">
        <f t="shared" si="226"/>
        <v>#DIV/0!</v>
      </c>
      <c r="Y211" s="279" t="e">
        <f t="shared" si="226"/>
        <v>#DIV/0!</v>
      </c>
      <c r="Z211" s="320"/>
      <c r="AA211" s="279" t="e">
        <f t="shared" si="227"/>
        <v>#DIV/0!</v>
      </c>
      <c r="AB211" s="279" t="e">
        <f>AB218/AB225</f>
        <v>#DIV/0!</v>
      </c>
      <c r="AC211" s="320"/>
      <c r="AD211" s="279" t="e">
        <f t="shared" si="228"/>
        <v>#DIV/0!</v>
      </c>
      <c r="AE211" s="279" t="e">
        <f t="shared" si="228"/>
        <v>#DIV/0!</v>
      </c>
      <c r="AF211" s="320"/>
      <c r="AG211" s="279">
        <f t="shared" si="229"/>
        <v>5.5</v>
      </c>
      <c r="AH211" s="279">
        <f t="shared" si="229"/>
        <v>5</v>
      </c>
      <c r="AI211" s="320"/>
      <c r="AJ211" s="279" t="e">
        <f t="shared" si="230"/>
        <v>#DIV/0!</v>
      </c>
      <c r="AK211" s="279" t="e">
        <f t="shared" si="230"/>
        <v>#DIV/0!</v>
      </c>
      <c r="AL211" s="320"/>
      <c r="AM211" s="279" t="e">
        <f t="shared" si="231"/>
        <v>#DIV/0!</v>
      </c>
      <c r="AN211" s="279" t="e">
        <f t="shared" si="231"/>
        <v>#DIV/0!</v>
      </c>
      <c r="AO211" s="320"/>
      <c r="AP211" s="279" t="e">
        <f t="shared" si="232"/>
        <v>#DIV/0!</v>
      </c>
      <c r="AQ211" s="279" t="e">
        <f t="shared" si="232"/>
        <v>#DIV/0!</v>
      </c>
      <c r="AR211" s="320"/>
      <c r="AS211" s="279">
        <f t="shared" si="233"/>
        <v>14.772727272727273</v>
      </c>
      <c r="AT211" s="279">
        <f t="shared" si="233"/>
        <v>16.5</v>
      </c>
      <c r="AU211" s="320"/>
      <c r="AV211" s="279" t="e">
        <f t="shared" si="234"/>
        <v>#DIV/0!</v>
      </c>
      <c r="AW211" s="279" t="e">
        <f t="shared" si="234"/>
        <v>#DIV/0!</v>
      </c>
      <c r="AX211" s="320"/>
      <c r="AY211" s="279">
        <f t="shared" si="235"/>
        <v>9</v>
      </c>
      <c r="AZ211" s="279" t="e">
        <f t="shared" si="235"/>
        <v>#DIV/0!</v>
      </c>
      <c r="BA211" s="320"/>
      <c r="BB211" s="279">
        <f t="shared" si="236"/>
        <v>18.615384615384617</v>
      </c>
      <c r="BC211" s="279" t="e">
        <f t="shared" si="236"/>
        <v>#DIV/0!</v>
      </c>
      <c r="BD211" s="320"/>
      <c r="BE211" s="279">
        <f t="shared" si="237"/>
        <v>9</v>
      </c>
      <c r="BF211" s="279" t="e">
        <f t="shared" si="237"/>
        <v>#DIV/0!</v>
      </c>
      <c r="BG211" s="320"/>
      <c r="BH211" s="279">
        <f t="shared" si="238"/>
        <v>8.5714285714285712</v>
      </c>
      <c r="BI211" s="279">
        <f t="shared" si="238"/>
        <v>6.4615384615384617</v>
      </c>
      <c r="BJ211" s="320"/>
      <c r="BK211" s="279" t="e">
        <f t="shared" si="239"/>
        <v>#DIV/0!</v>
      </c>
      <c r="BL211" s="279" t="e">
        <f t="shared" si="239"/>
        <v>#DIV/0!</v>
      </c>
      <c r="BM211" s="320"/>
      <c r="BN211" s="279" t="e">
        <f t="shared" si="240"/>
        <v>#DIV/0!</v>
      </c>
      <c r="BO211" s="279" t="e">
        <f t="shared" si="240"/>
        <v>#DIV/0!</v>
      </c>
      <c r="BP211" s="320"/>
      <c r="BQ211" s="279" t="e">
        <f t="shared" si="241"/>
        <v>#DIV/0!</v>
      </c>
      <c r="BR211" s="279" t="e">
        <f t="shared" si="241"/>
        <v>#DIV/0!</v>
      </c>
      <c r="BS211" s="320"/>
      <c r="BT211" s="279" t="e">
        <f t="shared" si="242"/>
        <v>#DIV/0!</v>
      </c>
      <c r="BU211" s="279" t="e">
        <f t="shared" si="242"/>
        <v>#DIV/0!</v>
      </c>
      <c r="BV211" s="320"/>
      <c r="BW211" s="279" t="e">
        <f t="shared" si="243"/>
        <v>#DIV/0!</v>
      </c>
      <c r="BX211" s="279" t="e">
        <f t="shared" si="243"/>
        <v>#DIV/0!</v>
      </c>
      <c r="BY211" s="320"/>
      <c r="BZ211" s="279" t="e">
        <f t="shared" si="244"/>
        <v>#DIV/0!</v>
      </c>
      <c r="CA211" s="279" t="e">
        <f t="shared" si="244"/>
        <v>#DIV/0!</v>
      </c>
      <c r="CB211" s="320"/>
      <c r="CC211" s="279" t="e">
        <f t="shared" si="245"/>
        <v>#DIV/0!</v>
      </c>
      <c r="CD211" s="279" t="e">
        <f t="shared" si="245"/>
        <v>#DIV/0!</v>
      </c>
      <c r="CE211" s="320"/>
      <c r="CF211" s="279" t="e">
        <f t="shared" si="246"/>
        <v>#DIV/0!</v>
      </c>
      <c r="CG211" s="279" t="e">
        <f t="shared" si="246"/>
        <v>#DIV/0!</v>
      </c>
      <c r="CH211" s="320"/>
      <c r="CI211" s="279" t="e">
        <f t="shared" si="247"/>
        <v>#DIV/0!</v>
      </c>
      <c r="CJ211" s="279" t="e">
        <f t="shared" si="247"/>
        <v>#DIV/0!</v>
      </c>
      <c r="CK211" s="304"/>
      <c r="CL211" s="304"/>
      <c r="CM211" s="304"/>
      <c r="CN211" s="304"/>
      <c r="CO211" s="304"/>
      <c r="CP211" s="304"/>
      <c r="CQ211" s="304"/>
      <c r="CR211" s="304"/>
      <c r="CS211" s="304"/>
    </row>
    <row r="212" spans="1:97" x14ac:dyDescent="0.25">
      <c r="A212" s="95"/>
      <c r="B212" s="16" t="s">
        <v>1185</v>
      </c>
      <c r="C212" s="16"/>
      <c r="D212" s="95" t="s">
        <v>950</v>
      </c>
      <c r="E212" s="279" t="e">
        <f t="shared" si="248"/>
        <v>#DIV/0!</v>
      </c>
      <c r="F212" s="279" t="e">
        <f t="shared" si="248"/>
        <v>#DIV/0!</v>
      </c>
      <c r="G212" s="279" t="e">
        <f>G219/G226</f>
        <v>#DIV/0!</v>
      </c>
      <c r="H212" s="279" t="e">
        <f t="shared" si="223"/>
        <v>#DIV/0!</v>
      </c>
      <c r="I212" s="279" t="e">
        <f t="shared" si="223"/>
        <v>#DIV/0!</v>
      </c>
      <c r="J212" s="279" t="e">
        <f t="shared" si="223"/>
        <v>#DIV/0!</v>
      </c>
      <c r="K212" s="279" t="e">
        <f t="shared" si="223"/>
        <v>#DIV/0!</v>
      </c>
      <c r="L212" s="279" t="e">
        <f t="shared" si="223"/>
        <v>#DIV/0!</v>
      </c>
      <c r="M212" s="279" t="e">
        <f t="shared" si="223"/>
        <v>#DIV/0!</v>
      </c>
      <c r="N212" s="279" t="e">
        <f t="shared" si="223"/>
        <v>#DIV/0!</v>
      </c>
      <c r="O212" s="281"/>
      <c r="P212" s="279" t="e">
        <f t="shared" si="224"/>
        <v>#DIV/0!</v>
      </c>
      <c r="Q212" s="279" t="e">
        <f t="shared" si="224"/>
        <v>#DIV/0!</v>
      </c>
      <c r="R212" s="279" t="e">
        <f t="shared" si="224"/>
        <v>#DIV/0!</v>
      </c>
      <c r="S212" s="279" t="e">
        <f t="shared" si="224"/>
        <v>#DIV/0!</v>
      </c>
      <c r="T212" s="320"/>
      <c r="U212" s="279" t="e">
        <f t="shared" si="225"/>
        <v>#DIV/0!</v>
      </c>
      <c r="V212" s="279" t="e">
        <f>V219/V226</f>
        <v>#DIV/0!</v>
      </c>
      <c r="W212" s="320"/>
      <c r="X212" s="279" t="e">
        <f t="shared" si="226"/>
        <v>#DIV/0!</v>
      </c>
      <c r="Y212" s="279" t="e">
        <f t="shared" si="226"/>
        <v>#DIV/0!</v>
      </c>
      <c r="Z212" s="320"/>
      <c r="AA212" s="279" t="e">
        <f t="shared" si="227"/>
        <v>#DIV/0!</v>
      </c>
      <c r="AB212" s="279" t="e">
        <f>AB219/AB226</f>
        <v>#DIV/0!</v>
      </c>
      <c r="AC212" s="320"/>
      <c r="AD212" s="279" t="e">
        <f t="shared" si="228"/>
        <v>#DIV/0!</v>
      </c>
      <c r="AE212" s="279" t="e">
        <f t="shared" si="228"/>
        <v>#DIV/0!</v>
      </c>
      <c r="AF212" s="320"/>
      <c r="AG212" s="279" t="e">
        <f t="shared" si="229"/>
        <v>#DIV/0!</v>
      </c>
      <c r="AH212" s="279" t="e">
        <f t="shared" si="229"/>
        <v>#DIV/0!</v>
      </c>
      <c r="AI212" s="320"/>
      <c r="AJ212" s="279" t="e">
        <f t="shared" si="230"/>
        <v>#DIV/0!</v>
      </c>
      <c r="AK212" s="279" t="e">
        <f t="shared" si="230"/>
        <v>#DIV/0!</v>
      </c>
      <c r="AL212" s="320"/>
      <c r="AM212" s="279" t="e">
        <f t="shared" si="231"/>
        <v>#DIV/0!</v>
      </c>
      <c r="AN212" s="279" t="e">
        <f t="shared" si="231"/>
        <v>#DIV/0!</v>
      </c>
      <c r="AO212" s="320"/>
      <c r="AP212" s="279" t="e">
        <f t="shared" si="232"/>
        <v>#DIV/0!</v>
      </c>
      <c r="AQ212" s="279" t="e">
        <f t="shared" si="232"/>
        <v>#DIV/0!</v>
      </c>
      <c r="AR212" s="320"/>
      <c r="AS212" s="279" t="e">
        <f t="shared" si="233"/>
        <v>#DIV/0!</v>
      </c>
      <c r="AT212" s="279" t="e">
        <f t="shared" si="233"/>
        <v>#DIV/0!</v>
      </c>
      <c r="AU212" s="320"/>
      <c r="AV212" s="279" t="e">
        <f t="shared" si="234"/>
        <v>#DIV/0!</v>
      </c>
      <c r="AW212" s="279" t="e">
        <f t="shared" si="234"/>
        <v>#DIV/0!</v>
      </c>
      <c r="AX212" s="320"/>
      <c r="AY212" s="279" t="e">
        <f t="shared" si="235"/>
        <v>#DIV/0!</v>
      </c>
      <c r="AZ212" s="279" t="e">
        <f t="shared" si="235"/>
        <v>#DIV/0!</v>
      </c>
      <c r="BA212" s="320"/>
      <c r="BB212" s="279" t="e">
        <f t="shared" si="236"/>
        <v>#DIV/0!</v>
      </c>
      <c r="BC212" s="279" t="e">
        <f t="shared" si="236"/>
        <v>#DIV/0!</v>
      </c>
      <c r="BD212" s="320"/>
      <c r="BE212" s="279" t="e">
        <f t="shared" si="237"/>
        <v>#DIV/0!</v>
      </c>
      <c r="BF212" s="279" t="e">
        <f t="shared" si="237"/>
        <v>#DIV/0!</v>
      </c>
      <c r="BG212" s="320"/>
      <c r="BH212" s="279" t="e">
        <f t="shared" si="238"/>
        <v>#DIV/0!</v>
      </c>
      <c r="BI212" s="279" t="e">
        <f t="shared" si="238"/>
        <v>#DIV/0!</v>
      </c>
      <c r="BJ212" s="320"/>
      <c r="BK212" s="279" t="e">
        <f t="shared" si="239"/>
        <v>#DIV/0!</v>
      </c>
      <c r="BL212" s="279" t="e">
        <f t="shared" si="239"/>
        <v>#DIV/0!</v>
      </c>
      <c r="BM212" s="320"/>
      <c r="BN212" s="279" t="e">
        <f t="shared" si="240"/>
        <v>#DIV/0!</v>
      </c>
      <c r="BO212" s="279" t="e">
        <f t="shared" si="240"/>
        <v>#DIV/0!</v>
      </c>
      <c r="BP212" s="320"/>
      <c r="BQ212" s="279" t="e">
        <f t="shared" si="241"/>
        <v>#DIV/0!</v>
      </c>
      <c r="BR212" s="279" t="e">
        <f t="shared" si="241"/>
        <v>#DIV/0!</v>
      </c>
      <c r="BS212" s="320"/>
      <c r="BT212" s="279" t="e">
        <f t="shared" si="242"/>
        <v>#DIV/0!</v>
      </c>
      <c r="BU212" s="279" t="e">
        <f t="shared" si="242"/>
        <v>#DIV/0!</v>
      </c>
      <c r="BV212" s="320"/>
      <c r="BW212" s="279" t="e">
        <f t="shared" si="243"/>
        <v>#DIV/0!</v>
      </c>
      <c r="BX212" s="279" t="e">
        <f t="shared" si="243"/>
        <v>#DIV/0!</v>
      </c>
      <c r="BY212" s="320"/>
      <c r="BZ212" s="279" t="e">
        <f t="shared" si="244"/>
        <v>#DIV/0!</v>
      </c>
      <c r="CA212" s="279" t="e">
        <f t="shared" si="244"/>
        <v>#DIV/0!</v>
      </c>
      <c r="CB212" s="320"/>
      <c r="CC212" s="279" t="e">
        <f t="shared" si="245"/>
        <v>#DIV/0!</v>
      </c>
      <c r="CD212" s="279" t="e">
        <f t="shared" si="245"/>
        <v>#DIV/0!</v>
      </c>
      <c r="CE212" s="320"/>
      <c r="CF212" s="279" t="e">
        <f t="shared" si="246"/>
        <v>#DIV/0!</v>
      </c>
      <c r="CG212" s="279" t="e">
        <f t="shared" si="246"/>
        <v>#DIV/0!</v>
      </c>
      <c r="CH212" s="320"/>
      <c r="CI212" s="279" t="e">
        <f t="shared" si="247"/>
        <v>#DIV/0!</v>
      </c>
      <c r="CJ212" s="279" t="e">
        <f t="shared" si="247"/>
        <v>#DIV/0!</v>
      </c>
      <c r="CK212" s="304"/>
      <c r="CL212" s="304"/>
      <c r="CM212" s="304"/>
      <c r="CN212" s="304"/>
      <c r="CO212" s="304"/>
      <c r="CP212" s="304"/>
      <c r="CQ212" s="304"/>
      <c r="CR212" s="304"/>
      <c r="CS212" s="304"/>
    </row>
    <row r="213" spans="1:97" ht="45" x14ac:dyDescent="0.25">
      <c r="A213" s="107"/>
      <c r="B213" s="16" t="s">
        <v>16</v>
      </c>
      <c r="C213" s="95" t="s">
        <v>17</v>
      </c>
      <c r="D213" s="95" t="s">
        <v>950</v>
      </c>
      <c r="E213" s="282"/>
      <c r="F213" s="282"/>
      <c r="G213" s="282"/>
      <c r="H213" s="282"/>
      <c r="I213" s="282">
        <f>I214+I217</f>
        <v>113543</v>
      </c>
      <c r="J213" s="282">
        <f>J214+J217</f>
        <v>118154</v>
      </c>
      <c r="K213" s="282">
        <f>K214+K217</f>
        <v>116997</v>
      </c>
      <c r="L213" s="282">
        <f t="shared" ref="L213:N213" si="249">L214+L217</f>
        <v>1830</v>
      </c>
      <c r="M213" s="282">
        <f t="shared" si="249"/>
        <v>1721</v>
      </c>
      <c r="N213" s="282">
        <f t="shared" si="249"/>
        <v>1631</v>
      </c>
      <c r="O213" s="286" t="s">
        <v>1396</v>
      </c>
      <c r="P213" s="282">
        <f>P214+P217</f>
        <v>116997</v>
      </c>
      <c r="Q213" s="282">
        <f>Q214+Q217</f>
        <v>114092</v>
      </c>
      <c r="R213" s="282">
        <f>R214+R217</f>
        <v>2132</v>
      </c>
      <c r="S213" s="282">
        <f>S214+S217</f>
        <v>2000</v>
      </c>
      <c r="T213" s="304"/>
      <c r="U213" s="282">
        <f>U214+U217</f>
        <v>1791</v>
      </c>
      <c r="V213" s="282">
        <f>V214+V217</f>
        <v>1668</v>
      </c>
      <c r="W213" s="304"/>
      <c r="X213" s="282">
        <f>X214+X217</f>
        <v>2064</v>
      </c>
      <c r="Y213" s="282">
        <f>Y214+Y217</f>
        <v>1974</v>
      </c>
      <c r="Z213" s="304"/>
      <c r="AA213" s="282">
        <f>AA214+AA217</f>
        <v>2385</v>
      </c>
      <c r="AB213" s="282">
        <f>AB214+AB217</f>
        <v>2194</v>
      </c>
      <c r="AC213" s="304"/>
      <c r="AD213" s="282">
        <f>AD214+AD217</f>
        <v>2276</v>
      </c>
      <c r="AE213" s="282">
        <f>AE214+AE217</f>
        <v>2078</v>
      </c>
      <c r="AF213" s="304"/>
      <c r="AG213" s="282">
        <f>AG214+AG217</f>
        <v>1890</v>
      </c>
      <c r="AH213" s="282">
        <f>AH214+AH217</f>
        <v>1830</v>
      </c>
      <c r="AI213" s="304"/>
      <c r="AJ213" s="282">
        <f>AJ214+AJ217</f>
        <v>3140</v>
      </c>
      <c r="AK213" s="282">
        <f>AK214+AK217</f>
        <v>2943</v>
      </c>
      <c r="AL213" s="304"/>
      <c r="AM213" s="282">
        <f>AM214+AM217</f>
        <v>8026</v>
      </c>
      <c r="AN213" s="282">
        <f>AN214+AN217</f>
        <v>7624</v>
      </c>
      <c r="AO213" s="304"/>
      <c r="AP213" s="282">
        <f>AP214+AP217</f>
        <v>1007</v>
      </c>
      <c r="AQ213" s="282">
        <f>AQ214+AQ217</f>
        <v>941</v>
      </c>
      <c r="AR213" s="304"/>
      <c r="AS213" s="282">
        <f>AS214+AS217</f>
        <v>8100</v>
      </c>
      <c r="AT213" s="282">
        <f>AT214+AT217</f>
        <v>8102</v>
      </c>
      <c r="AU213" s="304"/>
      <c r="AV213" s="282">
        <f>AV214+AV217</f>
        <v>2401</v>
      </c>
      <c r="AW213" s="282">
        <f>AW214+AW217</f>
        <v>2131</v>
      </c>
      <c r="AX213" s="304"/>
      <c r="AY213" s="282">
        <f>AY214+AY217</f>
        <v>3769</v>
      </c>
      <c r="AZ213" s="282">
        <f>AZ214+AZ217</f>
        <v>3453</v>
      </c>
      <c r="BA213" s="304"/>
      <c r="BB213" s="282">
        <f>BB214+BB217</f>
        <v>7279</v>
      </c>
      <c r="BC213" s="282">
        <f>BC214+BC217</f>
        <v>7307</v>
      </c>
      <c r="BD213" s="304"/>
      <c r="BE213" s="282">
        <f>BE214+BE217</f>
        <v>19335</v>
      </c>
      <c r="BF213" s="282">
        <f>BF214+BF217</f>
        <v>19164</v>
      </c>
      <c r="BG213" s="304"/>
      <c r="BH213" s="282">
        <f>BH214+BH217</f>
        <v>30900</v>
      </c>
      <c r="BI213" s="282">
        <f>BI214+BI217</f>
        <v>31353</v>
      </c>
      <c r="BJ213" s="304"/>
      <c r="BK213" s="282">
        <f>BK214+BK217</f>
        <v>2876</v>
      </c>
      <c r="BL213" s="282">
        <f>BL214+BL217</f>
        <v>2609</v>
      </c>
      <c r="BM213" s="304"/>
      <c r="BN213" s="282">
        <f>BN214+BN217</f>
        <v>2734</v>
      </c>
      <c r="BO213" s="282">
        <f>BO214+BO217</f>
        <v>2575</v>
      </c>
      <c r="BP213" s="304"/>
      <c r="BQ213" s="282">
        <f>BQ214+BQ217</f>
        <v>4089</v>
      </c>
      <c r="BR213" s="282">
        <f>BR214+BR217</f>
        <v>3869</v>
      </c>
      <c r="BS213" s="304"/>
      <c r="BT213" s="282">
        <f>BT214+BT217</f>
        <v>4169</v>
      </c>
      <c r="BU213" s="282">
        <f>BU214+BU217</f>
        <v>4056</v>
      </c>
      <c r="BV213" s="304"/>
      <c r="BW213" s="282">
        <f>BW214+BW217</f>
        <v>1143</v>
      </c>
      <c r="BX213" s="282">
        <f>BX214+BX217</f>
        <v>1076</v>
      </c>
      <c r="BY213" s="304"/>
      <c r="BZ213" s="282">
        <f>BZ214+BZ217</f>
        <v>2728</v>
      </c>
      <c r="CA213" s="282">
        <f>CA214+CA217</f>
        <v>2521</v>
      </c>
      <c r="CB213" s="304"/>
      <c r="CC213" s="282">
        <f>CC214+CC217</f>
        <v>2659</v>
      </c>
      <c r="CD213" s="282">
        <f>CD214+CD217</f>
        <v>2516</v>
      </c>
      <c r="CE213" s="304"/>
      <c r="CF213" s="282">
        <f>CF214+CF217</f>
        <v>104</v>
      </c>
      <c r="CG213" s="282">
        <f>CG214+CG217</f>
        <v>108</v>
      </c>
      <c r="CH213" s="304"/>
      <c r="CI213" s="282">
        <f>CI214+CI217</f>
        <v>0</v>
      </c>
      <c r="CJ213" s="282">
        <f>CJ214+CJ217</f>
        <v>0</v>
      </c>
      <c r="CK213" s="304"/>
      <c r="CL213" s="304"/>
      <c r="CM213" s="304"/>
      <c r="CN213" s="304"/>
      <c r="CO213" s="304"/>
      <c r="CP213" s="304"/>
      <c r="CQ213" s="304"/>
      <c r="CR213" s="304"/>
      <c r="CS213" s="304"/>
    </row>
    <row r="214" spans="1:97" x14ac:dyDescent="0.25">
      <c r="A214" s="107"/>
      <c r="B214" s="16" t="s">
        <v>1182</v>
      </c>
      <c r="C214" s="95"/>
      <c r="D214" s="95"/>
      <c r="E214" s="282">
        <f t="shared" ref="E214:J214" si="250">E215+E216</f>
        <v>85833</v>
      </c>
      <c r="F214" s="282">
        <f t="shared" si="250"/>
        <v>97838</v>
      </c>
      <c r="G214" s="282">
        <f t="shared" si="250"/>
        <v>105853</v>
      </c>
      <c r="H214" s="282">
        <f t="shared" si="250"/>
        <v>109230</v>
      </c>
      <c r="I214" s="103">
        <f t="shared" si="250"/>
        <v>112453</v>
      </c>
      <c r="J214" s="103">
        <f t="shared" si="250"/>
        <v>117511</v>
      </c>
      <c r="K214" s="103">
        <f>K215+K216</f>
        <v>116140</v>
      </c>
      <c r="L214" s="103">
        <f t="shared" ref="L214:N214" si="251">L215+L216</f>
        <v>1820</v>
      </c>
      <c r="M214" s="103">
        <f t="shared" si="251"/>
        <v>1710</v>
      </c>
      <c r="N214" s="103">
        <f t="shared" si="251"/>
        <v>1619</v>
      </c>
      <c r="O214" s="286"/>
      <c r="P214" s="103">
        <f>P215+P216</f>
        <v>116140</v>
      </c>
      <c r="Q214" s="103">
        <f>Q215+Q216</f>
        <v>113070</v>
      </c>
      <c r="R214" s="103">
        <f>R215+R216</f>
        <v>2132</v>
      </c>
      <c r="S214" s="103">
        <f>S215+S216</f>
        <v>2000</v>
      </c>
      <c r="T214" s="305"/>
      <c r="U214" s="103">
        <f>U215+U216</f>
        <v>1791</v>
      </c>
      <c r="V214" s="103">
        <f>V215+V216</f>
        <v>1668</v>
      </c>
      <c r="W214" s="305"/>
      <c r="X214" s="103">
        <f>X215+X216</f>
        <v>2064</v>
      </c>
      <c r="Y214" s="103">
        <f>Y215+Y216</f>
        <v>1974</v>
      </c>
      <c r="Z214" s="305"/>
      <c r="AA214" s="103">
        <f>AA215+AA216</f>
        <v>2385</v>
      </c>
      <c r="AB214" s="103">
        <f>AB215+AB216</f>
        <v>2194</v>
      </c>
      <c r="AC214" s="305"/>
      <c r="AD214" s="103">
        <f>AD215+AD216</f>
        <v>2276</v>
      </c>
      <c r="AE214" s="103">
        <f>AE215+AE216</f>
        <v>2078</v>
      </c>
      <c r="AF214" s="305"/>
      <c r="AG214" s="103">
        <f>AG215+AG216</f>
        <v>1879</v>
      </c>
      <c r="AH214" s="103">
        <f>AH215+AH216</f>
        <v>1820</v>
      </c>
      <c r="AI214" s="305"/>
      <c r="AJ214" s="103">
        <f>AJ215+AJ216</f>
        <v>3140</v>
      </c>
      <c r="AK214" s="103">
        <f>AK215+AK216</f>
        <v>2943</v>
      </c>
      <c r="AL214" s="305"/>
      <c r="AM214" s="103">
        <f>AM215+AM216</f>
        <v>8026</v>
      </c>
      <c r="AN214" s="103">
        <f>AN215+AN216</f>
        <v>7624</v>
      </c>
      <c r="AO214" s="305"/>
      <c r="AP214" s="103">
        <f>AP215+AP216</f>
        <v>1007</v>
      </c>
      <c r="AQ214" s="103">
        <f>AQ215+AQ216</f>
        <v>941</v>
      </c>
      <c r="AR214" s="305"/>
      <c r="AS214" s="103">
        <f>AS215+AS216</f>
        <v>7775</v>
      </c>
      <c r="AT214" s="103">
        <f>AT215+AT216</f>
        <v>7739</v>
      </c>
      <c r="AU214" s="305"/>
      <c r="AV214" s="103">
        <f>AV215+AV216</f>
        <v>2401</v>
      </c>
      <c r="AW214" s="103">
        <f>AW215+AW216</f>
        <v>2131</v>
      </c>
      <c r="AX214" s="305"/>
      <c r="AY214" s="103">
        <f>AY215+AY216</f>
        <v>3706</v>
      </c>
      <c r="AZ214" s="103">
        <f>AZ215+AZ216</f>
        <v>3453</v>
      </c>
      <c r="BA214" s="305"/>
      <c r="BB214" s="103">
        <f>BB215+BB216</f>
        <v>7037</v>
      </c>
      <c r="BC214" s="103">
        <f>BC215+BC216</f>
        <v>6742</v>
      </c>
      <c r="BD214" s="305"/>
      <c r="BE214" s="103">
        <f>BE215+BE216</f>
        <v>19299</v>
      </c>
      <c r="BF214" s="103">
        <f>BF215+BF216</f>
        <v>19164</v>
      </c>
      <c r="BG214" s="305"/>
      <c r="BH214" s="103">
        <f>BH215+BH216</f>
        <v>30720</v>
      </c>
      <c r="BI214" s="103">
        <f>BI215+BI216</f>
        <v>31269</v>
      </c>
      <c r="BJ214" s="305"/>
      <c r="BK214" s="103">
        <f>BK215+BK216</f>
        <v>2876</v>
      </c>
      <c r="BL214" s="103">
        <f>BL215+BL216</f>
        <v>2609</v>
      </c>
      <c r="BM214" s="305"/>
      <c r="BN214" s="103">
        <f>BN215+BN216</f>
        <v>2734</v>
      </c>
      <c r="BO214" s="103">
        <f>BO215+BO216</f>
        <v>2575</v>
      </c>
      <c r="BP214" s="305"/>
      <c r="BQ214" s="103">
        <f>BQ215+BQ216</f>
        <v>4089</v>
      </c>
      <c r="BR214" s="103">
        <f>BR215+BR216</f>
        <v>3869</v>
      </c>
      <c r="BS214" s="305"/>
      <c r="BT214" s="103">
        <f>BT215+BT216</f>
        <v>4169</v>
      </c>
      <c r="BU214" s="103">
        <f>BU215+BU216</f>
        <v>4056</v>
      </c>
      <c r="BV214" s="305"/>
      <c r="BW214" s="103">
        <f>BW215+BW216</f>
        <v>1143</v>
      </c>
      <c r="BX214" s="103">
        <f>BX215+BX216</f>
        <v>1076</v>
      </c>
      <c r="BY214" s="305"/>
      <c r="BZ214" s="103">
        <f>BZ215+BZ216</f>
        <v>2728</v>
      </c>
      <c r="CA214" s="103">
        <f>CA215+CA216</f>
        <v>2521</v>
      </c>
      <c r="CB214" s="305"/>
      <c r="CC214" s="103">
        <f>CC215+CC216</f>
        <v>2659</v>
      </c>
      <c r="CD214" s="103">
        <f>CD215+CD216</f>
        <v>2516</v>
      </c>
      <c r="CE214" s="305"/>
      <c r="CF214" s="103">
        <f>CF215+CF216</f>
        <v>104</v>
      </c>
      <c r="CG214" s="103">
        <f>CG215+CG216</f>
        <v>108</v>
      </c>
      <c r="CH214" s="305"/>
      <c r="CI214" s="103">
        <f>CI215+CI216</f>
        <v>0</v>
      </c>
      <c r="CJ214" s="103">
        <f>CJ215+CJ216</f>
        <v>0</v>
      </c>
      <c r="CK214" s="304"/>
      <c r="CL214" s="304"/>
      <c r="CM214" s="304"/>
      <c r="CN214" s="304"/>
      <c r="CO214" s="304"/>
      <c r="CP214" s="304"/>
      <c r="CQ214" s="304"/>
      <c r="CR214" s="304"/>
      <c r="CS214" s="304"/>
    </row>
    <row r="215" spans="1:97" x14ac:dyDescent="0.25">
      <c r="A215" s="107"/>
      <c r="B215" s="16" t="s">
        <v>1183</v>
      </c>
      <c r="C215" s="95"/>
      <c r="D215" s="95" t="s">
        <v>950</v>
      </c>
      <c r="E215" s="282">
        <v>78696</v>
      </c>
      <c r="F215" s="282">
        <v>90338</v>
      </c>
      <c r="G215" s="282">
        <v>98016</v>
      </c>
      <c r="H215" s="282">
        <f>101533-98</f>
        <v>101435</v>
      </c>
      <c r="I215" s="103">
        <v>104673</v>
      </c>
      <c r="J215" s="103">
        <v>109648</v>
      </c>
      <c r="K215" s="103">
        <v>107827</v>
      </c>
      <c r="L215" s="103">
        <v>1061</v>
      </c>
      <c r="M215" s="103">
        <v>996</v>
      </c>
      <c r="N215" s="103">
        <v>943</v>
      </c>
      <c r="O215" s="286"/>
      <c r="P215" s="286">
        <f>R215+U215+X215+AA215+AD215+AG215+AJ215+AM215+AP215+AS215+AV215+AY215+BB215+BE215+BH215+BK215+BN215+BQ215+BT215+BW215+BZ215+CC215+CF215+CI215</f>
        <v>108425</v>
      </c>
      <c r="Q215" s="286">
        <f>S215+V215+Y215+AB215+AE215+AH215+AK215+AN215+AQ215+AT215+AW215+AZ215+BC215+BF215+BI215+BL215+BO215+BR215+BU215+BX215+CA215+CD215+CG215+CJ215</f>
        <v>105837</v>
      </c>
      <c r="R215" s="286">
        <v>1452</v>
      </c>
      <c r="S215" s="286">
        <v>1345</v>
      </c>
      <c r="T215" s="286"/>
      <c r="U215" s="286">
        <v>1042</v>
      </c>
      <c r="V215" s="286">
        <v>950</v>
      </c>
      <c r="W215" s="286"/>
      <c r="X215" s="286">
        <v>1430</v>
      </c>
      <c r="Y215" s="286">
        <v>1343</v>
      </c>
      <c r="Z215" s="286"/>
      <c r="AA215" s="286">
        <v>1446</v>
      </c>
      <c r="AB215" s="286">
        <v>1302</v>
      </c>
      <c r="AC215" s="286"/>
      <c r="AD215" s="286">
        <v>2121</v>
      </c>
      <c r="AE215" s="286">
        <v>1660</v>
      </c>
      <c r="AF215" s="286"/>
      <c r="AG215" s="286">
        <v>1086</v>
      </c>
      <c r="AH215" s="286">
        <v>1067</v>
      </c>
      <c r="AI215" s="286"/>
      <c r="AJ215" s="286">
        <v>2998</v>
      </c>
      <c r="AK215" s="286">
        <v>2814</v>
      </c>
      <c r="AL215" s="286"/>
      <c r="AM215" s="286">
        <v>5410</v>
      </c>
      <c r="AN215" s="286">
        <v>5528</v>
      </c>
      <c r="AO215" s="286"/>
      <c r="AP215" s="286">
        <v>0</v>
      </c>
      <c r="AQ215" s="286">
        <v>0</v>
      </c>
      <c r="AR215" s="286"/>
      <c r="AS215" s="286">
        <v>7775</v>
      </c>
      <c r="AT215" s="286">
        <v>7739</v>
      </c>
      <c r="AU215" s="286"/>
      <c r="AV215" s="286">
        <v>2401</v>
      </c>
      <c r="AW215" s="286">
        <v>2131</v>
      </c>
      <c r="AX215" s="286"/>
      <c r="AY215" s="286">
        <v>3706</v>
      </c>
      <c r="AZ215" s="286">
        <v>3453</v>
      </c>
      <c r="BA215" s="286"/>
      <c r="BB215" s="286">
        <v>7037</v>
      </c>
      <c r="BC215" s="286">
        <v>6742</v>
      </c>
      <c r="BD215" s="286"/>
      <c r="BE215" s="286">
        <v>19299</v>
      </c>
      <c r="BF215" s="286">
        <v>19164</v>
      </c>
      <c r="BG215" s="286"/>
      <c r="BH215" s="286">
        <v>30720</v>
      </c>
      <c r="BI215" s="286">
        <v>31269</v>
      </c>
      <c r="BJ215" s="286"/>
      <c r="BK215" s="286">
        <v>2876</v>
      </c>
      <c r="BL215" s="286">
        <v>2609</v>
      </c>
      <c r="BM215" s="286"/>
      <c r="BN215" s="286">
        <v>2734</v>
      </c>
      <c r="BO215" s="286">
        <v>2575</v>
      </c>
      <c r="BP215" s="286"/>
      <c r="BQ215" s="286">
        <v>4089</v>
      </c>
      <c r="BR215" s="286">
        <v>3869</v>
      </c>
      <c r="BS215" s="286"/>
      <c r="BT215" s="286">
        <v>4169</v>
      </c>
      <c r="BU215" s="286">
        <v>4056</v>
      </c>
      <c r="BV215" s="286"/>
      <c r="BW215" s="286">
        <v>1143</v>
      </c>
      <c r="BX215" s="286">
        <v>1076</v>
      </c>
      <c r="BY215" s="286"/>
      <c r="BZ215" s="286">
        <v>2728</v>
      </c>
      <c r="CA215" s="286">
        <v>2521</v>
      </c>
      <c r="CB215" s="286"/>
      <c r="CC215" s="286">
        <v>2659</v>
      </c>
      <c r="CD215" s="286">
        <v>2516</v>
      </c>
      <c r="CE215" s="286"/>
      <c r="CF215" s="286">
        <v>104</v>
      </c>
      <c r="CG215" s="286">
        <v>108</v>
      </c>
      <c r="CH215" s="286"/>
      <c r="CI215" s="286">
        <v>0</v>
      </c>
      <c r="CJ215" s="286">
        <v>0</v>
      </c>
      <c r="CK215" s="304"/>
      <c r="CL215" s="304"/>
      <c r="CM215" s="304"/>
      <c r="CN215" s="304"/>
      <c r="CO215" s="304"/>
      <c r="CP215" s="304"/>
      <c r="CQ215" s="304"/>
      <c r="CR215" s="304"/>
      <c r="CS215" s="304"/>
    </row>
    <row r="216" spans="1:97" x14ac:dyDescent="0.25">
      <c r="A216" s="107"/>
      <c r="B216" s="16" t="s">
        <v>1185</v>
      </c>
      <c r="C216" s="95"/>
      <c r="D216" s="95" t="s">
        <v>950</v>
      </c>
      <c r="E216" s="282">
        <v>7137</v>
      </c>
      <c r="F216" s="282">
        <v>7500</v>
      </c>
      <c r="G216" s="282">
        <v>7837</v>
      </c>
      <c r="H216" s="282">
        <v>7795</v>
      </c>
      <c r="I216" s="103">
        <v>7780</v>
      </c>
      <c r="J216" s="103">
        <v>7863</v>
      </c>
      <c r="K216" s="103">
        <v>8313</v>
      </c>
      <c r="L216" s="103">
        <v>759</v>
      </c>
      <c r="M216" s="103">
        <v>714</v>
      </c>
      <c r="N216" s="103">
        <v>676</v>
      </c>
      <c r="O216" s="286"/>
      <c r="P216" s="286">
        <f>R216+U216+X216+AA216+AD216+AG216+AJ216+AM216+AP216+AS216+AV216+AY216+BB216+BE216+BH216+BK216+BN216+BQ216+BT216+BW216+BZ216+CC216+CF216+CI216</f>
        <v>7715</v>
      </c>
      <c r="Q216" s="286">
        <f>S216+V216+Y216+AB216+AE216+AH216+AK216+AN216+AQ216+AT216+AW216+AZ216+BC216+BF216+BI216+BL216+BO216+BR216+BU216+BX216+CA216+CD216+CG216+CJ216</f>
        <v>7233</v>
      </c>
      <c r="R216" s="286">
        <v>680</v>
      </c>
      <c r="S216" s="286">
        <v>655</v>
      </c>
      <c r="T216" s="286"/>
      <c r="U216" s="286">
        <v>749</v>
      </c>
      <c r="V216" s="286">
        <v>718</v>
      </c>
      <c r="W216" s="286"/>
      <c r="X216" s="286">
        <v>634</v>
      </c>
      <c r="Y216" s="286">
        <v>631</v>
      </c>
      <c r="Z216" s="286"/>
      <c r="AA216" s="286">
        <v>939</v>
      </c>
      <c r="AB216" s="286">
        <v>892</v>
      </c>
      <c r="AC216" s="286"/>
      <c r="AD216" s="286">
        <v>155</v>
      </c>
      <c r="AE216" s="286">
        <v>418</v>
      </c>
      <c r="AF216" s="286"/>
      <c r="AG216" s="286">
        <v>793</v>
      </c>
      <c r="AH216" s="286">
        <v>753</v>
      </c>
      <c r="AI216" s="286"/>
      <c r="AJ216" s="286">
        <v>142</v>
      </c>
      <c r="AK216" s="286">
        <v>129</v>
      </c>
      <c r="AL216" s="286"/>
      <c r="AM216" s="286">
        <v>2616</v>
      </c>
      <c r="AN216" s="286">
        <v>2096</v>
      </c>
      <c r="AO216" s="286"/>
      <c r="AP216" s="286">
        <v>1007</v>
      </c>
      <c r="AQ216" s="286">
        <v>941</v>
      </c>
      <c r="AR216" s="286"/>
      <c r="AS216" s="286">
        <v>0</v>
      </c>
      <c r="AT216" s="286">
        <v>0</v>
      </c>
      <c r="AU216" s="286"/>
      <c r="AV216" s="286">
        <v>0</v>
      </c>
      <c r="AW216" s="286">
        <v>0</v>
      </c>
      <c r="AX216" s="286"/>
      <c r="AY216" s="286">
        <v>0</v>
      </c>
      <c r="AZ216" s="286">
        <v>0</v>
      </c>
      <c r="BA216" s="286"/>
      <c r="BB216" s="286">
        <v>0</v>
      </c>
      <c r="BC216" s="286">
        <v>0</v>
      </c>
      <c r="BD216" s="286"/>
      <c r="BE216" s="286">
        <v>0</v>
      </c>
      <c r="BF216" s="286">
        <v>0</v>
      </c>
      <c r="BG216" s="286"/>
      <c r="BH216" s="286">
        <v>0</v>
      </c>
      <c r="BI216" s="286">
        <v>0</v>
      </c>
      <c r="BJ216" s="286"/>
      <c r="BK216" s="286">
        <v>0</v>
      </c>
      <c r="BL216" s="286">
        <v>0</v>
      </c>
      <c r="BM216" s="286"/>
      <c r="BN216" s="286">
        <v>0</v>
      </c>
      <c r="BO216" s="286">
        <v>0</v>
      </c>
      <c r="BP216" s="286"/>
      <c r="BQ216" s="286">
        <v>0</v>
      </c>
      <c r="BR216" s="286">
        <v>0</v>
      </c>
      <c r="BS216" s="286"/>
      <c r="BT216" s="286">
        <v>0</v>
      </c>
      <c r="BU216" s="286">
        <v>0</v>
      </c>
      <c r="BV216" s="286"/>
      <c r="BW216" s="286">
        <v>0</v>
      </c>
      <c r="BX216" s="286">
        <v>0</v>
      </c>
      <c r="BY216" s="286"/>
      <c r="BZ216" s="286">
        <v>0</v>
      </c>
      <c r="CA216" s="286">
        <v>0</v>
      </c>
      <c r="CB216" s="286"/>
      <c r="CC216" s="286">
        <v>0</v>
      </c>
      <c r="CD216" s="286">
        <v>0</v>
      </c>
      <c r="CE216" s="286"/>
      <c r="CF216" s="286">
        <v>0</v>
      </c>
      <c r="CG216" s="286">
        <v>0</v>
      </c>
      <c r="CH216" s="286"/>
      <c r="CI216" s="286">
        <v>0</v>
      </c>
      <c r="CJ216" s="286">
        <v>0</v>
      </c>
      <c r="CK216" s="304"/>
      <c r="CL216" s="304"/>
      <c r="CM216" s="304"/>
      <c r="CN216" s="304"/>
      <c r="CO216" s="304"/>
      <c r="CP216" s="304"/>
      <c r="CQ216" s="304"/>
      <c r="CR216" s="304"/>
      <c r="CS216" s="304"/>
    </row>
    <row r="217" spans="1:97" x14ac:dyDescent="0.25">
      <c r="A217" s="107"/>
      <c r="B217" s="16" t="s">
        <v>1184</v>
      </c>
      <c r="C217" s="95"/>
      <c r="D217" s="95"/>
      <c r="E217" s="282">
        <f t="shared" ref="E217:Y217" si="252">E218+E219</f>
        <v>0</v>
      </c>
      <c r="F217" s="282">
        <f t="shared" si="252"/>
        <v>419</v>
      </c>
      <c r="G217" s="282">
        <f t="shared" si="252"/>
        <v>126</v>
      </c>
      <c r="H217" s="282">
        <f t="shared" si="252"/>
        <v>98</v>
      </c>
      <c r="I217" s="103">
        <f t="shared" si="252"/>
        <v>1090</v>
      </c>
      <c r="J217" s="103">
        <f t="shared" si="252"/>
        <v>643</v>
      </c>
      <c r="K217" s="103">
        <f>K218+K219</f>
        <v>857</v>
      </c>
      <c r="L217" s="103">
        <f t="shared" ref="L217:M217" si="253">L218+L219</f>
        <v>10</v>
      </c>
      <c r="M217" s="103">
        <f t="shared" si="253"/>
        <v>11</v>
      </c>
      <c r="N217" s="103">
        <v>12</v>
      </c>
      <c r="P217" s="103">
        <f t="shared" si="252"/>
        <v>857</v>
      </c>
      <c r="Q217" s="103">
        <f t="shared" si="252"/>
        <v>1022</v>
      </c>
      <c r="R217" s="103">
        <f t="shared" si="252"/>
        <v>0</v>
      </c>
      <c r="S217" s="103">
        <f t="shared" si="252"/>
        <v>0</v>
      </c>
      <c r="T217" s="305"/>
      <c r="U217" s="103">
        <f t="shared" si="252"/>
        <v>0</v>
      </c>
      <c r="V217" s="103">
        <f t="shared" si="252"/>
        <v>0</v>
      </c>
      <c r="W217" s="305"/>
      <c r="X217" s="103">
        <f t="shared" si="252"/>
        <v>0</v>
      </c>
      <c r="Y217" s="103">
        <f t="shared" si="252"/>
        <v>0</v>
      </c>
      <c r="Z217" s="305"/>
      <c r="AA217" s="103">
        <f>AA218+AA219</f>
        <v>0</v>
      </c>
      <c r="AB217" s="103">
        <f>AB218+AB219</f>
        <v>0</v>
      </c>
      <c r="AC217" s="305"/>
      <c r="AD217" s="103">
        <f>AD218+AD219</f>
        <v>0</v>
      </c>
      <c r="AE217" s="103">
        <f>AE218+AE219</f>
        <v>0</v>
      </c>
      <c r="AF217" s="305"/>
      <c r="AG217" s="103">
        <f>AG218+AG219</f>
        <v>11</v>
      </c>
      <c r="AH217" s="103">
        <f>AH218+AH219</f>
        <v>10</v>
      </c>
      <c r="AI217" s="305"/>
      <c r="AJ217" s="103">
        <f>AJ218+AJ219</f>
        <v>0</v>
      </c>
      <c r="AK217" s="103">
        <f>AK218+AK219</f>
        <v>0</v>
      </c>
      <c r="AL217" s="305"/>
      <c r="AM217" s="103">
        <f>AM218+AM219</f>
        <v>0</v>
      </c>
      <c r="AN217" s="103">
        <f>AN218+AN219</f>
        <v>0</v>
      </c>
      <c r="AO217" s="305"/>
      <c r="AP217" s="103">
        <f>AP218+AP219</f>
        <v>0</v>
      </c>
      <c r="AQ217" s="103">
        <f>AQ218+AQ219</f>
        <v>0</v>
      </c>
      <c r="AR217" s="305"/>
      <c r="AS217" s="103">
        <f>AS218+AS219</f>
        <v>325</v>
      </c>
      <c r="AT217" s="103">
        <f>AT218+AT219</f>
        <v>363</v>
      </c>
      <c r="AU217" s="305"/>
      <c r="AV217" s="103">
        <f>AV218+AV219</f>
        <v>0</v>
      </c>
      <c r="AW217" s="103">
        <f>AW218+AW219</f>
        <v>0</v>
      </c>
      <c r="AX217" s="305"/>
      <c r="AY217" s="103">
        <f>AY218+AY219</f>
        <v>63</v>
      </c>
      <c r="AZ217" s="103">
        <f>AZ218+AZ219</f>
        <v>0</v>
      </c>
      <c r="BA217" s="305"/>
      <c r="BB217" s="103">
        <f>BB218+BB219</f>
        <v>242</v>
      </c>
      <c r="BC217" s="103">
        <f>BC218+BC219</f>
        <v>565</v>
      </c>
      <c r="BD217" s="305"/>
      <c r="BE217" s="103">
        <f>BE218+BE219</f>
        <v>36</v>
      </c>
      <c r="BF217" s="103">
        <f>BF218+BF219</f>
        <v>0</v>
      </c>
      <c r="BG217" s="305"/>
      <c r="BH217" s="103">
        <f>BH218+BH219</f>
        <v>180</v>
      </c>
      <c r="BI217" s="103">
        <f>BI218+BI219</f>
        <v>84</v>
      </c>
      <c r="BJ217" s="305"/>
      <c r="BK217" s="103">
        <f>BK218+BK219</f>
        <v>0</v>
      </c>
      <c r="BL217" s="103">
        <f>BL218+BL219</f>
        <v>0</v>
      </c>
      <c r="BM217" s="305"/>
      <c r="BN217" s="103">
        <f>BN218+BN219</f>
        <v>0</v>
      </c>
      <c r="BO217" s="103">
        <f>BO218+BO219</f>
        <v>0</v>
      </c>
      <c r="BP217" s="305"/>
      <c r="BQ217" s="103">
        <f>BQ218+BQ219</f>
        <v>0</v>
      </c>
      <c r="BR217" s="103">
        <f>BR218+BR219</f>
        <v>0</v>
      </c>
      <c r="BS217" s="305"/>
      <c r="BT217" s="103">
        <f>BT218+BT219</f>
        <v>0</v>
      </c>
      <c r="BU217" s="103">
        <f>BU218+BU219</f>
        <v>0</v>
      </c>
      <c r="BV217" s="305"/>
      <c r="BW217" s="103">
        <f>BW218+BW219</f>
        <v>0</v>
      </c>
      <c r="BX217" s="103">
        <f>BX218+BX219</f>
        <v>0</v>
      </c>
      <c r="BY217" s="305"/>
      <c r="BZ217" s="103">
        <f>BZ218+BZ219</f>
        <v>0</v>
      </c>
      <c r="CA217" s="103">
        <f>CA218+CA219</f>
        <v>0</v>
      </c>
      <c r="CB217" s="305"/>
      <c r="CC217" s="103">
        <f>CC218+CC219</f>
        <v>0</v>
      </c>
      <c r="CD217" s="103">
        <f>CD218+CD219</f>
        <v>0</v>
      </c>
      <c r="CE217" s="305"/>
      <c r="CF217" s="103">
        <f>CF218+CF219</f>
        <v>0</v>
      </c>
      <c r="CG217" s="103">
        <f>CG218+CG219</f>
        <v>0</v>
      </c>
      <c r="CH217" s="305"/>
      <c r="CI217" s="103">
        <f>CI218+CI219</f>
        <v>0</v>
      </c>
      <c r="CJ217" s="103">
        <f>CJ218+CJ219</f>
        <v>0</v>
      </c>
      <c r="CK217" s="304"/>
      <c r="CL217" s="304"/>
      <c r="CM217" s="304"/>
      <c r="CN217" s="304"/>
      <c r="CO217" s="304"/>
      <c r="CP217" s="304"/>
      <c r="CQ217" s="304"/>
      <c r="CR217" s="304"/>
      <c r="CS217" s="304"/>
    </row>
    <row r="218" spans="1:97" x14ac:dyDescent="0.25">
      <c r="A218" s="107"/>
      <c r="B218" s="16" t="s">
        <v>1183</v>
      </c>
      <c r="C218" s="95"/>
      <c r="D218" s="95" t="s">
        <v>950</v>
      </c>
      <c r="E218" s="282">
        <v>0</v>
      </c>
      <c r="F218" s="282">
        <v>419</v>
      </c>
      <c r="G218" s="103">
        <v>126</v>
      </c>
      <c r="H218" s="282">
        <v>98</v>
      </c>
      <c r="I218" s="103">
        <v>1090</v>
      </c>
      <c r="J218" s="103">
        <v>643</v>
      </c>
      <c r="K218" s="103">
        <v>857</v>
      </c>
      <c r="L218" s="103">
        <v>10</v>
      </c>
      <c r="M218" s="103">
        <v>11</v>
      </c>
      <c r="N218" s="103">
        <v>12</v>
      </c>
      <c r="P218" s="286">
        <f>R218+U218+X218+AA218+AD218+AG218+AJ218+AM218+AP218+AS218+AV218+AY218+BB218+BE218+BH218+BK218+BN218+BQ218+BT218+BW218+BZ218+CC218+CF218+CI218</f>
        <v>857</v>
      </c>
      <c r="Q218" s="286">
        <f>S218+V218+Y218+AB218+AE218+AH218+AK218+AN218+AQ218+AT218+AW218+AZ218+BC218+BF218+BI218+BL218+BO218+BR218+BU218+BX218+CA218+CD218+CG218+CJ218</f>
        <v>1022</v>
      </c>
      <c r="R218" s="302">
        <v>0</v>
      </c>
      <c r="S218" s="302">
        <v>0</v>
      </c>
      <c r="T218" s="302"/>
      <c r="U218" s="302">
        <v>0</v>
      </c>
      <c r="V218" s="302">
        <v>0</v>
      </c>
      <c r="W218" s="302"/>
      <c r="X218" s="302">
        <v>0</v>
      </c>
      <c r="Y218" s="302">
        <v>0</v>
      </c>
      <c r="Z218" s="302"/>
      <c r="AA218" s="302">
        <v>0</v>
      </c>
      <c r="AB218" s="302">
        <v>0</v>
      </c>
      <c r="AC218" s="302"/>
      <c r="AD218" s="302">
        <v>0</v>
      </c>
      <c r="AE218" s="302">
        <v>0</v>
      </c>
      <c r="AF218" s="302"/>
      <c r="AG218" s="302">
        <v>11</v>
      </c>
      <c r="AH218" s="302">
        <v>10</v>
      </c>
      <c r="AI218" s="302"/>
      <c r="AJ218" s="302">
        <v>0</v>
      </c>
      <c r="AK218" s="302">
        <v>0</v>
      </c>
      <c r="AL218" s="302"/>
      <c r="AM218" s="302">
        <v>0</v>
      </c>
      <c r="AN218" s="302">
        <v>0</v>
      </c>
      <c r="AO218" s="302"/>
      <c r="AP218" s="302">
        <v>0</v>
      </c>
      <c r="AQ218" s="302">
        <v>0</v>
      </c>
      <c r="AR218" s="302"/>
      <c r="AS218" s="302">
        <v>325</v>
      </c>
      <c r="AT218" s="302">
        <v>363</v>
      </c>
      <c r="AU218" s="302"/>
      <c r="AV218" s="302">
        <v>0</v>
      </c>
      <c r="AW218" s="302">
        <v>0</v>
      </c>
      <c r="AX218" s="302"/>
      <c r="AY218" s="302">
        <v>63</v>
      </c>
      <c r="AZ218" s="302">
        <v>0</v>
      </c>
      <c r="BA218" s="302"/>
      <c r="BB218" s="302">
        <v>242</v>
      </c>
      <c r="BC218" s="302">
        <v>565</v>
      </c>
      <c r="BD218" s="302"/>
      <c r="BE218" s="302">
        <v>36</v>
      </c>
      <c r="BF218" s="302">
        <v>0</v>
      </c>
      <c r="BG218" s="302"/>
      <c r="BH218" s="302">
        <v>180</v>
      </c>
      <c r="BI218" s="302">
        <v>84</v>
      </c>
      <c r="BJ218" s="302"/>
      <c r="BK218" s="302">
        <v>0</v>
      </c>
      <c r="BL218" s="302">
        <v>0</v>
      </c>
      <c r="BM218" s="302"/>
      <c r="BN218" s="302">
        <v>0</v>
      </c>
      <c r="BO218" s="302">
        <v>0</v>
      </c>
      <c r="BP218" s="302"/>
      <c r="BQ218" s="302">
        <v>0</v>
      </c>
      <c r="BR218" s="302">
        <v>0</v>
      </c>
      <c r="BS218" s="302"/>
      <c r="BT218" s="302">
        <v>0</v>
      </c>
      <c r="BU218" s="302">
        <v>0</v>
      </c>
      <c r="BV218" s="302"/>
      <c r="BW218" s="302">
        <v>0</v>
      </c>
      <c r="BX218" s="302">
        <v>0</v>
      </c>
      <c r="BY218" s="302"/>
      <c r="BZ218" s="302">
        <v>0</v>
      </c>
      <c r="CA218" s="302">
        <v>0</v>
      </c>
      <c r="CB218" s="302"/>
      <c r="CC218" s="302">
        <v>0</v>
      </c>
      <c r="CD218" s="302">
        <v>0</v>
      </c>
      <c r="CE218" s="302"/>
      <c r="CF218" s="302">
        <v>0</v>
      </c>
      <c r="CG218" s="302">
        <v>0</v>
      </c>
      <c r="CH218" s="302"/>
      <c r="CI218" s="302">
        <v>0</v>
      </c>
      <c r="CJ218" s="302">
        <v>0</v>
      </c>
      <c r="CK218" s="304"/>
      <c r="CL218" s="304"/>
      <c r="CM218" s="304"/>
      <c r="CN218" s="304"/>
      <c r="CO218" s="304"/>
      <c r="CP218" s="304"/>
      <c r="CQ218" s="304"/>
      <c r="CR218" s="304"/>
      <c r="CS218" s="304"/>
    </row>
    <row r="219" spans="1:97" x14ac:dyDescent="0.25">
      <c r="A219" s="107"/>
      <c r="B219" s="16" t="s">
        <v>1185</v>
      </c>
      <c r="C219" s="95"/>
      <c r="D219" s="95" t="s">
        <v>950</v>
      </c>
      <c r="E219" s="282">
        <v>0</v>
      </c>
      <c r="F219" s="282">
        <v>0</v>
      </c>
      <c r="G219" s="282">
        <v>0</v>
      </c>
      <c r="H219" s="282">
        <v>0</v>
      </c>
      <c r="I219" s="103">
        <v>0</v>
      </c>
      <c r="J219" s="103">
        <v>0</v>
      </c>
      <c r="K219" s="103">
        <v>0</v>
      </c>
      <c r="L219" s="103">
        <v>0</v>
      </c>
      <c r="M219" s="103">
        <v>0</v>
      </c>
      <c r="N219" s="103">
        <v>0</v>
      </c>
      <c r="P219" s="286">
        <f>R219+U219+X219+AA219+AD219+AG219+AJ219+AM219+AP219+AS219+AV219+AY219+BB219+BE219+BH219+BK219+BN219+BQ219+BT219+BW219+BZ219+CC219+CF219+CI219</f>
        <v>0</v>
      </c>
      <c r="Q219" s="286">
        <f>S219+V219+Y219+AB219+AE219+AH219+AK219+AN219+AQ219+AT219+AW219+AZ219+BC219+BF219+BI219+BL219+BO219+BR219+BU219+BX219+CA219+CD219+CG219+CJ219</f>
        <v>0</v>
      </c>
      <c r="R219" s="302">
        <v>0</v>
      </c>
      <c r="S219" s="302">
        <v>0</v>
      </c>
      <c r="T219" s="302"/>
      <c r="U219" s="302">
        <v>0</v>
      </c>
      <c r="V219" s="302">
        <v>0</v>
      </c>
      <c r="W219" s="302"/>
      <c r="X219" s="302">
        <v>0</v>
      </c>
      <c r="Y219" s="302">
        <v>0</v>
      </c>
      <c r="Z219" s="302"/>
      <c r="AA219" s="302">
        <v>0</v>
      </c>
      <c r="AB219" s="302">
        <v>0</v>
      </c>
      <c r="AC219" s="302"/>
      <c r="AD219" s="302">
        <v>0</v>
      </c>
      <c r="AE219" s="302">
        <v>0</v>
      </c>
      <c r="AF219" s="302"/>
      <c r="AG219" s="302">
        <v>0</v>
      </c>
      <c r="AH219" s="302">
        <v>0</v>
      </c>
      <c r="AI219" s="302"/>
      <c r="AJ219" s="302">
        <v>0</v>
      </c>
      <c r="AK219" s="302">
        <v>0</v>
      </c>
      <c r="AL219" s="302"/>
      <c r="AM219" s="302">
        <v>0</v>
      </c>
      <c r="AN219" s="302">
        <v>0</v>
      </c>
      <c r="AO219" s="302"/>
      <c r="AP219" s="302">
        <v>0</v>
      </c>
      <c r="AQ219" s="302">
        <v>0</v>
      </c>
      <c r="AR219" s="302"/>
      <c r="AS219" s="302">
        <v>0</v>
      </c>
      <c r="AT219" s="302">
        <v>0</v>
      </c>
      <c r="AU219" s="302"/>
      <c r="AV219" s="302">
        <v>0</v>
      </c>
      <c r="AW219" s="302">
        <v>0</v>
      </c>
      <c r="AX219" s="302"/>
      <c r="AY219" s="302">
        <v>0</v>
      </c>
      <c r="AZ219" s="302">
        <v>0</v>
      </c>
      <c r="BA219" s="302"/>
      <c r="BB219" s="302">
        <v>0</v>
      </c>
      <c r="BC219" s="302">
        <v>0</v>
      </c>
      <c r="BD219" s="302"/>
      <c r="BE219" s="302">
        <v>0</v>
      </c>
      <c r="BF219" s="302">
        <v>0</v>
      </c>
      <c r="BG219" s="302"/>
      <c r="BH219" s="302">
        <v>0</v>
      </c>
      <c r="BI219" s="302">
        <v>0</v>
      </c>
      <c r="BJ219" s="302"/>
      <c r="BK219" s="302">
        <v>0</v>
      </c>
      <c r="BL219" s="302">
        <v>0</v>
      </c>
      <c r="BM219" s="302"/>
      <c r="BN219" s="302">
        <v>0</v>
      </c>
      <c r="BO219" s="302">
        <v>0</v>
      </c>
      <c r="BP219" s="302"/>
      <c r="BQ219" s="302">
        <v>0</v>
      </c>
      <c r="BR219" s="302">
        <v>0</v>
      </c>
      <c r="BS219" s="302"/>
      <c r="BT219" s="302">
        <v>0</v>
      </c>
      <c r="BU219" s="302">
        <v>0</v>
      </c>
      <c r="BV219" s="302"/>
      <c r="BW219" s="302">
        <v>0</v>
      </c>
      <c r="BX219" s="302">
        <v>0</v>
      </c>
      <c r="BY219" s="302"/>
      <c r="BZ219" s="302">
        <v>0</v>
      </c>
      <c r="CA219" s="302">
        <v>0</v>
      </c>
      <c r="CB219" s="302"/>
      <c r="CC219" s="302">
        <v>0</v>
      </c>
      <c r="CD219" s="302">
        <v>0</v>
      </c>
      <c r="CE219" s="302"/>
      <c r="CF219" s="302">
        <v>0</v>
      </c>
      <c r="CG219" s="302">
        <v>0</v>
      </c>
      <c r="CH219" s="302"/>
      <c r="CI219" s="302">
        <v>0</v>
      </c>
      <c r="CJ219" s="302">
        <v>0</v>
      </c>
      <c r="CK219" s="304"/>
      <c r="CL219" s="304"/>
      <c r="CM219" s="304"/>
      <c r="CN219" s="304"/>
      <c r="CO219" s="304"/>
      <c r="CP219" s="304"/>
      <c r="CQ219" s="304"/>
      <c r="CR219" s="304"/>
      <c r="CS219" s="304"/>
    </row>
    <row r="220" spans="1:97" ht="45" x14ac:dyDescent="0.25">
      <c r="A220" s="107"/>
      <c r="B220" s="16" t="s">
        <v>35</v>
      </c>
      <c r="C220" s="95" t="s">
        <v>1794</v>
      </c>
      <c r="D220" s="95" t="s">
        <v>950</v>
      </c>
      <c r="E220" s="282"/>
      <c r="F220" s="282"/>
      <c r="G220" s="282"/>
      <c r="H220" s="282"/>
      <c r="I220" s="282">
        <f t="shared" ref="I220:N220" si="254">I221+I224</f>
        <v>11495</v>
      </c>
      <c r="J220" s="282">
        <f t="shared" si="254"/>
        <v>11702</v>
      </c>
      <c r="K220" s="282">
        <f t="shared" si="254"/>
        <v>11804</v>
      </c>
      <c r="L220" s="282">
        <f t="shared" si="254"/>
        <v>219</v>
      </c>
      <c r="M220" s="282">
        <f t="shared" si="254"/>
        <v>225</v>
      </c>
      <c r="N220" s="282">
        <f t="shared" si="254"/>
        <v>215</v>
      </c>
      <c r="O220" s="267" t="s">
        <v>1402</v>
      </c>
      <c r="P220" s="282">
        <f>P221+P224</f>
        <v>11804</v>
      </c>
      <c r="Q220" s="282">
        <f>Q221+Q224</f>
        <v>11902</v>
      </c>
      <c r="R220" s="282">
        <f>R221+R224</f>
        <v>228</v>
      </c>
      <c r="S220" s="282">
        <f>S221+S224</f>
        <v>232</v>
      </c>
      <c r="T220" s="302"/>
      <c r="U220" s="282">
        <f>U221+U224</f>
        <v>223</v>
      </c>
      <c r="V220" s="282">
        <f>V221+V224</f>
        <v>211</v>
      </c>
      <c r="W220" s="302"/>
      <c r="X220" s="282">
        <f>X221+X224</f>
        <v>270</v>
      </c>
      <c r="Y220" s="282">
        <f>Y221+Y224</f>
        <v>266</v>
      </c>
      <c r="Z220" s="302"/>
      <c r="AA220" s="282">
        <f>AA221+AA224</f>
        <v>297</v>
      </c>
      <c r="AB220" s="282">
        <f>AB221+AB224</f>
        <v>298</v>
      </c>
      <c r="AC220" s="302"/>
      <c r="AD220" s="282">
        <f>AD221+AD224</f>
        <v>261</v>
      </c>
      <c r="AE220" s="282">
        <f>AE221+AE224</f>
        <v>255</v>
      </c>
      <c r="AF220" s="302"/>
      <c r="AG220" s="282">
        <f>AG221+AG224</f>
        <v>216</v>
      </c>
      <c r="AH220" s="282">
        <f>AH221+AH224</f>
        <v>219</v>
      </c>
      <c r="AI220" s="302"/>
      <c r="AJ220" s="282">
        <f>AJ221+AJ224</f>
        <v>390</v>
      </c>
      <c r="AK220" s="282">
        <f>AK221+AK224</f>
        <v>383</v>
      </c>
      <c r="AL220" s="302"/>
      <c r="AM220" s="282">
        <f>AM221+AM224</f>
        <v>889</v>
      </c>
      <c r="AN220" s="282">
        <f>AN221+AN224</f>
        <v>912</v>
      </c>
      <c r="AO220" s="302"/>
      <c r="AP220" s="282">
        <f>AP221+AP224</f>
        <v>149</v>
      </c>
      <c r="AQ220" s="282">
        <f>AQ221+AQ224</f>
        <v>153</v>
      </c>
      <c r="AR220" s="302"/>
      <c r="AS220" s="282">
        <f>AS221+AS224</f>
        <v>786</v>
      </c>
      <c r="AT220" s="282">
        <f>AT221+AT224</f>
        <v>799</v>
      </c>
      <c r="AU220" s="302"/>
      <c r="AV220" s="282">
        <f>AV221+AV224</f>
        <v>279</v>
      </c>
      <c r="AW220" s="282">
        <f>AW221+AW224</f>
        <v>276</v>
      </c>
      <c r="AX220" s="302"/>
      <c r="AY220" s="282">
        <f>AY221+AY224</f>
        <v>522</v>
      </c>
      <c r="AZ220" s="282">
        <f>AZ221+AZ224</f>
        <v>510</v>
      </c>
      <c r="BA220" s="302"/>
      <c r="BB220" s="282">
        <f>BB221+BB224</f>
        <v>657</v>
      </c>
      <c r="BC220" s="282">
        <f>BC221+BC224</f>
        <v>650</v>
      </c>
      <c r="BD220" s="302"/>
      <c r="BE220" s="282">
        <f>BE221+BE224</f>
        <v>1844</v>
      </c>
      <c r="BF220" s="282">
        <f>BF221+BF224</f>
        <v>1881</v>
      </c>
      <c r="BG220" s="302"/>
      <c r="BH220" s="282">
        <f>BH221+BH224</f>
        <v>2514</v>
      </c>
      <c r="BI220" s="282">
        <f>BI221+BI224</f>
        <v>2616</v>
      </c>
      <c r="BJ220" s="302"/>
      <c r="BK220" s="282">
        <f>BK221+BK224</f>
        <v>304</v>
      </c>
      <c r="BL220" s="282">
        <f>BL221+BL224</f>
        <v>271</v>
      </c>
      <c r="BM220" s="302"/>
      <c r="BN220" s="282">
        <f>BN221+BN224</f>
        <v>304</v>
      </c>
      <c r="BO220" s="282">
        <f>BO221+BO224</f>
        <v>300</v>
      </c>
      <c r="BP220" s="302"/>
      <c r="BQ220" s="282">
        <f>BQ221+BQ224</f>
        <v>413</v>
      </c>
      <c r="BR220" s="282">
        <f>BR221+BR224</f>
        <v>416</v>
      </c>
      <c r="BS220" s="302"/>
      <c r="BT220" s="282">
        <f>BT221+BT224</f>
        <v>444</v>
      </c>
      <c r="BU220" s="282">
        <f>BU221+BU224</f>
        <v>435</v>
      </c>
      <c r="BV220" s="302"/>
      <c r="BW220" s="282">
        <f>BW221+BW224</f>
        <v>139</v>
      </c>
      <c r="BX220" s="282">
        <f>BX221+BX224</f>
        <v>142</v>
      </c>
      <c r="BY220" s="302"/>
      <c r="BZ220" s="282">
        <f>BZ221+BZ224</f>
        <v>312</v>
      </c>
      <c r="CA220" s="282">
        <f>CA221+CA224</f>
        <v>303</v>
      </c>
      <c r="CB220" s="302"/>
      <c r="CC220" s="282">
        <f>CC221+CC224</f>
        <v>280</v>
      </c>
      <c r="CD220" s="282">
        <f>CD221+CD224</f>
        <v>281</v>
      </c>
      <c r="CE220" s="302"/>
      <c r="CF220" s="282">
        <f>CF221+CF224</f>
        <v>83</v>
      </c>
      <c r="CG220" s="282">
        <f>CG221+CG224</f>
        <v>93</v>
      </c>
      <c r="CH220" s="302"/>
      <c r="CI220" s="282">
        <f>CI221+CI224</f>
        <v>0</v>
      </c>
      <c r="CJ220" s="282">
        <f>CJ221+CJ224</f>
        <v>0</v>
      </c>
      <c r="CK220" s="304"/>
      <c r="CL220" s="304"/>
      <c r="CM220" s="304"/>
      <c r="CN220" s="304"/>
      <c r="CO220" s="304"/>
      <c r="CP220" s="304"/>
      <c r="CQ220" s="304"/>
      <c r="CR220" s="304"/>
      <c r="CS220" s="304"/>
    </row>
    <row r="221" spans="1:97" x14ac:dyDescent="0.25">
      <c r="A221" s="107"/>
      <c r="B221" s="16" t="s">
        <v>1182</v>
      </c>
      <c r="C221" s="95"/>
      <c r="D221" s="95"/>
      <c r="E221" s="282">
        <f t="shared" ref="E221:BT221" si="255">E222+E223</f>
        <v>9817</v>
      </c>
      <c r="F221" s="282">
        <f t="shared" si="255"/>
        <v>10570</v>
      </c>
      <c r="G221" s="282">
        <f t="shared" si="255"/>
        <v>10826</v>
      </c>
      <c r="H221" s="282">
        <f t="shared" si="255"/>
        <v>11281</v>
      </c>
      <c r="I221" s="103">
        <f t="shared" si="255"/>
        <v>11428</v>
      </c>
      <c r="J221" s="103">
        <f t="shared" si="255"/>
        <v>11649</v>
      </c>
      <c r="K221" s="103">
        <f>K222+K223</f>
        <v>11735</v>
      </c>
      <c r="L221" s="103">
        <f t="shared" ref="L221:N221" si="256">L222+L223</f>
        <v>217</v>
      </c>
      <c r="M221" s="103">
        <f t="shared" si="256"/>
        <v>223</v>
      </c>
      <c r="N221" s="103">
        <f t="shared" si="256"/>
        <v>214</v>
      </c>
      <c r="P221" s="103">
        <f t="shared" si="255"/>
        <v>11735</v>
      </c>
      <c r="Q221" s="103">
        <f t="shared" si="255"/>
        <v>11865</v>
      </c>
      <c r="R221" s="103">
        <f t="shared" si="255"/>
        <v>228</v>
      </c>
      <c r="S221" s="103">
        <f t="shared" si="255"/>
        <v>232</v>
      </c>
      <c r="T221" s="305"/>
      <c r="U221" s="103">
        <f t="shared" si="255"/>
        <v>223</v>
      </c>
      <c r="V221" s="103">
        <f t="shared" si="255"/>
        <v>211</v>
      </c>
      <c r="W221" s="305"/>
      <c r="X221" s="103">
        <f t="shared" si="255"/>
        <v>270</v>
      </c>
      <c r="Y221" s="103">
        <f t="shared" si="255"/>
        <v>266</v>
      </c>
      <c r="Z221" s="305"/>
      <c r="AA221" s="103">
        <f t="shared" si="255"/>
        <v>297</v>
      </c>
      <c r="AB221" s="103">
        <f t="shared" si="255"/>
        <v>298</v>
      </c>
      <c r="AC221" s="305"/>
      <c r="AD221" s="103">
        <f t="shared" si="255"/>
        <v>261</v>
      </c>
      <c r="AE221" s="103">
        <f t="shared" si="255"/>
        <v>255</v>
      </c>
      <c r="AF221" s="305"/>
      <c r="AG221" s="103">
        <f t="shared" si="255"/>
        <v>214</v>
      </c>
      <c r="AH221" s="103">
        <f t="shared" si="255"/>
        <v>217</v>
      </c>
      <c r="AI221" s="305"/>
      <c r="AJ221" s="103">
        <f t="shared" si="255"/>
        <v>390</v>
      </c>
      <c r="AK221" s="103">
        <f t="shared" si="255"/>
        <v>383</v>
      </c>
      <c r="AL221" s="305"/>
      <c r="AM221" s="103">
        <f t="shared" si="255"/>
        <v>889</v>
      </c>
      <c r="AN221" s="103">
        <f t="shared" si="255"/>
        <v>912</v>
      </c>
      <c r="AO221" s="305"/>
      <c r="AP221" s="103">
        <f t="shared" si="255"/>
        <v>149</v>
      </c>
      <c r="AQ221" s="103">
        <f t="shared" si="255"/>
        <v>153</v>
      </c>
      <c r="AR221" s="305"/>
      <c r="AS221" s="103">
        <f t="shared" si="255"/>
        <v>764</v>
      </c>
      <c r="AT221" s="103">
        <f t="shared" si="255"/>
        <v>777</v>
      </c>
      <c r="AU221" s="305"/>
      <c r="AV221" s="103">
        <f t="shared" si="255"/>
        <v>279</v>
      </c>
      <c r="AW221" s="103">
        <f t="shared" si="255"/>
        <v>276</v>
      </c>
      <c r="AX221" s="305"/>
      <c r="AY221" s="103">
        <f t="shared" si="255"/>
        <v>515</v>
      </c>
      <c r="AZ221" s="103">
        <f t="shared" si="255"/>
        <v>510</v>
      </c>
      <c r="BA221" s="305"/>
      <c r="BB221" s="103">
        <f t="shared" si="255"/>
        <v>644</v>
      </c>
      <c r="BC221" s="103">
        <f t="shared" si="255"/>
        <v>650</v>
      </c>
      <c r="BD221" s="305"/>
      <c r="BE221" s="103">
        <f t="shared" si="255"/>
        <v>1840</v>
      </c>
      <c r="BF221" s="103">
        <f t="shared" si="255"/>
        <v>1881</v>
      </c>
      <c r="BG221" s="305"/>
      <c r="BH221" s="103">
        <f t="shared" si="255"/>
        <v>2493</v>
      </c>
      <c r="BI221" s="103">
        <f t="shared" si="255"/>
        <v>2603</v>
      </c>
      <c r="BJ221" s="305"/>
      <c r="BK221" s="103">
        <f t="shared" si="255"/>
        <v>304</v>
      </c>
      <c r="BL221" s="103">
        <f t="shared" si="255"/>
        <v>271</v>
      </c>
      <c r="BM221" s="305"/>
      <c r="BN221" s="103">
        <f t="shared" si="255"/>
        <v>304</v>
      </c>
      <c r="BO221" s="103">
        <f t="shared" si="255"/>
        <v>300</v>
      </c>
      <c r="BP221" s="305"/>
      <c r="BQ221" s="103">
        <f t="shared" si="255"/>
        <v>413</v>
      </c>
      <c r="BR221" s="103">
        <f t="shared" si="255"/>
        <v>416</v>
      </c>
      <c r="BS221" s="305"/>
      <c r="BT221" s="103">
        <f t="shared" si="255"/>
        <v>444</v>
      </c>
      <c r="BU221" s="103">
        <f t="shared" ref="BU221:CA221" si="257">BU222+BU223</f>
        <v>435</v>
      </c>
      <c r="BV221" s="305"/>
      <c r="BW221" s="103">
        <f t="shared" si="257"/>
        <v>139</v>
      </c>
      <c r="BX221" s="103">
        <f t="shared" si="257"/>
        <v>142</v>
      </c>
      <c r="BY221" s="305"/>
      <c r="BZ221" s="103">
        <f t="shared" si="257"/>
        <v>312</v>
      </c>
      <c r="CA221" s="103">
        <f t="shared" si="257"/>
        <v>303</v>
      </c>
      <c r="CB221" s="305"/>
      <c r="CC221" s="103">
        <f t="shared" ref="CC221:CJ221" si="258">CC222+CC223</f>
        <v>280</v>
      </c>
      <c r="CD221" s="103">
        <f t="shared" si="258"/>
        <v>281</v>
      </c>
      <c r="CE221" s="305"/>
      <c r="CF221" s="103">
        <f t="shared" si="258"/>
        <v>83</v>
      </c>
      <c r="CG221" s="103">
        <f t="shared" si="258"/>
        <v>93</v>
      </c>
      <c r="CH221" s="305"/>
      <c r="CI221" s="103">
        <f t="shared" si="258"/>
        <v>0</v>
      </c>
      <c r="CJ221" s="103">
        <f t="shared" si="258"/>
        <v>0</v>
      </c>
      <c r="CK221" s="304"/>
      <c r="CL221" s="304"/>
      <c r="CM221" s="304"/>
      <c r="CN221" s="304"/>
      <c r="CO221" s="304"/>
      <c r="CP221" s="304"/>
      <c r="CQ221" s="304"/>
      <c r="CR221" s="304"/>
      <c r="CS221" s="304"/>
    </row>
    <row r="222" spans="1:97" x14ac:dyDescent="0.25">
      <c r="A222" s="107"/>
      <c r="B222" s="16" t="s">
        <v>1183</v>
      </c>
      <c r="C222" s="95"/>
      <c r="D222" s="95" t="s">
        <v>950</v>
      </c>
      <c r="E222" s="282">
        <v>8906</v>
      </c>
      <c r="F222" s="282">
        <v>9635</v>
      </c>
      <c r="G222" s="282">
        <f>9902-17</f>
        <v>9885</v>
      </c>
      <c r="H222" s="282">
        <f>10339-10</f>
        <v>10329</v>
      </c>
      <c r="I222" s="103">
        <f>10558-67</f>
        <v>10491</v>
      </c>
      <c r="J222" s="103">
        <v>10687</v>
      </c>
      <c r="K222" s="103">
        <v>10701</v>
      </c>
      <c r="L222" s="103">
        <v>126</v>
      </c>
      <c r="M222" s="103">
        <v>131</v>
      </c>
      <c r="N222" s="103">
        <v>127</v>
      </c>
      <c r="P222" s="286">
        <f>R222+U222+X222+AA222+AD222+AG222+AJ222+AM222+AP222+AS222+AV222+AY222+BB222+BE222+BH222+BK222+BN222+BQ222+BT222+BW222+BZ222+CC222+CF222+CI222</f>
        <v>10777</v>
      </c>
      <c r="Q222" s="286">
        <f>S222+V222+Y222+AB222+AE222+AH222+AK222+AN222+AQ222+AT222+AW222+AZ222+BC222+BF222+BI222+BL222+BO222+BR222+BU222+BX222+CA222+CD222+CG222+CJ222</f>
        <v>10887</v>
      </c>
      <c r="R222" s="286">
        <v>161</v>
      </c>
      <c r="S222" s="286">
        <v>167</v>
      </c>
      <c r="T222" s="286"/>
      <c r="U222" s="286">
        <v>134</v>
      </c>
      <c r="V222" s="286">
        <v>124</v>
      </c>
      <c r="W222" s="286"/>
      <c r="X222" s="286">
        <v>165</v>
      </c>
      <c r="Y222" s="286">
        <v>160</v>
      </c>
      <c r="Z222" s="286"/>
      <c r="AA222" s="286">
        <v>176</v>
      </c>
      <c r="AB222" s="286">
        <v>178</v>
      </c>
      <c r="AC222" s="286"/>
      <c r="AD222" s="286">
        <v>237</v>
      </c>
      <c r="AE222" s="286">
        <v>185</v>
      </c>
      <c r="AF222" s="286"/>
      <c r="AG222" s="286">
        <v>123</v>
      </c>
      <c r="AH222" s="286">
        <v>127</v>
      </c>
      <c r="AI222" s="286"/>
      <c r="AJ222" s="286">
        <v>372</v>
      </c>
      <c r="AK222" s="286">
        <v>365</v>
      </c>
      <c r="AL222" s="286"/>
      <c r="AM222" s="286">
        <v>595</v>
      </c>
      <c r="AN222" s="286">
        <v>643</v>
      </c>
      <c r="AO222" s="286"/>
      <c r="AP222" s="286">
        <v>0</v>
      </c>
      <c r="AQ222" s="286">
        <v>0</v>
      </c>
      <c r="AR222" s="286"/>
      <c r="AS222" s="286">
        <v>764</v>
      </c>
      <c r="AT222" s="286">
        <v>777</v>
      </c>
      <c r="AU222" s="286"/>
      <c r="AV222" s="286">
        <v>279</v>
      </c>
      <c r="AW222" s="286">
        <v>276</v>
      </c>
      <c r="AX222" s="286"/>
      <c r="AY222" s="286">
        <v>515</v>
      </c>
      <c r="AZ222" s="286">
        <v>510</v>
      </c>
      <c r="BA222" s="286"/>
      <c r="BB222" s="286">
        <v>644</v>
      </c>
      <c r="BC222" s="286">
        <v>650</v>
      </c>
      <c r="BD222" s="286"/>
      <c r="BE222" s="286">
        <v>1840</v>
      </c>
      <c r="BF222" s="286">
        <v>1881</v>
      </c>
      <c r="BG222" s="286"/>
      <c r="BH222" s="286">
        <v>2493</v>
      </c>
      <c r="BI222" s="286">
        <v>2603</v>
      </c>
      <c r="BJ222" s="286"/>
      <c r="BK222" s="286">
        <v>304</v>
      </c>
      <c r="BL222" s="286">
        <v>271</v>
      </c>
      <c r="BM222" s="286"/>
      <c r="BN222" s="286">
        <v>304</v>
      </c>
      <c r="BO222" s="286">
        <v>300</v>
      </c>
      <c r="BP222" s="286"/>
      <c r="BQ222" s="286">
        <v>413</v>
      </c>
      <c r="BR222" s="286">
        <v>416</v>
      </c>
      <c r="BS222" s="286"/>
      <c r="BT222" s="286">
        <v>444</v>
      </c>
      <c r="BU222" s="286">
        <v>435</v>
      </c>
      <c r="BV222" s="286"/>
      <c r="BW222" s="286">
        <v>139</v>
      </c>
      <c r="BX222" s="286">
        <v>142</v>
      </c>
      <c r="BY222" s="286"/>
      <c r="BZ222" s="286">
        <v>312</v>
      </c>
      <c r="CA222" s="286">
        <v>303</v>
      </c>
      <c r="CB222" s="286"/>
      <c r="CC222" s="286">
        <v>280</v>
      </c>
      <c r="CD222" s="286">
        <v>281</v>
      </c>
      <c r="CE222" s="286"/>
      <c r="CF222" s="286">
        <v>83</v>
      </c>
      <c r="CG222" s="286">
        <v>93</v>
      </c>
      <c r="CH222" s="286"/>
      <c r="CI222" s="286">
        <v>0</v>
      </c>
      <c r="CJ222" s="286">
        <v>0</v>
      </c>
      <c r="CK222" s="304"/>
      <c r="CL222" s="304"/>
      <c r="CM222" s="304"/>
      <c r="CN222" s="304"/>
      <c r="CO222" s="304"/>
      <c r="CP222" s="304"/>
      <c r="CQ222" s="304"/>
      <c r="CR222" s="304"/>
      <c r="CS222" s="304"/>
    </row>
    <row r="223" spans="1:97" x14ac:dyDescent="0.25">
      <c r="A223" s="107"/>
      <c r="B223" s="16" t="s">
        <v>1185</v>
      </c>
      <c r="C223" s="95"/>
      <c r="D223" s="95" t="s">
        <v>950</v>
      </c>
      <c r="E223" s="282">
        <v>911</v>
      </c>
      <c r="F223" s="282">
        <v>935</v>
      </c>
      <c r="G223" s="282">
        <v>941</v>
      </c>
      <c r="H223" s="282">
        <v>952</v>
      </c>
      <c r="I223" s="103">
        <v>937</v>
      </c>
      <c r="J223" s="103">
        <v>962</v>
      </c>
      <c r="K223" s="103">
        <v>1034</v>
      </c>
      <c r="L223" s="103">
        <v>91</v>
      </c>
      <c r="M223" s="103">
        <v>92</v>
      </c>
      <c r="N223" s="103">
        <v>87</v>
      </c>
      <c r="O223" s="283"/>
      <c r="P223" s="286">
        <f>R223+U223+X223+AA223+AD223+AG223+AJ223+AM223+AP223+AS223+AV223+AY223+BB223+BE223+BH223+BK223+BN223+BQ223+BT223+BW223+BZ223+CC223+CF223+CI223</f>
        <v>958</v>
      </c>
      <c r="Q223" s="286">
        <f>S223+V223+Y223+AB223+AE223+AH223+AK223+AN223+AQ223+AT223+AW223+AZ223+BC223+BF223+BI223+BL223+BO223+BR223+BU223+BX223+CA223+CD223+CG223+CJ223</f>
        <v>978</v>
      </c>
      <c r="R223" s="302">
        <v>67</v>
      </c>
      <c r="S223" s="302">
        <v>65</v>
      </c>
      <c r="T223" s="302"/>
      <c r="U223" s="302">
        <v>89</v>
      </c>
      <c r="V223" s="302">
        <v>87</v>
      </c>
      <c r="W223" s="302"/>
      <c r="X223" s="302">
        <v>105</v>
      </c>
      <c r="Y223" s="302">
        <v>106</v>
      </c>
      <c r="Z223" s="302"/>
      <c r="AA223" s="302">
        <v>121</v>
      </c>
      <c r="AB223" s="302">
        <v>120</v>
      </c>
      <c r="AC223" s="302"/>
      <c r="AD223" s="302">
        <v>24</v>
      </c>
      <c r="AE223" s="302">
        <v>70</v>
      </c>
      <c r="AF223" s="302"/>
      <c r="AG223" s="302">
        <v>91</v>
      </c>
      <c r="AH223" s="302">
        <v>90</v>
      </c>
      <c r="AI223" s="302"/>
      <c r="AJ223" s="302">
        <v>18</v>
      </c>
      <c r="AK223" s="302">
        <v>18</v>
      </c>
      <c r="AL223" s="302"/>
      <c r="AM223" s="302">
        <v>294</v>
      </c>
      <c r="AN223" s="302">
        <v>269</v>
      </c>
      <c r="AO223" s="286"/>
      <c r="AP223" s="302">
        <v>149</v>
      </c>
      <c r="AQ223" s="302">
        <v>153</v>
      </c>
      <c r="AR223" s="302"/>
      <c r="AS223" s="302">
        <v>0</v>
      </c>
      <c r="AT223" s="302">
        <v>0</v>
      </c>
      <c r="AU223" s="302"/>
      <c r="AV223" s="302">
        <v>0</v>
      </c>
      <c r="AW223" s="302">
        <v>0</v>
      </c>
      <c r="AX223" s="302"/>
      <c r="AY223" s="302">
        <v>0</v>
      </c>
      <c r="AZ223" s="302">
        <v>0</v>
      </c>
      <c r="BA223" s="302"/>
      <c r="BB223" s="302">
        <v>0</v>
      </c>
      <c r="BC223" s="302">
        <v>0</v>
      </c>
      <c r="BD223" s="302"/>
      <c r="BE223" s="302">
        <v>0</v>
      </c>
      <c r="BF223" s="302">
        <v>0</v>
      </c>
      <c r="BG223" s="302"/>
      <c r="BH223" s="302">
        <v>0</v>
      </c>
      <c r="BI223" s="302">
        <v>0</v>
      </c>
      <c r="BJ223" s="302"/>
      <c r="BK223" s="302">
        <v>0</v>
      </c>
      <c r="BL223" s="302">
        <v>0</v>
      </c>
      <c r="BM223" s="302"/>
      <c r="BN223" s="302">
        <v>0</v>
      </c>
      <c r="BO223" s="302">
        <v>0</v>
      </c>
      <c r="BP223" s="302"/>
      <c r="BQ223" s="302">
        <v>0</v>
      </c>
      <c r="BR223" s="302">
        <v>0</v>
      </c>
      <c r="BS223" s="302"/>
      <c r="BT223" s="302">
        <v>0</v>
      </c>
      <c r="BU223" s="302">
        <v>0</v>
      </c>
      <c r="BV223" s="302"/>
      <c r="BW223" s="302">
        <v>0</v>
      </c>
      <c r="BX223" s="302">
        <v>0</v>
      </c>
      <c r="BY223" s="302"/>
      <c r="BZ223" s="302">
        <v>0</v>
      </c>
      <c r="CA223" s="302">
        <v>0</v>
      </c>
      <c r="CB223" s="302"/>
      <c r="CC223" s="302">
        <v>0</v>
      </c>
      <c r="CD223" s="302">
        <v>0</v>
      </c>
      <c r="CE223" s="302"/>
      <c r="CF223" s="302">
        <v>0</v>
      </c>
      <c r="CG223" s="302">
        <v>0</v>
      </c>
      <c r="CH223" s="302"/>
      <c r="CI223" s="302">
        <v>0</v>
      </c>
      <c r="CJ223" s="302">
        <v>0</v>
      </c>
      <c r="CK223" s="304"/>
      <c r="CL223" s="304"/>
      <c r="CM223" s="304"/>
      <c r="CN223" s="304"/>
      <c r="CO223" s="304"/>
      <c r="CP223" s="304"/>
      <c r="CQ223" s="304"/>
      <c r="CR223" s="304"/>
      <c r="CS223" s="304"/>
    </row>
    <row r="224" spans="1:97" x14ac:dyDescent="0.25">
      <c r="A224" s="107"/>
      <c r="B224" s="16" t="s">
        <v>1184</v>
      </c>
      <c r="C224" s="95"/>
      <c r="D224" s="95"/>
      <c r="E224" s="282">
        <f t="shared" ref="E224:Y224" si="259">E225+E226</f>
        <v>0</v>
      </c>
      <c r="F224" s="282">
        <f t="shared" si="259"/>
        <v>40</v>
      </c>
      <c r="G224" s="282">
        <f t="shared" si="259"/>
        <v>17</v>
      </c>
      <c r="H224" s="282">
        <f t="shared" si="259"/>
        <v>10</v>
      </c>
      <c r="I224" s="103">
        <f t="shared" si="259"/>
        <v>67</v>
      </c>
      <c r="J224" s="103">
        <f t="shared" si="259"/>
        <v>53</v>
      </c>
      <c r="K224" s="103">
        <f>K225+K226</f>
        <v>69</v>
      </c>
      <c r="L224" s="103">
        <f t="shared" ref="L224:M224" si="260">L225+L226</f>
        <v>2</v>
      </c>
      <c r="M224" s="103">
        <f t="shared" si="260"/>
        <v>2</v>
      </c>
      <c r="N224" s="103">
        <v>1</v>
      </c>
      <c r="P224" s="103">
        <f t="shared" si="259"/>
        <v>69</v>
      </c>
      <c r="Q224" s="103">
        <f t="shared" si="259"/>
        <v>37</v>
      </c>
      <c r="R224" s="103">
        <f t="shared" si="259"/>
        <v>0</v>
      </c>
      <c r="S224" s="103">
        <f t="shared" si="259"/>
        <v>0</v>
      </c>
      <c r="T224" s="305"/>
      <c r="U224" s="103">
        <f t="shared" si="259"/>
        <v>0</v>
      </c>
      <c r="V224" s="103">
        <f t="shared" si="259"/>
        <v>0</v>
      </c>
      <c r="W224" s="305"/>
      <c r="X224" s="103">
        <f t="shared" si="259"/>
        <v>0</v>
      </c>
      <c r="Y224" s="103">
        <f t="shared" si="259"/>
        <v>0</v>
      </c>
      <c r="Z224" s="305"/>
      <c r="AA224" s="103">
        <f>AA225+AA226</f>
        <v>0</v>
      </c>
      <c r="AB224" s="103">
        <f>AB225+AB226</f>
        <v>0</v>
      </c>
      <c r="AC224" s="305"/>
      <c r="AD224" s="103">
        <f>AD225+AD226</f>
        <v>0</v>
      </c>
      <c r="AE224" s="103">
        <f>AE225+AE226</f>
        <v>0</v>
      </c>
      <c r="AF224" s="305"/>
      <c r="AG224" s="103">
        <f>AG225+AG226</f>
        <v>2</v>
      </c>
      <c r="AH224" s="103">
        <f>AH225+AH226</f>
        <v>2</v>
      </c>
      <c r="AI224" s="305"/>
      <c r="AJ224" s="103">
        <f>AJ225+AJ226</f>
        <v>0</v>
      </c>
      <c r="AK224" s="103">
        <f>AK225+AK226</f>
        <v>0</v>
      </c>
      <c r="AL224" s="305"/>
      <c r="AM224" s="103">
        <f>AM225+AM226</f>
        <v>0</v>
      </c>
      <c r="AN224" s="103">
        <f>AN225+AN226</f>
        <v>0</v>
      </c>
      <c r="AO224" s="305"/>
      <c r="AP224" s="103">
        <f>AP225+AP226</f>
        <v>0</v>
      </c>
      <c r="AQ224" s="103">
        <f>AQ225+AQ226</f>
        <v>0</v>
      </c>
      <c r="AR224" s="305"/>
      <c r="AS224" s="103">
        <f>AS225+AS226</f>
        <v>22</v>
      </c>
      <c r="AT224" s="103">
        <f>AT225+AT226</f>
        <v>22</v>
      </c>
      <c r="AU224" s="305"/>
      <c r="AV224" s="103">
        <f>AV225+AV226</f>
        <v>0</v>
      </c>
      <c r="AW224" s="103">
        <f>AW225+AW226</f>
        <v>0</v>
      </c>
      <c r="AX224" s="305"/>
      <c r="AY224" s="103">
        <f>AY225+AY226</f>
        <v>7</v>
      </c>
      <c r="AZ224" s="103">
        <f>AZ225+AZ226</f>
        <v>0</v>
      </c>
      <c r="BA224" s="305"/>
      <c r="BB224" s="103">
        <f>BB225+BB226</f>
        <v>13</v>
      </c>
      <c r="BC224" s="103">
        <f>BC225+BC226</f>
        <v>0</v>
      </c>
      <c r="BD224" s="305"/>
      <c r="BE224" s="103">
        <f>BE225+BE226</f>
        <v>4</v>
      </c>
      <c r="BF224" s="103">
        <f>BF225+BF226</f>
        <v>0</v>
      </c>
      <c r="BG224" s="305"/>
      <c r="BH224" s="103">
        <f>BH225+BH226</f>
        <v>21</v>
      </c>
      <c r="BI224" s="103">
        <f>BI225+BI226</f>
        <v>13</v>
      </c>
      <c r="BJ224" s="305"/>
      <c r="BK224" s="103">
        <f>BK225+BK226</f>
        <v>0</v>
      </c>
      <c r="BL224" s="103">
        <f>BL225+BL226</f>
        <v>0</v>
      </c>
      <c r="BM224" s="305"/>
      <c r="BN224" s="103">
        <f>BN225+BN226</f>
        <v>0</v>
      </c>
      <c r="BO224" s="103">
        <f>BO225+BO226</f>
        <v>0</v>
      </c>
      <c r="BP224" s="305"/>
      <c r="BQ224" s="103">
        <f>BQ225+BQ226</f>
        <v>0</v>
      </c>
      <c r="BR224" s="103">
        <f>BR225+BR226</f>
        <v>0</v>
      </c>
      <c r="BS224" s="305"/>
      <c r="BT224" s="103">
        <f>BT225+BT226</f>
        <v>0</v>
      </c>
      <c r="BU224" s="103">
        <f>BU225+BU226</f>
        <v>0</v>
      </c>
      <c r="BV224" s="305"/>
      <c r="BW224" s="103">
        <f>BW225+BW226</f>
        <v>0</v>
      </c>
      <c r="BX224" s="103">
        <f>BX225+BX226</f>
        <v>0</v>
      </c>
      <c r="BY224" s="305"/>
      <c r="BZ224" s="103">
        <f>BZ225+BZ226</f>
        <v>0</v>
      </c>
      <c r="CA224" s="103">
        <f>CA225+CA226</f>
        <v>0</v>
      </c>
      <c r="CB224" s="305"/>
      <c r="CC224" s="103">
        <f>CC225+CC226</f>
        <v>0</v>
      </c>
      <c r="CD224" s="103">
        <f>CD225+CD226</f>
        <v>0</v>
      </c>
      <c r="CE224" s="305"/>
      <c r="CF224" s="103">
        <f>CF225+CF226</f>
        <v>0</v>
      </c>
      <c r="CG224" s="103">
        <f>CG225+CG226</f>
        <v>0</v>
      </c>
      <c r="CH224" s="305"/>
      <c r="CI224" s="103">
        <f>CI225+CI226</f>
        <v>0</v>
      </c>
      <c r="CJ224" s="103">
        <f>CJ225+CJ226</f>
        <v>0</v>
      </c>
      <c r="CK224" s="304"/>
      <c r="CL224" s="304"/>
      <c r="CM224" s="304"/>
      <c r="CN224" s="304"/>
      <c r="CO224" s="304"/>
      <c r="CP224" s="304"/>
      <c r="CQ224" s="304"/>
      <c r="CR224" s="304"/>
      <c r="CS224" s="304"/>
    </row>
    <row r="225" spans="1:97" x14ac:dyDescent="0.25">
      <c r="A225" s="107"/>
      <c r="B225" s="16" t="s">
        <v>1183</v>
      </c>
      <c r="C225" s="95"/>
      <c r="D225" s="95" t="s">
        <v>950</v>
      </c>
      <c r="E225" s="282">
        <v>0</v>
      </c>
      <c r="F225" s="282">
        <v>40</v>
      </c>
      <c r="G225" s="282">
        <v>17</v>
      </c>
      <c r="H225" s="282">
        <v>10</v>
      </c>
      <c r="I225" s="103">
        <v>67</v>
      </c>
      <c r="J225" s="103">
        <v>53</v>
      </c>
      <c r="K225" s="103">
        <v>69</v>
      </c>
      <c r="L225" s="103">
        <v>2</v>
      </c>
      <c r="M225" s="103">
        <v>2</v>
      </c>
      <c r="N225" s="103">
        <v>1</v>
      </c>
      <c r="P225" s="286">
        <f>R225+U225+X225+AA225+AD225+AG225+AJ225+AM225+AP225+AS225+AV225+AY225+BB225+BE225+BH225+BK225+BN225+BQ225+BT225+BW225+BZ225+CC225+CF225+CI225</f>
        <v>69</v>
      </c>
      <c r="Q225" s="286">
        <f>S225+V225+Y225+AB225+AE225+AH225+AK225+AN225+AQ225+AT225+AW225+AZ225+BC225+BF225+BI225+BL225+BO225+BR225+BU225+BX225+CA225+CD225+CG225+CJ225</f>
        <v>37</v>
      </c>
      <c r="R225" s="302">
        <v>0</v>
      </c>
      <c r="S225" s="302">
        <v>0</v>
      </c>
      <c r="T225" s="302"/>
      <c r="U225" s="302">
        <v>0</v>
      </c>
      <c r="V225" s="302">
        <v>0</v>
      </c>
      <c r="W225" s="302"/>
      <c r="X225" s="302">
        <v>0</v>
      </c>
      <c r="Y225" s="302">
        <v>0</v>
      </c>
      <c r="Z225" s="302"/>
      <c r="AA225" s="302">
        <v>0</v>
      </c>
      <c r="AB225" s="302">
        <v>0</v>
      </c>
      <c r="AC225" s="302"/>
      <c r="AD225" s="302">
        <v>0</v>
      </c>
      <c r="AE225" s="302">
        <v>0</v>
      </c>
      <c r="AF225" s="302"/>
      <c r="AG225" s="302">
        <v>2</v>
      </c>
      <c r="AH225" s="302">
        <v>2</v>
      </c>
      <c r="AI225" s="302"/>
      <c r="AJ225" s="302">
        <v>0</v>
      </c>
      <c r="AK225" s="302">
        <v>0</v>
      </c>
      <c r="AL225" s="302"/>
      <c r="AM225" s="302">
        <v>0</v>
      </c>
      <c r="AN225" s="302">
        <v>0</v>
      </c>
      <c r="AO225" s="302"/>
      <c r="AP225" s="302">
        <v>0</v>
      </c>
      <c r="AQ225" s="302">
        <v>0</v>
      </c>
      <c r="AR225" s="302"/>
      <c r="AS225" s="302">
        <v>22</v>
      </c>
      <c r="AT225" s="302">
        <v>22</v>
      </c>
      <c r="AU225" s="302"/>
      <c r="AV225" s="302">
        <v>0</v>
      </c>
      <c r="AW225" s="302">
        <v>0</v>
      </c>
      <c r="AX225" s="302"/>
      <c r="AY225" s="302">
        <v>7</v>
      </c>
      <c r="AZ225" s="302">
        <v>0</v>
      </c>
      <c r="BA225" s="302"/>
      <c r="BB225" s="302">
        <v>13</v>
      </c>
      <c r="BC225" s="302">
        <v>0</v>
      </c>
      <c r="BD225" s="302"/>
      <c r="BE225" s="302">
        <v>4</v>
      </c>
      <c r="BF225" s="302">
        <v>0</v>
      </c>
      <c r="BG225" s="302"/>
      <c r="BH225" s="302">
        <v>21</v>
      </c>
      <c r="BI225" s="302">
        <v>13</v>
      </c>
      <c r="BJ225" s="302"/>
      <c r="BK225" s="302">
        <v>0</v>
      </c>
      <c r="BL225" s="302">
        <v>0</v>
      </c>
      <c r="BM225" s="302"/>
      <c r="BN225" s="302">
        <v>0</v>
      </c>
      <c r="BO225" s="302">
        <v>0</v>
      </c>
      <c r="BP225" s="302"/>
      <c r="BQ225" s="302">
        <v>0</v>
      </c>
      <c r="BR225" s="302">
        <v>0</v>
      </c>
      <c r="BS225" s="302"/>
      <c r="BT225" s="302">
        <v>0</v>
      </c>
      <c r="BU225" s="302">
        <v>0</v>
      </c>
      <c r="BV225" s="302"/>
      <c r="BW225" s="302">
        <v>0</v>
      </c>
      <c r="BX225" s="302">
        <v>0</v>
      </c>
      <c r="BY225" s="302"/>
      <c r="BZ225" s="302">
        <v>0</v>
      </c>
      <c r="CA225" s="302">
        <v>0</v>
      </c>
      <c r="CB225" s="302"/>
      <c r="CC225" s="302">
        <v>0</v>
      </c>
      <c r="CD225" s="302">
        <v>0</v>
      </c>
      <c r="CE225" s="302"/>
      <c r="CF225" s="302">
        <v>0</v>
      </c>
      <c r="CG225" s="302">
        <v>0</v>
      </c>
      <c r="CH225" s="302"/>
      <c r="CI225" s="302">
        <v>0</v>
      </c>
      <c r="CJ225" s="302">
        <v>0</v>
      </c>
      <c r="CK225" s="304"/>
      <c r="CL225" s="304"/>
      <c r="CM225" s="304"/>
      <c r="CN225" s="304"/>
      <c r="CO225" s="304"/>
      <c r="CP225" s="304"/>
      <c r="CQ225" s="304"/>
      <c r="CR225" s="304"/>
      <c r="CS225" s="304"/>
    </row>
    <row r="226" spans="1:97" x14ac:dyDescent="0.25">
      <c r="A226" s="107"/>
      <c r="B226" s="16" t="s">
        <v>1185</v>
      </c>
      <c r="C226" s="95"/>
      <c r="D226" s="95" t="s">
        <v>950</v>
      </c>
      <c r="E226" s="282">
        <v>0</v>
      </c>
      <c r="F226" s="282">
        <v>0</v>
      </c>
      <c r="G226" s="282">
        <v>0</v>
      </c>
      <c r="H226" s="282">
        <v>0</v>
      </c>
      <c r="I226" s="103">
        <v>0</v>
      </c>
      <c r="J226" s="103">
        <v>0</v>
      </c>
      <c r="K226" s="103">
        <v>0</v>
      </c>
      <c r="L226" s="103">
        <v>0</v>
      </c>
      <c r="M226" s="103">
        <v>0</v>
      </c>
      <c r="N226" s="103">
        <v>0</v>
      </c>
      <c r="P226" s="286">
        <f>R226+U226+X226+AA226+AD226+AG226+AJ226+AM226+AP226+AS226+AV226+AY226+BB226+BE226+BH226+BK226+BN226+BQ226+BT226+BW226+BZ226+CC226+CF226+CI226</f>
        <v>0</v>
      </c>
      <c r="Q226" s="286">
        <f>S226+V226+Y226+AB226+AE226+AH226+AK226+AN226+AQ226+AT226+AW226+AZ226+BC226+BF226+BI226+BL226+BO226+BR226+BU226+BX226+CA226+CD226+CG226+CJ226</f>
        <v>0</v>
      </c>
      <c r="R226" s="302">
        <v>0</v>
      </c>
      <c r="S226" s="302">
        <v>0</v>
      </c>
      <c r="T226" s="302"/>
      <c r="U226" s="302">
        <v>0</v>
      </c>
      <c r="V226" s="302">
        <v>0</v>
      </c>
      <c r="W226" s="302"/>
      <c r="X226" s="302">
        <v>0</v>
      </c>
      <c r="Y226" s="302">
        <v>0</v>
      </c>
      <c r="Z226" s="302"/>
      <c r="AA226" s="302">
        <v>0</v>
      </c>
      <c r="AB226" s="302">
        <v>0</v>
      </c>
      <c r="AC226" s="302"/>
      <c r="AD226" s="302">
        <v>0</v>
      </c>
      <c r="AE226" s="302">
        <v>0</v>
      </c>
      <c r="AF226" s="302"/>
      <c r="AG226" s="302">
        <v>0</v>
      </c>
      <c r="AH226" s="302">
        <v>0</v>
      </c>
      <c r="AI226" s="302"/>
      <c r="AJ226" s="302">
        <v>0</v>
      </c>
      <c r="AK226" s="302">
        <v>0</v>
      </c>
      <c r="AL226" s="302"/>
      <c r="AM226" s="302">
        <v>0</v>
      </c>
      <c r="AN226" s="302">
        <v>0</v>
      </c>
      <c r="AO226" s="302"/>
      <c r="AP226" s="302">
        <v>0</v>
      </c>
      <c r="AQ226" s="302">
        <v>0</v>
      </c>
      <c r="AR226" s="302"/>
      <c r="AS226" s="302">
        <v>0</v>
      </c>
      <c r="AT226" s="302">
        <v>0</v>
      </c>
      <c r="AU226" s="302"/>
      <c r="AV226" s="302">
        <v>0</v>
      </c>
      <c r="AW226" s="302">
        <v>0</v>
      </c>
      <c r="AX226" s="302"/>
      <c r="AY226" s="302">
        <v>0</v>
      </c>
      <c r="AZ226" s="302">
        <v>0</v>
      </c>
      <c r="BA226" s="302"/>
      <c r="BB226" s="302">
        <v>0</v>
      </c>
      <c r="BC226" s="302">
        <v>0</v>
      </c>
      <c r="BD226" s="302"/>
      <c r="BE226" s="302">
        <v>0</v>
      </c>
      <c r="BF226" s="302">
        <v>0</v>
      </c>
      <c r="BG226" s="302"/>
      <c r="BH226" s="302">
        <v>0</v>
      </c>
      <c r="BI226" s="302">
        <v>0</v>
      </c>
      <c r="BJ226" s="302"/>
      <c r="BK226" s="302">
        <v>0</v>
      </c>
      <c r="BL226" s="302">
        <v>0</v>
      </c>
      <c r="BM226" s="302"/>
      <c r="BN226" s="302">
        <v>0</v>
      </c>
      <c r="BO226" s="302">
        <v>0</v>
      </c>
      <c r="BP226" s="302"/>
      <c r="BQ226" s="302">
        <v>0</v>
      </c>
      <c r="BR226" s="302">
        <v>0</v>
      </c>
      <c r="BS226" s="302"/>
      <c r="BT226" s="302">
        <v>0</v>
      </c>
      <c r="BU226" s="302">
        <v>0</v>
      </c>
      <c r="BV226" s="302"/>
      <c r="BW226" s="302">
        <v>0</v>
      </c>
      <c r="BX226" s="302">
        <v>0</v>
      </c>
      <c r="BY226" s="302"/>
      <c r="BZ226" s="302">
        <v>0</v>
      </c>
      <c r="CA226" s="302">
        <v>0</v>
      </c>
      <c r="CB226" s="302"/>
      <c r="CC226" s="302">
        <v>0</v>
      </c>
      <c r="CD226" s="302">
        <v>0</v>
      </c>
      <c r="CE226" s="302"/>
      <c r="CF226" s="302">
        <v>0</v>
      </c>
      <c r="CG226" s="302">
        <v>0</v>
      </c>
      <c r="CH226" s="302"/>
      <c r="CI226" s="302">
        <v>0</v>
      </c>
      <c r="CJ226" s="302">
        <v>0</v>
      </c>
      <c r="CK226" s="304"/>
      <c r="CL226" s="304"/>
      <c r="CM226" s="304"/>
      <c r="CN226" s="304"/>
      <c r="CO226" s="304"/>
      <c r="CP226" s="304"/>
      <c r="CQ226" s="304"/>
      <c r="CR226" s="304"/>
      <c r="CS226" s="304"/>
    </row>
    <row r="227" spans="1:97" ht="75" x14ac:dyDescent="0.25">
      <c r="A227" s="95" t="s">
        <v>37</v>
      </c>
      <c r="B227" s="96" t="s">
        <v>1619</v>
      </c>
      <c r="C227" s="107"/>
      <c r="D227" s="95"/>
      <c r="E227" s="279"/>
      <c r="F227" s="279"/>
      <c r="G227" s="279"/>
      <c r="H227" s="279"/>
      <c r="I227" s="279"/>
      <c r="J227" s="279"/>
      <c r="K227" s="279"/>
      <c r="L227" s="279"/>
      <c r="M227" s="279"/>
      <c r="N227" s="279"/>
      <c r="O227" s="281"/>
      <c r="P227" s="296"/>
      <c r="Q227" s="296"/>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c r="BO227" s="304"/>
      <c r="BP227" s="304"/>
      <c r="BQ227" s="304"/>
      <c r="BR227" s="304"/>
      <c r="BS227" s="304"/>
      <c r="BT227" s="304"/>
      <c r="BU227" s="304"/>
      <c r="BV227" s="304"/>
      <c r="BW227" s="304"/>
      <c r="BX227" s="304"/>
      <c r="BY227" s="304"/>
      <c r="BZ227" s="304"/>
      <c r="CA227" s="304"/>
      <c r="CB227" s="304"/>
      <c r="CC227" s="304"/>
      <c r="CD227" s="304"/>
      <c r="CE227" s="304"/>
      <c r="CF227" s="304"/>
      <c r="CG227" s="304"/>
      <c r="CH227" s="304"/>
      <c r="CI227" s="304"/>
      <c r="CJ227" s="304"/>
      <c r="CK227" s="304"/>
      <c r="CL227" s="304"/>
      <c r="CM227" s="304"/>
      <c r="CN227" s="304"/>
      <c r="CO227" s="304"/>
      <c r="CP227" s="304"/>
      <c r="CQ227" s="304"/>
      <c r="CR227" s="304"/>
      <c r="CS227" s="304"/>
    </row>
    <row r="228" spans="1:97" x14ac:dyDescent="0.25">
      <c r="A228" s="107"/>
      <c r="B228" s="96" t="s">
        <v>1781</v>
      </c>
      <c r="C228" s="95"/>
      <c r="D228" s="95" t="s">
        <v>8</v>
      </c>
      <c r="E228" s="282"/>
      <c r="F228" s="282"/>
      <c r="G228" s="282"/>
      <c r="H228" s="282"/>
      <c r="I228" s="287">
        <f>I239/$I$238*100</f>
        <v>76.77250978686385</v>
      </c>
      <c r="J228" s="287">
        <f>J239/$J$238*100</f>
        <v>76.03828405400786</v>
      </c>
      <c r="K228" s="287">
        <f>K239/$K$238*100</f>
        <v>75.32192477126398</v>
      </c>
      <c r="L228" s="287">
        <f>L239/L238*100</f>
        <v>79.908675799086765</v>
      </c>
      <c r="M228" s="287">
        <f>M239/M238*100</f>
        <v>78.666666666666657</v>
      </c>
      <c r="N228" s="287">
        <f>N239/N238*100</f>
        <v>81.395348837209298</v>
      </c>
      <c r="P228" s="287">
        <f>P239/P238*100</f>
        <v>75.381226702812612</v>
      </c>
      <c r="Q228" s="287">
        <f>Q239/Q238*100</f>
        <v>75.205847756679546</v>
      </c>
      <c r="R228" s="287">
        <f>R239/R238*100</f>
        <v>78.508771929824562</v>
      </c>
      <c r="S228" s="287">
        <f>S239/S238*100</f>
        <v>75</v>
      </c>
      <c r="U228" s="287">
        <f>U239/U238*100</f>
        <v>75.784753363228702</v>
      </c>
      <c r="V228" s="287">
        <f>V239/V238*100</f>
        <v>74.881516587677723</v>
      </c>
      <c r="X228" s="287">
        <f>X239/X238*100</f>
        <v>71.111111111111114</v>
      </c>
      <c r="Y228" s="287">
        <f>Y239/Y238*100</f>
        <v>71.05263157894737</v>
      </c>
      <c r="AA228" s="287">
        <f>AA239/AA238*100</f>
        <v>69.696969696969703</v>
      </c>
      <c r="AB228" s="287">
        <f>AB239/AB238*100</f>
        <v>69.463087248322154</v>
      </c>
      <c r="AD228" s="287">
        <f>AD239/AD238*100</f>
        <v>74.329501915708818</v>
      </c>
      <c r="AE228" s="287">
        <f>AE239/AE238*100</f>
        <v>77.254901960784323</v>
      </c>
      <c r="AG228" s="287">
        <f>AG239/AG238*100</f>
        <v>83.333333333333343</v>
      </c>
      <c r="AH228" s="287">
        <f>AH239/AH238*100</f>
        <v>79.908675799086765</v>
      </c>
      <c r="AJ228" s="287">
        <f>AJ239/AJ238*100</f>
        <v>71.538461538461533</v>
      </c>
      <c r="AK228" s="287">
        <f>AK239/AK238*100</f>
        <v>72.323759791122711</v>
      </c>
      <c r="AM228" s="287">
        <f>AM239/AM238*100</f>
        <v>76.602924634420702</v>
      </c>
      <c r="AN228" s="287">
        <f>AN239/AN238*100</f>
        <v>76.64473684210526</v>
      </c>
      <c r="AP228" s="287">
        <f>AP239/AP238*100</f>
        <v>76.510067114093957</v>
      </c>
      <c r="AQ228" s="287">
        <f>AQ239/AQ238*100</f>
        <v>71.24183006535948</v>
      </c>
      <c r="AS228" s="287">
        <f>AS239/AS238*100</f>
        <v>72.773536895674297</v>
      </c>
      <c r="AT228" s="287">
        <f>AT239/AT238*100</f>
        <v>70.463078848560698</v>
      </c>
      <c r="AV228" s="287">
        <f>AV239/AV238*100</f>
        <v>77.777777777777786</v>
      </c>
      <c r="AW228" s="287">
        <f>AW239/AW238*100</f>
        <v>74.637681159420282</v>
      </c>
      <c r="AY228" s="287">
        <f>AY239/AY238*100</f>
        <v>70.689655172413794</v>
      </c>
      <c r="AZ228" s="287">
        <f>AZ239/AZ238*100</f>
        <v>71.17647058823529</v>
      </c>
      <c r="BB228" s="287">
        <f>BB239/BB238*100</f>
        <v>76.407914764079138</v>
      </c>
      <c r="BC228" s="287">
        <f>BC239/BC238*100</f>
        <v>76</v>
      </c>
      <c r="BE228" s="287">
        <f>BE239/BE238*100</f>
        <v>77.982646420824295</v>
      </c>
      <c r="BF228" s="287">
        <f>BF239/BF238*100</f>
        <v>80.435938330675171</v>
      </c>
      <c r="BH228" s="287">
        <f>BH239/BH238*100</f>
        <v>72.911694510739849</v>
      </c>
      <c r="BI228" s="287">
        <f>BI239/BI238*100</f>
        <v>74.464831804281346</v>
      </c>
      <c r="BK228" s="287">
        <f>BK239/BK238*100</f>
        <v>78.94736842105263</v>
      </c>
      <c r="BL228" s="287">
        <f>BL239/BL238*100</f>
        <v>78.966789667896677</v>
      </c>
      <c r="BN228" s="287">
        <f>BN239/BN238*100</f>
        <v>75</v>
      </c>
      <c r="BO228" s="287">
        <f>BO239/BO238*100</f>
        <v>77.666666666666657</v>
      </c>
      <c r="BQ228" s="287">
        <f>BQ239/BQ238*100</f>
        <v>74.818401937046005</v>
      </c>
      <c r="BR228" s="287">
        <f>BR239/BR238*100</f>
        <v>75.240384615384613</v>
      </c>
      <c r="BT228" s="287">
        <f>BT239/BT238*100</f>
        <v>77.252252252252248</v>
      </c>
      <c r="BU228" s="287">
        <f>BU239/BU238*100</f>
        <v>78.620689655172413</v>
      </c>
      <c r="BW228" s="287">
        <f>BW239/BW238*100</f>
        <v>76.978417266187051</v>
      </c>
      <c r="BX228" s="287">
        <f>BX239/BX238*100</f>
        <v>74.647887323943664</v>
      </c>
      <c r="BZ228" s="287">
        <f>BZ239/BZ238*100</f>
        <v>73.076923076923066</v>
      </c>
      <c r="CA228" s="287">
        <f>CA239/CA238*100</f>
        <v>74.587458745874585</v>
      </c>
      <c r="CC228" s="287">
        <f>CC239/CC238*100</f>
        <v>74.642857142857139</v>
      </c>
      <c r="CD228" s="287">
        <f>CD239/CD238*100</f>
        <v>75.80071174377224</v>
      </c>
      <c r="CF228" s="287">
        <f>CF239/CF238*100</f>
        <v>34.939759036144579</v>
      </c>
      <c r="CG228" s="287">
        <f>CG239/CG238*100</f>
        <v>34.408602150537639</v>
      </c>
      <c r="CI228" s="287" t="e">
        <f>CI239/CI238*100</f>
        <v>#DIV/0!</v>
      </c>
      <c r="CJ228" s="287" t="e">
        <f>CJ239/CJ238*100</f>
        <v>#DIV/0!</v>
      </c>
    </row>
    <row r="229" spans="1:97" x14ac:dyDescent="0.25">
      <c r="A229" s="107"/>
      <c r="B229" s="96" t="s">
        <v>1782</v>
      </c>
      <c r="C229" s="95"/>
      <c r="D229" s="95" t="s">
        <v>8</v>
      </c>
      <c r="E229" s="282"/>
      <c r="F229" s="282"/>
      <c r="G229" s="282"/>
      <c r="H229" s="282"/>
      <c r="I229" s="287">
        <f t="shared" ref="I229:I237" si="261">I240/$I$238*100</f>
        <v>2.2879512831665942</v>
      </c>
      <c r="J229" s="287">
        <f>J240/$J$238*100</f>
        <v>2.3243889933344728</v>
      </c>
      <c r="K229" s="287">
        <f t="shared" ref="K229:K237" si="262">K240/$K$238*100</f>
        <v>2.3466621484242629</v>
      </c>
      <c r="L229" s="287">
        <f>L240/L238*100</f>
        <v>0.91324200913242004</v>
      </c>
      <c r="M229" s="287">
        <f>M240/M238*100</f>
        <v>1.3333333333333335</v>
      </c>
      <c r="N229" s="287">
        <f>N240/N238*100</f>
        <v>0.93023255813953487</v>
      </c>
      <c r="P229" s="287">
        <f>P240/P238*100</f>
        <v>2.3043036258895291</v>
      </c>
      <c r="Q229" s="287">
        <f>Q240/Q238*100</f>
        <v>2.1172912115610822</v>
      </c>
      <c r="R229" s="287">
        <f>R240/R238*100</f>
        <v>1.3157894736842104</v>
      </c>
      <c r="S229" s="287">
        <f>S240/S238*100</f>
        <v>1.2931034482758621</v>
      </c>
      <c r="U229" s="287">
        <f>U240/U238*100</f>
        <v>2.2421524663677128</v>
      </c>
      <c r="V229" s="287">
        <f>V240/V238*100</f>
        <v>1.4218009478672986</v>
      </c>
      <c r="X229" s="287">
        <f>X240/X238*100</f>
        <v>3.3333333333333335</v>
      </c>
      <c r="Y229" s="287">
        <f>Y240/Y238*100</f>
        <v>3.7593984962406015</v>
      </c>
      <c r="AA229" s="287">
        <f>AA240/AA238*100</f>
        <v>4.0404040404040407</v>
      </c>
      <c r="AB229" s="287">
        <f>AB240/AB238*100</f>
        <v>3.6912751677852351</v>
      </c>
      <c r="AD229" s="287">
        <f>AD240/AD238*100</f>
        <v>2.2988505747126435</v>
      </c>
      <c r="AE229" s="287">
        <f>AE240/AE238*100</f>
        <v>1.9607843137254901</v>
      </c>
      <c r="AG229" s="287">
        <f>AG240/AG238*100</f>
        <v>1.3888888888888888</v>
      </c>
      <c r="AH229" s="287">
        <f>AH240/AH238*100</f>
        <v>0.91324200913242004</v>
      </c>
      <c r="AJ229" s="287">
        <f>AJ240/AJ238*100</f>
        <v>1.5384615384615385</v>
      </c>
      <c r="AK229" s="287">
        <f>AK240/AK238*100</f>
        <v>1.5665796344647518</v>
      </c>
      <c r="AM229" s="287">
        <f>AM240/AM238*100</f>
        <v>3.0371203599550056</v>
      </c>
      <c r="AN229" s="287">
        <f>AN240/AN238*100</f>
        <v>2.7412280701754383</v>
      </c>
      <c r="AP229" s="287">
        <f>AP240/AP238*100</f>
        <v>2.0134228187919461</v>
      </c>
      <c r="AQ229" s="287">
        <f>AQ240/AQ238*100</f>
        <v>0.65359477124183007</v>
      </c>
      <c r="AS229" s="287">
        <f>AS240/AS238*100</f>
        <v>5.343511450381679</v>
      </c>
      <c r="AT229" s="287">
        <f>AT240/AT238*100</f>
        <v>4.2553191489361701</v>
      </c>
      <c r="AV229" s="287">
        <f>AV240/AV238*100</f>
        <v>2.5089605734767026</v>
      </c>
      <c r="AW229" s="287">
        <f>AW240/AW238*100</f>
        <v>3.2608695652173911</v>
      </c>
      <c r="AY229" s="287">
        <f>AY240/AY238*100</f>
        <v>2.6819923371647509</v>
      </c>
      <c r="AZ229" s="287">
        <f>AZ240/AZ238*100</f>
        <v>2.1568627450980391</v>
      </c>
      <c r="BB229" s="287">
        <f>BB240/BB238*100</f>
        <v>4.2617960426179602</v>
      </c>
      <c r="BC229" s="287">
        <f>BC240/BC238*100</f>
        <v>4.1538461538461542</v>
      </c>
      <c r="BE229" s="287">
        <f>BE240/BE238*100</f>
        <v>0.81344902386117135</v>
      </c>
      <c r="BF229" s="287">
        <f>BF240/BF238*100</f>
        <v>0.85061137692716648</v>
      </c>
      <c r="BH229" s="287">
        <f>BH240/BH238*100</f>
        <v>1.431980906921241</v>
      </c>
      <c r="BI229" s="287">
        <f>BI240/BI238*100</f>
        <v>1.261467889908257</v>
      </c>
      <c r="BK229" s="287">
        <f>BK240/BK238*100</f>
        <v>3.2894736842105261</v>
      </c>
      <c r="BL229" s="287">
        <f>BL240/BL238*100</f>
        <v>4.0590405904059041</v>
      </c>
      <c r="BN229" s="287">
        <f>BN240/BN238*100</f>
        <v>1.9736842105263157</v>
      </c>
      <c r="BO229" s="287">
        <f>BO240/BO238*100</f>
        <v>1.3333333333333335</v>
      </c>
      <c r="BQ229" s="287">
        <f>BQ240/BQ238*100</f>
        <v>0.72639225181598066</v>
      </c>
      <c r="BR229" s="287">
        <f>BR240/BR238*100</f>
        <v>0.24038461538461539</v>
      </c>
      <c r="BT229" s="287">
        <f>BT240/BT238*100</f>
        <v>3.1531531531531529</v>
      </c>
      <c r="BU229" s="287">
        <f>BU240/BU238*100</f>
        <v>3.4482758620689653</v>
      </c>
      <c r="BW229" s="287">
        <f>BW240/BW238*100</f>
        <v>2.1582733812949639</v>
      </c>
      <c r="BX229" s="287">
        <f>BX240/BX238*100</f>
        <v>2.112676056338028</v>
      </c>
      <c r="BZ229" s="287">
        <f>BZ240/BZ238*100</f>
        <v>2.5641025641025639</v>
      </c>
      <c r="CA229" s="287">
        <f>CA240/CA238*100</f>
        <v>3.3003300330032999</v>
      </c>
      <c r="CC229" s="287">
        <f>CC240/CC238*100</f>
        <v>3.214285714285714</v>
      </c>
      <c r="CD229" s="287">
        <f>CD240/CD238*100</f>
        <v>3.5587188612099649</v>
      </c>
      <c r="CF229" s="287">
        <f>CF240/CF238*100</f>
        <v>2.4096385542168677</v>
      </c>
      <c r="CG229" s="287">
        <f>CG240/CG238*100</f>
        <v>2.1505376344086025</v>
      </c>
      <c r="CI229" s="287" t="e">
        <f>CI240/CI238*100</f>
        <v>#DIV/0!</v>
      </c>
      <c r="CJ229" s="287" t="e">
        <f>CJ240/CJ238*100</f>
        <v>#DIV/0!</v>
      </c>
    </row>
    <row r="230" spans="1:97" x14ac:dyDescent="0.25">
      <c r="A230" s="107"/>
      <c r="B230" s="96" t="s">
        <v>1783</v>
      </c>
      <c r="C230" s="95"/>
      <c r="D230" s="95" t="s">
        <v>8</v>
      </c>
      <c r="E230" s="282"/>
      <c r="F230" s="282"/>
      <c r="G230" s="282"/>
      <c r="H230" s="282"/>
      <c r="I230" s="287">
        <f t="shared" si="261"/>
        <v>5.6198347107438016</v>
      </c>
      <c r="J230" s="287">
        <f t="shared" ref="J230:J237" si="263">J241/$J$238*100</f>
        <v>4.5035036745855415</v>
      </c>
      <c r="K230" s="287">
        <f t="shared" si="262"/>
        <v>4.4561165706540153</v>
      </c>
      <c r="L230" s="287">
        <f>L241/L238*100</f>
        <v>6.8493150684931505</v>
      </c>
      <c r="M230" s="287">
        <f>M241/M238*100</f>
        <v>6.2222222222222223</v>
      </c>
      <c r="N230" s="287">
        <f>N241/N238*100</f>
        <v>4.6511627906976747</v>
      </c>
      <c r="P230" s="287">
        <f>P241/P238*100</f>
        <v>4.4645882751609625</v>
      </c>
      <c r="Q230" s="287">
        <f>Q241/Q238*100</f>
        <v>4.4194253066711475</v>
      </c>
      <c r="R230" s="287">
        <f>R241/R238*100</f>
        <v>8.3333333333333321</v>
      </c>
      <c r="S230" s="287">
        <f>S241/S238*100</f>
        <v>7.7586206896551726</v>
      </c>
      <c r="U230" s="287">
        <f>U241/U238*100</f>
        <v>5.8295964125560538</v>
      </c>
      <c r="V230" s="287">
        <f>V241/V238*100</f>
        <v>5.6872037914691944</v>
      </c>
      <c r="X230" s="287">
        <f>X241/X238*100</f>
        <v>6.2962962962962958</v>
      </c>
      <c r="Y230" s="287">
        <f>Y241/Y238*100</f>
        <v>6.7669172932330826</v>
      </c>
      <c r="AA230" s="287">
        <f>AA241/AA238*100</f>
        <v>5.7239057239057241</v>
      </c>
      <c r="AB230" s="287">
        <f>AB241/AB238*100</f>
        <v>5.7046979865771812</v>
      </c>
      <c r="AD230" s="287">
        <f>AD241/AD238*100</f>
        <v>5.7471264367816088</v>
      </c>
      <c r="AE230" s="287">
        <f>AE241/AE238*100</f>
        <v>5.8823529411764701</v>
      </c>
      <c r="AG230" s="287">
        <f>AG241/AG238*100</f>
        <v>6.481481481481481</v>
      </c>
      <c r="AH230" s="287">
        <f>AH241/AH238*100</f>
        <v>6.8493150684931505</v>
      </c>
      <c r="AJ230" s="287">
        <f>AJ241/AJ238*100</f>
        <v>5.6410256410256414</v>
      </c>
      <c r="AK230" s="287">
        <f>AK241/AK238*100</f>
        <v>6.2663185378590072</v>
      </c>
      <c r="AM230" s="287">
        <f>AM241/AM238*100</f>
        <v>4.3869516310461192</v>
      </c>
      <c r="AN230" s="287">
        <f>AN241/AN238*100</f>
        <v>4.057017543859649</v>
      </c>
      <c r="AP230" s="287">
        <f>AP241/AP238*100</f>
        <v>7.3825503355704702</v>
      </c>
      <c r="AQ230" s="287">
        <f>AQ241/AQ238*100</f>
        <v>5.8823529411764701</v>
      </c>
      <c r="AS230" s="287">
        <f>AS241/AS238*100</f>
        <v>5.8524173027989823</v>
      </c>
      <c r="AT230" s="287">
        <f>AT241/AT238*100</f>
        <v>5.7571964956195245</v>
      </c>
      <c r="AV230" s="287">
        <f>AV241/AV238*100</f>
        <v>6.0931899641577063</v>
      </c>
      <c r="AW230" s="287">
        <f>AW241/AW238*100</f>
        <v>6.5217391304347823</v>
      </c>
      <c r="AY230" s="287">
        <f>AY241/AY238*100</f>
        <v>5.1724137931034484</v>
      </c>
      <c r="AZ230" s="287">
        <f>AZ241/AZ238*100</f>
        <v>4.7058823529411766</v>
      </c>
      <c r="BB230" s="287">
        <f>BB241/BB238*100</f>
        <v>5.4794520547945202</v>
      </c>
      <c r="BC230" s="287">
        <f>BC241/BC238*100</f>
        <v>5.384615384615385</v>
      </c>
      <c r="BE230" s="287">
        <f>BE241/BE238*100</f>
        <v>5.6399132321041208</v>
      </c>
      <c r="BF230" s="287">
        <f>BF241/BF238*100</f>
        <v>5.7947900053163215</v>
      </c>
      <c r="BH230" s="287">
        <f>BH241/BH238*100</f>
        <v>0</v>
      </c>
      <c r="BI230" s="287">
        <f>BI241/BI238*100</f>
        <v>0</v>
      </c>
      <c r="BK230" s="287">
        <f>BK241/BK238*100</f>
        <v>6.5789473684210522</v>
      </c>
      <c r="BL230" s="287">
        <f>BL241/BL238*100</f>
        <v>6.6420664206642073</v>
      </c>
      <c r="BN230" s="287">
        <f>BN241/BN238*100</f>
        <v>5.5921052631578947</v>
      </c>
      <c r="BO230" s="287">
        <f>BO241/BO238*100</f>
        <v>5.3333333333333339</v>
      </c>
      <c r="BQ230" s="287">
        <f>BQ241/BQ238*100</f>
        <v>6.2953995157384997</v>
      </c>
      <c r="BR230" s="287">
        <f>BR241/BR238*100</f>
        <v>6.4903846153846159</v>
      </c>
      <c r="BT230" s="287">
        <f>BT241/BT238*100</f>
        <v>5.1801801801801801</v>
      </c>
      <c r="BU230" s="287">
        <f>BU241/BU238*100</f>
        <v>5.2873563218390807</v>
      </c>
      <c r="BW230" s="287">
        <f>BW241/BW238*100</f>
        <v>6.4748201438848918</v>
      </c>
      <c r="BX230" s="287">
        <f>BX241/BX238*100</f>
        <v>6.3380281690140841</v>
      </c>
      <c r="BZ230" s="287">
        <f>BZ241/BZ238*100</f>
        <v>5.1282051282051277</v>
      </c>
      <c r="CA230" s="287">
        <f>CA241/CA238*100</f>
        <v>4.9504950495049505</v>
      </c>
      <c r="CC230" s="287">
        <f>CC241/CC238*100</f>
        <v>5.7142857142857144</v>
      </c>
      <c r="CD230" s="287">
        <f>CD241/CD238*100</f>
        <v>6.4056939501779357</v>
      </c>
      <c r="CF230" s="287">
        <f>CF241/CF238*100</f>
        <v>2.4096385542168677</v>
      </c>
      <c r="CG230" s="287">
        <f>CG241/CG238*100</f>
        <v>3.225806451612903</v>
      </c>
      <c r="CI230" s="287" t="e">
        <f>CI241/CI238*100</f>
        <v>#DIV/0!</v>
      </c>
      <c r="CJ230" s="287" t="e">
        <f>CJ241/CJ238*100</f>
        <v>#DIV/0!</v>
      </c>
    </row>
    <row r="231" spans="1:97" x14ac:dyDescent="0.25">
      <c r="A231" s="107"/>
      <c r="B231" s="96" t="s">
        <v>1784</v>
      </c>
      <c r="C231" s="95"/>
      <c r="D231" s="95" t="s">
        <v>8</v>
      </c>
      <c r="E231" s="282"/>
      <c r="F231" s="282"/>
      <c r="G231" s="282"/>
      <c r="H231" s="282"/>
      <c r="I231" s="287">
        <f t="shared" si="261"/>
        <v>4.5846020008699435</v>
      </c>
      <c r="J231" s="287">
        <f t="shared" si="263"/>
        <v>3.6404033498547252</v>
      </c>
      <c r="K231" s="287">
        <f t="shared" si="262"/>
        <v>3.6682480515079634</v>
      </c>
      <c r="L231" s="287">
        <f>L242/L238*100</f>
        <v>4.5662100456620998</v>
      </c>
      <c r="M231" s="287">
        <f>M242/M238*100</f>
        <v>4.8888888888888893</v>
      </c>
      <c r="N231" s="287">
        <f>N242/N238*100</f>
        <v>5.1162790697674421</v>
      </c>
      <c r="P231" s="287">
        <f>P242/P238*100</f>
        <v>3.6089461199593358</v>
      </c>
      <c r="Q231" s="287">
        <f>Q242/Q238*100</f>
        <v>3.6632498739707615</v>
      </c>
      <c r="R231" s="287">
        <f>R242/R238*100</f>
        <v>5.2631578947368416</v>
      </c>
      <c r="S231" s="287">
        <f>S242/S238*100</f>
        <v>5.1724137931034484</v>
      </c>
      <c r="U231" s="287">
        <f>U242/U238*100</f>
        <v>3.5874439461883409</v>
      </c>
      <c r="V231" s="287">
        <f>V242/V238*100</f>
        <v>4.2654028436018958</v>
      </c>
      <c r="X231" s="287">
        <f>X242/X238*100</f>
        <v>5.9259259259259265</v>
      </c>
      <c r="Y231" s="287">
        <f>Y242/Y238*100</f>
        <v>5.6390977443609023</v>
      </c>
      <c r="AA231" s="287">
        <f>AA242/AA238*100</f>
        <v>5.3872053872053867</v>
      </c>
      <c r="AB231" s="287">
        <f>AB242/AB238*100</f>
        <v>5.7046979865771812</v>
      </c>
      <c r="AD231" s="287">
        <f>AD242/AD238*100</f>
        <v>5.3639846743295019</v>
      </c>
      <c r="AE231" s="287">
        <f>AE242/AE238*100</f>
        <v>4.3137254901960782</v>
      </c>
      <c r="AG231" s="287">
        <f>AG242/AG238*100</f>
        <v>5.5555555555555554</v>
      </c>
      <c r="AH231" s="287">
        <f>AH242/AH238*100</f>
        <v>4.5662100456620998</v>
      </c>
      <c r="AJ231" s="287">
        <f>AJ242/AJ238*100</f>
        <v>5.6410256410256414</v>
      </c>
      <c r="AK231" s="287">
        <f>AK242/AK238*100</f>
        <v>5.7441253263707575</v>
      </c>
      <c r="AM231" s="287">
        <f>AM242/AM238*100</f>
        <v>3.8245219347581552</v>
      </c>
      <c r="AN231" s="287">
        <f>AN242/AN238*100</f>
        <v>3.8377192982456143</v>
      </c>
      <c r="AP231" s="287">
        <f>AP242/AP238*100</f>
        <v>6.0402684563758395</v>
      </c>
      <c r="AQ231" s="287">
        <f>AQ242/AQ238*100</f>
        <v>5.8823529411764701</v>
      </c>
      <c r="AS231" s="287">
        <f>AS242/AS238*100</f>
        <v>5.0890585241730273</v>
      </c>
      <c r="AT231" s="287">
        <f>AT242/AT238*100</f>
        <v>4.8811013767209008</v>
      </c>
      <c r="AV231" s="287">
        <f>AV242/AV238*100</f>
        <v>4.6594982078853047</v>
      </c>
      <c r="AW231" s="287">
        <f>AW242/AW238*100</f>
        <v>5.0724637681159424</v>
      </c>
      <c r="AY231" s="287">
        <f>AY242/AY238*100</f>
        <v>4.4061302681992336</v>
      </c>
      <c r="AZ231" s="287">
        <f>AZ242/AZ238*100</f>
        <v>4.3137254901960782</v>
      </c>
      <c r="BB231" s="287">
        <f>BB242/BB238*100</f>
        <v>3.9573820395738202</v>
      </c>
      <c r="BC231" s="287">
        <f>BC242/BC238*100</f>
        <v>4</v>
      </c>
      <c r="BE231" s="287">
        <f>BE242/BE238*100</f>
        <v>4.4468546637744035</v>
      </c>
      <c r="BF231" s="287">
        <f>BF242/BF238*100</f>
        <v>5.0505050505050502</v>
      </c>
      <c r="BH231" s="287">
        <f>BH242/BH238*100</f>
        <v>0</v>
      </c>
      <c r="BI231" s="287">
        <f>BI242/BI238*100</f>
        <v>0</v>
      </c>
      <c r="BK231" s="287">
        <f>BK242/BK238*100</f>
        <v>4.2763157894736841</v>
      </c>
      <c r="BL231" s="287">
        <f>BL242/BL238*100</f>
        <v>4.0590405904059041</v>
      </c>
      <c r="BN231" s="287">
        <f>BN242/BN238*100</f>
        <v>2.9605263157894735</v>
      </c>
      <c r="BO231" s="287">
        <f>BO242/BO238*100</f>
        <v>3.3333333333333335</v>
      </c>
      <c r="BQ231" s="287">
        <f>BQ242/BQ238*100</f>
        <v>5.5690072639225177</v>
      </c>
      <c r="BR231" s="287">
        <f>BR242/BR238*100</f>
        <v>6.009615384615385</v>
      </c>
      <c r="BT231" s="287">
        <f>BT242/BT238*100</f>
        <v>3.3783783783783785</v>
      </c>
      <c r="BU231" s="287">
        <f>BU242/BU238*100</f>
        <v>4.1379310344827589</v>
      </c>
      <c r="BW231" s="287">
        <f>BW242/BW238*100</f>
        <v>6.4748201438848918</v>
      </c>
      <c r="BX231" s="287">
        <f>BX242/BX238*100</f>
        <v>5.6338028169014089</v>
      </c>
      <c r="BZ231" s="287">
        <f>BZ242/BZ238*100</f>
        <v>5.1282051282051277</v>
      </c>
      <c r="CA231" s="287">
        <f>CA242/CA238*100</f>
        <v>4.6204620462046204</v>
      </c>
      <c r="CC231" s="287">
        <f>CC242/CC238*100</f>
        <v>3.9285714285714284</v>
      </c>
      <c r="CD231" s="287">
        <f>CD242/CD238*100</f>
        <v>4.2704626334519578</v>
      </c>
      <c r="CF231" s="287">
        <f>CF242/CF238*100</f>
        <v>2.4096385542168677</v>
      </c>
      <c r="CG231" s="287">
        <f>CG242/CG238*100</f>
        <v>2.1505376344086025</v>
      </c>
      <c r="CI231" s="287" t="e">
        <f>CI242/CI238*100</f>
        <v>#DIV/0!</v>
      </c>
      <c r="CJ231" s="287" t="e">
        <f>CJ242/CJ238*100</f>
        <v>#DIV/0!</v>
      </c>
    </row>
    <row r="232" spans="1:97" x14ac:dyDescent="0.25">
      <c r="A232" s="107"/>
      <c r="B232" s="96" t="s">
        <v>1785</v>
      </c>
      <c r="C232" s="95"/>
      <c r="D232" s="95" t="s">
        <v>8</v>
      </c>
      <c r="E232" s="282"/>
      <c r="F232" s="282"/>
      <c r="G232" s="282"/>
      <c r="H232" s="282"/>
      <c r="I232" s="287">
        <f t="shared" si="261"/>
        <v>4.9412788168769035</v>
      </c>
      <c r="J232" s="287">
        <f t="shared" si="263"/>
        <v>5.3238762604682961</v>
      </c>
      <c r="K232" s="287">
        <f t="shared" si="262"/>
        <v>5.5743815655709925</v>
      </c>
      <c r="L232" s="287">
        <f>L243/L238*100</f>
        <v>3.6529680365296802</v>
      </c>
      <c r="M232" s="287">
        <f>M243/M238*100</f>
        <v>3.5555555555555554</v>
      </c>
      <c r="N232" s="287">
        <f>N243/N238*100</f>
        <v>3.7209302325581395</v>
      </c>
      <c r="P232" s="287">
        <f>P243/P238*100</f>
        <v>5.2778719078278549</v>
      </c>
      <c r="Q232" s="287">
        <f>Q243/Q238*100</f>
        <v>5.7469332885229374</v>
      </c>
      <c r="R232" s="287">
        <f>R243/R238*100</f>
        <v>7.4561403508771926</v>
      </c>
      <c r="S232" s="287">
        <f>S243/S238*100</f>
        <v>5.1724137931034484</v>
      </c>
      <c r="U232" s="287">
        <f>U243/U238*100</f>
        <v>4.0358744394618835</v>
      </c>
      <c r="V232" s="287">
        <f>V243/V238*100</f>
        <v>5.2132701421800949</v>
      </c>
      <c r="X232" s="287">
        <f>X243/X238*100</f>
        <v>6.666666666666667</v>
      </c>
      <c r="Y232" s="287">
        <f>Y243/Y238*100</f>
        <v>7.1428571428571423</v>
      </c>
      <c r="AA232" s="287">
        <f>AA243/AA238*100</f>
        <v>5.0505050505050502</v>
      </c>
      <c r="AB232" s="287">
        <f>AB243/AB238*100</f>
        <v>5.3691275167785237</v>
      </c>
      <c r="AD232" s="287">
        <f>AD243/AD238*100</f>
        <v>5.7471264367816088</v>
      </c>
      <c r="AE232" s="287">
        <f>AE243/AE238*100</f>
        <v>6.2745098039215685</v>
      </c>
      <c r="AG232" s="287">
        <f>AG243/AG238*100</f>
        <v>3.2407407407407405</v>
      </c>
      <c r="AH232" s="287">
        <f>AH243/AH238*100</f>
        <v>3.6529680365296802</v>
      </c>
      <c r="AJ232" s="287">
        <f>AJ243/AJ238*100</f>
        <v>8.4615384615384617</v>
      </c>
      <c r="AK232" s="287">
        <f>AK243/AK238*100</f>
        <v>8.6161879895561366</v>
      </c>
      <c r="AM232" s="287">
        <f>AM243/AM238*100</f>
        <v>5.3993250843644542</v>
      </c>
      <c r="AN232" s="287">
        <f>AN243/AN238*100</f>
        <v>5.2631578947368416</v>
      </c>
      <c r="AP232" s="287">
        <f>AP243/AP238*100</f>
        <v>8.0536912751677843</v>
      </c>
      <c r="AQ232" s="287">
        <f>AQ243/AQ238*100</f>
        <v>9.1503267973856204</v>
      </c>
      <c r="AS232" s="287">
        <f>AS243/AS238*100</f>
        <v>4.7073791348600507</v>
      </c>
      <c r="AT232" s="287">
        <f>AT243/AT238*100</f>
        <v>4.8811013767209008</v>
      </c>
      <c r="AV232" s="287">
        <f>AV243/AV238*100</f>
        <v>5.0179211469534053</v>
      </c>
      <c r="AW232" s="287">
        <f>AW243/AW238*100</f>
        <v>5.4347826086956523</v>
      </c>
      <c r="AY232" s="287">
        <f>AY243/AY238*100</f>
        <v>7.6628352490421454</v>
      </c>
      <c r="AZ232" s="287">
        <f>AZ243/AZ238*100</f>
        <v>7.2549019607843146</v>
      </c>
      <c r="BB232" s="287">
        <f>BB243/BB238*100</f>
        <v>4.71841704718417</v>
      </c>
      <c r="BC232" s="287">
        <f>BC243/BC238*100</f>
        <v>4.7692307692307692</v>
      </c>
      <c r="BE232" s="287">
        <f>BE243/BE238*100</f>
        <v>3.1995661605206074</v>
      </c>
      <c r="BF232" s="287">
        <f>BF243/BF238*100</f>
        <v>3.6150983519404574</v>
      </c>
      <c r="BH232" s="287">
        <f>BH243/BH238*100</f>
        <v>6.6825775656324584</v>
      </c>
      <c r="BI232" s="287">
        <f>BI243/BI238*100</f>
        <v>7.8746177370030574</v>
      </c>
      <c r="BK232" s="287">
        <f>BK243/BK238*100</f>
        <v>1.3157894736842104</v>
      </c>
      <c r="BL232" s="287">
        <f>BL243/BL238*100</f>
        <v>2.214022140221402</v>
      </c>
      <c r="BN232" s="287">
        <f>BN243/BN238*100</f>
        <v>5.9210526315789469</v>
      </c>
      <c r="BO232" s="287">
        <f>BO243/BO238*100</f>
        <v>8</v>
      </c>
      <c r="BQ232" s="287">
        <f>BQ243/BQ238*100</f>
        <v>4.3583535108958831</v>
      </c>
      <c r="BR232" s="287">
        <f>BR243/BR238*100</f>
        <v>4.0865384615384617</v>
      </c>
      <c r="BT232" s="287">
        <f>BT243/BT238*100</f>
        <v>3.8288288288288284</v>
      </c>
      <c r="BU232" s="287">
        <f>BU243/BU238*100</f>
        <v>3.6781609195402298</v>
      </c>
      <c r="BW232" s="287">
        <f>BW243/BW238*100</f>
        <v>4.3165467625899279</v>
      </c>
      <c r="BX232" s="287">
        <f>BX243/BX238*100</f>
        <v>4.929577464788732</v>
      </c>
      <c r="BZ232" s="287">
        <f>BZ243/BZ238*100</f>
        <v>4.4871794871794872</v>
      </c>
      <c r="CA232" s="287">
        <f>CA243/CA238*100</f>
        <v>3.6303630363036308</v>
      </c>
      <c r="CC232" s="287">
        <f>CC243/CC238*100</f>
        <v>5.7142857142857144</v>
      </c>
      <c r="CD232" s="287">
        <f>CD243/CD238*100</f>
        <v>5.6939501779359425</v>
      </c>
      <c r="CF232" s="287">
        <f>CF243/CF238*100</f>
        <v>8.4337349397590362</v>
      </c>
      <c r="CG232" s="287">
        <f>CG243/CG238*100</f>
        <v>15.053763440860216</v>
      </c>
      <c r="CI232" s="287" t="e">
        <f>CI243/CI238*100</f>
        <v>#DIV/0!</v>
      </c>
      <c r="CJ232" s="287" t="e">
        <f>CJ243/CJ238*100</f>
        <v>#DIV/0!</v>
      </c>
    </row>
    <row r="233" spans="1:97" x14ac:dyDescent="0.25">
      <c r="A233" s="107"/>
      <c r="B233" s="96" t="s">
        <v>1786</v>
      </c>
      <c r="C233" s="95"/>
      <c r="D233" s="95" t="s">
        <v>8</v>
      </c>
      <c r="E233" s="282"/>
      <c r="F233" s="282"/>
      <c r="G233" s="282"/>
      <c r="H233" s="282"/>
      <c r="I233" s="287">
        <f t="shared" si="261"/>
        <v>0.93083949543279687</v>
      </c>
      <c r="J233" s="287">
        <f t="shared" si="263"/>
        <v>0.98273799350538371</v>
      </c>
      <c r="K233" s="287">
        <f t="shared" si="262"/>
        <v>1.0250762453405626</v>
      </c>
      <c r="L233" s="287">
        <f>L244/L238*100</f>
        <v>0</v>
      </c>
      <c r="M233" s="287">
        <f>M244/M238*100</f>
        <v>0</v>
      </c>
      <c r="N233" s="287">
        <f>N244/N238*100</f>
        <v>0</v>
      </c>
      <c r="P233" s="287">
        <f>P244/P238*100</f>
        <v>0.9742460182988818</v>
      </c>
      <c r="Q233" s="287">
        <f>Q244/Q238*100</f>
        <v>1.1258611997983532</v>
      </c>
      <c r="R233" s="287">
        <f>R244/R238*100</f>
        <v>0.8771929824561403</v>
      </c>
      <c r="S233" s="287">
        <f>S244/S238*100</f>
        <v>1.7241379310344827</v>
      </c>
      <c r="U233" s="287">
        <f>U244/U238*100</f>
        <v>0</v>
      </c>
      <c r="V233" s="287">
        <f>V244/V238*100</f>
        <v>0</v>
      </c>
      <c r="X233" s="287">
        <f>X244/X238*100</f>
        <v>0.37037037037037041</v>
      </c>
      <c r="Y233" s="287">
        <f>Y244/Y238*100</f>
        <v>0.37593984962406013</v>
      </c>
      <c r="AA233" s="287">
        <f>AA244/AA238*100</f>
        <v>0</v>
      </c>
      <c r="AB233" s="287">
        <f>AB244/AB238*100</f>
        <v>0</v>
      </c>
      <c r="AD233" s="287">
        <f>AD244/AD238*100</f>
        <v>0.38314176245210724</v>
      </c>
      <c r="AE233" s="287">
        <f>AE244/AE238*100</f>
        <v>0</v>
      </c>
      <c r="AG233" s="287">
        <f>AG244/AG238*100</f>
        <v>0</v>
      </c>
      <c r="AH233" s="287">
        <f>AH244/AH238*100</f>
        <v>0</v>
      </c>
      <c r="AJ233" s="287">
        <f>AJ244/AJ238*100</f>
        <v>0.25641025641025639</v>
      </c>
      <c r="AK233" s="287">
        <f>AK244/AK238*100</f>
        <v>0.52219321148825071</v>
      </c>
      <c r="AM233" s="287">
        <f>AM244/AM238*100</f>
        <v>1.799775028121485</v>
      </c>
      <c r="AN233" s="287">
        <f>AN244/AN238*100</f>
        <v>2.5219298245614032</v>
      </c>
      <c r="AP233" s="287">
        <f>AP244/AP238*100</f>
        <v>0</v>
      </c>
      <c r="AQ233" s="287">
        <f>AQ244/AQ238*100</f>
        <v>0</v>
      </c>
      <c r="AS233" s="287">
        <f>AS244/AS238*100</f>
        <v>0.63613231552162841</v>
      </c>
      <c r="AT233" s="287">
        <f>AT244/AT238*100</f>
        <v>1.3767209011264081</v>
      </c>
      <c r="AV233" s="287">
        <f>AV244/AV238*100</f>
        <v>1.7921146953405016</v>
      </c>
      <c r="AW233" s="287">
        <f>AW244/AW238*100</f>
        <v>1.8115942028985508</v>
      </c>
      <c r="AY233" s="287">
        <f>AY244/AY238*100</f>
        <v>2.490421455938697</v>
      </c>
      <c r="AZ233" s="287">
        <f>AZ244/AZ238*100</f>
        <v>2.7450980392156863</v>
      </c>
      <c r="BB233" s="287">
        <f>BB244/BB238*100</f>
        <v>0.45662100456621002</v>
      </c>
      <c r="BC233" s="287">
        <f>BC244/BC238*100</f>
        <v>0.46153846153846156</v>
      </c>
      <c r="BE233" s="287">
        <f>BE244/BE238*100</f>
        <v>1.1388286334056399</v>
      </c>
      <c r="BF233" s="287">
        <f>BF244/BF238*100</f>
        <v>0.9569377990430622</v>
      </c>
      <c r="BH233" s="287">
        <f>BH244/BH238*100</f>
        <v>0.87509944311853616</v>
      </c>
      <c r="BI233" s="287">
        <f>BI244/BI238*100</f>
        <v>0.95565749235473996</v>
      </c>
      <c r="BK233" s="287">
        <f>BK244/BK238*100</f>
        <v>0</v>
      </c>
      <c r="BL233" s="287">
        <f>BL244/BL238*100</f>
        <v>0</v>
      </c>
      <c r="BN233" s="287">
        <f>BN244/BN238*100</f>
        <v>0.3289473684210526</v>
      </c>
      <c r="BO233" s="287">
        <f>BO244/BO238*100</f>
        <v>1</v>
      </c>
      <c r="BQ233" s="287">
        <f>BQ244/BQ238*100</f>
        <v>0.72639225181598066</v>
      </c>
      <c r="BR233" s="287">
        <f>BR244/BR238*100</f>
        <v>0.72115384615384615</v>
      </c>
      <c r="BT233" s="287">
        <f>BT244/BT238*100</f>
        <v>0.45045045045045046</v>
      </c>
      <c r="BU233" s="287">
        <f>BU244/BU238*100</f>
        <v>0.91954022988505746</v>
      </c>
      <c r="BW233" s="287">
        <f>BW244/BW238*100</f>
        <v>0</v>
      </c>
      <c r="BX233" s="287">
        <f>BX244/BX238*100</f>
        <v>0</v>
      </c>
      <c r="BZ233" s="287">
        <f>BZ244/BZ238*100</f>
        <v>0.96153846153846156</v>
      </c>
      <c r="CA233" s="287">
        <f>CA244/CA238*100</f>
        <v>1.6501650165016499</v>
      </c>
      <c r="CC233" s="287">
        <f>CC244/CC238*100</f>
        <v>0.35714285714285715</v>
      </c>
      <c r="CD233" s="287">
        <f>CD244/CD238*100</f>
        <v>0.71174377224199281</v>
      </c>
      <c r="CF233" s="287">
        <f>CF244/CF238*100</f>
        <v>8.4337349397590362</v>
      </c>
      <c r="CG233" s="287">
        <f>CG244/CG238*100</f>
        <v>11.827956989247312</v>
      </c>
      <c r="CI233" s="287" t="e">
        <f>CI244/CI238*100</f>
        <v>#DIV/0!</v>
      </c>
      <c r="CJ233" s="287" t="e">
        <f>CJ244/CJ238*100</f>
        <v>#DIV/0!</v>
      </c>
    </row>
    <row r="234" spans="1:97" x14ac:dyDescent="0.25">
      <c r="A234" s="107"/>
      <c r="B234" s="96" t="s">
        <v>1787</v>
      </c>
      <c r="C234" s="95"/>
      <c r="D234" s="95" t="s">
        <v>8</v>
      </c>
      <c r="E234" s="282"/>
      <c r="F234" s="282"/>
      <c r="G234" s="282"/>
      <c r="H234" s="282"/>
      <c r="I234" s="287">
        <f t="shared" si="261"/>
        <v>3.0709003914745541</v>
      </c>
      <c r="J234" s="287">
        <f t="shared" si="263"/>
        <v>3.2814903435310203</v>
      </c>
      <c r="K234" s="287">
        <f t="shared" si="262"/>
        <v>3.4988139613690272</v>
      </c>
      <c r="L234" s="287">
        <f>L245/L238*100</f>
        <v>2.2831050228310499</v>
      </c>
      <c r="M234" s="287">
        <f>M245/M238*100</f>
        <v>2.666666666666667</v>
      </c>
      <c r="N234" s="287">
        <f>N245/N238*100</f>
        <v>3.2558139534883721</v>
      </c>
      <c r="P234" s="287">
        <f>P245/P238*100</f>
        <v>3.2531345306675701</v>
      </c>
      <c r="Q234" s="287">
        <f>Q245/Q238*100</f>
        <v>3.5372206351873636</v>
      </c>
      <c r="R234" s="287">
        <f>R245/R238*100</f>
        <v>3.9473684210526314</v>
      </c>
      <c r="S234" s="287">
        <f>S245/S238*100</f>
        <v>3.4482758620689653</v>
      </c>
      <c r="U234" s="287">
        <f>U245/U238*100</f>
        <v>5.3811659192825116</v>
      </c>
      <c r="V234" s="287">
        <f>V245/V238*100</f>
        <v>4.2654028436018958</v>
      </c>
      <c r="X234" s="287">
        <f>X245/X238*100</f>
        <v>2.9629629629629632</v>
      </c>
      <c r="Y234" s="287">
        <f>Y245/Y238*100</f>
        <v>4.1353383458646613</v>
      </c>
      <c r="AA234" s="287">
        <f>AA245/AA238*100</f>
        <v>2.6936026936026933</v>
      </c>
      <c r="AB234" s="287">
        <f>AB245/AB238*100</f>
        <v>2.6845637583892619</v>
      </c>
      <c r="AD234" s="287">
        <f>AD245/AD238*100</f>
        <v>2.2988505747126435</v>
      </c>
      <c r="AE234" s="287">
        <f>AE245/AE238*100</f>
        <v>1.9607843137254901</v>
      </c>
      <c r="AG234" s="287">
        <f>AG245/AG238*100</f>
        <v>2.3148148148148149</v>
      </c>
      <c r="AH234" s="287">
        <f>AH245/AH238*100</f>
        <v>2.2831050228310499</v>
      </c>
      <c r="AJ234" s="287">
        <f>AJ245/AJ238*100</f>
        <v>4.3589743589743586</v>
      </c>
      <c r="AK234" s="287">
        <f>AK245/AK238*100</f>
        <v>3.3942558746736298</v>
      </c>
      <c r="AM234" s="287">
        <f>AM245/AM238*100</f>
        <v>3.2620922384701911</v>
      </c>
      <c r="AN234" s="287">
        <f>AN245/AN238*100</f>
        <v>3.2894736842105261</v>
      </c>
      <c r="AP234" s="287">
        <f>AP245/AP238*100</f>
        <v>5.3691275167785237</v>
      </c>
      <c r="AQ234" s="287">
        <f>AQ245/AQ238*100</f>
        <v>5.8823529411764701</v>
      </c>
      <c r="AS234" s="287">
        <f>AS245/AS238*100</f>
        <v>4.9618320610687023</v>
      </c>
      <c r="AT234" s="287">
        <f>AT245/AT238*100</f>
        <v>4.7559449311639552</v>
      </c>
      <c r="AV234" s="287">
        <f>AV245/AV238*100</f>
        <v>3.5842293906810032</v>
      </c>
      <c r="AW234" s="287">
        <f>AW245/AW238*100</f>
        <v>3.2608695652173911</v>
      </c>
      <c r="AY234" s="287">
        <f>AY245/AY238*100</f>
        <v>3.6398467432950192</v>
      </c>
      <c r="AZ234" s="287">
        <f>AZ245/AZ238*100</f>
        <v>3.3333333333333335</v>
      </c>
      <c r="BB234" s="287">
        <f>BB245/BB238*100</f>
        <v>3.3485540334855401</v>
      </c>
      <c r="BC234" s="287">
        <f>BC245/BC238*100</f>
        <v>3.2307692307692308</v>
      </c>
      <c r="BE234" s="287">
        <f>BE245/BE238*100</f>
        <v>2.1149674620390453</v>
      </c>
      <c r="BF234" s="287">
        <f>BF245/BF238*100</f>
        <v>2.6581605528973951</v>
      </c>
      <c r="BH234" s="287">
        <f>BH245/BH238*100</f>
        <v>2.7844073190135243</v>
      </c>
      <c r="BI234" s="287">
        <f>BI245/BI238*100</f>
        <v>4.1666666666666661</v>
      </c>
      <c r="BK234" s="287">
        <f>BK245/BK238*100</f>
        <v>3.9473684210526314</v>
      </c>
      <c r="BL234" s="287">
        <f>BL245/BL238*100</f>
        <v>4.0590405904059041</v>
      </c>
      <c r="BN234" s="287">
        <f>BN245/BN238*100</f>
        <v>3.2894736842105261</v>
      </c>
      <c r="BO234" s="287">
        <f>BO245/BO238*100</f>
        <v>3.3333333333333335</v>
      </c>
      <c r="BQ234" s="287">
        <f>BQ245/BQ238*100</f>
        <v>3.87409200968523</v>
      </c>
      <c r="BR234" s="287">
        <f>BR245/BR238*100</f>
        <v>3.3653846153846154</v>
      </c>
      <c r="BT234" s="287">
        <f>BT245/BT238*100</f>
        <v>2.7027027027027026</v>
      </c>
      <c r="BU234" s="287">
        <f>BU245/BU238*100</f>
        <v>2.7586206896551726</v>
      </c>
      <c r="BW234" s="287">
        <f>BW245/BW238*100</f>
        <v>3.5971223021582732</v>
      </c>
      <c r="BX234" s="287">
        <f>BX245/BX238*100</f>
        <v>3.5211267605633805</v>
      </c>
      <c r="BZ234" s="287">
        <f>BZ245/BZ238*100</f>
        <v>3.2051282051282048</v>
      </c>
      <c r="CA234" s="287">
        <f>CA245/CA238*100</f>
        <v>2.9702970297029703</v>
      </c>
      <c r="CC234" s="287">
        <f>CC245/CC238*100</f>
        <v>3.9285714285714284</v>
      </c>
      <c r="CD234" s="287">
        <f>CD245/CD238*100</f>
        <v>3.5587188612099649</v>
      </c>
      <c r="CF234" s="287">
        <f>CF245/CF238*100</f>
        <v>6.024096385542169</v>
      </c>
      <c r="CG234" s="287">
        <f>CG245/CG238*100</f>
        <v>8.6021505376344098</v>
      </c>
      <c r="CI234" s="287" t="e">
        <f>CI245/CI238*100</f>
        <v>#DIV/0!</v>
      </c>
      <c r="CJ234" s="287" t="e">
        <f>CJ245/CJ238*100</f>
        <v>#DIV/0!</v>
      </c>
    </row>
    <row r="235" spans="1:97" x14ac:dyDescent="0.25">
      <c r="A235" s="107"/>
      <c r="B235" s="96" t="s">
        <v>1788</v>
      </c>
      <c r="C235" s="95"/>
      <c r="D235" s="95" t="s">
        <v>8</v>
      </c>
      <c r="E235" s="282"/>
      <c r="F235" s="282"/>
      <c r="G235" s="282"/>
      <c r="H235" s="282"/>
      <c r="I235" s="287">
        <f t="shared" si="261"/>
        <v>0.25228360156589819</v>
      </c>
      <c r="J235" s="287">
        <f t="shared" si="263"/>
        <v>0.24782088531874893</v>
      </c>
      <c r="K235" s="287">
        <f t="shared" si="262"/>
        <v>0.30498136225008471</v>
      </c>
      <c r="L235" s="287">
        <f>L246/L238*100</f>
        <v>0</v>
      </c>
      <c r="M235" s="287">
        <f>M246/M238*100</f>
        <v>0</v>
      </c>
      <c r="N235" s="287">
        <f>N246/N238*100</f>
        <v>0</v>
      </c>
      <c r="P235" s="287">
        <f>P246/P238*100</f>
        <v>0.24567943070145712</v>
      </c>
      <c r="Q235" s="287">
        <f>Q246/Q238*100</f>
        <v>0.31087212233238115</v>
      </c>
      <c r="R235" s="287">
        <f>R246/R238*100</f>
        <v>0.43859649122807015</v>
      </c>
      <c r="S235" s="287">
        <f>S246/S238*100</f>
        <v>0.43103448275862066</v>
      </c>
      <c r="U235" s="287">
        <f>U246/U238*100</f>
        <v>0</v>
      </c>
      <c r="V235" s="287">
        <f>V246/V238*100</f>
        <v>0</v>
      </c>
      <c r="X235" s="287">
        <f>X246/X238*100</f>
        <v>0</v>
      </c>
      <c r="Y235" s="287">
        <f>Y246/Y238*100</f>
        <v>0.37593984962406013</v>
      </c>
      <c r="AA235" s="287">
        <f>AA246/AA238*100</f>
        <v>0.67340067340067333</v>
      </c>
      <c r="AB235" s="287">
        <f>AB246/AB238*100</f>
        <v>0.67114093959731547</v>
      </c>
      <c r="AD235" s="287">
        <f>AD246/AD238*100</f>
        <v>0.38314176245210724</v>
      </c>
      <c r="AE235" s="287">
        <f>AE246/AE238*100</f>
        <v>0.39215686274509803</v>
      </c>
      <c r="AG235" s="287">
        <f>AG246/AG238*100</f>
        <v>0</v>
      </c>
      <c r="AH235" s="287">
        <f>AH246/AH238*100</f>
        <v>0</v>
      </c>
      <c r="AJ235" s="287">
        <f>AJ246/AJ238*100</f>
        <v>0.76923076923076927</v>
      </c>
      <c r="AK235" s="287">
        <f>AK246/AK238*100</f>
        <v>1.0443864229765014</v>
      </c>
      <c r="AM235" s="287">
        <f>AM246/AM238*100</f>
        <v>0.44994375703037126</v>
      </c>
      <c r="AN235" s="287">
        <f>AN246/AN238*100</f>
        <v>0.98684210526315785</v>
      </c>
      <c r="AP235" s="287">
        <f>AP246/AP238*100</f>
        <v>0</v>
      </c>
      <c r="AQ235" s="287">
        <f>AQ246/AQ238*100</f>
        <v>0.65359477124183007</v>
      </c>
      <c r="AS235" s="287">
        <f>AS246/AS238*100</f>
        <v>0</v>
      </c>
      <c r="AT235" s="287">
        <f>AT246/AT238*100</f>
        <v>0</v>
      </c>
      <c r="AV235" s="287">
        <f>AV246/AV238*100</f>
        <v>0</v>
      </c>
      <c r="AW235" s="287">
        <f>AW246/AW238*100</f>
        <v>0</v>
      </c>
      <c r="AY235" s="287">
        <f>AY246/AY238*100</f>
        <v>2.490421455938697</v>
      </c>
      <c r="AZ235" s="287">
        <f>AZ246/AZ238*100</f>
        <v>2.5490196078431371</v>
      </c>
      <c r="BB235" s="287">
        <f>BB246/BB238*100</f>
        <v>0</v>
      </c>
      <c r="BC235" s="287">
        <f>BC246/BC238*100</f>
        <v>0</v>
      </c>
      <c r="BE235" s="287">
        <f>BE246/BE238*100</f>
        <v>0</v>
      </c>
      <c r="BF235" s="287">
        <f>BF246/BF238*100</f>
        <v>0</v>
      </c>
      <c r="BH235" s="287">
        <f>BH246/BH238*100</f>
        <v>0</v>
      </c>
      <c r="BI235" s="287">
        <f>BI246/BI238*100</f>
        <v>0</v>
      </c>
      <c r="BK235" s="287">
        <f>BK246/BK238*100</f>
        <v>0</v>
      </c>
      <c r="BL235" s="287">
        <f>BL246/BL238*100</f>
        <v>0</v>
      </c>
      <c r="BN235" s="287">
        <f>BN246/BN238*100</f>
        <v>0</v>
      </c>
      <c r="BO235" s="287">
        <f>BO246/BO238*100</f>
        <v>0</v>
      </c>
      <c r="BQ235" s="287">
        <f>BQ246/BQ238*100</f>
        <v>0</v>
      </c>
      <c r="BR235" s="287">
        <f>BR246/BR238*100</f>
        <v>0</v>
      </c>
      <c r="BT235" s="287">
        <f>BT246/BT238*100</f>
        <v>0</v>
      </c>
      <c r="BU235" s="287">
        <f>BU246/BU238*100</f>
        <v>0</v>
      </c>
      <c r="BW235" s="287">
        <f>BW246/BW238*100</f>
        <v>0</v>
      </c>
      <c r="BX235" s="287">
        <f>BX246/BX238*100</f>
        <v>0</v>
      </c>
      <c r="BZ235" s="287">
        <f>BZ246/BZ238*100</f>
        <v>0.64102564102564097</v>
      </c>
      <c r="CA235" s="287">
        <f>CA246/CA238*100</f>
        <v>0.66006600660066006</v>
      </c>
      <c r="CC235" s="287">
        <f>CC246/CC238*100</f>
        <v>0</v>
      </c>
      <c r="CD235" s="287">
        <f>CD246/CD238*100</f>
        <v>0</v>
      </c>
      <c r="CF235" s="287">
        <f>CF246/CF238*100</f>
        <v>3.6144578313253009</v>
      </c>
      <c r="CG235" s="287">
        <f>CG246/CG238*100</f>
        <v>3.225806451612903</v>
      </c>
      <c r="CI235" s="287" t="e">
        <f>CI246/CI238*100</f>
        <v>#DIV/0!</v>
      </c>
      <c r="CJ235" s="287" t="e">
        <f>CJ246/CJ238*100</f>
        <v>#DIV/0!</v>
      </c>
    </row>
    <row r="236" spans="1:97" x14ac:dyDescent="0.25">
      <c r="A236" s="107"/>
      <c r="B236" s="96" t="s">
        <v>1789</v>
      </c>
      <c r="C236" s="95"/>
      <c r="D236" s="95" t="s">
        <v>8</v>
      </c>
      <c r="E236" s="282"/>
      <c r="F236" s="282"/>
      <c r="G236" s="282"/>
      <c r="H236" s="282"/>
      <c r="I236" s="287">
        <f t="shared" si="261"/>
        <v>0.19138755980861244</v>
      </c>
      <c r="J236" s="287">
        <f t="shared" si="263"/>
        <v>0.23927533754913691</v>
      </c>
      <c r="K236" s="287">
        <f t="shared" si="262"/>
        <v>0.26262283971535072</v>
      </c>
      <c r="L236" s="287">
        <f>L247/L238*100</f>
        <v>0</v>
      </c>
      <c r="M236" s="287">
        <f>M247/M238*100</f>
        <v>0</v>
      </c>
      <c r="N236" s="287">
        <f>N247/N238*100</f>
        <v>0</v>
      </c>
      <c r="P236" s="287">
        <f>P247/P238*100</f>
        <v>0.23720772619451033</v>
      </c>
      <c r="Q236" s="287">
        <f>Q247/Q238*100</f>
        <v>0.24365652831456899</v>
      </c>
      <c r="R236" s="287">
        <f>R247/R238*100</f>
        <v>0</v>
      </c>
      <c r="S236" s="287">
        <f>S247/S238*100</f>
        <v>0</v>
      </c>
      <c r="U236" s="287">
        <f>U247/U238*100</f>
        <v>0.44843049327354262</v>
      </c>
      <c r="V236" s="287">
        <f>V247/V238*100</f>
        <v>0.47393364928909953</v>
      </c>
      <c r="X236" s="287">
        <f>X247/X238*100</f>
        <v>0</v>
      </c>
      <c r="Y236" s="287">
        <f>Y247/Y238*100</f>
        <v>0</v>
      </c>
      <c r="AA236" s="287">
        <f>AA247/AA238*100</f>
        <v>0.33670033670033667</v>
      </c>
      <c r="AB236" s="287">
        <f>AB247/AB238*100</f>
        <v>1.3422818791946309</v>
      </c>
      <c r="AD236" s="287">
        <f>AD247/AD238*100</f>
        <v>0</v>
      </c>
      <c r="AE236" s="287">
        <f>AE247/AE238*100</f>
        <v>0</v>
      </c>
      <c r="AG236" s="287">
        <f>AG247/AG238*100</f>
        <v>0</v>
      </c>
      <c r="AH236" s="287">
        <f>AH247/AH238*100</f>
        <v>0</v>
      </c>
      <c r="AJ236" s="287">
        <f>AJ247/AJ238*100</f>
        <v>0</v>
      </c>
      <c r="AK236" s="287">
        <f>AK247/AK238*100</f>
        <v>0</v>
      </c>
      <c r="AM236" s="287">
        <f>AM247/AM238*100</f>
        <v>0</v>
      </c>
      <c r="AN236" s="287">
        <f>AN247/AN238*100</f>
        <v>0</v>
      </c>
      <c r="AP236" s="287">
        <f>AP247/AP238*100</f>
        <v>0.67114093959731547</v>
      </c>
      <c r="AQ236" s="287">
        <f>AQ247/AQ238*100</f>
        <v>0.65359477124183007</v>
      </c>
      <c r="AS236" s="287">
        <f>AS247/AS238*100</f>
        <v>0.63613231552162841</v>
      </c>
      <c r="AT236" s="287">
        <f>AT247/AT238*100</f>
        <v>0.62578222778473092</v>
      </c>
      <c r="AV236" s="287">
        <f>AV247/AV238*100</f>
        <v>0</v>
      </c>
      <c r="AW236" s="287">
        <f>AW247/AW238*100</f>
        <v>0</v>
      </c>
      <c r="AY236" s="287">
        <f>AY247/AY238*100</f>
        <v>0.95785440613026818</v>
      </c>
      <c r="AZ236" s="287">
        <f>AZ247/AZ238*100</f>
        <v>0.78431372549019607</v>
      </c>
      <c r="BB236" s="287">
        <f>BB247/BB238*100</f>
        <v>0.15220700152207001</v>
      </c>
      <c r="BC236" s="287">
        <f>BC247/BC238*100</f>
        <v>0.15384615384615385</v>
      </c>
      <c r="BE236" s="287">
        <f>BE247/BE238*100</f>
        <v>0.27114967462039047</v>
      </c>
      <c r="BF236" s="287">
        <f>BF247/BF238*100</f>
        <v>0.26581605528973951</v>
      </c>
      <c r="BH236" s="287">
        <f>BH247/BH238*100</f>
        <v>0</v>
      </c>
      <c r="BI236" s="287">
        <f>BI247/BI238*100</f>
        <v>0</v>
      </c>
      <c r="BK236" s="287">
        <f>BK247/BK238*100</f>
        <v>0</v>
      </c>
      <c r="BL236" s="287">
        <f>BL247/BL238*100</f>
        <v>0</v>
      </c>
      <c r="BN236" s="287">
        <f>BN247/BN238*100</f>
        <v>0</v>
      </c>
      <c r="BO236" s="287">
        <f>BO247/BO238*100</f>
        <v>0</v>
      </c>
      <c r="BQ236" s="287">
        <f>BQ247/BQ238*100</f>
        <v>0.72639225181598066</v>
      </c>
      <c r="BR236" s="287">
        <f>BR247/BR238*100</f>
        <v>0.72115384615384615</v>
      </c>
      <c r="BT236" s="287">
        <f>BT247/BT238*100</f>
        <v>0</v>
      </c>
      <c r="BU236" s="287">
        <f>BU247/BU238*100</f>
        <v>0</v>
      </c>
      <c r="BW236" s="287">
        <f>BW247/BW238*100</f>
        <v>3.5971223021582732</v>
      </c>
      <c r="BX236" s="287">
        <f>BX247/BX238*100</f>
        <v>2.8169014084507045</v>
      </c>
      <c r="BZ236" s="287">
        <f>BZ247/BZ238*100</f>
        <v>0</v>
      </c>
      <c r="CA236" s="287">
        <f>CA247/CA238*100</f>
        <v>0</v>
      </c>
      <c r="CC236" s="287">
        <f>CC247/CC238*100</f>
        <v>0</v>
      </c>
      <c r="CD236" s="287">
        <f>CD247/CD238*100</f>
        <v>0</v>
      </c>
      <c r="CF236" s="287">
        <f>CF247/CF238*100</f>
        <v>1.2048192771084338</v>
      </c>
      <c r="CG236" s="287">
        <f>CG247/CG238*100</f>
        <v>1.0752688172043012</v>
      </c>
      <c r="CI236" s="287" t="e">
        <f>CI247/CI238*100</f>
        <v>#DIV/0!</v>
      </c>
      <c r="CJ236" s="287" t="e">
        <f>CJ247/CJ238*100</f>
        <v>#DIV/0!</v>
      </c>
    </row>
    <row r="237" spans="1:97" x14ac:dyDescent="0.25">
      <c r="A237" s="107"/>
      <c r="B237" s="96" t="s">
        <v>1790</v>
      </c>
      <c r="C237" s="95"/>
      <c r="D237" s="95" t="s">
        <v>8</v>
      </c>
      <c r="E237" s="282"/>
      <c r="F237" s="282"/>
      <c r="G237" s="282"/>
      <c r="H237" s="282"/>
      <c r="I237" s="287">
        <f t="shared" si="261"/>
        <v>4.3497172683775558E-2</v>
      </c>
      <c r="J237" s="287">
        <f t="shared" si="263"/>
        <v>0.15381985985301658</v>
      </c>
      <c r="K237" s="287">
        <f t="shared" si="262"/>
        <v>0.22873602168756355</v>
      </c>
      <c r="L237" s="287">
        <f>L248/L238*100</f>
        <v>0.45662100456621002</v>
      </c>
      <c r="M237" s="287">
        <f>M248/M238*100</f>
        <v>1.3333333333333335</v>
      </c>
      <c r="N237" s="287">
        <f>N248/N238*100</f>
        <v>0.93023255813953487</v>
      </c>
      <c r="P237" s="287">
        <f>P248/P238*100</f>
        <v>0.15249068112504235</v>
      </c>
      <c r="Q237" s="287">
        <f>Q248/Q238*100</f>
        <v>0.2100487313056629</v>
      </c>
      <c r="R237" s="287">
        <f>R248/R238*100</f>
        <v>0</v>
      </c>
      <c r="S237" s="287">
        <f>S248/S238*100</f>
        <v>0</v>
      </c>
      <c r="U237" s="287">
        <f>U248/U238*100</f>
        <v>0</v>
      </c>
      <c r="V237" s="287">
        <f>V248/V238*100</f>
        <v>0</v>
      </c>
      <c r="X237" s="287">
        <f>X248/X238*100</f>
        <v>0</v>
      </c>
      <c r="Y237" s="287">
        <f>Y248/Y238*100</f>
        <v>0</v>
      </c>
      <c r="AA237" s="287">
        <f>AA248/AA238*100</f>
        <v>3.3670033670033668</v>
      </c>
      <c r="AB237" s="287">
        <f>AB248/AB238*100</f>
        <v>3.6912751677852351</v>
      </c>
      <c r="AD237" s="287">
        <f>AD248/AD238*100</f>
        <v>0</v>
      </c>
      <c r="AE237" s="287">
        <f>AE248/AE238*100</f>
        <v>0</v>
      </c>
      <c r="AG237" s="287">
        <f>AG248/AG238*100</f>
        <v>0</v>
      </c>
      <c r="AH237" s="287">
        <f>AH248/AH238*100</f>
        <v>0.45662100456621002</v>
      </c>
      <c r="AJ237" s="287">
        <f>AJ248/AJ238*100</f>
        <v>0</v>
      </c>
      <c r="AK237" s="287">
        <f>AK248/AK238*100</f>
        <v>0</v>
      </c>
      <c r="AM237" s="287">
        <f>AM248/AM238*100</f>
        <v>0</v>
      </c>
      <c r="AN237" s="287">
        <f>AN248/AN238*100</f>
        <v>0</v>
      </c>
      <c r="AP237" s="287">
        <f>AP248/AP238*100</f>
        <v>2.0134228187919461</v>
      </c>
      <c r="AQ237" s="287">
        <f>AQ248/AQ238*100</f>
        <v>0</v>
      </c>
      <c r="AS237" s="287">
        <f>AS248/AS238*100</f>
        <v>0.1272264631043257</v>
      </c>
      <c r="AT237" s="287">
        <f>AT248/AT238*100</f>
        <v>0.25031289111389238</v>
      </c>
      <c r="AV237" s="287">
        <f>AV248/AV238*100</f>
        <v>0</v>
      </c>
      <c r="AW237" s="287">
        <f>AW248/AW238*100</f>
        <v>0</v>
      </c>
      <c r="AY237" s="287">
        <f>AY248/AY238*100</f>
        <v>0.19157088122605362</v>
      </c>
      <c r="AZ237" s="287">
        <f>AZ248/AZ238*100</f>
        <v>0.39215686274509803</v>
      </c>
      <c r="BB237" s="287">
        <f>BB248/BB238*100</f>
        <v>0.30441400304414001</v>
      </c>
      <c r="BC237" s="287">
        <f>BC248/BC238*100</f>
        <v>0.76923076923076927</v>
      </c>
      <c r="BE237" s="287">
        <f>BE248/BE238*100</f>
        <v>0</v>
      </c>
      <c r="BF237" s="287">
        <f>BF248/BF238*100</f>
        <v>0</v>
      </c>
      <c r="BH237" s="287">
        <f>BH248/BH238*100</f>
        <v>0</v>
      </c>
      <c r="BI237" s="287">
        <f>BI248/BI238*100</f>
        <v>0</v>
      </c>
      <c r="BK237" s="287">
        <f>BK248/BK238*100</f>
        <v>0</v>
      </c>
      <c r="BL237" s="287">
        <f>BL248/BL238*100</f>
        <v>0</v>
      </c>
      <c r="BN237" s="287">
        <f>BN248/BN238*100</f>
        <v>0</v>
      </c>
      <c r="BO237" s="287">
        <f>BO248/BO238*100</f>
        <v>0</v>
      </c>
      <c r="BQ237" s="287">
        <f>BQ248/BQ238*100</f>
        <v>0.24213075060532688</v>
      </c>
      <c r="BR237" s="287">
        <f>BR248/BR238*100</f>
        <v>0</v>
      </c>
      <c r="BT237" s="287">
        <f>BT248/BT238*100</f>
        <v>0</v>
      </c>
      <c r="BU237" s="287">
        <f>BU248/BU238*100</f>
        <v>0.45977011494252873</v>
      </c>
      <c r="BW237" s="287">
        <f>BW248/BW238*100</f>
        <v>0</v>
      </c>
      <c r="BX237" s="287">
        <f>BX248/BX238*100</f>
        <v>0</v>
      </c>
      <c r="BZ237" s="287">
        <f>BZ248/BZ238*100</f>
        <v>0</v>
      </c>
      <c r="CA237" s="287">
        <f>CA248/CA238*100</f>
        <v>0</v>
      </c>
      <c r="CC237" s="287">
        <f>CC248/CC238*100</f>
        <v>0</v>
      </c>
      <c r="CD237" s="287">
        <f>CD248/CD238*100</f>
        <v>0</v>
      </c>
      <c r="CF237" s="287">
        <f>CF248/CF238*100</f>
        <v>0</v>
      </c>
      <c r="CG237" s="287">
        <f>CG248/CG238*100</f>
        <v>2.1505376344086025</v>
      </c>
      <c r="CI237" s="287" t="e">
        <f>CI248/CI238*100</f>
        <v>#DIV/0!</v>
      </c>
      <c r="CJ237" s="287" t="e">
        <f>CJ248/CJ238*100</f>
        <v>#DIV/0!</v>
      </c>
    </row>
    <row r="238" spans="1:97" ht="30" x14ac:dyDescent="0.25">
      <c r="A238" s="107"/>
      <c r="B238" s="16" t="s">
        <v>1791</v>
      </c>
      <c r="C238" s="95" t="s">
        <v>1794</v>
      </c>
      <c r="D238" s="95" t="s">
        <v>1792</v>
      </c>
      <c r="E238" s="282"/>
      <c r="F238" s="282"/>
      <c r="G238" s="282"/>
      <c r="H238" s="282"/>
      <c r="I238" s="103">
        <f>I220</f>
        <v>11495</v>
      </c>
      <c r="J238" s="103">
        <f>J220</f>
        <v>11702</v>
      </c>
      <c r="K238" s="103">
        <f>K220</f>
        <v>11804</v>
      </c>
      <c r="L238" s="103">
        <f t="shared" ref="L238:N238" si="264">L220</f>
        <v>219</v>
      </c>
      <c r="M238" s="103">
        <f t="shared" si="264"/>
        <v>225</v>
      </c>
      <c r="N238" s="103">
        <f t="shared" si="264"/>
        <v>215</v>
      </c>
      <c r="O238" s="286"/>
      <c r="P238" s="283">
        <f t="shared" ref="P238:Q248" si="265">R238+U238+X238+AA238+AD238+AG238+AJ238+AM238+AP238+AS238+AV238+AY238+BB238+BE238+BH238+BK238+BN238+BQ238+BT238+BW238+BZ238+CC238+CF238+CI238</f>
        <v>11804</v>
      </c>
      <c r="Q238" s="283">
        <f>S238+V238+Y238+AB238+AE238+AH238+AK238+AN238+AQ238+AT238+AW238+AZ238+BC238+BF238+BI238+BL238+BO238+BR238+BU238+BX238+CA238+CD238+CG238+CJ238</f>
        <v>11902</v>
      </c>
      <c r="R238" s="267">
        <f>R220</f>
        <v>228</v>
      </c>
      <c r="S238" s="267">
        <f>S220</f>
        <v>232</v>
      </c>
      <c r="U238" s="267">
        <f>U220</f>
        <v>223</v>
      </c>
      <c r="V238" s="267">
        <f>V220</f>
        <v>211</v>
      </c>
      <c r="X238" s="267">
        <f>X220</f>
        <v>270</v>
      </c>
      <c r="Y238" s="267">
        <f>Y220</f>
        <v>266</v>
      </c>
      <c r="AA238" s="267">
        <f>AA220</f>
        <v>297</v>
      </c>
      <c r="AB238" s="267">
        <f>AB220</f>
        <v>298</v>
      </c>
      <c r="AD238" s="267">
        <f>AD220</f>
        <v>261</v>
      </c>
      <c r="AE238" s="267">
        <f>AE220</f>
        <v>255</v>
      </c>
      <c r="AG238" s="267">
        <f>AG220</f>
        <v>216</v>
      </c>
      <c r="AH238" s="267">
        <f>AH220</f>
        <v>219</v>
      </c>
      <c r="AJ238" s="267">
        <f>AJ220</f>
        <v>390</v>
      </c>
      <c r="AK238" s="267">
        <f>AK220</f>
        <v>383</v>
      </c>
      <c r="AM238" s="267">
        <f>AM220</f>
        <v>889</v>
      </c>
      <c r="AN238" s="267">
        <f>AN220</f>
        <v>912</v>
      </c>
      <c r="AP238" s="267">
        <f>AP220</f>
        <v>149</v>
      </c>
      <c r="AQ238" s="267">
        <f>AQ220</f>
        <v>153</v>
      </c>
      <c r="AS238" s="267">
        <f>AS220</f>
        <v>786</v>
      </c>
      <c r="AT238" s="267">
        <f>AT220</f>
        <v>799</v>
      </c>
      <c r="AV238" s="267">
        <f>AV220</f>
        <v>279</v>
      </c>
      <c r="AW238" s="267">
        <f>AW220</f>
        <v>276</v>
      </c>
      <c r="AY238" s="267">
        <f>AY220</f>
        <v>522</v>
      </c>
      <c r="AZ238" s="267">
        <f>AZ220</f>
        <v>510</v>
      </c>
      <c r="BB238" s="267">
        <f>BB220</f>
        <v>657</v>
      </c>
      <c r="BC238" s="267">
        <f>BC220</f>
        <v>650</v>
      </c>
      <c r="BE238" s="267">
        <f>BE220</f>
        <v>1844</v>
      </c>
      <c r="BF238" s="267">
        <f>BF220</f>
        <v>1881</v>
      </c>
      <c r="BH238" s="267">
        <f>BH220</f>
        <v>2514</v>
      </c>
      <c r="BI238" s="267">
        <f>BI220</f>
        <v>2616</v>
      </c>
      <c r="BK238" s="267">
        <f>BK220</f>
        <v>304</v>
      </c>
      <c r="BL238" s="267">
        <f>BL220</f>
        <v>271</v>
      </c>
      <c r="BN238" s="267">
        <f>BN220</f>
        <v>304</v>
      </c>
      <c r="BO238" s="267">
        <f>BO220</f>
        <v>300</v>
      </c>
      <c r="BQ238" s="267">
        <f>BQ220</f>
        <v>413</v>
      </c>
      <c r="BR238" s="267">
        <f>BR220</f>
        <v>416</v>
      </c>
      <c r="BT238" s="267">
        <f>BT220</f>
        <v>444</v>
      </c>
      <c r="BU238" s="267">
        <f>BU220</f>
        <v>435</v>
      </c>
      <c r="BW238" s="267">
        <f>BW220</f>
        <v>139</v>
      </c>
      <c r="BX238" s="267">
        <f>BX220</f>
        <v>142</v>
      </c>
      <c r="BZ238" s="267">
        <f>BZ220</f>
        <v>312</v>
      </c>
      <c r="CA238" s="267">
        <f>CA220</f>
        <v>303</v>
      </c>
      <c r="CC238" s="267">
        <f>CC220</f>
        <v>280</v>
      </c>
      <c r="CD238" s="267">
        <f>CD220</f>
        <v>281</v>
      </c>
      <c r="CF238" s="267">
        <f>CF220</f>
        <v>83</v>
      </c>
      <c r="CG238" s="267">
        <f>CG220</f>
        <v>93</v>
      </c>
      <c r="CI238" s="286">
        <f>CI220</f>
        <v>0</v>
      </c>
      <c r="CJ238" s="286">
        <f>CJ220</f>
        <v>0</v>
      </c>
    </row>
    <row r="239" spans="1:97" ht="30" x14ac:dyDescent="0.25">
      <c r="A239" s="107"/>
      <c r="B239" s="96" t="s">
        <v>1781</v>
      </c>
      <c r="C239" s="95" t="s">
        <v>1795</v>
      </c>
      <c r="D239" s="95" t="s">
        <v>1792</v>
      </c>
      <c r="E239" s="282"/>
      <c r="F239" s="282"/>
      <c r="G239" s="282"/>
      <c r="H239" s="282"/>
      <c r="I239" s="103">
        <v>8825</v>
      </c>
      <c r="J239" s="103">
        <v>8898</v>
      </c>
      <c r="K239" s="103">
        <v>8891</v>
      </c>
      <c r="L239" s="103">
        <v>175</v>
      </c>
      <c r="M239" s="103">
        <v>177</v>
      </c>
      <c r="N239" s="103">
        <v>175</v>
      </c>
      <c r="O239" s="286"/>
      <c r="P239" s="283">
        <f t="shared" si="265"/>
        <v>8898</v>
      </c>
      <c r="Q239" s="283">
        <f t="shared" si="265"/>
        <v>8951</v>
      </c>
      <c r="R239" s="267">
        <v>179</v>
      </c>
      <c r="S239" s="267">
        <v>174</v>
      </c>
      <c r="U239" s="267">
        <v>169</v>
      </c>
      <c r="V239" s="267">
        <v>158</v>
      </c>
      <c r="X239" s="267">
        <v>192</v>
      </c>
      <c r="Y239" s="267">
        <v>189</v>
      </c>
      <c r="AA239" s="267">
        <v>207</v>
      </c>
      <c r="AB239" s="267">
        <v>207</v>
      </c>
      <c r="AD239" s="267">
        <v>194</v>
      </c>
      <c r="AE239" s="267">
        <v>197</v>
      </c>
      <c r="AG239" s="267">
        <v>180</v>
      </c>
      <c r="AH239" s="267">
        <v>175</v>
      </c>
      <c r="AJ239" s="267">
        <v>279</v>
      </c>
      <c r="AK239" s="267">
        <v>277</v>
      </c>
      <c r="AM239" s="267">
        <v>681</v>
      </c>
      <c r="AN239" s="267">
        <v>699</v>
      </c>
      <c r="AP239" s="267">
        <v>114</v>
      </c>
      <c r="AQ239" s="267">
        <v>109</v>
      </c>
      <c r="AS239" s="267">
        <v>572</v>
      </c>
      <c r="AT239" s="267">
        <v>563</v>
      </c>
      <c r="AV239" s="267">
        <v>217</v>
      </c>
      <c r="AW239" s="267">
        <v>206</v>
      </c>
      <c r="AY239" s="267">
        <v>369</v>
      </c>
      <c r="AZ239" s="267">
        <v>363</v>
      </c>
      <c r="BB239" s="267">
        <v>502</v>
      </c>
      <c r="BC239" s="267">
        <v>494</v>
      </c>
      <c r="BE239" s="267">
        <v>1438</v>
      </c>
      <c r="BF239" s="267">
        <v>1513</v>
      </c>
      <c r="BH239" s="267">
        <v>1833</v>
      </c>
      <c r="BI239" s="267">
        <v>1948</v>
      </c>
      <c r="BK239" s="267">
        <v>240</v>
      </c>
      <c r="BL239" s="267">
        <v>214</v>
      </c>
      <c r="BN239" s="267">
        <v>228</v>
      </c>
      <c r="BO239" s="267">
        <v>233</v>
      </c>
      <c r="BQ239" s="267">
        <v>309</v>
      </c>
      <c r="BR239" s="267">
        <v>313</v>
      </c>
      <c r="BT239" s="267">
        <v>343</v>
      </c>
      <c r="BU239" s="267">
        <v>342</v>
      </c>
      <c r="BW239" s="267">
        <v>107</v>
      </c>
      <c r="BX239" s="267">
        <v>106</v>
      </c>
      <c r="BZ239" s="267">
        <v>228</v>
      </c>
      <c r="CA239" s="267">
        <v>226</v>
      </c>
      <c r="CC239" s="267">
        <v>209</v>
      </c>
      <c r="CD239" s="267">
        <v>213</v>
      </c>
      <c r="CF239" s="267">
        <v>29</v>
      </c>
      <c r="CG239" s="267">
        <v>32</v>
      </c>
      <c r="CI239" s="267">
        <v>79</v>
      </c>
      <c r="CJ239" s="267">
        <v>0</v>
      </c>
    </row>
    <row r="240" spans="1:97" ht="30" x14ac:dyDescent="0.25">
      <c r="A240" s="107"/>
      <c r="B240" s="96" t="s">
        <v>1782</v>
      </c>
      <c r="C240" s="95" t="s">
        <v>1796</v>
      </c>
      <c r="D240" s="95" t="s">
        <v>1792</v>
      </c>
      <c r="E240" s="282"/>
      <c r="F240" s="282"/>
      <c r="G240" s="282"/>
      <c r="H240" s="282"/>
      <c r="I240" s="103">
        <v>263</v>
      </c>
      <c r="J240" s="103">
        <v>272</v>
      </c>
      <c r="K240" s="103">
        <v>277</v>
      </c>
      <c r="L240" s="103">
        <v>2</v>
      </c>
      <c r="M240" s="103">
        <v>3</v>
      </c>
      <c r="N240" s="103">
        <v>2</v>
      </c>
      <c r="O240" s="286"/>
      <c r="P240" s="283">
        <f t="shared" si="265"/>
        <v>272</v>
      </c>
      <c r="Q240" s="283">
        <f t="shared" si="265"/>
        <v>252</v>
      </c>
      <c r="R240" s="267">
        <v>3</v>
      </c>
      <c r="S240" s="267">
        <v>3</v>
      </c>
      <c r="U240" s="267">
        <v>5</v>
      </c>
      <c r="V240" s="267">
        <v>3</v>
      </c>
      <c r="X240" s="267">
        <v>9</v>
      </c>
      <c r="Y240" s="267">
        <v>10</v>
      </c>
      <c r="AA240" s="267">
        <v>12</v>
      </c>
      <c r="AB240" s="267">
        <v>11</v>
      </c>
      <c r="AD240" s="267">
        <v>6</v>
      </c>
      <c r="AE240" s="267">
        <v>5</v>
      </c>
      <c r="AG240" s="267">
        <v>3</v>
      </c>
      <c r="AH240" s="267">
        <v>2</v>
      </c>
      <c r="AJ240" s="267">
        <v>6</v>
      </c>
      <c r="AK240" s="267">
        <v>6</v>
      </c>
      <c r="AM240" s="267">
        <v>27</v>
      </c>
      <c r="AN240" s="267">
        <v>25</v>
      </c>
      <c r="AP240" s="267">
        <v>3</v>
      </c>
      <c r="AQ240" s="267">
        <v>1</v>
      </c>
      <c r="AS240" s="267">
        <v>42</v>
      </c>
      <c r="AT240" s="267">
        <v>34</v>
      </c>
      <c r="AV240" s="267">
        <v>7</v>
      </c>
      <c r="AW240" s="267">
        <v>9</v>
      </c>
      <c r="AY240" s="267">
        <v>14</v>
      </c>
      <c r="AZ240" s="267">
        <v>11</v>
      </c>
      <c r="BB240" s="267">
        <v>28</v>
      </c>
      <c r="BC240" s="267">
        <v>27</v>
      </c>
      <c r="BE240" s="267">
        <v>15</v>
      </c>
      <c r="BF240" s="267">
        <v>16</v>
      </c>
      <c r="BH240" s="267">
        <v>36</v>
      </c>
      <c r="BI240" s="267">
        <v>33</v>
      </c>
      <c r="BK240" s="267">
        <v>10</v>
      </c>
      <c r="BL240" s="267">
        <v>11</v>
      </c>
      <c r="BN240" s="267">
        <v>6</v>
      </c>
      <c r="BO240" s="267">
        <v>4</v>
      </c>
      <c r="BQ240" s="267">
        <v>3</v>
      </c>
      <c r="BR240" s="267">
        <v>1</v>
      </c>
      <c r="BT240" s="267">
        <v>14</v>
      </c>
      <c r="BU240" s="267">
        <v>15</v>
      </c>
      <c r="BW240" s="267">
        <v>3</v>
      </c>
      <c r="BX240" s="267">
        <v>3</v>
      </c>
      <c r="BZ240" s="267">
        <v>8</v>
      </c>
      <c r="CA240" s="267">
        <v>10</v>
      </c>
      <c r="CC240" s="267">
        <v>9</v>
      </c>
      <c r="CD240" s="267">
        <v>10</v>
      </c>
      <c r="CF240" s="267">
        <v>2</v>
      </c>
      <c r="CG240" s="267">
        <v>2</v>
      </c>
      <c r="CI240" s="267">
        <v>1</v>
      </c>
      <c r="CJ240" s="267">
        <v>0</v>
      </c>
    </row>
    <row r="241" spans="1:88" ht="30" x14ac:dyDescent="0.25">
      <c r="A241" s="107"/>
      <c r="B241" s="96" t="s">
        <v>1783</v>
      </c>
      <c r="C241" s="95" t="s">
        <v>1797</v>
      </c>
      <c r="D241" s="95" t="s">
        <v>1792</v>
      </c>
      <c r="E241" s="282"/>
      <c r="F241" s="282"/>
      <c r="G241" s="282"/>
      <c r="H241" s="282"/>
      <c r="I241" s="103">
        <v>646</v>
      </c>
      <c r="J241" s="103">
        <v>527</v>
      </c>
      <c r="K241" s="103">
        <v>526</v>
      </c>
      <c r="L241" s="103">
        <v>15</v>
      </c>
      <c r="M241" s="103">
        <v>14</v>
      </c>
      <c r="N241" s="103">
        <v>10</v>
      </c>
      <c r="O241" s="286"/>
      <c r="P241" s="283">
        <f t="shared" si="265"/>
        <v>527</v>
      </c>
      <c r="Q241" s="283">
        <f t="shared" si="265"/>
        <v>526</v>
      </c>
      <c r="R241" s="267">
        <v>19</v>
      </c>
      <c r="S241" s="267">
        <v>18</v>
      </c>
      <c r="U241" s="267">
        <v>13</v>
      </c>
      <c r="V241" s="267">
        <v>12</v>
      </c>
      <c r="X241" s="267">
        <v>17</v>
      </c>
      <c r="Y241" s="267">
        <v>18</v>
      </c>
      <c r="AA241" s="267">
        <v>17</v>
      </c>
      <c r="AB241" s="267">
        <v>17</v>
      </c>
      <c r="AD241" s="267">
        <v>15</v>
      </c>
      <c r="AE241" s="267">
        <v>15</v>
      </c>
      <c r="AG241" s="267">
        <v>14</v>
      </c>
      <c r="AH241" s="267">
        <v>15</v>
      </c>
      <c r="AJ241" s="267">
        <v>22</v>
      </c>
      <c r="AK241" s="267">
        <v>24</v>
      </c>
      <c r="AM241" s="267">
        <v>39</v>
      </c>
      <c r="AN241" s="267">
        <v>37</v>
      </c>
      <c r="AP241" s="267">
        <v>11</v>
      </c>
      <c r="AQ241" s="267">
        <v>9</v>
      </c>
      <c r="AS241" s="267">
        <f>44+2</f>
        <v>46</v>
      </c>
      <c r="AT241" s="267">
        <v>46</v>
      </c>
      <c r="AV241" s="267">
        <v>17</v>
      </c>
      <c r="AW241" s="267">
        <v>18</v>
      </c>
      <c r="AY241" s="267">
        <v>27</v>
      </c>
      <c r="AZ241" s="267">
        <v>24</v>
      </c>
      <c r="BB241" s="267">
        <v>36</v>
      </c>
      <c r="BC241" s="267">
        <v>35</v>
      </c>
      <c r="BE241" s="267">
        <v>104</v>
      </c>
      <c r="BF241" s="267">
        <v>109</v>
      </c>
      <c r="BH241" s="267">
        <v>0</v>
      </c>
      <c r="BI241" s="267">
        <v>0</v>
      </c>
      <c r="BK241" s="267">
        <v>20</v>
      </c>
      <c r="BL241" s="267">
        <v>18</v>
      </c>
      <c r="BN241" s="267">
        <v>17</v>
      </c>
      <c r="BO241" s="267">
        <v>16</v>
      </c>
      <c r="BQ241" s="267">
        <v>26</v>
      </c>
      <c r="BR241" s="267">
        <v>27</v>
      </c>
      <c r="BT241" s="267">
        <v>23</v>
      </c>
      <c r="BU241" s="267">
        <v>23</v>
      </c>
      <c r="BW241" s="267">
        <v>9</v>
      </c>
      <c r="BX241" s="267">
        <v>9</v>
      </c>
      <c r="BZ241" s="267">
        <v>16</v>
      </c>
      <c r="CA241" s="267">
        <v>15</v>
      </c>
      <c r="CC241" s="267">
        <v>16</v>
      </c>
      <c r="CD241" s="267">
        <v>18</v>
      </c>
      <c r="CF241" s="267">
        <v>2</v>
      </c>
      <c r="CG241" s="267">
        <v>3</v>
      </c>
      <c r="CI241" s="267">
        <v>1</v>
      </c>
      <c r="CJ241" s="267">
        <v>0</v>
      </c>
    </row>
    <row r="242" spans="1:88" ht="30" x14ac:dyDescent="0.25">
      <c r="A242" s="107"/>
      <c r="B242" s="96" t="s">
        <v>1784</v>
      </c>
      <c r="C242" s="95" t="s">
        <v>1798</v>
      </c>
      <c r="D242" s="95" t="s">
        <v>1792</v>
      </c>
      <c r="E242" s="282"/>
      <c r="F242" s="282"/>
      <c r="G242" s="282"/>
      <c r="H242" s="282"/>
      <c r="I242" s="103">
        <v>527</v>
      </c>
      <c r="J242" s="103">
        <v>426</v>
      </c>
      <c r="K242" s="103">
        <v>433</v>
      </c>
      <c r="L242" s="103">
        <v>10</v>
      </c>
      <c r="M242" s="103">
        <v>11</v>
      </c>
      <c r="N242" s="103">
        <v>11</v>
      </c>
      <c r="O242" s="286"/>
      <c r="P242" s="283">
        <f t="shared" si="265"/>
        <v>426</v>
      </c>
      <c r="Q242" s="283">
        <f t="shared" si="265"/>
        <v>436</v>
      </c>
      <c r="R242" s="267">
        <v>12</v>
      </c>
      <c r="S242" s="304">
        <v>12</v>
      </c>
      <c r="U242" s="267">
        <v>8</v>
      </c>
      <c r="V242" s="304">
        <v>9</v>
      </c>
      <c r="X242" s="267">
        <v>16</v>
      </c>
      <c r="Y242" s="304">
        <v>15</v>
      </c>
      <c r="AA242" s="267">
        <v>16</v>
      </c>
      <c r="AB242" s="304">
        <v>17</v>
      </c>
      <c r="AD242" s="267">
        <v>14</v>
      </c>
      <c r="AE242" s="304">
        <v>11</v>
      </c>
      <c r="AG242" s="267">
        <v>12</v>
      </c>
      <c r="AH242" s="304">
        <v>10</v>
      </c>
      <c r="AJ242" s="267">
        <v>22</v>
      </c>
      <c r="AK242" s="304">
        <v>22</v>
      </c>
      <c r="AM242" s="267">
        <v>34</v>
      </c>
      <c r="AN242" s="304">
        <v>35</v>
      </c>
      <c r="AP242" s="267">
        <v>9</v>
      </c>
      <c r="AQ242" s="304">
        <v>9</v>
      </c>
      <c r="AS242" s="267">
        <v>40</v>
      </c>
      <c r="AT242" s="304">
        <v>39</v>
      </c>
      <c r="AV242" s="267">
        <v>13</v>
      </c>
      <c r="AW242" s="304">
        <v>14</v>
      </c>
      <c r="AY242" s="267">
        <v>23</v>
      </c>
      <c r="AZ242" s="304">
        <v>22</v>
      </c>
      <c r="BB242" s="267">
        <v>26</v>
      </c>
      <c r="BC242" s="304">
        <v>26</v>
      </c>
      <c r="BE242" s="267">
        <v>82</v>
      </c>
      <c r="BF242" s="304">
        <v>95</v>
      </c>
      <c r="BH242" s="267">
        <v>0</v>
      </c>
      <c r="BI242" s="304">
        <v>0</v>
      </c>
      <c r="BK242" s="267">
        <v>13</v>
      </c>
      <c r="BL242" s="304">
        <v>11</v>
      </c>
      <c r="BN242" s="267">
        <v>9</v>
      </c>
      <c r="BO242" s="304">
        <v>10</v>
      </c>
      <c r="BQ242" s="267">
        <v>23</v>
      </c>
      <c r="BR242" s="304">
        <v>25</v>
      </c>
      <c r="BT242" s="267">
        <v>15</v>
      </c>
      <c r="BU242" s="304">
        <v>18</v>
      </c>
      <c r="BW242" s="267">
        <v>9</v>
      </c>
      <c r="BX242" s="304">
        <v>8</v>
      </c>
      <c r="BZ242" s="267">
        <v>16</v>
      </c>
      <c r="CA242" s="304">
        <v>14</v>
      </c>
      <c r="CC242" s="267">
        <v>11</v>
      </c>
      <c r="CD242" s="304">
        <v>12</v>
      </c>
      <c r="CF242" s="267">
        <v>2</v>
      </c>
      <c r="CG242" s="304">
        <v>2</v>
      </c>
      <c r="CI242" s="267">
        <v>1</v>
      </c>
      <c r="CJ242" s="267">
        <v>0</v>
      </c>
    </row>
    <row r="243" spans="1:88" ht="30" x14ac:dyDescent="0.25">
      <c r="A243" s="107"/>
      <c r="B243" s="96" t="s">
        <v>1785</v>
      </c>
      <c r="C243" s="95" t="s">
        <v>1799</v>
      </c>
      <c r="D243" s="95" t="s">
        <v>1792</v>
      </c>
      <c r="E243" s="282"/>
      <c r="F243" s="282"/>
      <c r="G243" s="282"/>
      <c r="H243" s="282"/>
      <c r="I243" s="103">
        <v>568</v>
      </c>
      <c r="J243" s="103">
        <v>623</v>
      </c>
      <c r="K243" s="103">
        <v>658</v>
      </c>
      <c r="L243" s="103">
        <v>8</v>
      </c>
      <c r="M243" s="103">
        <v>8</v>
      </c>
      <c r="N243" s="103">
        <v>8</v>
      </c>
      <c r="O243" s="286"/>
      <c r="P243" s="283">
        <f t="shared" si="265"/>
        <v>623</v>
      </c>
      <c r="Q243" s="283">
        <f t="shared" si="265"/>
        <v>684</v>
      </c>
      <c r="R243" s="267">
        <v>17</v>
      </c>
      <c r="S243" s="304">
        <v>12</v>
      </c>
      <c r="U243" s="267">
        <v>9</v>
      </c>
      <c r="V243" s="304">
        <v>11</v>
      </c>
      <c r="X243" s="267">
        <v>18</v>
      </c>
      <c r="Y243" s="304">
        <v>19</v>
      </c>
      <c r="AA243" s="267">
        <v>15</v>
      </c>
      <c r="AB243" s="304">
        <v>16</v>
      </c>
      <c r="AD243" s="267">
        <v>15</v>
      </c>
      <c r="AE243" s="304">
        <v>16</v>
      </c>
      <c r="AG243" s="267">
        <v>7</v>
      </c>
      <c r="AH243" s="304">
        <v>8</v>
      </c>
      <c r="AJ243" s="267">
        <v>33</v>
      </c>
      <c r="AK243" s="304">
        <v>33</v>
      </c>
      <c r="AM243" s="267">
        <v>48</v>
      </c>
      <c r="AN243" s="304">
        <v>48</v>
      </c>
      <c r="AP243" s="267">
        <v>12</v>
      </c>
      <c r="AQ243" s="304">
        <v>14</v>
      </c>
      <c r="AS243" s="267">
        <v>37</v>
      </c>
      <c r="AT243" s="304">
        <v>39</v>
      </c>
      <c r="AV243" s="267">
        <v>14</v>
      </c>
      <c r="AW243" s="304">
        <v>15</v>
      </c>
      <c r="AY243" s="267">
        <v>40</v>
      </c>
      <c r="AZ243" s="304">
        <v>37</v>
      </c>
      <c r="BB243" s="267">
        <v>31</v>
      </c>
      <c r="BC243" s="304">
        <v>31</v>
      </c>
      <c r="BE243" s="267">
        <v>59</v>
      </c>
      <c r="BF243" s="304">
        <v>68</v>
      </c>
      <c r="BH243" s="267">
        <v>168</v>
      </c>
      <c r="BI243" s="304">
        <v>206</v>
      </c>
      <c r="BK243" s="267">
        <v>4</v>
      </c>
      <c r="BL243" s="304">
        <v>6</v>
      </c>
      <c r="BN243" s="267">
        <v>18</v>
      </c>
      <c r="BO243" s="304">
        <v>24</v>
      </c>
      <c r="BQ243" s="267">
        <v>18</v>
      </c>
      <c r="BR243" s="304">
        <v>17</v>
      </c>
      <c r="BT243" s="267">
        <v>17</v>
      </c>
      <c r="BU243" s="304">
        <v>16</v>
      </c>
      <c r="BW243" s="267">
        <v>6</v>
      </c>
      <c r="BX243" s="304">
        <v>7</v>
      </c>
      <c r="BZ243" s="267">
        <v>14</v>
      </c>
      <c r="CA243" s="304">
        <v>11</v>
      </c>
      <c r="CC243" s="267">
        <v>16</v>
      </c>
      <c r="CD243" s="304">
        <v>16</v>
      </c>
      <c r="CF243" s="267">
        <v>7</v>
      </c>
      <c r="CG243" s="304">
        <v>14</v>
      </c>
      <c r="CI243" s="267">
        <v>0</v>
      </c>
      <c r="CJ243" s="267">
        <v>0</v>
      </c>
    </row>
    <row r="244" spans="1:88" ht="30" x14ac:dyDescent="0.25">
      <c r="A244" s="107"/>
      <c r="B244" s="96" t="s">
        <v>1786</v>
      </c>
      <c r="C244" s="95" t="s">
        <v>1800</v>
      </c>
      <c r="D244" s="95" t="s">
        <v>1792</v>
      </c>
      <c r="E244" s="282"/>
      <c r="F244" s="282"/>
      <c r="G244" s="282"/>
      <c r="H244" s="282"/>
      <c r="I244" s="103">
        <v>107</v>
      </c>
      <c r="J244" s="103">
        <v>115</v>
      </c>
      <c r="K244" s="103">
        <v>121</v>
      </c>
      <c r="L244" s="103">
        <v>0</v>
      </c>
      <c r="M244" s="103">
        <v>0</v>
      </c>
      <c r="N244" s="103">
        <v>0</v>
      </c>
      <c r="O244" s="286"/>
      <c r="P244" s="283">
        <f t="shared" si="265"/>
        <v>115</v>
      </c>
      <c r="Q244" s="283">
        <f t="shared" si="265"/>
        <v>134</v>
      </c>
      <c r="R244" s="267">
        <v>2</v>
      </c>
      <c r="S244" s="304">
        <v>4</v>
      </c>
      <c r="U244" s="267">
        <v>0</v>
      </c>
      <c r="V244" s="304">
        <v>0</v>
      </c>
      <c r="X244" s="267">
        <v>1</v>
      </c>
      <c r="Y244" s="304">
        <v>1</v>
      </c>
      <c r="AA244" s="267">
        <v>0</v>
      </c>
      <c r="AB244" s="304">
        <v>0</v>
      </c>
      <c r="AD244" s="267">
        <v>1</v>
      </c>
      <c r="AE244" s="304">
        <v>0</v>
      </c>
      <c r="AG244" s="267">
        <v>0</v>
      </c>
      <c r="AH244" s="304">
        <v>0</v>
      </c>
      <c r="AJ244" s="267">
        <v>1</v>
      </c>
      <c r="AK244" s="304">
        <v>2</v>
      </c>
      <c r="AM244" s="267">
        <v>16</v>
      </c>
      <c r="AN244" s="304">
        <v>23</v>
      </c>
      <c r="AP244" s="267">
        <v>0</v>
      </c>
      <c r="AQ244" s="304">
        <v>0</v>
      </c>
      <c r="AS244" s="267">
        <f>4+1</f>
        <v>5</v>
      </c>
      <c r="AT244" s="304">
        <v>11</v>
      </c>
      <c r="AV244" s="267">
        <v>5</v>
      </c>
      <c r="AW244" s="304">
        <v>5</v>
      </c>
      <c r="AY244" s="267">
        <v>13</v>
      </c>
      <c r="AZ244" s="304">
        <v>14</v>
      </c>
      <c r="BB244" s="267">
        <v>3</v>
      </c>
      <c r="BC244" s="304">
        <v>3</v>
      </c>
      <c r="BE244" s="267">
        <v>21</v>
      </c>
      <c r="BF244" s="304">
        <v>18</v>
      </c>
      <c r="BH244" s="267">
        <v>22</v>
      </c>
      <c r="BI244" s="304">
        <v>25</v>
      </c>
      <c r="BK244" s="267">
        <v>0</v>
      </c>
      <c r="BL244" s="304">
        <v>0</v>
      </c>
      <c r="BN244" s="267">
        <v>1</v>
      </c>
      <c r="BO244" s="304">
        <v>3</v>
      </c>
      <c r="BQ244" s="267">
        <v>3</v>
      </c>
      <c r="BR244" s="304">
        <v>3</v>
      </c>
      <c r="BT244" s="267">
        <v>2</v>
      </c>
      <c r="BU244" s="304">
        <v>4</v>
      </c>
      <c r="BW244" s="267">
        <v>0</v>
      </c>
      <c r="BX244" s="304">
        <v>0</v>
      </c>
      <c r="BZ244" s="267">
        <v>3</v>
      </c>
      <c r="CA244" s="304">
        <v>5</v>
      </c>
      <c r="CC244" s="267">
        <v>1</v>
      </c>
      <c r="CD244" s="304">
        <v>2</v>
      </c>
      <c r="CF244" s="267">
        <v>7</v>
      </c>
      <c r="CG244" s="304">
        <v>11</v>
      </c>
      <c r="CI244" s="267">
        <v>8</v>
      </c>
      <c r="CJ244" s="267">
        <v>0</v>
      </c>
    </row>
    <row r="245" spans="1:88" ht="30" x14ac:dyDescent="0.25">
      <c r="A245" s="107"/>
      <c r="B245" s="96" t="s">
        <v>1787</v>
      </c>
      <c r="C245" s="95" t="s">
        <v>1801</v>
      </c>
      <c r="D245" s="95" t="s">
        <v>1792</v>
      </c>
      <c r="E245" s="282"/>
      <c r="F245" s="282"/>
      <c r="G245" s="282"/>
      <c r="H245" s="282"/>
      <c r="I245" s="103">
        <v>353</v>
      </c>
      <c r="J245" s="103">
        <v>384</v>
      </c>
      <c r="K245" s="103">
        <v>413</v>
      </c>
      <c r="L245" s="103">
        <v>5</v>
      </c>
      <c r="M245" s="103">
        <v>6</v>
      </c>
      <c r="N245" s="103">
        <v>7</v>
      </c>
      <c r="O245" s="286"/>
      <c r="P245" s="283">
        <f t="shared" si="265"/>
        <v>384</v>
      </c>
      <c r="Q245" s="283">
        <f t="shared" si="265"/>
        <v>421</v>
      </c>
      <c r="R245" s="267">
        <v>9</v>
      </c>
      <c r="S245" s="304">
        <v>8</v>
      </c>
      <c r="U245" s="267">
        <v>12</v>
      </c>
      <c r="V245" s="304">
        <v>9</v>
      </c>
      <c r="X245" s="267">
        <v>8</v>
      </c>
      <c r="Y245" s="304">
        <v>11</v>
      </c>
      <c r="AA245" s="267">
        <v>8</v>
      </c>
      <c r="AB245" s="304">
        <v>8</v>
      </c>
      <c r="AD245" s="267">
        <v>6</v>
      </c>
      <c r="AE245" s="304">
        <v>5</v>
      </c>
      <c r="AG245" s="267">
        <v>5</v>
      </c>
      <c r="AH245" s="304">
        <v>5</v>
      </c>
      <c r="AJ245" s="267">
        <v>17</v>
      </c>
      <c r="AK245" s="304">
        <v>13</v>
      </c>
      <c r="AM245" s="267">
        <v>29</v>
      </c>
      <c r="AN245" s="304">
        <v>30</v>
      </c>
      <c r="AP245" s="267">
        <v>8</v>
      </c>
      <c r="AQ245" s="304">
        <v>9</v>
      </c>
      <c r="AS245" s="267">
        <v>39</v>
      </c>
      <c r="AT245" s="304">
        <v>38</v>
      </c>
      <c r="AV245" s="267">
        <v>10</v>
      </c>
      <c r="AW245" s="304">
        <v>9</v>
      </c>
      <c r="AY245" s="267">
        <v>19</v>
      </c>
      <c r="AZ245" s="304">
        <v>17</v>
      </c>
      <c r="BB245" s="267">
        <v>22</v>
      </c>
      <c r="BC245" s="304">
        <v>21</v>
      </c>
      <c r="BE245" s="267">
        <v>39</v>
      </c>
      <c r="BF245" s="304">
        <v>50</v>
      </c>
      <c r="BH245" s="267">
        <v>70</v>
      </c>
      <c r="BI245" s="304">
        <v>109</v>
      </c>
      <c r="BK245" s="267">
        <v>12</v>
      </c>
      <c r="BL245" s="304">
        <v>11</v>
      </c>
      <c r="BN245" s="267">
        <v>10</v>
      </c>
      <c r="BO245" s="304">
        <v>10</v>
      </c>
      <c r="BQ245" s="267">
        <v>16</v>
      </c>
      <c r="BR245" s="304">
        <v>14</v>
      </c>
      <c r="BT245" s="267">
        <v>12</v>
      </c>
      <c r="BU245" s="304">
        <v>12</v>
      </c>
      <c r="BW245" s="267">
        <v>5</v>
      </c>
      <c r="BX245" s="304">
        <v>5</v>
      </c>
      <c r="BZ245" s="267">
        <v>10</v>
      </c>
      <c r="CA245" s="304">
        <v>9</v>
      </c>
      <c r="CC245" s="267">
        <v>11</v>
      </c>
      <c r="CD245" s="304">
        <v>10</v>
      </c>
      <c r="CF245" s="267">
        <v>5</v>
      </c>
      <c r="CG245" s="304">
        <v>8</v>
      </c>
      <c r="CI245" s="267">
        <v>2</v>
      </c>
      <c r="CJ245" s="267">
        <v>0</v>
      </c>
    </row>
    <row r="246" spans="1:88" ht="30" x14ac:dyDescent="0.25">
      <c r="A246" s="107"/>
      <c r="B246" s="96" t="s">
        <v>1788</v>
      </c>
      <c r="C246" s="95" t="s">
        <v>1802</v>
      </c>
      <c r="D246" s="95" t="s">
        <v>1792</v>
      </c>
      <c r="E246" s="282"/>
      <c r="F246" s="282"/>
      <c r="G246" s="282"/>
      <c r="H246" s="282"/>
      <c r="I246" s="103">
        <v>29</v>
      </c>
      <c r="J246" s="103">
        <v>29</v>
      </c>
      <c r="K246" s="103">
        <v>36</v>
      </c>
      <c r="L246" s="103">
        <v>0</v>
      </c>
      <c r="M246" s="103">
        <v>0</v>
      </c>
      <c r="N246" s="103">
        <v>0</v>
      </c>
      <c r="O246" s="286"/>
      <c r="P246" s="283">
        <f t="shared" si="265"/>
        <v>29</v>
      </c>
      <c r="Q246" s="283">
        <f t="shared" si="265"/>
        <v>37</v>
      </c>
      <c r="R246" s="267">
        <v>1</v>
      </c>
      <c r="S246" s="304">
        <v>1</v>
      </c>
      <c r="U246" s="267">
        <v>0</v>
      </c>
      <c r="V246" s="304">
        <v>0</v>
      </c>
      <c r="X246" s="267">
        <v>0</v>
      </c>
      <c r="Y246" s="304">
        <v>1</v>
      </c>
      <c r="AA246" s="267">
        <v>2</v>
      </c>
      <c r="AB246" s="304">
        <v>2</v>
      </c>
      <c r="AD246" s="267">
        <v>1</v>
      </c>
      <c r="AE246" s="304">
        <v>1</v>
      </c>
      <c r="AG246" s="267">
        <v>0</v>
      </c>
      <c r="AH246" s="304">
        <v>0</v>
      </c>
      <c r="AJ246" s="267">
        <v>3</v>
      </c>
      <c r="AK246" s="304">
        <v>4</v>
      </c>
      <c r="AM246" s="267">
        <v>4</v>
      </c>
      <c r="AN246" s="304">
        <v>9</v>
      </c>
      <c r="AP246" s="267">
        <v>0</v>
      </c>
      <c r="AQ246" s="304">
        <v>1</v>
      </c>
      <c r="AS246" s="267">
        <v>0</v>
      </c>
      <c r="AT246" s="304">
        <v>0</v>
      </c>
      <c r="AV246" s="267">
        <v>0</v>
      </c>
      <c r="AW246" s="304">
        <v>0</v>
      </c>
      <c r="AY246" s="267">
        <v>13</v>
      </c>
      <c r="AZ246" s="304">
        <v>13</v>
      </c>
      <c r="BB246" s="267">
        <v>0</v>
      </c>
      <c r="BC246" s="304">
        <v>0</v>
      </c>
      <c r="BE246" s="267">
        <v>0</v>
      </c>
      <c r="BF246" s="304">
        <v>0</v>
      </c>
      <c r="BH246" s="267">
        <v>0</v>
      </c>
      <c r="BI246" s="304">
        <v>0</v>
      </c>
      <c r="BK246" s="267">
        <v>0</v>
      </c>
      <c r="BL246" s="304">
        <v>0</v>
      </c>
      <c r="BN246" s="267">
        <v>0</v>
      </c>
      <c r="BO246" s="304">
        <v>0</v>
      </c>
      <c r="BQ246" s="267">
        <v>0</v>
      </c>
      <c r="BR246" s="304">
        <v>0</v>
      </c>
      <c r="BT246" s="267">
        <v>0</v>
      </c>
      <c r="BU246" s="304">
        <v>0</v>
      </c>
      <c r="BW246" s="267">
        <v>0</v>
      </c>
      <c r="BX246" s="304">
        <v>0</v>
      </c>
      <c r="BZ246" s="267">
        <v>2</v>
      </c>
      <c r="CA246" s="304">
        <v>2</v>
      </c>
      <c r="CC246" s="267">
        <v>0</v>
      </c>
      <c r="CD246" s="304">
        <v>0</v>
      </c>
      <c r="CF246" s="267">
        <v>3</v>
      </c>
      <c r="CG246" s="304">
        <v>3</v>
      </c>
      <c r="CI246" s="267">
        <v>0</v>
      </c>
      <c r="CJ246" s="267">
        <v>0</v>
      </c>
    </row>
    <row r="247" spans="1:88" ht="30" x14ac:dyDescent="0.25">
      <c r="A247" s="107"/>
      <c r="B247" s="96" t="s">
        <v>1789</v>
      </c>
      <c r="C247" s="95" t="s">
        <v>1803</v>
      </c>
      <c r="D247" s="95" t="s">
        <v>1792</v>
      </c>
      <c r="E247" s="282"/>
      <c r="F247" s="282"/>
      <c r="G247" s="282"/>
      <c r="H247" s="282"/>
      <c r="I247" s="103">
        <v>22</v>
      </c>
      <c r="J247" s="103">
        <v>28</v>
      </c>
      <c r="K247" s="103">
        <v>31</v>
      </c>
      <c r="L247" s="103">
        <v>0</v>
      </c>
      <c r="M247" s="103">
        <v>0</v>
      </c>
      <c r="N247" s="103">
        <v>0</v>
      </c>
      <c r="O247" s="286"/>
      <c r="P247" s="283">
        <f t="shared" si="265"/>
        <v>28</v>
      </c>
      <c r="Q247" s="283">
        <f t="shared" si="265"/>
        <v>29</v>
      </c>
      <c r="R247" s="267">
        <v>0</v>
      </c>
      <c r="S247" s="304">
        <v>0</v>
      </c>
      <c r="U247" s="267">
        <v>1</v>
      </c>
      <c r="V247" s="304">
        <v>1</v>
      </c>
      <c r="X247" s="267">
        <v>0</v>
      </c>
      <c r="Y247" s="304">
        <v>0</v>
      </c>
      <c r="AA247" s="267">
        <v>1</v>
      </c>
      <c r="AB247" s="304">
        <v>4</v>
      </c>
      <c r="AD247" s="267">
        <v>0</v>
      </c>
      <c r="AE247" s="304">
        <v>0</v>
      </c>
      <c r="AG247" s="267">
        <v>0</v>
      </c>
      <c r="AH247" s="304">
        <v>0</v>
      </c>
      <c r="AJ247" s="267">
        <v>0</v>
      </c>
      <c r="AK247" s="304">
        <v>0</v>
      </c>
      <c r="AM247" s="267">
        <v>0</v>
      </c>
      <c r="AN247" s="304">
        <v>0</v>
      </c>
      <c r="AP247" s="267">
        <v>1</v>
      </c>
      <c r="AQ247" s="304">
        <v>1</v>
      </c>
      <c r="AS247" s="267">
        <v>5</v>
      </c>
      <c r="AT247" s="304">
        <v>5</v>
      </c>
      <c r="AV247" s="267">
        <v>0</v>
      </c>
      <c r="AW247" s="304">
        <v>0</v>
      </c>
      <c r="AY247" s="267">
        <v>5</v>
      </c>
      <c r="AZ247" s="304">
        <v>4</v>
      </c>
      <c r="BB247" s="267">
        <v>1</v>
      </c>
      <c r="BC247" s="304">
        <v>1</v>
      </c>
      <c r="BE247" s="267">
        <v>5</v>
      </c>
      <c r="BF247" s="304">
        <v>5</v>
      </c>
      <c r="BH247" s="267">
        <v>0</v>
      </c>
      <c r="BI247" s="304">
        <v>0</v>
      </c>
      <c r="BK247" s="267">
        <v>0</v>
      </c>
      <c r="BL247" s="304">
        <v>0</v>
      </c>
      <c r="BN247" s="267">
        <v>0</v>
      </c>
      <c r="BO247" s="304">
        <v>0</v>
      </c>
      <c r="BQ247" s="267">
        <v>3</v>
      </c>
      <c r="BR247" s="304">
        <v>3</v>
      </c>
      <c r="BT247" s="267">
        <v>0</v>
      </c>
      <c r="BU247" s="304">
        <v>0</v>
      </c>
      <c r="BW247" s="267">
        <v>5</v>
      </c>
      <c r="BX247" s="304">
        <v>4</v>
      </c>
      <c r="BZ247" s="267">
        <v>0</v>
      </c>
      <c r="CA247" s="304">
        <v>0</v>
      </c>
      <c r="CC247" s="267">
        <v>0</v>
      </c>
      <c r="CD247" s="304">
        <v>0</v>
      </c>
      <c r="CF247" s="267">
        <v>1</v>
      </c>
      <c r="CG247" s="304">
        <v>1</v>
      </c>
      <c r="CI247" s="267">
        <v>0</v>
      </c>
      <c r="CJ247" s="267">
        <v>0</v>
      </c>
    </row>
    <row r="248" spans="1:88" ht="30" x14ac:dyDescent="0.25">
      <c r="A248" s="107"/>
      <c r="B248" s="96" t="s">
        <v>1790</v>
      </c>
      <c r="C248" s="95" t="s">
        <v>1804</v>
      </c>
      <c r="D248" s="95" t="s">
        <v>1792</v>
      </c>
      <c r="E248" s="282"/>
      <c r="F248" s="282"/>
      <c r="G248" s="282"/>
      <c r="H248" s="282"/>
      <c r="I248" s="103">
        <v>5</v>
      </c>
      <c r="J248" s="103">
        <v>18</v>
      </c>
      <c r="K248" s="103">
        <v>27</v>
      </c>
      <c r="L248" s="103">
        <v>1</v>
      </c>
      <c r="M248" s="103">
        <v>3</v>
      </c>
      <c r="N248" s="103">
        <v>2</v>
      </c>
      <c r="O248" s="286"/>
      <c r="P248" s="283">
        <f t="shared" si="265"/>
        <v>18</v>
      </c>
      <c r="Q248" s="283">
        <f t="shared" si="265"/>
        <v>25</v>
      </c>
      <c r="R248" s="267">
        <v>0</v>
      </c>
      <c r="S248" s="304">
        <v>0</v>
      </c>
      <c r="U248" s="267">
        <v>0</v>
      </c>
      <c r="V248" s="304">
        <v>0</v>
      </c>
      <c r="X248" s="267">
        <v>0</v>
      </c>
      <c r="Y248" s="304">
        <v>0</v>
      </c>
      <c r="AA248" s="267">
        <v>10</v>
      </c>
      <c r="AB248" s="304">
        <v>11</v>
      </c>
      <c r="AD248" s="267">
        <v>0</v>
      </c>
      <c r="AE248" s="304">
        <v>0</v>
      </c>
      <c r="AG248" s="267">
        <v>0</v>
      </c>
      <c r="AH248" s="304">
        <v>1</v>
      </c>
      <c r="AJ248" s="267">
        <v>0</v>
      </c>
      <c r="AK248" s="304">
        <v>0</v>
      </c>
      <c r="AM248" s="267">
        <v>0</v>
      </c>
      <c r="AN248" s="304">
        <v>0</v>
      </c>
      <c r="AP248" s="267">
        <v>3</v>
      </c>
      <c r="AQ248" s="304">
        <v>0</v>
      </c>
      <c r="AS248" s="267">
        <v>1</v>
      </c>
      <c r="AT248" s="304">
        <v>2</v>
      </c>
      <c r="AV248" s="267">
        <v>0</v>
      </c>
      <c r="AW248" s="304">
        <v>0</v>
      </c>
      <c r="AY248" s="267">
        <v>1</v>
      </c>
      <c r="AZ248" s="304">
        <v>2</v>
      </c>
      <c r="BB248" s="267">
        <v>2</v>
      </c>
      <c r="BC248" s="304">
        <v>5</v>
      </c>
      <c r="BE248" s="267">
        <v>0</v>
      </c>
      <c r="BF248" s="304">
        <v>0</v>
      </c>
      <c r="BH248" s="267">
        <v>0</v>
      </c>
      <c r="BI248" s="304">
        <v>0</v>
      </c>
      <c r="BK248" s="267">
        <v>0</v>
      </c>
      <c r="BL248" s="304">
        <v>0</v>
      </c>
      <c r="BN248" s="267">
        <v>0</v>
      </c>
      <c r="BO248" s="304">
        <v>0</v>
      </c>
      <c r="BQ248" s="267">
        <v>1</v>
      </c>
      <c r="BR248" s="304">
        <v>0</v>
      </c>
      <c r="BT248" s="267">
        <v>0</v>
      </c>
      <c r="BU248" s="304">
        <v>2</v>
      </c>
      <c r="BW248" s="267">
        <v>0</v>
      </c>
      <c r="BX248" s="304">
        <v>0</v>
      </c>
      <c r="BZ248" s="267">
        <v>0</v>
      </c>
      <c r="CA248" s="304">
        <v>0</v>
      </c>
      <c r="CC248" s="267">
        <v>0</v>
      </c>
      <c r="CD248" s="304">
        <v>0</v>
      </c>
      <c r="CF248" s="267">
        <v>0</v>
      </c>
      <c r="CG248" s="304">
        <v>2</v>
      </c>
      <c r="CI248" s="267">
        <v>0</v>
      </c>
      <c r="CJ248" s="267">
        <v>0</v>
      </c>
    </row>
    <row r="249" spans="1:88" ht="60" x14ac:dyDescent="0.25">
      <c r="A249" s="95" t="s">
        <v>1793</v>
      </c>
      <c r="B249" s="16" t="s">
        <v>36</v>
      </c>
      <c r="C249" s="107"/>
      <c r="D249" s="95" t="s">
        <v>8</v>
      </c>
      <c r="E249" s="279">
        <v>96.9</v>
      </c>
      <c r="F249" s="279">
        <v>99</v>
      </c>
      <c r="G249" s="279">
        <v>100.29</v>
      </c>
      <c r="H249" s="279">
        <v>99.84</v>
      </c>
      <c r="I249" s="279">
        <v>100.3</v>
      </c>
      <c r="J249" s="279">
        <v>99.07</v>
      </c>
      <c r="K249" s="279">
        <v>99.88</v>
      </c>
      <c r="L249" s="279">
        <v>98.87</v>
      </c>
      <c r="M249" s="279">
        <v>92.4</v>
      </c>
      <c r="N249" s="279">
        <v>84.3</v>
      </c>
      <c r="O249" s="281" t="s">
        <v>46</v>
      </c>
      <c r="P249" s="279">
        <f>P251/P250*100</f>
        <v>99.87951001854978</v>
      </c>
      <c r="Q249" s="279">
        <f>Q251/Q250*100</f>
        <v>98.869867300951427</v>
      </c>
      <c r="R249" s="279">
        <f>R251/R250*100</f>
        <v>101.85046541553169</v>
      </c>
      <c r="S249" s="279">
        <f>S251/S250*100</f>
        <v>97.511110415623435</v>
      </c>
      <c r="U249" s="279">
        <f>U251/U250*100</f>
        <v>102.9311987165561</v>
      </c>
      <c r="V249" s="279">
        <f>V251/V250*100</f>
        <v>101.73353780671006</v>
      </c>
      <c r="X249" s="279">
        <f>X251/X250*100</f>
        <v>84.274302712277944</v>
      </c>
      <c r="Y249" s="279">
        <f>Y251/Y250*100</f>
        <v>83.116393340010006</v>
      </c>
      <c r="AA249" s="279">
        <f>AA251/AA250*100</f>
        <v>97.283042831598124</v>
      </c>
      <c r="AB249" s="279">
        <f>AB251/AB250*100</f>
        <v>90.092795443164746</v>
      </c>
      <c r="AD249" s="279">
        <f>AD251/AD250*100</f>
        <v>88.086532194722494</v>
      </c>
      <c r="AE249" s="279">
        <f>AE251/AE250*100</f>
        <v>86.787055583375064</v>
      </c>
      <c r="AG249" s="279">
        <f>AG251/AG250*100</f>
        <v>91.053493541001686</v>
      </c>
      <c r="AH249" s="279">
        <f>AH251/AH250*100</f>
        <v>89.23306835252879</v>
      </c>
      <c r="AJ249" s="279">
        <f>AJ251/AJ250*100</f>
        <v>88.337539063152803</v>
      </c>
      <c r="AK249" s="279">
        <f>AK251/AK250*100</f>
        <v>87.846770155232846</v>
      </c>
      <c r="AM249" s="279">
        <f>AM251/AM250*100</f>
        <v>97.155032671000512</v>
      </c>
      <c r="AN249" s="279">
        <f>AN251/AN250*100</f>
        <v>94.086598647971954</v>
      </c>
      <c r="AP249" s="279">
        <f>AP251/AP250*100</f>
        <v>89.62365681244674</v>
      </c>
      <c r="AQ249" s="279">
        <f>AQ251/AQ250*100</f>
        <v>87.873059589384084</v>
      </c>
      <c r="AS249" s="279">
        <f>AS251/AS250*100</f>
        <v>102.49803639766708</v>
      </c>
      <c r="AT249" s="279">
        <f>AT251/AT250*100</f>
        <v>105.93922133199798</v>
      </c>
      <c r="AV249" s="279">
        <f>AV251/AV250*100</f>
        <v>94.174200772071728</v>
      </c>
      <c r="AW249" s="279">
        <f>AW251/AW250*100</f>
        <v>93.29556835252879</v>
      </c>
      <c r="AY249" s="279">
        <f>AY251/AY250*100</f>
        <v>87.160213238857608</v>
      </c>
      <c r="AZ249" s="279">
        <f>AZ251/AZ250*100</f>
        <v>86.951677516274401</v>
      </c>
      <c r="BB249" s="279">
        <f>BB251/BB250*100</f>
        <v>102.75154999247982</v>
      </c>
      <c r="BC249" s="279">
        <f>BC251/BC250*100</f>
        <v>102.18139709564346</v>
      </c>
      <c r="BE249" s="279">
        <f>BE251/BE250*100</f>
        <v>99.846588345393471</v>
      </c>
      <c r="BF249" s="279">
        <f>BF251/BF250*100</f>
        <v>99.291906609914875</v>
      </c>
      <c r="BH249" s="279">
        <f>BH251/BH250*100</f>
        <v>112.08676615585154</v>
      </c>
      <c r="BI249" s="279">
        <f>BI251/BI250*100</f>
        <v>111.21087881822733</v>
      </c>
      <c r="BK249" s="279">
        <f>BK251/BK250*100</f>
        <v>94.295693444074942</v>
      </c>
      <c r="BL249" s="279">
        <f>BL251/BL250*100</f>
        <v>93.771907861792698</v>
      </c>
      <c r="BN249" s="279">
        <f>BN251/BN250*100</f>
        <v>93.035478534066414</v>
      </c>
      <c r="BO249" s="279">
        <f>BO251/BO250*100</f>
        <v>92.518621682523786</v>
      </c>
      <c r="BQ249" s="279">
        <f>BQ251/BQ250*100</f>
        <v>93.332943398118289</v>
      </c>
      <c r="BR249" s="279">
        <f>BR251/BR250*100</f>
        <v>90.456935403104652</v>
      </c>
      <c r="BT249" s="279">
        <f>BT251/BT250*100</f>
        <v>107.48859439495982</v>
      </c>
      <c r="BU249" s="279">
        <f>BU251/BU250*100</f>
        <v>104.48907736604906</v>
      </c>
      <c r="BW249" s="279">
        <f>BW251/BW250*100</f>
        <v>89.700863985026473</v>
      </c>
      <c r="BX249" s="279">
        <f>BX251/BX250*100</f>
        <v>89.203023284927397</v>
      </c>
      <c r="BZ249" s="279">
        <f>BZ251/BZ250*100</f>
        <v>92.263072578084532</v>
      </c>
      <c r="CA249" s="279">
        <f>CA251/CA250*100</f>
        <v>91.750594641962948</v>
      </c>
      <c r="CC249" s="279">
        <f>CC251/CC250*100</f>
        <v>89.219906749778573</v>
      </c>
      <c r="CD249" s="279">
        <f>CD251/CD250*100</f>
        <v>86.980314221331994</v>
      </c>
      <c r="CF249" s="279" t="e">
        <f>CF251/CF250*100</f>
        <v>#DIV/0!</v>
      </c>
      <c r="CG249" s="279" t="e">
        <f>CG251/CG250*100</f>
        <v>#DIV/0!</v>
      </c>
      <c r="CI249" s="279" t="e">
        <f>CI251/CI250*100</f>
        <v>#DIV/0!</v>
      </c>
      <c r="CJ249" s="279" t="e">
        <f>CJ251/CJ250*100</f>
        <v>#DIV/0!</v>
      </c>
    </row>
    <row r="250" spans="1:88" ht="60" x14ac:dyDescent="0.25">
      <c r="A250" s="107"/>
      <c r="B250" s="16" t="s">
        <v>38</v>
      </c>
      <c r="C250" s="95" t="s">
        <v>39</v>
      </c>
      <c r="D250" s="95" t="s">
        <v>1114</v>
      </c>
      <c r="E250" s="291"/>
      <c r="F250" s="291"/>
      <c r="G250" s="291"/>
      <c r="H250" s="291"/>
      <c r="I250" s="291"/>
      <c r="J250" s="291"/>
      <c r="K250" s="291"/>
      <c r="L250" s="291"/>
      <c r="M250" s="291"/>
      <c r="N250" s="291"/>
      <c r="P250" s="267">
        <v>59839</v>
      </c>
      <c r="Q250" s="267">
        <v>63904</v>
      </c>
      <c r="R250" s="267">
        <v>59839</v>
      </c>
      <c r="S250" s="267">
        <v>63904</v>
      </c>
      <c r="U250" s="267">
        <v>59839</v>
      </c>
      <c r="V250" s="267">
        <v>63904</v>
      </c>
      <c r="X250" s="267">
        <v>59839</v>
      </c>
      <c r="Y250" s="267">
        <v>63904</v>
      </c>
      <c r="AA250" s="267">
        <v>59839</v>
      </c>
      <c r="AB250" s="267">
        <v>63904</v>
      </c>
      <c r="AD250" s="267">
        <v>59839</v>
      </c>
      <c r="AE250" s="267">
        <v>63904</v>
      </c>
      <c r="AG250" s="267">
        <v>59839</v>
      </c>
      <c r="AH250" s="267">
        <v>63904</v>
      </c>
      <c r="AJ250" s="267">
        <v>59839</v>
      </c>
      <c r="AK250" s="267">
        <v>63904</v>
      </c>
      <c r="AM250" s="267">
        <v>59839</v>
      </c>
      <c r="AN250" s="267">
        <v>63904</v>
      </c>
      <c r="AP250" s="267">
        <v>59839</v>
      </c>
      <c r="AQ250" s="267">
        <v>63904</v>
      </c>
      <c r="AS250" s="267">
        <v>59839</v>
      </c>
      <c r="AT250" s="267">
        <v>63904</v>
      </c>
      <c r="AV250" s="267">
        <v>59839</v>
      </c>
      <c r="AW250" s="267">
        <v>63904</v>
      </c>
      <c r="AY250" s="267">
        <v>59839</v>
      </c>
      <c r="AZ250" s="267">
        <v>63904</v>
      </c>
      <c r="BB250" s="267">
        <v>59839</v>
      </c>
      <c r="BC250" s="267">
        <v>63904</v>
      </c>
      <c r="BE250" s="267">
        <v>59839</v>
      </c>
      <c r="BF250" s="267">
        <v>63904</v>
      </c>
      <c r="BH250" s="267">
        <v>59839</v>
      </c>
      <c r="BI250" s="267">
        <v>63904</v>
      </c>
      <c r="BK250" s="267">
        <v>59839</v>
      </c>
      <c r="BL250" s="267">
        <v>63904</v>
      </c>
      <c r="BN250" s="267">
        <v>59839</v>
      </c>
      <c r="BO250" s="267">
        <v>63904</v>
      </c>
      <c r="BQ250" s="267">
        <v>59839</v>
      </c>
      <c r="BR250" s="267">
        <v>63904</v>
      </c>
      <c r="BT250" s="267">
        <v>59839</v>
      </c>
      <c r="BU250" s="267">
        <v>63904</v>
      </c>
      <c r="BW250" s="267">
        <v>59839</v>
      </c>
      <c r="BX250" s="267">
        <v>63904</v>
      </c>
      <c r="BZ250" s="267">
        <v>59839</v>
      </c>
      <c r="CA250" s="267">
        <v>63904</v>
      </c>
      <c r="CC250" s="267">
        <v>59839</v>
      </c>
      <c r="CD250" s="267">
        <v>63904</v>
      </c>
    </row>
    <row r="251" spans="1:88" ht="75" x14ac:dyDescent="0.25">
      <c r="A251" s="107"/>
      <c r="B251" s="16" t="s">
        <v>40</v>
      </c>
      <c r="C251" s="95" t="s">
        <v>41</v>
      </c>
      <c r="D251" s="95" t="s">
        <v>1114</v>
      </c>
      <c r="E251" s="291"/>
      <c r="F251" s="291"/>
      <c r="G251" s="291"/>
      <c r="H251" s="291"/>
      <c r="I251" s="291"/>
      <c r="J251" s="291"/>
      <c r="K251" s="291"/>
      <c r="L251" s="291"/>
      <c r="M251" s="291"/>
      <c r="N251" s="291"/>
      <c r="P251" s="327">
        <v>59766.9</v>
      </c>
      <c r="Q251" s="327">
        <v>63181.8</v>
      </c>
      <c r="R251" s="327">
        <v>60946.3</v>
      </c>
      <c r="S251" s="267">
        <v>62313.5</v>
      </c>
      <c r="U251" s="267">
        <v>61593</v>
      </c>
      <c r="V251" s="267">
        <v>65011.8</v>
      </c>
      <c r="X251" s="267">
        <v>50428.9</v>
      </c>
      <c r="Y251" s="267">
        <v>53114.7</v>
      </c>
      <c r="AA251" s="267">
        <v>58213.2</v>
      </c>
      <c r="AB251" s="267">
        <v>57572.9</v>
      </c>
      <c r="AD251" s="267">
        <v>52710.1</v>
      </c>
      <c r="AE251" s="267">
        <v>55460.4</v>
      </c>
      <c r="AG251" s="267">
        <v>54485.5</v>
      </c>
      <c r="AH251" s="267">
        <v>57023.5</v>
      </c>
      <c r="AJ251" s="267">
        <v>52860.3</v>
      </c>
      <c r="AK251" s="267">
        <v>56137.599999999999</v>
      </c>
      <c r="AM251" s="267">
        <v>58136.6</v>
      </c>
      <c r="AN251" s="267">
        <v>60125.1</v>
      </c>
      <c r="AP251" s="267">
        <v>53629.9</v>
      </c>
      <c r="AQ251" s="267">
        <v>56154.400000000001</v>
      </c>
      <c r="AS251" s="267">
        <v>61333.8</v>
      </c>
      <c r="AT251" s="267">
        <v>67699.399999999994</v>
      </c>
      <c r="AV251" s="267">
        <v>56352.9</v>
      </c>
      <c r="AW251" s="267">
        <v>59619.6</v>
      </c>
      <c r="AY251" s="267">
        <v>52155.8</v>
      </c>
      <c r="AZ251" s="267">
        <v>55565.599999999999</v>
      </c>
      <c r="BB251" s="267">
        <v>61485.5</v>
      </c>
      <c r="BC251" s="267">
        <v>65298</v>
      </c>
      <c r="BE251" s="267">
        <v>59747.199999999997</v>
      </c>
      <c r="BF251" s="267">
        <v>63451.5</v>
      </c>
      <c r="BH251" s="267">
        <v>67071.600000000006</v>
      </c>
      <c r="BI251" s="267">
        <v>71068.2</v>
      </c>
      <c r="BK251" s="267">
        <v>56425.599999999999</v>
      </c>
      <c r="BL251" s="267">
        <v>59924</v>
      </c>
      <c r="BN251" s="267">
        <v>55671.5</v>
      </c>
      <c r="BO251" s="267">
        <v>59123.1</v>
      </c>
      <c r="BQ251" s="267">
        <v>55849.5</v>
      </c>
      <c r="BR251" s="267">
        <v>57805.599999999999</v>
      </c>
      <c r="BT251" s="267">
        <v>64320.1</v>
      </c>
      <c r="BU251" s="267">
        <v>66772.7</v>
      </c>
      <c r="BW251" s="267">
        <v>53676.1</v>
      </c>
      <c r="BX251" s="267">
        <v>57004.3</v>
      </c>
      <c r="BZ251" s="267">
        <v>55209.3</v>
      </c>
      <c r="CA251" s="267">
        <v>58632.3</v>
      </c>
      <c r="CC251" s="267">
        <v>53388.3</v>
      </c>
      <c r="CD251" s="267">
        <v>55583.9</v>
      </c>
    </row>
    <row r="252" spans="1:88" ht="60" x14ac:dyDescent="0.25">
      <c r="A252" s="107"/>
      <c r="B252" s="16" t="s">
        <v>42</v>
      </c>
      <c r="C252" s="95" t="s">
        <v>43</v>
      </c>
      <c r="D252" s="95" t="s">
        <v>950</v>
      </c>
      <c r="E252" s="291"/>
      <c r="F252" s="291"/>
      <c r="G252" s="291"/>
      <c r="H252" s="291"/>
      <c r="I252" s="291"/>
      <c r="J252" s="291"/>
      <c r="K252" s="291"/>
      <c r="L252" s="291"/>
      <c r="M252" s="291"/>
      <c r="N252" s="291"/>
    </row>
    <row r="253" spans="1:88" ht="60" x14ac:dyDescent="0.25">
      <c r="A253" s="107"/>
      <c r="B253" s="16" t="s">
        <v>44</v>
      </c>
      <c r="C253" s="95" t="s">
        <v>45</v>
      </c>
      <c r="D253" s="95" t="s">
        <v>950</v>
      </c>
      <c r="E253" s="291"/>
      <c r="F253" s="291"/>
      <c r="G253" s="291"/>
      <c r="H253" s="291"/>
      <c r="I253" s="291"/>
      <c r="J253" s="291"/>
      <c r="K253" s="291"/>
      <c r="L253" s="291"/>
      <c r="M253" s="291"/>
      <c r="N253" s="291"/>
    </row>
    <row r="254" spans="1:88" ht="30" x14ac:dyDescent="0.25">
      <c r="A254" s="105" t="s">
        <v>48</v>
      </c>
      <c r="B254" s="290" t="s">
        <v>47</v>
      </c>
      <c r="C254" s="107"/>
      <c r="D254" s="95"/>
      <c r="E254" s="107"/>
      <c r="F254" s="107"/>
      <c r="G254" s="107"/>
      <c r="H254" s="107"/>
      <c r="I254" s="107"/>
      <c r="J254" s="107"/>
      <c r="K254" s="107"/>
      <c r="L254" s="107"/>
      <c r="M254" s="107"/>
      <c r="N254" s="107"/>
    </row>
    <row r="255" spans="1:88" ht="30" x14ac:dyDescent="0.25">
      <c r="A255" s="101" t="s">
        <v>49</v>
      </c>
      <c r="B255" s="96" t="s">
        <v>1630</v>
      </c>
      <c r="C255" s="101" t="s">
        <v>1210</v>
      </c>
      <c r="D255" s="101" t="s">
        <v>1111</v>
      </c>
      <c r="E255" s="293"/>
      <c r="F255" s="293"/>
      <c r="G255" s="293"/>
      <c r="H255" s="293"/>
      <c r="I255" s="293"/>
      <c r="J255" s="293"/>
      <c r="K255" s="293"/>
      <c r="L255" s="293"/>
      <c r="M255" s="293"/>
      <c r="N255" s="293"/>
      <c r="O255" s="281" t="s">
        <v>29</v>
      </c>
    </row>
    <row r="256" spans="1:88" x14ac:dyDescent="0.25">
      <c r="A256" s="362"/>
      <c r="B256" s="16" t="s">
        <v>1182</v>
      </c>
      <c r="C256" s="101"/>
      <c r="D256" s="101"/>
      <c r="E256" s="293" t="e">
        <f t="shared" ref="E256:E261" si="266">(E263-E269)/E276</f>
        <v>#DIV/0!</v>
      </c>
      <c r="F256" s="293">
        <v>10.14</v>
      </c>
      <c r="G256" s="293">
        <v>9.17</v>
      </c>
      <c r="H256" s="293">
        <f t="shared" ref="H256:N261" si="267">(H263-H269)/H276</f>
        <v>10.118893325040627</v>
      </c>
      <c r="I256" s="293">
        <f t="shared" si="267"/>
        <v>9.8765809154626254</v>
      </c>
      <c r="J256" s="293">
        <f t="shared" si="267"/>
        <v>9.5869805246017243</v>
      </c>
      <c r="K256" s="293">
        <f t="shared" si="267"/>
        <v>9.7452957619646181</v>
      </c>
      <c r="L256" s="293">
        <f t="shared" si="267"/>
        <v>7.9767582417582412</v>
      </c>
      <c r="M256" s="293">
        <f t="shared" si="267"/>
        <v>10.275029239766081</v>
      </c>
      <c r="N256" s="293">
        <f t="shared" si="267"/>
        <v>11.006238418777022</v>
      </c>
      <c r="O256" s="281"/>
      <c r="P256" s="293">
        <f>(P263-P269)/P276</f>
        <v>9.774010663062251</v>
      </c>
      <c r="Q256" s="293">
        <f>(Q263-Q269)/Q276</f>
        <v>10.240821788993049</v>
      </c>
      <c r="R256" s="293">
        <f>(R263-R269)/R276</f>
        <v>11.118444313494402</v>
      </c>
      <c r="S256" s="293">
        <f>(S263-S269)/S276</f>
        <v>11.979682539682539</v>
      </c>
      <c r="U256" s="293">
        <f t="shared" ref="U256:V261" si="268">(U263-U269)/U276</f>
        <v>12.076086956521738</v>
      </c>
      <c r="V256" s="293">
        <f t="shared" si="268"/>
        <v>13.254615384615384</v>
      </c>
      <c r="X256" s="293">
        <f t="shared" ref="X256:Y261" si="269">(X263-X269)/X276</f>
        <v>16.427611484422723</v>
      </c>
      <c r="Y256" s="293">
        <f t="shared" si="269"/>
        <v>19.89375402446877</v>
      </c>
      <c r="AA256" s="293">
        <f t="shared" ref="AA256:AB261" si="270">(AA263-AA269)/AA276</f>
        <v>10.769441903019214</v>
      </c>
      <c r="AB256" s="293">
        <f t="shared" si="270"/>
        <v>11.625496031746032</v>
      </c>
      <c r="AD256" s="293">
        <f t="shared" ref="AD256:AE261" si="271">(AD263-AD269)/AD276</f>
        <v>10.299520766773163</v>
      </c>
      <c r="AE256" s="293">
        <f t="shared" si="271"/>
        <v>11.442324755989352</v>
      </c>
      <c r="AG256" s="293">
        <f t="shared" ref="AG256:AH261" si="272">(AG263-AG269)/AG276</f>
        <v>10.235215946843853</v>
      </c>
      <c r="AH256" s="293">
        <f t="shared" si="272"/>
        <v>9.9332653061224487</v>
      </c>
      <c r="AJ256" s="293">
        <f t="shared" ref="AJ256:AK261" si="273">(AJ263-AJ269)/AJ276</f>
        <v>11.030573248407643</v>
      </c>
      <c r="AK256" s="293">
        <f t="shared" si="273"/>
        <v>11.768943255181787</v>
      </c>
      <c r="AM256" s="293">
        <f t="shared" ref="AM256:AN261" si="274">(AM263-AM269)/AM276</f>
        <v>8.4920837589376923</v>
      </c>
      <c r="AN256" s="293">
        <f t="shared" si="274"/>
        <v>8.7567177625386581</v>
      </c>
      <c r="AP256" s="293">
        <f t="shared" ref="AP256:AQ261" si="275">(AP263-AP269)/AP276</f>
        <v>16.708454810495628</v>
      </c>
      <c r="AQ256" s="293">
        <f t="shared" si="275"/>
        <v>18.327269890795634</v>
      </c>
      <c r="AS256" s="293">
        <f t="shared" ref="AS256:AT261" si="276">(AS263-AS269)/AS276</f>
        <v>8.6931266846361179</v>
      </c>
      <c r="AT256" s="293">
        <f t="shared" si="276"/>
        <v>9.6375966363759655</v>
      </c>
      <c r="AV256" s="293">
        <f t="shared" ref="AV256:AW261" si="277">(AV263-AV269)/AV276</f>
        <v>9.0262390670553945</v>
      </c>
      <c r="AW256" s="293">
        <f t="shared" si="277"/>
        <v>9.8413890192397933</v>
      </c>
      <c r="AY256" s="293">
        <f t="shared" ref="AY256:AZ261" si="278">(AY263-AY269)/AY276</f>
        <v>16.633891874802401</v>
      </c>
      <c r="AZ256" s="293">
        <f t="shared" si="278"/>
        <v>17.846859083191852</v>
      </c>
      <c r="BB256" s="293">
        <f t="shared" ref="BB256:BC261" si="279">(BB263-BB269)/BB276</f>
        <v>8.4982031397768107</v>
      </c>
      <c r="BC256" s="293">
        <f t="shared" si="279"/>
        <v>8.6989351403678601</v>
      </c>
      <c r="BE256" s="293">
        <f t="shared" ref="BE256:BF261" si="280">(BE263-BE269)/BE276</f>
        <v>10.815900452959859</v>
      </c>
      <c r="BF256" s="293">
        <f t="shared" si="280"/>
        <v>10.919814061592097</v>
      </c>
      <c r="BH256" s="293">
        <f t="shared" ref="BH256:BI261" si="281">(BH263-BH269)/BH276</f>
        <v>6.1784029415845705</v>
      </c>
      <c r="BI256" s="293">
        <f t="shared" si="281"/>
        <v>6.2524733833145048</v>
      </c>
      <c r="BK256" s="293">
        <f t="shared" ref="BK256:BL261" si="282">(BK263-BK269)/BK276</f>
        <v>18.088317107093186</v>
      </c>
      <c r="BL256" s="293">
        <f t="shared" si="282"/>
        <v>19.93944039862016</v>
      </c>
      <c r="BN256" s="293">
        <f t="shared" ref="BN256:BO261" si="283">(BN263-BN269)/BN276</f>
        <v>10.285296269202634</v>
      </c>
      <c r="BO256" s="293">
        <f t="shared" si="283"/>
        <v>10.920388349514564</v>
      </c>
      <c r="BQ256" s="293">
        <f t="shared" ref="BQ256:BR261" si="284">(BQ263-BQ269)/BQ276</f>
        <v>13.411024414799899</v>
      </c>
      <c r="BR256" s="293">
        <f t="shared" si="284"/>
        <v>15.647030625832222</v>
      </c>
      <c r="BT256" s="293">
        <f t="shared" ref="BT256:BU261" si="285">(BT263-BT269)/BT276</f>
        <v>9.1124970016790598</v>
      </c>
      <c r="BU256" s="293">
        <f t="shared" si="285"/>
        <v>9.3663708086785018</v>
      </c>
      <c r="BW256" s="293">
        <f t="shared" ref="BW256:BX261" si="286">(BW263-BW269)/BW276</f>
        <v>10.882764654418198</v>
      </c>
      <c r="BX256" s="293">
        <f t="shared" si="286"/>
        <v>12.435594795539034</v>
      </c>
      <c r="BZ256" s="293">
        <f t="shared" ref="BZ256:CA261" si="287">(BZ263-BZ269)/BZ276</f>
        <v>15.591111111111111</v>
      </c>
      <c r="CA256" s="293">
        <f t="shared" si="287"/>
        <v>19.269957761351638</v>
      </c>
      <c r="CC256" s="293">
        <f t="shared" ref="CC256:CD261" si="288">(CC263-CC269)/CC276</f>
        <v>14.651066758430833</v>
      </c>
      <c r="CD256" s="293">
        <f t="shared" si="288"/>
        <v>15.538686131386861</v>
      </c>
      <c r="CF256" s="293" t="e">
        <f t="shared" ref="CF256:CG261" si="289">(CF263-CF269)/CF276</f>
        <v>#DIV/0!</v>
      </c>
      <c r="CG256" s="293" t="e">
        <f t="shared" si="289"/>
        <v>#DIV/0!</v>
      </c>
      <c r="CI256" s="293" t="e">
        <f t="shared" ref="CI256:CJ261" si="290">(CI263-CI269)/CI276</f>
        <v>#DIV/0!</v>
      </c>
      <c r="CJ256" s="293" t="e">
        <f t="shared" si="290"/>
        <v>#DIV/0!</v>
      </c>
    </row>
    <row r="257" spans="1:88" x14ac:dyDescent="0.25">
      <c r="A257" s="362"/>
      <c r="B257" s="91" t="s">
        <v>1183</v>
      </c>
      <c r="C257" s="101"/>
      <c r="D257" s="101"/>
      <c r="E257" s="293" t="e">
        <f t="shared" si="266"/>
        <v>#DIV/0!</v>
      </c>
      <c r="F257" s="293">
        <v>10</v>
      </c>
      <c r="G257" s="293">
        <v>9.2200000000000006</v>
      </c>
      <c r="H257" s="293">
        <f t="shared" si="267"/>
        <v>10.015639158662303</v>
      </c>
      <c r="I257" s="293">
        <f t="shared" si="267"/>
        <v>9.7540341386064728</v>
      </c>
      <c r="J257" s="293">
        <f t="shared" si="267"/>
        <v>9.4169430178527751</v>
      </c>
      <c r="K257" s="293">
        <f t="shared" si="267"/>
        <v>9.6511540029633167</v>
      </c>
      <c r="L257" s="293">
        <f t="shared" si="267"/>
        <v>9.2156456173421297</v>
      </c>
      <c r="M257" s="293">
        <f t="shared" si="267"/>
        <v>11.634538152610443</v>
      </c>
      <c r="N257" s="293">
        <f t="shared" si="267"/>
        <v>12.621420996818664</v>
      </c>
      <c r="O257" s="281"/>
      <c r="P257" s="293">
        <f t="shared" ref="P257:R258" si="291">(P264-P270)/P277</f>
        <v>9.5864876106720533</v>
      </c>
      <c r="Q257" s="293">
        <f t="shared" si="291"/>
        <v>10.074829036331051</v>
      </c>
      <c r="R257" s="293">
        <f>(R264-R270)/R277</f>
        <v>10.958677685950413</v>
      </c>
      <c r="S257" s="293">
        <f>(S264-S270)/S277</f>
        <v>11.830483271375465</v>
      </c>
      <c r="U257" s="293">
        <f t="shared" si="268"/>
        <v>10.504132231404959</v>
      </c>
      <c r="V257" s="293">
        <f t="shared" si="268"/>
        <v>10.887305699481866</v>
      </c>
      <c r="X257" s="293">
        <f t="shared" si="269"/>
        <v>14.670830271858927</v>
      </c>
      <c r="Y257" s="293">
        <f t="shared" si="269"/>
        <v>18.682462977396725</v>
      </c>
      <c r="AA257" s="293">
        <f t="shared" si="270"/>
        <v>9.4253112033195023</v>
      </c>
      <c r="AB257" s="293">
        <f t="shared" si="270"/>
        <v>10.46774193548387</v>
      </c>
      <c r="AD257" s="293">
        <f t="shared" si="271"/>
        <v>9.162377994676131</v>
      </c>
      <c r="AE257" s="293">
        <f t="shared" si="271"/>
        <v>10.204051383399209</v>
      </c>
      <c r="AG257" s="293">
        <f t="shared" si="272"/>
        <v>9.0453283996299714</v>
      </c>
      <c r="AH257" s="293">
        <f t="shared" si="272"/>
        <v>9.2950047125353432</v>
      </c>
      <c r="AJ257" s="293">
        <f t="shared" si="273"/>
        <v>11.188458972648432</v>
      </c>
      <c r="AK257" s="293">
        <f t="shared" si="273"/>
        <v>11.920042643923241</v>
      </c>
      <c r="AM257" s="293">
        <f t="shared" si="274"/>
        <v>7.7055846737755287</v>
      </c>
      <c r="AN257" s="293">
        <f t="shared" si="274"/>
        <v>8.4743324891461658</v>
      </c>
      <c r="AP257" s="293" t="e">
        <f t="shared" si="275"/>
        <v>#DIV/0!</v>
      </c>
      <c r="AQ257" s="293" t="e">
        <f t="shared" si="275"/>
        <v>#DIV/0!</v>
      </c>
      <c r="AS257" s="293">
        <f t="shared" si="276"/>
        <v>8.6931266846361179</v>
      </c>
      <c r="AT257" s="293">
        <f t="shared" si="276"/>
        <v>9.6375966363759655</v>
      </c>
      <c r="AV257" s="293">
        <f t="shared" si="277"/>
        <v>9.0262390670553945</v>
      </c>
      <c r="AW257" s="293">
        <f t="shared" si="277"/>
        <v>9.8413890192397933</v>
      </c>
      <c r="AY257" s="293">
        <f t="shared" si="278"/>
        <v>16.633891874802401</v>
      </c>
      <c r="AZ257" s="293">
        <f t="shared" si="278"/>
        <v>17.846859083191852</v>
      </c>
      <c r="BB257" s="293">
        <f t="shared" si="279"/>
        <v>8.4982031397768107</v>
      </c>
      <c r="BC257" s="293">
        <f t="shared" si="279"/>
        <v>8.6989351403678601</v>
      </c>
      <c r="BE257" s="293">
        <f t="shared" si="280"/>
        <v>10.815900452959859</v>
      </c>
      <c r="BF257" s="293">
        <f t="shared" si="280"/>
        <v>10.919814061592097</v>
      </c>
      <c r="BH257" s="293">
        <f t="shared" si="281"/>
        <v>6.1784029415845705</v>
      </c>
      <c r="BI257" s="293">
        <f t="shared" si="281"/>
        <v>6.2524733833145048</v>
      </c>
      <c r="BK257" s="293">
        <f t="shared" si="282"/>
        <v>18.088317107093186</v>
      </c>
      <c r="BL257" s="293">
        <f t="shared" si="282"/>
        <v>19.93944039862016</v>
      </c>
      <c r="BN257" s="293">
        <f t="shared" si="283"/>
        <v>10.285296269202634</v>
      </c>
      <c r="BO257" s="293">
        <f t="shared" si="283"/>
        <v>10.920388349514564</v>
      </c>
      <c r="BQ257" s="293">
        <f t="shared" si="284"/>
        <v>13.411024414799899</v>
      </c>
      <c r="BR257" s="293">
        <f t="shared" si="284"/>
        <v>15.647030625832222</v>
      </c>
      <c r="BT257" s="293">
        <f t="shared" si="285"/>
        <v>9.1124970016790598</v>
      </c>
      <c r="BU257" s="293">
        <f t="shared" si="285"/>
        <v>9.3663708086785018</v>
      </c>
      <c r="BW257" s="293">
        <f t="shared" si="286"/>
        <v>10.882764654418198</v>
      </c>
      <c r="BX257" s="293">
        <f t="shared" si="286"/>
        <v>12.435594795539034</v>
      </c>
      <c r="BZ257" s="293">
        <f t="shared" si="287"/>
        <v>15.591111111111111</v>
      </c>
      <c r="CA257" s="293">
        <f t="shared" si="287"/>
        <v>19.269957761351638</v>
      </c>
      <c r="CC257" s="293">
        <f t="shared" si="288"/>
        <v>14.651066758430833</v>
      </c>
      <c r="CD257" s="293">
        <f t="shared" si="288"/>
        <v>15.538686131386861</v>
      </c>
      <c r="CF257" s="293" t="e">
        <f t="shared" si="289"/>
        <v>#DIV/0!</v>
      </c>
      <c r="CG257" s="293" t="e">
        <f t="shared" si="289"/>
        <v>#DIV/0!</v>
      </c>
      <c r="CI257" s="293" t="e">
        <f t="shared" si="290"/>
        <v>#DIV/0!</v>
      </c>
      <c r="CJ257" s="293" t="e">
        <f t="shared" si="290"/>
        <v>#DIV/0!</v>
      </c>
    </row>
    <row r="258" spans="1:88" x14ac:dyDescent="0.25">
      <c r="A258" s="362"/>
      <c r="B258" s="91" t="s">
        <v>1185</v>
      </c>
      <c r="C258" s="101"/>
      <c r="D258" s="101"/>
      <c r="E258" s="293" t="e">
        <f t="shared" si="266"/>
        <v>#DIV/0!</v>
      </c>
      <c r="F258" s="293">
        <v>12.11</v>
      </c>
      <c r="G258" s="293">
        <v>8.64</v>
      </c>
      <c r="H258" s="293">
        <f t="shared" si="267"/>
        <v>11.765255821859595</v>
      </c>
      <c r="I258" s="293">
        <f t="shared" si="267"/>
        <v>11.963119816481383</v>
      </c>
      <c r="J258" s="293">
        <f t="shared" si="267"/>
        <v>12.717759365994237</v>
      </c>
      <c r="K258" s="293">
        <f t="shared" si="267"/>
        <v>11.311931160019858</v>
      </c>
      <c r="L258" s="293">
        <f t="shared" si="267"/>
        <v>6.2449275362318835</v>
      </c>
      <c r="M258" s="293">
        <f t="shared" si="267"/>
        <v>8.3785714285714281</v>
      </c>
      <c r="N258" s="293">
        <f t="shared" si="267"/>
        <v>8.7531065088757405</v>
      </c>
      <c r="O258" s="281"/>
      <c r="P258" s="293">
        <f>(P265-P271)/P278</f>
        <v>13.178353110391946</v>
      </c>
      <c r="Q258" s="293">
        <f t="shared" si="291"/>
        <v>13.537447927199192</v>
      </c>
      <c r="R258" s="293">
        <f t="shared" si="291"/>
        <v>12.06530612244898</v>
      </c>
      <c r="S258" s="293">
        <f>(S265-S271)/S278</f>
        <v>12.852173913043478</v>
      </c>
      <c r="U258" s="293">
        <f t="shared" si="268"/>
        <v>14.2064</v>
      </c>
      <c r="V258" s="293">
        <f t="shared" si="268"/>
        <v>16.71590909090909</v>
      </c>
      <c r="X258" s="293">
        <f t="shared" si="269"/>
        <v>25.090579710144926</v>
      </c>
      <c r="Y258" s="293">
        <f t="shared" si="269"/>
        <v>25.649629629629629</v>
      </c>
      <c r="AA258" s="293">
        <f t="shared" si="270"/>
        <v>13.395945945945947</v>
      </c>
      <c r="AB258" s="293">
        <f t="shared" si="270"/>
        <v>13.736694677871148</v>
      </c>
      <c r="AD258" s="293">
        <f t="shared" si="271"/>
        <v>20.552</v>
      </c>
      <c r="AE258" s="293">
        <f t="shared" si="271"/>
        <v>22.339130434782607</v>
      </c>
      <c r="AG258" s="293">
        <f t="shared" si="272"/>
        <v>13.268867924528301</v>
      </c>
      <c r="AH258" s="293">
        <f t="shared" si="272"/>
        <v>11.588997555012224</v>
      </c>
      <c r="AJ258" s="293">
        <f t="shared" si="273"/>
        <v>7.697183098591549</v>
      </c>
      <c r="AK258" s="293">
        <f t="shared" si="273"/>
        <v>8.4728682170542644</v>
      </c>
      <c r="AM258" s="293">
        <f t="shared" si="274"/>
        <v>10.384949978251413</v>
      </c>
      <c r="AN258" s="293">
        <f t="shared" si="274"/>
        <v>9.5744368779465674</v>
      </c>
      <c r="AP258" s="293">
        <f t="shared" si="275"/>
        <v>16.708454810495628</v>
      </c>
      <c r="AQ258" s="293">
        <f t="shared" si="275"/>
        <v>18.327269890795634</v>
      </c>
      <c r="AS258" s="293" t="e">
        <f t="shared" si="276"/>
        <v>#DIV/0!</v>
      </c>
      <c r="AT258" s="293" t="e">
        <f t="shared" si="276"/>
        <v>#DIV/0!</v>
      </c>
      <c r="AV258" s="293" t="e">
        <f t="shared" si="277"/>
        <v>#DIV/0!</v>
      </c>
      <c r="AW258" s="293" t="e">
        <f t="shared" si="277"/>
        <v>#DIV/0!</v>
      </c>
      <c r="AY258" s="293" t="e">
        <f t="shared" si="278"/>
        <v>#DIV/0!</v>
      </c>
      <c r="AZ258" s="293" t="e">
        <f t="shared" si="278"/>
        <v>#DIV/0!</v>
      </c>
      <c r="BB258" s="293" t="e">
        <f t="shared" si="279"/>
        <v>#DIV/0!</v>
      </c>
      <c r="BC258" s="293" t="e">
        <f t="shared" si="279"/>
        <v>#DIV/0!</v>
      </c>
      <c r="BE258" s="293" t="e">
        <f t="shared" si="280"/>
        <v>#DIV/0!</v>
      </c>
      <c r="BF258" s="293" t="e">
        <f t="shared" si="280"/>
        <v>#DIV/0!</v>
      </c>
      <c r="BH258" s="293" t="e">
        <f t="shared" si="281"/>
        <v>#DIV/0!</v>
      </c>
      <c r="BI258" s="293" t="e">
        <f t="shared" si="281"/>
        <v>#DIV/0!</v>
      </c>
      <c r="BK258" s="293" t="e">
        <f t="shared" si="282"/>
        <v>#DIV/0!</v>
      </c>
      <c r="BL258" s="293" t="e">
        <f t="shared" si="282"/>
        <v>#DIV/0!</v>
      </c>
      <c r="BN258" s="293" t="e">
        <f t="shared" si="283"/>
        <v>#DIV/0!</v>
      </c>
      <c r="BO258" s="293" t="e">
        <f t="shared" si="283"/>
        <v>#DIV/0!</v>
      </c>
      <c r="BQ258" s="293" t="e">
        <f t="shared" si="284"/>
        <v>#DIV/0!</v>
      </c>
      <c r="BR258" s="293" t="e">
        <f t="shared" si="284"/>
        <v>#DIV/0!</v>
      </c>
      <c r="BT258" s="293" t="e">
        <f t="shared" si="285"/>
        <v>#DIV/0!</v>
      </c>
      <c r="BU258" s="293" t="e">
        <f t="shared" si="285"/>
        <v>#DIV/0!</v>
      </c>
      <c r="BW258" s="293" t="e">
        <f t="shared" si="286"/>
        <v>#DIV/0!</v>
      </c>
      <c r="BX258" s="293" t="e">
        <f t="shared" si="286"/>
        <v>#DIV/0!</v>
      </c>
      <c r="BZ258" s="293" t="e">
        <f t="shared" si="287"/>
        <v>#DIV/0!</v>
      </c>
      <c r="CA258" s="293" t="e">
        <f t="shared" si="287"/>
        <v>#DIV/0!</v>
      </c>
      <c r="CC258" s="293" t="e">
        <f t="shared" si="288"/>
        <v>#DIV/0!</v>
      </c>
      <c r="CD258" s="293" t="e">
        <f t="shared" si="288"/>
        <v>#DIV/0!</v>
      </c>
      <c r="CF258" s="293" t="e">
        <f t="shared" si="289"/>
        <v>#DIV/0!</v>
      </c>
      <c r="CG258" s="293" t="e">
        <f t="shared" si="289"/>
        <v>#DIV/0!</v>
      </c>
      <c r="CI258" s="293" t="e">
        <f t="shared" si="290"/>
        <v>#DIV/0!</v>
      </c>
      <c r="CJ258" s="293" t="e">
        <f t="shared" si="290"/>
        <v>#DIV/0!</v>
      </c>
    </row>
    <row r="259" spans="1:88" x14ac:dyDescent="0.25">
      <c r="A259" s="362"/>
      <c r="B259" s="16" t="s">
        <v>1184</v>
      </c>
      <c r="C259" s="101"/>
      <c r="D259" s="101"/>
      <c r="E259" s="293" t="e">
        <f t="shared" si="266"/>
        <v>#DIV/0!</v>
      </c>
      <c r="F259" s="293">
        <v>5.84</v>
      </c>
      <c r="G259" s="293">
        <f>(G266-G272)/G279</f>
        <v>7.1190476190476186</v>
      </c>
      <c r="H259" s="293">
        <f t="shared" si="267"/>
        <v>3.4591836734693877</v>
      </c>
      <c r="I259" s="293">
        <f t="shared" si="267"/>
        <v>4.2522935779816518</v>
      </c>
      <c r="J259" s="293">
        <f t="shared" si="267"/>
        <v>7.5309033280507132</v>
      </c>
      <c r="K259" s="293">
        <f t="shared" si="267"/>
        <v>6.8401400233372227</v>
      </c>
      <c r="L259" s="293">
        <f>(L266-L272)/L279</f>
        <v>9.379999999999999</v>
      </c>
      <c r="M259" s="293">
        <f t="shared" si="267"/>
        <v>8.5272727272727273</v>
      </c>
      <c r="N259" s="293">
        <f t="shared" si="267"/>
        <v>7.8166666666666664</v>
      </c>
      <c r="O259" s="281"/>
      <c r="P259" s="293">
        <f>(P266-P272)/P279</f>
        <v>6.8401400233372227</v>
      </c>
      <c r="Q259" s="293">
        <f>(Q266-Q272)/Q279</f>
        <v>10.137636761487965</v>
      </c>
      <c r="R259" s="293" t="e">
        <f>(R266-R272)/R279</f>
        <v>#DIV/0!</v>
      </c>
      <c r="S259" s="293" t="e">
        <f>(S266-S272)/S279</f>
        <v>#DIV/0!</v>
      </c>
      <c r="U259" s="293" t="e">
        <f t="shared" si="268"/>
        <v>#DIV/0!</v>
      </c>
      <c r="V259" s="293" t="e">
        <f t="shared" si="268"/>
        <v>#DIV/0!</v>
      </c>
      <c r="X259" s="293" t="e">
        <f t="shared" si="269"/>
        <v>#DIV/0!</v>
      </c>
      <c r="Y259" s="293" t="e">
        <f t="shared" si="269"/>
        <v>#DIV/0!</v>
      </c>
      <c r="AA259" s="293" t="e">
        <f t="shared" si="270"/>
        <v>#DIV/0!</v>
      </c>
      <c r="AB259" s="293" t="e">
        <f t="shared" si="270"/>
        <v>#DIV/0!</v>
      </c>
      <c r="AD259" s="293" t="e">
        <f t="shared" si="271"/>
        <v>#DIV/0!</v>
      </c>
      <c r="AE259" s="293" t="e">
        <f t="shared" si="271"/>
        <v>#DIV/0!</v>
      </c>
      <c r="AG259" s="293">
        <f t="shared" si="272"/>
        <v>8.545454545454545</v>
      </c>
      <c r="AH259" s="293">
        <f t="shared" si="272"/>
        <v>9.379999999999999</v>
      </c>
      <c r="AJ259" s="293" t="e">
        <f t="shared" si="273"/>
        <v>#DIV/0!</v>
      </c>
      <c r="AK259" s="293" t="e">
        <f t="shared" si="273"/>
        <v>#DIV/0!</v>
      </c>
      <c r="AM259" s="293" t="e">
        <f t="shared" si="274"/>
        <v>#DIV/0!</v>
      </c>
      <c r="AN259" s="293" t="e">
        <f t="shared" si="274"/>
        <v>#DIV/0!</v>
      </c>
      <c r="AP259" s="293" t="e">
        <f t="shared" si="275"/>
        <v>#DIV/0!</v>
      </c>
      <c r="AQ259" s="293" t="e">
        <f t="shared" si="275"/>
        <v>#DIV/0!</v>
      </c>
      <c r="AS259" s="293">
        <f t="shared" si="276"/>
        <v>8.3261538461538454</v>
      </c>
      <c r="AT259" s="293">
        <f t="shared" si="276"/>
        <v>7.454820936639118</v>
      </c>
      <c r="AV259" s="293" t="e">
        <f t="shared" si="277"/>
        <v>#DIV/0!</v>
      </c>
      <c r="AW259" s="293" t="e">
        <f t="shared" si="277"/>
        <v>#DIV/0!</v>
      </c>
      <c r="AY259" s="293">
        <f t="shared" si="278"/>
        <v>4.3968253968253972</v>
      </c>
      <c r="AZ259" s="293" t="e">
        <f t="shared" si="278"/>
        <v>#DIV/0!</v>
      </c>
      <c r="BB259" s="293">
        <f t="shared" si="279"/>
        <v>3.2355371900826446</v>
      </c>
      <c r="BC259" s="293" t="e">
        <f t="shared" si="279"/>
        <v>#DIV/0!</v>
      </c>
      <c r="BE259" s="293">
        <f t="shared" si="280"/>
        <v>4.6944444444444446</v>
      </c>
      <c r="BF259" s="293" t="e">
        <f t="shared" si="280"/>
        <v>#DIV/0!</v>
      </c>
      <c r="BH259" s="293">
        <f t="shared" si="281"/>
        <v>10.183333333333334</v>
      </c>
      <c r="BI259" s="293">
        <f t="shared" si="281"/>
        <v>21.821428571428573</v>
      </c>
      <c r="BK259" s="293" t="e">
        <f t="shared" si="282"/>
        <v>#DIV/0!</v>
      </c>
      <c r="BL259" s="293" t="e">
        <f t="shared" si="282"/>
        <v>#DIV/0!</v>
      </c>
      <c r="BN259" s="293" t="e">
        <f t="shared" si="283"/>
        <v>#DIV/0!</v>
      </c>
      <c r="BO259" s="293" t="e">
        <f t="shared" si="283"/>
        <v>#DIV/0!</v>
      </c>
      <c r="BQ259" s="293" t="e">
        <f t="shared" si="284"/>
        <v>#DIV/0!</v>
      </c>
      <c r="BR259" s="293" t="e">
        <f t="shared" si="284"/>
        <v>#DIV/0!</v>
      </c>
      <c r="BT259" s="293" t="e">
        <f t="shared" si="285"/>
        <v>#DIV/0!</v>
      </c>
      <c r="BU259" s="293" t="e">
        <f t="shared" si="285"/>
        <v>#DIV/0!</v>
      </c>
      <c r="BW259" s="293" t="e">
        <f t="shared" si="286"/>
        <v>#DIV/0!</v>
      </c>
      <c r="BX259" s="293" t="e">
        <f t="shared" si="286"/>
        <v>#DIV/0!</v>
      </c>
      <c r="BZ259" s="293" t="e">
        <f t="shared" si="287"/>
        <v>#DIV/0!</v>
      </c>
      <c r="CA259" s="293" t="e">
        <f t="shared" si="287"/>
        <v>#DIV/0!</v>
      </c>
      <c r="CC259" s="293" t="e">
        <f t="shared" si="288"/>
        <v>#DIV/0!</v>
      </c>
      <c r="CD259" s="293" t="e">
        <f t="shared" si="288"/>
        <v>#DIV/0!</v>
      </c>
      <c r="CF259" s="293" t="e">
        <f t="shared" si="289"/>
        <v>#DIV/0!</v>
      </c>
      <c r="CG259" s="293" t="e">
        <f t="shared" si="289"/>
        <v>#DIV/0!</v>
      </c>
      <c r="CI259" s="293" t="e">
        <f t="shared" si="290"/>
        <v>#DIV/0!</v>
      </c>
      <c r="CJ259" s="293" t="e">
        <f t="shared" si="290"/>
        <v>#DIV/0!</v>
      </c>
    </row>
    <row r="260" spans="1:88" x14ac:dyDescent="0.25">
      <c r="A260" s="362"/>
      <c r="B260" s="91" t="s">
        <v>1183</v>
      </c>
      <c r="C260" s="101"/>
      <c r="D260" s="101"/>
      <c r="E260" s="293" t="e">
        <f t="shared" si="266"/>
        <v>#DIV/0!</v>
      </c>
      <c r="F260" s="293">
        <v>5.84</v>
      </c>
      <c r="G260" s="293">
        <f>(G267-G273)/G280</f>
        <v>7.1190476190476186</v>
      </c>
      <c r="H260" s="293">
        <f t="shared" si="267"/>
        <v>3.4591836734693877</v>
      </c>
      <c r="I260" s="293">
        <f t="shared" si="267"/>
        <v>4.2522935779816518</v>
      </c>
      <c r="J260" s="293">
        <f t="shared" si="267"/>
        <v>7.5309033280507132</v>
      </c>
      <c r="K260" s="293">
        <f t="shared" si="267"/>
        <v>6.8401400233372227</v>
      </c>
      <c r="L260" s="293">
        <f>(L267-L273)/L280</f>
        <v>9.379999999999999</v>
      </c>
      <c r="M260" s="293">
        <f t="shared" si="267"/>
        <v>8.5272727272727273</v>
      </c>
      <c r="N260" s="293">
        <f t="shared" si="267"/>
        <v>7.8166666666666664</v>
      </c>
      <c r="O260" s="281"/>
      <c r="P260" s="293">
        <f t="shared" ref="P260:R261" si="292">(P267-P273)/P280</f>
        <v>6.8401400233372227</v>
      </c>
      <c r="Q260" s="293">
        <f t="shared" si="292"/>
        <v>10.137636761487965</v>
      </c>
      <c r="R260" s="293" t="e">
        <f>(R267-R273)/R280</f>
        <v>#DIV/0!</v>
      </c>
      <c r="S260" s="293" t="e">
        <f>(S267-S273)/S280</f>
        <v>#DIV/0!</v>
      </c>
      <c r="U260" s="293" t="e">
        <f t="shared" si="268"/>
        <v>#DIV/0!</v>
      </c>
      <c r="V260" s="293" t="e">
        <f t="shared" si="268"/>
        <v>#DIV/0!</v>
      </c>
      <c r="X260" s="293" t="e">
        <f t="shared" si="269"/>
        <v>#DIV/0!</v>
      </c>
      <c r="Y260" s="293" t="e">
        <f t="shared" si="269"/>
        <v>#DIV/0!</v>
      </c>
      <c r="AA260" s="293" t="e">
        <f t="shared" si="270"/>
        <v>#DIV/0!</v>
      </c>
      <c r="AB260" s="293" t="e">
        <f t="shared" si="270"/>
        <v>#DIV/0!</v>
      </c>
      <c r="AD260" s="293" t="e">
        <f t="shared" si="271"/>
        <v>#DIV/0!</v>
      </c>
      <c r="AE260" s="293" t="e">
        <f t="shared" si="271"/>
        <v>#DIV/0!</v>
      </c>
      <c r="AG260" s="293">
        <f t="shared" si="272"/>
        <v>8.545454545454545</v>
      </c>
      <c r="AH260" s="293">
        <f t="shared" si="272"/>
        <v>9.379999999999999</v>
      </c>
      <c r="AJ260" s="293" t="e">
        <f t="shared" si="273"/>
        <v>#DIV/0!</v>
      </c>
      <c r="AK260" s="293" t="e">
        <f t="shared" si="273"/>
        <v>#DIV/0!</v>
      </c>
      <c r="AM260" s="293" t="e">
        <f t="shared" si="274"/>
        <v>#DIV/0!</v>
      </c>
      <c r="AN260" s="293" t="e">
        <f t="shared" si="274"/>
        <v>#DIV/0!</v>
      </c>
      <c r="AP260" s="293" t="e">
        <f t="shared" si="275"/>
        <v>#DIV/0!</v>
      </c>
      <c r="AQ260" s="293" t="e">
        <f t="shared" si="275"/>
        <v>#DIV/0!</v>
      </c>
      <c r="AS260" s="293">
        <f t="shared" si="276"/>
        <v>8.3261538461538454</v>
      </c>
      <c r="AT260" s="293">
        <f t="shared" si="276"/>
        <v>7.454820936639118</v>
      </c>
      <c r="AV260" s="293" t="e">
        <f t="shared" si="277"/>
        <v>#DIV/0!</v>
      </c>
      <c r="AW260" s="293" t="e">
        <f t="shared" si="277"/>
        <v>#DIV/0!</v>
      </c>
      <c r="AY260" s="293">
        <f t="shared" si="278"/>
        <v>4.3968253968253972</v>
      </c>
      <c r="AZ260" s="293" t="e">
        <f t="shared" si="278"/>
        <v>#DIV/0!</v>
      </c>
      <c r="BB260" s="293">
        <f t="shared" si="279"/>
        <v>3.2355371900826446</v>
      </c>
      <c r="BC260" s="293" t="e">
        <f t="shared" si="279"/>
        <v>#DIV/0!</v>
      </c>
      <c r="BE260" s="293">
        <f t="shared" si="280"/>
        <v>4.6944444444444446</v>
      </c>
      <c r="BF260" s="293" t="e">
        <f t="shared" si="280"/>
        <v>#DIV/0!</v>
      </c>
      <c r="BH260" s="293">
        <f t="shared" si="281"/>
        <v>10.183333333333334</v>
      </c>
      <c r="BI260" s="293">
        <f t="shared" si="281"/>
        <v>21.821428571428573</v>
      </c>
      <c r="BK260" s="293" t="e">
        <f t="shared" si="282"/>
        <v>#DIV/0!</v>
      </c>
      <c r="BL260" s="293" t="e">
        <f t="shared" si="282"/>
        <v>#DIV/0!</v>
      </c>
      <c r="BN260" s="293" t="e">
        <f t="shared" si="283"/>
        <v>#DIV/0!</v>
      </c>
      <c r="BO260" s="293" t="e">
        <f t="shared" si="283"/>
        <v>#DIV/0!</v>
      </c>
      <c r="BQ260" s="293" t="e">
        <f t="shared" si="284"/>
        <v>#DIV/0!</v>
      </c>
      <c r="BR260" s="293" t="e">
        <f t="shared" si="284"/>
        <v>#DIV/0!</v>
      </c>
      <c r="BT260" s="293" t="e">
        <f t="shared" si="285"/>
        <v>#DIV/0!</v>
      </c>
      <c r="BU260" s="293" t="e">
        <f t="shared" si="285"/>
        <v>#DIV/0!</v>
      </c>
      <c r="BW260" s="293" t="e">
        <f t="shared" si="286"/>
        <v>#DIV/0!</v>
      </c>
      <c r="BX260" s="293" t="e">
        <f t="shared" si="286"/>
        <v>#DIV/0!</v>
      </c>
      <c r="BZ260" s="293" t="e">
        <f t="shared" si="287"/>
        <v>#DIV/0!</v>
      </c>
      <c r="CA260" s="293" t="e">
        <f t="shared" si="287"/>
        <v>#DIV/0!</v>
      </c>
      <c r="CC260" s="293" t="e">
        <f t="shared" si="288"/>
        <v>#DIV/0!</v>
      </c>
      <c r="CD260" s="293" t="e">
        <f t="shared" si="288"/>
        <v>#DIV/0!</v>
      </c>
      <c r="CF260" s="293" t="e">
        <f t="shared" si="289"/>
        <v>#DIV/0!</v>
      </c>
      <c r="CG260" s="293" t="e">
        <f t="shared" si="289"/>
        <v>#DIV/0!</v>
      </c>
      <c r="CI260" s="293" t="e">
        <f t="shared" si="290"/>
        <v>#DIV/0!</v>
      </c>
      <c r="CJ260" s="293" t="e">
        <f t="shared" si="290"/>
        <v>#DIV/0!</v>
      </c>
    </row>
    <row r="261" spans="1:88" x14ac:dyDescent="0.25">
      <c r="A261" s="362"/>
      <c r="B261" s="91" t="s">
        <v>1185</v>
      </c>
      <c r="C261" s="101"/>
      <c r="D261" s="101"/>
      <c r="E261" s="293" t="e">
        <f t="shared" si="266"/>
        <v>#DIV/0!</v>
      </c>
      <c r="F261" s="293" t="e">
        <f>(F268-F274)/F281</f>
        <v>#DIV/0!</v>
      </c>
      <c r="G261" s="293" t="e">
        <f>(G268-G274)/G281</f>
        <v>#DIV/0!</v>
      </c>
      <c r="H261" s="293" t="e">
        <f t="shared" si="267"/>
        <v>#DIV/0!</v>
      </c>
      <c r="I261" s="293" t="e">
        <f t="shared" si="267"/>
        <v>#DIV/0!</v>
      </c>
      <c r="J261" s="293" t="e">
        <f t="shared" si="267"/>
        <v>#DIV/0!</v>
      </c>
      <c r="K261" s="293" t="e">
        <f t="shared" si="267"/>
        <v>#DIV/0!</v>
      </c>
      <c r="L261" s="293" t="e">
        <f t="shared" si="267"/>
        <v>#DIV/0!</v>
      </c>
      <c r="M261" s="293" t="e">
        <f t="shared" si="267"/>
        <v>#DIV/0!</v>
      </c>
      <c r="N261" s="293" t="e">
        <f t="shared" si="267"/>
        <v>#DIV/0!</v>
      </c>
      <c r="O261" s="281"/>
      <c r="P261" s="293" t="e">
        <f>(P268-P274)/P281</f>
        <v>#DIV/0!</v>
      </c>
      <c r="Q261" s="293" t="e">
        <f t="shared" si="292"/>
        <v>#DIV/0!</v>
      </c>
      <c r="R261" s="293" t="e">
        <f t="shared" si="292"/>
        <v>#DIV/0!</v>
      </c>
      <c r="S261" s="293" t="e">
        <f>(S268-S274)/S281</f>
        <v>#DIV/0!</v>
      </c>
      <c r="U261" s="293" t="e">
        <f t="shared" si="268"/>
        <v>#DIV/0!</v>
      </c>
      <c r="V261" s="293" t="e">
        <f t="shared" si="268"/>
        <v>#DIV/0!</v>
      </c>
      <c r="X261" s="293" t="e">
        <f t="shared" si="269"/>
        <v>#DIV/0!</v>
      </c>
      <c r="Y261" s="293" t="e">
        <f t="shared" si="269"/>
        <v>#DIV/0!</v>
      </c>
      <c r="AA261" s="293" t="e">
        <f t="shared" si="270"/>
        <v>#DIV/0!</v>
      </c>
      <c r="AB261" s="293" t="e">
        <f t="shared" si="270"/>
        <v>#DIV/0!</v>
      </c>
      <c r="AD261" s="293" t="e">
        <f t="shared" si="271"/>
        <v>#DIV/0!</v>
      </c>
      <c r="AE261" s="293" t="e">
        <f t="shared" si="271"/>
        <v>#DIV/0!</v>
      </c>
      <c r="AG261" s="293" t="e">
        <f t="shared" si="272"/>
        <v>#DIV/0!</v>
      </c>
      <c r="AH261" s="293" t="e">
        <f t="shared" si="272"/>
        <v>#DIV/0!</v>
      </c>
      <c r="AJ261" s="293" t="e">
        <f t="shared" si="273"/>
        <v>#DIV/0!</v>
      </c>
      <c r="AK261" s="293" t="e">
        <f t="shared" si="273"/>
        <v>#DIV/0!</v>
      </c>
      <c r="AM261" s="293" t="e">
        <f t="shared" si="274"/>
        <v>#DIV/0!</v>
      </c>
      <c r="AN261" s="293" t="e">
        <f t="shared" si="274"/>
        <v>#DIV/0!</v>
      </c>
      <c r="AP261" s="293" t="e">
        <f t="shared" si="275"/>
        <v>#DIV/0!</v>
      </c>
      <c r="AQ261" s="293" t="e">
        <f t="shared" si="275"/>
        <v>#DIV/0!</v>
      </c>
      <c r="AS261" s="293" t="e">
        <f t="shared" si="276"/>
        <v>#DIV/0!</v>
      </c>
      <c r="AT261" s="293" t="e">
        <f t="shared" si="276"/>
        <v>#DIV/0!</v>
      </c>
      <c r="AV261" s="293" t="e">
        <f t="shared" si="277"/>
        <v>#DIV/0!</v>
      </c>
      <c r="AW261" s="293" t="e">
        <f t="shared" si="277"/>
        <v>#DIV/0!</v>
      </c>
      <c r="AY261" s="293" t="e">
        <f t="shared" si="278"/>
        <v>#DIV/0!</v>
      </c>
      <c r="AZ261" s="293" t="e">
        <f t="shared" si="278"/>
        <v>#DIV/0!</v>
      </c>
      <c r="BB261" s="293" t="e">
        <f t="shared" si="279"/>
        <v>#DIV/0!</v>
      </c>
      <c r="BC261" s="293" t="e">
        <f t="shared" si="279"/>
        <v>#DIV/0!</v>
      </c>
      <c r="BE261" s="293" t="e">
        <f t="shared" si="280"/>
        <v>#DIV/0!</v>
      </c>
      <c r="BF261" s="293" t="e">
        <f t="shared" si="280"/>
        <v>#DIV/0!</v>
      </c>
      <c r="BH261" s="293" t="e">
        <f t="shared" si="281"/>
        <v>#DIV/0!</v>
      </c>
      <c r="BI261" s="293" t="e">
        <f t="shared" si="281"/>
        <v>#DIV/0!</v>
      </c>
      <c r="BK261" s="293" t="e">
        <f t="shared" si="282"/>
        <v>#DIV/0!</v>
      </c>
      <c r="BL261" s="293" t="e">
        <f t="shared" si="282"/>
        <v>#DIV/0!</v>
      </c>
      <c r="BN261" s="293" t="e">
        <f t="shared" si="283"/>
        <v>#DIV/0!</v>
      </c>
      <c r="BO261" s="293" t="e">
        <f t="shared" si="283"/>
        <v>#DIV/0!</v>
      </c>
      <c r="BQ261" s="293" t="e">
        <f t="shared" si="284"/>
        <v>#DIV/0!</v>
      </c>
      <c r="BR261" s="293" t="e">
        <f t="shared" si="284"/>
        <v>#DIV/0!</v>
      </c>
      <c r="BT261" s="293" t="e">
        <f t="shared" si="285"/>
        <v>#DIV/0!</v>
      </c>
      <c r="BU261" s="293" t="e">
        <f t="shared" si="285"/>
        <v>#DIV/0!</v>
      </c>
      <c r="BW261" s="293" t="e">
        <f t="shared" si="286"/>
        <v>#DIV/0!</v>
      </c>
      <c r="BX261" s="293" t="e">
        <f t="shared" si="286"/>
        <v>#DIV/0!</v>
      </c>
      <c r="BZ261" s="293" t="e">
        <f t="shared" si="287"/>
        <v>#DIV/0!</v>
      </c>
      <c r="CA261" s="293" t="e">
        <f t="shared" si="287"/>
        <v>#DIV/0!</v>
      </c>
      <c r="CC261" s="293" t="e">
        <f t="shared" si="288"/>
        <v>#DIV/0!</v>
      </c>
      <c r="CD261" s="293" t="e">
        <f t="shared" si="288"/>
        <v>#DIV/0!</v>
      </c>
      <c r="CF261" s="293" t="e">
        <f t="shared" si="289"/>
        <v>#DIV/0!</v>
      </c>
      <c r="CG261" s="293" t="e">
        <f t="shared" si="289"/>
        <v>#DIV/0!</v>
      </c>
      <c r="CI261" s="293" t="e">
        <f t="shared" si="290"/>
        <v>#DIV/0!</v>
      </c>
      <c r="CJ261" s="293" t="e">
        <f t="shared" si="290"/>
        <v>#DIV/0!</v>
      </c>
    </row>
    <row r="262" spans="1:88" ht="60" x14ac:dyDescent="0.25">
      <c r="A262" s="363"/>
      <c r="B262" s="363" t="s">
        <v>50</v>
      </c>
      <c r="C262" s="101"/>
      <c r="D262" s="101"/>
      <c r="E262" s="103"/>
      <c r="F262" s="103"/>
      <c r="G262" s="103"/>
      <c r="H262" s="103"/>
      <c r="I262" s="103">
        <f t="shared" ref="I262:N262" si="293">I263+I266</f>
        <v>1013587</v>
      </c>
      <c r="J262" s="103">
        <f t="shared" si="293"/>
        <v>1038008</v>
      </c>
      <c r="K262" s="103">
        <f t="shared" si="293"/>
        <v>1044769</v>
      </c>
      <c r="L262" s="103">
        <f t="shared" si="293"/>
        <v>14611.499999999998</v>
      </c>
      <c r="M262" s="103">
        <f t="shared" si="293"/>
        <v>17664.099999999999</v>
      </c>
      <c r="N262" s="103">
        <f t="shared" si="293"/>
        <v>17912.899999999998</v>
      </c>
      <c r="O262" s="267" t="s">
        <v>1403</v>
      </c>
      <c r="P262" s="103">
        <f>P263+P266</f>
        <v>1047146</v>
      </c>
      <c r="Q262" s="103">
        <f>Q263+Q266</f>
        <v>1061004.3899999999</v>
      </c>
      <c r="R262" s="103">
        <f>R263+R266</f>
        <v>18868</v>
      </c>
      <c r="S262" s="103">
        <f>S263+S266</f>
        <v>18868</v>
      </c>
      <c r="U262" s="103">
        <f>U263+U266</f>
        <v>17776</v>
      </c>
      <c r="V262" s="103">
        <f>V263+V266</f>
        <v>17231</v>
      </c>
      <c r="X262" s="103">
        <f>X263+X266</f>
        <v>26892</v>
      </c>
      <c r="Y262" s="103">
        <f>Y263+Y266</f>
        <v>30895</v>
      </c>
      <c r="AA262" s="103">
        <f>AA263+AA266</f>
        <v>23542</v>
      </c>
      <c r="AB262" s="103">
        <f>AB263+AB266</f>
        <v>23437</v>
      </c>
      <c r="AD262" s="103">
        <f>AD263+AD266</f>
        <v>12895</v>
      </c>
      <c r="AE262" s="103">
        <f>AE263+AE266</f>
        <v>12895.5</v>
      </c>
      <c r="AG262" s="103">
        <f>AG263+AG266</f>
        <v>15498</v>
      </c>
      <c r="AH262" s="103">
        <f>AH263+AH266</f>
        <v>14695.699999999999</v>
      </c>
      <c r="AJ262" s="103">
        <f>AJ263+AJ266</f>
        <v>34636</v>
      </c>
      <c r="AK262" s="103">
        <f>AK263+AK266</f>
        <v>34636</v>
      </c>
      <c r="AM262" s="103">
        <f>AM263+AM266</f>
        <v>66510</v>
      </c>
      <c r="AN262" s="103">
        <f>AN263+AN266</f>
        <v>65123.71</v>
      </c>
      <c r="AP262" s="103">
        <f>AP263+AP266</f>
        <v>11462</v>
      </c>
      <c r="AQ262" s="103">
        <f>AQ263+AQ266</f>
        <v>11747.78</v>
      </c>
      <c r="AS262" s="103">
        <f>AS263+AS266</f>
        <v>67209</v>
      </c>
      <c r="AT262" s="103">
        <f>AT263+AT266</f>
        <v>73764.100000000006</v>
      </c>
      <c r="AV262" s="103">
        <f>AV263+AV266</f>
        <v>21672</v>
      </c>
      <c r="AW262" s="103">
        <f>AW263+AW266</f>
        <v>20972</v>
      </c>
      <c r="AY262" s="103">
        <f>AY263+AY266</f>
        <v>52890</v>
      </c>
      <c r="AZ262" s="103">
        <f>AZ263+AZ266</f>
        <v>52559</v>
      </c>
      <c r="BB262" s="103">
        <f>BB263+BB266</f>
        <v>45713</v>
      </c>
      <c r="BC262" s="103">
        <f>BC263+BC266</f>
        <v>44930</v>
      </c>
      <c r="BE262" s="103">
        <f>BE263+BE266</f>
        <v>207910</v>
      </c>
      <c r="BF262" s="103">
        <f>BF263+BF266</f>
        <v>206723</v>
      </c>
      <c r="BH262" s="103">
        <f>BH263+BH266</f>
        <v>179944</v>
      </c>
      <c r="BI262" s="103">
        <f>BI263+BI266</f>
        <v>184474</v>
      </c>
      <c r="BK262" s="103">
        <f>BK263+BK266</f>
        <v>52022</v>
      </c>
      <c r="BL262" s="103">
        <f>BL263+BL266</f>
        <v>52022</v>
      </c>
      <c r="BN262" s="103">
        <f>BN263+BN266</f>
        <v>28120</v>
      </c>
      <c r="BO262" s="103">
        <f>BO263+BO266</f>
        <v>28120</v>
      </c>
      <c r="BQ262" s="103">
        <f>BQ263+BQ266</f>
        <v>53282</v>
      </c>
      <c r="BR262" s="103">
        <f>BR263+BR266</f>
        <v>58754.6</v>
      </c>
      <c r="BT262" s="103">
        <f>BT263+BT266</f>
        <v>37990</v>
      </c>
      <c r="BU262" s="103">
        <f>BU263+BU266</f>
        <v>37990</v>
      </c>
      <c r="BW262" s="103">
        <f>BW263+BW266</f>
        <v>12439</v>
      </c>
      <c r="BX262" s="103">
        <f>BX263+BX266</f>
        <v>13380.7</v>
      </c>
      <c r="BZ262" s="103">
        <f>BZ263+BZ266</f>
        <v>38588</v>
      </c>
      <c r="CA262" s="103">
        <f>CA263+CA266</f>
        <v>36497.300000000003</v>
      </c>
      <c r="CC262" s="103">
        <f>CC263+CC266</f>
        <v>21288</v>
      </c>
      <c r="CD262" s="103">
        <f>CD263+CD266</f>
        <v>21288</v>
      </c>
      <c r="CF262" s="103">
        <f>CF263+CF266</f>
        <v>0</v>
      </c>
      <c r="CG262" s="103">
        <f>CG263+CG266</f>
        <v>0</v>
      </c>
      <c r="CI262" s="103">
        <f>CI263+CI266</f>
        <v>0</v>
      </c>
      <c r="CJ262" s="103">
        <f>CJ263+CJ266</f>
        <v>0</v>
      </c>
    </row>
    <row r="263" spans="1:88" ht="30" x14ac:dyDescent="0.25">
      <c r="A263" s="16"/>
      <c r="B263" s="16" t="s">
        <v>1182</v>
      </c>
      <c r="C263" s="101" t="s">
        <v>51</v>
      </c>
      <c r="D263" s="101" t="s">
        <v>1111</v>
      </c>
      <c r="E263" s="103"/>
      <c r="F263" s="103">
        <v>914254</v>
      </c>
      <c r="G263" s="103">
        <f t="shared" ref="G263:N263" si="294">G264+G265</f>
        <v>970850</v>
      </c>
      <c r="H263" s="103">
        <f t="shared" si="294"/>
        <v>1008712</v>
      </c>
      <c r="I263" s="103">
        <f t="shared" si="294"/>
        <v>1008952</v>
      </c>
      <c r="J263" s="103">
        <f t="shared" si="294"/>
        <v>1033256</v>
      </c>
      <c r="K263" s="103">
        <f t="shared" si="294"/>
        <v>1038907</v>
      </c>
      <c r="L263" s="103">
        <f t="shared" si="294"/>
        <v>14517.699999999999</v>
      </c>
      <c r="M263" s="103">
        <f t="shared" si="294"/>
        <v>17570.3</v>
      </c>
      <c r="N263" s="103">
        <f t="shared" si="294"/>
        <v>17819.099999999999</v>
      </c>
      <c r="P263" s="103">
        <f>P264+P265</f>
        <v>1041284</v>
      </c>
      <c r="Q263" s="103">
        <f>Q264+Q265</f>
        <v>1056371.49</v>
      </c>
      <c r="R263" s="103">
        <f>R264+R265</f>
        <v>18868</v>
      </c>
      <c r="S263" s="103">
        <f>S264+S265</f>
        <v>18868</v>
      </c>
      <c r="U263" s="103">
        <f>U264+U265</f>
        <v>17776</v>
      </c>
      <c r="V263" s="103">
        <f>V264+V265</f>
        <v>17231</v>
      </c>
      <c r="X263" s="103">
        <f>X264+X265</f>
        <v>26892</v>
      </c>
      <c r="Y263" s="103">
        <f>Y264+Y265</f>
        <v>30895</v>
      </c>
      <c r="AA263" s="103">
        <f>AA264+AA265</f>
        <v>23542</v>
      </c>
      <c r="AB263" s="103">
        <f>AB264+AB265</f>
        <v>23437</v>
      </c>
      <c r="AD263" s="103">
        <f>AD264+AD265</f>
        <v>12895</v>
      </c>
      <c r="AE263" s="103">
        <f>AE264+AE265</f>
        <v>12895.5</v>
      </c>
      <c r="AG263" s="103">
        <f>AG264+AG265</f>
        <v>15404</v>
      </c>
      <c r="AH263" s="103">
        <f>AH264+AH265</f>
        <v>14601.9</v>
      </c>
      <c r="AJ263" s="103">
        <f>AJ264+AJ265</f>
        <v>34636</v>
      </c>
      <c r="AK263" s="103">
        <f>AK264+AK265</f>
        <v>34636</v>
      </c>
      <c r="AM263" s="103">
        <f>AM264+AM265</f>
        <v>66510</v>
      </c>
      <c r="AN263" s="103">
        <f>AN264+AN265</f>
        <v>65123.71</v>
      </c>
      <c r="AP263" s="103">
        <f>AP264+AP265</f>
        <v>11462</v>
      </c>
      <c r="AQ263" s="103">
        <f>AQ264+AQ265</f>
        <v>11747.78</v>
      </c>
      <c r="AS263" s="103">
        <f>AS264+AS265</f>
        <v>64503</v>
      </c>
      <c r="AT263" s="103">
        <f>AT264+AT265</f>
        <v>71058</v>
      </c>
      <c r="AV263" s="103">
        <f>AV264+AV265</f>
        <v>21672</v>
      </c>
      <c r="AW263" s="103">
        <f>AW264+AW265</f>
        <v>20972</v>
      </c>
      <c r="AY263" s="103">
        <f>AY264+AY265</f>
        <v>52613</v>
      </c>
      <c r="AZ263" s="103">
        <f>AZ264+AZ265</f>
        <v>52559</v>
      </c>
      <c r="BB263" s="103">
        <f>BB264+BB265</f>
        <v>44930</v>
      </c>
      <c r="BC263" s="103">
        <f>BC264+BC265</f>
        <v>44930</v>
      </c>
      <c r="BE263" s="103">
        <f>BE264+BE265</f>
        <v>207741</v>
      </c>
      <c r="BF263" s="103">
        <f>BF264+BF265</f>
        <v>206723</v>
      </c>
      <c r="BH263" s="103">
        <f>BH264+BH265</f>
        <v>178111</v>
      </c>
      <c r="BI263" s="103">
        <f>BI264+BI265</f>
        <v>182641</v>
      </c>
      <c r="BK263" s="103">
        <f>BK264+BK265</f>
        <v>52022</v>
      </c>
      <c r="BL263" s="103">
        <f>BL264+BL265</f>
        <v>52022</v>
      </c>
      <c r="BN263" s="103">
        <f>BN264+BN265</f>
        <v>28120</v>
      </c>
      <c r="BO263" s="103">
        <f>BO264+BO265</f>
        <v>28120</v>
      </c>
      <c r="BQ263" s="103">
        <f>BQ264+BQ265</f>
        <v>53282</v>
      </c>
      <c r="BR263" s="103">
        <f>BR264+BR265</f>
        <v>58754.6</v>
      </c>
      <c r="BT263" s="103">
        <f>BT264+BT265</f>
        <v>37990</v>
      </c>
      <c r="BU263" s="103">
        <f>BU264+BU265</f>
        <v>37990</v>
      </c>
      <c r="BW263" s="103">
        <f>BW264+BW265</f>
        <v>12439</v>
      </c>
      <c r="BX263" s="103">
        <f>BX264+BX265</f>
        <v>13380.7</v>
      </c>
      <c r="BZ263" s="103">
        <f>BZ264+BZ265</f>
        <v>38588</v>
      </c>
      <c r="CA263" s="103">
        <f>CA264+CA265</f>
        <v>36497.300000000003</v>
      </c>
      <c r="CC263" s="103">
        <f>CC264+CC265</f>
        <v>21288</v>
      </c>
      <c r="CD263" s="103">
        <f>CD264+CD265</f>
        <v>21288</v>
      </c>
      <c r="CF263" s="103">
        <f>CF264+CF265</f>
        <v>0</v>
      </c>
      <c r="CG263" s="103">
        <f>CG264+CG265</f>
        <v>0</v>
      </c>
      <c r="CI263" s="103">
        <f>CI264+CI265</f>
        <v>0</v>
      </c>
      <c r="CJ263" s="103">
        <f>CJ264+CJ265</f>
        <v>0</v>
      </c>
    </row>
    <row r="264" spans="1:88" x14ac:dyDescent="0.25">
      <c r="A264" s="364"/>
      <c r="B264" s="91" t="s">
        <v>1183</v>
      </c>
      <c r="C264" s="101"/>
      <c r="D264" s="101"/>
      <c r="E264" s="103"/>
      <c r="F264" s="103"/>
      <c r="G264" s="103">
        <f>904028-897</f>
        <v>903131</v>
      </c>
      <c r="H264" s="103">
        <f>939836-339</f>
        <v>939497</v>
      </c>
      <c r="I264" s="103">
        <v>941157</v>
      </c>
      <c r="J264" s="103">
        <f>967399-4752</f>
        <v>962647</v>
      </c>
      <c r="K264" s="103">
        <v>970549</v>
      </c>
      <c r="L264" s="103">
        <v>9777.7999999999993</v>
      </c>
      <c r="M264" s="103">
        <v>11588</v>
      </c>
      <c r="N264" s="103">
        <v>11902</v>
      </c>
      <c r="O264" s="286"/>
      <c r="P264" s="286">
        <f>R264+U264+X264+AA264+AD264+AG264+AJ264+AM264+AP264+AS264+AV264+AY264+BB264+BE264+BH264+BK264+BN264+BQ264+BT264+BW264+BZ264+CC264+CF264+CI264</f>
        <v>967986</v>
      </c>
      <c r="Q264" s="286">
        <f>S264+V264+Y264+AB264+AE264+AH264+AK264+AN264+AQ264+AT264+AW264+AZ264+BC264+BF264+BI264+BL264+BO264+BR264+BU264+BX264+CA264+CD264+CG264+CJ264</f>
        <v>989428.80999999994</v>
      </c>
      <c r="R264" s="286">
        <v>15912</v>
      </c>
      <c r="S264" s="286">
        <v>15912</v>
      </c>
      <c r="T264" s="286"/>
      <c r="U264" s="286">
        <v>8897</v>
      </c>
      <c r="V264" s="286">
        <v>8405</v>
      </c>
      <c r="W264" s="286"/>
      <c r="X264" s="286">
        <v>19967</v>
      </c>
      <c r="Y264" s="286">
        <v>23969.599999999999</v>
      </c>
      <c r="Z264" s="286"/>
      <c r="AA264" s="286">
        <v>13629</v>
      </c>
      <c r="AB264" s="286">
        <v>13629</v>
      </c>
      <c r="AC264" s="286"/>
      <c r="AD264" s="286">
        <v>10326</v>
      </c>
      <c r="AE264" s="286">
        <v>10326.5</v>
      </c>
      <c r="AF264" s="286"/>
      <c r="AG264" s="286">
        <v>9778</v>
      </c>
      <c r="AH264" s="286">
        <v>9862</v>
      </c>
      <c r="AI264" s="286"/>
      <c r="AJ264" s="286">
        <v>33543</v>
      </c>
      <c r="AK264" s="286">
        <v>33543</v>
      </c>
      <c r="AL264" s="286"/>
      <c r="AM264" s="286">
        <v>42635</v>
      </c>
      <c r="AN264" s="286">
        <v>46846.11</v>
      </c>
      <c r="AO264" s="286"/>
      <c r="AP264" s="286">
        <v>0</v>
      </c>
      <c r="AQ264" s="286">
        <v>0</v>
      </c>
      <c r="AR264" s="286"/>
      <c r="AS264" s="286">
        <v>64503</v>
      </c>
      <c r="AT264" s="286">
        <v>71058</v>
      </c>
      <c r="AU264" s="286"/>
      <c r="AV264" s="286">
        <v>21672</v>
      </c>
      <c r="AW264" s="286">
        <v>20972</v>
      </c>
      <c r="AX264" s="286"/>
      <c r="AY264" s="286">
        <v>52613</v>
      </c>
      <c r="AZ264" s="286">
        <v>52559</v>
      </c>
      <c r="BA264" s="286"/>
      <c r="BB264" s="286">
        <v>44930</v>
      </c>
      <c r="BC264" s="286">
        <v>44930</v>
      </c>
      <c r="BD264" s="286"/>
      <c r="BE264" s="286">
        <v>207741</v>
      </c>
      <c r="BF264" s="286">
        <v>206723</v>
      </c>
      <c r="BG264" s="286"/>
      <c r="BH264" s="286">
        <v>178111</v>
      </c>
      <c r="BI264" s="286">
        <v>182641</v>
      </c>
      <c r="BJ264" s="286"/>
      <c r="BK264" s="286">
        <v>52022</v>
      </c>
      <c r="BL264" s="286">
        <v>52022</v>
      </c>
      <c r="BM264" s="286"/>
      <c r="BN264" s="286">
        <v>28120</v>
      </c>
      <c r="BO264" s="286">
        <v>28120</v>
      </c>
      <c r="BP264" s="286"/>
      <c r="BQ264" s="286">
        <v>53282</v>
      </c>
      <c r="BR264" s="286">
        <v>58754.6</v>
      </c>
      <c r="BS264" s="286"/>
      <c r="BT264" s="286">
        <v>37990</v>
      </c>
      <c r="BU264" s="286">
        <v>37990</v>
      </c>
      <c r="BV264" s="286"/>
      <c r="BW264" s="286">
        <v>12439</v>
      </c>
      <c r="BX264" s="286">
        <v>13380.7</v>
      </c>
      <c r="BY264" s="286"/>
      <c r="BZ264" s="286">
        <v>38588</v>
      </c>
      <c r="CA264" s="286">
        <v>36497.300000000003</v>
      </c>
      <c r="CB264" s="286"/>
      <c r="CC264" s="286">
        <v>21288</v>
      </c>
      <c r="CD264" s="286">
        <v>21288</v>
      </c>
      <c r="CE264" s="286"/>
      <c r="CF264" s="286">
        <v>0</v>
      </c>
      <c r="CG264" s="286">
        <v>0</v>
      </c>
      <c r="CH264" s="286"/>
      <c r="CI264" s="286">
        <v>0</v>
      </c>
      <c r="CJ264" s="286">
        <v>0</v>
      </c>
    </row>
    <row r="265" spans="1:88" x14ac:dyDescent="0.25">
      <c r="A265" s="364"/>
      <c r="B265" s="91" t="s">
        <v>1185</v>
      </c>
      <c r="C265" s="101"/>
      <c r="D265" s="101"/>
      <c r="E265" s="103"/>
      <c r="F265" s="103"/>
      <c r="G265" s="103">
        <v>67719</v>
      </c>
      <c r="H265" s="103">
        <v>69215</v>
      </c>
      <c r="I265" s="103">
        <v>67795</v>
      </c>
      <c r="J265" s="103">
        <v>70609</v>
      </c>
      <c r="K265" s="103">
        <v>68358</v>
      </c>
      <c r="L265" s="103">
        <v>4739.8999999999996</v>
      </c>
      <c r="M265" s="103">
        <v>5982.3</v>
      </c>
      <c r="N265" s="103">
        <v>5917.1</v>
      </c>
      <c r="O265" s="286"/>
      <c r="P265" s="286">
        <f>R265+U265+X265+AA265+AD265+AG265+AJ265+AM265+AP265+AS265+AV265+AY265+BB265+BE265+BH265+BK265+BN265+BQ265+BT265+BW265+BZ265+CC265+CF265+CI265</f>
        <v>73298</v>
      </c>
      <c r="Q265" s="286">
        <f>S265+V265+Y265+AB265+AE265+AH265+AK265+AN265+AQ265+AT265+AW265+AZ265+BC265+BF265+BI265+BL265+BO265+BR265+BU265+BX265+CA265+CD265+CG265+CJ265</f>
        <v>66942.680000000008</v>
      </c>
      <c r="R265" s="286">
        <v>2956</v>
      </c>
      <c r="S265" s="286">
        <v>2956</v>
      </c>
      <c r="T265" s="286"/>
      <c r="U265" s="286">
        <v>8879</v>
      </c>
      <c r="V265" s="286">
        <v>8826</v>
      </c>
      <c r="W265" s="286"/>
      <c r="X265" s="286">
        <v>6925</v>
      </c>
      <c r="Y265" s="286">
        <v>6925.4</v>
      </c>
      <c r="Z265" s="286"/>
      <c r="AA265" s="286">
        <v>9913</v>
      </c>
      <c r="AB265" s="286">
        <v>9808</v>
      </c>
      <c r="AC265" s="286"/>
      <c r="AD265" s="286">
        <v>2569</v>
      </c>
      <c r="AE265" s="286">
        <v>2569</v>
      </c>
      <c r="AF265" s="286"/>
      <c r="AG265" s="286">
        <v>5626</v>
      </c>
      <c r="AH265" s="286">
        <v>4739.8999999999996</v>
      </c>
      <c r="AI265" s="286"/>
      <c r="AJ265" s="286">
        <v>1093</v>
      </c>
      <c r="AK265" s="286">
        <v>1093</v>
      </c>
      <c r="AL265" s="286"/>
      <c r="AM265" s="286">
        <v>23875</v>
      </c>
      <c r="AN265" s="286">
        <v>18277.599999999999</v>
      </c>
      <c r="AO265" s="286"/>
      <c r="AP265" s="286">
        <v>11462</v>
      </c>
      <c r="AQ265" s="286">
        <v>11747.78</v>
      </c>
      <c r="AR265" s="286"/>
      <c r="AS265" s="286">
        <v>0</v>
      </c>
      <c r="AT265" s="286">
        <v>0</v>
      </c>
      <c r="AU265" s="286"/>
      <c r="AV265" s="286">
        <v>0</v>
      </c>
      <c r="AW265" s="286">
        <v>0</v>
      </c>
      <c r="AX265" s="286"/>
      <c r="AY265" s="286">
        <v>0</v>
      </c>
      <c r="AZ265" s="286">
        <v>0</v>
      </c>
      <c r="BA265" s="286"/>
      <c r="BB265" s="286">
        <v>0</v>
      </c>
      <c r="BC265" s="286">
        <v>0</v>
      </c>
      <c r="BD265" s="286"/>
      <c r="BE265" s="286">
        <v>0</v>
      </c>
      <c r="BF265" s="286">
        <v>0</v>
      </c>
      <c r="BG265" s="286"/>
      <c r="BH265" s="286">
        <v>0</v>
      </c>
      <c r="BI265" s="286">
        <v>0</v>
      </c>
      <c r="BJ265" s="286"/>
      <c r="BK265" s="286">
        <v>0</v>
      </c>
      <c r="BL265" s="286">
        <v>0</v>
      </c>
      <c r="BM265" s="286"/>
      <c r="BN265" s="286">
        <v>0</v>
      </c>
      <c r="BO265" s="286">
        <v>0</v>
      </c>
      <c r="BP265" s="286"/>
      <c r="BQ265" s="286">
        <v>0</v>
      </c>
      <c r="BR265" s="286">
        <v>0</v>
      </c>
      <c r="BS265" s="286"/>
      <c r="BT265" s="286">
        <v>0</v>
      </c>
      <c r="BU265" s="286">
        <v>0</v>
      </c>
      <c r="BV265" s="286"/>
      <c r="BW265" s="286">
        <v>0</v>
      </c>
      <c r="BX265" s="286">
        <v>0</v>
      </c>
      <c r="BY265" s="286"/>
      <c r="BZ265" s="286">
        <v>0</v>
      </c>
      <c r="CA265" s="286">
        <v>0</v>
      </c>
      <c r="CB265" s="286"/>
      <c r="CC265" s="286">
        <v>0</v>
      </c>
      <c r="CD265" s="286">
        <v>0</v>
      </c>
      <c r="CE265" s="286"/>
      <c r="CF265" s="286">
        <v>0</v>
      </c>
      <c r="CG265" s="286">
        <v>0</v>
      </c>
      <c r="CH265" s="286"/>
      <c r="CI265" s="286">
        <v>0</v>
      </c>
      <c r="CJ265" s="286">
        <v>0</v>
      </c>
    </row>
    <row r="266" spans="1:88" x14ac:dyDescent="0.25">
      <c r="A266" s="364"/>
      <c r="B266" s="16" t="s">
        <v>1184</v>
      </c>
      <c r="C266" s="101"/>
      <c r="D266" s="101"/>
      <c r="E266" s="103"/>
      <c r="F266" s="103"/>
      <c r="G266" s="103">
        <f t="shared" ref="G266:N266" si="295">G267+G268</f>
        <v>897</v>
      </c>
      <c r="H266" s="103">
        <f t="shared" si="295"/>
        <v>339</v>
      </c>
      <c r="I266" s="103">
        <f t="shared" si="295"/>
        <v>4635</v>
      </c>
      <c r="J266" s="103">
        <f t="shared" si="295"/>
        <v>4752</v>
      </c>
      <c r="K266" s="103">
        <f t="shared" si="295"/>
        <v>5862</v>
      </c>
      <c r="L266" s="103">
        <f t="shared" si="295"/>
        <v>93.8</v>
      </c>
      <c r="M266" s="103">
        <f t="shared" si="295"/>
        <v>93.8</v>
      </c>
      <c r="N266" s="103">
        <f t="shared" si="295"/>
        <v>93.8</v>
      </c>
      <c r="P266" s="103">
        <f>P267+P268</f>
        <v>5862</v>
      </c>
      <c r="Q266" s="103">
        <f>Q267+Q268</f>
        <v>4632.8999999999996</v>
      </c>
      <c r="R266" s="103">
        <f>R267+R268</f>
        <v>0</v>
      </c>
      <c r="S266" s="103">
        <f>S267+S268</f>
        <v>0</v>
      </c>
      <c r="T266" s="286"/>
      <c r="U266" s="103">
        <f>U267+U268</f>
        <v>0</v>
      </c>
      <c r="V266" s="103">
        <f>V267+V268</f>
        <v>0</v>
      </c>
      <c r="W266" s="286"/>
      <c r="X266" s="103">
        <f>X267+X268</f>
        <v>0</v>
      </c>
      <c r="Y266" s="103">
        <f>Y267+Y268</f>
        <v>0</v>
      </c>
      <c r="Z266" s="286"/>
      <c r="AA266" s="103">
        <f>AA267+AA268</f>
        <v>0</v>
      </c>
      <c r="AB266" s="103">
        <f>AB267+AB268</f>
        <v>0</v>
      </c>
      <c r="AC266" s="286"/>
      <c r="AD266" s="103">
        <f>AD267+AD268</f>
        <v>0</v>
      </c>
      <c r="AE266" s="103">
        <f>AE267+AE268</f>
        <v>0</v>
      </c>
      <c r="AF266" s="286"/>
      <c r="AG266" s="103">
        <f>AG267+AG268</f>
        <v>94</v>
      </c>
      <c r="AH266" s="103">
        <f>AH267+AH268</f>
        <v>93.8</v>
      </c>
      <c r="AI266" s="286"/>
      <c r="AJ266" s="103">
        <f>AJ267+AJ268</f>
        <v>0</v>
      </c>
      <c r="AK266" s="103">
        <f>AK267+AK268</f>
        <v>0</v>
      </c>
      <c r="AL266" s="286"/>
      <c r="AM266" s="103">
        <f>AM267+AM268</f>
        <v>0</v>
      </c>
      <c r="AN266" s="103">
        <f>AN267+AN268</f>
        <v>0</v>
      </c>
      <c r="AO266" s="286"/>
      <c r="AP266" s="103">
        <f>AP267+AP268</f>
        <v>0</v>
      </c>
      <c r="AQ266" s="103">
        <f>AQ267+AQ268</f>
        <v>0</v>
      </c>
      <c r="AR266" s="286"/>
      <c r="AS266" s="103">
        <f>AS267+AS268</f>
        <v>2706</v>
      </c>
      <c r="AT266" s="103">
        <f>AT267+AT268</f>
        <v>2706.1</v>
      </c>
      <c r="AU266" s="286"/>
      <c r="AV266" s="103">
        <f>AV267+AV268</f>
        <v>0</v>
      </c>
      <c r="AW266" s="103">
        <f>AW267+AW268</f>
        <v>0</v>
      </c>
      <c r="AX266" s="286"/>
      <c r="AY266" s="103">
        <f>AY267+AY268</f>
        <v>277</v>
      </c>
      <c r="AZ266" s="103">
        <f>AZ267+AZ268</f>
        <v>0</v>
      </c>
      <c r="BA266" s="286"/>
      <c r="BB266" s="103">
        <f>BB267+BB268</f>
        <v>783</v>
      </c>
      <c r="BC266" s="103">
        <f>BC267+BC268</f>
        <v>0</v>
      </c>
      <c r="BD266" s="286"/>
      <c r="BE266" s="103">
        <f>BE267+BE268</f>
        <v>169</v>
      </c>
      <c r="BF266" s="103">
        <f>BF267+BF268</f>
        <v>0</v>
      </c>
      <c r="BG266" s="286"/>
      <c r="BH266" s="103">
        <f>BH267+BH268</f>
        <v>1833</v>
      </c>
      <c r="BI266" s="103">
        <f>BI267+BI268</f>
        <v>1833</v>
      </c>
      <c r="BJ266" s="286"/>
      <c r="BK266" s="103">
        <f>BK267+BK268</f>
        <v>0</v>
      </c>
      <c r="BL266" s="103">
        <f>BL267+BL268</f>
        <v>0</v>
      </c>
      <c r="BM266" s="286"/>
      <c r="BN266" s="103">
        <f>BN267+BN268</f>
        <v>0</v>
      </c>
      <c r="BO266" s="103">
        <f>BO267+BO268</f>
        <v>0</v>
      </c>
      <c r="BP266" s="286"/>
      <c r="BQ266" s="103">
        <f>BQ267+BQ268</f>
        <v>0</v>
      </c>
      <c r="BR266" s="103">
        <f>BR267+BR268</f>
        <v>0</v>
      </c>
      <c r="BS266" s="286"/>
      <c r="BT266" s="103">
        <f>BT267+BT268</f>
        <v>0</v>
      </c>
      <c r="BU266" s="103">
        <f>BU267+BU268</f>
        <v>0</v>
      </c>
      <c r="BV266" s="286"/>
      <c r="BW266" s="103">
        <f>BW267+BW268</f>
        <v>0</v>
      </c>
      <c r="BX266" s="103">
        <f>BX267+BX268</f>
        <v>0</v>
      </c>
      <c r="BY266" s="286"/>
      <c r="BZ266" s="103">
        <f>BZ267+BZ268</f>
        <v>0</v>
      </c>
      <c r="CA266" s="103">
        <f>CA267+CA268</f>
        <v>0</v>
      </c>
      <c r="CB266" s="286"/>
      <c r="CC266" s="103">
        <f>CC267+CC268</f>
        <v>0</v>
      </c>
      <c r="CD266" s="103">
        <f>CD267+CD268</f>
        <v>0</v>
      </c>
      <c r="CE266" s="286"/>
      <c r="CF266" s="103">
        <f>CF267+CF268</f>
        <v>0</v>
      </c>
      <c r="CG266" s="103">
        <f>CG267+CG268</f>
        <v>0</v>
      </c>
      <c r="CH266" s="286"/>
      <c r="CI266" s="103">
        <f>CI267+CI268</f>
        <v>0</v>
      </c>
      <c r="CJ266" s="103">
        <f>CJ267+CJ268</f>
        <v>0</v>
      </c>
    </row>
    <row r="267" spans="1:88" x14ac:dyDescent="0.25">
      <c r="A267" s="364"/>
      <c r="B267" s="91" t="s">
        <v>1183</v>
      </c>
      <c r="C267" s="101"/>
      <c r="D267" s="101"/>
      <c r="E267" s="103"/>
      <c r="F267" s="103"/>
      <c r="G267" s="103">
        <v>897</v>
      </c>
      <c r="H267" s="103">
        <v>339</v>
      </c>
      <c r="I267" s="103">
        <v>4635</v>
      </c>
      <c r="J267" s="103">
        <v>4752</v>
      </c>
      <c r="K267" s="103">
        <v>5862</v>
      </c>
      <c r="L267" s="103">
        <v>93.8</v>
      </c>
      <c r="M267" s="103">
        <v>93.8</v>
      </c>
      <c r="N267" s="103">
        <v>93.8</v>
      </c>
      <c r="P267" s="286">
        <f>R267+U267+X267+AA267+AD267+AG267+AJ267+AM267+AP267+AS267+AV267+AY267+BB267+BE267+BH267+BK267+BN267+BQ267+BT267+BW267+BZ267+CC267+CF267+CI267</f>
        <v>5862</v>
      </c>
      <c r="Q267" s="286">
        <f>S267+V267+Y267+AB267+AE267+AH267+AK267+AN267+AQ267+AT267+AW267+AZ267+BC267+BF267+BI267+BL267+BO267+BR267+BU267+BX267+CA267+CD267+CG267+CJ267</f>
        <v>4632.8999999999996</v>
      </c>
      <c r="R267" s="286">
        <v>0</v>
      </c>
      <c r="S267" s="286">
        <v>0</v>
      </c>
      <c r="T267" s="286"/>
      <c r="U267" s="286">
        <v>0</v>
      </c>
      <c r="V267" s="286">
        <v>0</v>
      </c>
      <c r="W267" s="286"/>
      <c r="X267" s="286">
        <v>0</v>
      </c>
      <c r="Y267" s="286">
        <v>0</v>
      </c>
      <c r="Z267" s="286"/>
      <c r="AA267" s="286">
        <v>0</v>
      </c>
      <c r="AB267" s="286">
        <v>0</v>
      </c>
      <c r="AC267" s="286"/>
      <c r="AD267" s="286">
        <v>0</v>
      </c>
      <c r="AE267" s="286">
        <v>0</v>
      </c>
      <c r="AF267" s="286"/>
      <c r="AG267" s="286">
        <v>94</v>
      </c>
      <c r="AH267" s="286">
        <v>93.8</v>
      </c>
      <c r="AI267" s="286"/>
      <c r="AJ267" s="286">
        <v>0</v>
      </c>
      <c r="AK267" s="286">
        <v>0</v>
      </c>
      <c r="AL267" s="286"/>
      <c r="AM267" s="286">
        <v>0</v>
      </c>
      <c r="AN267" s="286">
        <v>0</v>
      </c>
      <c r="AO267" s="286"/>
      <c r="AP267" s="286">
        <v>0</v>
      </c>
      <c r="AQ267" s="286">
        <v>0</v>
      </c>
      <c r="AR267" s="286"/>
      <c r="AS267" s="286">
        <v>2706</v>
      </c>
      <c r="AT267" s="286">
        <v>2706.1</v>
      </c>
      <c r="AU267" s="286"/>
      <c r="AV267" s="286">
        <v>0</v>
      </c>
      <c r="AW267" s="286">
        <v>0</v>
      </c>
      <c r="AX267" s="286"/>
      <c r="AY267" s="286">
        <v>277</v>
      </c>
      <c r="AZ267" s="286">
        <v>0</v>
      </c>
      <c r="BA267" s="286"/>
      <c r="BB267" s="286">
        <v>783</v>
      </c>
      <c r="BC267" s="286">
        <v>0</v>
      </c>
      <c r="BD267" s="286"/>
      <c r="BE267" s="286">
        <v>169</v>
      </c>
      <c r="BF267" s="286">
        <v>0</v>
      </c>
      <c r="BG267" s="286"/>
      <c r="BH267" s="286">
        <v>1833</v>
      </c>
      <c r="BI267" s="286">
        <v>1833</v>
      </c>
      <c r="BJ267" s="286"/>
      <c r="BK267" s="286">
        <v>0</v>
      </c>
      <c r="BL267" s="286">
        <v>0</v>
      </c>
      <c r="BM267" s="286"/>
      <c r="BN267" s="286">
        <v>0</v>
      </c>
      <c r="BO267" s="286">
        <v>0</v>
      </c>
      <c r="BP267" s="286"/>
      <c r="BQ267" s="286">
        <v>0</v>
      </c>
      <c r="BR267" s="286">
        <v>0</v>
      </c>
      <c r="BS267" s="286"/>
      <c r="BT267" s="286">
        <v>0</v>
      </c>
      <c r="BU267" s="286">
        <v>0</v>
      </c>
      <c r="BV267" s="286"/>
      <c r="BW267" s="286">
        <v>0</v>
      </c>
      <c r="BX267" s="286">
        <v>0</v>
      </c>
      <c r="BY267" s="286"/>
      <c r="BZ267" s="286">
        <v>0</v>
      </c>
      <c r="CA267" s="286">
        <v>0</v>
      </c>
      <c r="CB267" s="286"/>
      <c r="CC267" s="286">
        <v>0</v>
      </c>
      <c r="CD267" s="286">
        <v>0</v>
      </c>
      <c r="CE267" s="286"/>
      <c r="CF267" s="286">
        <v>0</v>
      </c>
      <c r="CG267" s="286">
        <v>0</v>
      </c>
      <c r="CH267" s="286"/>
      <c r="CI267" s="286">
        <v>0</v>
      </c>
      <c r="CJ267" s="286">
        <v>0</v>
      </c>
    </row>
    <row r="268" spans="1:88" x14ac:dyDescent="0.25">
      <c r="A268" s="364"/>
      <c r="B268" s="91" t="s">
        <v>1185</v>
      </c>
      <c r="C268" s="101"/>
      <c r="D268" s="101"/>
      <c r="E268" s="103"/>
      <c r="F268" s="103"/>
      <c r="G268" s="103">
        <v>0</v>
      </c>
      <c r="H268" s="103">
        <v>0</v>
      </c>
      <c r="I268" s="103">
        <v>0</v>
      </c>
      <c r="J268" s="103">
        <v>0</v>
      </c>
      <c r="K268" s="103">
        <v>0</v>
      </c>
      <c r="L268" s="103">
        <v>0</v>
      </c>
      <c r="M268" s="103">
        <v>0</v>
      </c>
      <c r="N268" s="103">
        <v>0</v>
      </c>
      <c r="P268" s="286">
        <f>R268+U268+X268+AA268+AD268+AG268+AJ268+AM268+AP268+AS268+AV268+AY268+BB268+BE268+BH268+BK268+BN268+BQ268+BT268+BW268+BZ268+CC268+CF268+CI268</f>
        <v>0</v>
      </c>
      <c r="Q268" s="286">
        <f>S268+V268+Y268+AB268+AE268+AH268+AK268+AN268+AQ268+AT268+AW268+AZ268+BC268+BF268+BI268+BL268+BO268+BR268+BU268+BX268+CA268+CD268+CG268+CJ268</f>
        <v>0</v>
      </c>
      <c r="R268" s="286">
        <v>0</v>
      </c>
      <c r="S268" s="286">
        <v>0</v>
      </c>
      <c r="T268" s="286"/>
      <c r="U268" s="286">
        <v>0</v>
      </c>
      <c r="V268" s="286">
        <v>0</v>
      </c>
      <c r="W268" s="286"/>
      <c r="X268" s="286">
        <v>0</v>
      </c>
      <c r="Y268" s="286">
        <v>0</v>
      </c>
      <c r="Z268" s="286"/>
      <c r="AA268" s="286">
        <v>0</v>
      </c>
      <c r="AB268" s="286">
        <v>0</v>
      </c>
      <c r="AC268" s="286"/>
      <c r="AD268" s="286">
        <v>0</v>
      </c>
      <c r="AE268" s="286">
        <v>0</v>
      </c>
      <c r="AF268" s="286"/>
      <c r="AG268" s="286">
        <v>0</v>
      </c>
      <c r="AH268" s="286">
        <v>0</v>
      </c>
      <c r="AI268" s="286"/>
      <c r="AJ268" s="286">
        <v>0</v>
      </c>
      <c r="AK268" s="286">
        <v>0</v>
      </c>
      <c r="AL268" s="286"/>
      <c r="AM268" s="286">
        <v>0</v>
      </c>
      <c r="AN268" s="286">
        <v>0</v>
      </c>
      <c r="AO268" s="286"/>
      <c r="AP268" s="286">
        <v>0</v>
      </c>
      <c r="AQ268" s="286">
        <v>0</v>
      </c>
      <c r="AR268" s="286"/>
      <c r="AS268" s="286">
        <v>0</v>
      </c>
      <c r="AT268" s="286">
        <v>0</v>
      </c>
      <c r="AU268" s="286"/>
      <c r="AV268" s="286">
        <v>0</v>
      </c>
      <c r="AW268" s="286">
        <v>0</v>
      </c>
      <c r="AX268" s="286"/>
      <c r="AY268" s="286">
        <v>0</v>
      </c>
      <c r="AZ268" s="286">
        <v>0</v>
      </c>
      <c r="BA268" s="286"/>
      <c r="BB268" s="286">
        <v>0</v>
      </c>
      <c r="BC268" s="286">
        <v>0</v>
      </c>
      <c r="BD268" s="286"/>
      <c r="BE268" s="286">
        <v>0</v>
      </c>
      <c r="BF268" s="286">
        <v>0</v>
      </c>
      <c r="BG268" s="286"/>
      <c r="BH268" s="286">
        <v>0</v>
      </c>
      <c r="BI268" s="286">
        <v>0</v>
      </c>
      <c r="BJ268" s="286"/>
      <c r="BK268" s="286">
        <v>0</v>
      </c>
      <c r="BL268" s="286">
        <v>0</v>
      </c>
      <c r="BM268" s="286"/>
      <c r="BN268" s="286">
        <v>0</v>
      </c>
      <c r="BO268" s="286">
        <v>0</v>
      </c>
      <c r="BP268" s="286"/>
      <c r="BQ268" s="286">
        <v>0</v>
      </c>
      <c r="BR268" s="286">
        <v>0</v>
      </c>
      <c r="BS268" s="286"/>
      <c r="BT268" s="286">
        <v>0</v>
      </c>
      <c r="BU268" s="286">
        <v>0</v>
      </c>
      <c r="BV268" s="286"/>
      <c r="BW268" s="286">
        <v>0</v>
      </c>
      <c r="BX268" s="286">
        <v>0</v>
      </c>
      <c r="BY268" s="286"/>
      <c r="BZ268" s="286">
        <v>0</v>
      </c>
      <c r="CA268" s="286">
        <v>0</v>
      </c>
      <c r="CB268" s="286"/>
      <c r="CC268" s="286">
        <v>0</v>
      </c>
      <c r="CD268" s="286">
        <v>0</v>
      </c>
      <c r="CE268" s="286"/>
      <c r="CF268" s="286">
        <v>0</v>
      </c>
      <c r="CG268" s="286">
        <v>0</v>
      </c>
      <c r="CH268" s="286"/>
      <c r="CI268" s="286">
        <v>0</v>
      </c>
      <c r="CJ268" s="286">
        <v>0</v>
      </c>
    </row>
    <row r="269" spans="1:88" ht="30" x14ac:dyDescent="0.25">
      <c r="A269" s="364"/>
      <c r="B269" s="16" t="s">
        <v>1182</v>
      </c>
      <c r="C269" s="101" t="s">
        <v>52</v>
      </c>
      <c r="D269" s="101" t="s">
        <v>1111</v>
      </c>
      <c r="E269" s="103"/>
      <c r="F269" s="103">
        <v>6159</v>
      </c>
      <c r="G269" s="103">
        <f t="shared" ref="G269:N269" si="296">G270+G271</f>
        <v>9367</v>
      </c>
      <c r="H269" s="103">
        <f t="shared" si="296"/>
        <v>0</v>
      </c>
      <c r="I269" s="103">
        <f t="shared" si="296"/>
        <v>0</v>
      </c>
      <c r="J269" s="103">
        <f t="shared" si="296"/>
        <v>0</v>
      </c>
      <c r="K269" s="103">
        <f t="shared" si="296"/>
        <v>0</v>
      </c>
      <c r="L269" s="103">
        <f t="shared" si="296"/>
        <v>0</v>
      </c>
      <c r="M269" s="103">
        <f t="shared" si="296"/>
        <v>0</v>
      </c>
      <c r="N269" s="103">
        <f t="shared" si="296"/>
        <v>0</v>
      </c>
      <c r="P269" s="103">
        <f>P270+P271</f>
        <v>0</v>
      </c>
      <c r="Q269" s="103">
        <f>Q270+Q271</f>
        <v>0</v>
      </c>
      <c r="R269" s="103">
        <f>R270+R271</f>
        <v>0</v>
      </c>
      <c r="S269" s="103">
        <f>S270+S271</f>
        <v>0</v>
      </c>
      <c r="T269" s="286"/>
      <c r="U269" s="103">
        <f>U270+U271</f>
        <v>0</v>
      </c>
      <c r="V269" s="103">
        <f>V270+V271</f>
        <v>0</v>
      </c>
      <c r="W269" s="286"/>
      <c r="X269" s="103">
        <f>X270+X271</f>
        <v>0</v>
      </c>
      <c r="Y269" s="103">
        <f>Y270+Y271</f>
        <v>0</v>
      </c>
      <c r="Z269" s="286"/>
      <c r="AA269" s="103">
        <f>AA270+AA271</f>
        <v>0</v>
      </c>
      <c r="AB269" s="103">
        <f>AB270+AB271</f>
        <v>0</v>
      </c>
      <c r="AC269" s="286"/>
      <c r="AD269" s="103">
        <f>AD270+AD271</f>
        <v>0</v>
      </c>
      <c r="AE269" s="103">
        <f>AE270+AE271</f>
        <v>0</v>
      </c>
      <c r="AF269" s="286"/>
      <c r="AG269" s="103">
        <f>AG270+AG271</f>
        <v>0</v>
      </c>
      <c r="AH269" s="103">
        <f>AH270+AH271</f>
        <v>0</v>
      </c>
      <c r="AI269" s="286"/>
      <c r="AJ269" s="103">
        <f>AJ270+AJ271</f>
        <v>0</v>
      </c>
      <c r="AK269" s="103">
        <f>AK270+AK271</f>
        <v>0</v>
      </c>
      <c r="AL269" s="286"/>
      <c r="AM269" s="103">
        <f>AM270+AM271</f>
        <v>0</v>
      </c>
      <c r="AN269" s="103">
        <f>AN270+AN271</f>
        <v>0</v>
      </c>
      <c r="AO269" s="286"/>
      <c r="AP269" s="103">
        <f>AP270+AP271</f>
        <v>0</v>
      </c>
      <c r="AQ269" s="103">
        <f>AQ270+AQ271</f>
        <v>0</v>
      </c>
      <c r="AR269" s="286"/>
      <c r="AS269" s="103">
        <f>AS270+AS271</f>
        <v>0</v>
      </c>
      <c r="AT269" s="103">
        <f>AT270+AT271</f>
        <v>0</v>
      </c>
      <c r="AU269" s="286"/>
      <c r="AV269" s="103">
        <f>AV270+AV271</f>
        <v>0</v>
      </c>
      <c r="AW269" s="103">
        <f>AW270+AW271</f>
        <v>0</v>
      </c>
      <c r="AX269" s="286"/>
      <c r="AY269" s="103">
        <f>AY270+AY271</f>
        <v>0</v>
      </c>
      <c r="AZ269" s="103">
        <f>AZ270+AZ271</f>
        <v>0</v>
      </c>
      <c r="BA269" s="286"/>
      <c r="BB269" s="103">
        <f>BB270+BB271</f>
        <v>0</v>
      </c>
      <c r="BC269" s="103">
        <f>BC270+BC271</f>
        <v>0</v>
      </c>
      <c r="BD269" s="286"/>
      <c r="BE269" s="103">
        <f>BE270+BE271</f>
        <v>0</v>
      </c>
      <c r="BF269" s="103">
        <f>BF270+BF271</f>
        <v>0</v>
      </c>
      <c r="BG269" s="286"/>
      <c r="BH269" s="103">
        <f>BH270+BH271</f>
        <v>0</v>
      </c>
      <c r="BI269" s="103">
        <f>BI270+BI271</f>
        <v>0</v>
      </c>
      <c r="BJ269" s="286"/>
      <c r="BK269" s="103">
        <f>BK270+BK271</f>
        <v>0</v>
      </c>
      <c r="BL269" s="103">
        <f>BL270+BL271</f>
        <v>0</v>
      </c>
      <c r="BM269" s="286"/>
      <c r="BN269" s="103">
        <f>BN270+BN271</f>
        <v>0</v>
      </c>
      <c r="BO269" s="103">
        <f>BO270+BO271</f>
        <v>0</v>
      </c>
      <c r="BP269" s="286"/>
      <c r="BQ269" s="103">
        <f>BQ270+BQ271</f>
        <v>0</v>
      </c>
      <c r="BR269" s="103">
        <f>BR270+BR271</f>
        <v>0</v>
      </c>
      <c r="BS269" s="286"/>
      <c r="BT269" s="103">
        <f>BT270+BT271</f>
        <v>0</v>
      </c>
      <c r="BU269" s="103">
        <f>BU270+BU271</f>
        <v>0</v>
      </c>
      <c r="BV269" s="286"/>
      <c r="BW269" s="103">
        <f>BW270+BW271</f>
        <v>0</v>
      </c>
      <c r="BX269" s="103">
        <f>BX270+BX271</f>
        <v>0</v>
      </c>
      <c r="BY269" s="286"/>
      <c r="BZ269" s="103">
        <f>BZ270+BZ271</f>
        <v>0</v>
      </c>
      <c r="CA269" s="103">
        <f>CA270+CA271</f>
        <v>0</v>
      </c>
      <c r="CB269" s="286"/>
      <c r="CC269" s="103">
        <f>CC270+CC271</f>
        <v>0</v>
      </c>
      <c r="CD269" s="103">
        <f>CD270+CD271</f>
        <v>0</v>
      </c>
      <c r="CE269" s="286"/>
      <c r="CF269" s="103">
        <f>CF270+CF271</f>
        <v>0</v>
      </c>
      <c r="CG269" s="103">
        <f>CG270+CG271</f>
        <v>0</v>
      </c>
      <c r="CH269" s="286"/>
      <c r="CI269" s="103">
        <f>CI270+CI271</f>
        <v>0</v>
      </c>
      <c r="CJ269" s="103">
        <f>CJ270+CJ271</f>
        <v>0</v>
      </c>
    </row>
    <row r="270" spans="1:88" x14ac:dyDescent="0.25">
      <c r="A270" s="364"/>
      <c r="B270" s="91" t="s">
        <v>1183</v>
      </c>
      <c r="C270" s="101"/>
      <c r="D270" s="101"/>
      <c r="E270" s="103"/>
      <c r="F270" s="103"/>
      <c r="G270" s="103">
        <v>9367</v>
      </c>
      <c r="H270" s="103">
        <v>0</v>
      </c>
      <c r="I270" s="103">
        <v>0</v>
      </c>
      <c r="J270" s="103">
        <v>0</v>
      </c>
      <c r="K270" s="103">
        <v>0</v>
      </c>
      <c r="L270" s="103">
        <v>0</v>
      </c>
      <c r="M270" s="103">
        <v>0</v>
      </c>
      <c r="N270" s="103">
        <v>0</v>
      </c>
      <c r="P270" s="286">
        <f>R270+U270+X270+AA270+AD270+AG270+AJ270+AM270+AP270+AS270+AV270+AY270+BB270+BE270+BH270+BK270+BN270+BQ270+BT270+BW270+BZ270+CC270+CF270+CI270</f>
        <v>0</v>
      </c>
      <c r="Q270" s="286">
        <f>S270+V270+Y270+AB270+AE270+AH270+AK270+AN270+AQ270+AT270+AW270+AZ270+BC270+BF270+BI270+BL270+BO270+BR270+BU270+BX270+CA270+CD270+CG270+CJ270</f>
        <v>0</v>
      </c>
      <c r="R270" s="302"/>
      <c r="S270" s="286"/>
      <c r="T270" s="286"/>
      <c r="U270" s="286"/>
      <c r="V270" s="286"/>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6"/>
      <c r="BI270" s="286"/>
      <c r="BJ270" s="286"/>
      <c r="BK270" s="286"/>
      <c r="BL270" s="286"/>
      <c r="BM270" s="286"/>
      <c r="BN270" s="286"/>
      <c r="BO270" s="286"/>
      <c r="BP270" s="286"/>
      <c r="BQ270" s="286"/>
      <c r="BR270" s="286"/>
      <c r="BS270" s="286"/>
      <c r="BT270" s="286">
        <v>0</v>
      </c>
      <c r="BU270" s="286"/>
      <c r="BV270" s="286"/>
      <c r="BW270" s="286"/>
      <c r="BX270" s="286"/>
      <c r="BY270" s="286"/>
      <c r="BZ270" s="286"/>
      <c r="CA270" s="286"/>
      <c r="CB270" s="286"/>
      <c r="CC270" s="286"/>
      <c r="CD270" s="286"/>
      <c r="CE270" s="286"/>
      <c r="CF270" s="286"/>
      <c r="CG270" s="286">
        <v>0</v>
      </c>
      <c r="CH270" s="286"/>
      <c r="CI270" s="286"/>
      <c r="CJ270" s="286">
        <v>0</v>
      </c>
    </row>
    <row r="271" spans="1:88" x14ac:dyDescent="0.25">
      <c r="A271" s="364"/>
      <c r="B271" s="91" t="s">
        <v>1185</v>
      </c>
      <c r="C271" s="101"/>
      <c r="D271" s="101"/>
      <c r="E271" s="103"/>
      <c r="F271" s="103"/>
      <c r="G271" s="103">
        <v>0</v>
      </c>
      <c r="H271" s="103">
        <v>0</v>
      </c>
      <c r="I271" s="103">
        <v>0</v>
      </c>
      <c r="J271" s="103">
        <v>0</v>
      </c>
      <c r="K271" s="103">
        <v>0</v>
      </c>
      <c r="L271" s="103">
        <v>0</v>
      </c>
      <c r="M271" s="103">
        <v>0</v>
      </c>
      <c r="N271" s="103">
        <v>0</v>
      </c>
      <c r="P271" s="286">
        <f>R271+U271+X271+AA271+AD271+AG271+AJ271+AM271+AP271+AS271+AV271+AY271+BB271+BE271+BH271+BK271+BN271+BQ271+BT271+BW271+BZ271+CC271+CF271+CI271</f>
        <v>0</v>
      </c>
      <c r="Q271" s="286">
        <f>S271+V271+Y271+AB271+AE271+AH271+AK271+AN271+AQ271+AT271+AW271+AZ271+BC271+BF271+BI271+BL271+BO271+BR271+BU271+BX271+CA271+CD271+CG271+CJ271</f>
        <v>0</v>
      </c>
      <c r="R271" s="302"/>
      <c r="S271" s="286"/>
      <c r="T271" s="286"/>
      <c r="U271" s="286"/>
      <c r="V271" s="286"/>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86"/>
      <c r="BQ271" s="286"/>
      <c r="BR271" s="286"/>
      <c r="BS271" s="286"/>
      <c r="BT271" s="286">
        <v>0</v>
      </c>
      <c r="BU271" s="286"/>
      <c r="BV271" s="286"/>
      <c r="BW271" s="286"/>
      <c r="BX271" s="286"/>
      <c r="BY271" s="286"/>
      <c r="BZ271" s="286"/>
      <c r="CA271" s="286"/>
      <c r="CB271" s="286"/>
      <c r="CC271" s="286"/>
      <c r="CD271" s="286"/>
      <c r="CE271" s="286"/>
      <c r="CF271" s="286"/>
      <c r="CG271" s="286">
        <v>0</v>
      </c>
      <c r="CH271" s="286"/>
      <c r="CI271" s="286"/>
      <c r="CJ271" s="286">
        <v>0</v>
      </c>
    </row>
    <row r="272" spans="1:88" x14ac:dyDescent="0.25">
      <c r="A272" s="364"/>
      <c r="B272" s="16" t="s">
        <v>1184</v>
      </c>
      <c r="C272" s="101"/>
      <c r="D272" s="101"/>
      <c r="E272" s="103"/>
      <c r="F272" s="103"/>
      <c r="G272" s="103">
        <f t="shared" ref="G272:N272" si="297">G273+G274</f>
        <v>0</v>
      </c>
      <c r="H272" s="103">
        <f t="shared" si="297"/>
        <v>0</v>
      </c>
      <c r="I272" s="103">
        <f t="shared" si="297"/>
        <v>0</v>
      </c>
      <c r="J272" s="103">
        <f t="shared" si="297"/>
        <v>0</v>
      </c>
      <c r="K272" s="103">
        <f t="shared" si="297"/>
        <v>0</v>
      </c>
      <c r="L272" s="103">
        <f t="shared" si="297"/>
        <v>0</v>
      </c>
      <c r="M272" s="103">
        <f t="shared" si="297"/>
        <v>0</v>
      </c>
      <c r="N272" s="103">
        <f t="shared" si="297"/>
        <v>0</v>
      </c>
      <c r="P272" s="103">
        <f>P273+P274</f>
        <v>0</v>
      </c>
      <c r="Q272" s="103">
        <f>Q273+Q274</f>
        <v>0</v>
      </c>
      <c r="R272" s="103">
        <f>R273+R274</f>
        <v>0</v>
      </c>
      <c r="S272" s="103">
        <f>S273+S274</f>
        <v>0</v>
      </c>
      <c r="T272" s="286"/>
      <c r="U272" s="103">
        <f>U273+U274</f>
        <v>0</v>
      </c>
      <c r="V272" s="103">
        <f>V273+V274</f>
        <v>0</v>
      </c>
      <c r="W272" s="286"/>
      <c r="X272" s="103">
        <f>X273+X274</f>
        <v>0</v>
      </c>
      <c r="Y272" s="103">
        <f>Y273+Y274</f>
        <v>0</v>
      </c>
      <c r="Z272" s="286"/>
      <c r="AA272" s="103">
        <f>AA273+AA274</f>
        <v>0</v>
      </c>
      <c r="AB272" s="103">
        <f>AB273+AB274</f>
        <v>0</v>
      </c>
      <c r="AC272" s="286"/>
      <c r="AD272" s="103">
        <f>AD273+AD274</f>
        <v>0</v>
      </c>
      <c r="AE272" s="103">
        <f>AE273+AE274</f>
        <v>0</v>
      </c>
      <c r="AF272" s="286"/>
      <c r="AG272" s="103">
        <f>AG273+AG274</f>
        <v>0</v>
      </c>
      <c r="AH272" s="103">
        <f>AH273+AH274</f>
        <v>0</v>
      </c>
      <c r="AI272" s="286"/>
      <c r="AJ272" s="103">
        <f>AJ273+AJ274</f>
        <v>0</v>
      </c>
      <c r="AK272" s="103">
        <f>AK273+AK274</f>
        <v>0</v>
      </c>
      <c r="AL272" s="286"/>
      <c r="AM272" s="103">
        <f>AM273+AM274</f>
        <v>0</v>
      </c>
      <c r="AN272" s="103">
        <f>AN273+AN274</f>
        <v>0</v>
      </c>
      <c r="AO272" s="286"/>
      <c r="AP272" s="103">
        <f>AP273+AP274</f>
        <v>0</v>
      </c>
      <c r="AQ272" s="103">
        <f>AQ273+AQ274</f>
        <v>0</v>
      </c>
      <c r="AR272" s="286"/>
      <c r="AS272" s="103">
        <f>AS273+AS274</f>
        <v>0</v>
      </c>
      <c r="AT272" s="103">
        <f>AT273+AT274</f>
        <v>0</v>
      </c>
      <c r="AU272" s="286"/>
      <c r="AV272" s="103">
        <f>AV273+AV274</f>
        <v>0</v>
      </c>
      <c r="AW272" s="103">
        <f>AW273+AW274</f>
        <v>0</v>
      </c>
      <c r="AX272" s="286"/>
      <c r="AY272" s="103">
        <f>AY273+AY274</f>
        <v>0</v>
      </c>
      <c r="AZ272" s="103">
        <f>AZ273+AZ274</f>
        <v>0</v>
      </c>
      <c r="BA272" s="286"/>
      <c r="BB272" s="103">
        <f>BB273+BB274</f>
        <v>0</v>
      </c>
      <c r="BC272" s="103">
        <f>BC273+BC274</f>
        <v>0</v>
      </c>
      <c r="BD272" s="286"/>
      <c r="BE272" s="103">
        <f>BE273+BE274</f>
        <v>0</v>
      </c>
      <c r="BF272" s="103">
        <f>BF273+BF274</f>
        <v>0</v>
      </c>
      <c r="BG272" s="286"/>
      <c r="BH272" s="103">
        <f>BH273+BH274</f>
        <v>0</v>
      </c>
      <c r="BI272" s="103">
        <f>BI273+BI274</f>
        <v>0</v>
      </c>
      <c r="BJ272" s="286"/>
      <c r="BK272" s="103">
        <f>BK273+BK274</f>
        <v>0</v>
      </c>
      <c r="BL272" s="103">
        <f>BL273+BL274</f>
        <v>0</v>
      </c>
      <c r="BM272" s="286"/>
      <c r="BN272" s="103">
        <f>BN273+BN274</f>
        <v>0</v>
      </c>
      <c r="BO272" s="103">
        <f>BO273+BO274</f>
        <v>0</v>
      </c>
      <c r="BP272" s="286"/>
      <c r="BQ272" s="103">
        <f>BQ273+BQ274</f>
        <v>0</v>
      </c>
      <c r="BR272" s="103">
        <f>BR273+BR274</f>
        <v>0</v>
      </c>
      <c r="BS272" s="286"/>
      <c r="BT272" s="103">
        <f>BT273+BT274</f>
        <v>0</v>
      </c>
      <c r="BU272" s="103">
        <f>BU273+BU274</f>
        <v>0</v>
      </c>
      <c r="BV272" s="286"/>
      <c r="BW272" s="103">
        <f>BW273+BW274</f>
        <v>0</v>
      </c>
      <c r="BX272" s="103">
        <f>BX273+BX274</f>
        <v>0</v>
      </c>
      <c r="BY272" s="286"/>
      <c r="BZ272" s="103">
        <f>BZ273+BZ274</f>
        <v>0</v>
      </c>
      <c r="CA272" s="103">
        <f>CA273+CA274</f>
        <v>0</v>
      </c>
      <c r="CB272" s="286"/>
      <c r="CC272" s="103">
        <f>CC273+CC274</f>
        <v>0</v>
      </c>
      <c r="CD272" s="103">
        <f>CD273+CD274</f>
        <v>0</v>
      </c>
      <c r="CE272" s="286"/>
      <c r="CF272" s="103">
        <f>CF273+CF274</f>
        <v>0</v>
      </c>
      <c r="CG272" s="103">
        <f>CG273+CG274</f>
        <v>0</v>
      </c>
      <c r="CH272" s="286"/>
      <c r="CI272" s="103">
        <f>CI273+CI274</f>
        <v>0</v>
      </c>
      <c r="CJ272" s="103">
        <f>CJ273+CJ274</f>
        <v>0</v>
      </c>
    </row>
    <row r="273" spans="1:88" x14ac:dyDescent="0.25">
      <c r="A273" s="364"/>
      <c r="B273" s="91" t="s">
        <v>1183</v>
      </c>
      <c r="C273" s="101"/>
      <c r="D273" s="101"/>
      <c r="E273" s="103"/>
      <c r="F273" s="103"/>
      <c r="G273" s="103">
        <v>0</v>
      </c>
      <c r="H273" s="103">
        <v>0</v>
      </c>
      <c r="I273" s="103">
        <v>0</v>
      </c>
      <c r="J273" s="103">
        <v>0</v>
      </c>
      <c r="K273" s="103">
        <v>0</v>
      </c>
      <c r="L273" s="103">
        <v>0</v>
      </c>
      <c r="M273" s="103">
        <v>0</v>
      </c>
      <c r="N273" s="103">
        <v>0</v>
      </c>
      <c r="P273" s="286">
        <f>R273+U273+X273+AA273+AD273+AG273+AJ273+AM273+AP273+AS273+AV273+AY273+BB273+BE273+BH273+BK273+BN273+BQ273+BT273+BW273+BZ273+CC273+CF273+CI273</f>
        <v>0</v>
      </c>
      <c r="Q273" s="286">
        <f>S273+V273+Y273+AB273+AE273+AH273+AK273+AN273+AQ273+AT273+AW273+AZ273+BC273+BF273+BI273+BL273+BO273+BR273+BU273+BX273+CA273+CD273+CG273+CJ273</f>
        <v>0</v>
      </c>
      <c r="R273" s="286">
        <v>0</v>
      </c>
      <c r="S273" s="286">
        <v>0</v>
      </c>
      <c r="T273" s="286"/>
      <c r="U273" s="286">
        <v>0</v>
      </c>
      <c r="V273" s="286">
        <v>0</v>
      </c>
      <c r="W273" s="286"/>
      <c r="X273" s="286">
        <v>0</v>
      </c>
      <c r="Y273" s="286">
        <v>0</v>
      </c>
      <c r="Z273" s="286"/>
      <c r="AA273" s="286">
        <v>0</v>
      </c>
      <c r="AB273" s="286">
        <v>0</v>
      </c>
      <c r="AC273" s="286"/>
      <c r="AD273" s="286">
        <v>0</v>
      </c>
      <c r="AE273" s="286">
        <v>0</v>
      </c>
      <c r="AF273" s="286"/>
      <c r="AG273" s="286">
        <v>0</v>
      </c>
      <c r="AH273" s="286">
        <v>0</v>
      </c>
      <c r="AI273" s="286"/>
      <c r="AJ273" s="286">
        <v>0</v>
      </c>
      <c r="AK273" s="286">
        <v>0</v>
      </c>
      <c r="AL273" s="286"/>
      <c r="AM273" s="286">
        <v>0</v>
      </c>
      <c r="AN273" s="286">
        <v>0</v>
      </c>
      <c r="AO273" s="286"/>
      <c r="AP273" s="286">
        <v>0</v>
      </c>
      <c r="AQ273" s="286">
        <v>0</v>
      </c>
      <c r="AR273" s="286"/>
      <c r="AS273" s="286">
        <v>0</v>
      </c>
      <c r="AT273" s="286">
        <v>0</v>
      </c>
      <c r="AU273" s="286"/>
      <c r="AV273" s="286">
        <v>0</v>
      </c>
      <c r="AW273" s="286">
        <v>0</v>
      </c>
      <c r="AX273" s="286"/>
      <c r="AY273" s="286">
        <v>0</v>
      </c>
      <c r="AZ273" s="286">
        <v>0</v>
      </c>
      <c r="BA273" s="286"/>
      <c r="BB273" s="286">
        <v>0</v>
      </c>
      <c r="BC273" s="286">
        <v>0</v>
      </c>
      <c r="BD273" s="286"/>
      <c r="BE273" s="286">
        <v>0</v>
      </c>
      <c r="BF273" s="286">
        <v>0</v>
      </c>
      <c r="BG273" s="286"/>
      <c r="BH273" s="286">
        <v>0</v>
      </c>
      <c r="BI273" s="286">
        <v>0</v>
      </c>
      <c r="BJ273" s="286"/>
      <c r="BK273" s="286">
        <v>0</v>
      </c>
      <c r="BL273" s="286">
        <v>0</v>
      </c>
      <c r="BM273" s="286"/>
      <c r="BN273" s="286">
        <v>0</v>
      </c>
      <c r="BO273" s="286">
        <v>0</v>
      </c>
      <c r="BP273" s="286"/>
      <c r="BQ273" s="286">
        <v>0</v>
      </c>
      <c r="BR273" s="286">
        <v>0</v>
      </c>
      <c r="BS273" s="286"/>
      <c r="BT273" s="286">
        <v>0</v>
      </c>
      <c r="BU273" s="286">
        <v>0</v>
      </c>
      <c r="BV273" s="286"/>
      <c r="BW273" s="286">
        <v>0</v>
      </c>
      <c r="BX273" s="286">
        <v>0</v>
      </c>
      <c r="BY273" s="286"/>
      <c r="BZ273" s="286">
        <v>0</v>
      </c>
      <c r="CA273" s="286">
        <v>0</v>
      </c>
      <c r="CB273" s="286"/>
      <c r="CC273" s="286">
        <v>0</v>
      </c>
      <c r="CD273" s="286">
        <v>0</v>
      </c>
      <c r="CE273" s="286"/>
      <c r="CF273" s="286">
        <v>0</v>
      </c>
      <c r="CG273" s="286">
        <v>0</v>
      </c>
      <c r="CH273" s="286"/>
      <c r="CI273" s="286">
        <v>0</v>
      </c>
      <c r="CJ273" s="286">
        <v>0</v>
      </c>
    </row>
    <row r="274" spans="1:88" x14ac:dyDescent="0.25">
      <c r="A274" s="364"/>
      <c r="B274" s="91" t="s">
        <v>1185</v>
      </c>
      <c r="C274" s="101"/>
      <c r="D274" s="101"/>
      <c r="E274" s="103"/>
      <c r="F274" s="103"/>
      <c r="G274" s="103">
        <v>0</v>
      </c>
      <c r="H274" s="103">
        <v>0</v>
      </c>
      <c r="I274" s="103">
        <v>0</v>
      </c>
      <c r="J274" s="103">
        <v>0</v>
      </c>
      <c r="K274" s="103">
        <v>0</v>
      </c>
      <c r="L274" s="103">
        <v>0</v>
      </c>
      <c r="M274" s="103">
        <v>0</v>
      </c>
      <c r="N274" s="103">
        <v>0</v>
      </c>
      <c r="P274" s="286">
        <f>R274+U274+X274+AA274+AD274+AG274+AJ274+AM274+AP274+AS274+AV274+AY274+BB274+BE274+BH274+BK274+BN274+BQ274+BT274+BW274+BZ274+CC274+CF274+CI274</f>
        <v>0</v>
      </c>
      <c r="Q274" s="286">
        <f>S274+V274+Y274+AB274+AE274+AH274+AK274+AN274+AQ274+AT274+AW274+AZ274+BC274+BF274+BI274+BL274+BO274+BR274+BU274+BX274+CA274+CD274+CG274+CJ274</f>
        <v>0</v>
      </c>
      <c r="R274" s="286">
        <v>0</v>
      </c>
      <c r="S274" s="286">
        <v>0</v>
      </c>
      <c r="T274" s="286"/>
      <c r="U274" s="286">
        <v>0</v>
      </c>
      <c r="V274" s="286">
        <v>0</v>
      </c>
      <c r="W274" s="286"/>
      <c r="X274" s="286">
        <v>0</v>
      </c>
      <c r="Y274" s="286">
        <v>0</v>
      </c>
      <c r="Z274" s="286"/>
      <c r="AA274" s="286">
        <v>0</v>
      </c>
      <c r="AB274" s="286">
        <v>0</v>
      </c>
      <c r="AC274" s="286"/>
      <c r="AD274" s="286">
        <v>0</v>
      </c>
      <c r="AE274" s="286">
        <v>0</v>
      </c>
      <c r="AF274" s="286"/>
      <c r="AG274" s="286">
        <v>0</v>
      </c>
      <c r="AH274" s="286">
        <v>0</v>
      </c>
      <c r="AI274" s="286"/>
      <c r="AJ274" s="286">
        <v>0</v>
      </c>
      <c r="AK274" s="286">
        <v>0</v>
      </c>
      <c r="AL274" s="286"/>
      <c r="AM274" s="286">
        <v>0</v>
      </c>
      <c r="AN274" s="286">
        <v>0</v>
      </c>
      <c r="AO274" s="286"/>
      <c r="AP274" s="286">
        <v>0</v>
      </c>
      <c r="AQ274" s="286">
        <v>0</v>
      </c>
      <c r="AR274" s="286"/>
      <c r="AS274" s="286">
        <v>0</v>
      </c>
      <c r="AT274" s="286">
        <v>0</v>
      </c>
      <c r="AU274" s="286"/>
      <c r="AV274" s="286">
        <v>0</v>
      </c>
      <c r="AW274" s="286">
        <v>0</v>
      </c>
      <c r="AX274" s="286"/>
      <c r="AY274" s="286">
        <v>0</v>
      </c>
      <c r="AZ274" s="286">
        <v>0</v>
      </c>
      <c r="BA274" s="286"/>
      <c r="BB274" s="286">
        <v>0</v>
      </c>
      <c r="BC274" s="286">
        <v>0</v>
      </c>
      <c r="BD274" s="286"/>
      <c r="BE274" s="286">
        <v>0</v>
      </c>
      <c r="BF274" s="286">
        <v>0</v>
      </c>
      <c r="BG274" s="286"/>
      <c r="BH274" s="286">
        <v>0</v>
      </c>
      <c r="BI274" s="286">
        <v>0</v>
      </c>
      <c r="BJ274" s="286"/>
      <c r="BK274" s="286">
        <v>0</v>
      </c>
      <c r="BL274" s="286">
        <v>0</v>
      </c>
      <c r="BM274" s="286"/>
      <c r="BN274" s="286">
        <v>0</v>
      </c>
      <c r="BO274" s="286">
        <v>0</v>
      </c>
      <c r="BP274" s="286"/>
      <c r="BQ274" s="286">
        <v>0</v>
      </c>
      <c r="BR274" s="286">
        <v>0</v>
      </c>
      <c r="BS274" s="286"/>
      <c r="BT274" s="286">
        <v>0</v>
      </c>
      <c r="BU274" s="286">
        <v>0</v>
      </c>
      <c r="BV274" s="286"/>
      <c r="BW274" s="286">
        <v>0</v>
      </c>
      <c r="BX274" s="286">
        <v>0</v>
      </c>
      <c r="BY274" s="286"/>
      <c r="BZ274" s="286">
        <v>0</v>
      </c>
      <c r="CA274" s="286">
        <v>0</v>
      </c>
      <c r="CB274" s="286"/>
      <c r="CC274" s="286">
        <v>0</v>
      </c>
      <c r="CD274" s="286">
        <v>0</v>
      </c>
      <c r="CE274" s="286"/>
      <c r="CF274" s="286">
        <v>0</v>
      </c>
      <c r="CG274" s="286">
        <v>0</v>
      </c>
      <c r="CH274" s="286"/>
      <c r="CI274" s="286">
        <v>0</v>
      </c>
      <c r="CJ274" s="286">
        <v>0</v>
      </c>
    </row>
    <row r="275" spans="1:88" ht="30" x14ac:dyDescent="0.25">
      <c r="A275" s="102"/>
      <c r="B275" s="91" t="s">
        <v>53</v>
      </c>
      <c r="C275" s="101" t="s">
        <v>54</v>
      </c>
      <c r="D275" s="101" t="s">
        <v>950</v>
      </c>
      <c r="E275" s="103"/>
      <c r="F275" s="103"/>
      <c r="G275" s="103"/>
      <c r="H275" s="103"/>
      <c r="I275" s="103">
        <f t="shared" ref="I275:N275" si="298">I276+I279</f>
        <v>103246</v>
      </c>
      <c r="J275" s="103">
        <f t="shared" si="298"/>
        <v>108408</v>
      </c>
      <c r="K275" s="103">
        <f t="shared" si="298"/>
        <v>107463</v>
      </c>
      <c r="L275" s="103">
        <f t="shared" si="298"/>
        <v>1830</v>
      </c>
      <c r="M275" s="103">
        <f t="shared" si="298"/>
        <v>1721</v>
      </c>
      <c r="N275" s="103">
        <f t="shared" si="298"/>
        <v>1631</v>
      </c>
      <c r="O275" s="286" t="s">
        <v>1396</v>
      </c>
      <c r="P275" s="103">
        <f>P276+P279</f>
        <v>107393</v>
      </c>
      <c r="Q275" s="103">
        <f>Q276+Q279</f>
        <v>103610</v>
      </c>
      <c r="R275" s="103">
        <f>R276+R279</f>
        <v>1697</v>
      </c>
      <c r="S275" s="103">
        <f>S276+S279</f>
        <v>1575</v>
      </c>
      <c r="T275" s="286"/>
      <c r="U275" s="103">
        <f>U276+U279</f>
        <v>1472</v>
      </c>
      <c r="V275" s="103">
        <f>V276+V279</f>
        <v>1300</v>
      </c>
      <c r="W275" s="286"/>
      <c r="X275" s="103">
        <f>X276+X279</f>
        <v>1637</v>
      </c>
      <c r="Y275" s="103">
        <f>Y276+Y279</f>
        <v>1553</v>
      </c>
      <c r="Z275" s="286"/>
      <c r="AA275" s="103">
        <f>AA276+AA279</f>
        <v>2186</v>
      </c>
      <c r="AB275" s="103">
        <f>AB276+AB279</f>
        <v>2016</v>
      </c>
      <c r="AC275" s="286"/>
      <c r="AD275" s="103">
        <f>AD276+AD279</f>
        <v>1252</v>
      </c>
      <c r="AE275" s="103">
        <f>AE276+AE279</f>
        <v>1127</v>
      </c>
      <c r="AF275" s="286"/>
      <c r="AG275" s="103">
        <f>AG276+AG279</f>
        <v>1516</v>
      </c>
      <c r="AH275" s="103">
        <f>AH276+AH279</f>
        <v>1480</v>
      </c>
      <c r="AI275" s="286"/>
      <c r="AJ275" s="103">
        <f>AJ276+AJ279</f>
        <v>3140</v>
      </c>
      <c r="AK275" s="103">
        <f>AK276+AK279</f>
        <v>2943</v>
      </c>
      <c r="AL275" s="286"/>
      <c r="AM275" s="103">
        <f>AM276+AM279</f>
        <v>7832</v>
      </c>
      <c r="AN275" s="103">
        <f>AN276+AN279</f>
        <v>7437</v>
      </c>
      <c r="AO275" s="286"/>
      <c r="AP275" s="103">
        <f>AP276+AP279</f>
        <v>686</v>
      </c>
      <c r="AQ275" s="103">
        <f>AQ276+AQ279</f>
        <v>641</v>
      </c>
      <c r="AR275" s="286"/>
      <c r="AS275" s="103">
        <f>AS276+AS279</f>
        <v>7745</v>
      </c>
      <c r="AT275" s="103">
        <f>AT276+AT279</f>
        <v>7736</v>
      </c>
      <c r="AU275" s="286"/>
      <c r="AV275" s="103">
        <f>AV276+AV279</f>
        <v>2401</v>
      </c>
      <c r="AW275" s="103">
        <f>AW276+AW279</f>
        <v>2131</v>
      </c>
      <c r="AX275" s="286"/>
      <c r="AY275" s="103">
        <f>AY276+AY279</f>
        <v>3226</v>
      </c>
      <c r="AZ275" s="103">
        <f>AZ276+AZ279</f>
        <v>2945</v>
      </c>
      <c r="BA275" s="286"/>
      <c r="BB275" s="103">
        <f>BB276+BB279</f>
        <v>5529</v>
      </c>
      <c r="BC275" s="103">
        <f>BC276+BC279</f>
        <v>5165</v>
      </c>
      <c r="BD275" s="286"/>
      <c r="BE275" s="103">
        <f>BE276+BE279</f>
        <v>19243</v>
      </c>
      <c r="BF275" s="103">
        <f>BF276+BF279</f>
        <v>18931</v>
      </c>
      <c r="BG275" s="286"/>
      <c r="BH275" s="103">
        <f>BH276+BH279</f>
        <v>29008</v>
      </c>
      <c r="BI275" s="103">
        <f>BI276+BI279</f>
        <v>29295</v>
      </c>
      <c r="BJ275" s="286"/>
      <c r="BK275" s="103">
        <f>BK276+BK279</f>
        <v>2876</v>
      </c>
      <c r="BL275" s="103">
        <f>BL276+BL279</f>
        <v>2609</v>
      </c>
      <c r="BM275" s="286"/>
      <c r="BN275" s="103">
        <f>BN276+BN279</f>
        <v>2734</v>
      </c>
      <c r="BO275" s="103">
        <f>BO276+BO279</f>
        <v>2575</v>
      </c>
      <c r="BP275" s="286"/>
      <c r="BQ275" s="103">
        <f>BQ276+BQ279</f>
        <v>3973</v>
      </c>
      <c r="BR275" s="103">
        <f>BR276+BR279</f>
        <v>3755</v>
      </c>
      <c r="BS275" s="286"/>
      <c r="BT275" s="103">
        <f>BT276+BT279</f>
        <v>4169</v>
      </c>
      <c r="BU275" s="103">
        <f>BU276+BU279</f>
        <v>4056</v>
      </c>
      <c r="BV275" s="286"/>
      <c r="BW275" s="103">
        <f>BW276+BW279</f>
        <v>1143</v>
      </c>
      <c r="BX275" s="103">
        <f>BX276+BX279</f>
        <v>1076</v>
      </c>
      <c r="BY275" s="286"/>
      <c r="BZ275" s="103">
        <f>BZ276+BZ279</f>
        <v>2475</v>
      </c>
      <c r="CA275" s="103">
        <f>CA276+CA279</f>
        <v>1894</v>
      </c>
      <c r="CB275" s="286"/>
      <c r="CC275" s="103">
        <f>CC276+CC279</f>
        <v>1453</v>
      </c>
      <c r="CD275" s="103">
        <f>CD276+CD279</f>
        <v>1370</v>
      </c>
      <c r="CE275" s="286"/>
      <c r="CF275" s="103">
        <f>CF276+CF279</f>
        <v>0</v>
      </c>
      <c r="CG275" s="103">
        <f>CG276+CG279</f>
        <v>0</v>
      </c>
      <c r="CH275" s="286"/>
      <c r="CI275" s="103">
        <f>CI276+CI279</f>
        <v>0</v>
      </c>
      <c r="CJ275" s="103">
        <f>CJ276+CJ279</f>
        <v>0</v>
      </c>
    </row>
    <row r="276" spans="1:88" x14ac:dyDescent="0.25">
      <c r="A276" s="102"/>
      <c r="B276" s="16" t="s">
        <v>1182</v>
      </c>
      <c r="C276" s="101"/>
      <c r="D276" s="101"/>
      <c r="E276" s="103"/>
      <c r="F276" s="103">
        <v>98267</v>
      </c>
      <c r="G276" s="103">
        <f t="shared" ref="G276:N276" si="299">G277+G278</f>
        <v>97065</v>
      </c>
      <c r="H276" s="103">
        <f t="shared" si="299"/>
        <v>99686</v>
      </c>
      <c r="I276" s="103">
        <f t="shared" si="299"/>
        <v>102156</v>
      </c>
      <c r="J276" s="103">
        <f t="shared" si="299"/>
        <v>107777</v>
      </c>
      <c r="K276" s="103">
        <f t="shared" si="299"/>
        <v>106606</v>
      </c>
      <c r="L276" s="103">
        <f t="shared" si="299"/>
        <v>1820</v>
      </c>
      <c r="M276" s="103">
        <f t="shared" si="299"/>
        <v>1710</v>
      </c>
      <c r="N276" s="103">
        <f t="shared" si="299"/>
        <v>1619</v>
      </c>
      <c r="O276" s="286"/>
      <c r="P276" s="103">
        <f>P277+P278</f>
        <v>106536</v>
      </c>
      <c r="Q276" s="103">
        <f>Q277+Q278</f>
        <v>103153</v>
      </c>
      <c r="R276" s="103">
        <f>R277+R278</f>
        <v>1697</v>
      </c>
      <c r="S276" s="103">
        <f>S277+S278</f>
        <v>1575</v>
      </c>
      <c r="T276" s="286"/>
      <c r="U276" s="103">
        <f>U277+U278</f>
        <v>1472</v>
      </c>
      <c r="V276" s="103">
        <f>V277+V278</f>
        <v>1300</v>
      </c>
      <c r="W276" s="286"/>
      <c r="X276" s="103">
        <f>X277+X278</f>
        <v>1637</v>
      </c>
      <c r="Y276" s="103">
        <f>Y277+Y278</f>
        <v>1553</v>
      </c>
      <c r="Z276" s="286"/>
      <c r="AA276" s="103">
        <f>AA277+AA278</f>
        <v>2186</v>
      </c>
      <c r="AB276" s="103">
        <f>AB277+AB278</f>
        <v>2016</v>
      </c>
      <c r="AC276" s="286"/>
      <c r="AD276" s="103">
        <f>AD277+AD278</f>
        <v>1252</v>
      </c>
      <c r="AE276" s="103">
        <f>AE277+AE278</f>
        <v>1127</v>
      </c>
      <c r="AF276" s="286"/>
      <c r="AG276" s="103">
        <f>AG277+AG278</f>
        <v>1505</v>
      </c>
      <c r="AH276" s="103">
        <f>AH277+AH278</f>
        <v>1470</v>
      </c>
      <c r="AI276" s="286"/>
      <c r="AJ276" s="103">
        <f>AJ277+AJ278</f>
        <v>3140</v>
      </c>
      <c r="AK276" s="103">
        <f>AK277+AK278</f>
        <v>2943</v>
      </c>
      <c r="AL276" s="286"/>
      <c r="AM276" s="103">
        <f>AM277+AM278</f>
        <v>7832</v>
      </c>
      <c r="AN276" s="103">
        <f>AN277+AN278</f>
        <v>7437</v>
      </c>
      <c r="AO276" s="286"/>
      <c r="AP276" s="103">
        <f>AP277+AP278</f>
        <v>686</v>
      </c>
      <c r="AQ276" s="103">
        <f>AQ277+AQ278</f>
        <v>641</v>
      </c>
      <c r="AR276" s="286"/>
      <c r="AS276" s="103">
        <f>AS277+AS278</f>
        <v>7420</v>
      </c>
      <c r="AT276" s="103">
        <f>AT277+AT278</f>
        <v>7373</v>
      </c>
      <c r="AU276" s="286"/>
      <c r="AV276" s="103">
        <f>AV277+AV278</f>
        <v>2401</v>
      </c>
      <c r="AW276" s="103">
        <f>AW277+AW278</f>
        <v>2131</v>
      </c>
      <c r="AX276" s="286"/>
      <c r="AY276" s="103">
        <f>AY277+AY278</f>
        <v>3163</v>
      </c>
      <c r="AZ276" s="103">
        <f>AZ277+AZ278</f>
        <v>2945</v>
      </c>
      <c r="BA276" s="286"/>
      <c r="BB276" s="103">
        <f>BB277+BB278</f>
        <v>5287</v>
      </c>
      <c r="BC276" s="103">
        <f>BC277+BC278</f>
        <v>5165</v>
      </c>
      <c r="BD276" s="286"/>
      <c r="BE276" s="103">
        <f>BE277+BE278</f>
        <v>19207</v>
      </c>
      <c r="BF276" s="103">
        <f>BF277+BF278</f>
        <v>18931</v>
      </c>
      <c r="BG276" s="286"/>
      <c r="BH276" s="103">
        <f>BH277+BH278</f>
        <v>28828</v>
      </c>
      <c r="BI276" s="103">
        <f>BI277+BI278</f>
        <v>29211</v>
      </c>
      <c r="BJ276" s="286"/>
      <c r="BK276" s="103">
        <f>BK277+BK278</f>
        <v>2876</v>
      </c>
      <c r="BL276" s="103">
        <f>BL277+BL278</f>
        <v>2609</v>
      </c>
      <c r="BM276" s="286"/>
      <c r="BN276" s="103">
        <f>BN277+BN278</f>
        <v>2734</v>
      </c>
      <c r="BO276" s="103">
        <f>BO277+BO278</f>
        <v>2575</v>
      </c>
      <c r="BP276" s="286"/>
      <c r="BQ276" s="103">
        <f>BQ277+BQ278</f>
        <v>3973</v>
      </c>
      <c r="BR276" s="103">
        <f>BR277+BR278</f>
        <v>3755</v>
      </c>
      <c r="BS276" s="286"/>
      <c r="BT276" s="103">
        <f>BT277+BT278</f>
        <v>4169</v>
      </c>
      <c r="BU276" s="103">
        <f>BU277+BU278</f>
        <v>4056</v>
      </c>
      <c r="BV276" s="286"/>
      <c r="BW276" s="103">
        <f>BW277+BW278</f>
        <v>1143</v>
      </c>
      <c r="BX276" s="103">
        <f>BX277+BX278</f>
        <v>1076</v>
      </c>
      <c r="BY276" s="286"/>
      <c r="BZ276" s="103">
        <f>BZ277+BZ278</f>
        <v>2475</v>
      </c>
      <c r="CA276" s="103">
        <f>CA277+CA278</f>
        <v>1894</v>
      </c>
      <c r="CB276" s="286"/>
      <c r="CC276" s="103">
        <f>CC277+CC278</f>
        <v>1453</v>
      </c>
      <c r="CD276" s="103">
        <f>CD277+CD278</f>
        <v>1370</v>
      </c>
      <c r="CE276" s="286"/>
      <c r="CF276" s="103">
        <f>CF277+CF278</f>
        <v>0</v>
      </c>
      <c r="CG276" s="103">
        <f>CG277+CG278</f>
        <v>0</v>
      </c>
      <c r="CH276" s="286"/>
      <c r="CI276" s="103">
        <f>CI277+CI278</f>
        <v>0</v>
      </c>
      <c r="CJ276" s="103">
        <f>CJ277+CJ278</f>
        <v>0</v>
      </c>
    </row>
    <row r="277" spans="1:88" x14ac:dyDescent="0.25">
      <c r="A277" s="102"/>
      <c r="B277" s="91" t="s">
        <v>1183</v>
      </c>
      <c r="C277" s="101"/>
      <c r="D277" s="101"/>
      <c r="E277" s="103"/>
      <c r="F277" s="103"/>
      <c r="G277" s="103">
        <f>91267-126</f>
        <v>91141</v>
      </c>
      <c r="H277" s="103">
        <f>93901-98</f>
        <v>93803</v>
      </c>
      <c r="I277" s="103">
        <f>97579-1090</f>
        <v>96489</v>
      </c>
      <c r="J277" s="103">
        <f>102856-631</f>
        <v>102225</v>
      </c>
      <c r="K277" s="103">
        <v>100563</v>
      </c>
      <c r="L277" s="103">
        <v>1061</v>
      </c>
      <c r="M277" s="103">
        <v>996</v>
      </c>
      <c r="N277" s="103">
        <v>943</v>
      </c>
      <c r="O277" s="286"/>
      <c r="P277" s="286">
        <f>R277+U277+X277+AA277+AD277+AG277+AJ277+AM277+AP277+AS277+AV277+AY277+BB277+BE277+BH277+BK277+BN277+BQ277+BT277+BW277+BZ277+CC277+CF277+CI277</f>
        <v>100974</v>
      </c>
      <c r="Q277" s="286">
        <f>S277+V277+Y277+AB277+AE277+AH277+AK277+AN277+AQ277+AT277+AW277+AZ277+BC277+BF277+BI277+BL277+BO277+BR277+BU277+BX277+CA277+CD277+CG277+CJ277</f>
        <v>98208</v>
      </c>
      <c r="R277" s="286">
        <v>1452</v>
      </c>
      <c r="S277" s="286">
        <v>1345</v>
      </c>
      <c r="T277" s="286"/>
      <c r="U277" s="286">
        <v>847</v>
      </c>
      <c r="V277" s="286">
        <v>772</v>
      </c>
      <c r="W277" s="286"/>
      <c r="X277" s="286">
        <v>1361</v>
      </c>
      <c r="Y277" s="286">
        <v>1283</v>
      </c>
      <c r="Z277" s="286"/>
      <c r="AA277" s="286">
        <v>1446</v>
      </c>
      <c r="AB277" s="286">
        <v>1302</v>
      </c>
      <c r="AC277" s="286"/>
      <c r="AD277" s="286">
        <v>1127</v>
      </c>
      <c r="AE277" s="286">
        <v>1012</v>
      </c>
      <c r="AF277" s="286"/>
      <c r="AG277" s="286">
        <v>1081</v>
      </c>
      <c r="AH277" s="286">
        <v>1061</v>
      </c>
      <c r="AI277" s="286"/>
      <c r="AJ277" s="286">
        <v>2998</v>
      </c>
      <c r="AK277" s="286">
        <v>2814</v>
      </c>
      <c r="AL277" s="286"/>
      <c r="AM277" s="286">
        <v>5533</v>
      </c>
      <c r="AN277" s="286">
        <v>5528</v>
      </c>
      <c r="AO277" s="286"/>
      <c r="AP277" s="286">
        <v>0</v>
      </c>
      <c r="AQ277" s="286">
        <v>0</v>
      </c>
      <c r="AR277" s="286"/>
      <c r="AS277" s="286">
        <v>7420</v>
      </c>
      <c r="AT277" s="286">
        <v>7373</v>
      </c>
      <c r="AU277" s="286"/>
      <c r="AV277" s="286">
        <v>2401</v>
      </c>
      <c r="AW277" s="286">
        <v>2131</v>
      </c>
      <c r="AX277" s="286"/>
      <c r="AY277" s="286">
        <v>3163</v>
      </c>
      <c r="AZ277" s="286">
        <v>2945</v>
      </c>
      <c r="BA277" s="286"/>
      <c r="BB277" s="286">
        <v>5287</v>
      </c>
      <c r="BC277" s="286">
        <v>5165</v>
      </c>
      <c r="BD277" s="286"/>
      <c r="BE277" s="286">
        <v>19207</v>
      </c>
      <c r="BF277" s="286">
        <v>18931</v>
      </c>
      <c r="BG277" s="286"/>
      <c r="BH277" s="286">
        <v>28828</v>
      </c>
      <c r="BI277" s="286">
        <v>29211</v>
      </c>
      <c r="BJ277" s="286"/>
      <c r="BK277" s="286">
        <v>2876</v>
      </c>
      <c r="BL277" s="286">
        <v>2609</v>
      </c>
      <c r="BM277" s="286"/>
      <c r="BN277" s="286">
        <v>2734</v>
      </c>
      <c r="BO277" s="286">
        <v>2575</v>
      </c>
      <c r="BP277" s="286"/>
      <c r="BQ277" s="286">
        <v>3973</v>
      </c>
      <c r="BR277" s="286">
        <v>3755</v>
      </c>
      <c r="BS277" s="286"/>
      <c r="BT277" s="286">
        <v>4169</v>
      </c>
      <c r="BU277" s="286">
        <v>4056</v>
      </c>
      <c r="BV277" s="286"/>
      <c r="BW277" s="286">
        <v>1143</v>
      </c>
      <c r="BX277" s="286">
        <v>1076</v>
      </c>
      <c r="BY277" s="286"/>
      <c r="BZ277" s="286">
        <v>2475</v>
      </c>
      <c r="CA277" s="286">
        <v>1894</v>
      </c>
      <c r="CB277" s="286"/>
      <c r="CC277" s="286">
        <v>1453</v>
      </c>
      <c r="CD277" s="286">
        <v>1370</v>
      </c>
      <c r="CE277" s="286"/>
      <c r="CF277" s="286">
        <v>0</v>
      </c>
      <c r="CG277" s="286">
        <v>0</v>
      </c>
      <c r="CH277" s="286"/>
      <c r="CI277" s="286">
        <v>0</v>
      </c>
      <c r="CJ277" s="286">
        <v>0</v>
      </c>
    </row>
    <row r="278" spans="1:88" x14ac:dyDescent="0.25">
      <c r="A278" s="102"/>
      <c r="B278" s="91" t="s">
        <v>1185</v>
      </c>
      <c r="C278" s="101"/>
      <c r="D278" s="101"/>
      <c r="E278" s="103"/>
      <c r="F278" s="103"/>
      <c r="G278" s="103">
        <v>5924</v>
      </c>
      <c r="H278" s="103">
        <v>5883</v>
      </c>
      <c r="I278" s="103">
        <v>5667</v>
      </c>
      <c r="J278" s="103">
        <v>5552</v>
      </c>
      <c r="K278" s="103">
        <v>6043</v>
      </c>
      <c r="L278" s="103">
        <v>759</v>
      </c>
      <c r="M278" s="103">
        <v>714</v>
      </c>
      <c r="N278" s="103">
        <v>676</v>
      </c>
      <c r="O278" s="286"/>
      <c r="P278" s="286">
        <f>R278+U278+X278+AA278+AD278+AG278+AJ278+AM278+AP278+AS278+AV278+AY278+BB278+BE278+BH278+BK278+BN278+BQ278+BT278+BW278+BZ278+CC278+CF278+CI278</f>
        <v>5562</v>
      </c>
      <c r="Q278" s="286">
        <f>S278+V278+Y278+AB278+AE278+AH278+AK278+AN278+AQ278+AT278+AW278+AZ278+BC278+BF278+BI278+BL278+BO278+BR278+BU278+BX278+CA278+CD278+CG278+CJ278</f>
        <v>4945</v>
      </c>
      <c r="R278" s="286">
        <v>245</v>
      </c>
      <c r="S278" s="286">
        <v>230</v>
      </c>
      <c r="T278" s="286"/>
      <c r="U278" s="286">
        <v>625</v>
      </c>
      <c r="V278" s="286">
        <v>528</v>
      </c>
      <c r="W278" s="286"/>
      <c r="X278" s="286">
        <v>276</v>
      </c>
      <c r="Y278" s="286">
        <v>270</v>
      </c>
      <c r="Z278" s="286"/>
      <c r="AA278" s="286">
        <v>740</v>
      </c>
      <c r="AB278" s="286">
        <v>714</v>
      </c>
      <c r="AC278" s="286"/>
      <c r="AD278" s="286">
        <v>125</v>
      </c>
      <c r="AE278" s="286">
        <v>115</v>
      </c>
      <c r="AF278" s="286"/>
      <c r="AG278" s="286">
        <v>424</v>
      </c>
      <c r="AH278" s="286">
        <v>409</v>
      </c>
      <c r="AI278" s="286"/>
      <c r="AJ278" s="286">
        <v>142</v>
      </c>
      <c r="AK278" s="286">
        <v>129</v>
      </c>
      <c r="AL278" s="286"/>
      <c r="AM278" s="286">
        <v>2299</v>
      </c>
      <c r="AN278" s="286">
        <v>1909</v>
      </c>
      <c r="AO278" s="286"/>
      <c r="AP278" s="286">
        <v>686</v>
      </c>
      <c r="AQ278" s="286">
        <v>641</v>
      </c>
      <c r="AR278" s="286"/>
      <c r="AS278" s="286">
        <v>0</v>
      </c>
      <c r="AT278" s="286">
        <v>0</v>
      </c>
      <c r="AU278" s="286"/>
      <c r="AV278" s="302">
        <v>0</v>
      </c>
      <c r="AW278" s="286">
        <v>0</v>
      </c>
      <c r="AX278" s="286"/>
      <c r="AY278" s="302">
        <v>0</v>
      </c>
      <c r="AZ278" s="286">
        <v>0</v>
      </c>
      <c r="BA278" s="286"/>
      <c r="BB278" s="302">
        <v>0</v>
      </c>
      <c r="BC278" s="286">
        <v>0</v>
      </c>
      <c r="BD278" s="286"/>
      <c r="BE278" s="302">
        <v>0</v>
      </c>
      <c r="BF278" s="286">
        <v>0</v>
      </c>
      <c r="BG278" s="286"/>
      <c r="BH278" s="302">
        <v>0</v>
      </c>
      <c r="BI278" s="286">
        <v>0</v>
      </c>
      <c r="BJ278" s="286"/>
      <c r="BK278" s="302">
        <v>0</v>
      </c>
      <c r="BL278" s="286">
        <v>0</v>
      </c>
      <c r="BM278" s="286"/>
      <c r="BN278" s="302">
        <v>0</v>
      </c>
      <c r="BO278" s="286"/>
      <c r="BP278" s="286"/>
      <c r="BQ278" s="302">
        <v>0</v>
      </c>
      <c r="BR278" s="286">
        <v>0</v>
      </c>
      <c r="BS278" s="286"/>
      <c r="BT278" s="302">
        <v>0</v>
      </c>
      <c r="BU278" s="286">
        <v>0</v>
      </c>
      <c r="BV278" s="286"/>
      <c r="BW278" s="302">
        <v>0</v>
      </c>
      <c r="BX278" s="286">
        <v>0</v>
      </c>
      <c r="BY278" s="286"/>
      <c r="BZ278" s="302">
        <v>0</v>
      </c>
      <c r="CA278" s="286"/>
      <c r="CB278" s="286"/>
      <c r="CC278" s="302">
        <v>0</v>
      </c>
      <c r="CD278" s="286">
        <v>0</v>
      </c>
      <c r="CE278" s="286"/>
      <c r="CF278" s="302">
        <v>0</v>
      </c>
      <c r="CG278" s="286">
        <v>0</v>
      </c>
      <c r="CH278" s="286"/>
      <c r="CI278" s="286">
        <v>0</v>
      </c>
      <c r="CJ278" s="286">
        <v>0</v>
      </c>
    </row>
    <row r="279" spans="1:88" x14ac:dyDescent="0.25">
      <c r="A279" s="102"/>
      <c r="B279" s="16" t="s">
        <v>1184</v>
      </c>
      <c r="C279" s="101"/>
      <c r="D279" s="101"/>
      <c r="E279" s="103"/>
      <c r="F279" s="103"/>
      <c r="G279" s="103">
        <f t="shared" ref="G279:N279" si="300">G280+G281</f>
        <v>126</v>
      </c>
      <c r="H279" s="103">
        <f t="shared" si="300"/>
        <v>98</v>
      </c>
      <c r="I279" s="103">
        <f t="shared" si="300"/>
        <v>1090</v>
      </c>
      <c r="J279" s="103">
        <f t="shared" si="300"/>
        <v>631</v>
      </c>
      <c r="K279" s="103">
        <f t="shared" si="300"/>
        <v>857</v>
      </c>
      <c r="L279" s="103">
        <f t="shared" si="300"/>
        <v>10</v>
      </c>
      <c r="M279" s="103">
        <f t="shared" si="300"/>
        <v>11</v>
      </c>
      <c r="N279" s="103">
        <f t="shared" si="300"/>
        <v>12</v>
      </c>
      <c r="O279" s="286"/>
      <c r="P279" s="103">
        <f>P280+P281</f>
        <v>857</v>
      </c>
      <c r="Q279" s="103">
        <f>Q280+Q281</f>
        <v>457</v>
      </c>
      <c r="R279" s="103">
        <f>R280+R281</f>
        <v>0</v>
      </c>
      <c r="S279" s="103">
        <f>S280+S281</f>
        <v>0</v>
      </c>
      <c r="T279" s="286"/>
      <c r="U279" s="103">
        <f>U280+U281</f>
        <v>0</v>
      </c>
      <c r="V279" s="103">
        <f>V280+V281</f>
        <v>0</v>
      </c>
      <c r="W279" s="286"/>
      <c r="X279" s="103">
        <f>X280+X281</f>
        <v>0</v>
      </c>
      <c r="Y279" s="103">
        <f>Y280+Y281</f>
        <v>0</v>
      </c>
      <c r="Z279" s="286"/>
      <c r="AA279" s="103">
        <f>AA280+AA281</f>
        <v>0</v>
      </c>
      <c r="AB279" s="103">
        <f>AB280+AB281</f>
        <v>0</v>
      </c>
      <c r="AC279" s="286"/>
      <c r="AD279" s="103">
        <f>AD280+AD281</f>
        <v>0</v>
      </c>
      <c r="AE279" s="103">
        <f>AE280+AE281</f>
        <v>0</v>
      </c>
      <c r="AF279" s="286"/>
      <c r="AG279" s="103">
        <f>AG280+AG281</f>
        <v>11</v>
      </c>
      <c r="AH279" s="103">
        <f>AH280+AH281</f>
        <v>10</v>
      </c>
      <c r="AI279" s="286"/>
      <c r="AJ279" s="103">
        <f>AJ280+AJ281</f>
        <v>0</v>
      </c>
      <c r="AK279" s="103">
        <f>AK280+AK281</f>
        <v>0</v>
      </c>
      <c r="AL279" s="286"/>
      <c r="AM279" s="103">
        <f>AM280+AM281</f>
        <v>0</v>
      </c>
      <c r="AN279" s="103">
        <f>AN280+AN281</f>
        <v>0</v>
      </c>
      <c r="AO279" s="286"/>
      <c r="AP279" s="103">
        <f>AP280+AP281</f>
        <v>0</v>
      </c>
      <c r="AQ279" s="103">
        <f>AQ280+AQ281</f>
        <v>0</v>
      </c>
      <c r="AR279" s="286"/>
      <c r="AS279" s="103">
        <f>AS280+AS281</f>
        <v>325</v>
      </c>
      <c r="AT279" s="103">
        <f>AT280+AT281</f>
        <v>363</v>
      </c>
      <c r="AU279" s="286"/>
      <c r="AV279" s="103">
        <f>AV280+AV281</f>
        <v>0</v>
      </c>
      <c r="AW279" s="103">
        <f>AW280+AW281</f>
        <v>0</v>
      </c>
      <c r="AX279" s="286"/>
      <c r="AY279" s="103">
        <f>AY280+AY281</f>
        <v>63</v>
      </c>
      <c r="AZ279" s="103">
        <f>AZ280+AZ281</f>
        <v>0</v>
      </c>
      <c r="BA279" s="286"/>
      <c r="BB279" s="103">
        <f>BB280+BB281</f>
        <v>242</v>
      </c>
      <c r="BC279" s="103">
        <f>BC280+BC281</f>
        <v>0</v>
      </c>
      <c r="BD279" s="286"/>
      <c r="BE279" s="103">
        <f>BE280+BE281</f>
        <v>36</v>
      </c>
      <c r="BF279" s="103">
        <f>BF280+BF281</f>
        <v>0</v>
      </c>
      <c r="BG279" s="286"/>
      <c r="BH279" s="103">
        <f>BH280+BH281</f>
        <v>180</v>
      </c>
      <c r="BI279" s="103">
        <f>BI280+BI281</f>
        <v>84</v>
      </c>
      <c r="BJ279" s="286"/>
      <c r="BK279" s="103">
        <f>BK280+BK281</f>
        <v>0</v>
      </c>
      <c r="BL279" s="103">
        <f>BL280+BL281</f>
        <v>0</v>
      </c>
      <c r="BM279" s="286"/>
      <c r="BN279" s="103">
        <f>BN280+BN281</f>
        <v>0</v>
      </c>
      <c r="BO279" s="103">
        <f>BO280+BO281</f>
        <v>0</v>
      </c>
      <c r="BP279" s="286"/>
      <c r="BQ279" s="103">
        <f>BQ280+BQ281</f>
        <v>0</v>
      </c>
      <c r="BR279" s="103">
        <f>BR280+BR281</f>
        <v>0</v>
      </c>
      <c r="BS279" s="286"/>
      <c r="BT279" s="103">
        <f>BT280+BT281</f>
        <v>0</v>
      </c>
      <c r="BU279" s="103">
        <f>BU280+BU281</f>
        <v>0</v>
      </c>
      <c r="BV279" s="286"/>
      <c r="BW279" s="103">
        <f>BW280+BW281</f>
        <v>0</v>
      </c>
      <c r="BX279" s="103">
        <f>BX280+BX281</f>
        <v>0</v>
      </c>
      <c r="BY279" s="286"/>
      <c r="BZ279" s="103">
        <f>BZ280+BZ281</f>
        <v>0</v>
      </c>
      <c r="CA279" s="103">
        <f>CA280+CA281</f>
        <v>0</v>
      </c>
      <c r="CB279" s="286"/>
      <c r="CC279" s="103">
        <f>CC280+CC281</f>
        <v>0</v>
      </c>
      <c r="CD279" s="103">
        <f>CD280+CD281</f>
        <v>0</v>
      </c>
      <c r="CE279" s="286"/>
      <c r="CF279" s="103">
        <f>CF280+CF281</f>
        <v>0</v>
      </c>
      <c r="CG279" s="103">
        <f>CG280+CG281</f>
        <v>0</v>
      </c>
      <c r="CH279" s="286"/>
      <c r="CI279" s="103">
        <f>CI280+CI281</f>
        <v>0</v>
      </c>
      <c r="CJ279" s="103">
        <f>CJ280+CJ281</f>
        <v>0</v>
      </c>
    </row>
    <row r="280" spans="1:88" x14ac:dyDescent="0.25">
      <c r="A280" s="102"/>
      <c r="B280" s="91" t="s">
        <v>1183</v>
      </c>
      <c r="C280" s="101"/>
      <c r="D280" s="101"/>
      <c r="E280" s="103"/>
      <c r="F280" s="103"/>
      <c r="G280" s="103">
        <v>126</v>
      </c>
      <c r="H280" s="103">
        <v>98</v>
      </c>
      <c r="I280" s="103">
        <v>1090</v>
      </c>
      <c r="J280" s="103">
        <v>631</v>
      </c>
      <c r="K280" s="103">
        <v>857</v>
      </c>
      <c r="L280" s="103">
        <v>10</v>
      </c>
      <c r="M280" s="103">
        <v>11</v>
      </c>
      <c r="N280" s="103">
        <v>12</v>
      </c>
      <c r="O280" s="286"/>
      <c r="P280" s="286">
        <f>R280+U280+X280+AA280+AD280+AG280+AJ280+AM280+AP280+AS280+AV280+AY280+BB280+BE280+BH280+BK280+BN280+BQ280+BT280+BW280+BZ280+CC280+CF280+CI280</f>
        <v>857</v>
      </c>
      <c r="Q280" s="286">
        <f>S280+V280+Y280+AB280+AE280+AH280+AK280+AN280+AQ280+AT280+AW280+AZ280+BC280+BF280+BI280+BL280+BO280+BR280+BU280+BX280+CA280+CD280+CG280+CJ280</f>
        <v>457</v>
      </c>
      <c r="R280" s="286">
        <v>0</v>
      </c>
      <c r="S280" s="286">
        <v>0</v>
      </c>
      <c r="T280" s="286"/>
      <c r="U280" s="286">
        <v>0</v>
      </c>
      <c r="V280" s="286">
        <v>0</v>
      </c>
      <c r="W280" s="286"/>
      <c r="X280" s="286">
        <v>0</v>
      </c>
      <c r="Y280" s="286">
        <v>0</v>
      </c>
      <c r="Z280" s="286"/>
      <c r="AA280" s="286">
        <v>0</v>
      </c>
      <c r="AB280" s="286">
        <v>0</v>
      </c>
      <c r="AC280" s="286"/>
      <c r="AD280" s="286">
        <v>0</v>
      </c>
      <c r="AE280" s="286">
        <v>0</v>
      </c>
      <c r="AF280" s="286"/>
      <c r="AG280" s="286">
        <v>11</v>
      </c>
      <c r="AH280" s="286">
        <v>10</v>
      </c>
      <c r="AI280" s="286"/>
      <c r="AJ280" s="286">
        <v>0</v>
      </c>
      <c r="AK280" s="286">
        <v>0</v>
      </c>
      <c r="AL280" s="286"/>
      <c r="AM280" s="286">
        <v>0</v>
      </c>
      <c r="AN280" s="286">
        <v>0</v>
      </c>
      <c r="AO280" s="286"/>
      <c r="AP280" s="286">
        <v>0</v>
      </c>
      <c r="AQ280" s="286">
        <v>0</v>
      </c>
      <c r="AR280" s="286"/>
      <c r="AS280" s="286">
        <v>325</v>
      </c>
      <c r="AT280" s="286">
        <v>363</v>
      </c>
      <c r="AU280" s="286"/>
      <c r="AV280" s="286">
        <v>0</v>
      </c>
      <c r="AW280" s="286">
        <v>0</v>
      </c>
      <c r="AX280" s="286"/>
      <c r="AY280" s="286">
        <v>63</v>
      </c>
      <c r="AZ280" s="286">
        <v>0</v>
      </c>
      <c r="BA280" s="286"/>
      <c r="BB280" s="286">
        <v>242</v>
      </c>
      <c r="BC280" s="286">
        <v>0</v>
      </c>
      <c r="BD280" s="286"/>
      <c r="BE280" s="286">
        <v>36</v>
      </c>
      <c r="BF280" s="286">
        <v>0</v>
      </c>
      <c r="BG280" s="286"/>
      <c r="BH280" s="286">
        <v>180</v>
      </c>
      <c r="BI280" s="286">
        <v>84</v>
      </c>
      <c r="BJ280" s="286"/>
      <c r="BK280" s="286">
        <v>0</v>
      </c>
      <c r="BL280" s="286">
        <v>0</v>
      </c>
      <c r="BM280" s="286"/>
      <c r="BN280" s="286">
        <v>0</v>
      </c>
      <c r="BO280" s="286">
        <v>0</v>
      </c>
      <c r="BP280" s="286"/>
      <c r="BQ280" s="286">
        <v>0</v>
      </c>
      <c r="BR280" s="286">
        <v>0</v>
      </c>
      <c r="BS280" s="286"/>
      <c r="BT280" s="286">
        <v>0</v>
      </c>
      <c r="BU280" s="286">
        <v>0</v>
      </c>
      <c r="BV280" s="286"/>
      <c r="BW280" s="286">
        <v>0</v>
      </c>
      <c r="BX280" s="286">
        <v>0</v>
      </c>
      <c r="BY280" s="286"/>
      <c r="BZ280" s="286">
        <v>0</v>
      </c>
      <c r="CA280" s="286">
        <v>0</v>
      </c>
      <c r="CB280" s="286"/>
      <c r="CC280" s="286">
        <v>0</v>
      </c>
      <c r="CD280" s="286">
        <v>0</v>
      </c>
      <c r="CE280" s="286"/>
      <c r="CF280" s="286">
        <v>0</v>
      </c>
      <c r="CG280" s="286">
        <v>0</v>
      </c>
      <c r="CH280" s="286"/>
      <c r="CI280" s="286">
        <v>0</v>
      </c>
      <c r="CJ280" s="286">
        <v>0</v>
      </c>
    </row>
    <row r="281" spans="1:88" x14ac:dyDescent="0.25">
      <c r="A281" s="102"/>
      <c r="B281" s="91" t="s">
        <v>1185</v>
      </c>
      <c r="C281" s="101"/>
      <c r="D281" s="101"/>
      <c r="E281" s="103"/>
      <c r="F281" s="103"/>
      <c r="G281" s="103">
        <v>0</v>
      </c>
      <c r="H281" s="103">
        <v>0</v>
      </c>
      <c r="I281" s="103">
        <v>0</v>
      </c>
      <c r="J281" s="103">
        <v>0</v>
      </c>
      <c r="K281" s="103">
        <v>0</v>
      </c>
      <c r="L281" s="103">
        <v>0</v>
      </c>
      <c r="M281" s="103">
        <v>0</v>
      </c>
      <c r="N281" s="103">
        <v>0</v>
      </c>
      <c r="O281" s="286"/>
      <c r="P281" s="286">
        <f>R281+U281+X281+AA281+AD281+AG281+AJ281+AM281+AP281+AS281+AV281+AY281+BB281+BE281+BH281+BK281+BN281+BQ281+BT281+BW281+BZ281+CC281+CF281+CI281</f>
        <v>0</v>
      </c>
      <c r="Q281" s="286">
        <f>S281+V281+Y281+AB281+AE281+AH281+AK281+AN281+AQ281+AT281+AW281+AZ281+BC281+BF281+BI281+BL281+BO281+BR281+BU281+BX281+CA281+CD281+CG281+CJ281</f>
        <v>0</v>
      </c>
      <c r="R281" s="286">
        <v>0</v>
      </c>
      <c r="S281" s="286">
        <v>0</v>
      </c>
      <c r="T281" s="286"/>
      <c r="U281" s="286">
        <v>0</v>
      </c>
      <c r="V281" s="286">
        <v>0</v>
      </c>
      <c r="W281" s="286"/>
      <c r="X281" s="286">
        <v>0</v>
      </c>
      <c r="Y281" s="286">
        <v>0</v>
      </c>
      <c r="Z281" s="286"/>
      <c r="AA281" s="286">
        <v>0</v>
      </c>
      <c r="AB281" s="286">
        <v>0</v>
      </c>
      <c r="AC281" s="286"/>
      <c r="AD281" s="286">
        <v>0</v>
      </c>
      <c r="AE281" s="286">
        <v>0</v>
      </c>
      <c r="AF281" s="286"/>
      <c r="AG281" s="286">
        <v>0</v>
      </c>
      <c r="AH281" s="286">
        <v>0</v>
      </c>
      <c r="AI281" s="286"/>
      <c r="AJ281" s="286">
        <v>0</v>
      </c>
      <c r="AK281" s="286">
        <v>0</v>
      </c>
      <c r="AL281" s="286"/>
      <c r="AM281" s="286">
        <v>0</v>
      </c>
      <c r="AN281" s="286">
        <v>0</v>
      </c>
      <c r="AO281" s="286"/>
      <c r="AP281" s="286">
        <v>0</v>
      </c>
      <c r="AQ281" s="286">
        <v>0</v>
      </c>
      <c r="AR281" s="286"/>
      <c r="AS281" s="286">
        <v>0</v>
      </c>
      <c r="AT281" s="286">
        <v>0</v>
      </c>
      <c r="AU281" s="286"/>
      <c r="AV281" s="286">
        <v>0</v>
      </c>
      <c r="AW281" s="286">
        <v>0</v>
      </c>
      <c r="AX281" s="286"/>
      <c r="AY281" s="286">
        <v>0</v>
      </c>
      <c r="AZ281" s="286">
        <v>0</v>
      </c>
      <c r="BA281" s="286"/>
      <c r="BB281" s="286">
        <v>0</v>
      </c>
      <c r="BC281" s="286">
        <v>0</v>
      </c>
      <c r="BD281" s="286"/>
      <c r="BE281" s="286">
        <v>0</v>
      </c>
      <c r="BF281" s="286">
        <v>0</v>
      </c>
      <c r="BG281" s="286"/>
      <c r="BH281" s="286">
        <v>0</v>
      </c>
      <c r="BI281" s="286">
        <v>0</v>
      </c>
      <c r="BJ281" s="286"/>
      <c r="BK281" s="286">
        <v>0</v>
      </c>
      <c r="BL281" s="286">
        <v>0</v>
      </c>
      <c r="BM281" s="286"/>
      <c r="BN281" s="286">
        <v>0</v>
      </c>
      <c r="BO281" s="286">
        <v>0</v>
      </c>
      <c r="BP281" s="286"/>
      <c r="BQ281" s="286">
        <v>0</v>
      </c>
      <c r="BR281" s="286">
        <v>0</v>
      </c>
      <c r="BS281" s="286"/>
      <c r="BT281" s="286">
        <v>0</v>
      </c>
      <c r="BU281" s="286">
        <v>0</v>
      </c>
      <c r="BV281" s="286"/>
      <c r="BW281" s="286">
        <v>0</v>
      </c>
      <c r="BX281" s="286">
        <v>0</v>
      </c>
      <c r="BY281" s="286"/>
      <c r="BZ281" s="286">
        <v>0</v>
      </c>
      <c r="CA281" s="286">
        <v>0</v>
      </c>
      <c r="CB281" s="286"/>
      <c r="CC281" s="286">
        <v>0</v>
      </c>
      <c r="CD281" s="286">
        <v>0</v>
      </c>
      <c r="CE281" s="286"/>
      <c r="CF281" s="286">
        <v>0</v>
      </c>
      <c r="CG281" s="286">
        <v>0</v>
      </c>
      <c r="CH281" s="286"/>
      <c r="CI281" s="286">
        <v>0</v>
      </c>
      <c r="CJ281" s="286">
        <v>0</v>
      </c>
    </row>
    <row r="282" spans="1:88" ht="45" x14ac:dyDescent="0.25">
      <c r="A282" s="95" t="s">
        <v>55</v>
      </c>
      <c r="B282" s="96" t="s">
        <v>1631</v>
      </c>
      <c r="C282" s="107"/>
      <c r="D282" s="95"/>
      <c r="E282" s="107"/>
      <c r="F282" s="107"/>
      <c r="G282" s="107"/>
      <c r="H282" s="107"/>
      <c r="I282" s="279">
        <f t="shared" ref="I282:N282" si="301">I292/I302*100</f>
        <v>94.134897360703818</v>
      </c>
      <c r="J282" s="279">
        <f t="shared" si="301"/>
        <v>98.68421052631578</v>
      </c>
      <c r="K282" s="279">
        <f t="shared" si="301"/>
        <v>98.305084745762713</v>
      </c>
      <c r="L282" s="279">
        <f t="shared" si="301"/>
        <v>100</v>
      </c>
      <c r="M282" s="279">
        <f t="shared" si="301"/>
        <v>100</v>
      </c>
      <c r="N282" s="279">
        <f t="shared" si="301"/>
        <v>100</v>
      </c>
      <c r="O282" s="281" t="s">
        <v>62</v>
      </c>
      <c r="P282" s="279">
        <f>P292/P302*100</f>
        <v>99.324324324324323</v>
      </c>
      <c r="Q282" s="279">
        <f>Q292/Q302*100</f>
        <v>98.571428571428584</v>
      </c>
      <c r="R282" s="279">
        <f>R292/R302*100</f>
        <v>100</v>
      </c>
      <c r="S282" s="279">
        <f>S292/S302*100</f>
        <v>100</v>
      </c>
      <c r="U282" s="279">
        <f>U292/U302*100</f>
        <v>100</v>
      </c>
      <c r="V282" s="279">
        <f>V292/V302*100</f>
        <v>100</v>
      </c>
      <c r="X282" s="279">
        <f>X292/X302*100</f>
        <v>90</v>
      </c>
      <c r="Y282" s="279">
        <f>Y292/Y302*100</f>
        <v>90</v>
      </c>
      <c r="AA282" s="279">
        <f>AA292/AA302*100</f>
        <v>100</v>
      </c>
      <c r="AB282" s="279">
        <f>AB292/AB302*100</f>
        <v>100</v>
      </c>
      <c r="AD282" s="279">
        <f>AD292/AD302*100</f>
        <v>100</v>
      </c>
      <c r="AE282" s="279">
        <f>AE292/AE302*100</f>
        <v>100</v>
      </c>
      <c r="AG282" s="279">
        <f>AG292/AG302*100</f>
        <v>100</v>
      </c>
      <c r="AH282" s="279">
        <f>AH292/AH302*100</f>
        <v>100</v>
      </c>
      <c r="AJ282" s="279">
        <f>AJ292/AJ302*100</f>
        <v>76.923076923076934</v>
      </c>
      <c r="AK282" s="279">
        <f>AK292/AK302*100</f>
        <v>76.923076923076934</v>
      </c>
      <c r="AM282" s="279">
        <f>AM292/AM302*100</f>
        <v>113.63636363636364</v>
      </c>
      <c r="AN282" s="279">
        <f>AN292/AN302*100</f>
        <v>100</v>
      </c>
      <c r="AP282" s="279">
        <f>AP292/AP302*100</f>
        <v>100</v>
      </c>
      <c r="AQ282" s="279">
        <f>AQ292/AQ302*100</f>
        <v>100</v>
      </c>
      <c r="AS282" s="279">
        <f>AS292/AS302*100</f>
        <v>100</v>
      </c>
      <c r="AT282" s="279">
        <f>AT292/AT302*100</f>
        <v>100</v>
      </c>
      <c r="AV282" s="279">
        <f>AV292/AV302*100</f>
        <v>100</v>
      </c>
      <c r="AW282" s="279">
        <f>AW292/AW302*100</f>
        <v>100</v>
      </c>
      <c r="AY282" s="279">
        <f>AY292/AY302*100</f>
        <v>92.857142857142861</v>
      </c>
      <c r="AZ282" s="279">
        <f>AZ292/AZ302*100</f>
        <v>100</v>
      </c>
      <c r="BB282" s="279">
        <f>BB292/BB302*100</f>
        <v>100</v>
      </c>
      <c r="BC282" s="279">
        <f>BC292/BC302*100</f>
        <v>100</v>
      </c>
      <c r="BE282" s="279">
        <f>BE292/BE302*100</f>
        <v>100</v>
      </c>
      <c r="BF282" s="279">
        <f>BF292/BF302*100</f>
        <v>100</v>
      </c>
      <c r="BH282" s="279">
        <f>BH292/BH302*100</f>
        <v>100</v>
      </c>
      <c r="BI282" s="279">
        <f>BI292/BI302*100</f>
        <v>100</v>
      </c>
      <c r="BK282" s="279">
        <f>BK292/BK302*100</f>
        <v>100</v>
      </c>
      <c r="BL282" s="279">
        <f>BL292/BL302*100</f>
        <v>100</v>
      </c>
      <c r="BN282" s="279">
        <f>BN292/BN302*100</f>
        <v>100</v>
      </c>
      <c r="BO282" s="279">
        <f>BO292/BO302*100</f>
        <v>100</v>
      </c>
      <c r="BQ282" s="279">
        <f>BQ292/BQ302*100</f>
        <v>100</v>
      </c>
      <c r="BR282" s="279">
        <f>BR292/BR302*100</f>
        <v>100</v>
      </c>
      <c r="BT282" s="279">
        <f>BT292/BT302*100</f>
        <v>100</v>
      </c>
      <c r="BU282" s="279">
        <f>BU292/BU302*100</f>
        <v>100</v>
      </c>
      <c r="BW282" s="279">
        <f>BW292/BW302*100</f>
        <v>100</v>
      </c>
      <c r="BX282" s="279">
        <f>BX292/BX302*100</f>
        <v>100</v>
      </c>
      <c r="BZ282" s="279">
        <f>BZ292/BZ302*100</f>
        <v>100</v>
      </c>
      <c r="CA282" s="279">
        <f>CA292/CA302*100</f>
        <v>100</v>
      </c>
      <c r="CC282" s="279">
        <f>CC292/CC302*100</f>
        <v>100</v>
      </c>
      <c r="CD282" s="279">
        <f>CD292/CD302*100</f>
        <v>100</v>
      </c>
      <c r="CF282" s="279" t="e">
        <f>CF292/CF302*100</f>
        <v>#DIV/0!</v>
      </c>
      <c r="CG282" s="279" t="e">
        <f>CG292/CG302*100</f>
        <v>#DIV/0!</v>
      </c>
      <c r="CI282" s="279" t="e">
        <f>CI292/CI302*100</f>
        <v>#DIV/0!</v>
      </c>
      <c r="CJ282" s="279" t="e">
        <f>CJ292/CJ302*100</f>
        <v>#DIV/0!</v>
      </c>
    </row>
    <row r="283" spans="1:88" x14ac:dyDescent="0.25">
      <c r="A283" s="95"/>
      <c r="B283" s="16" t="s">
        <v>63</v>
      </c>
      <c r="C283" s="107"/>
      <c r="D283" s="95" t="s">
        <v>8</v>
      </c>
      <c r="E283" s="279">
        <f t="shared" ref="E283:N285" si="302">E293/E302*100</f>
        <v>95.399515738498792</v>
      </c>
      <c r="F283" s="279">
        <v>96.7</v>
      </c>
      <c r="G283" s="279">
        <f t="shared" si="302"/>
        <v>96.143250688705237</v>
      </c>
      <c r="H283" s="279">
        <f t="shared" si="302"/>
        <v>95.977011494252878</v>
      </c>
      <c r="I283" s="279">
        <f t="shared" si="302"/>
        <v>98.240469208211152</v>
      </c>
      <c r="J283" s="279">
        <f t="shared" si="302"/>
        <v>99.342105263157904</v>
      </c>
      <c r="K283" s="279">
        <f t="shared" si="302"/>
        <v>99.661016949152554</v>
      </c>
      <c r="L283" s="279">
        <f t="shared" si="302"/>
        <v>100</v>
      </c>
      <c r="M283" s="279">
        <f t="shared" si="302"/>
        <v>100</v>
      </c>
      <c r="N283" s="279">
        <f t="shared" si="302"/>
        <v>100</v>
      </c>
      <c r="O283" s="281"/>
      <c r="P283" s="279">
        <f>P293/P302*100</f>
        <v>104.05405405405406</v>
      </c>
      <c r="Q283" s="279">
        <f>Q293/Q302*100</f>
        <v>98.571428571428584</v>
      </c>
      <c r="R283" s="279">
        <f>R293/R302*100</f>
        <v>100</v>
      </c>
      <c r="S283" s="279">
        <f>S293/S302*100</f>
        <v>100</v>
      </c>
      <c r="U283" s="279">
        <f t="shared" ref="U283:V285" si="303">U293/U302*100</f>
        <v>130</v>
      </c>
      <c r="V283" s="279">
        <f t="shared" si="303"/>
        <v>100</v>
      </c>
      <c r="X283" s="279">
        <f t="shared" ref="X283:Y285" si="304">X293/X302*100</f>
        <v>90</v>
      </c>
      <c r="Y283" s="279">
        <f t="shared" si="304"/>
        <v>90</v>
      </c>
      <c r="AA283" s="279">
        <f t="shared" ref="AA283:AB285" si="305">AA293/AA302*100</f>
        <v>100</v>
      </c>
      <c r="AB283" s="279">
        <f t="shared" si="305"/>
        <v>100</v>
      </c>
      <c r="AD283" s="279">
        <f t="shared" ref="AD283:AE285" si="306">AD293/AD302*100</f>
        <v>100</v>
      </c>
      <c r="AE283" s="279">
        <f t="shared" si="306"/>
        <v>100</v>
      </c>
      <c r="AG283" s="279">
        <f t="shared" ref="AG283:AH285" si="307">AG293/AG302*100</f>
        <v>118.18181818181819</v>
      </c>
      <c r="AH283" s="279">
        <f t="shared" si="307"/>
        <v>100</v>
      </c>
      <c r="AJ283" s="279">
        <f t="shared" ref="AJ283:AK285" si="308">AJ293/AJ302*100</f>
        <v>76.923076923076934</v>
      </c>
      <c r="AK283" s="279">
        <f t="shared" si="308"/>
        <v>76.923076923076934</v>
      </c>
      <c r="AM283" s="279">
        <f t="shared" ref="AM283:AN285" si="309">AM293/AM302*100</f>
        <v>104.54545454545455</v>
      </c>
      <c r="AN283" s="279">
        <f t="shared" si="309"/>
        <v>100</v>
      </c>
      <c r="AP283" s="279">
        <f t="shared" ref="AP283:AQ285" si="310">AP293/AP302*100</f>
        <v>100</v>
      </c>
      <c r="AQ283" s="279">
        <f t="shared" si="310"/>
        <v>100</v>
      </c>
      <c r="AS283" s="279">
        <f t="shared" ref="AS283:AT285" si="311">AS293/AS302*100</f>
        <v>111.11111111111111</v>
      </c>
      <c r="AT283" s="279">
        <f t="shared" si="311"/>
        <v>100</v>
      </c>
      <c r="AV283" s="279">
        <f t="shared" ref="AV283:AW285" si="312">AV293/AV302*100</f>
        <v>100</v>
      </c>
      <c r="AW283" s="279">
        <f t="shared" si="312"/>
        <v>100</v>
      </c>
      <c r="AY283" s="279">
        <f t="shared" ref="AY283:AZ285" si="313">AY293/AY302*100</f>
        <v>92.857142857142861</v>
      </c>
      <c r="AZ283" s="279">
        <f t="shared" si="313"/>
        <v>100</v>
      </c>
      <c r="BB283" s="279">
        <f t="shared" ref="BB283:BC285" si="314">BB293/BB302*100</f>
        <v>100</v>
      </c>
      <c r="BC283" s="279">
        <f t="shared" si="314"/>
        <v>100</v>
      </c>
      <c r="BE283" s="279">
        <f t="shared" ref="BE283:BF285" si="315">BE293/BE302*100</f>
        <v>104.8780487804878</v>
      </c>
      <c r="BF283" s="279">
        <f t="shared" si="315"/>
        <v>100</v>
      </c>
      <c r="BH283" s="279">
        <f t="shared" ref="BH283:BI285" si="316">BH293/BH302*100</f>
        <v>109.09090909090908</v>
      </c>
      <c r="BI283" s="279">
        <f t="shared" si="316"/>
        <v>100</v>
      </c>
      <c r="BK283" s="279">
        <f t="shared" ref="BK283:BL285" si="317">BK293/BK302*100</f>
        <v>100</v>
      </c>
      <c r="BL283" s="279">
        <f t="shared" si="317"/>
        <v>100</v>
      </c>
      <c r="BN283" s="279">
        <f t="shared" ref="BN283:BO285" si="318">BN293/BN302*100</f>
        <v>112.5</v>
      </c>
      <c r="BO283" s="279">
        <f t="shared" si="318"/>
        <v>100</v>
      </c>
      <c r="BQ283" s="279">
        <f t="shared" ref="BQ283:BR285" si="319">BQ293/BQ302*100</f>
        <v>122.22222222222223</v>
      </c>
      <c r="BR283" s="279">
        <f t="shared" si="319"/>
        <v>100</v>
      </c>
      <c r="BT283" s="279">
        <f t="shared" ref="BT283:BU285" si="320">BT293/BT302*100</f>
        <v>100</v>
      </c>
      <c r="BU283" s="279">
        <f t="shared" si="320"/>
        <v>100</v>
      </c>
      <c r="BW283" s="279">
        <f t="shared" ref="BW283:BX285" si="321">BW293/BW302*100</f>
        <v>100</v>
      </c>
      <c r="BX283" s="279">
        <f t="shared" si="321"/>
        <v>100</v>
      </c>
      <c r="BZ283" s="279">
        <f t="shared" ref="BZ283:CA285" si="322">BZ293/BZ302*100</f>
        <v>100</v>
      </c>
      <c r="CA283" s="279">
        <f t="shared" si="322"/>
        <v>100</v>
      </c>
      <c r="CC283" s="279">
        <f t="shared" ref="CC283:CD285" si="323">CC293/CC302*100</f>
        <v>100</v>
      </c>
      <c r="CD283" s="279">
        <f t="shared" si="323"/>
        <v>100</v>
      </c>
      <c r="CF283" s="279" t="e">
        <f t="shared" ref="CF283:CG285" si="324">CF293/CF302*100</f>
        <v>#DIV/0!</v>
      </c>
      <c r="CG283" s="279" t="e">
        <f t="shared" si="324"/>
        <v>#DIV/0!</v>
      </c>
      <c r="CI283" s="279" t="e">
        <f t="shared" ref="CI283:CJ285" si="325">CI293/CI302*100</f>
        <v>#DIV/0!</v>
      </c>
      <c r="CJ283" s="279" t="e">
        <f t="shared" si="325"/>
        <v>#DIV/0!</v>
      </c>
    </row>
    <row r="284" spans="1:88" x14ac:dyDescent="0.25">
      <c r="A284" s="95"/>
      <c r="B284" s="16" t="s">
        <v>1183</v>
      </c>
      <c r="C284" s="107"/>
      <c r="D284" s="95" t="s">
        <v>8</v>
      </c>
      <c r="E284" s="279">
        <f t="shared" si="302"/>
        <v>96.960486322188459</v>
      </c>
      <c r="F284" s="279">
        <f t="shared" si="302"/>
        <v>100</v>
      </c>
      <c r="G284" s="279">
        <f>G294/G303*100</f>
        <v>98.993288590604024</v>
      </c>
      <c r="H284" s="279">
        <f t="shared" si="302"/>
        <v>98.943661971830991</v>
      </c>
      <c r="I284" s="279">
        <f t="shared" si="302"/>
        <v>100</v>
      </c>
      <c r="J284" s="279">
        <f t="shared" si="302"/>
        <v>100</v>
      </c>
      <c r="K284" s="279">
        <f t="shared" si="302"/>
        <v>99.601593625498012</v>
      </c>
      <c r="L284" s="279">
        <f t="shared" si="302"/>
        <v>100</v>
      </c>
      <c r="M284" s="279">
        <f t="shared" si="302"/>
        <v>100</v>
      </c>
      <c r="N284" s="279">
        <f t="shared" si="302"/>
        <v>100</v>
      </c>
      <c r="O284" s="281"/>
      <c r="P284" s="279">
        <f t="shared" ref="P284:R285" si="326">P294/P303*100</f>
        <v>104.41767068273093</v>
      </c>
      <c r="Q284" s="279">
        <f t="shared" si="326"/>
        <v>97.899159663865547</v>
      </c>
      <c r="R284" s="279">
        <f>R294/R303*100</f>
        <v>100</v>
      </c>
      <c r="S284" s="279">
        <f>S294/S303*100</f>
        <v>100</v>
      </c>
      <c r="U284" s="279">
        <f t="shared" si="303"/>
        <v>160</v>
      </c>
      <c r="V284" s="279">
        <f t="shared" si="303"/>
        <v>100</v>
      </c>
      <c r="X284" s="279">
        <f t="shared" si="304"/>
        <v>100</v>
      </c>
      <c r="Y284" s="279">
        <f t="shared" si="304"/>
        <v>100</v>
      </c>
      <c r="AA284" s="279">
        <f t="shared" si="305"/>
        <v>100</v>
      </c>
      <c r="AB284" s="279">
        <f t="shared" si="305"/>
        <v>100</v>
      </c>
      <c r="AD284" s="279">
        <f t="shared" si="306"/>
        <v>100</v>
      </c>
      <c r="AE284" s="279">
        <f t="shared" si="306"/>
        <v>100</v>
      </c>
      <c r="AG284" s="279">
        <f t="shared" si="307"/>
        <v>100</v>
      </c>
      <c r="AH284" s="279">
        <f t="shared" si="307"/>
        <v>100</v>
      </c>
      <c r="AJ284" s="279">
        <f t="shared" si="308"/>
        <v>75</v>
      </c>
      <c r="AK284" s="279">
        <f t="shared" si="308"/>
        <v>75</v>
      </c>
      <c r="AM284" s="279">
        <f t="shared" si="309"/>
        <v>109.09090909090908</v>
      </c>
      <c r="AN284" s="279">
        <f t="shared" si="309"/>
        <v>86.666666666666671</v>
      </c>
      <c r="AP284" s="279" t="e">
        <f t="shared" si="310"/>
        <v>#DIV/0!</v>
      </c>
      <c r="AQ284" s="279" t="e">
        <f t="shared" si="310"/>
        <v>#DIV/0!</v>
      </c>
      <c r="AS284" s="279">
        <f t="shared" si="311"/>
        <v>111.11111111111111</v>
      </c>
      <c r="AT284" s="279">
        <f t="shared" si="311"/>
        <v>100</v>
      </c>
      <c r="AV284" s="279">
        <f t="shared" si="312"/>
        <v>100</v>
      </c>
      <c r="AW284" s="279">
        <f t="shared" si="312"/>
        <v>100</v>
      </c>
      <c r="AY284" s="279">
        <f t="shared" si="313"/>
        <v>92.857142857142861</v>
      </c>
      <c r="AZ284" s="279">
        <f t="shared" si="313"/>
        <v>100</v>
      </c>
      <c r="BB284" s="279">
        <f t="shared" si="314"/>
        <v>100</v>
      </c>
      <c r="BC284" s="279">
        <f t="shared" si="314"/>
        <v>100</v>
      </c>
      <c r="BE284" s="279">
        <f t="shared" si="315"/>
        <v>104.8780487804878</v>
      </c>
      <c r="BF284" s="279">
        <f t="shared" si="315"/>
        <v>100</v>
      </c>
      <c r="BH284" s="279">
        <f t="shared" si="316"/>
        <v>109.09090909090908</v>
      </c>
      <c r="BI284" s="279">
        <f t="shared" si="316"/>
        <v>100</v>
      </c>
      <c r="BK284" s="279">
        <f t="shared" si="317"/>
        <v>100</v>
      </c>
      <c r="BL284" s="279">
        <f t="shared" si="317"/>
        <v>100</v>
      </c>
      <c r="BN284" s="279">
        <f t="shared" si="318"/>
        <v>112.5</v>
      </c>
      <c r="BO284" s="279">
        <f t="shared" si="318"/>
        <v>100</v>
      </c>
      <c r="BQ284" s="279">
        <f t="shared" si="319"/>
        <v>122.22222222222223</v>
      </c>
      <c r="BR284" s="279">
        <f t="shared" si="319"/>
        <v>100</v>
      </c>
      <c r="BT284" s="279">
        <f t="shared" si="320"/>
        <v>100</v>
      </c>
      <c r="BU284" s="279">
        <f t="shared" si="320"/>
        <v>100</v>
      </c>
      <c r="BW284" s="279">
        <f t="shared" si="321"/>
        <v>100</v>
      </c>
      <c r="BX284" s="279">
        <f t="shared" si="321"/>
        <v>100</v>
      </c>
      <c r="BZ284" s="279">
        <f t="shared" si="322"/>
        <v>100</v>
      </c>
      <c r="CA284" s="279">
        <f t="shared" si="322"/>
        <v>100</v>
      </c>
      <c r="CC284" s="279">
        <f t="shared" si="323"/>
        <v>100</v>
      </c>
      <c r="CD284" s="279">
        <f t="shared" si="323"/>
        <v>100</v>
      </c>
      <c r="CF284" s="279" t="e">
        <f t="shared" si="324"/>
        <v>#DIV/0!</v>
      </c>
      <c r="CG284" s="279" t="e">
        <f t="shared" si="324"/>
        <v>#DIV/0!</v>
      </c>
      <c r="CI284" s="279" t="e">
        <f t="shared" si="325"/>
        <v>#DIV/0!</v>
      </c>
      <c r="CJ284" s="279" t="e">
        <f t="shared" si="325"/>
        <v>#DIV/0!</v>
      </c>
    </row>
    <row r="285" spans="1:88" x14ac:dyDescent="0.25">
      <c r="A285" s="95"/>
      <c r="B285" s="16" t="s">
        <v>1185</v>
      </c>
      <c r="C285" s="107"/>
      <c r="D285" s="95" t="s">
        <v>8</v>
      </c>
      <c r="E285" s="279">
        <f t="shared" si="302"/>
        <v>89.285714285714292</v>
      </c>
      <c r="F285" s="279">
        <v>83.1</v>
      </c>
      <c r="G285" s="279">
        <f t="shared" si="302"/>
        <v>83.07692307692308</v>
      </c>
      <c r="H285" s="279">
        <f t="shared" si="302"/>
        <v>82.8125</v>
      </c>
      <c r="I285" s="279">
        <f t="shared" si="302"/>
        <v>89.65517241379311</v>
      </c>
      <c r="J285" s="279">
        <f t="shared" si="302"/>
        <v>95.555555555555557</v>
      </c>
      <c r="K285" s="279">
        <f t="shared" si="302"/>
        <v>100</v>
      </c>
      <c r="L285" s="279">
        <f t="shared" si="302"/>
        <v>100</v>
      </c>
      <c r="M285" s="279">
        <f t="shared" si="302"/>
        <v>100</v>
      </c>
      <c r="N285" s="279">
        <f t="shared" si="302"/>
        <v>100</v>
      </c>
      <c r="O285" s="281"/>
      <c r="P285" s="279">
        <f>P295/P304*100</f>
        <v>102.12765957446808</v>
      </c>
      <c r="Q285" s="279">
        <f t="shared" si="326"/>
        <v>102.38095238095238</v>
      </c>
      <c r="R285" s="279">
        <f t="shared" si="326"/>
        <v>100</v>
      </c>
      <c r="S285" s="279">
        <f>S295/S304*100</f>
        <v>100</v>
      </c>
      <c r="U285" s="279">
        <f t="shared" si="303"/>
        <v>100</v>
      </c>
      <c r="V285" s="279">
        <f t="shared" si="303"/>
        <v>100</v>
      </c>
      <c r="X285" s="279">
        <f t="shared" si="304"/>
        <v>66.666666666666657</v>
      </c>
      <c r="Y285" s="279">
        <f t="shared" si="304"/>
        <v>66.666666666666657</v>
      </c>
      <c r="AA285" s="279">
        <f t="shared" si="305"/>
        <v>100</v>
      </c>
      <c r="AB285" s="279">
        <f t="shared" si="305"/>
        <v>100</v>
      </c>
      <c r="AD285" s="279">
        <f t="shared" si="306"/>
        <v>100</v>
      </c>
      <c r="AE285" s="279">
        <f t="shared" si="306"/>
        <v>100</v>
      </c>
      <c r="AG285" s="279">
        <f t="shared" si="307"/>
        <v>150</v>
      </c>
      <c r="AH285" s="279">
        <f t="shared" si="307"/>
        <v>100</v>
      </c>
      <c r="AJ285" s="279">
        <f t="shared" si="308"/>
        <v>100</v>
      </c>
      <c r="AK285" s="279">
        <f t="shared" si="308"/>
        <v>100</v>
      </c>
      <c r="AM285" s="279">
        <f t="shared" si="309"/>
        <v>100</v>
      </c>
      <c r="AN285" s="279">
        <f t="shared" si="309"/>
        <v>128.57142857142858</v>
      </c>
      <c r="AP285" s="279">
        <f t="shared" si="310"/>
        <v>100</v>
      </c>
      <c r="AQ285" s="279">
        <f t="shared" si="310"/>
        <v>100</v>
      </c>
      <c r="AS285" s="279" t="e">
        <f t="shared" si="311"/>
        <v>#DIV/0!</v>
      </c>
      <c r="AT285" s="279" t="e">
        <f t="shared" si="311"/>
        <v>#DIV/0!</v>
      </c>
      <c r="AV285" s="279" t="e">
        <f t="shared" si="312"/>
        <v>#DIV/0!</v>
      </c>
      <c r="AW285" s="279" t="e">
        <f t="shared" si="312"/>
        <v>#DIV/0!</v>
      </c>
      <c r="AY285" s="279" t="e">
        <f t="shared" si="313"/>
        <v>#DIV/0!</v>
      </c>
      <c r="AZ285" s="279" t="e">
        <f t="shared" si="313"/>
        <v>#DIV/0!</v>
      </c>
      <c r="BB285" s="279" t="e">
        <f t="shared" si="314"/>
        <v>#DIV/0!</v>
      </c>
      <c r="BC285" s="279" t="e">
        <f t="shared" si="314"/>
        <v>#DIV/0!</v>
      </c>
      <c r="BE285" s="279" t="e">
        <f t="shared" si="315"/>
        <v>#DIV/0!</v>
      </c>
      <c r="BF285" s="279" t="e">
        <f t="shared" si="315"/>
        <v>#DIV/0!</v>
      </c>
      <c r="BH285" s="279" t="e">
        <f t="shared" si="316"/>
        <v>#DIV/0!</v>
      </c>
      <c r="BI285" s="279" t="e">
        <f t="shared" si="316"/>
        <v>#DIV/0!</v>
      </c>
      <c r="BK285" s="279" t="e">
        <f t="shared" si="317"/>
        <v>#DIV/0!</v>
      </c>
      <c r="BL285" s="279" t="e">
        <f t="shared" si="317"/>
        <v>#DIV/0!</v>
      </c>
      <c r="BN285" s="279" t="e">
        <f t="shared" si="318"/>
        <v>#DIV/0!</v>
      </c>
      <c r="BO285" s="279" t="e">
        <f t="shared" si="318"/>
        <v>#DIV/0!</v>
      </c>
      <c r="BQ285" s="279" t="e">
        <f t="shared" si="319"/>
        <v>#DIV/0!</v>
      </c>
      <c r="BR285" s="279" t="e">
        <f t="shared" si="319"/>
        <v>#DIV/0!</v>
      </c>
      <c r="BT285" s="279" t="e">
        <f t="shared" si="320"/>
        <v>#DIV/0!</v>
      </c>
      <c r="BU285" s="279" t="e">
        <f t="shared" si="320"/>
        <v>#DIV/0!</v>
      </c>
      <c r="BW285" s="279" t="e">
        <f t="shared" si="321"/>
        <v>#DIV/0!</v>
      </c>
      <c r="BX285" s="279" t="e">
        <f t="shared" si="321"/>
        <v>#DIV/0!</v>
      </c>
      <c r="BZ285" s="279" t="e">
        <f t="shared" si="322"/>
        <v>#DIV/0!</v>
      </c>
      <c r="CA285" s="279" t="e">
        <f t="shared" si="322"/>
        <v>#DIV/0!</v>
      </c>
      <c r="CC285" s="279" t="e">
        <f t="shared" si="323"/>
        <v>#DIV/0!</v>
      </c>
      <c r="CD285" s="279" t="e">
        <f t="shared" si="323"/>
        <v>#DIV/0!</v>
      </c>
      <c r="CF285" s="279" t="e">
        <f t="shared" si="324"/>
        <v>#DIV/0!</v>
      </c>
      <c r="CG285" s="279" t="e">
        <f t="shared" si="324"/>
        <v>#DIV/0!</v>
      </c>
      <c r="CI285" s="279" t="e">
        <f t="shared" si="325"/>
        <v>#DIV/0!</v>
      </c>
      <c r="CJ285" s="279" t="e">
        <f t="shared" si="325"/>
        <v>#DIV/0!</v>
      </c>
    </row>
    <row r="286" spans="1:88" x14ac:dyDescent="0.25">
      <c r="A286" s="95"/>
      <c r="B286" s="16" t="s">
        <v>64</v>
      </c>
      <c r="C286" s="107"/>
      <c r="D286" s="95" t="s">
        <v>8</v>
      </c>
      <c r="E286" s="279">
        <f t="shared" ref="E286:N288" si="327">E296/E302*100</f>
        <v>96.610169491525426</v>
      </c>
      <c r="F286" s="279">
        <v>98</v>
      </c>
      <c r="G286" s="279">
        <f t="shared" si="327"/>
        <v>96.694214876033058</v>
      </c>
      <c r="H286" s="279">
        <f t="shared" si="327"/>
        <v>96.264367816091962</v>
      </c>
      <c r="I286" s="279">
        <f t="shared" si="327"/>
        <v>98.533724340175951</v>
      </c>
      <c r="J286" s="279">
        <f t="shared" si="327"/>
        <v>99.671052631578945</v>
      </c>
      <c r="K286" s="279">
        <f t="shared" si="327"/>
        <v>99.322033898305079</v>
      </c>
      <c r="L286" s="279">
        <f t="shared" si="327"/>
        <v>100</v>
      </c>
      <c r="M286" s="279">
        <f t="shared" si="327"/>
        <v>100</v>
      </c>
      <c r="N286" s="279">
        <f t="shared" si="327"/>
        <v>100</v>
      </c>
      <c r="O286" s="281"/>
      <c r="P286" s="279">
        <f t="shared" ref="P286:S288" si="328">P296/P302*100</f>
        <v>103.71621621621621</v>
      </c>
      <c r="Q286" s="279">
        <f t="shared" si="328"/>
        <v>98.928571428571431</v>
      </c>
      <c r="R286" s="279">
        <f t="shared" si="328"/>
        <v>100</v>
      </c>
      <c r="S286" s="279">
        <f t="shared" si="328"/>
        <v>100</v>
      </c>
      <c r="U286" s="279">
        <f t="shared" ref="U286:V288" si="329">U296/U302*100</f>
        <v>130</v>
      </c>
      <c r="V286" s="279">
        <f t="shared" si="329"/>
        <v>100</v>
      </c>
      <c r="X286" s="279">
        <f t="shared" ref="X286:Y288" si="330">X296/X302*100</f>
        <v>100</v>
      </c>
      <c r="Y286" s="279">
        <f t="shared" si="330"/>
        <v>100</v>
      </c>
      <c r="AA286" s="279">
        <f t="shared" ref="AA286:AB288" si="331">AA296/AA302*100</f>
        <v>100</v>
      </c>
      <c r="AB286" s="279">
        <f t="shared" si="331"/>
        <v>100</v>
      </c>
      <c r="AD286" s="279">
        <f t="shared" ref="AD286:AE288" si="332">AD296/AD302*100</f>
        <v>100</v>
      </c>
      <c r="AE286" s="279">
        <f t="shared" si="332"/>
        <v>100</v>
      </c>
      <c r="AG286" s="279">
        <f t="shared" ref="AG286:AH288" si="333">AG296/AG302*100</f>
        <v>118.18181818181819</v>
      </c>
      <c r="AH286" s="279">
        <f t="shared" si="333"/>
        <v>100</v>
      </c>
      <c r="AJ286" s="279">
        <f t="shared" ref="AJ286:AK288" si="334">AJ296/AJ302*100</f>
        <v>76.923076923076934</v>
      </c>
      <c r="AK286" s="279">
        <f t="shared" si="334"/>
        <v>76.923076923076934</v>
      </c>
      <c r="AM286" s="279">
        <f t="shared" ref="AM286:AN288" si="335">AM296/AM302*100</f>
        <v>104.54545454545455</v>
      </c>
      <c r="AN286" s="279">
        <f t="shared" si="335"/>
        <v>100</v>
      </c>
      <c r="AP286" s="279">
        <f t="shared" ref="AP286:AQ288" si="336">AP296/AP302*100</f>
        <v>84.615384615384613</v>
      </c>
      <c r="AQ286" s="279">
        <f t="shared" si="336"/>
        <v>100</v>
      </c>
      <c r="AS286" s="279">
        <f t="shared" ref="AS286:AT288" si="337">AS296/AS302*100</f>
        <v>111.11111111111111</v>
      </c>
      <c r="AT286" s="279">
        <f t="shared" si="337"/>
        <v>100</v>
      </c>
      <c r="AV286" s="279">
        <f t="shared" ref="AV286:AW288" si="338">AV296/AV302*100</f>
        <v>100</v>
      </c>
      <c r="AW286" s="279">
        <f t="shared" si="338"/>
        <v>100</v>
      </c>
      <c r="AY286" s="279">
        <f t="shared" ref="AY286:AZ288" si="339">AY296/AY302*100</f>
        <v>92.857142857142861</v>
      </c>
      <c r="AZ286" s="279">
        <f t="shared" si="339"/>
        <v>100</v>
      </c>
      <c r="BB286" s="279">
        <f t="shared" ref="BB286:BC288" si="340">BB296/BB302*100</f>
        <v>100</v>
      </c>
      <c r="BC286" s="279">
        <f t="shared" si="340"/>
        <v>100</v>
      </c>
      <c r="BE286" s="279">
        <f t="shared" ref="BE286:BF288" si="341">BE296/BE302*100</f>
        <v>104.8780487804878</v>
      </c>
      <c r="BF286" s="279">
        <f t="shared" si="341"/>
        <v>100</v>
      </c>
      <c r="BH286" s="279">
        <f t="shared" ref="BH286:BI288" si="342">BH296/BH302*100</f>
        <v>109.09090909090908</v>
      </c>
      <c r="BI286" s="279">
        <f t="shared" si="342"/>
        <v>100</v>
      </c>
      <c r="BK286" s="279">
        <f t="shared" ref="BK286:BL288" si="343">BK296/BK302*100</f>
        <v>100</v>
      </c>
      <c r="BL286" s="279">
        <f t="shared" si="343"/>
        <v>100</v>
      </c>
      <c r="BN286" s="279">
        <f t="shared" ref="BN286:BO288" si="344">BN296/BN302*100</f>
        <v>112.5</v>
      </c>
      <c r="BO286" s="279">
        <f t="shared" si="344"/>
        <v>100</v>
      </c>
      <c r="BQ286" s="279">
        <f t="shared" ref="BQ286:BR288" si="345">BQ296/BQ302*100</f>
        <v>122.22222222222223</v>
      </c>
      <c r="BR286" s="279">
        <f t="shared" si="345"/>
        <v>100</v>
      </c>
      <c r="BT286" s="279">
        <f t="shared" ref="BT286:BU288" si="346">BT296/BT302*100</f>
        <v>100</v>
      </c>
      <c r="BU286" s="279">
        <f t="shared" si="346"/>
        <v>100</v>
      </c>
      <c r="BW286" s="279">
        <f t="shared" ref="BW286:BX288" si="347">BW296/BW302*100</f>
        <v>100</v>
      </c>
      <c r="BX286" s="279">
        <f t="shared" si="347"/>
        <v>100</v>
      </c>
      <c r="BZ286" s="279">
        <f t="shared" ref="BZ286:CA288" si="348">BZ296/BZ302*100</f>
        <v>100</v>
      </c>
      <c r="CA286" s="279">
        <f t="shared" si="348"/>
        <v>100</v>
      </c>
      <c r="CC286" s="279">
        <f t="shared" ref="CC286:CD288" si="349">CC296/CC302*100</f>
        <v>100</v>
      </c>
      <c r="CD286" s="279">
        <f t="shared" si="349"/>
        <v>100</v>
      </c>
      <c r="CF286" s="279" t="e">
        <f t="shared" ref="CF286:CG288" si="350">CF296/CF302*100</f>
        <v>#DIV/0!</v>
      </c>
      <c r="CG286" s="279" t="e">
        <f t="shared" si="350"/>
        <v>#DIV/0!</v>
      </c>
      <c r="CI286" s="279" t="e">
        <f t="shared" ref="CI286:CJ288" si="351">CI296/CI302*100</f>
        <v>#DIV/0!</v>
      </c>
      <c r="CJ286" s="279" t="e">
        <f t="shared" si="351"/>
        <v>#DIV/0!</v>
      </c>
    </row>
    <row r="287" spans="1:88" x14ac:dyDescent="0.25">
      <c r="A287" s="95"/>
      <c r="B287" s="16" t="s">
        <v>1183</v>
      </c>
      <c r="C287" s="107"/>
      <c r="D287" s="95" t="s">
        <v>8</v>
      </c>
      <c r="E287" s="279">
        <f t="shared" si="327"/>
        <v>96.960486322188459</v>
      </c>
      <c r="F287" s="279">
        <f t="shared" si="327"/>
        <v>100</v>
      </c>
      <c r="G287" s="279">
        <f>G297/G303*100</f>
        <v>98.65771812080537</v>
      </c>
      <c r="H287" s="279">
        <f t="shared" si="327"/>
        <v>98.943661971830991</v>
      </c>
      <c r="I287" s="279">
        <f t="shared" si="327"/>
        <v>100</v>
      </c>
      <c r="J287" s="279">
        <f t="shared" si="327"/>
        <v>100</v>
      </c>
      <c r="K287" s="279">
        <f t="shared" si="327"/>
        <v>99.601593625498012</v>
      </c>
      <c r="L287" s="279">
        <f t="shared" si="327"/>
        <v>100</v>
      </c>
      <c r="M287" s="279">
        <f t="shared" si="327"/>
        <v>100</v>
      </c>
      <c r="N287" s="279">
        <f t="shared" si="327"/>
        <v>100</v>
      </c>
      <c r="O287" s="313"/>
      <c r="P287" s="279">
        <f t="shared" si="328"/>
        <v>104.41767068273093</v>
      </c>
      <c r="Q287" s="279">
        <f t="shared" si="328"/>
        <v>97.899159663865547</v>
      </c>
      <c r="R287" s="279">
        <f t="shared" si="328"/>
        <v>100</v>
      </c>
      <c r="S287" s="279">
        <f t="shared" si="328"/>
        <v>100</v>
      </c>
      <c r="U287" s="279">
        <f t="shared" si="329"/>
        <v>160</v>
      </c>
      <c r="V287" s="279">
        <f t="shared" si="329"/>
        <v>100</v>
      </c>
      <c r="X287" s="279">
        <f t="shared" si="330"/>
        <v>100</v>
      </c>
      <c r="Y287" s="279">
        <f t="shared" si="330"/>
        <v>100</v>
      </c>
      <c r="AA287" s="279">
        <f t="shared" si="331"/>
        <v>100</v>
      </c>
      <c r="AB287" s="279">
        <f t="shared" si="331"/>
        <v>100</v>
      </c>
      <c r="AD287" s="279">
        <f t="shared" si="332"/>
        <v>100</v>
      </c>
      <c r="AE287" s="279">
        <f t="shared" si="332"/>
        <v>100</v>
      </c>
      <c r="AG287" s="279">
        <f t="shared" si="333"/>
        <v>100</v>
      </c>
      <c r="AH287" s="279">
        <f t="shared" si="333"/>
        <v>100</v>
      </c>
      <c r="AJ287" s="279">
        <f t="shared" si="334"/>
        <v>75</v>
      </c>
      <c r="AK287" s="279">
        <f t="shared" si="334"/>
        <v>75</v>
      </c>
      <c r="AM287" s="279">
        <f t="shared" si="335"/>
        <v>109.09090909090908</v>
      </c>
      <c r="AN287" s="279">
        <f t="shared" si="335"/>
        <v>86.666666666666671</v>
      </c>
      <c r="AP287" s="279" t="e">
        <f t="shared" si="336"/>
        <v>#DIV/0!</v>
      </c>
      <c r="AQ287" s="279" t="e">
        <f t="shared" si="336"/>
        <v>#DIV/0!</v>
      </c>
      <c r="AS287" s="279">
        <f t="shared" si="337"/>
        <v>111.11111111111111</v>
      </c>
      <c r="AT287" s="279">
        <f t="shared" si="337"/>
        <v>100</v>
      </c>
      <c r="AV287" s="279">
        <f t="shared" si="338"/>
        <v>100</v>
      </c>
      <c r="AW287" s="279">
        <f t="shared" si="338"/>
        <v>100</v>
      </c>
      <c r="AY287" s="279">
        <f t="shared" si="339"/>
        <v>92.857142857142861</v>
      </c>
      <c r="AZ287" s="279">
        <f t="shared" si="339"/>
        <v>100</v>
      </c>
      <c r="BB287" s="279">
        <f t="shared" si="340"/>
        <v>100</v>
      </c>
      <c r="BC287" s="279">
        <f t="shared" si="340"/>
        <v>100</v>
      </c>
      <c r="BE287" s="279">
        <f t="shared" si="341"/>
        <v>104.8780487804878</v>
      </c>
      <c r="BF287" s="279">
        <f t="shared" si="341"/>
        <v>100</v>
      </c>
      <c r="BH287" s="279">
        <f t="shared" si="342"/>
        <v>109.09090909090908</v>
      </c>
      <c r="BI287" s="279">
        <f t="shared" si="342"/>
        <v>100</v>
      </c>
      <c r="BK287" s="279">
        <f t="shared" si="343"/>
        <v>100</v>
      </c>
      <c r="BL287" s="279">
        <f t="shared" si="343"/>
        <v>100</v>
      </c>
      <c r="BN287" s="279">
        <f t="shared" si="344"/>
        <v>112.5</v>
      </c>
      <c r="BO287" s="279">
        <f t="shared" si="344"/>
        <v>100</v>
      </c>
      <c r="BQ287" s="279">
        <f t="shared" si="345"/>
        <v>122.22222222222223</v>
      </c>
      <c r="BR287" s="279">
        <f t="shared" si="345"/>
        <v>100</v>
      </c>
      <c r="BT287" s="279">
        <f t="shared" si="346"/>
        <v>100</v>
      </c>
      <c r="BU287" s="279">
        <f t="shared" si="346"/>
        <v>100</v>
      </c>
      <c r="BW287" s="279">
        <f t="shared" si="347"/>
        <v>100</v>
      </c>
      <c r="BX287" s="279">
        <f t="shared" si="347"/>
        <v>100</v>
      </c>
      <c r="BZ287" s="279">
        <f t="shared" si="348"/>
        <v>100</v>
      </c>
      <c r="CA287" s="279">
        <f t="shared" si="348"/>
        <v>100</v>
      </c>
      <c r="CC287" s="279">
        <f t="shared" si="349"/>
        <v>100</v>
      </c>
      <c r="CD287" s="279">
        <f t="shared" si="349"/>
        <v>100</v>
      </c>
      <c r="CF287" s="279" t="e">
        <f t="shared" si="350"/>
        <v>#DIV/0!</v>
      </c>
      <c r="CG287" s="279" t="e">
        <f t="shared" si="350"/>
        <v>#DIV/0!</v>
      </c>
      <c r="CI287" s="279" t="e">
        <f t="shared" si="351"/>
        <v>#DIV/0!</v>
      </c>
      <c r="CJ287" s="279" t="e">
        <f t="shared" si="351"/>
        <v>#DIV/0!</v>
      </c>
    </row>
    <row r="288" spans="1:88" x14ac:dyDescent="0.25">
      <c r="A288" s="95"/>
      <c r="B288" s="16" t="s">
        <v>1185</v>
      </c>
      <c r="C288" s="107"/>
      <c r="D288" s="95" t="s">
        <v>8</v>
      </c>
      <c r="E288" s="279">
        <f t="shared" si="327"/>
        <v>95.238095238095227</v>
      </c>
      <c r="F288" s="279">
        <v>89.6</v>
      </c>
      <c r="G288" s="279">
        <f t="shared" si="327"/>
        <v>87.692307692307693</v>
      </c>
      <c r="H288" s="279">
        <f t="shared" si="327"/>
        <v>84.375</v>
      </c>
      <c r="I288" s="279">
        <f t="shared" si="327"/>
        <v>91.379310344827587</v>
      </c>
      <c r="J288" s="279">
        <f t="shared" si="327"/>
        <v>97.777777777777771</v>
      </c>
      <c r="K288" s="279">
        <f t="shared" si="327"/>
        <v>97.727272727272734</v>
      </c>
      <c r="L288" s="279">
        <f t="shared" si="327"/>
        <v>100</v>
      </c>
      <c r="M288" s="279">
        <f t="shared" si="327"/>
        <v>100</v>
      </c>
      <c r="N288" s="279">
        <f t="shared" si="327"/>
        <v>100</v>
      </c>
      <c r="O288" s="303"/>
      <c r="P288" s="279">
        <f t="shared" si="328"/>
        <v>100</v>
      </c>
      <c r="Q288" s="279">
        <f t="shared" si="328"/>
        <v>104.76190476190477</v>
      </c>
      <c r="R288" s="279">
        <f t="shared" si="328"/>
        <v>100</v>
      </c>
      <c r="S288" s="279">
        <f t="shared" si="328"/>
        <v>100</v>
      </c>
      <c r="U288" s="279">
        <f t="shared" si="329"/>
        <v>100</v>
      </c>
      <c r="V288" s="279">
        <f t="shared" si="329"/>
        <v>100</v>
      </c>
      <c r="X288" s="279">
        <f t="shared" si="330"/>
        <v>100</v>
      </c>
      <c r="Y288" s="279">
        <f t="shared" si="330"/>
        <v>100</v>
      </c>
      <c r="AA288" s="279">
        <f t="shared" si="331"/>
        <v>100</v>
      </c>
      <c r="AB288" s="279">
        <f t="shared" si="331"/>
        <v>100</v>
      </c>
      <c r="AD288" s="279">
        <f t="shared" si="332"/>
        <v>100</v>
      </c>
      <c r="AE288" s="279">
        <f t="shared" si="332"/>
        <v>100</v>
      </c>
      <c r="AG288" s="279">
        <f t="shared" si="333"/>
        <v>150</v>
      </c>
      <c r="AH288" s="279">
        <f t="shared" si="333"/>
        <v>100</v>
      </c>
      <c r="AJ288" s="279">
        <f t="shared" si="334"/>
        <v>100</v>
      </c>
      <c r="AK288" s="279">
        <f t="shared" si="334"/>
        <v>100</v>
      </c>
      <c r="AM288" s="279">
        <f t="shared" si="335"/>
        <v>100</v>
      </c>
      <c r="AN288" s="279">
        <f t="shared" si="335"/>
        <v>128.57142857142858</v>
      </c>
      <c r="AP288" s="279">
        <f t="shared" si="336"/>
        <v>84.615384615384613</v>
      </c>
      <c r="AQ288" s="279">
        <f t="shared" si="336"/>
        <v>100</v>
      </c>
      <c r="AS288" s="279" t="e">
        <f t="shared" si="337"/>
        <v>#DIV/0!</v>
      </c>
      <c r="AT288" s="279" t="e">
        <f t="shared" si="337"/>
        <v>#DIV/0!</v>
      </c>
      <c r="AV288" s="279" t="e">
        <f t="shared" si="338"/>
        <v>#DIV/0!</v>
      </c>
      <c r="AW288" s="279" t="e">
        <f t="shared" si="338"/>
        <v>#DIV/0!</v>
      </c>
      <c r="AY288" s="279" t="e">
        <f t="shared" si="339"/>
        <v>#DIV/0!</v>
      </c>
      <c r="AZ288" s="279" t="e">
        <f t="shared" si="339"/>
        <v>#DIV/0!</v>
      </c>
      <c r="BB288" s="279" t="e">
        <f t="shared" si="340"/>
        <v>#DIV/0!</v>
      </c>
      <c r="BC288" s="279" t="e">
        <f t="shared" si="340"/>
        <v>#DIV/0!</v>
      </c>
      <c r="BE288" s="279" t="e">
        <f t="shared" si="341"/>
        <v>#DIV/0!</v>
      </c>
      <c r="BF288" s="279" t="e">
        <f t="shared" si="341"/>
        <v>#DIV/0!</v>
      </c>
      <c r="BH288" s="279" t="e">
        <f t="shared" si="342"/>
        <v>#DIV/0!</v>
      </c>
      <c r="BI288" s="279" t="e">
        <f t="shared" si="342"/>
        <v>#DIV/0!</v>
      </c>
      <c r="BK288" s="279" t="e">
        <f t="shared" si="343"/>
        <v>#DIV/0!</v>
      </c>
      <c r="BL288" s="279" t="e">
        <f t="shared" si="343"/>
        <v>#DIV/0!</v>
      </c>
      <c r="BN288" s="279" t="e">
        <f t="shared" si="344"/>
        <v>#DIV/0!</v>
      </c>
      <c r="BO288" s="279" t="e">
        <f t="shared" si="344"/>
        <v>#DIV/0!</v>
      </c>
      <c r="BQ288" s="279" t="e">
        <f t="shared" si="345"/>
        <v>#DIV/0!</v>
      </c>
      <c r="BR288" s="279" t="e">
        <f t="shared" si="345"/>
        <v>#DIV/0!</v>
      </c>
      <c r="BT288" s="279" t="e">
        <f t="shared" si="346"/>
        <v>#DIV/0!</v>
      </c>
      <c r="BU288" s="279" t="e">
        <f t="shared" si="346"/>
        <v>#DIV/0!</v>
      </c>
      <c r="BW288" s="279" t="e">
        <f t="shared" si="347"/>
        <v>#DIV/0!</v>
      </c>
      <c r="BX288" s="279" t="e">
        <f t="shared" si="347"/>
        <v>#DIV/0!</v>
      </c>
      <c r="BZ288" s="279" t="e">
        <f t="shared" si="348"/>
        <v>#DIV/0!</v>
      </c>
      <c r="CA288" s="279" t="e">
        <f t="shared" si="348"/>
        <v>#DIV/0!</v>
      </c>
      <c r="CC288" s="279" t="e">
        <f t="shared" si="349"/>
        <v>#DIV/0!</v>
      </c>
      <c r="CD288" s="279" t="e">
        <f t="shared" si="349"/>
        <v>#DIV/0!</v>
      </c>
      <c r="CF288" s="279" t="e">
        <f t="shared" si="350"/>
        <v>#DIV/0!</v>
      </c>
      <c r="CG288" s="279" t="e">
        <f t="shared" si="350"/>
        <v>#DIV/0!</v>
      </c>
      <c r="CI288" s="279" t="e">
        <f t="shared" si="351"/>
        <v>#DIV/0!</v>
      </c>
      <c r="CJ288" s="279" t="e">
        <f t="shared" si="351"/>
        <v>#DIV/0!</v>
      </c>
    </row>
    <row r="289" spans="1:88" x14ac:dyDescent="0.25">
      <c r="A289" s="95"/>
      <c r="B289" s="16" t="s">
        <v>65</v>
      </c>
      <c r="C289" s="107"/>
      <c r="D289" s="95" t="s">
        <v>8</v>
      </c>
      <c r="E289" s="279">
        <f t="shared" ref="E289:N291" si="352">E299/E302*100</f>
        <v>95.157384987893465</v>
      </c>
      <c r="F289" s="279">
        <v>97</v>
      </c>
      <c r="G289" s="279">
        <f t="shared" si="352"/>
        <v>96.143250688705237</v>
      </c>
      <c r="H289" s="279">
        <f t="shared" si="352"/>
        <v>95.977011494252878</v>
      </c>
      <c r="I289" s="279">
        <f t="shared" si="352"/>
        <v>98.533724340175951</v>
      </c>
      <c r="J289" s="279">
        <f t="shared" si="352"/>
        <v>99.01315789473685</v>
      </c>
      <c r="K289" s="279">
        <f t="shared" si="352"/>
        <v>99.661016949152554</v>
      </c>
      <c r="L289" s="279">
        <f t="shared" si="352"/>
        <v>100</v>
      </c>
      <c r="M289" s="279">
        <f t="shared" si="352"/>
        <v>100</v>
      </c>
      <c r="N289" s="279">
        <f t="shared" si="352"/>
        <v>100</v>
      </c>
      <c r="O289" s="281"/>
      <c r="P289" s="279">
        <f>P299/P302*100</f>
        <v>103.71621621621621</v>
      </c>
      <c r="Q289" s="279">
        <f>Q299/Q302*100</f>
        <v>98.928571428571431</v>
      </c>
      <c r="R289" s="279">
        <f>R299/R302*100</f>
        <v>100</v>
      </c>
      <c r="S289" s="279">
        <f>S299/S302*100</f>
        <v>100</v>
      </c>
      <c r="U289" s="279">
        <f t="shared" ref="U289:V291" si="353">U299/U302*100</f>
        <v>130</v>
      </c>
      <c r="V289" s="279">
        <f t="shared" si="353"/>
        <v>100</v>
      </c>
      <c r="X289" s="279">
        <f t="shared" ref="X289:Y291" si="354">X299/X302*100</f>
        <v>100</v>
      </c>
      <c r="Y289" s="279">
        <f t="shared" si="354"/>
        <v>100</v>
      </c>
      <c r="AA289" s="279">
        <f t="shared" ref="AA289:AB291" si="355">AA299/AA302*100</f>
        <v>100</v>
      </c>
      <c r="AB289" s="279">
        <f t="shared" si="355"/>
        <v>100</v>
      </c>
      <c r="AD289" s="279">
        <f t="shared" ref="AD289:AE291" si="356">AD299/AD302*100</f>
        <v>100</v>
      </c>
      <c r="AE289" s="279">
        <f t="shared" si="356"/>
        <v>100</v>
      </c>
      <c r="AG289" s="279">
        <f t="shared" ref="AG289:AH291" si="357">AG299/AG302*100</f>
        <v>118.18181818181819</v>
      </c>
      <c r="AH289" s="279">
        <f t="shared" si="357"/>
        <v>100</v>
      </c>
      <c r="AJ289" s="279">
        <f t="shared" ref="AJ289:AK291" si="358">AJ299/AJ302*100</f>
        <v>76.923076923076934</v>
      </c>
      <c r="AK289" s="279">
        <f t="shared" si="358"/>
        <v>76.923076923076934</v>
      </c>
      <c r="AM289" s="279">
        <f t="shared" ref="AM289:AN291" si="359">AM299/AM302*100</f>
        <v>104.54545454545455</v>
      </c>
      <c r="AN289" s="279">
        <f t="shared" si="359"/>
        <v>100</v>
      </c>
      <c r="AP289" s="279">
        <f t="shared" ref="AP289:AQ291" si="360">AP299/AP302*100</f>
        <v>84.615384615384613</v>
      </c>
      <c r="AQ289" s="279">
        <f t="shared" si="360"/>
        <v>100</v>
      </c>
      <c r="AS289" s="279">
        <f t="shared" ref="AS289:AT291" si="361">AS299/AS302*100</f>
        <v>111.11111111111111</v>
      </c>
      <c r="AT289" s="279">
        <f t="shared" si="361"/>
        <v>100</v>
      </c>
      <c r="AV289" s="279">
        <f t="shared" ref="AV289:AW291" si="362">AV299/AV302*100</f>
        <v>100</v>
      </c>
      <c r="AW289" s="279">
        <f t="shared" si="362"/>
        <v>100</v>
      </c>
      <c r="AY289" s="279">
        <f t="shared" ref="AY289:AZ291" si="363">AY299/AY302*100</f>
        <v>92.857142857142861</v>
      </c>
      <c r="AZ289" s="279">
        <f t="shared" si="363"/>
        <v>100</v>
      </c>
      <c r="BB289" s="279">
        <f t="shared" ref="BB289:BC291" si="364">BB299/BB302*100</f>
        <v>100</v>
      </c>
      <c r="BC289" s="279">
        <f t="shared" si="364"/>
        <v>100</v>
      </c>
      <c r="BE289" s="279">
        <f t="shared" ref="BE289:BF291" si="365">BE299/BE302*100</f>
        <v>104.8780487804878</v>
      </c>
      <c r="BF289" s="279">
        <f t="shared" si="365"/>
        <v>100</v>
      </c>
      <c r="BH289" s="279">
        <f t="shared" ref="BH289:BI291" si="366">BH299/BH302*100</f>
        <v>109.09090909090908</v>
      </c>
      <c r="BI289" s="279">
        <f t="shared" si="366"/>
        <v>100</v>
      </c>
      <c r="BK289" s="279">
        <f t="shared" ref="BK289:BL291" si="367">BK299/BK302*100</f>
        <v>100</v>
      </c>
      <c r="BL289" s="279">
        <f t="shared" si="367"/>
        <v>100</v>
      </c>
      <c r="BN289" s="279">
        <f t="shared" ref="BN289:BO291" si="368">BN299/BN302*100</f>
        <v>112.5</v>
      </c>
      <c r="BO289" s="279">
        <f t="shared" si="368"/>
        <v>100</v>
      </c>
      <c r="BQ289" s="279">
        <f t="shared" ref="BQ289:BR291" si="369">BQ299/BQ302*100</f>
        <v>122.22222222222223</v>
      </c>
      <c r="BR289" s="279">
        <f t="shared" si="369"/>
        <v>100</v>
      </c>
      <c r="BT289" s="279">
        <f t="shared" ref="BT289:BU291" si="370">BT299/BT302*100</f>
        <v>100</v>
      </c>
      <c r="BU289" s="279">
        <f t="shared" si="370"/>
        <v>100</v>
      </c>
      <c r="BW289" s="279">
        <f t="shared" ref="BW289:BX291" si="371">BW299/BW302*100</f>
        <v>100</v>
      </c>
      <c r="BX289" s="279">
        <f t="shared" si="371"/>
        <v>100</v>
      </c>
      <c r="BZ289" s="279">
        <f t="shared" ref="BZ289:CA291" si="372">BZ299/BZ302*100</f>
        <v>100</v>
      </c>
      <c r="CA289" s="279">
        <f t="shared" si="372"/>
        <v>100</v>
      </c>
      <c r="CC289" s="279">
        <f t="shared" ref="CC289:CD291" si="373">CC299/CC302*100</f>
        <v>100</v>
      </c>
      <c r="CD289" s="279">
        <f t="shared" si="373"/>
        <v>100</v>
      </c>
      <c r="CF289" s="279" t="e">
        <f t="shared" ref="CF289:CG291" si="374">CF299/CF302*100</f>
        <v>#DIV/0!</v>
      </c>
      <c r="CG289" s="279" t="e">
        <f t="shared" si="374"/>
        <v>#DIV/0!</v>
      </c>
      <c r="CI289" s="279" t="e">
        <f t="shared" ref="CI289:CJ291" si="375">CI299/CI302*100</f>
        <v>#DIV/0!</v>
      </c>
      <c r="CJ289" s="279" t="e">
        <f t="shared" si="375"/>
        <v>#DIV/0!</v>
      </c>
    </row>
    <row r="290" spans="1:88" x14ac:dyDescent="0.25">
      <c r="A290" s="95"/>
      <c r="B290" s="16" t="s">
        <v>1183</v>
      </c>
      <c r="C290" s="107"/>
      <c r="D290" s="95" t="s">
        <v>8</v>
      </c>
      <c r="E290" s="279">
        <f t="shared" si="352"/>
        <v>96.656534954407292</v>
      </c>
      <c r="F290" s="279">
        <f t="shared" si="352"/>
        <v>100</v>
      </c>
      <c r="G290" s="279">
        <f>G300/G303*100</f>
        <v>98.993288590604024</v>
      </c>
      <c r="H290" s="279">
        <f t="shared" si="352"/>
        <v>98.943661971830991</v>
      </c>
      <c r="I290" s="279">
        <f t="shared" si="352"/>
        <v>100</v>
      </c>
      <c r="J290" s="279">
        <f t="shared" si="352"/>
        <v>99.613899613899619</v>
      </c>
      <c r="K290" s="279">
        <f t="shared" si="352"/>
        <v>99.601593625498012</v>
      </c>
      <c r="L290" s="279">
        <f t="shared" si="352"/>
        <v>100</v>
      </c>
      <c r="M290" s="279">
        <f t="shared" si="352"/>
        <v>100</v>
      </c>
      <c r="N290" s="279">
        <f t="shared" si="352"/>
        <v>100</v>
      </c>
      <c r="O290" s="281"/>
      <c r="P290" s="279">
        <f t="shared" ref="P290:R291" si="376">P300/P303*100</f>
        <v>104.41767068273093</v>
      </c>
      <c r="Q290" s="279">
        <f t="shared" si="376"/>
        <v>97.899159663865547</v>
      </c>
      <c r="R290" s="279">
        <f>R300/R303*100</f>
        <v>100</v>
      </c>
      <c r="S290" s="279">
        <f>S300/S303*100</f>
        <v>100</v>
      </c>
      <c r="U290" s="279">
        <f t="shared" si="353"/>
        <v>160</v>
      </c>
      <c r="V290" s="279">
        <f t="shared" si="353"/>
        <v>100</v>
      </c>
      <c r="X290" s="279">
        <f t="shared" si="354"/>
        <v>100</v>
      </c>
      <c r="Y290" s="279">
        <f t="shared" si="354"/>
        <v>100</v>
      </c>
      <c r="AA290" s="279">
        <f t="shared" si="355"/>
        <v>100</v>
      </c>
      <c r="AB290" s="279">
        <f t="shared" si="355"/>
        <v>100</v>
      </c>
      <c r="AD290" s="279">
        <f t="shared" si="356"/>
        <v>100</v>
      </c>
      <c r="AE290" s="279">
        <f t="shared" si="356"/>
        <v>100</v>
      </c>
      <c r="AG290" s="279">
        <f t="shared" si="357"/>
        <v>100</v>
      </c>
      <c r="AH290" s="279">
        <f t="shared" si="357"/>
        <v>100</v>
      </c>
      <c r="AJ290" s="279">
        <f t="shared" si="358"/>
        <v>75</v>
      </c>
      <c r="AK290" s="279">
        <f t="shared" si="358"/>
        <v>75</v>
      </c>
      <c r="AM290" s="279">
        <f t="shared" si="359"/>
        <v>109.09090909090908</v>
      </c>
      <c r="AN290" s="279">
        <f t="shared" si="359"/>
        <v>86.666666666666671</v>
      </c>
      <c r="AP290" s="279" t="e">
        <f t="shared" si="360"/>
        <v>#DIV/0!</v>
      </c>
      <c r="AQ290" s="279" t="e">
        <f t="shared" si="360"/>
        <v>#DIV/0!</v>
      </c>
      <c r="AS290" s="279">
        <f t="shared" si="361"/>
        <v>111.11111111111111</v>
      </c>
      <c r="AT290" s="279">
        <f t="shared" si="361"/>
        <v>100</v>
      </c>
      <c r="AV290" s="279">
        <f t="shared" si="362"/>
        <v>100</v>
      </c>
      <c r="AW290" s="279">
        <f t="shared" si="362"/>
        <v>100</v>
      </c>
      <c r="AY290" s="279">
        <f t="shared" si="363"/>
        <v>92.857142857142861</v>
      </c>
      <c r="AZ290" s="279">
        <f t="shared" si="363"/>
        <v>100</v>
      </c>
      <c r="BB290" s="279">
        <f t="shared" si="364"/>
        <v>100</v>
      </c>
      <c r="BC290" s="279">
        <f t="shared" si="364"/>
        <v>100</v>
      </c>
      <c r="BE290" s="279">
        <f t="shared" si="365"/>
        <v>104.8780487804878</v>
      </c>
      <c r="BF290" s="279">
        <f t="shared" si="365"/>
        <v>100</v>
      </c>
      <c r="BH290" s="279">
        <f t="shared" si="366"/>
        <v>109.09090909090908</v>
      </c>
      <c r="BI290" s="279">
        <f t="shared" si="366"/>
        <v>100</v>
      </c>
      <c r="BK290" s="279">
        <f t="shared" si="367"/>
        <v>100</v>
      </c>
      <c r="BL290" s="279">
        <f t="shared" si="367"/>
        <v>100</v>
      </c>
      <c r="BN290" s="279">
        <f t="shared" si="368"/>
        <v>112.5</v>
      </c>
      <c r="BO290" s="279">
        <f t="shared" si="368"/>
        <v>100</v>
      </c>
      <c r="BQ290" s="279">
        <f t="shared" si="369"/>
        <v>122.22222222222223</v>
      </c>
      <c r="BR290" s="279">
        <f t="shared" si="369"/>
        <v>100</v>
      </c>
      <c r="BT290" s="279">
        <f t="shared" si="370"/>
        <v>100</v>
      </c>
      <c r="BU290" s="279">
        <f t="shared" si="370"/>
        <v>100</v>
      </c>
      <c r="BW290" s="279">
        <f t="shared" si="371"/>
        <v>100</v>
      </c>
      <c r="BX290" s="279">
        <f t="shared" si="371"/>
        <v>100</v>
      </c>
      <c r="BZ290" s="279">
        <f t="shared" si="372"/>
        <v>100</v>
      </c>
      <c r="CA290" s="279">
        <f t="shared" si="372"/>
        <v>100</v>
      </c>
      <c r="CC290" s="279">
        <f t="shared" si="373"/>
        <v>100</v>
      </c>
      <c r="CD290" s="279">
        <f t="shared" si="373"/>
        <v>100</v>
      </c>
      <c r="CF290" s="279" t="e">
        <f t="shared" si="374"/>
        <v>#DIV/0!</v>
      </c>
      <c r="CG290" s="279" t="e">
        <f t="shared" si="374"/>
        <v>#DIV/0!</v>
      </c>
      <c r="CI290" s="279" t="e">
        <f t="shared" si="375"/>
        <v>#DIV/0!</v>
      </c>
      <c r="CJ290" s="279" t="e">
        <f t="shared" si="375"/>
        <v>#DIV/0!</v>
      </c>
    </row>
    <row r="291" spans="1:88" x14ac:dyDescent="0.25">
      <c r="A291" s="95"/>
      <c r="B291" s="16" t="s">
        <v>1185</v>
      </c>
      <c r="C291" s="107"/>
      <c r="D291" s="95" t="s">
        <v>8</v>
      </c>
      <c r="E291" s="279">
        <f t="shared" si="352"/>
        <v>89.285714285714292</v>
      </c>
      <c r="F291" s="279">
        <v>84.4</v>
      </c>
      <c r="G291" s="279">
        <f t="shared" si="352"/>
        <v>83.07692307692308</v>
      </c>
      <c r="H291" s="279">
        <f t="shared" si="352"/>
        <v>82.8125</v>
      </c>
      <c r="I291" s="279">
        <f t="shared" si="352"/>
        <v>91.379310344827587</v>
      </c>
      <c r="J291" s="279">
        <f t="shared" si="352"/>
        <v>95.555555555555557</v>
      </c>
      <c r="K291" s="279">
        <f t="shared" si="352"/>
        <v>100</v>
      </c>
      <c r="L291" s="279">
        <f t="shared" si="352"/>
        <v>100</v>
      </c>
      <c r="M291" s="279">
        <f t="shared" si="352"/>
        <v>100</v>
      </c>
      <c r="N291" s="279">
        <f t="shared" si="352"/>
        <v>100</v>
      </c>
      <c r="O291" s="281"/>
      <c r="P291" s="279">
        <f>P301/P304*100</f>
        <v>100</v>
      </c>
      <c r="Q291" s="279">
        <f t="shared" si="376"/>
        <v>104.76190476190477</v>
      </c>
      <c r="R291" s="279">
        <f t="shared" si="376"/>
        <v>100</v>
      </c>
      <c r="S291" s="279">
        <f>S301/S304*100</f>
        <v>100</v>
      </c>
      <c r="U291" s="279">
        <f t="shared" si="353"/>
        <v>100</v>
      </c>
      <c r="V291" s="279">
        <f t="shared" si="353"/>
        <v>100</v>
      </c>
      <c r="X291" s="279">
        <f t="shared" si="354"/>
        <v>100</v>
      </c>
      <c r="Y291" s="279">
        <f t="shared" si="354"/>
        <v>100</v>
      </c>
      <c r="AA291" s="279">
        <f t="shared" si="355"/>
        <v>100</v>
      </c>
      <c r="AB291" s="279">
        <f t="shared" si="355"/>
        <v>100</v>
      </c>
      <c r="AD291" s="279">
        <f t="shared" si="356"/>
        <v>100</v>
      </c>
      <c r="AE291" s="279">
        <f t="shared" si="356"/>
        <v>100</v>
      </c>
      <c r="AG291" s="279">
        <f t="shared" si="357"/>
        <v>150</v>
      </c>
      <c r="AH291" s="279">
        <f t="shared" si="357"/>
        <v>100</v>
      </c>
      <c r="AJ291" s="279">
        <f t="shared" si="358"/>
        <v>100</v>
      </c>
      <c r="AK291" s="279">
        <f t="shared" si="358"/>
        <v>100</v>
      </c>
      <c r="AM291" s="279">
        <f t="shared" si="359"/>
        <v>100</v>
      </c>
      <c r="AN291" s="279">
        <f t="shared" si="359"/>
        <v>128.57142857142858</v>
      </c>
      <c r="AP291" s="279">
        <f t="shared" si="360"/>
        <v>84.615384615384613</v>
      </c>
      <c r="AQ291" s="279">
        <f t="shared" si="360"/>
        <v>100</v>
      </c>
      <c r="AS291" s="279" t="e">
        <f t="shared" si="361"/>
        <v>#DIV/0!</v>
      </c>
      <c r="AT291" s="279" t="e">
        <f t="shared" si="361"/>
        <v>#DIV/0!</v>
      </c>
      <c r="AV291" s="279" t="e">
        <f t="shared" si="362"/>
        <v>#DIV/0!</v>
      </c>
      <c r="AW291" s="279" t="e">
        <f t="shared" si="362"/>
        <v>#DIV/0!</v>
      </c>
      <c r="AY291" s="279" t="e">
        <f t="shared" si="363"/>
        <v>#DIV/0!</v>
      </c>
      <c r="AZ291" s="279" t="e">
        <f t="shared" si="363"/>
        <v>#DIV/0!</v>
      </c>
      <c r="BB291" s="279" t="e">
        <f t="shared" si="364"/>
        <v>#DIV/0!</v>
      </c>
      <c r="BC291" s="279" t="e">
        <f t="shared" si="364"/>
        <v>#DIV/0!</v>
      </c>
      <c r="BE291" s="279" t="e">
        <f t="shared" si="365"/>
        <v>#DIV/0!</v>
      </c>
      <c r="BF291" s="279" t="e">
        <f t="shared" si="365"/>
        <v>#DIV/0!</v>
      </c>
      <c r="BH291" s="279" t="e">
        <f t="shared" si="366"/>
        <v>#DIV/0!</v>
      </c>
      <c r="BI291" s="279" t="e">
        <f t="shared" si="366"/>
        <v>#DIV/0!</v>
      </c>
      <c r="BK291" s="279" t="e">
        <f t="shared" si="367"/>
        <v>#DIV/0!</v>
      </c>
      <c r="BL291" s="279" t="e">
        <f t="shared" si="367"/>
        <v>#DIV/0!</v>
      </c>
      <c r="BN291" s="279" t="e">
        <f t="shared" si="368"/>
        <v>#DIV/0!</v>
      </c>
      <c r="BO291" s="279" t="e">
        <f t="shared" si="368"/>
        <v>#DIV/0!</v>
      </c>
      <c r="BQ291" s="279" t="e">
        <f t="shared" si="369"/>
        <v>#DIV/0!</v>
      </c>
      <c r="BR291" s="279" t="e">
        <f t="shared" si="369"/>
        <v>#DIV/0!</v>
      </c>
      <c r="BT291" s="279" t="e">
        <f t="shared" si="370"/>
        <v>#DIV/0!</v>
      </c>
      <c r="BU291" s="279" t="e">
        <f t="shared" si="370"/>
        <v>#DIV/0!</v>
      </c>
      <c r="BW291" s="279" t="e">
        <f t="shared" si="371"/>
        <v>#DIV/0!</v>
      </c>
      <c r="BX291" s="279" t="e">
        <f t="shared" si="371"/>
        <v>#DIV/0!</v>
      </c>
      <c r="BZ291" s="279" t="e">
        <f t="shared" si="372"/>
        <v>#DIV/0!</v>
      </c>
      <c r="CA291" s="279" t="e">
        <f t="shared" si="372"/>
        <v>#DIV/0!</v>
      </c>
      <c r="CC291" s="279" t="e">
        <f t="shared" si="373"/>
        <v>#DIV/0!</v>
      </c>
      <c r="CD291" s="279" t="e">
        <f t="shared" si="373"/>
        <v>#DIV/0!</v>
      </c>
      <c r="CF291" s="279" t="e">
        <f t="shared" si="374"/>
        <v>#DIV/0!</v>
      </c>
      <c r="CG291" s="279" t="e">
        <f t="shared" si="374"/>
        <v>#DIV/0!</v>
      </c>
      <c r="CI291" s="279" t="e">
        <f t="shared" si="375"/>
        <v>#DIV/0!</v>
      </c>
      <c r="CJ291" s="279" t="e">
        <f t="shared" si="375"/>
        <v>#DIV/0!</v>
      </c>
    </row>
    <row r="292" spans="1:88" ht="30" x14ac:dyDescent="0.25">
      <c r="A292" s="95"/>
      <c r="B292" s="16" t="s">
        <v>2302</v>
      </c>
      <c r="C292" s="107"/>
      <c r="D292" s="95"/>
      <c r="E292" s="279"/>
      <c r="F292" s="279"/>
      <c r="G292" s="279"/>
      <c r="H292" s="279"/>
      <c r="I292" s="292">
        <v>321</v>
      </c>
      <c r="J292" s="292">
        <v>300</v>
      </c>
      <c r="K292" s="292">
        <v>290</v>
      </c>
      <c r="L292" s="292">
        <v>22</v>
      </c>
      <c r="M292" s="292">
        <v>21</v>
      </c>
      <c r="N292" s="292">
        <v>21</v>
      </c>
      <c r="O292" s="281"/>
      <c r="P292" s="283">
        <f>R292+U292+X292+AA292+AD292+AG292+AJ292+AM292+AP292+AS292+AV292+AY292+BB292+BE292+BH292+BK292+BN292+BQ292+BT292+BW292+BZ292+CC292+CF292+CI292</f>
        <v>294</v>
      </c>
      <c r="Q292" s="283">
        <f>S292+V292+Y292+AB292+AE292+AH292+AK292+AN292+AQ292+AT292+AW292+AZ292+BC292+BF292+BI292+BL292+BO292+BR292+BU292+BX292+CA292+CD292+CG292+CJ292</f>
        <v>276</v>
      </c>
      <c r="R292" s="267">
        <v>6</v>
      </c>
      <c r="S292" s="267">
        <v>6</v>
      </c>
      <c r="U292" s="267">
        <v>10</v>
      </c>
      <c r="V292" s="267">
        <v>9</v>
      </c>
      <c r="X292" s="267">
        <v>9</v>
      </c>
      <c r="Y292" s="267">
        <v>9</v>
      </c>
      <c r="AA292" s="267">
        <v>13</v>
      </c>
      <c r="AB292" s="267">
        <v>13</v>
      </c>
      <c r="AD292" s="267">
        <v>6</v>
      </c>
      <c r="AE292" s="267">
        <v>6</v>
      </c>
      <c r="AG292" s="267">
        <v>11</v>
      </c>
      <c r="AH292" s="267">
        <v>11</v>
      </c>
      <c r="AJ292" s="267">
        <v>10</v>
      </c>
      <c r="AK292" s="267">
        <v>10</v>
      </c>
      <c r="AM292" s="267">
        <v>25</v>
      </c>
      <c r="AN292" s="267">
        <v>22</v>
      </c>
      <c r="AP292" s="267">
        <v>13</v>
      </c>
      <c r="AQ292" s="267">
        <v>13</v>
      </c>
      <c r="AS292" s="267">
        <v>18</v>
      </c>
      <c r="AT292" s="267">
        <v>16</v>
      </c>
      <c r="AV292" s="267">
        <v>10</v>
      </c>
      <c r="AW292" s="267">
        <v>4</v>
      </c>
      <c r="AY292" s="267">
        <v>13</v>
      </c>
      <c r="AZ292" s="267">
        <v>13</v>
      </c>
      <c r="BB292" s="267">
        <v>16</v>
      </c>
      <c r="BC292" s="267">
        <v>15</v>
      </c>
      <c r="BE292" s="267">
        <v>41</v>
      </c>
      <c r="BF292" s="267">
        <v>39</v>
      </c>
      <c r="BH292" s="267">
        <v>44</v>
      </c>
      <c r="BI292" s="267">
        <v>42</v>
      </c>
      <c r="BK292" s="267">
        <v>10</v>
      </c>
      <c r="BL292" s="267">
        <v>10</v>
      </c>
      <c r="BN292" s="267">
        <v>8</v>
      </c>
      <c r="BO292" s="267">
        <v>8</v>
      </c>
      <c r="BQ292" s="267">
        <v>9</v>
      </c>
      <c r="BR292" s="267">
        <v>9</v>
      </c>
      <c r="BT292" s="267">
        <v>7</v>
      </c>
      <c r="BU292" s="267">
        <v>7</v>
      </c>
      <c r="BW292" s="267">
        <v>5</v>
      </c>
      <c r="BX292" s="267">
        <v>5</v>
      </c>
      <c r="BZ292" s="267">
        <v>7</v>
      </c>
      <c r="CA292" s="267">
        <v>6</v>
      </c>
      <c r="CC292" s="267">
        <v>3</v>
      </c>
      <c r="CD292" s="267">
        <v>3</v>
      </c>
      <c r="CF292" s="267">
        <v>0</v>
      </c>
      <c r="CG292" s="267">
        <v>0</v>
      </c>
      <c r="CI292" s="267">
        <v>0</v>
      </c>
      <c r="CJ292" s="267">
        <v>0</v>
      </c>
    </row>
    <row r="293" spans="1:88" ht="30" x14ac:dyDescent="0.25">
      <c r="A293" s="107"/>
      <c r="B293" s="16" t="s">
        <v>56</v>
      </c>
      <c r="C293" s="95" t="s">
        <v>1810</v>
      </c>
      <c r="D293" s="95" t="s">
        <v>1112</v>
      </c>
      <c r="E293" s="291">
        <f t="shared" ref="E293:J293" si="377">E294+E295</f>
        <v>394</v>
      </c>
      <c r="F293" s="291">
        <f t="shared" si="377"/>
        <v>384</v>
      </c>
      <c r="G293" s="291">
        <f t="shared" si="377"/>
        <v>349</v>
      </c>
      <c r="H293" s="291">
        <f t="shared" si="377"/>
        <v>334</v>
      </c>
      <c r="I293" s="292">
        <f t="shared" si="377"/>
        <v>335</v>
      </c>
      <c r="J293" s="292">
        <f t="shared" si="377"/>
        <v>302</v>
      </c>
      <c r="K293" s="292">
        <f>K294+K295</f>
        <v>294</v>
      </c>
      <c r="L293" s="292">
        <f t="shared" ref="L293:N293" si="378">L294+L295</f>
        <v>22</v>
      </c>
      <c r="M293" s="292">
        <f t="shared" si="378"/>
        <v>21</v>
      </c>
      <c r="N293" s="292">
        <f t="shared" si="378"/>
        <v>21</v>
      </c>
      <c r="O293" s="281"/>
      <c r="P293" s="292">
        <f t="shared" ref="P293:Y293" si="379">P294+P295</f>
        <v>308</v>
      </c>
      <c r="Q293" s="292">
        <f t="shared" si="379"/>
        <v>276</v>
      </c>
      <c r="R293" s="292">
        <f t="shared" si="379"/>
        <v>6</v>
      </c>
      <c r="S293" s="292">
        <f t="shared" si="379"/>
        <v>6</v>
      </c>
      <c r="U293" s="292">
        <f t="shared" si="379"/>
        <v>13</v>
      </c>
      <c r="V293" s="292">
        <f t="shared" si="379"/>
        <v>9</v>
      </c>
      <c r="X293" s="292">
        <f t="shared" si="379"/>
        <v>9</v>
      </c>
      <c r="Y293" s="292">
        <f t="shared" si="379"/>
        <v>9</v>
      </c>
      <c r="AA293" s="292">
        <f>AA294+AA295</f>
        <v>13</v>
      </c>
      <c r="AB293" s="292">
        <f>AB294+AB295</f>
        <v>13</v>
      </c>
      <c r="AD293" s="292">
        <f>AD294+AD295</f>
        <v>6</v>
      </c>
      <c r="AE293" s="292">
        <f>AE294+AE295</f>
        <v>6</v>
      </c>
      <c r="AG293" s="292">
        <f>AG294+AG295</f>
        <v>13</v>
      </c>
      <c r="AH293" s="292">
        <f>AH294+AH295</f>
        <v>11</v>
      </c>
      <c r="AJ293" s="292">
        <f>AJ294+AJ295</f>
        <v>10</v>
      </c>
      <c r="AK293" s="292">
        <f>AK294+AK295</f>
        <v>10</v>
      </c>
      <c r="AM293" s="292">
        <f>AM294+AM295</f>
        <v>23</v>
      </c>
      <c r="AN293" s="292">
        <f>AN294+AN295</f>
        <v>22</v>
      </c>
      <c r="AP293" s="292">
        <f>AP294+AP295</f>
        <v>13</v>
      </c>
      <c r="AQ293" s="292">
        <f>AQ294+AQ295</f>
        <v>13</v>
      </c>
      <c r="AS293" s="292">
        <f>AS294+AS295</f>
        <v>20</v>
      </c>
      <c r="AT293" s="292">
        <f>AT294+AT295</f>
        <v>16</v>
      </c>
      <c r="AV293" s="292">
        <f>AV294+AV295</f>
        <v>10</v>
      </c>
      <c r="AW293" s="292">
        <f>AW294+AW295</f>
        <v>4</v>
      </c>
      <c r="AY293" s="292">
        <f>AY294+AY295</f>
        <v>13</v>
      </c>
      <c r="AZ293" s="292">
        <f>AZ294+AZ295</f>
        <v>13</v>
      </c>
      <c r="BB293" s="292">
        <f>BB294+BB295</f>
        <v>16</v>
      </c>
      <c r="BC293" s="292">
        <f>BC294+BC295</f>
        <v>15</v>
      </c>
      <c r="BE293" s="292">
        <f>BE294+BE295</f>
        <v>43</v>
      </c>
      <c r="BF293" s="292">
        <f>BF294+BF295</f>
        <v>39</v>
      </c>
      <c r="BH293" s="292">
        <f>BH294+BH295</f>
        <v>48</v>
      </c>
      <c r="BI293" s="292">
        <f>BI294+BI295</f>
        <v>42</v>
      </c>
      <c r="BK293" s="292">
        <f>BK294+BK295</f>
        <v>10</v>
      </c>
      <c r="BL293" s="292">
        <f>BL294+BL295</f>
        <v>10</v>
      </c>
      <c r="BN293" s="292">
        <f>BN294+BN295</f>
        <v>9</v>
      </c>
      <c r="BO293" s="292">
        <f>BO294+BO295</f>
        <v>8</v>
      </c>
      <c r="BQ293" s="292">
        <f>BQ294+BQ295</f>
        <v>11</v>
      </c>
      <c r="BR293" s="292">
        <f>BR294+BR295</f>
        <v>9</v>
      </c>
      <c r="BT293" s="292">
        <f>BT294+BT295</f>
        <v>7</v>
      </c>
      <c r="BU293" s="292">
        <f>BU294+BU295</f>
        <v>7</v>
      </c>
      <c r="BW293" s="292">
        <f>BW294+BW295</f>
        <v>5</v>
      </c>
      <c r="BX293" s="292">
        <f>BX294+BX295</f>
        <v>5</v>
      </c>
      <c r="BZ293" s="292">
        <f>BZ294+BZ295</f>
        <v>7</v>
      </c>
      <c r="CA293" s="292">
        <f>CA294+CA295</f>
        <v>6</v>
      </c>
      <c r="CC293" s="292">
        <f>CC294+CC295</f>
        <v>3</v>
      </c>
      <c r="CD293" s="292">
        <f>CD294+CD295</f>
        <v>3</v>
      </c>
      <c r="CF293" s="292">
        <f>CF294+CF295</f>
        <v>0</v>
      </c>
      <c r="CG293" s="292">
        <f>CG294+CG295</f>
        <v>0</v>
      </c>
      <c r="CI293" s="292">
        <f>CI294+CI295</f>
        <v>0</v>
      </c>
      <c r="CJ293" s="292">
        <f>CJ294+CJ295</f>
        <v>0</v>
      </c>
    </row>
    <row r="294" spans="1:88" x14ac:dyDescent="0.25">
      <c r="A294" s="107"/>
      <c r="B294" s="16" t="s">
        <v>1183</v>
      </c>
      <c r="C294" s="95"/>
      <c r="D294" s="95" t="s">
        <v>1112</v>
      </c>
      <c r="E294" s="291">
        <v>319</v>
      </c>
      <c r="F294" s="291">
        <v>320</v>
      </c>
      <c r="G294" s="291">
        <v>295</v>
      </c>
      <c r="H294" s="291">
        <v>281</v>
      </c>
      <c r="I294" s="292">
        <v>283</v>
      </c>
      <c r="J294" s="292">
        <v>259</v>
      </c>
      <c r="K294" s="292">
        <v>250</v>
      </c>
      <c r="L294" s="292">
        <v>7</v>
      </c>
      <c r="M294" s="292">
        <v>8</v>
      </c>
      <c r="N294" s="292">
        <v>8</v>
      </c>
      <c r="P294" s="283">
        <f>R294+U294+X294+AA294+AD294+AG294+AJ294+AM294+AP294+AS294+AV294+AY294+BB294+BE294+BH294+BK294+BN294+BQ294+BT294+BW294+BZ294+CC294+CF294+CI294</f>
        <v>260</v>
      </c>
      <c r="Q294" s="283">
        <f>S294+V294+Y294+AB294+AE294+AH294+AK294+AN294+AQ294+AT294+AW294+AZ294+BC294+BF294+BI294+BL294+BO294+BR294+BU294+BX294+CA294+CD294+CG294+CJ294</f>
        <v>233</v>
      </c>
      <c r="R294" s="267">
        <v>4</v>
      </c>
      <c r="S294" s="267">
        <v>4</v>
      </c>
      <c r="U294" s="267">
        <v>8</v>
      </c>
      <c r="V294" s="267">
        <v>5</v>
      </c>
      <c r="X294" s="267">
        <v>7</v>
      </c>
      <c r="Y294" s="267">
        <v>7</v>
      </c>
      <c r="AA294" s="267">
        <v>7</v>
      </c>
      <c r="AB294" s="267">
        <v>7</v>
      </c>
      <c r="AD294" s="267">
        <v>4</v>
      </c>
      <c r="AE294" s="267">
        <v>4</v>
      </c>
      <c r="AG294" s="267">
        <v>7</v>
      </c>
      <c r="AH294" s="267">
        <v>7</v>
      </c>
      <c r="AJ294" s="267">
        <v>9</v>
      </c>
      <c r="AK294" s="267">
        <v>9</v>
      </c>
      <c r="AM294" s="267">
        <v>12</v>
      </c>
      <c r="AN294" s="267">
        <v>13</v>
      </c>
      <c r="AP294" s="267">
        <v>0</v>
      </c>
      <c r="AQ294" s="267">
        <v>0</v>
      </c>
      <c r="AS294" s="267">
        <v>20</v>
      </c>
      <c r="AT294" s="267">
        <v>16</v>
      </c>
      <c r="AV294" s="267">
        <v>10</v>
      </c>
      <c r="AW294" s="267">
        <v>4</v>
      </c>
      <c r="AY294" s="267">
        <v>13</v>
      </c>
      <c r="AZ294" s="267">
        <v>13</v>
      </c>
      <c r="BB294" s="267">
        <v>16</v>
      </c>
      <c r="BC294" s="267">
        <v>15</v>
      </c>
      <c r="BE294" s="267">
        <v>43</v>
      </c>
      <c r="BF294" s="267">
        <v>39</v>
      </c>
      <c r="BH294" s="267">
        <v>48</v>
      </c>
      <c r="BI294" s="267">
        <v>42</v>
      </c>
      <c r="BK294" s="267">
        <v>10</v>
      </c>
      <c r="BL294" s="267">
        <v>10</v>
      </c>
      <c r="BN294" s="267">
        <v>9</v>
      </c>
      <c r="BO294" s="267">
        <v>8</v>
      </c>
      <c r="BQ294" s="267">
        <v>11</v>
      </c>
      <c r="BR294" s="267">
        <v>9</v>
      </c>
      <c r="BT294" s="267">
        <v>7</v>
      </c>
      <c r="BU294" s="267">
        <v>7</v>
      </c>
      <c r="BW294" s="267">
        <v>5</v>
      </c>
      <c r="BX294" s="267">
        <v>5</v>
      </c>
      <c r="BZ294" s="267">
        <v>7</v>
      </c>
      <c r="CA294" s="267">
        <v>6</v>
      </c>
      <c r="CC294" s="267">
        <v>3</v>
      </c>
      <c r="CD294" s="267">
        <v>3</v>
      </c>
      <c r="CF294" s="267">
        <v>0</v>
      </c>
      <c r="CG294" s="267">
        <v>0</v>
      </c>
      <c r="CI294" s="267">
        <v>0</v>
      </c>
      <c r="CJ294" s="267">
        <v>0</v>
      </c>
    </row>
    <row r="295" spans="1:88" x14ac:dyDescent="0.25">
      <c r="A295" s="107"/>
      <c r="B295" s="16" t="s">
        <v>1185</v>
      </c>
      <c r="C295" s="95"/>
      <c r="D295" s="95" t="s">
        <v>1112</v>
      </c>
      <c r="E295" s="291">
        <v>75</v>
      </c>
      <c r="F295" s="291">
        <v>64</v>
      </c>
      <c r="G295" s="291">
        <v>54</v>
      </c>
      <c r="H295" s="291">
        <v>53</v>
      </c>
      <c r="I295" s="292">
        <v>52</v>
      </c>
      <c r="J295" s="292">
        <v>43</v>
      </c>
      <c r="K295" s="292">
        <v>44</v>
      </c>
      <c r="L295" s="292">
        <v>15</v>
      </c>
      <c r="M295" s="292">
        <v>13</v>
      </c>
      <c r="N295" s="292">
        <v>13</v>
      </c>
      <c r="P295" s="283">
        <f>R295+U295+X295+AA295+AD295+AG295+AJ295+AM295+AP295+AS295+AV295+AY295+BB295+BE295+BH295+BK295+BN295+BQ295+BT295+BW295+BZ295+CC295+CF295+CI295</f>
        <v>48</v>
      </c>
      <c r="Q295" s="283">
        <f>S295+V295+Y295+AB295+AE295+AH295+AK295+AN295+AQ295+AT295+AW295+AZ295+BC295+BF295+BI295+BL295+BO295+BR295+BU295+BX295+CA295+CD295+CG295+CJ295</f>
        <v>43</v>
      </c>
      <c r="R295" s="267">
        <v>2</v>
      </c>
      <c r="S295" s="267">
        <v>2</v>
      </c>
      <c r="U295" s="267">
        <v>5</v>
      </c>
      <c r="V295" s="267">
        <v>4</v>
      </c>
      <c r="X295" s="267">
        <v>2</v>
      </c>
      <c r="Y295" s="267">
        <v>2</v>
      </c>
      <c r="AA295" s="267">
        <v>6</v>
      </c>
      <c r="AB295" s="267">
        <v>6</v>
      </c>
      <c r="AD295" s="267">
        <v>2</v>
      </c>
      <c r="AE295" s="267">
        <v>2</v>
      </c>
      <c r="AG295" s="267">
        <v>6</v>
      </c>
      <c r="AH295" s="267">
        <v>4</v>
      </c>
      <c r="AJ295" s="267">
        <v>1</v>
      </c>
      <c r="AK295" s="267">
        <v>1</v>
      </c>
      <c r="AM295" s="267">
        <v>11</v>
      </c>
      <c r="AN295" s="267">
        <v>9</v>
      </c>
      <c r="AP295" s="267">
        <v>13</v>
      </c>
      <c r="AQ295" s="267">
        <v>13</v>
      </c>
      <c r="AS295" s="267">
        <v>0</v>
      </c>
      <c r="AT295" s="267">
        <v>0</v>
      </c>
      <c r="AV295" s="267">
        <v>0</v>
      </c>
      <c r="AW295" s="267">
        <v>0</v>
      </c>
      <c r="AY295" s="267">
        <v>0</v>
      </c>
      <c r="AZ295" s="267">
        <v>0</v>
      </c>
      <c r="BB295" s="267">
        <v>0</v>
      </c>
      <c r="BC295" s="267">
        <v>0</v>
      </c>
      <c r="BE295" s="267">
        <v>0</v>
      </c>
      <c r="BF295" s="267">
        <v>0</v>
      </c>
      <c r="BH295" s="267">
        <v>0</v>
      </c>
      <c r="BI295" s="267">
        <v>0</v>
      </c>
      <c r="BK295" s="267">
        <v>0</v>
      </c>
      <c r="BL295" s="267">
        <v>0</v>
      </c>
      <c r="BN295" s="267">
        <v>0</v>
      </c>
      <c r="BO295" s="267">
        <v>0</v>
      </c>
      <c r="BQ295" s="267">
        <v>0</v>
      </c>
      <c r="BR295" s="267">
        <v>0</v>
      </c>
      <c r="BT295" s="267">
        <v>0</v>
      </c>
      <c r="BU295" s="267">
        <v>0</v>
      </c>
      <c r="BW295" s="267">
        <v>0</v>
      </c>
      <c r="BX295" s="267">
        <v>0</v>
      </c>
      <c r="BZ295" s="267">
        <v>0</v>
      </c>
      <c r="CA295" s="267">
        <v>0</v>
      </c>
      <c r="CC295" s="267">
        <v>0</v>
      </c>
      <c r="CD295" s="267">
        <v>0</v>
      </c>
      <c r="CF295" s="267">
        <v>0</v>
      </c>
      <c r="CG295" s="267">
        <v>0</v>
      </c>
      <c r="CI295" s="267">
        <v>0</v>
      </c>
      <c r="CJ295" s="267">
        <v>0</v>
      </c>
    </row>
    <row r="296" spans="1:88" ht="30" x14ac:dyDescent="0.25">
      <c r="A296" s="107"/>
      <c r="B296" s="16" t="s">
        <v>58</v>
      </c>
      <c r="C296" s="95" t="s">
        <v>57</v>
      </c>
      <c r="D296" s="95" t="s">
        <v>1112</v>
      </c>
      <c r="E296" s="291">
        <f t="shared" ref="E296:Y296" si="380">E297+E298</f>
        <v>399</v>
      </c>
      <c r="F296" s="291">
        <f t="shared" si="380"/>
        <v>389</v>
      </c>
      <c r="G296" s="291">
        <f t="shared" si="380"/>
        <v>351</v>
      </c>
      <c r="H296" s="291">
        <f t="shared" si="380"/>
        <v>335</v>
      </c>
      <c r="I296" s="292">
        <f t="shared" si="380"/>
        <v>336</v>
      </c>
      <c r="J296" s="292">
        <f t="shared" si="380"/>
        <v>303</v>
      </c>
      <c r="K296" s="292">
        <f>K297+K298</f>
        <v>293</v>
      </c>
      <c r="L296" s="292">
        <f t="shared" ref="L296:N296" si="381">L297+L298</f>
        <v>22</v>
      </c>
      <c r="M296" s="292">
        <f t="shared" si="381"/>
        <v>21</v>
      </c>
      <c r="N296" s="292">
        <f t="shared" si="381"/>
        <v>21</v>
      </c>
      <c r="P296" s="292">
        <f t="shared" si="380"/>
        <v>307</v>
      </c>
      <c r="Q296" s="292">
        <f t="shared" si="380"/>
        <v>277</v>
      </c>
      <c r="R296" s="292">
        <f t="shared" si="380"/>
        <v>6</v>
      </c>
      <c r="S296" s="292">
        <f t="shared" si="380"/>
        <v>6</v>
      </c>
      <c r="U296" s="292">
        <f t="shared" si="380"/>
        <v>13</v>
      </c>
      <c r="V296" s="292">
        <f t="shared" si="380"/>
        <v>9</v>
      </c>
      <c r="X296" s="292">
        <f t="shared" si="380"/>
        <v>10</v>
      </c>
      <c r="Y296" s="292">
        <f t="shared" si="380"/>
        <v>10</v>
      </c>
      <c r="AA296" s="292">
        <f>AA297+AA298</f>
        <v>13</v>
      </c>
      <c r="AB296" s="292">
        <f>AB297+AB298</f>
        <v>13</v>
      </c>
      <c r="AD296" s="292">
        <f>AD297+AD298</f>
        <v>6</v>
      </c>
      <c r="AE296" s="292">
        <f>AE297+AE298</f>
        <v>6</v>
      </c>
      <c r="AG296" s="292">
        <f>AG297+AG298</f>
        <v>13</v>
      </c>
      <c r="AH296" s="292">
        <f>AH297+AH298</f>
        <v>11</v>
      </c>
      <c r="AJ296" s="292">
        <f>AJ297+AJ298</f>
        <v>10</v>
      </c>
      <c r="AK296" s="292">
        <f>AK297+AK298</f>
        <v>10</v>
      </c>
      <c r="AM296" s="292">
        <f>AM297+AM298</f>
        <v>23</v>
      </c>
      <c r="AN296" s="292">
        <f>AN297+AN298</f>
        <v>22</v>
      </c>
      <c r="AP296" s="292">
        <f>AP297+AP298</f>
        <v>11</v>
      </c>
      <c r="AQ296" s="292">
        <f>AQ297+AQ298</f>
        <v>13</v>
      </c>
      <c r="AS296" s="292">
        <f>AS297+AS298</f>
        <v>20</v>
      </c>
      <c r="AT296" s="292">
        <f>AT297+AT298</f>
        <v>16</v>
      </c>
      <c r="AV296" s="292">
        <f>AV297+AV298</f>
        <v>10</v>
      </c>
      <c r="AW296" s="292">
        <f>AW297+AW298</f>
        <v>4</v>
      </c>
      <c r="AY296" s="292">
        <f>AY297+AY298</f>
        <v>13</v>
      </c>
      <c r="AZ296" s="292">
        <f>AZ297+AZ298</f>
        <v>13</v>
      </c>
      <c r="BB296" s="292">
        <f>BB297+BB298</f>
        <v>16</v>
      </c>
      <c r="BC296" s="292">
        <f>BC297+BC298</f>
        <v>15</v>
      </c>
      <c r="BE296" s="292">
        <f>BE297+BE298</f>
        <v>43</v>
      </c>
      <c r="BF296" s="292">
        <f>BF297+BF298</f>
        <v>39</v>
      </c>
      <c r="BH296" s="292">
        <f>BH297+BH298</f>
        <v>48</v>
      </c>
      <c r="BI296" s="292">
        <f>BI297+BI298</f>
        <v>42</v>
      </c>
      <c r="BK296" s="292">
        <f>BK297+BK298</f>
        <v>10</v>
      </c>
      <c r="BL296" s="292">
        <f>BL297+BL298</f>
        <v>10</v>
      </c>
      <c r="BN296" s="292">
        <f>BN297+BN298</f>
        <v>9</v>
      </c>
      <c r="BO296" s="292">
        <f>BO297+BO298</f>
        <v>8</v>
      </c>
      <c r="BQ296" s="292">
        <f>BQ297+BQ298</f>
        <v>11</v>
      </c>
      <c r="BR296" s="292">
        <f>BR297+BR298</f>
        <v>9</v>
      </c>
      <c r="BT296" s="292">
        <f>BT297+BT298</f>
        <v>7</v>
      </c>
      <c r="BU296" s="292">
        <f>BU297+BU298</f>
        <v>7</v>
      </c>
      <c r="BW296" s="292">
        <f>BW297+BW298</f>
        <v>5</v>
      </c>
      <c r="BX296" s="292">
        <f>BX297+BX298</f>
        <v>5</v>
      </c>
      <c r="BZ296" s="292">
        <f>BZ297+BZ298</f>
        <v>7</v>
      </c>
      <c r="CA296" s="292">
        <f>CA297+CA298</f>
        <v>6</v>
      </c>
      <c r="CC296" s="292">
        <f>CC297+CC298</f>
        <v>3</v>
      </c>
      <c r="CD296" s="292">
        <f>CD297+CD298</f>
        <v>3</v>
      </c>
      <c r="CF296" s="292">
        <f>CF297+CF298</f>
        <v>0</v>
      </c>
      <c r="CG296" s="292">
        <f>CG297+CG298</f>
        <v>0</v>
      </c>
      <c r="CI296" s="292">
        <f>CI297+CI298</f>
        <v>0</v>
      </c>
      <c r="CJ296" s="292">
        <f>CJ297+CJ298</f>
        <v>0</v>
      </c>
    </row>
    <row r="297" spans="1:88" x14ac:dyDescent="0.25">
      <c r="A297" s="107"/>
      <c r="B297" s="16" t="s">
        <v>1183</v>
      </c>
      <c r="C297" s="95"/>
      <c r="D297" s="95" t="s">
        <v>1112</v>
      </c>
      <c r="E297" s="291">
        <v>319</v>
      </c>
      <c r="F297" s="291">
        <v>320</v>
      </c>
      <c r="G297" s="291">
        <v>294</v>
      </c>
      <c r="H297" s="291">
        <v>281</v>
      </c>
      <c r="I297" s="292">
        <v>283</v>
      </c>
      <c r="J297" s="292">
        <v>259</v>
      </c>
      <c r="K297" s="292">
        <v>250</v>
      </c>
      <c r="L297" s="292">
        <v>7</v>
      </c>
      <c r="M297" s="292">
        <v>8</v>
      </c>
      <c r="N297" s="292">
        <v>8</v>
      </c>
      <c r="P297" s="283">
        <f>R297+U297+X297+AA297+AD297+AG297+AJ297+AM297+AP297+AS297+AV297+AY297+BB297+BE297+BH297+BK297+BN297+BQ297+BT297+BW297+BZ297+CC297+CF297+CI297</f>
        <v>260</v>
      </c>
      <c r="Q297" s="283">
        <f>S297+V297+Y297+AB297+AE297+AH297+AK297+AN297+AQ297+AT297+AW297+AZ297+BC297+BF297+BI297+BL297+BO297+BR297+BU297+BX297+CA297+CD297+CG297+CJ297</f>
        <v>233</v>
      </c>
      <c r="R297" s="267">
        <v>4</v>
      </c>
      <c r="S297" s="267">
        <v>4</v>
      </c>
      <c r="U297" s="267">
        <v>8</v>
      </c>
      <c r="V297" s="267">
        <v>5</v>
      </c>
      <c r="X297" s="267">
        <v>7</v>
      </c>
      <c r="Y297" s="267">
        <v>7</v>
      </c>
      <c r="AA297" s="267">
        <v>7</v>
      </c>
      <c r="AB297" s="267">
        <v>7</v>
      </c>
      <c r="AD297" s="267">
        <v>4</v>
      </c>
      <c r="AE297" s="267">
        <v>4</v>
      </c>
      <c r="AG297" s="267">
        <v>7</v>
      </c>
      <c r="AH297" s="267">
        <v>7</v>
      </c>
      <c r="AJ297" s="267">
        <v>9</v>
      </c>
      <c r="AK297" s="267">
        <v>9</v>
      </c>
      <c r="AM297" s="267">
        <v>12</v>
      </c>
      <c r="AN297" s="267">
        <v>13</v>
      </c>
      <c r="AP297" s="267">
        <v>0</v>
      </c>
      <c r="AQ297" s="304">
        <v>0</v>
      </c>
      <c r="AS297" s="267">
        <v>20</v>
      </c>
      <c r="AT297" s="304">
        <v>16</v>
      </c>
      <c r="AV297" s="267">
        <v>10</v>
      </c>
      <c r="AW297" s="304">
        <v>4</v>
      </c>
      <c r="AY297" s="267">
        <v>13</v>
      </c>
      <c r="AZ297" s="304">
        <v>13</v>
      </c>
      <c r="BB297" s="267">
        <v>16</v>
      </c>
      <c r="BC297" s="304">
        <v>15</v>
      </c>
      <c r="BE297" s="267">
        <v>43</v>
      </c>
      <c r="BF297" s="304">
        <v>39</v>
      </c>
      <c r="BH297" s="267">
        <v>48</v>
      </c>
      <c r="BI297" s="304">
        <v>42</v>
      </c>
      <c r="BK297" s="267">
        <v>10</v>
      </c>
      <c r="BL297" s="304">
        <v>10</v>
      </c>
      <c r="BN297" s="267">
        <v>9</v>
      </c>
      <c r="BO297" s="304">
        <v>8</v>
      </c>
      <c r="BQ297" s="267">
        <v>11</v>
      </c>
      <c r="BR297" s="304">
        <v>9</v>
      </c>
      <c r="BT297" s="267">
        <v>7</v>
      </c>
      <c r="BU297" s="304">
        <v>7</v>
      </c>
      <c r="BW297" s="267">
        <v>5</v>
      </c>
      <c r="BX297" s="304">
        <v>5</v>
      </c>
      <c r="BZ297" s="267">
        <v>7</v>
      </c>
      <c r="CA297" s="304">
        <v>6</v>
      </c>
      <c r="CC297" s="267">
        <v>3</v>
      </c>
      <c r="CD297" s="304">
        <v>3</v>
      </c>
      <c r="CF297" s="267">
        <v>0</v>
      </c>
      <c r="CG297" s="267">
        <v>0</v>
      </c>
      <c r="CI297" s="267">
        <v>0</v>
      </c>
      <c r="CJ297" s="267">
        <v>0</v>
      </c>
    </row>
    <row r="298" spans="1:88" x14ac:dyDescent="0.25">
      <c r="A298" s="107"/>
      <c r="B298" s="16" t="s">
        <v>1185</v>
      </c>
      <c r="C298" s="95"/>
      <c r="D298" s="95" t="s">
        <v>1112</v>
      </c>
      <c r="E298" s="291">
        <v>80</v>
      </c>
      <c r="F298" s="291">
        <v>69</v>
      </c>
      <c r="G298" s="291">
        <v>57</v>
      </c>
      <c r="H298" s="291">
        <v>54</v>
      </c>
      <c r="I298" s="292">
        <v>53</v>
      </c>
      <c r="J298" s="292">
        <v>44</v>
      </c>
      <c r="K298" s="292">
        <v>43</v>
      </c>
      <c r="L298" s="292">
        <v>15</v>
      </c>
      <c r="M298" s="292">
        <v>13</v>
      </c>
      <c r="N298" s="292">
        <v>13</v>
      </c>
      <c r="P298" s="283">
        <f>R298+U298+X298+AA298+AD298+AG298+AJ298+AM298+AP298+AS298+AV298+AY298+BB298+BE298+BH298+BK298+BN298+BQ298+BT298+BW298+BZ298+CC298+CF298+CI298</f>
        <v>47</v>
      </c>
      <c r="Q298" s="283">
        <f>S298+V298+Y298+AB298+AE298+AH298+AK298+AN298+AQ298+AT298+AW298+AZ298+BC298+BF298+BI298+BL298+BO298+BR298+BU298+BX298+CA298+CD298+CG298+CJ298</f>
        <v>44</v>
      </c>
      <c r="R298" s="267">
        <v>2</v>
      </c>
      <c r="S298" s="304">
        <v>2</v>
      </c>
      <c r="U298" s="267">
        <v>5</v>
      </c>
      <c r="V298" s="304">
        <v>4</v>
      </c>
      <c r="X298" s="267">
        <v>3</v>
      </c>
      <c r="Y298" s="304">
        <v>3</v>
      </c>
      <c r="AA298" s="267">
        <v>6</v>
      </c>
      <c r="AB298" s="304">
        <v>6</v>
      </c>
      <c r="AD298" s="267">
        <v>2</v>
      </c>
      <c r="AE298" s="304">
        <v>2</v>
      </c>
      <c r="AG298" s="267">
        <v>6</v>
      </c>
      <c r="AH298" s="304">
        <v>4</v>
      </c>
      <c r="AJ298" s="267">
        <v>1</v>
      </c>
      <c r="AK298" s="304">
        <v>1</v>
      </c>
      <c r="AM298" s="267">
        <v>11</v>
      </c>
      <c r="AN298" s="304">
        <v>9</v>
      </c>
      <c r="AP298" s="267">
        <v>11</v>
      </c>
      <c r="AQ298" s="304">
        <v>13</v>
      </c>
      <c r="AS298" s="267">
        <v>0</v>
      </c>
      <c r="AT298" s="304">
        <v>0</v>
      </c>
      <c r="AV298" s="267">
        <v>0</v>
      </c>
      <c r="AW298" s="304">
        <v>0</v>
      </c>
      <c r="AY298" s="267">
        <v>0</v>
      </c>
      <c r="AZ298" s="304">
        <v>0</v>
      </c>
      <c r="BB298" s="267">
        <v>0</v>
      </c>
      <c r="BC298" s="304">
        <v>0</v>
      </c>
      <c r="BE298" s="267">
        <v>0</v>
      </c>
      <c r="BF298" s="304">
        <v>0</v>
      </c>
      <c r="BH298" s="267">
        <v>0</v>
      </c>
      <c r="BI298" s="304">
        <v>0</v>
      </c>
      <c r="BK298" s="267">
        <v>0</v>
      </c>
      <c r="BL298" s="304">
        <v>0</v>
      </c>
      <c r="BN298" s="267">
        <v>0</v>
      </c>
      <c r="BO298" s="304">
        <v>0</v>
      </c>
      <c r="BQ298" s="267">
        <v>0</v>
      </c>
      <c r="BR298" s="304">
        <v>0</v>
      </c>
      <c r="BT298" s="267">
        <v>0</v>
      </c>
      <c r="BU298" s="304">
        <v>0</v>
      </c>
      <c r="BW298" s="267">
        <v>0</v>
      </c>
      <c r="BX298" s="304">
        <v>0</v>
      </c>
      <c r="BZ298" s="267">
        <v>0</v>
      </c>
      <c r="CA298" s="304">
        <v>0</v>
      </c>
      <c r="CC298" s="267">
        <v>0</v>
      </c>
      <c r="CD298" s="304">
        <v>0</v>
      </c>
      <c r="CF298" s="267">
        <v>0</v>
      </c>
      <c r="CG298" s="267">
        <v>0</v>
      </c>
      <c r="CI298" s="267">
        <v>0</v>
      </c>
      <c r="CJ298" s="267">
        <v>0</v>
      </c>
    </row>
    <row r="299" spans="1:88" ht="30" x14ac:dyDescent="0.25">
      <c r="A299" s="107"/>
      <c r="B299" s="16" t="s">
        <v>59</v>
      </c>
      <c r="C299" s="95" t="s">
        <v>60</v>
      </c>
      <c r="D299" s="95" t="s">
        <v>1112</v>
      </c>
      <c r="E299" s="291">
        <f t="shared" ref="E299:Y299" si="382">E300+E301</f>
        <v>393</v>
      </c>
      <c r="F299" s="291">
        <f t="shared" si="382"/>
        <v>385</v>
      </c>
      <c r="G299" s="291">
        <f t="shared" si="382"/>
        <v>349</v>
      </c>
      <c r="H299" s="291">
        <f t="shared" si="382"/>
        <v>334</v>
      </c>
      <c r="I299" s="292">
        <f t="shared" si="382"/>
        <v>336</v>
      </c>
      <c r="J299" s="292">
        <f t="shared" si="382"/>
        <v>301</v>
      </c>
      <c r="K299" s="292">
        <f>K300+K301</f>
        <v>294</v>
      </c>
      <c r="L299" s="292">
        <f t="shared" ref="L299:N299" si="383">L300+L301</f>
        <v>22</v>
      </c>
      <c r="M299" s="292">
        <f t="shared" si="383"/>
        <v>21</v>
      </c>
      <c r="N299" s="292">
        <f t="shared" si="383"/>
        <v>21</v>
      </c>
      <c r="P299" s="292">
        <f t="shared" si="382"/>
        <v>307</v>
      </c>
      <c r="Q299" s="292">
        <f t="shared" si="382"/>
        <v>277</v>
      </c>
      <c r="R299" s="292">
        <f t="shared" si="382"/>
        <v>6</v>
      </c>
      <c r="S299" s="292">
        <f t="shared" si="382"/>
        <v>6</v>
      </c>
      <c r="U299" s="292">
        <f t="shared" si="382"/>
        <v>13</v>
      </c>
      <c r="V299" s="292">
        <f t="shared" si="382"/>
        <v>9</v>
      </c>
      <c r="X299" s="292">
        <f t="shared" si="382"/>
        <v>10</v>
      </c>
      <c r="Y299" s="292">
        <f t="shared" si="382"/>
        <v>10</v>
      </c>
      <c r="AA299" s="292">
        <f>AA300+AA301</f>
        <v>13</v>
      </c>
      <c r="AB299" s="292">
        <f>AB300+AB301</f>
        <v>13</v>
      </c>
      <c r="AD299" s="292">
        <f>AD300+AD301</f>
        <v>6</v>
      </c>
      <c r="AE299" s="292">
        <f>AE300+AE301</f>
        <v>6</v>
      </c>
      <c r="AG299" s="292">
        <f>AG300+AG301</f>
        <v>13</v>
      </c>
      <c r="AH299" s="292">
        <f>AH300+AH301</f>
        <v>11</v>
      </c>
      <c r="AJ299" s="292">
        <f>AJ300+AJ301</f>
        <v>10</v>
      </c>
      <c r="AK299" s="292">
        <f>AK300+AK301</f>
        <v>10</v>
      </c>
      <c r="AM299" s="292">
        <f>AM300+AM301</f>
        <v>23</v>
      </c>
      <c r="AN299" s="292">
        <f>AN300+AN301</f>
        <v>22</v>
      </c>
      <c r="AP299" s="292">
        <f>AP300+AP301</f>
        <v>11</v>
      </c>
      <c r="AQ299" s="292">
        <f>AQ300+AQ301</f>
        <v>13</v>
      </c>
      <c r="AS299" s="292">
        <f>AS300+AS301</f>
        <v>20</v>
      </c>
      <c r="AT299" s="292">
        <f>AT300+AT301</f>
        <v>16</v>
      </c>
      <c r="AV299" s="292">
        <f>AV300+AV301</f>
        <v>10</v>
      </c>
      <c r="AW299" s="292">
        <f>AW300+AW301</f>
        <v>4</v>
      </c>
      <c r="AY299" s="292">
        <f>AY300+AY301</f>
        <v>13</v>
      </c>
      <c r="AZ299" s="292">
        <f>AZ300+AZ301</f>
        <v>13</v>
      </c>
      <c r="BB299" s="292">
        <f>BB300+BB301</f>
        <v>16</v>
      </c>
      <c r="BC299" s="292">
        <f>BC300+BC301</f>
        <v>15</v>
      </c>
      <c r="BE299" s="292">
        <f>BE300+BE301</f>
        <v>43</v>
      </c>
      <c r="BF299" s="292">
        <f>BF300+BF301</f>
        <v>39</v>
      </c>
      <c r="BH299" s="292">
        <f>BH300+BH301</f>
        <v>48</v>
      </c>
      <c r="BI299" s="292">
        <f>BI300+BI301</f>
        <v>42</v>
      </c>
      <c r="BK299" s="292">
        <f>BK300+BK301</f>
        <v>10</v>
      </c>
      <c r="BL299" s="292">
        <f>BL300+BL301</f>
        <v>10</v>
      </c>
      <c r="BN299" s="292">
        <f>BN300+BN301</f>
        <v>9</v>
      </c>
      <c r="BO299" s="292">
        <f>BO300+BO301</f>
        <v>8</v>
      </c>
      <c r="BQ299" s="292">
        <f>BQ300+BQ301</f>
        <v>11</v>
      </c>
      <c r="BR299" s="292">
        <f>BR300+BR301</f>
        <v>9</v>
      </c>
      <c r="BT299" s="292">
        <f>BT300+BT301</f>
        <v>7</v>
      </c>
      <c r="BU299" s="292">
        <f>BU300+BU301</f>
        <v>7</v>
      </c>
      <c r="BW299" s="292">
        <f>BW300+BW301</f>
        <v>5</v>
      </c>
      <c r="BX299" s="292">
        <f>BX300+BX301</f>
        <v>5</v>
      </c>
      <c r="BZ299" s="292">
        <f>BZ300+BZ301</f>
        <v>7</v>
      </c>
      <c r="CA299" s="292">
        <f>CA300+CA301</f>
        <v>6</v>
      </c>
      <c r="CC299" s="292">
        <f>CC300+CC301</f>
        <v>3</v>
      </c>
      <c r="CD299" s="292">
        <f>CD300+CD301</f>
        <v>3</v>
      </c>
      <c r="CF299" s="292">
        <f>CF300+CF301</f>
        <v>0</v>
      </c>
      <c r="CG299" s="292">
        <f>CG300+CG301</f>
        <v>0</v>
      </c>
      <c r="CI299" s="292">
        <f>CI300+CI301</f>
        <v>0</v>
      </c>
      <c r="CJ299" s="292">
        <f>CJ300+CJ301</f>
        <v>0</v>
      </c>
    </row>
    <row r="300" spans="1:88" x14ac:dyDescent="0.25">
      <c r="A300" s="107"/>
      <c r="B300" s="16" t="s">
        <v>1183</v>
      </c>
      <c r="C300" s="95"/>
      <c r="D300" s="95" t="s">
        <v>1112</v>
      </c>
      <c r="E300" s="291">
        <v>318</v>
      </c>
      <c r="F300" s="291">
        <v>320</v>
      </c>
      <c r="G300" s="291">
        <v>295</v>
      </c>
      <c r="H300" s="291">
        <v>281</v>
      </c>
      <c r="I300" s="292">
        <v>283</v>
      </c>
      <c r="J300" s="292">
        <v>258</v>
      </c>
      <c r="K300" s="292">
        <v>250</v>
      </c>
      <c r="L300" s="292">
        <v>7</v>
      </c>
      <c r="M300" s="292">
        <v>8</v>
      </c>
      <c r="N300" s="292">
        <v>8</v>
      </c>
      <c r="P300" s="283">
        <f>R300+U300+X300+AA300+AD300+AG300+AJ300+AM300+AP300+AS300+AV300+AY300+BB300+BE300+BH300+BK300+BN300+BQ300+BT300+BW300+BZ300+CC300+CF300+CI300</f>
        <v>260</v>
      </c>
      <c r="Q300" s="283">
        <f>S300+V300+Y300+AB300+AE300+AH300+AK300+AN300+AQ300+AT300+AW300+AZ300+BC300+BF300+BI300+BL300+BO300+BR300+BU300+BX300+CA300+CD300+CG300+CJ300</f>
        <v>233</v>
      </c>
      <c r="R300" s="267">
        <v>4</v>
      </c>
      <c r="S300" s="267">
        <v>4</v>
      </c>
      <c r="U300" s="267">
        <v>8</v>
      </c>
      <c r="V300" s="267">
        <v>5</v>
      </c>
      <c r="X300" s="267">
        <v>7</v>
      </c>
      <c r="Y300" s="267">
        <v>7</v>
      </c>
      <c r="AA300" s="267">
        <v>7</v>
      </c>
      <c r="AB300" s="267">
        <v>7</v>
      </c>
      <c r="AD300" s="267">
        <v>4</v>
      </c>
      <c r="AE300" s="267">
        <v>4</v>
      </c>
      <c r="AG300" s="267">
        <v>7</v>
      </c>
      <c r="AH300" s="267">
        <v>7</v>
      </c>
      <c r="AJ300" s="267">
        <v>9</v>
      </c>
      <c r="AK300" s="267">
        <v>9</v>
      </c>
      <c r="AM300" s="267">
        <v>12</v>
      </c>
      <c r="AN300" s="267">
        <v>13</v>
      </c>
      <c r="AP300" s="267">
        <v>0</v>
      </c>
      <c r="AQ300" s="304">
        <v>0</v>
      </c>
      <c r="AS300" s="267">
        <v>20</v>
      </c>
      <c r="AT300" s="304">
        <v>16</v>
      </c>
      <c r="AV300" s="267">
        <v>10</v>
      </c>
      <c r="AW300" s="304">
        <v>4</v>
      </c>
      <c r="AY300" s="267">
        <v>13</v>
      </c>
      <c r="AZ300" s="304">
        <v>13</v>
      </c>
      <c r="BB300" s="267">
        <v>16</v>
      </c>
      <c r="BC300" s="304">
        <v>15</v>
      </c>
      <c r="BE300" s="267">
        <v>43</v>
      </c>
      <c r="BF300" s="304">
        <v>39</v>
      </c>
      <c r="BH300" s="267">
        <v>48</v>
      </c>
      <c r="BI300" s="304">
        <v>42</v>
      </c>
      <c r="BK300" s="267">
        <v>10</v>
      </c>
      <c r="BL300" s="304">
        <v>10</v>
      </c>
      <c r="BN300" s="267">
        <v>9</v>
      </c>
      <c r="BO300" s="304">
        <v>8</v>
      </c>
      <c r="BQ300" s="267">
        <v>11</v>
      </c>
      <c r="BR300" s="304">
        <v>9</v>
      </c>
      <c r="BT300" s="267">
        <v>7</v>
      </c>
      <c r="BU300" s="304">
        <v>7</v>
      </c>
      <c r="BW300" s="267">
        <v>5</v>
      </c>
      <c r="BX300" s="304">
        <v>5</v>
      </c>
      <c r="BZ300" s="267">
        <v>7</v>
      </c>
      <c r="CA300" s="304">
        <v>6</v>
      </c>
      <c r="CC300" s="267">
        <v>3</v>
      </c>
      <c r="CD300" s="304">
        <v>3</v>
      </c>
      <c r="CF300" s="267">
        <v>0</v>
      </c>
      <c r="CG300" s="267">
        <v>0</v>
      </c>
      <c r="CI300" s="267">
        <v>0</v>
      </c>
      <c r="CJ300" s="267">
        <v>0</v>
      </c>
    </row>
    <row r="301" spans="1:88" x14ac:dyDescent="0.25">
      <c r="A301" s="107"/>
      <c r="B301" s="16" t="s">
        <v>1185</v>
      </c>
      <c r="C301" s="95"/>
      <c r="D301" s="95" t="s">
        <v>1112</v>
      </c>
      <c r="E301" s="291">
        <v>75</v>
      </c>
      <c r="F301" s="291">
        <v>65</v>
      </c>
      <c r="G301" s="291">
        <v>54</v>
      </c>
      <c r="H301" s="291">
        <v>53</v>
      </c>
      <c r="I301" s="292">
        <v>53</v>
      </c>
      <c r="J301" s="292">
        <v>43</v>
      </c>
      <c r="K301" s="292">
        <v>44</v>
      </c>
      <c r="L301" s="292">
        <v>15</v>
      </c>
      <c r="M301" s="292">
        <v>13</v>
      </c>
      <c r="N301" s="292">
        <v>13</v>
      </c>
      <c r="P301" s="283">
        <f>R301+U301+X301+AA301+AD301+AG301+AJ301+AM301+AP301+AS301+AV301+AY301+BB301+BE301+BH301+BK301+BN301+BQ301+BT301+BW301+BZ301+CC301+CF301+CI301</f>
        <v>47</v>
      </c>
      <c r="Q301" s="283">
        <f>S301+V301+Y301+AB301+AE301+AH301+AK301+AN301+AQ301+AT301+AW301+AZ301+BC301+BF301+BI301+BL301+BO301+BR301+BU301+BX301+CA301+CD301+CG301+CJ301</f>
        <v>44</v>
      </c>
      <c r="R301" s="267">
        <v>2</v>
      </c>
      <c r="S301" s="304">
        <v>2</v>
      </c>
      <c r="U301" s="267">
        <v>5</v>
      </c>
      <c r="V301" s="304">
        <v>4</v>
      </c>
      <c r="X301" s="267">
        <v>3</v>
      </c>
      <c r="Y301" s="304">
        <v>3</v>
      </c>
      <c r="AA301" s="267">
        <v>6</v>
      </c>
      <c r="AB301" s="304">
        <v>6</v>
      </c>
      <c r="AD301" s="267">
        <v>2</v>
      </c>
      <c r="AE301" s="304">
        <v>2</v>
      </c>
      <c r="AG301" s="267">
        <v>6</v>
      </c>
      <c r="AH301" s="304">
        <v>4</v>
      </c>
      <c r="AJ301" s="267">
        <v>1</v>
      </c>
      <c r="AK301" s="304">
        <v>1</v>
      </c>
      <c r="AM301" s="267">
        <v>11</v>
      </c>
      <c r="AN301" s="304">
        <v>9</v>
      </c>
      <c r="AP301" s="267">
        <v>11</v>
      </c>
      <c r="AQ301" s="304">
        <v>13</v>
      </c>
      <c r="AS301" s="267">
        <v>0</v>
      </c>
      <c r="AT301" s="304">
        <v>0</v>
      </c>
      <c r="AV301" s="267">
        <v>0</v>
      </c>
      <c r="AW301" s="304">
        <v>0</v>
      </c>
      <c r="AY301" s="267">
        <v>0</v>
      </c>
      <c r="AZ301" s="304">
        <v>0</v>
      </c>
      <c r="BB301" s="267">
        <v>0</v>
      </c>
      <c r="BC301" s="304">
        <v>0</v>
      </c>
      <c r="BE301" s="267">
        <v>0</v>
      </c>
      <c r="BF301" s="304">
        <v>0</v>
      </c>
      <c r="BH301" s="267">
        <v>0</v>
      </c>
      <c r="BI301" s="304">
        <v>0</v>
      </c>
      <c r="BK301" s="267">
        <v>0</v>
      </c>
      <c r="BL301" s="304">
        <v>0</v>
      </c>
      <c r="BN301" s="267">
        <v>0</v>
      </c>
      <c r="BO301" s="304">
        <v>0</v>
      </c>
      <c r="BQ301" s="267">
        <v>0</v>
      </c>
      <c r="BR301" s="304">
        <v>0</v>
      </c>
      <c r="BT301" s="267">
        <v>0</v>
      </c>
      <c r="BU301" s="304">
        <v>0</v>
      </c>
      <c r="BW301" s="267">
        <v>0</v>
      </c>
      <c r="BX301" s="304">
        <v>0</v>
      </c>
      <c r="BZ301" s="267">
        <v>0</v>
      </c>
      <c r="CA301" s="304">
        <v>0</v>
      </c>
      <c r="CC301" s="267">
        <v>0</v>
      </c>
      <c r="CD301" s="304">
        <v>0</v>
      </c>
      <c r="CF301" s="267">
        <v>0</v>
      </c>
      <c r="CG301" s="267">
        <v>0</v>
      </c>
      <c r="CI301" s="267">
        <v>0</v>
      </c>
      <c r="CJ301" s="267">
        <v>0</v>
      </c>
    </row>
    <row r="302" spans="1:88" ht="30" x14ac:dyDescent="0.25">
      <c r="A302" s="107"/>
      <c r="B302" s="16" t="s">
        <v>61</v>
      </c>
      <c r="C302" s="95" t="s">
        <v>1806</v>
      </c>
      <c r="D302" s="95" t="s">
        <v>1112</v>
      </c>
      <c r="E302" s="291">
        <f t="shared" ref="E302:J302" si="384">E303+E304</f>
        <v>413</v>
      </c>
      <c r="F302" s="291">
        <f t="shared" si="384"/>
        <v>397</v>
      </c>
      <c r="G302" s="291">
        <f t="shared" si="384"/>
        <v>363</v>
      </c>
      <c r="H302" s="291">
        <f t="shared" si="384"/>
        <v>348</v>
      </c>
      <c r="I302" s="291">
        <f t="shared" si="384"/>
        <v>341</v>
      </c>
      <c r="J302" s="291">
        <f t="shared" si="384"/>
        <v>304</v>
      </c>
      <c r="K302" s="291">
        <f>K303+K304</f>
        <v>295</v>
      </c>
      <c r="L302" s="291">
        <f t="shared" ref="L302:N302" si="385">L303+L304</f>
        <v>22</v>
      </c>
      <c r="M302" s="291">
        <f t="shared" si="385"/>
        <v>21</v>
      </c>
      <c r="N302" s="291">
        <f t="shared" si="385"/>
        <v>21</v>
      </c>
      <c r="P302" s="291">
        <f>P303+P304</f>
        <v>296</v>
      </c>
      <c r="Q302" s="291">
        <f>Q303+Q304</f>
        <v>280</v>
      </c>
      <c r="R302" s="291">
        <f>R303+R304</f>
        <v>6</v>
      </c>
      <c r="S302" s="291">
        <f>S303+S304</f>
        <v>6</v>
      </c>
      <c r="U302" s="291">
        <f>U303+U304</f>
        <v>10</v>
      </c>
      <c r="V302" s="291">
        <f>V303+V304</f>
        <v>9</v>
      </c>
      <c r="X302" s="291">
        <f>X303+X304</f>
        <v>10</v>
      </c>
      <c r="Y302" s="291">
        <f>Y303+Y304</f>
        <v>10</v>
      </c>
      <c r="AA302" s="291">
        <f>AA303+AA304</f>
        <v>13</v>
      </c>
      <c r="AB302" s="291">
        <f>AB303+AB304</f>
        <v>13</v>
      </c>
      <c r="AD302" s="291">
        <f>AD303+AD304</f>
        <v>6</v>
      </c>
      <c r="AE302" s="291">
        <f>AE303+AE304</f>
        <v>6</v>
      </c>
      <c r="AG302" s="291">
        <f>AG303+AG304</f>
        <v>11</v>
      </c>
      <c r="AH302" s="291">
        <f>AH303+AH304</f>
        <v>11</v>
      </c>
      <c r="AJ302" s="291">
        <f>AJ303+AJ304</f>
        <v>13</v>
      </c>
      <c r="AK302" s="291">
        <f>AK303+AK304</f>
        <v>13</v>
      </c>
      <c r="AM302" s="291">
        <f>AM303+AM304</f>
        <v>22</v>
      </c>
      <c r="AN302" s="291">
        <f>AN303+AN304</f>
        <v>22</v>
      </c>
      <c r="AP302" s="291">
        <f>AP303+AP304</f>
        <v>13</v>
      </c>
      <c r="AQ302" s="291">
        <f>AQ303+AQ304</f>
        <v>13</v>
      </c>
      <c r="AS302" s="291">
        <f>AS303+AS304</f>
        <v>18</v>
      </c>
      <c r="AT302" s="291">
        <f>AT303+AT304</f>
        <v>16</v>
      </c>
      <c r="AV302" s="291">
        <f>AV303+AV304</f>
        <v>10</v>
      </c>
      <c r="AW302" s="291">
        <f>AW303+AW304</f>
        <v>4</v>
      </c>
      <c r="AY302" s="291">
        <f>AY303+AY304</f>
        <v>14</v>
      </c>
      <c r="AZ302" s="291">
        <f>AZ303+AZ304</f>
        <v>13</v>
      </c>
      <c r="BB302" s="291">
        <f>BB303+BB304</f>
        <v>16</v>
      </c>
      <c r="BC302" s="291">
        <f>BC303+BC304</f>
        <v>15</v>
      </c>
      <c r="BE302" s="291">
        <f>BE303+BE304</f>
        <v>41</v>
      </c>
      <c r="BF302" s="291">
        <f>BF303+BF304</f>
        <v>39</v>
      </c>
      <c r="BH302" s="291">
        <f>BH303+BH304</f>
        <v>44</v>
      </c>
      <c r="BI302" s="291">
        <f>BI303+BI304</f>
        <v>42</v>
      </c>
      <c r="BK302" s="291">
        <f>BK303+BK304</f>
        <v>10</v>
      </c>
      <c r="BL302" s="291">
        <f>BL303+BL304</f>
        <v>10</v>
      </c>
      <c r="BN302" s="291">
        <f>BN303+BN304</f>
        <v>8</v>
      </c>
      <c r="BO302" s="291">
        <f>BO303+BO304</f>
        <v>8</v>
      </c>
      <c r="BQ302" s="291">
        <f>BQ303+BQ304</f>
        <v>9</v>
      </c>
      <c r="BR302" s="291">
        <f>BR303+BR304</f>
        <v>9</v>
      </c>
      <c r="BT302" s="291">
        <f>BT303+BT304</f>
        <v>7</v>
      </c>
      <c r="BU302" s="291">
        <f>BU303+BU304</f>
        <v>7</v>
      </c>
      <c r="BW302" s="291">
        <f>BW303+BW304</f>
        <v>5</v>
      </c>
      <c r="BX302" s="291">
        <f>BX303+BX304</f>
        <v>5</v>
      </c>
      <c r="BZ302" s="291">
        <f>BZ303+BZ304</f>
        <v>7</v>
      </c>
      <c r="CA302" s="291">
        <f>CA303+CA304</f>
        <v>6</v>
      </c>
      <c r="CC302" s="291">
        <f>CC303+CC304</f>
        <v>3</v>
      </c>
      <c r="CD302" s="291">
        <f>CD303+CD304</f>
        <v>3</v>
      </c>
      <c r="CF302" s="291">
        <f>CF303+CF304</f>
        <v>0</v>
      </c>
      <c r="CG302" s="291">
        <f>CG303+CG304</f>
        <v>0</v>
      </c>
      <c r="CI302" s="291">
        <f>CI303+CI304</f>
        <v>0</v>
      </c>
      <c r="CJ302" s="291">
        <f>CJ303+CJ304</f>
        <v>0</v>
      </c>
    </row>
    <row r="303" spans="1:88" x14ac:dyDescent="0.25">
      <c r="A303" s="107"/>
      <c r="B303" s="16" t="s">
        <v>1183</v>
      </c>
      <c r="C303" s="95"/>
      <c r="D303" s="95" t="s">
        <v>1112</v>
      </c>
      <c r="E303" s="291">
        <v>329</v>
      </c>
      <c r="F303" s="291">
        <v>320</v>
      </c>
      <c r="G303" s="291">
        <v>298</v>
      </c>
      <c r="H303" s="292">
        <v>284</v>
      </c>
      <c r="I303" s="291">
        <v>283</v>
      </c>
      <c r="J303" s="291">
        <v>259</v>
      </c>
      <c r="K303" s="291">
        <v>251</v>
      </c>
      <c r="L303" s="291">
        <v>7</v>
      </c>
      <c r="M303" s="291">
        <v>8</v>
      </c>
      <c r="N303" s="291">
        <v>8</v>
      </c>
      <c r="P303" s="283">
        <f>R303+U303+X303+AA303+AD303+AG303+AJ303+AM303+AP303+AS303+AV303+AY303+BB303+BE303+BH303+BK303+BN303+BQ303+BT303+BW303+BZ303+CC303+CF303+CI303</f>
        <v>249</v>
      </c>
      <c r="Q303" s="283">
        <f>S303+V303+Y303+AB303+AE303+AH303+AK303+AN303+AQ303+AT303+AW303+AZ303+BC303+BF303+BI303+BL303+BO303+BR303+BU303+BX303+CA303+CD303+CG303+CJ303</f>
        <v>238</v>
      </c>
      <c r="R303" s="267">
        <v>4</v>
      </c>
      <c r="S303" s="304">
        <v>4</v>
      </c>
      <c r="U303" s="267">
        <v>5</v>
      </c>
      <c r="V303" s="304">
        <v>5</v>
      </c>
      <c r="X303" s="267">
        <v>7</v>
      </c>
      <c r="Y303" s="304">
        <v>7</v>
      </c>
      <c r="AA303" s="267">
        <v>7</v>
      </c>
      <c r="AB303" s="304">
        <v>7</v>
      </c>
      <c r="AD303" s="267">
        <v>4</v>
      </c>
      <c r="AE303" s="304">
        <v>4</v>
      </c>
      <c r="AG303" s="267">
        <v>7</v>
      </c>
      <c r="AH303" s="304">
        <v>7</v>
      </c>
      <c r="AJ303" s="267">
        <v>12</v>
      </c>
      <c r="AK303" s="304">
        <v>12</v>
      </c>
      <c r="AM303" s="267">
        <v>11</v>
      </c>
      <c r="AN303" s="304">
        <v>15</v>
      </c>
      <c r="AP303" s="267">
        <v>0</v>
      </c>
      <c r="AQ303" s="304">
        <v>0</v>
      </c>
      <c r="AS303" s="267">
        <v>18</v>
      </c>
      <c r="AT303" s="304">
        <v>16</v>
      </c>
      <c r="AV303" s="267">
        <v>10</v>
      </c>
      <c r="AW303" s="304">
        <v>4</v>
      </c>
      <c r="AY303" s="267">
        <v>14</v>
      </c>
      <c r="AZ303" s="304">
        <v>13</v>
      </c>
      <c r="BB303" s="267">
        <v>16</v>
      </c>
      <c r="BC303" s="304">
        <v>15</v>
      </c>
      <c r="BE303" s="267">
        <v>41</v>
      </c>
      <c r="BF303" s="304">
        <v>39</v>
      </c>
      <c r="BH303" s="267">
        <v>44</v>
      </c>
      <c r="BI303" s="304">
        <v>42</v>
      </c>
      <c r="BK303" s="267">
        <v>10</v>
      </c>
      <c r="BL303" s="304">
        <v>10</v>
      </c>
      <c r="BN303" s="267">
        <v>8</v>
      </c>
      <c r="BO303" s="304">
        <v>8</v>
      </c>
      <c r="BQ303" s="267">
        <v>9</v>
      </c>
      <c r="BR303" s="304">
        <v>9</v>
      </c>
      <c r="BT303" s="267">
        <v>7</v>
      </c>
      <c r="BU303" s="304">
        <v>7</v>
      </c>
      <c r="BW303" s="267">
        <v>5</v>
      </c>
      <c r="BX303" s="304">
        <v>5</v>
      </c>
      <c r="BZ303" s="267">
        <v>7</v>
      </c>
      <c r="CA303" s="304">
        <v>6</v>
      </c>
      <c r="CC303" s="267">
        <v>3</v>
      </c>
      <c r="CD303" s="304">
        <v>3</v>
      </c>
      <c r="CF303" s="267">
        <v>0</v>
      </c>
      <c r="CG303" s="267">
        <v>0</v>
      </c>
      <c r="CI303" s="267">
        <v>0</v>
      </c>
      <c r="CJ303" s="267">
        <v>0</v>
      </c>
    </row>
    <row r="304" spans="1:88" x14ac:dyDescent="0.25">
      <c r="A304" s="107"/>
      <c r="B304" s="16" t="s">
        <v>1185</v>
      </c>
      <c r="C304" s="95"/>
      <c r="D304" s="95" t="s">
        <v>1112</v>
      </c>
      <c r="E304" s="291">
        <v>84</v>
      </c>
      <c r="F304" s="291">
        <v>77</v>
      </c>
      <c r="G304" s="291">
        <v>65</v>
      </c>
      <c r="H304" s="292">
        <v>64</v>
      </c>
      <c r="I304" s="291">
        <v>58</v>
      </c>
      <c r="J304" s="291">
        <v>45</v>
      </c>
      <c r="K304" s="291">
        <v>44</v>
      </c>
      <c r="L304" s="291">
        <v>15</v>
      </c>
      <c r="M304" s="291">
        <v>13</v>
      </c>
      <c r="N304" s="291">
        <v>13</v>
      </c>
      <c r="P304" s="283">
        <f>R304+U304+X304+AA304+AD304+AG304+AJ304+AM304+AP304+AS304+AV304+AY304+BB304+BE304+BH304+BK304+BN304+BQ304+BT304+BW304+BZ304+CC304+CF304+CI304</f>
        <v>47</v>
      </c>
      <c r="Q304" s="283">
        <f>S304+V304+Y304+AB304+AE304+AH304+AK304+AN304+AQ304+AT304+AW304+AZ304+BC304+BF304+BI304+BL304+BO304+BR304+BU304+BX304+CA304+CD304+CG304+CJ304</f>
        <v>42</v>
      </c>
      <c r="R304" s="267">
        <v>2</v>
      </c>
      <c r="S304" s="304">
        <v>2</v>
      </c>
      <c r="U304" s="267">
        <v>5</v>
      </c>
      <c r="V304" s="304">
        <v>4</v>
      </c>
      <c r="X304" s="267">
        <v>3</v>
      </c>
      <c r="Y304" s="304">
        <v>3</v>
      </c>
      <c r="AA304" s="267">
        <v>6</v>
      </c>
      <c r="AB304" s="304">
        <v>6</v>
      </c>
      <c r="AD304" s="267">
        <v>2</v>
      </c>
      <c r="AE304" s="304">
        <v>2</v>
      </c>
      <c r="AG304" s="267">
        <v>4</v>
      </c>
      <c r="AH304" s="304">
        <v>4</v>
      </c>
      <c r="AJ304" s="267">
        <v>1</v>
      </c>
      <c r="AK304" s="304">
        <v>1</v>
      </c>
      <c r="AM304" s="267">
        <v>11</v>
      </c>
      <c r="AN304" s="304">
        <v>7</v>
      </c>
      <c r="AP304" s="267">
        <v>13</v>
      </c>
      <c r="AQ304" s="304">
        <v>13</v>
      </c>
      <c r="AS304" s="267">
        <v>0</v>
      </c>
      <c r="AT304" s="304">
        <v>0</v>
      </c>
      <c r="AV304" s="267">
        <v>0</v>
      </c>
      <c r="AW304" s="304">
        <v>0</v>
      </c>
      <c r="AY304" s="267">
        <v>0</v>
      </c>
      <c r="AZ304" s="304">
        <v>0</v>
      </c>
      <c r="BB304" s="267">
        <v>0</v>
      </c>
      <c r="BC304" s="304">
        <v>0</v>
      </c>
      <c r="BE304" s="267">
        <v>0</v>
      </c>
      <c r="BF304" s="304">
        <v>0</v>
      </c>
      <c r="BH304" s="267">
        <v>0</v>
      </c>
      <c r="BI304" s="304">
        <v>0</v>
      </c>
      <c r="BK304" s="267">
        <v>0</v>
      </c>
      <c r="BL304" s="304">
        <v>0</v>
      </c>
      <c r="BN304" s="267">
        <v>0</v>
      </c>
      <c r="BO304" s="304">
        <v>0</v>
      </c>
      <c r="BQ304" s="267">
        <v>0</v>
      </c>
      <c r="BR304" s="304">
        <v>0</v>
      </c>
      <c r="BT304" s="267">
        <v>0</v>
      </c>
      <c r="BU304" s="304">
        <v>0</v>
      </c>
      <c r="BW304" s="267">
        <v>0</v>
      </c>
      <c r="BX304" s="304">
        <v>0</v>
      </c>
      <c r="BZ304" s="267">
        <v>0</v>
      </c>
      <c r="CA304" s="304">
        <v>0</v>
      </c>
      <c r="CC304" s="267">
        <v>0</v>
      </c>
      <c r="CD304" s="304">
        <v>0</v>
      </c>
      <c r="CF304" s="267">
        <v>0</v>
      </c>
      <c r="CG304" s="267">
        <v>0</v>
      </c>
      <c r="CI304" s="267">
        <v>0</v>
      </c>
      <c r="CJ304" s="267">
        <v>0</v>
      </c>
    </row>
    <row r="305" spans="1:88" ht="30" x14ac:dyDescent="0.25">
      <c r="A305" s="101" t="s">
        <v>67</v>
      </c>
      <c r="B305" s="91" t="s">
        <v>66</v>
      </c>
      <c r="C305" s="101" t="s">
        <v>1210</v>
      </c>
      <c r="D305" s="101" t="s">
        <v>8</v>
      </c>
      <c r="E305" s="293" t="e">
        <f>E308/E311*100</f>
        <v>#DIV/0!</v>
      </c>
      <c r="F305" s="293">
        <v>80.8</v>
      </c>
      <c r="G305" s="293">
        <f t="shared" ref="G305:N307" si="386">G308/G311*100</f>
        <v>81.818181818181827</v>
      </c>
      <c r="H305" s="293">
        <f t="shared" si="386"/>
        <v>84.482758620689651</v>
      </c>
      <c r="I305" s="293">
        <f t="shared" si="386"/>
        <v>85.043988269794724</v>
      </c>
      <c r="J305" s="293">
        <f t="shared" si="386"/>
        <v>89.320388349514573</v>
      </c>
      <c r="K305" s="293">
        <f>K308/K311*100</f>
        <v>91.554054054054063</v>
      </c>
      <c r="L305" s="293">
        <f>L308/L311*100</f>
        <v>40.909090909090914</v>
      </c>
      <c r="M305" s="293">
        <f>M308/M311*100</f>
        <v>42.857142857142854</v>
      </c>
      <c r="N305" s="293">
        <f>N308/N311*100</f>
        <v>42.857142857142854</v>
      </c>
      <c r="O305" s="281" t="s">
        <v>29</v>
      </c>
      <c r="P305" s="293">
        <f t="shared" ref="P305:S307" si="387">P308/P311*100</f>
        <v>91.554054054054063</v>
      </c>
      <c r="Q305" s="293">
        <f t="shared" si="387"/>
        <v>91.428571428571431</v>
      </c>
      <c r="R305" s="293">
        <f t="shared" si="387"/>
        <v>100</v>
      </c>
      <c r="S305" s="293">
        <f t="shared" si="387"/>
        <v>100</v>
      </c>
      <c r="U305" s="293">
        <f t="shared" ref="U305:V307" si="388">U308/U311*100</f>
        <v>50</v>
      </c>
      <c r="V305" s="293">
        <f t="shared" si="388"/>
        <v>55.555555555555557</v>
      </c>
      <c r="X305" s="293">
        <f t="shared" ref="X305:Y307" si="389">X308/X311*100</f>
        <v>80</v>
      </c>
      <c r="Y305" s="293">
        <f t="shared" si="389"/>
        <v>90</v>
      </c>
      <c r="AA305" s="293">
        <f t="shared" ref="AA305:AB307" si="390">AA308/AA311*100</f>
        <v>100</v>
      </c>
      <c r="AB305" s="293">
        <f t="shared" si="390"/>
        <v>100</v>
      </c>
      <c r="AD305" s="293">
        <f t="shared" ref="AD305:AE307" si="391">AD308/AD311*100</f>
        <v>66.666666666666657</v>
      </c>
      <c r="AE305" s="293">
        <f t="shared" si="391"/>
        <v>66.666666666666657</v>
      </c>
      <c r="AG305" s="293">
        <f t="shared" ref="AG305:AH307" si="392">AG308/AG311*100</f>
        <v>81.818181818181827</v>
      </c>
      <c r="AH305" s="293">
        <f t="shared" si="392"/>
        <v>81.818181818181827</v>
      </c>
      <c r="AJ305" s="293">
        <f t="shared" ref="AJ305:AK307" si="393">AJ308/AJ311*100</f>
        <v>76.923076923076934</v>
      </c>
      <c r="AK305" s="293">
        <f t="shared" si="393"/>
        <v>69.230769230769226</v>
      </c>
      <c r="AM305" s="293">
        <f t="shared" ref="AM305:AN307" si="394">AM308/AM311*100</f>
        <v>104.54545454545455</v>
      </c>
      <c r="AN305" s="293">
        <f t="shared" si="394"/>
        <v>90.909090909090907</v>
      </c>
      <c r="AP305" s="293">
        <f t="shared" ref="AP305:AQ307" si="395">AP308/AP311*100</f>
        <v>46.153846153846153</v>
      </c>
      <c r="AQ305" s="293">
        <f t="shared" si="395"/>
        <v>53.846153846153847</v>
      </c>
      <c r="AS305" s="293">
        <f t="shared" ref="AS305:AT307" si="396">AS308/AS311*100</f>
        <v>88.888888888888886</v>
      </c>
      <c r="AT305" s="293">
        <f t="shared" si="396"/>
        <v>87.5</v>
      </c>
      <c r="AV305" s="293">
        <f t="shared" ref="AV305:AW307" si="397">AV308/AV311*100</f>
        <v>100</v>
      </c>
      <c r="AW305" s="293">
        <f t="shared" si="397"/>
        <v>100</v>
      </c>
      <c r="AY305" s="293">
        <f t="shared" ref="AY305:AZ307" si="398">AY308/AY311*100</f>
        <v>100</v>
      </c>
      <c r="AZ305" s="293">
        <f t="shared" si="398"/>
        <v>100</v>
      </c>
      <c r="BB305" s="293">
        <f t="shared" ref="BB305:BC307" si="399">BB308/BB311*100</f>
        <v>93.75</v>
      </c>
      <c r="BC305" s="293">
        <f t="shared" si="399"/>
        <v>100</v>
      </c>
      <c r="BE305" s="293">
        <f t="shared" ref="BE305:BF307" si="400">BE308/BE311*100</f>
        <v>95.121951219512198</v>
      </c>
      <c r="BF305" s="293">
        <f t="shared" si="400"/>
        <v>97.435897435897431</v>
      </c>
      <c r="BH305" s="293">
        <f t="shared" ref="BH305:BI307" si="401">BH308/BH311*100</f>
        <v>100</v>
      </c>
      <c r="BI305" s="293">
        <f t="shared" si="401"/>
        <v>100</v>
      </c>
      <c r="BK305" s="293">
        <f t="shared" ref="BK305:BL307" si="402">BK308/BK311*100</f>
        <v>100</v>
      </c>
      <c r="BL305" s="293">
        <f t="shared" si="402"/>
        <v>100</v>
      </c>
      <c r="BN305" s="293">
        <f t="shared" ref="BN305:BO307" si="403">BN308/BN311*100</f>
        <v>100</v>
      </c>
      <c r="BO305" s="293">
        <f t="shared" si="403"/>
        <v>100</v>
      </c>
      <c r="BQ305" s="293">
        <f t="shared" ref="BQ305:BR307" si="404">BQ308/BQ311*100</f>
        <v>100</v>
      </c>
      <c r="BR305" s="293">
        <f t="shared" si="404"/>
        <v>100</v>
      </c>
      <c r="BT305" s="293">
        <f t="shared" ref="BT305:BU307" si="405">BT308/BT311*100</f>
        <v>100</v>
      </c>
      <c r="BU305" s="293">
        <f t="shared" si="405"/>
        <v>100</v>
      </c>
      <c r="BW305" s="293">
        <f t="shared" ref="BW305:BX307" si="406">BW308/BW311*100</f>
        <v>100</v>
      </c>
      <c r="BX305" s="293">
        <f t="shared" si="406"/>
        <v>100</v>
      </c>
      <c r="BZ305" s="293">
        <f t="shared" ref="BZ305:CA307" si="407">BZ308/BZ311*100</f>
        <v>100</v>
      </c>
      <c r="CA305" s="293">
        <f t="shared" si="407"/>
        <v>100</v>
      </c>
      <c r="CC305" s="293">
        <f t="shared" ref="CC305:CD307" si="408">CC308/CC311*100</f>
        <v>100</v>
      </c>
      <c r="CD305" s="293">
        <f t="shared" si="408"/>
        <v>100</v>
      </c>
      <c r="CF305" s="293" t="e">
        <f t="shared" ref="CF305:CG307" si="409">CF308/CF311*100</f>
        <v>#DIV/0!</v>
      </c>
      <c r="CG305" s="293" t="e">
        <f t="shared" si="409"/>
        <v>#DIV/0!</v>
      </c>
      <c r="CI305" s="293" t="e">
        <f t="shared" ref="CI305:CJ307" si="410">CI308/CI311*100</f>
        <v>#DIV/0!</v>
      </c>
      <c r="CJ305" s="293" t="e">
        <f t="shared" si="410"/>
        <v>#DIV/0!</v>
      </c>
    </row>
    <row r="306" spans="1:88" x14ac:dyDescent="0.25">
      <c r="A306" s="101"/>
      <c r="B306" s="91" t="s">
        <v>1183</v>
      </c>
      <c r="C306" s="101"/>
      <c r="D306" s="101"/>
      <c r="E306" s="293"/>
      <c r="F306" s="293"/>
      <c r="G306" s="293"/>
      <c r="H306" s="293">
        <f t="shared" si="386"/>
        <v>91.549295774647888</v>
      </c>
      <c r="I306" s="293">
        <f t="shared" si="386"/>
        <v>90.812720848056543</v>
      </c>
      <c r="J306" s="293">
        <f t="shared" si="386"/>
        <v>92.337164750957854</v>
      </c>
      <c r="K306" s="293">
        <f t="shared" si="386"/>
        <v>93.975903614457835</v>
      </c>
      <c r="L306" s="293">
        <f t="shared" si="386"/>
        <v>71.428571428571431</v>
      </c>
      <c r="M306" s="293">
        <f t="shared" si="386"/>
        <v>62.5</v>
      </c>
      <c r="N306" s="293">
        <f t="shared" si="386"/>
        <v>62.5</v>
      </c>
      <c r="O306" s="281"/>
      <c r="P306" s="293">
        <f t="shared" si="387"/>
        <v>93.975903614457835</v>
      </c>
      <c r="Q306" s="293">
        <f t="shared" si="387"/>
        <v>95.33898305084746</v>
      </c>
      <c r="R306" s="293">
        <f t="shared" si="387"/>
        <v>100</v>
      </c>
      <c r="S306" s="293">
        <f t="shared" si="387"/>
        <v>100</v>
      </c>
      <c r="U306" s="293">
        <f t="shared" si="388"/>
        <v>40</v>
      </c>
      <c r="V306" s="293">
        <f t="shared" si="388"/>
        <v>40</v>
      </c>
      <c r="X306" s="293">
        <f t="shared" si="389"/>
        <v>85.714285714285708</v>
      </c>
      <c r="Y306" s="293">
        <f t="shared" si="389"/>
        <v>100</v>
      </c>
      <c r="AA306" s="293">
        <f t="shared" si="390"/>
        <v>100</v>
      </c>
      <c r="AB306" s="293">
        <f t="shared" si="390"/>
        <v>100</v>
      </c>
      <c r="AD306" s="293">
        <f t="shared" si="391"/>
        <v>75</v>
      </c>
      <c r="AE306" s="293">
        <f t="shared" si="391"/>
        <v>75</v>
      </c>
      <c r="AG306" s="293">
        <f t="shared" si="392"/>
        <v>71.428571428571431</v>
      </c>
      <c r="AH306" s="293">
        <f t="shared" si="392"/>
        <v>71.428571428571431</v>
      </c>
      <c r="AJ306" s="293">
        <f t="shared" si="393"/>
        <v>75</v>
      </c>
      <c r="AK306" s="293">
        <f t="shared" si="393"/>
        <v>75</v>
      </c>
      <c r="AM306" s="293">
        <f t="shared" si="394"/>
        <v>100</v>
      </c>
      <c r="AN306" s="293">
        <f t="shared" si="394"/>
        <v>107.69230769230769</v>
      </c>
      <c r="AP306" s="293" t="e">
        <f t="shared" si="395"/>
        <v>#DIV/0!</v>
      </c>
      <c r="AQ306" s="293" t="e">
        <f t="shared" si="395"/>
        <v>#DIV/0!</v>
      </c>
      <c r="AS306" s="293">
        <f t="shared" si="396"/>
        <v>88.888888888888886</v>
      </c>
      <c r="AT306" s="293">
        <f t="shared" si="396"/>
        <v>87.5</v>
      </c>
      <c r="AV306" s="293">
        <f t="shared" si="397"/>
        <v>100</v>
      </c>
      <c r="AW306" s="293">
        <f t="shared" si="397"/>
        <v>100</v>
      </c>
      <c r="AY306" s="293">
        <f t="shared" si="398"/>
        <v>100</v>
      </c>
      <c r="AZ306" s="293">
        <f t="shared" si="398"/>
        <v>100</v>
      </c>
      <c r="BB306" s="293">
        <f t="shared" si="399"/>
        <v>93.75</v>
      </c>
      <c r="BC306" s="293">
        <f t="shared" si="399"/>
        <v>100</v>
      </c>
      <c r="BE306" s="293">
        <f t="shared" si="400"/>
        <v>95.121951219512198</v>
      </c>
      <c r="BF306" s="293">
        <f t="shared" si="400"/>
        <v>97.435897435897431</v>
      </c>
      <c r="BH306" s="293">
        <f t="shared" si="401"/>
        <v>100</v>
      </c>
      <c r="BI306" s="293">
        <f t="shared" si="401"/>
        <v>100</v>
      </c>
      <c r="BK306" s="293">
        <f t="shared" si="402"/>
        <v>100</v>
      </c>
      <c r="BL306" s="293">
        <f t="shared" si="402"/>
        <v>100</v>
      </c>
      <c r="BN306" s="293">
        <f t="shared" si="403"/>
        <v>100</v>
      </c>
      <c r="BO306" s="293">
        <f t="shared" si="403"/>
        <v>100</v>
      </c>
      <c r="BQ306" s="293">
        <f t="shared" si="404"/>
        <v>100</v>
      </c>
      <c r="BR306" s="293">
        <f t="shared" si="404"/>
        <v>100</v>
      </c>
      <c r="BT306" s="293">
        <f t="shared" si="405"/>
        <v>100</v>
      </c>
      <c r="BU306" s="293">
        <f t="shared" si="405"/>
        <v>100</v>
      </c>
      <c r="BW306" s="293">
        <f t="shared" si="406"/>
        <v>100</v>
      </c>
      <c r="BX306" s="293">
        <f t="shared" si="406"/>
        <v>100</v>
      </c>
      <c r="BZ306" s="293">
        <f t="shared" si="407"/>
        <v>100</v>
      </c>
      <c r="CA306" s="293">
        <f t="shared" si="407"/>
        <v>100</v>
      </c>
      <c r="CC306" s="293">
        <f t="shared" si="408"/>
        <v>100</v>
      </c>
      <c r="CD306" s="293">
        <f t="shared" si="408"/>
        <v>100</v>
      </c>
      <c r="CF306" s="293" t="e">
        <f t="shared" si="409"/>
        <v>#DIV/0!</v>
      </c>
      <c r="CG306" s="293" t="e">
        <f t="shared" si="409"/>
        <v>#DIV/0!</v>
      </c>
      <c r="CI306" s="293" t="e">
        <f t="shared" si="410"/>
        <v>#DIV/0!</v>
      </c>
      <c r="CJ306" s="293" t="e">
        <f t="shared" si="410"/>
        <v>#DIV/0!</v>
      </c>
    </row>
    <row r="307" spans="1:88" x14ac:dyDescent="0.25">
      <c r="A307" s="101"/>
      <c r="B307" s="91" t="s">
        <v>1185</v>
      </c>
      <c r="C307" s="101"/>
      <c r="D307" s="101"/>
      <c r="E307" s="293"/>
      <c r="F307" s="293"/>
      <c r="G307" s="293"/>
      <c r="H307" s="293">
        <f t="shared" si="386"/>
        <v>53.125</v>
      </c>
      <c r="I307" s="293">
        <f t="shared" si="386"/>
        <v>56.896551724137936</v>
      </c>
      <c r="J307" s="293">
        <f t="shared" si="386"/>
        <v>72.916666666666657</v>
      </c>
      <c r="K307" s="293">
        <f t="shared" si="386"/>
        <v>78.723404255319153</v>
      </c>
      <c r="L307" s="293">
        <f t="shared" si="386"/>
        <v>26.666666666666668</v>
      </c>
      <c r="M307" s="293">
        <f t="shared" si="386"/>
        <v>30.76923076923077</v>
      </c>
      <c r="N307" s="293">
        <f t="shared" si="386"/>
        <v>30.76923076923077</v>
      </c>
      <c r="O307" s="281"/>
      <c r="P307" s="293">
        <f t="shared" si="387"/>
        <v>78.723404255319153</v>
      </c>
      <c r="Q307" s="293">
        <f t="shared" si="387"/>
        <v>70.454545454545453</v>
      </c>
      <c r="R307" s="293">
        <f t="shared" si="387"/>
        <v>100</v>
      </c>
      <c r="S307" s="293">
        <f t="shared" si="387"/>
        <v>100</v>
      </c>
      <c r="U307" s="293">
        <f t="shared" si="388"/>
        <v>60</v>
      </c>
      <c r="V307" s="293">
        <f t="shared" si="388"/>
        <v>75</v>
      </c>
      <c r="X307" s="293">
        <f t="shared" si="389"/>
        <v>66.666666666666657</v>
      </c>
      <c r="Y307" s="293">
        <f t="shared" si="389"/>
        <v>66.666666666666657</v>
      </c>
      <c r="AA307" s="293">
        <f t="shared" si="390"/>
        <v>100</v>
      </c>
      <c r="AB307" s="293">
        <f t="shared" si="390"/>
        <v>100</v>
      </c>
      <c r="AD307" s="293">
        <f t="shared" si="391"/>
        <v>50</v>
      </c>
      <c r="AE307" s="293">
        <f t="shared" si="391"/>
        <v>50</v>
      </c>
      <c r="AG307" s="293">
        <f t="shared" si="392"/>
        <v>100</v>
      </c>
      <c r="AH307" s="293">
        <f t="shared" si="392"/>
        <v>100</v>
      </c>
      <c r="AJ307" s="293">
        <f t="shared" si="393"/>
        <v>100</v>
      </c>
      <c r="AK307" s="293">
        <f t="shared" si="393"/>
        <v>0</v>
      </c>
      <c r="AM307" s="293">
        <f t="shared" si="394"/>
        <v>109.09090909090908</v>
      </c>
      <c r="AN307" s="293">
        <f t="shared" si="394"/>
        <v>66.666666666666657</v>
      </c>
      <c r="AP307" s="293">
        <f t="shared" si="395"/>
        <v>46.153846153846153</v>
      </c>
      <c r="AQ307" s="293">
        <f t="shared" si="395"/>
        <v>53.846153846153847</v>
      </c>
      <c r="AS307" s="293" t="e">
        <f t="shared" si="396"/>
        <v>#DIV/0!</v>
      </c>
      <c r="AT307" s="293" t="e">
        <f t="shared" si="396"/>
        <v>#DIV/0!</v>
      </c>
      <c r="AV307" s="293" t="e">
        <f t="shared" si="397"/>
        <v>#DIV/0!</v>
      </c>
      <c r="AW307" s="293" t="e">
        <f t="shared" si="397"/>
        <v>#DIV/0!</v>
      </c>
      <c r="AY307" s="293" t="e">
        <f t="shared" si="398"/>
        <v>#DIV/0!</v>
      </c>
      <c r="AZ307" s="293" t="e">
        <f t="shared" si="398"/>
        <v>#DIV/0!</v>
      </c>
      <c r="BB307" s="293" t="e">
        <f t="shared" si="399"/>
        <v>#DIV/0!</v>
      </c>
      <c r="BC307" s="293" t="e">
        <f t="shared" si="399"/>
        <v>#DIV/0!</v>
      </c>
      <c r="BE307" s="293" t="e">
        <f t="shared" si="400"/>
        <v>#DIV/0!</v>
      </c>
      <c r="BF307" s="293" t="e">
        <f t="shared" si="400"/>
        <v>#DIV/0!</v>
      </c>
      <c r="BH307" s="293" t="e">
        <f t="shared" si="401"/>
        <v>#DIV/0!</v>
      </c>
      <c r="BI307" s="293" t="e">
        <f t="shared" si="401"/>
        <v>#DIV/0!</v>
      </c>
      <c r="BK307" s="293" t="e">
        <f t="shared" si="402"/>
        <v>#DIV/0!</v>
      </c>
      <c r="BL307" s="293" t="e">
        <f t="shared" si="402"/>
        <v>#DIV/0!</v>
      </c>
      <c r="BN307" s="293" t="e">
        <f t="shared" si="403"/>
        <v>#DIV/0!</v>
      </c>
      <c r="BO307" s="293" t="e">
        <f t="shared" si="403"/>
        <v>#DIV/0!</v>
      </c>
      <c r="BQ307" s="293" t="e">
        <f t="shared" si="404"/>
        <v>#DIV/0!</v>
      </c>
      <c r="BR307" s="293" t="e">
        <f t="shared" si="404"/>
        <v>#DIV/0!</v>
      </c>
      <c r="BT307" s="293" t="e">
        <f t="shared" si="405"/>
        <v>#DIV/0!</v>
      </c>
      <c r="BU307" s="293" t="e">
        <f t="shared" si="405"/>
        <v>#DIV/0!</v>
      </c>
      <c r="BW307" s="293" t="e">
        <f t="shared" si="406"/>
        <v>#DIV/0!</v>
      </c>
      <c r="BX307" s="293" t="e">
        <f t="shared" si="406"/>
        <v>#DIV/0!</v>
      </c>
      <c r="BZ307" s="293" t="e">
        <f t="shared" si="407"/>
        <v>#DIV/0!</v>
      </c>
      <c r="CA307" s="293" t="e">
        <f t="shared" si="407"/>
        <v>#DIV/0!</v>
      </c>
      <c r="CC307" s="293" t="e">
        <f t="shared" si="408"/>
        <v>#DIV/0!</v>
      </c>
      <c r="CD307" s="293" t="e">
        <f t="shared" si="408"/>
        <v>#DIV/0!</v>
      </c>
      <c r="CF307" s="293" t="e">
        <f t="shared" si="409"/>
        <v>#DIV/0!</v>
      </c>
      <c r="CG307" s="293" t="e">
        <f t="shared" si="409"/>
        <v>#DIV/0!</v>
      </c>
      <c r="CI307" s="293" t="e">
        <f t="shared" si="410"/>
        <v>#DIV/0!</v>
      </c>
      <c r="CJ307" s="293" t="e">
        <f t="shared" si="410"/>
        <v>#DIV/0!</v>
      </c>
    </row>
    <row r="308" spans="1:88" ht="30" x14ac:dyDescent="0.25">
      <c r="A308" s="102"/>
      <c r="B308" s="91" t="s">
        <v>68</v>
      </c>
      <c r="C308" s="101" t="s">
        <v>1805</v>
      </c>
      <c r="D308" s="101" t="s">
        <v>1112</v>
      </c>
      <c r="E308" s="292"/>
      <c r="F308" s="292">
        <v>372</v>
      </c>
      <c r="G308" s="292">
        <v>297</v>
      </c>
      <c r="H308" s="292">
        <f t="shared" ref="H308:N308" si="411">H309+H310</f>
        <v>294</v>
      </c>
      <c r="I308" s="292">
        <f t="shared" si="411"/>
        <v>290</v>
      </c>
      <c r="J308" s="292">
        <f t="shared" si="411"/>
        <v>276</v>
      </c>
      <c r="K308" s="292">
        <f t="shared" si="411"/>
        <v>271</v>
      </c>
      <c r="L308" s="292">
        <f t="shared" si="411"/>
        <v>9</v>
      </c>
      <c r="M308" s="292">
        <f t="shared" si="411"/>
        <v>9</v>
      </c>
      <c r="N308" s="292">
        <f t="shared" si="411"/>
        <v>9</v>
      </c>
      <c r="O308" s="267" t="s">
        <v>1405</v>
      </c>
      <c r="P308" s="292">
        <f>P309+P310</f>
        <v>271</v>
      </c>
      <c r="Q308" s="292">
        <f>Q309+Q310</f>
        <v>256</v>
      </c>
      <c r="R308" s="292">
        <f>R309+R310</f>
        <v>6</v>
      </c>
      <c r="S308" s="292">
        <f>S309+S310</f>
        <v>6</v>
      </c>
      <c r="U308" s="292">
        <f>U309+U310</f>
        <v>5</v>
      </c>
      <c r="V308" s="292">
        <f>V309+V310</f>
        <v>5</v>
      </c>
      <c r="X308" s="292">
        <f>X309+X310</f>
        <v>8</v>
      </c>
      <c r="Y308" s="292">
        <f>Y309+Y310</f>
        <v>9</v>
      </c>
      <c r="AA308" s="292">
        <f>AA309+AA310</f>
        <v>13</v>
      </c>
      <c r="AB308" s="292">
        <f>AB309+AB310</f>
        <v>13</v>
      </c>
      <c r="AD308" s="292">
        <f>AD309+AD310</f>
        <v>4</v>
      </c>
      <c r="AE308" s="292">
        <f>AE309+AE310</f>
        <v>4</v>
      </c>
      <c r="AG308" s="292">
        <f>AG309+AG310</f>
        <v>9</v>
      </c>
      <c r="AH308" s="292">
        <f>AH309+AH310</f>
        <v>9</v>
      </c>
      <c r="AJ308" s="292">
        <f>AJ309+AJ310</f>
        <v>10</v>
      </c>
      <c r="AK308" s="292">
        <f>AK309+AK310</f>
        <v>9</v>
      </c>
      <c r="AM308" s="292">
        <f>AM309+AM310</f>
        <v>23</v>
      </c>
      <c r="AN308" s="292">
        <f>AN309+AN310</f>
        <v>20</v>
      </c>
      <c r="AP308" s="292">
        <f>AP309+AP310</f>
        <v>6</v>
      </c>
      <c r="AQ308" s="292">
        <f>AQ309+AQ310</f>
        <v>7</v>
      </c>
      <c r="AS308" s="292">
        <f>AS309+AS310</f>
        <v>16</v>
      </c>
      <c r="AT308" s="292">
        <f>AT309+AT310</f>
        <v>14</v>
      </c>
      <c r="AV308" s="292">
        <f>AV309+AV310</f>
        <v>10</v>
      </c>
      <c r="AW308" s="292">
        <f>AW309+AW310</f>
        <v>4</v>
      </c>
      <c r="AY308" s="292">
        <f>AY309+AY310</f>
        <v>14</v>
      </c>
      <c r="AZ308" s="292">
        <f>AZ309+AZ310</f>
        <v>13</v>
      </c>
      <c r="BB308" s="292">
        <f>BB309+BB310</f>
        <v>15</v>
      </c>
      <c r="BC308" s="292">
        <f>BC309+BC310</f>
        <v>15</v>
      </c>
      <c r="BE308" s="292">
        <f>BE309+BE310</f>
        <v>39</v>
      </c>
      <c r="BF308" s="292">
        <f>BF309+BF310</f>
        <v>38</v>
      </c>
      <c r="BH308" s="292">
        <f>BH309+BH310</f>
        <v>44</v>
      </c>
      <c r="BI308" s="292">
        <f>BI309+BI310</f>
        <v>42</v>
      </c>
      <c r="BK308" s="292">
        <f>BK309+BK310</f>
        <v>10</v>
      </c>
      <c r="BL308" s="292">
        <f>BL309+BL310</f>
        <v>10</v>
      </c>
      <c r="BN308" s="292">
        <f>BN309+BN310</f>
        <v>8</v>
      </c>
      <c r="BO308" s="292">
        <f>BO309+BO310</f>
        <v>8</v>
      </c>
      <c r="BQ308" s="292">
        <f>BQ309+BQ310</f>
        <v>9</v>
      </c>
      <c r="BR308" s="292">
        <f>BR309+BR310</f>
        <v>9</v>
      </c>
      <c r="BT308" s="292">
        <f>BT309+BT310</f>
        <v>7</v>
      </c>
      <c r="BU308" s="292">
        <f>BU309+BU310</f>
        <v>7</v>
      </c>
      <c r="BW308" s="292">
        <f>BW309+BW310</f>
        <v>5</v>
      </c>
      <c r="BX308" s="292">
        <f>BX309+BX310</f>
        <v>5</v>
      </c>
      <c r="BZ308" s="292">
        <f>BZ309+BZ310</f>
        <v>7</v>
      </c>
      <c r="CA308" s="292">
        <f>CA309+CA310</f>
        <v>6</v>
      </c>
      <c r="CC308" s="292">
        <f>CC309+CC310</f>
        <v>3</v>
      </c>
      <c r="CD308" s="292">
        <f>CD309+CD310</f>
        <v>3</v>
      </c>
      <c r="CF308" s="292">
        <f>CF309+CF310</f>
        <v>0</v>
      </c>
      <c r="CG308" s="292">
        <f>CG309+CG310</f>
        <v>0</v>
      </c>
      <c r="CI308" s="292">
        <f>CI309+CI310</f>
        <v>0</v>
      </c>
      <c r="CJ308" s="292">
        <f>CJ309+CJ310</f>
        <v>0</v>
      </c>
    </row>
    <row r="309" spans="1:88" x14ac:dyDescent="0.25">
      <c r="A309" s="102"/>
      <c r="B309" s="91" t="s">
        <v>1183</v>
      </c>
      <c r="C309" s="101"/>
      <c r="D309" s="101"/>
      <c r="E309" s="292"/>
      <c r="F309" s="292"/>
      <c r="G309" s="292"/>
      <c r="H309" s="292">
        <v>260</v>
      </c>
      <c r="I309" s="292">
        <v>257</v>
      </c>
      <c r="J309" s="292">
        <v>241</v>
      </c>
      <c r="K309" s="292">
        <v>234</v>
      </c>
      <c r="L309" s="292">
        <v>5</v>
      </c>
      <c r="M309" s="292">
        <v>5</v>
      </c>
      <c r="N309" s="292">
        <v>5</v>
      </c>
      <c r="P309" s="283">
        <f>R309+U309+X309+AA309+AD309+AG309+AJ309+AM309+AP309+AS309+AV309+AY309+BB309+BE309+BH309+BK309+BN309+BQ309+BT309+BW309+BZ309+CC309+CF309+CI309</f>
        <v>234</v>
      </c>
      <c r="Q309" s="283">
        <f>S309+V309+Y309+AB309+AE309+AH309+AK309+AN309+AQ309+AT309+AW309+AZ309+BC309+BF309+BI309+BL309+BO309+BR309+BU309+BX309+CA309+CD309+CG309+CJ309</f>
        <v>225</v>
      </c>
      <c r="R309" s="267">
        <v>4</v>
      </c>
      <c r="S309" s="267">
        <v>4</v>
      </c>
      <c r="U309" s="267">
        <v>2</v>
      </c>
      <c r="V309" s="267">
        <v>2</v>
      </c>
      <c r="X309" s="267">
        <v>6</v>
      </c>
      <c r="Y309" s="267">
        <v>7</v>
      </c>
      <c r="AA309" s="267">
        <v>7</v>
      </c>
      <c r="AB309" s="267">
        <v>7</v>
      </c>
      <c r="AD309" s="267">
        <v>3</v>
      </c>
      <c r="AE309" s="267">
        <v>3</v>
      </c>
      <c r="AG309" s="267">
        <v>5</v>
      </c>
      <c r="AH309" s="267">
        <v>5</v>
      </c>
      <c r="AJ309" s="267">
        <v>9</v>
      </c>
      <c r="AK309" s="267">
        <v>9</v>
      </c>
      <c r="AM309" s="267">
        <v>11</v>
      </c>
      <c r="AN309" s="267">
        <v>14</v>
      </c>
      <c r="AP309" s="267">
        <v>0</v>
      </c>
      <c r="AQ309" s="267">
        <v>0</v>
      </c>
      <c r="AS309" s="267">
        <v>16</v>
      </c>
      <c r="AT309" s="267">
        <v>14</v>
      </c>
      <c r="AV309" s="267">
        <v>10</v>
      </c>
      <c r="AW309" s="267">
        <v>4</v>
      </c>
      <c r="AY309" s="267">
        <v>14</v>
      </c>
      <c r="AZ309" s="267">
        <v>13</v>
      </c>
      <c r="BB309" s="267">
        <v>15</v>
      </c>
      <c r="BC309" s="267">
        <v>15</v>
      </c>
      <c r="BE309" s="267">
        <v>39</v>
      </c>
      <c r="BF309" s="267">
        <v>38</v>
      </c>
      <c r="BH309" s="267">
        <v>44</v>
      </c>
      <c r="BI309" s="267">
        <v>42</v>
      </c>
      <c r="BK309" s="267">
        <v>10</v>
      </c>
      <c r="BL309" s="267">
        <v>10</v>
      </c>
      <c r="BN309" s="267">
        <v>8</v>
      </c>
      <c r="BO309" s="267">
        <v>8</v>
      </c>
      <c r="BQ309" s="267">
        <v>9</v>
      </c>
      <c r="BR309" s="267">
        <v>9</v>
      </c>
      <c r="BT309" s="267">
        <v>7</v>
      </c>
      <c r="BU309" s="267">
        <v>7</v>
      </c>
      <c r="BW309" s="267">
        <v>5</v>
      </c>
      <c r="BX309" s="267">
        <v>5</v>
      </c>
      <c r="BZ309" s="267">
        <v>7</v>
      </c>
      <c r="CA309" s="267">
        <v>6</v>
      </c>
      <c r="CC309" s="267">
        <v>3</v>
      </c>
      <c r="CD309" s="267">
        <v>3</v>
      </c>
      <c r="CF309" s="267">
        <v>0</v>
      </c>
      <c r="CG309" s="267">
        <v>0</v>
      </c>
      <c r="CI309" s="267">
        <v>0</v>
      </c>
      <c r="CJ309" s="267">
        <v>0</v>
      </c>
    </row>
    <row r="310" spans="1:88" x14ac:dyDescent="0.25">
      <c r="A310" s="102"/>
      <c r="B310" s="91" t="s">
        <v>1185</v>
      </c>
      <c r="C310" s="101"/>
      <c r="D310" s="101"/>
      <c r="E310" s="292"/>
      <c r="F310" s="292"/>
      <c r="G310" s="292"/>
      <c r="H310" s="292">
        <v>34</v>
      </c>
      <c r="I310" s="292">
        <v>33</v>
      </c>
      <c r="J310" s="291">
        <v>35</v>
      </c>
      <c r="K310" s="291">
        <v>37</v>
      </c>
      <c r="L310" s="291">
        <v>4</v>
      </c>
      <c r="M310" s="291">
        <v>4</v>
      </c>
      <c r="N310" s="291">
        <v>4</v>
      </c>
      <c r="P310" s="283">
        <f>R310+U310+X310+AA310+AD310+AG310+AJ310+AM310+AP310+AS310+AV310+AY310+BB310+BE310+BH310+BK310+BN310+BQ310+BT310+BW310+BZ310+CC310+CF310+CI310</f>
        <v>37</v>
      </c>
      <c r="Q310" s="283">
        <f>S310+V310+Y310+AB310+AE310+AH310+AK310+AN310+AQ310+AT310+AW310+AZ310+BC310+BF310+BI310+BL310+BO310+BR310+BU310+BX310+CA310+CD310+CG310+CJ310</f>
        <v>31</v>
      </c>
      <c r="R310" s="267">
        <v>2</v>
      </c>
      <c r="S310" s="267">
        <v>2</v>
      </c>
      <c r="U310" s="267">
        <v>3</v>
      </c>
      <c r="V310" s="267">
        <v>3</v>
      </c>
      <c r="X310" s="267">
        <v>2</v>
      </c>
      <c r="Y310" s="267">
        <v>2</v>
      </c>
      <c r="AA310" s="267">
        <v>6</v>
      </c>
      <c r="AB310" s="267">
        <v>6</v>
      </c>
      <c r="AD310" s="267">
        <v>1</v>
      </c>
      <c r="AE310" s="267">
        <v>1</v>
      </c>
      <c r="AG310" s="267">
        <v>4</v>
      </c>
      <c r="AH310" s="267">
        <v>4</v>
      </c>
      <c r="AJ310" s="267">
        <v>1</v>
      </c>
      <c r="AK310" s="267">
        <v>0</v>
      </c>
      <c r="AM310" s="267">
        <v>12</v>
      </c>
      <c r="AN310" s="267">
        <v>6</v>
      </c>
      <c r="AP310" s="267">
        <v>6</v>
      </c>
      <c r="AQ310" s="267">
        <v>7</v>
      </c>
      <c r="AS310" s="267">
        <v>0</v>
      </c>
      <c r="AT310" s="267">
        <v>0</v>
      </c>
      <c r="AV310" s="267">
        <v>0</v>
      </c>
      <c r="AW310" s="267">
        <v>0</v>
      </c>
      <c r="AY310" s="267">
        <v>0</v>
      </c>
      <c r="AZ310" s="267">
        <v>0</v>
      </c>
      <c r="BB310" s="267">
        <v>0</v>
      </c>
      <c r="BC310" s="267">
        <v>0</v>
      </c>
      <c r="BE310" s="267">
        <v>0</v>
      </c>
      <c r="BF310" s="267">
        <v>0</v>
      </c>
      <c r="BH310" s="267">
        <v>0</v>
      </c>
      <c r="BI310" s="267">
        <v>0</v>
      </c>
      <c r="BK310" s="267">
        <v>0</v>
      </c>
      <c r="BL310" s="267">
        <v>0</v>
      </c>
      <c r="BN310" s="267">
        <v>0</v>
      </c>
      <c r="BO310" s="267">
        <v>0</v>
      </c>
      <c r="BQ310" s="267">
        <v>0</v>
      </c>
      <c r="BR310" s="267">
        <v>0</v>
      </c>
      <c r="BT310" s="267">
        <v>0</v>
      </c>
      <c r="BU310" s="267">
        <v>0</v>
      </c>
      <c r="BW310" s="267">
        <v>0</v>
      </c>
      <c r="BX310" s="267">
        <v>0</v>
      </c>
      <c r="BZ310" s="267">
        <v>0</v>
      </c>
      <c r="CA310" s="267">
        <v>0</v>
      </c>
      <c r="CC310" s="267">
        <v>0</v>
      </c>
      <c r="CD310" s="267">
        <v>0</v>
      </c>
      <c r="CF310" s="267">
        <v>0</v>
      </c>
      <c r="CG310" s="267">
        <v>0</v>
      </c>
      <c r="CI310" s="267">
        <v>0</v>
      </c>
      <c r="CJ310" s="267">
        <v>0</v>
      </c>
    </row>
    <row r="311" spans="1:88" ht="30" x14ac:dyDescent="0.25">
      <c r="A311" s="102"/>
      <c r="B311" s="91" t="s">
        <v>61</v>
      </c>
      <c r="C311" s="101" t="s">
        <v>1806</v>
      </c>
      <c r="D311" s="101" t="s">
        <v>1112</v>
      </c>
      <c r="E311" s="292"/>
      <c r="F311" s="292">
        <v>461</v>
      </c>
      <c r="G311" s="292">
        <v>363</v>
      </c>
      <c r="H311" s="292">
        <f t="shared" ref="H311:N311" si="412">H312+H313</f>
        <v>348</v>
      </c>
      <c r="I311" s="291">
        <f t="shared" si="412"/>
        <v>341</v>
      </c>
      <c r="J311" s="291">
        <f t="shared" si="412"/>
        <v>309</v>
      </c>
      <c r="K311" s="291">
        <f t="shared" si="412"/>
        <v>296</v>
      </c>
      <c r="L311" s="291">
        <f t="shared" si="412"/>
        <v>22</v>
      </c>
      <c r="M311" s="291">
        <f t="shared" si="412"/>
        <v>21</v>
      </c>
      <c r="N311" s="291">
        <f t="shared" si="412"/>
        <v>21</v>
      </c>
      <c r="P311" s="291">
        <f>P312+P313</f>
        <v>296</v>
      </c>
      <c r="Q311" s="291">
        <f>Q312+Q313</f>
        <v>280</v>
      </c>
      <c r="R311" s="291">
        <f>R312+R313</f>
        <v>6</v>
      </c>
      <c r="S311" s="291">
        <f>S312+S313</f>
        <v>6</v>
      </c>
      <c r="U311" s="291">
        <f>U312+U313</f>
        <v>10</v>
      </c>
      <c r="V311" s="291">
        <f>V312+V313</f>
        <v>9</v>
      </c>
      <c r="X311" s="291">
        <f>X312+X313</f>
        <v>10</v>
      </c>
      <c r="Y311" s="291">
        <f>Y312+Y313</f>
        <v>10</v>
      </c>
      <c r="AA311" s="291">
        <f>AA312+AA313</f>
        <v>13</v>
      </c>
      <c r="AB311" s="291">
        <f>AB312+AB313</f>
        <v>13</v>
      </c>
      <c r="AD311" s="291">
        <f>AD312+AD313</f>
        <v>6</v>
      </c>
      <c r="AE311" s="291">
        <f>AE312+AE313</f>
        <v>6</v>
      </c>
      <c r="AG311" s="291">
        <f>AG312+AG313</f>
        <v>11</v>
      </c>
      <c r="AH311" s="291">
        <f>AH312+AH313</f>
        <v>11</v>
      </c>
      <c r="AJ311" s="291">
        <f>AJ312+AJ313</f>
        <v>13</v>
      </c>
      <c r="AK311" s="291">
        <f>AK312+AK313</f>
        <v>13</v>
      </c>
      <c r="AM311" s="291">
        <f>AM312+AM313</f>
        <v>22</v>
      </c>
      <c r="AN311" s="291">
        <f>AN312+AN313</f>
        <v>22</v>
      </c>
      <c r="AP311" s="291">
        <f>AP312+AP313</f>
        <v>13</v>
      </c>
      <c r="AQ311" s="291">
        <f>AQ312+AQ313</f>
        <v>13</v>
      </c>
      <c r="AS311" s="291">
        <f>AS312+AS313</f>
        <v>18</v>
      </c>
      <c r="AT311" s="291">
        <f>AT312+AT313</f>
        <v>16</v>
      </c>
      <c r="AV311" s="291">
        <f>AV312+AV313</f>
        <v>10</v>
      </c>
      <c r="AW311" s="291">
        <f>AW312+AW313</f>
        <v>4</v>
      </c>
      <c r="AY311" s="291">
        <f>AY312+AY313</f>
        <v>14</v>
      </c>
      <c r="AZ311" s="291">
        <f>AZ312+AZ313</f>
        <v>13</v>
      </c>
      <c r="BB311" s="291">
        <f>BB312+BB313</f>
        <v>16</v>
      </c>
      <c r="BC311" s="291">
        <f>BC312+BC313</f>
        <v>15</v>
      </c>
      <c r="BE311" s="291">
        <f>BE312+BE313</f>
        <v>41</v>
      </c>
      <c r="BF311" s="291">
        <f>BF312+BF313</f>
        <v>39</v>
      </c>
      <c r="BH311" s="291">
        <f>BH312+BH313</f>
        <v>44</v>
      </c>
      <c r="BI311" s="291">
        <f>BI312+BI313</f>
        <v>42</v>
      </c>
      <c r="BK311" s="291">
        <f>BK312+BK313</f>
        <v>10</v>
      </c>
      <c r="BL311" s="291">
        <f>BL312+BL313</f>
        <v>10</v>
      </c>
      <c r="BN311" s="291">
        <f>BN312+BN313</f>
        <v>8</v>
      </c>
      <c r="BO311" s="291">
        <f>BO312+BO313</f>
        <v>8</v>
      </c>
      <c r="BQ311" s="291">
        <f>BQ312+BQ313</f>
        <v>9</v>
      </c>
      <c r="BR311" s="291">
        <f>BR312+BR313</f>
        <v>9</v>
      </c>
      <c r="BT311" s="291">
        <f>BT312+BT313</f>
        <v>7</v>
      </c>
      <c r="BU311" s="291">
        <f>BU312+BU313</f>
        <v>7</v>
      </c>
      <c r="BW311" s="291">
        <f>BW312+BW313</f>
        <v>5</v>
      </c>
      <c r="BX311" s="291">
        <f>BX312+BX313</f>
        <v>5</v>
      </c>
      <c r="BZ311" s="291">
        <f>BZ312+BZ313</f>
        <v>7</v>
      </c>
      <c r="CA311" s="291">
        <f>CA312+CA313</f>
        <v>6</v>
      </c>
      <c r="CC311" s="291">
        <f>CC312+CC313</f>
        <v>3</v>
      </c>
      <c r="CD311" s="291">
        <f>CD312+CD313</f>
        <v>3</v>
      </c>
      <c r="CF311" s="291">
        <f>CF312+CF313</f>
        <v>0</v>
      </c>
      <c r="CG311" s="291">
        <f>CG312+CG313</f>
        <v>0</v>
      </c>
      <c r="CI311" s="291">
        <f>CI312+CI313</f>
        <v>0</v>
      </c>
      <c r="CJ311" s="291">
        <f>CJ312+CJ313</f>
        <v>0</v>
      </c>
    </row>
    <row r="312" spans="1:88" x14ac:dyDescent="0.25">
      <c r="A312" s="102"/>
      <c r="B312" s="91" t="s">
        <v>1183</v>
      </c>
      <c r="C312" s="101"/>
      <c r="D312" s="101"/>
      <c r="E312" s="292"/>
      <c r="F312" s="292"/>
      <c r="G312" s="292"/>
      <c r="H312" s="292">
        <v>284</v>
      </c>
      <c r="I312" s="291">
        <v>283</v>
      </c>
      <c r="J312" s="291">
        <v>261</v>
      </c>
      <c r="K312" s="291">
        <v>249</v>
      </c>
      <c r="L312" s="291">
        <v>7</v>
      </c>
      <c r="M312" s="291">
        <v>8</v>
      </c>
      <c r="N312" s="291">
        <v>8</v>
      </c>
      <c r="P312" s="283">
        <f>R312+U312+X312+AA312+AD312+AG312+AJ312+AM312+AP312+AS312+AV312+AY312+BB312+BE312+BH312+BK312+BN312+BQ312+BT312+BW312+BZ312+CC312+CF312+CI312</f>
        <v>249</v>
      </c>
      <c r="Q312" s="283">
        <f>S312+V312+Y312+AB312+AE312+AH312+AK312+AN312+AQ312+AT312+AW312+AZ312+BC312+BF312+BI312+BL312+BO312+BR312+BU312+BX312+CA312+CD312+CG312+CJ312</f>
        <v>236</v>
      </c>
      <c r="R312" s="267">
        <v>4</v>
      </c>
      <c r="S312" s="267">
        <v>4</v>
      </c>
      <c r="U312" s="267">
        <v>5</v>
      </c>
      <c r="V312" s="267">
        <v>5</v>
      </c>
      <c r="X312" s="267">
        <v>7</v>
      </c>
      <c r="Y312" s="267">
        <v>7</v>
      </c>
      <c r="AA312" s="267">
        <v>7</v>
      </c>
      <c r="AB312" s="267">
        <v>7</v>
      </c>
      <c r="AD312" s="267">
        <v>4</v>
      </c>
      <c r="AE312" s="267">
        <v>4</v>
      </c>
      <c r="AG312" s="267">
        <v>7</v>
      </c>
      <c r="AH312" s="267">
        <v>7</v>
      </c>
      <c r="AJ312" s="267">
        <v>12</v>
      </c>
      <c r="AK312" s="267">
        <v>12</v>
      </c>
      <c r="AM312" s="267">
        <v>11</v>
      </c>
      <c r="AN312" s="267">
        <v>13</v>
      </c>
      <c r="AP312" s="267">
        <v>0</v>
      </c>
      <c r="AQ312" s="267">
        <v>0</v>
      </c>
      <c r="AS312" s="267">
        <v>18</v>
      </c>
      <c r="AT312" s="267">
        <v>16</v>
      </c>
      <c r="AV312" s="267">
        <v>10</v>
      </c>
      <c r="AW312" s="267">
        <v>4</v>
      </c>
      <c r="AY312" s="267">
        <v>14</v>
      </c>
      <c r="AZ312" s="267">
        <v>13</v>
      </c>
      <c r="BB312" s="267">
        <v>16</v>
      </c>
      <c r="BC312" s="267">
        <v>15</v>
      </c>
      <c r="BE312" s="267">
        <v>41</v>
      </c>
      <c r="BF312" s="267">
        <v>39</v>
      </c>
      <c r="BH312" s="267">
        <v>44</v>
      </c>
      <c r="BI312" s="267">
        <v>42</v>
      </c>
      <c r="BK312" s="267">
        <v>10</v>
      </c>
      <c r="BL312" s="267">
        <v>10</v>
      </c>
      <c r="BN312" s="267">
        <v>8</v>
      </c>
      <c r="BO312" s="267">
        <v>8</v>
      </c>
      <c r="BQ312" s="267">
        <v>9</v>
      </c>
      <c r="BR312" s="267">
        <v>9</v>
      </c>
      <c r="BT312" s="267">
        <v>7</v>
      </c>
      <c r="BU312" s="267">
        <v>7</v>
      </c>
      <c r="BW312" s="267">
        <v>5</v>
      </c>
      <c r="BX312" s="267">
        <v>5</v>
      </c>
      <c r="BZ312" s="267">
        <v>7</v>
      </c>
      <c r="CA312" s="267">
        <v>6</v>
      </c>
      <c r="CC312" s="267">
        <v>3</v>
      </c>
      <c r="CD312" s="267">
        <v>3</v>
      </c>
      <c r="CF312" s="267">
        <v>0</v>
      </c>
      <c r="CG312" s="267">
        <v>0</v>
      </c>
      <c r="CI312" s="267">
        <v>0</v>
      </c>
      <c r="CJ312" s="267">
        <v>0</v>
      </c>
    </row>
    <row r="313" spans="1:88" x14ac:dyDescent="0.25">
      <c r="A313" s="102"/>
      <c r="B313" s="91" t="s">
        <v>1185</v>
      </c>
      <c r="C313" s="101"/>
      <c r="D313" s="101"/>
      <c r="E313" s="292"/>
      <c r="F313" s="292"/>
      <c r="G313" s="292"/>
      <c r="H313" s="292">
        <v>64</v>
      </c>
      <c r="I313" s="291">
        <v>58</v>
      </c>
      <c r="J313" s="291">
        <v>48</v>
      </c>
      <c r="K313" s="291">
        <v>47</v>
      </c>
      <c r="L313" s="291">
        <v>15</v>
      </c>
      <c r="M313" s="291">
        <v>13</v>
      </c>
      <c r="N313" s="291">
        <v>13</v>
      </c>
      <c r="P313" s="283">
        <f>R313+U313+X313+AA313+AD313+AG313+AJ313+AM313+AP313+AS313+AV313+AY313+BB313+BE313+BH313+BK313+BN313+BQ313+BT313+BW313+BZ313+CC313+CF313+CI313</f>
        <v>47</v>
      </c>
      <c r="Q313" s="283">
        <f>S313+V313+Y313+AB313+AE313+AH313+AK313+AN313+AQ313+AT313+AW313+AZ313+BC313+BF313+BI313+BL313+BO313+BR313+BU313+BX313+CA313+CD313+CG313+CJ313</f>
        <v>44</v>
      </c>
      <c r="R313" s="267">
        <v>2</v>
      </c>
      <c r="S313" s="267">
        <v>2</v>
      </c>
      <c r="U313" s="267">
        <v>5</v>
      </c>
      <c r="V313" s="267">
        <v>4</v>
      </c>
      <c r="X313" s="267">
        <v>3</v>
      </c>
      <c r="Y313" s="267">
        <v>3</v>
      </c>
      <c r="AA313" s="267">
        <v>6</v>
      </c>
      <c r="AB313" s="267">
        <v>6</v>
      </c>
      <c r="AD313" s="267">
        <v>2</v>
      </c>
      <c r="AE313" s="267">
        <v>2</v>
      </c>
      <c r="AG313" s="267">
        <v>4</v>
      </c>
      <c r="AH313" s="267">
        <v>4</v>
      </c>
      <c r="AJ313" s="267">
        <v>1</v>
      </c>
      <c r="AK313" s="267">
        <v>1</v>
      </c>
      <c r="AM313" s="267">
        <v>11</v>
      </c>
      <c r="AN313" s="267">
        <v>9</v>
      </c>
      <c r="AP313" s="267">
        <v>13</v>
      </c>
      <c r="AQ313" s="267">
        <v>13</v>
      </c>
      <c r="AS313" s="267">
        <v>0</v>
      </c>
      <c r="AT313" s="304">
        <v>0</v>
      </c>
      <c r="AV313" s="267">
        <v>0</v>
      </c>
      <c r="AW313" s="304">
        <v>0</v>
      </c>
      <c r="AY313" s="267">
        <v>0</v>
      </c>
      <c r="AZ313" s="304">
        <v>0</v>
      </c>
      <c r="BB313" s="267">
        <v>0</v>
      </c>
      <c r="BC313" s="304">
        <v>0</v>
      </c>
      <c r="BE313" s="267">
        <v>0</v>
      </c>
      <c r="BF313" s="304">
        <v>0</v>
      </c>
      <c r="BH313" s="267">
        <v>0</v>
      </c>
      <c r="BI313" s="304">
        <v>0</v>
      </c>
      <c r="BK313" s="267">
        <v>0</v>
      </c>
      <c r="BL313" s="304">
        <v>0</v>
      </c>
      <c r="BN313" s="267">
        <v>0</v>
      </c>
      <c r="BO313" s="304">
        <v>0</v>
      </c>
      <c r="BQ313" s="267">
        <v>0</v>
      </c>
      <c r="BR313" s="304">
        <v>0</v>
      </c>
      <c r="BT313" s="267">
        <v>0</v>
      </c>
      <c r="BU313" s="304">
        <v>0</v>
      </c>
      <c r="BW313" s="267">
        <v>0</v>
      </c>
      <c r="BX313" s="304">
        <v>0</v>
      </c>
      <c r="BZ313" s="267">
        <v>0</v>
      </c>
      <c r="CA313" s="304">
        <v>0</v>
      </c>
      <c r="CC313" s="267">
        <v>0</v>
      </c>
      <c r="CD313" s="304">
        <v>0</v>
      </c>
      <c r="CF313" s="267">
        <v>0</v>
      </c>
      <c r="CG313" s="267">
        <v>0</v>
      </c>
      <c r="CI313" s="267">
        <v>0</v>
      </c>
      <c r="CJ313" s="267">
        <v>0</v>
      </c>
    </row>
    <row r="314" spans="1:88" ht="30" hidden="1" x14ac:dyDescent="0.25">
      <c r="A314" s="101" t="s">
        <v>70</v>
      </c>
      <c r="B314" s="91" t="s">
        <v>69</v>
      </c>
      <c r="C314" s="101" t="s">
        <v>1210</v>
      </c>
      <c r="D314" s="101" t="s">
        <v>8</v>
      </c>
      <c r="E314" s="293" t="e">
        <f>E317/E320*100</f>
        <v>#DIV/0!</v>
      </c>
      <c r="F314" s="293">
        <v>30.1</v>
      </c>
      <c r="G314" s="293">
        <f t="shared" ref="G314:N316" si="413">G317/G320*100</f>
        <v>34.986225895316799</v>
      </c>
      <c r="H314" s="293">
        <f t="shared" si="413"/>
        <v>37.356321839080458</v>
      </c>
      <c r="I314" s="293">
        <f t="shared" si="413"/>
        <v>38.69047619047619</v>
      </c>
      <c r="J314" s="293">
        <f t="shared" si="413"/>
        <v>38.69047619047619</v>
      </c>
      <c r="K314" s="293">
        <f t="shared" si="413"/>
        <v>38.69047619047619</v>
      </c>
      <c r="L314" s="293">
        <f t="shared" si="413"/>
        <v>38.69047619047619</v>
      </c>
      <c r="M314" s="293">
        <f t="shared" si="413"/>
        <v>38.69047619047619</v>
      </c>
      <c r="N314" s="293">
        <f t="shared" si="413"/>
        <v>38.69047619047619</v>
      </c>
      <c r="O314" s="281" t="s">
        <v>29</v>
      </c>
    </row>
    <row r="315" spans="1:88" hidden="1" x14ac:dyDescent="0.25">
      <c r="A315" s="101"/>
      <c r="B315" s="16" t="s">
        <v>1183</v>
      </c>
      <c r="C315" s="101"/>
      <c r="D315" s="101"/>
      <c r="E315" s="293"/>
      <c r="F315" s="293"/>
      <c r="G315" s="293"/>
      <c r="H315" s="293">
        <f t="shared" si="413"/>
        <v>44.718309859154928</v>
      </c>
      <c r="I315" s="293">
        <f t="shared" si="413"/>
        <v>44.876325088339222</v>
      </c>
      <c r="J315" s="293">
        <f t="shared" si="413"/>
        <v>44.876325088339222</v>
      </c>
      <c r="K315" s="293">
        <f t="shared" si="413"/>
        <v>44.876325088339222</v>
      </c>
      <c r="L315" s="293">
        <f t="shared" si="413"/>
        <v>44.876325088339222</v>
      </c>
      <c r="M315" s="293">
        <f t="shared" si="413"/>
        <v>44.876325088339222</v>
      </c>
      <c r="N315" s="293">
        <f t="shared" si="413"/>
        <v>44.876325088339222</v>
      </c>
      <c r="O315" s="281"/>
    </row>
    <row r="316" spans="1:88" hidden="1" x14ac:dyDescent="0.25">
      <c r="A316" s="101"/>
      <c r="B316" s="16" t="s">
        <v>1185</v>
      </c>
      <c r="C316" s="101"/>
      <c r="D316" s="101"/>
      <c r="E316" s="293"/>
      <c r="F316" s="293"/>
      <c r="G316" s="293"/>
      <c r="H316" s="293">
        <f t="shared" si="413"/>
        <v>4.6875</v>
      </c>
      <c r="I316" s="293">
        <f t="shared" si="413"/>
        <v>5.6603773584905666</v>
      </c>
      <c r="J316" s="293">
        <f t="shared" si="413"/>
        <v>5.6603773584905666</v>
      </c>
      <c r="K316" s="293">
        <f t="shared" si="413"/>
        <v>5.6603773584905666</v>
      </c>
      <c r="L316" s="293">
        <f t="shared" si="413"/>
        <v>5.6603773584905666</v>
      </c>
      <c r="M316" s="293">
        <f t="shared" si="413"/>
        <v>5.6603773584905666</v>
      </c>
      <c r="N316" s="293">
        <f t="shared" si="413"/>
        <v>5.6603773584905666</v>
      </c>
      <c r="O316" s="281"/>
    </row>
    <row r="317" spans="1:88" ht="30" hidden="1" x14ac:dyDescent="0.25">
      <c r="A317" s="102"/>
      <c r="B317" s="91" t="s">
        <v>71</v>
      </c>
      <c r="C317" s="101" t="s">
        <v>1807</v>
      </c>
      <c r="D317" s="101" t="s">
        <v>1112</v>
      </c>
      <c r="E317" s="292"/>
      <c r="F317" s="292">
        <v>139</v>
      </c>
      <c r="G317" s="292">
        <v>127</v>
      </c>
      <c r="H317" s="292">
        <f t="shared" ref="H317:N317" si="414">H318+H319</f>
        <v>130</v>
      </c>
      <c r="I317" s="292">
        <f t="shared" si="414"/>
        <v>130</v>
      </c>
      <c r="J317" s="292">
        <f t="shared" si="414"/>
        <v>130</v>
      </c>
      <c r="K317" s="292">
        <f t="shared" si="414"/>
        <v>130</v>
      </c>
      <c r="L317" s="292">
        <f t="shared" si="414"/>
        <v>130</v>
      </c>
      <c r="M317" s="292">
        <f t="shared" si="414"/>
        <v>130</v>
      </c>
      <c r="N317" s="292">
        <f t="shared" si="414"/>
        <v>130</v>
      </c>
      <c r="O317" s="267" t="s">
        <v>1405</v>
      </c>
    </row>
    <row r="318" spans="1:88" hidden="1" x14ac:dyDescent="0.25">
      <c r="A318" s="102"/>
      <c r="B318" s="91" t="s">
        <v>1183</v>
      </c>
      <c r="C318" s="101"/>
      <c r="D318" s="101"/>
      <c r="E318" s="292"/>
      <c r="F318" s="292"/>
      <c r="G318" s="292"/>
      <c r="H318" s="292">
        <v>127</v>
      </c>
      <c r="I318" s="292">
        <v>127</v>
      </c>
      <c r="J318" s="292">
        <v>127</v>
      </c>
      <c r="K318" s="292">
        <v>127</v>
      </c>
      <c r="L318" s="292">
        <v>127</v>
      </c>
      <c r="M318" s="292">
        <v>127</v>
      </c>
      <c r="N318" s="292">
        <v>127</v>
      </c>
    </row>
    <row r="319" spans="1:88" hidden="1" x14ac:dyDescent="0.25">
      <c r="A319" s="102"/>
      <c r="B319" s="91" t="s">
        <v>1185</v>
      </c>
      <c r="C319" s="101"/>
      <c r="D319" s="101"/>
      <c r="E319" s="292"/>
      <c r="F319" s="292"/>
      <c r="G319" s="292"/>
      <c r="H319" s="292">
        <v>3</v>
      </c>
      <c r="I319" s="292">
        <v>3</v>
      </c>
      <c r="J319" s="292">
        <v>3</v>
      </c>
      <c r="K319" s="292">
        <v>3</v>
      </c>
      <c r="L319" s="292">
        <v>3</v>
      </c>
      <c r="M319" s="292">
        <v>3</v>
      </c>
      <c r="N319" s="292">
        <v>3</v>
      </c>
    </row>
    <row r="320" spans="1:88" ht="30" hidden="1" x14ac:dyDescent="0.25">
      <c r="A320" s="102"/>
      <c r="B320" s="91" t="s">
        <v>72</v>
      </c>
      <c r="C320" s="101" t="s">
        <v>1806</v>
      </c>
      <c r="D320" s="101" t="s">
        <v>1112</v>
      </c>
      <c r="E320" s="292"/>
      <c r="F320" s="292">
        <v>461</v>
      </c>
      <c r="G320" s="292">
        <v>363</v>
      </c>
      <c r="H320" s="292">
        <f t="shared" ref="H320:N320" si="415">H321+H322</f>
        <v>348</v>
      </c>
      <c r="I320" s="291">
        <f t="shared" si="415"/>
        <v>336</v>
      </c>
      <c r="J320" s="291">
        <f t="shared" si="415"/>
        <v>336</v>
      </c>
      <c r="K320" s="291">
        <f t="shared" si="415"/>
        <v>336</v>
      </c>
      <c r="L320" s="291">
        <f t="shared" si="415"/>
        <v>336</v>
      </c>
      <c r="M320" s="291">
        <f t="shared" si="415"/>
        <v>336</v>
      </c>
      <c r="N320" s="291">
        <f t="shared" si="415"/>
        <v>336</v>
      </c>
    </row>
    <row r="321" spans="1:88" hidden="1" x14ac:dyDescent="0.25">
      <c r="A321" s="102"/>
      <c r="B321" s="91" t="s">
        <v>1183</v>
      </c>
      <c r="C321" s="101"/>
      <c r="D321" s="101"/>
      <c r="E321" s="292"/>
      <c r="F321" s="292"/>
      <c r="G321" s="292"/>
      <c r="H321" s="292">
        <v>284</v>
      </c>
      <c r="I321" s="291">
        <v>283</v>
      </c>
      <c r="J321" s="291">
        <v>283</v>
      </c>
      <c r="K321" s="291">
        <v>283</v>
      </c>
      <c r="L321" s="291">
        <v>283</v>
      </c>
      <c r="M321" s="291">
        <v>283</v>
      </c>
      <c r="N321" s="291">
        <v>283</v>
      </c>
    </row>
    <row r="322" spans="1:88" hidden="1" x14ac:dyDescent="0.25">
      <c r="A322" s="102"/>
      <c r="B322" s="91" t="s">
        <v>1185</v>
      </c>
      <c r="C322" s="101"/>
      <c r="D322" s="101"/>
      <c r="E322" s="292"/>
      <c r="F322" s="292"/>
      <c r="G322" s="292"/>
      <c r="H322" s="292">
        <v>64</v>
      </c>
      <c r="I322" s="291">
        <v>53</v>
      </c>
      <c r="J322" s="291">
        <v>53</v>
      </c>
      <c r="K322" s="291">
        <v>53</v>
      </c>
      <c r="L322" s="291">
        <v>53</v>
      </c>
      <c r="M322" s="291">
        <v>53</v>
      </c>
      <c r="N322" s="291">
        <v>53</v>
      </c>
    </row>
    <row r="323" spans="1:88" ht="30" x14ac:dyDescent="0.25">
      <c r="A323" s="95" t="s">
        <v>70</v>
      </c>
      <c r="B323" s="16" t="s">
        <v>73</v>
      </c>
      <c r="C323" s="107"/>
      <c r="D323" s="95"/>
      <c r="E323" s="279"/>
      <c r="F323" s="279"/>
      <c r="G323" s="279"/>
      <c r="H323" s="279"/>
      <c r="I323" s="279"/>
      <c r="J323" s="279"/>
      <c r="K323" s="279"/>
      <c r="L323" s="279"/>
      <c r="M323" s="279"/>
      <c r="N323" s="279"/>
      <c r="O323" s="281" t="s">
        <v>29</v>
      </c>
    </row>
    <row r="324" spans="1:88" x14ac:dyDescent="0.25">
      <c r="A324" s="95"/>
      <c r="B324" s="16" t="s">
        <v>1182</v>
      </c>
      <c r="C324" s="107"/>
      <c r="D324" s="95" t="s">
        <v>1112</v>
      </c>
      <c r="E324" s="279">
        <f t="shared" ref="E324:N329" si="416">E331/E338*100</f>
        <v>0.8323347892749926</v>
      </c>
      <c r="F324" s="279">
        <f t="shared" si="416"/>
        <v>0.95368638702707731</v>
      </c>
      <c r="G324" s="279">
        <f t="shared" si="416"/>
        <v>1.1686471165376648</v>
      </c>
      <c r="H324" s="279">
        <f t="shared" si="416"/>
        <v>1.430339705680099</v>
      </c>
      <c r="I324" s="279">
        <f t="shared" si="416"/>
        <v>1.6069892252857554</v>
      </c>
      <c r="J324" s="279">
        <f t="shared" si="416"/>
        <v>1.7508642801382848</v>
      </c>
      <c r="K324" s="279">
        <f t="shared" si="416"/>
        <v>2.2284324380272214</v>
      </c>
      <c r="L324" s="279">
        <f t="shared" si="416"/>
        <v>5.4945054945054944E-2</v>
      </c>
      <c r="M324" s="279">
        <f t="shared" si="416"/>
        <v>14.136125654450263</v>
      </c>
      <c r="N324" s="279">
        <f t="shared" si="416"/>
        <v>15.008025682182986</v>
      </c>
      <c r="O324" s="281"/>
      <c r="P324" s="279">
        <f t="shared" ref="P324:R329" si="417">P331/P338*100</f>
        <v>2.2422824489119857</v>
      </c>
      <c r="Q324" s="279">
        <f t="shared" si="417"/>
        <v>2.5792125715261767</v>
      </c>
      <c r="R324" s="279">
        <f>R331/R338*100</f>
        <v>0.19120458891013384</v>
      </c>
      <c r="S324" s="279">
        <f>S331/S338*100</f>
        <v>0.33178500331785005</v>
      </c>
      <c r="U324" s="279">
        <f t="shared" ref="U324:V329" si="418">U331/U338*100</f>
        <v>4.5102184637068357</v>
      </c>
      <c r="V324" s="279">
        <f t="shared" si="418"/>
        <v>5.5597867479055596</v>
      </c>
      <c r="X324" s="279">
        <f t="shared" ref="X324:Y329" si="419">X331/X338*100</f>
        <v>4.7530864197530862</v>
      </c>
      <c r="Y324" s="279">
        <f t="shared" si="419"/>
        <v>6.531678641410843</v>
      </c>
      <c r="AA324" s="279">
        <f t="shared" ref="AA324:AB329" si="420">AA331/AA338*100</f>
        <v>3.8369304556354913</v>
      </c>
      <c r="AB324" s="279">
        <f t="shared" si="420"/>
        <v>6.6520065970313365</v>
      </c>
      <c r="AD324" s="279">
        <f t="shared" ref="AD324:AE329" si="421">AD331/AD338*100</f>
        <v>1.1038961038961039</v>
      </c>
      <c r="AE324" s="279">
        <f t="shared" si="421"/>
        <v>1.1509817197020988</v>
      </c>
      <c r="AG324" s="279">
        <f t="shared" ref="AG324:AH329" si="422">AG331/AG338*100</f>
        <v>6.7114093959731544E-2</v>
      </c>
      <c r="AH324" s="279">
        <f t="shared" si="422"/>
        <v>6.7613252197430695E-2</v>
      </c>
      <c r="AJ324" s="279">
        <f t="shared" ref="AJ324:AK329" si="423">AJ331/AJ338*100</f>
        <v>1.6862745098039214</v>
      </c>
      <c r="AK324" s="279">
        <f t="shared" si="423"/>
        <v>2.0176544766708702</v>
      </c>
      <c r="AM324" s="279">
        <f t="shared" ref="AM324:AN329" si="424">AM331/AM338*100</f>
        <v>1.453028341245864</v>
      </c>
      <c r="AN324" s="279">
        <f t="shared" si="424"/>
        <v>2.0401902132228869</v>
      </c>
      <c r="AP324" s="279">
        <f t="shared" ref="AP324:AQ329" si="425">AP331/AP338*100</f>
        <v>0.24937655860349126</v>
      </c>
      <c r="AQ324" s="279">
        <f t="shared" si="425"/>
        <v>0.52770448548812665</v>
      </c>
      <c r="AS324" s="279">
        <f t="shared" ref="AS324:AT329" si="426">AS331/AS338*100</f>
        <v>0.66102997694081478</v>
      </c>
      <c r="AT324" s="279">
        <f t="shared" si="426"/>
        <v>0.9101585437463301</v>
      </c>
      <c r="AV324" s="279">
        <f t="shared" ref="AV324:AW329" si="427">AV331/AV338*100</f>
        <v>1.6409266409266408</v>
      </c>
      <c r="AW324" s="279">
        <f t="shared" si="427"/>
        <v>0.87527352297592997</v>
      </c>
      <c r="AY324" s="279">
        <f t="shared" ref="AY324:AZ329" si="428">AY331/AY338*100</f>
        <v>2.5530503978779842</v>
      </c>
      <c r="AZ324" s="279">
        <f t="shared" si="428"/>
        <v>1.0346057795219408</v>
      </c>
      <c r="BB324" s="279">
        <f t="shared" ref="BB324:BC329" si="429">BB331/BB338*100</f>
        <v>1.9985196150999258</v>
      </c>
      <c r="BC324" s="279">
        <f t="shared" si="429"/>
        <v>2.2431930693069306</v>
      </c>
      <c r="BE324" s="279">
        <f t="shared" ref="BE324:BF329" si="430">BE331/BE338*100</f>
        <v>2.7987220447284344</v>
      </c>
      <c r="BF324" s="279">
        <f t="shared" si="430"/>
        <v>3.0762314559116306</v>
      </c>
      <c r="BH324" s="279">
        <f t="shared" ref="BH324:BI329" si="431">BH331/BH338*100</f>
        <v>2.9569046870084934</v>
      </c>
      <c r="BI324" s="279">
        <f t="shared" si="431"/>
        <v>3.4376481744902798</v>
      </c>
      <c r="BK324" s="279">
        <f t="shared" ref="BK324:BL329" si="432">BK331/BK338*100</f>
        <v>2.1030042918454934</v>
      </c>
      <c r="BL324" s="279">
        <f t="shared" si="432"/>
        <v>2.8453418999541071</v>
      </c>
      <c r="BN324" s="279">
        <f t="shared" ref="BN324:BO329" si="433">BN331/BN338*100</f>
        <v>1.693443334780721</v>
      </c>
      <c r="BO324" s="279">
        <f t="shared" si="433"/>
        <v>2.2904260192395784</v>
      </c>
      <c r="BQ324" s="279">
        <f t="shared" ref="BQ324:BR329" si="434">BQ331/BQ338*100</f>
        <v>2.9048029910842681</v>
      </c>
      <c r="BR324" s="279">
        <f t="shared" si="434"/>
        <v>3.040645361464474</v>
      </c>
      <c r="BT324" s="279">
        <f t="shared" ref="BT324:BU329" si="435">BT331/BT338*100</f>
        <v>0.76380728554641597</v>
      </c>
      <c r="BU324" s="279">
        <f t="shared" si="435"/>
        <v>0.78835657974530016</v>
      </c>
      <c r="BW324" s="279">
        <f t="shared" ref="BW324:BX329" si="436">BW331/BW338*100</f>
        <v>2.2916666666666665</v>
      </c>
      <c r="BX324" s="279">
        <f t="shared" si="436"/>
        <v>2.4417314095449503</v>
      </c>
      <c r="BZ324" s="279">
        <f t="shared" ref="BZ324:CA329" si="437">BZ331/BZ338*100</f>
        <v>2.6863084922010398</v>
      </c>
      <c r="CA324" s="279">
        <f t="shared" si="437"/>
        <v>2.5906735751295336</v>
      </c>
      <c r="CC324" s="279">
        <f t="shared" ref="CC324:CD329" si="438">CC331/CC338*100</f>
        <v>0</v>
      </c>
      <c r="CD324" s="279">
        <f t="shared" si="438"/>
        <v>0</v>
      </c>
      <c r="CF324" s="279">
        <f t="shared" ref="CF324:CG329" si="439">CF331/CF338*100</f>
        <v>0</v>
      </c>
      <c r="CG324" s="279">
        <f t="shared" si="439"/>
        <v>0</v>
      </c>
      <c r="CI324" s="279" t="e">
        <f t="shared" ref="CI324:CJ329" si="440">CI331/CI338*100</f>
        <v>#DIV/0!</v>
      </c>
      <c r="CJ324" s="279" t="e">
        <f t="shared" si="440"/>
        <v>#DIV/0!</v>
      </c>
    </row>
    <row r="325" spans="1:88" x14ac:dyDescent="0.25">
      <c r="A325" s="95"/>
      <c r="B325" s="16" t="s">
        <v>1183</v>
      </c>
      <c r="C325" s="107"/>
      <c r="D325" s="95" t="s">
        <v>1112</v>
      </c>
      <c r="E325" s="279">
        <f t="shared" si="416"/>
        <v>0.86581295647195178</v>
      </c>
      <c r="F325" s="279">
        <f t="shared" si="416"/>
        <v>1.0022647931030169</v>
      </c>
      <c r="G325" s="279">
        <f t="shared" si="416"/>
        <v>1.1997839919231763</v>
      </c>
      <c r="H325" s="279">
        <f t="shared" si="416"/>
        <v>1.465243071331213</v>
      </c>
      <c r="I325" s="279">
        <f t="shared" si="416"/>
        <v>1.6368084429475718</v>
      </c>
      <c r="J325" s="279">
        <f t="shared" si="416"/>
        <v>1.8055676192130634</v>
      </c>
      <c r="K325" s="279">
        <f t="shared" si="416"/>
        <v>2.2901614485772903</v>
      </c>
      <c r="L325" s="279">
        <f t="shared" si="416"/>
        <v>0</v>
      </c>
      <c r="M325" s="279">
        <f t="shared" si="416"/>
        <v>15.254237288135593</v>
      </c>
      <c r="N325" s="279">
        <f t="shared" si="416"/>
        <v>15.395284327323161</v>
      </c>
      <c r="O325" s="281"/>
      <c r="P325" s="279">
        <f t="shared" si="417"/>
        <v>2.2768084776198814</v>
      </c>
      <c r="Q325" s="279">
        <f t="shared" si="417"/>
        <v>2.5917655904668595</v>
      </c>
      <c r="R325" s="279">
        <f t="shared" si="417"/>
        <v>0.27027027027027029</v>
      </c>
      <c r="S325" s="279">
        <f>S332/S339*100</f>
        <v>0.47214353163361661</v>
      </c>
      <c r="U325" s="279">
        <f t="shared" si="418"/>
        <v>4.7272727272727275</v>
      </c>
      <c r="V325" s="279">
        <f t="shared" si="418"/>
        <v>5.10752688172043</v>
      </c>
      <c r="X325" s="279">
        <f t="shared" si="419"/>
        <v>5.8562555456965395</v>
      </c>
      <c r="Y325" s="279">
        <f t="shared" si="419"/>
        <v>8.0798479087452471</v>
      </c>
      <c r="AA325" s="279">
        <f>AA332/AA339*100</f>
        <v>3.8704581358609795</v>
      </c>
      <c r="AB325" s="279">
        <f t="shared" si="420"/>
        <v>6.6287878787878789</v>
      </c>
      <c r="AD325" s="279">
        <f t="shared" si="421"/>
        <v>0.91356289529163737</v>
      </c>
      <c r="AE325" s="279">
        <f t="shared" si="421"/>
        <v>1.1177987962166811</v>
      </c>
      <c r="AG325" s="279">
        <f t="shared" si="422"/>
        <v>0</v>
      </c>
      <c r="AH325" s="279">
        <f t="shared" si="422"/>
        <v>0</v>
      </c>
      <c r="AJ325" s="279">
        <f t="shared" si="423"/>
        <v>1.6768916155419225</v>
      </c>
      <c r="AK325" s="279">
        <f t="shared" si="423"/>
        <v>2.0184291355857833</v>
      </c>
      <c r="AM325" s="279">
        <f t="shared" si="424"/>
        <v>1.4108964619057955</v>
      </c>
      <c r="AN325" s="279">
        <f t="shared" si="424"/>
        <v>2.227457699721568</v>
      </c>
      <c r="AP325" s="279" t="e">
        <f t="shared" si="425"/>
        <v>#DIV/0!</v>
      </c>
      <c r="AQ325" s="279" t="e">
        <f t="shared" si="425"/>
        <v>#DIV/0!</v>
      </c>
      <c r="AS325" s="279">
        <f t="shared" si="426"/>
        <v>0.66102997694081478</v>
      </c>
      <c r="AT325" s="279">
        <f t="shared" si="426"/>
        <v>0.9101585437463301</v>
      </c>
      <c r="AV325" s="279">
        <f t="shared" si="427"/>
        <v>1.6409266409266408</v>
      </c>
      <c r="AW325" s="279">
        <f t="shared" si="427"/>
        <v>0.87527352297592997</v>
      </c>
      <c r="AY325" s="279">
        <f t="shared" si="428"/>
        <v>2.5530503978779842</v>
      </c>
      <c r="AZ325" s="279">
        <f t="shared" si="428"/>
        <v>1.0346057795219408</v>
      </c>
      <c r="BB325" s="279">
        <f t="shared" si="429"/>
        <v>1.9985196150999258</v>
      </c>
      <c r="BC325" s="279">
        <f t="shared" si="429"/>
        <v>2.2431930693069306</v>
      </c>
      <c r="BE325" s="279">
        <f t="shared" si="430"/>
        <v>2.7987220447284344</v>
      </c>
      <c r="BF325" s="279">
        <f t="shared" si="430"/>
        <v>3.0762314559116306</v>
      </c>
      <c r="BH325" s="279">
        <f t="shared" si="431"/>
        <v>2.9569046870084934</v>
      </c>
      <c r="BI325" s="279">
        <f t="shared" si="431"/>
        <v>3.4376481744902798</v>
      </c>
      <c r="BK325" s="279">
        <f t="shared" si="432"/>
        <v>2.1030042918454934</v>
      </c>
      <c r="BL325" s="279">
        <f t="shared" si="432"/>
        <v>2.8453418999541071</v>
      </c>
      <c r="BN325" s="279">
        <f t="shared" si="433"/>
        <v>1.693443334780721</v>
      </c>
      <c r="BO325" s="279">
        <f t="shared" si="433"/>
        <v>2.2904260192395784</v>
      </c>
      <c r="BQ325" s="279">
        <f t="shared" si="434"/>
        <v>2.9048029910842681</v>
      </c>
      <c r="BR325" s="279">
        <f t="shared" si="434"/>
        <v>3.040645361464474</v>
      </c>
      <c r="BT325" s="279">
        <f t="shared" si="435"/>
        <v>0.76380728554641597</v>
      </c>
      <c r="BU325" s="279">
        <f t="shared" si="435"/>
        <v>0.78835657974530016</v>
      </c>
      <c r="BW325" s="279">
        <f t="shared" si="436"/>
        <v>2.2916666666666665</v>
      </c>
      <c r="BX325" s="279">
        <f t="shared" si="436"/>
        <v>2.4417314095449503</v>
      </c>
      <c r="BZ325" s="279">
        <f t="shared" si="437"/>
        <v>2.6863084922010398</v>
      </c>
      <c r="CA325" s="279">
        <f t="shared" si="437"/>
        <v>2.5906735751295336</v>
      </c>
      <c r="CC325" s="279">
        <f t="shared" si="438"/>
        <v>0</v>
      </c>
      <c r="CD325" s="279">
        <f t="shared" si="438"/>
        <v>0</v>
      </c>
      <c r="CF325" s="279">
        <f t="shared" si="439"/>
        <v>0</v>
      </c>
      <c r="CG325" s="279">
        <f t="shared" si="439"/>
        <v>0</v>
      </c>
      <c r="CI325" s="279" t="e">
        <f t="shared" si="440"/>
        <v>#DIV/0!</v>
      </c>
      <c r="CJ325" s="279" t="e">
        <f t="shared" si="440"/>
        <v>#DIV/0!</v>
      </c>
    </row>
    <row r="326" spans="1:88" x14ac:dyDescent="0.25">
      <c r="A326" s="95"/>
      <c r="B326" s="16" t="s">
        <v>1185</v>
      </c>
      <c r="C326" s="107"/>
      <c r="D326" s="95" t="s">
        <v>1112</v>
      </c>
      <c r="E326" s="279">
        <f t="shared" si="416"/>
        <v>0.43304463690872752</v>
      </c>
      <c r="F326" s="279">
        <f t="shared" si="416"/>
        <v>0.32425421530479898</v>
      </c>
      <c r="G326" s="279">
        <f t="shared" si="416"/>
        <v>0.7635919364691508</v>
      </c>
      <c r="H326" s="279">
        <f t="shared" si="416"/>
        <v>0.95634737004473247</v>
      </c>
      <c r="I326" s="279">
        <f t="shared" si="416"/>
        <v>1.1877217337652322</v>
      </c>
      <c r="J326" s="279">
        <f t="shared" si="416"/>
        <v>0.97964181846012555</v>
      </c>
      <c r="K326" s="279">
        <f t="shared" si="416"/>
        <v>1.429190125595496</v>
      </c>
      <c r="L326" s="279">
        <f t="shared" si="416"/>
        <v>0.13175230566534915</v>
      </c>
      <c r="M326" s="279">
        <f t="shared" si="416"/>
        <v>12.631578947368421</v>
      </c>
      <c r="N326" s="279">
        <f t="shared" si="416"/>
        <v>14.476190476190476</v>
      </c>
      <c r="O326" s="281"/>
      <c r="P326" s="279">
        <f t="shared" si="417"/>
        <v>1.7543859649122806</v>
      </c>
      <c r="Q326" s="279">
        <f t="shared" si="417"/>
        <v>2.3922633186291145</v>
      </c>
      <c r="R326" s="279">
        <f t="shared" si="417"/>
        <v>0</v>
      </c>
      <c r="S326" s="279">
        <f>S333/S340*100</f>
        <v>0</v>
      </c>
      <c r="U326" s="279">
        <f t="shared" si="418"/>
        <v>4.2087542087542094</v>
      </c>
      <c r="V326" s="279">
        <f t="shared" si="418"/>
        <v>6.1511423550087869</v>
      </c>
      <c r="X326" s="279">
        <f t="shared" si="419"/>
        <v>2.2312373225152129</v>
      </c>
      <c r="Y326" s="279">
        <f t="shared" si="419"/>
        <v>3.1315240083507305</v>
      </c>
      <c r="AA326" s="279">
        <f>AA333/AA340*100</f>
        <v>3.785103785103785</v>
      </c>
      <c r="AB326" s="279">
        <f t="shared" si="420"/>
        <v>6.6841415465268668</v>
      </c>
      <c r="AD326" s="279">
        <f t="shared" si="421"/>
        <v>3.4188034188034191</v>
      </c>
      <c r="AE326" s="279">
        <f t="shared" si="421"/>
        <v>1.2738853503184715</v>
      </c>
      <c r="AG326" s="279">
        <f t="shared" si="422"/>
        <v>0.15360983102918588</v>
      </c>
      <c r="AH326" s="279">
        <f t="shared" si="422"/>
        <v>0.16313213703099511</v>
      </c>
      <c r="AJ326" s="279">
        <f t="shared" si="423"/>
        <v>1.9047619047619049</v>
      </c>
      <c r="AK326" s="279">
        <f t="shared" si="423"/>
        <v>2</v>
      </c>
      <c r="AM326" s="279">
        <f t="shared" si="424"/>
        <v>1.5358361774744027</v>
      </c>
      <c r="AN326" s="279">
        <f t="shared" si="424"/>
        <v>1.5675675675675675</v>
      </c>
      <c r="AP326" s="279">
        <f t="shared" si="425"/>
        <v>0.24937655860349126</v>
      </c>
      <c r="AQ326" s="279">
        <f t="shared" si="425"/>
        <v>0.52770448548812665</v>
      </c>
      <c r="AS326" s="279" t="e">
        <f t="shared" si="426"/>
        <v>#DIV/0!</v>
      </c>
      <c r="AT326" s="279" t="e">
        <f t="shared" si="426"/>
        <v>#DIV/0!</v>
      </c>
      <c r="AV326" s="279" t="e">
        <f t="shared" si="427"/>
        <v>#DIV/0!</v>
      </c>
      <c r="AW326" s="279" t="e">
        <f t="shared" si="427"/>
        <v>#DIV/0!</v>
      </c>
      <c r="AY326" s="279" t="e">
        <f t="shared" si="428"/>
        <v>#DIV/0!</v>
      </c>
      <c r="AZ326" s="279" t="e">
        <f t="shared" si="428"/>
        <v>#DIV/0!</v>
      </c>
      <c r="BB326" s="279" t="e">
        <f t="shared" si="429"/>
        <v>#DIV/0!</v>
      </c>
      <c r="BC326" s="279" t="e">
        <f t="shared" si="429"/>
        <v>#DIV/0!</v>
      </c>
      <c r="BE326" s="279" t="e">
        <f t="shared" si="430"/>
        <v>#DIV/0!</v>
      </c>
      <c r="BF326" s="279" t="e">
        <f t="shared" si="430"/>
        <v>#DIV/0!</v>
      </c>
      <c r="BH326" s="279" t="e">
        <f t="shared" si="431"/>
        <v>#DIV/0!</v>
      </c>
      <c r="BI326" s="279" t="e">
        <f t="shared" si="431"/>
        <v>#DIV/0!</v>
      </c>
      <c r="BK326" s="279" t="e">
        <f t="shared" si="432"/>
        <v>#DIV/0!</v>
      </c>
      <c r="BL326" s="279" t="e">
        <f t="shared" si="432"/>
        <v>#DIV/0!</v>
      </c>
      <c r="BN326" s="279" t="e">
        <f t="shared" si="433"/>
        <v>#DIV/0!</v>
      </c>
      <c r="BO326" s="279" t="e">
        <f t="shared" si="433"/>
        <v>#DIV/0!</v>
      </c>
      <c r="BQ326" s="279" t="e">
        <f t="shared" si="434"/>
        <v>#DIV/0!</v>
      </c>
      <c r="BR326" s="279" t="e">
        <f t="shared" si="434"/>
        <v>#DIV/0!</v>
      </c>
      <c r="BT326" s="279" t="e">
        <f t="shared" si="435"/>
        <v>#DIV/0!</v>
      </c>
      <c r="BU326" s="279" t="e">
        <f t="shared" si="435"/>
        <v>#DIV/0!</v>
      </c>
      <c r="BW326" s="279" t="e">
        <f t="shared" si="436"/>
        <v>#DIV/0!</v>
      </c>
      <c r="BX326" s="279" t="e">
        <f t="shared" si="436"/>
        <v>#DIV/0!</v>
      </c>
      <c r="BZ326" s="279" t="e">
        <f t="shared" si="437"/>
        <v>#DIV/0!</v>
      </c>
      <c r="CA326" s="279" t="e">
        <f t="shared" si="437"/>
        <v>#DIV/0!</v>
      </c>
      <c r="CC326" s="279" t="e">
        <f t="shared" si="438"/>
        <v>#DIV/0!</v>
      </c>
      <c r="CD326" s="279" t="e">
        <f t="shared" si="438"/>
        <v>#DIV/0!</v>
      </c>
      <c r="CF326" s="279" t="e">
        <f t="shared" si="439"/>
        <v>#DIV/0!</v>
      </c>
      <c r="CG326" s="279" t="e">
        <f t="shared" si="439"/>
        <v>#DIV/0!</v>
      </c>
      <c r="CI326" s="279" t="e">
        <f t="shared" si="440"/>
        <v>#DIV/0!</v>
      </c>
      <c r="CJ326" s="279" t="e">
        <f t="shared" si="440"/>
        <v>#DIV/0!</v>
      </c>
    </row>
    <row r="327" spans="1:88" x14ac:dyDescent="0.25">
      <c r="A327" s="95"/>
      <c r="B327" s="16" t="s">
        <v>1184</v>
      </c>
      <c r="C327" s="107"/>
      <c r="D327" s="95" t="s">
        <v>1112</v>
      </c>
      <c r="E327" s="279" t="e">
        <f t="shared" si="416"/>
        <v>#DIV/0!</v>
      </c>
      <c r="F327" s="279">
        <f t="shared" si="416"/>
        <v>0</v>
      </c>
      <c r="G327" s="279">
        <f t="shared" si="416"/>
        <v>6.666666666666667</v>
      </c>
      <c r="H327" s="279">
        <f t="shared" si="416"/>
        <v>0</v>
      </c>
      <c r="I327" s="279">
        <f t="shared" si="416"/>
        <v>24.752475247524753</v>
      </c>
      <c r="J327" s="279">
        <f t="shared" si="416"/>
        <v>19.685039370078741</v>
      </c>
      <c r="K327" s="279">
        <f t="shared" si="416"/>
        <v>13.661202185792352</v>
      </c>
      <c r="L327" s="279">
        <f t="shared" si="416"/>
        <v>0</v>
      </c>
      <c r="M327" s="279">
        <f t="shared" si="416"/>
        <v>12.5</v>
      </c>
      <c r="N327" s="279">
        <f t="shared" si="416"/>
        <v>11.111111111111111</v>
      </c>
      <c r="O327" s="281"/>
      <c r="P327" s="279">
        <f t="shared" si="417"/>
        <v>13.661202185792352</v>
      </c>
      <c r="Q327" s="279">
        <f t="shared" si="417"/>
        <v>15.527950310559005</v>
      </c>
      <c r="R327" s="279" t="e">
        <f t="shared" si="417"/>
        <v>#DIV/0!</v>
      </c>
      <c r="S327" s="279" t="e">
        <f>S334/S341*100</f>
        <v>#DIV/0!</v>
      </c>
      <c r="U327" s="279" t="e">
        <f t="shared" si="418"/>
        <v>#DIV/0!</v>
      </c>
      <c r="V327" s="279" t="e">
        <f t="shared" si="418"/>
        <v>#DIV/0!</v>
      </c>
      <c r="X327" s="279" t="e">
        <f t="shared" si="419"/>
        <v>#DIV/0!</v>
      </c>
      <c r="Y327" s="279" t="e">
        <f t="shared" si="419"/>
        <v>#DIV/0!</v>
      </c>
      <c r="AA327" s="279" t="e">
        <f>AA334/AA341*100</f>
        <v>#DIV/0!</v>
      </c>
      <c r="AB327" s="279" t="e">
        <f t="shared" si="420"/>
        <v>#DIV/0!</v>
      </c>
      <c r="AD327" s="279" t="e">
        <f t="shared" si="421"/>
        <v>#DIV/0!</v>
      </c>
      <c r="AE327" s="279" t="e">
        <f t="shared" si="421"/>
        <v>#DIV/0!</v>
      </c>
      <c r="AG327" s="279">
        <f t="shared" si="422"/>
        <v>0</v>
      </c>
      <c r="AH327" s="279">
        <f t="shared" si="422"/>
        <v>0</v>
      </c>
      <c r="AJ327" s="279" t="e">
        <f t="shared" si="423"/>
        <v>#DIV/0!</v>
      </c>
      <c r="AK327" s="279" t="e">
        <f t="shared" si="423"/>
        <v>#DIV/0!</v>
      </c>
      <c r="AM327" s="279" t="e">
        <f t="shared" si="424"/>
        <v>#DIV/0!</v>
      </c>
      <c r="AN327" s="279" t="e">
        <f t="shared" si="424"/>
        <v>#DIV/0!</v>
      </c>
      <c r="AP327" s="279" t="e">
        <f t="shared" si="425"/>
        <v>#DIV/0!</v>
      </c>
      <c r="AQ327" s="279" t="e">
        <f t="shared" si="425"/>
        <v>#DIV/0!</v>
      </c>
      <c r="AS327" s="279">
        <f t="shared" si="426"/>
        <v>0</v>
      </c>
      <c r="AT327" s="279">
        <f t="shared" si="426"/>
        <v>0</v>
      </c>
      <c r="AV327" s="279" t="e">
        <f t="shared" si="427"/>
        <v>#DIV/0!</v>
      </c>
      <c r="AW327" s="279" t="e">
        <f t="shared" si="427"/>
        <v>#DIV/0!</v>
      </c>
      <c r="AY327" s="279">
        <f t="shared" si="428"/>
        <v>0</v>
      </c>
      <c r="AZ327" s="279" t="e">
        <f t="shared" si="428"/>
        <v>#DIV/0!</v>
      </c>
      <c r="BB327" s="279">
        <f t="shared" si="429"/>
        <v>0</v>
      </c>
      <c r="BC327" s="279" t="e">
        <f t="shared" si="429"/>
        <v>#DIV/0!</v>
      </c>
      <c r="BE327" s="279">
        <f t="shared" si="430"/>
        <v>0</v>
      </c>
      <c r="BF327" s="279" t="e">
        <f t="shared" si="430"/>
        <v>#DIV/0!</v>
      </c>
      <c r="BH327" s="279">
        <f t="shared" si="431"/>
        <v>25</v>
      </c>
      <c r="BI327" s="279">
        <f t="shared" si="431"/>
        <v>29.761904761904763</v>
      </c>
      <c r="BK327" s="279" t="e">
        <f t="shared" si="432"/>
        <v>#DIV/0!</v>
      </c>
      <c r="BL327" s="279" t="e">
        <f t="shared" si="432"/>
        <v>#DIV/0!</v>
      </c>
      <c r="BN327" s="279" t="e">
        <f t="shared" si="433"/>
        <v>#DIV/0!</v>
      </c>
      <c r="BO327" s="279" t="e">
        <f t="shared" si="433"/>
        <v>#DIV/0!</v>
      </c>
      <c r="BQ327" s="279" t="e">
        <f t="shared" si="434"/>
        <v>#DIV/0!</v>
      </c>
      <c r="BR327" s="279" t="e">
        <f t="shared" si="434"/>
        <v>#DIV/0!</v>
      </c>
      <c r="BT327" s="279" t="e">
        <f t="shared" si="435"/>
        <v>#DIV/0!</v>
      </c>
      <c r="BU327" s="279" t="e">
        <f t="shared" si="435"/>
        <v>#DIV/0!</v>
      </c>
      <c r="BW327" s="279" t="e">
        <f t="shared" si="436"/>
        <v>#DIV/0!</v>
      </c>
      <c r="BX327" s="279" t="e">
        <f t="shared" si="436"/>
        <v>#DIV/0!</v>
      </c>
      <c r="BZ327" s="279" t="e">
        <f t="shared" si="437"/>
        <v>#DIV/0!</v>
      </c>
      <c r="CA327" s="279" t="e">
        <f t="shared" si="437"/>
        <v>#DIV/0!</v>
      </c>
      <c r="CC327" s="279" t="e">
        <f t="shared" si="438"/>
        <v>#DIV/0!</v>
      </c>
      <c r="CD327" s="279" t="e">
        <f t="shared" si="438"/>
        <v>#DIV/0!</v>
      </c>
      <c r="CF327" s="279" t="e">
        <f t="shared" si="439"/>
        <v>#DIV/0!</v>
      </c>
      <c r="CG327" s="279" t="e">
        <f t="shared" si="439"/>
        <v>#DIV/0!</v>
      </c>
      <c r="CI327" s="279" t="e">
        <f t="shared" si="440"/>
        <v>#DIV/0!</v>
      </c>
      <c r="CJ327" s="279" t="e">
        <f t="shared" si="440"/>
        <v>#DIV/0!</v>
      </c>
    </row>
    <row r="328" spans="1:88" x14ac:dyDescent="0.25">
      <c r="A328" s="95"/>
      <c r="B328" s="16" t="s">
        <v>1183</v>
      </c>
      <c r="C328" s="107"/>
      <c r="D328" s="95" t="s">
        <v>1112</v>
      </c>
      <c r="E328" s="279" t="e">
        <f t="shared" si="416"/>
        <v>#DIV/0!</v>
      </c>
      <c r="F328" s="279">
        <f t="shared" si="416"/>
        <v>0</v>
      </c>
      <c r="G328" s="279">
        <f t="shared" si="416"/>
        <v>6.666666666666667</v>
      </c>
      <c r="H328" s="279">
        <f t="shared" si="416"/>
        <v>0</v>
      </c>
      <c r="I328" s="279">
        <f t="shared" si="416"/>
        <v>24.752475247524753</v>
      </c>
      <c r="J328" s="279">
        <f t="shared" si="416"/>
        <v>19.685039370078741</v>
      </c>
      <c r="K328" s="279">
        <f t="shared" si="416"/>
        <v>13.661202185792352</v>
      </c>
      <c r="L328" s="279">
        <f t="shared" si="416"/>
        <v>0</v>
      </c>
      <c r="M328" s="279">
        <f t="shared" si="416"/>
        <v>12.5</v>
      </c>
      <c r="N328" s="279">
        <f t="shared" si="416"/>
        <v>11.111111111111111</v>
      </c>
      <c r="O328" s="281"/>
      <c r="P328" s="279">
        <f t="shared" si="417"/>
        <v>13.661202185792352</v>
      </c>
      <c r="Q328" s="279">
        <f t="shared" si="417"/>
        <v>15.527950310559005</v>
      </c>
      <c r="R328" s="279" t="e">
        <f t="shared" si="417"/>
        <v>#DIV/0!</v>
      </c>
      <c r="S328" s="279" t="e">
        <f>S335/S342*100</f>
        <v>#DIV/0!</v>
      </c>
      <c r="U328" s="279" t="e">
        <f t="shared" si="418"/>
        <v>#DIV/0!</v>
      </c>
      <c r="V328" s="279" t="e">
        <f t="shared" si="418"/>
        <v>#DIV/0!</v>
      </c>
      <c r="X328" s="279" t="e">
        <f t="shared" si="419"/>
        <v>#DIV/0!</v>
      </c>
      <c r="Y328" s="279" t="e">
        <f t="shared" si="419"/>
        <v>#DIV/0!</v>
      </c>
      <c r="AA328" s="279" t="e">
        <f>AA335/AA342*100</f>
        <v>#DIV/0!</v>
      </c>
      <c r="AB328" s="279" t="e">
        <f t="shared" si="420"/>
        <v>#DIV/0!</v>
      </c>
      <c r="AD328" s="279" t="e">
        <f t="shared" si="421"/>
        <v>#DIV/0!</v>
      </c>
      <c r="AE328" s="279" t="e">
        <f t="shared" si="421"/>
        <v>#DIV/0!</v>
      </c>
      <c r="AG328" s="279">
        <f t="shared" si="422"/>
        <v>0</v>
      </c>
      <c r="AH328" s="279">
        <f t="shared" si="422"/>
        <v>0</v>
      </c>
      <c r="AJ328" s="279" t="e">
        <f t="shared" si="423"/>
        <v>#DIV/0!</v>
      </c>
      <c r="AK328" s="279" t="e">
        <f t="shared" si="423"/>
        <v>#DIV/0!</v>
      </c>
      <c r="AM328" s="279" t="e">
        <f t="shared" si="424"/>
        <v>#DIV/0!</v>
      </c>
      <c r="AN328" s="279" t="e">
        <f t="shared" si="424"/>
        <v>#DIV/0!</v>
      </c>
      <c r="AP328" s="279" t="e">
        <f t="shared" si="425"/>
        <v>#DIV/0!</v>
      </c>
      <c r="AQ328" s="279" t="e">
        <f t="shared" si="425"/>
        <v>#DIV/0!</v>
      </c>
      <c r="AS328" s="279">
        <f t="shared" si="426"/>
        <v>0</v>
      </c>
      <c r="AT328" s="279">
        <f t="shared" si="426"/>
        <v>0</v>
      </c>
      <c r="AV328" s="279" t="e">
        <f t="shared" si="427"/>
        <v>#DIV/0!</v>
      </c>
      <c r="AW328" s="279" t="e">
        <f t="shared" si="427"/>
        <v>#DIV/0!</v>
      </c>
      <c r="AY328" s="279">
        <f t="shared" si="428"/>
        <v>0</v>
      </c>
      <c r="AZ328" s="279" t="e">
        <f t="shared" si="428"/>
        <v>#DIV/0!</v>
      </c>
      <c r="BB328" s="279">
        <f t="shared" si="429"/>
        <v>0</v>
      </c>
      <c r="BC328" s="279" t="e">
        <f t="shared" si="429"/>
        <v>#DIV/0!</v>
      </c>
      <c r="BE328" s="279">
        <f t="shared" si="430"/>
        <v>0</v>
      </c>
      <c r="BF328" s="279" t="e">
        <f t="shared" si="430"/>
        <v>#DIV/0!</v>
      </c>
      <c r="BH328" s="279">
        <f t="shared" si="431"/>
        <v>25</v>
      </c>
      <c r="BI328" s="279">
        <f t="shared" si="431"/>
        <v>29.761904761904763</v>
      </c>
      <c r="BK328" s="279" t="e">
        <f t="shared" si="432"/>
        <v>#DIV/0!</v>
      </c>
      <c r="BL328" s="279" t="e">
        <f t="shared" si="432"/>
        <v>#DIV/0!</v>
      </c>
      <c r="BN328" s="279" t="e">
        <f t="shared" si="433"/>
        <v>#DIV/0!</v>
      </c>
      <c r="BO328" s="279" t="e">
        <f t="shared" si="433"/>
        <v>#DIV/0!</v>
      </c>
      <c r="BQ328" s="279" t="e">
        <f t="shared" si="434"/>
        <v>#DIV/0!</v>
      </c>
      <c r="BR328" s="279" t="e">
        <f t="shared" si="434"/>
        <v>#DIV/0!</v>
      </c>
      <c r="BT328" s="279" t="e">
        <f t="shared" si="435"/>
        <v>#DIV/0!</v>
      </c>
      <c r="BU328" s="279" t="e">
        <f t="shared" si="435"/>
        <v>#DIV/0!</v>
      </c>
      <c r="BW328" s="279" t="e">
        <f t="shared" si="436"/>
        <v>#DIV/0!</v>
      </c>
      <c r="BX328" s="279" t="e">
        <f t="shared" si="436"/>
        <v>#DIV/0!</v>
      </c>
      <c r="BZ328" s="279" t="e">
        <f t="shared" si="437"/>
        <v>#DIV/0!</v>
      </c>
      <c r="CA328" s="279" t="e">
        <f t="shared" si="437"/>
        <v>#DIV/0!</v>
      </c>
      <c r="CC328" s="279" t="e">
        <f t="shared" si="438"/>
        <v>#DIV/0!</v>
      </c>
      <c r="CD328" s="279" t="e">
        <f t="shared" si="438"/>
        <v>#DIV/0!</v>
      </c>
      <c r="CF328" s="279" t="e">
        <f t="shared" si="439"/>
        <v>#DIV/0!</v>
      </c>
      <c r="CG328" s="279" t="e">
        <f t="shared" si="439"/>
        <v>#DIV/0!</v>
      </c>
      <c r="CI328" s="279" t="e">
        <f t="shared" si="440"/>
        <v>#DIV/0!</v>
      </c>
      <c r="CJ328" s="279" t="e">
        <f t="shared" si="440"/>
        <v>#DIV/0!</v>
      </c>
    </row>
    <row r="329" spans="1:88" x14ac:dyDescent="0.25">
      <c r="A329" s="95"/>
      <c r="B329" s="16" t="s">
        <v>1185</v>
      </c>
      <c r="C329" s="107"/>
      <c r="D329" s="95" t="s">
        <v>1112</v>
      </c>
      <c r="E329" s="279" t="e">
        <f t="shared" si="416"/>
        <v>#DIV/0!</v>
      </c>
      <c r="F329" s="279" t="e">
        <f t="shared" si="416"/>
        <v>#DIV/0!</v>
      </c>
      <c r="G329" s="279" t="e">
        <f t="shared" si="416"/>
        <v>#DIV/0!</v>
      </c>
      <c r="H329" s="279" t="e">
        <f t="shared" si="416"/>
        <v>#DIV/0!</v>
      </c>
      <c r="I329" s="279" t="e">
        <f t="shared" si="416"/>
        <v>#DIV/0!</v>
      </c>
      <c r="J329" s="279" t="e">
        <f t="shared" si="416"/>
        <v>#DIV/0!</v>
      </c>
      <c r="K329" s="279" t="e">
        <f t="shared" si="416"/>
        <v>#DIV/0!</v>
      </c>
      <c r="L329" s="279" t="e">
        <f t="shared" si="416"/>
        <v>#DIV/0!</v>
      </c>
      <c r="M329" s="279" t="e">
        <f t="shared" si="416"/>
        <v>#DIV/0!</v>
      </c>
      <c r="N329" s="279" t="e">
        <f t="shared" si="416"/>
        <v>#DIV/0!</v>
      </c>
      <c r="O329" s="281"/>
      <c r="P329" s="279" t="e">
        <f t="shared" si="417"/>
        <v>#DIV/0!</v>
      </c>
      <c r="Q329" s="279" t="e">
        <f t="shared" si="417"/>
        <v>#DIV/0!</v>
      </c>
      <c r="R329" s="279" t="e">
        <f t="shared" si="417"/>
        <v>#DIV/0!</v>
      </c>
      <c r="S329" s="279" t="e">
        <f>S336/S343*100</f>
        <v>#DIV/0!</v>
      </c>
      <c r="U329" s="279" t="e">
        <f t="shared" si="418"/>
        <v>#DIV/0!</v>
      </c>
      <c r="V329" s="279" t="e">
        <f t="shared" si="418"/>
        <v>#DIV/0!</v>
      </c>
      <c r="X329" s="279" t="e">
        <f t="shared" si="419"/>
        <v>#DIV/0!</v>
      </c>
      <c r="Y329" s="279" t="e">
        <f t="shared" si="419"/>
        <v>#DIV/0!</v>
      </c>
      <c r="AA329" s="279" t="e">
        <f>AA336/AA343*100</f>
        <v>#DIV/0!</v>
      </c>
      <c r="AB329" s="279" t="e">
        <f t="shared" si="420"/>
        <v>#DIV/0!</v>
      </c>
      <c r="AD329" s="279" t="e">
        <f t="shared" si="421"/>
        <v>#DIV/0!</v>
      </c>
      <c r="AE329" s="279" t="e">
        <f t="shared" si="421"/>
        <v>#DIV/0!</v>
      </c>
      <c r="AG329" s="279" t="e">
        <f t="shared" si="422"/>
        <v>#DIV/0!</v>
      </c>
      <c r="AH329" s="279" t="e">
        <f t="shared" si="422"/>
        <v>#DIV/0!</v>
      </c>
      <c r="AJ329" s="279" t="e">
        <f t="shared" si="423"/>
        <v>#DIV/0!</v>
      </c>
      <c r="AK329" s="279" t="e">
        <f t="shared" si="423"/>
        <v>#DIV/0!</v>
      </c>
      <c r="AM329" s="279" t="e">
        <f t="shared" si="424"/>
        <v>#DIV/0!</v>
      </c>
      <c r="AN329" s="279" t="e">
        <f t="shared" si="424"/>
        <v>#DIV/0!</v>
      </c>
      <c r="AP329" s="279" t="e">
        <f t="shared" si="425"/>
        <v>#DIV/0!</v>
      </c>
      <c r="AQ329" s="279" t="e">
        <f t="shared" si="425"/>
        <v>#DIV/0!</v>
      </c>
      <c r="AS329" s="279" t="e">
        <f t="shared" si="426"/>
        <v>#DIV/0!</v>
      </c>
      <c r="AT329" s="279" t="e">
        <f t="shared" si="426"/>
        <v>#DIV/0!</v>
      </c>
      <c r="AV329" s="279" t="e">
        <f t="shared" si="427"/>
        <v>#DIV/0!</v>
      </c>
      <c r="AW329" s="279" t="e">
        <f t="shared" si="427"/>
        <v>#DIV/0!</v>
      </c>
      <c r="AY329" s="279" t="e">
        <f t="shared" si="428"/>
        <v>#DIV/0!</v>
      </c>
      <c r="AZ329" s="279" t="e">
        <f t="shared" si="428"/>
        <v>#DIV/0!</v>
      </c>
      <c r="BB329" s="279" t="e">
        <f t="shared" si="429"/>
        <v>#DIV/0!</v>
      </c>
      <c r="BC329" s="279" t="e">
        <f t="shared" si="429"/>
        <v>#DIV/0!</v>
      </c>
      <c r="BE329" s="279" t="e">
        <f t="shared" si="430"/>
        <v>#DIV/0!</v>
      </c>
      <c r="BF329" s="279" t="e">
        <f t="shared" si="430"/>
        <v>#DIV/0!</v>
      </c>
      <c r="BH329" s="279" t="e">
        <f t="shared" si="431"/>
        <v>#DIV/0!</v>
      </c>
      <c r="BI329" s="279" t="e">
        <f t="shared" si="431"/>
        <v>#DIV/0!</v>
      </c>
      <c r="BK329" s="279" t="e">
        <f t="shared" si="432"/>
        <v>#DIV/0!</v>
      </c>
      <c r="BL329" s="279" t="e">
        <f t="shared" si="432"/>
        <v>#DIV/0!</v>
      </c>
      <c r="BN329" s="279" t="e">
        <f t="shared" si="433"/>
        <v>#DIV/0!</v>
      </c>
      <c r="BO329" s="279" t="e">
        <f t="shared" si="433"/>
        <v>#DIV/0!</v>
      </c>
      <c r="BQ329" s="279" t="e">
        <f t="shared" si="434"/>
        <v>#DIV/0!</v>
      </c>
      <c r="BR329" s="279" t="e">
        <f t="shared" si="434"/>
        <v>#DIV/0!</v>
      </c>
      <c r="BT329" s="279" t="e">
        <f t="shared" si="435"/>
        <v>#DIV/0!</v>
      </c>
      <c r="BU329" s="279" t="e">
        <f t="shared" si="435"/>
        <v>#DIV/0!</v>
      </c>
      <c r="BW329" s="279" t="e">
        <f t="shared" si="436"/>
        <v>#DIV/0!</v>
      </c>
      <c r="BX329" s="279" t="e">
        <f t="shared" si="436"/>
        <v>#DIV/0!</v>
      </c>
      <c r="BZ329" s="279" t="e">
        <f t="shared" si="437"/>
        <v>#DIV/0!</v>
      </c>
      <c r="CA329" s="279" t="e">
        <f t="shared" si="437"/>
        <v>#DIV/0!</v>
      </c>
      <c r="CC329" s="279" t="e">
        <f t="shared" si="438"/>
        <v>#DIV/0!</v>
      </c>
      <c r="CD329" s="279" t="e">
        <f t="shared" si="438"/>
        <v>#DIV/0!</v>
      </c>
      <c r="CF329" s="279" t="e">
        <f t="shared" si="439"/>
        <v>#DIV/0!</v>
      </c>
      <c r="CG329" s="279" t="e">
        <f t="shared" si="439"/>
        <v>#DIV/0!</v>
      </c>
      <c r="CI329" s="279" t="e">
        <f t="shared" si="440"/>
        <v>#DIV/0!</v>
      </c>
      <c r="CJ329" s="279" t="e">
        <f t="shared" si="440"/>
        <v>#DIV/0!</v>
      </c>
    </row>
    <row r="330" spans="1:88" ht="45" x14ac:dyDescent="0.25">
      <c r="A330" s="107"/>
      <c r="B330" s="16" t="s">
        <v>74</v>
      </c>
      <c r="C330" s="95" t="s">
        <v>1809</v>
      </c>
      <c r="D330" s="95"/>
      <c r="E330" s="282">
        <f t="shared" ref="E330:I330" si="441">E331+E334</f>
        <v>646</v>
      </c>
      <c r="F330" s="282">
        <f t="shared" si="441"/>
        <v>821</v>
      </c>
      <c r="G330" s="282">
        <f t="shared" si="441"/>
        <v>1074</v>
      </c>
      <c r="H330" s="282">
        <f t="shared" si="441"/>
        <v>1352</v>
      </c>
      <c r="I330" s="282">
        <f t="shared" si="441"/>
        <v>1594</v>
      </c>
      <c r="J330" s="282">
        <f>J331+J334</f>
        <v>1752</v>
      </c>
      <c r="K330" s="282">
        <f>K331+K334</f>
        <v>2178</v>
      </c>
      <c r="L330" s="282">
        <f t="shared" ref="L330:N330" si="442">L331+L334</f>
        <v>1</v>
      </c>
      <c r="M330" s="282">
        <f t="shared" si="442"/>
        <v>190</v>
      </c>
      <c r="N330" s="282">
        <f t="shared" si="442"/>
        <v>188</v>
      </c>
      <c r="O330" s="267" t="s">
        <v>1404</v>
      </c>
      <c r="P330" s="282">
        <f t="shared" ref="P330:S330" si="443">P331+P334</f>
        <v>2191</v>
      </c>
      <c r="Q330" s="282">
        <f>Q331+Q334</f>
        <v>2441</v>
      </c>
      <c r="R330" s="282">
        <f t="shared" si="443"/>
        <v>3</v>
      </c>
      <c r="S330" s="282">
        <f t="shared" si="443"/>
        <v>5</v>
      </c>
      <c r="T330" s="286"/>
      <c r="U330" s="282">
        <f t="shared" ref="U330:V330" si="444">U331+U334</f>
        <v>64</v>
      </c>
      <c r="V330" s="282">
        <f t="shared" si="444"/>
        <v>73</v>
      </c>
      <c r="W330" s="286"/>
      <c r="X330" s="282">
        <f t="shared" ref="X330:Y330" si="445">X331+X334</f>
        <v>77</v>
      </c>
      <c r="Y330" s="282">
        <f t="shared" si="445"/>
        <v>100</v>
      </c>
      <c r="Z330" s="286"/>
      <c r="AA330" s="282">
        <f t="shared" ref="AA330:AB330" si="446">AA331+AA334</f>
        <v>80</v>
      </c>
      <c r="AB330" s="282">
        <f t="shared" si="446"/>
        <v>121</v>
      </c>
      <c r="AC330" s="286"/>
      <c r="AD330" s="282">
        <f t="shared" ref="AD330:AE330" si="447">AD331+AD334</f>
        <v>17</v>
      </c>
      <c r="AE330" s="282">
        <f t="shared" si="447"/>
        <v>17</v>
      </c>
      <c r="AF330" s="286"/>
      <c r="AG330" s="282">
        <f t="shared" ref="AG330:AH330" si="448">AG331+AG334</f>
        <v>1</v>
      </c>
      <c r="AH330" s="282">
        <f t="shared" si="448"/>
        <v>1</v>
      </c>
      <c r="AI330" s="286"/>
      <c r="AJ330" s="282">
        <f t="shared" ref="AJ330:AK330" si="449">AJ331+AJ334</f>
        <v>43</v>
      </c>
      <c r="AK330" s="282">
        <f t="shared" si="449"/>
        <v>48</v>
      </c>
      <c r="AL330" s="286"/>
      <c r="AM330" s="282">
        <f t="shared" ref="AM330:AN330" si="450">AM331+AM334</f>
        <v>101</v>
      </c>
      <c r="AN330" s="282">
        <f t="shared" si="450"/>
        <v>133</v>
      </c>
      <c r="AO330" s="286"/>
      <c r="AP330" s="282">
        <f t="shared" ref="AP330:AQ330" si="451">AP331+AP334</f>
        <v>2</v>
      </c>
      <c r="AQ330" s="282">
        <f t="shared" si="451"/>
        <v>4</v>
      </c>
      <c r="AR330" s="286"/>
      <c r="AS330" s="282">
        <f t="shared" ref="AS330:AT330" si="452">AS331+AS334</f>
        <v>43</v>
      </c>
      <c r="AT330" s="282">
        <f t="shared" si="452"/>
        <v>62</v>
      </c>
      <c r="AU330" s="286"/>
      <c r="AV330" s="282">
        <f t="shared" ref="AV330:AW330" si="453">AV331+AV334</f>
        <v>34</v>
      </c>
      <c r="AW330" s="282">
        <f t="shared" si="453"/>
        <v>16</v>
      </c>
      <c r="AX330" s="286"/>
      <c r="AY330" s="282">
        <f t="shared" ref="AY330:AZ330" si="454">AY331+AY334</f>
        <v>77</v>
      </c>
      <c r="AZ330" s="282">
        <f t="shared" si="454"/>
        <v>29</v>
      </c>
      <c r="BA330" s="286"/>
      <c r="BB330" s="282">
        <f t="shared" ref="BB330:BC330" si="455">BB331+BB334</f>
        <v>135</v>
      </c>
      <c r="BC330" s="282">
        <f t="shared" si="455"/>
        <v>145</v>
      </c>
      <c r="BD330" s="286"/>
      <c r="BE330" s="282">
        <f t="shared" ref="BE330:BF330" si="456">BE331+BE334</f>
        <v>438</v>
      </c>
      <c r="BF330" s="282">
        <f t="shared" si="456"/>
        <v>479</v>
      </c>
      <c r="BG330" s="286"/>
      <c r="BH330" s="282">
        <f t="shared" ref="BH330:BI330" si="457">BH331+BH334</f>
        <v>777</v>
      </c>
      <c r="BI330" s="282">
        <f t="shared" si="457"/>
        <v>895</v>
      </c>
      <c r="BJ330" s="286"/>
      <c r="BK330" s="282">
        <f t="shared" ref="BK330:BL330" si="458">BK331+BK334</f>
        <v>49</v>
      </c>
      <c r="BL330" s="282">
        <f t="shared" si="458"/>
        <v>62</v>
      </c>
      <c r="BM330" s="286"/>
      <c r="BN330" s="282">
        <f t="shared" ref="BN330:BO330" si="459">BN331+BN334</f>
        <v>39</v>
      </c>
      <c r="BO330" s="282">
        <f t="shared" si="459"/>
        <v>50</v>
      </c>
      <c r="BP330" s="286"/>
      <c r="BQ330" s="282">
        <f t="shared" ref="BQ330:BR330" si="460">BQ331+BQ334</f>
        <v>101</v>
      </c>
      <c r="BR330" s="282">
        <f t="shared" si="460"/>
        <v>98</v>
      </c>
      <c r="BS330" s="286"/>
      <c r="BT330" s="282">
        <f t="shared" ref="BT330:BU330" si="461">BT331+BT334</f>
        <v>26</v>
      </c>
      <c r="BU330" s="282">
        <f t="shared" si="461"/>
        <v>26</v>
      </c>
      <c r="BV330" s="286"/>
      <c r="BW330" s="282">
        <f t="shared" ref="BW330:BX330" si="462">BW331+BW334</f>
        <v>22</v>
      </c>
      <c r="BX330" s="282">
        <f t="shared" si="462"/>
        <v>22</v>
      </c>
      <c r="BY330" s="286"/>
      <c r="BZ330" s="282">
        <f t="shared" ref="BZ330:CA330" si="463">BZ331+BZ334</f>
        <v>62</v>
      </c>
      <c r="CA330" s="282">
        <f t="shared" si="463"/>
        <v>55</v>
      </c>
      <c r="CB330" s="286"/>
      <c r="CC330" s="282">
        <f t="shared" ref="CC330:CD330" si="464">CC331+CC334</f>
        <v>0</v>
      </c>
      <c r="CD330" s="282">
        <f t="shared" si="464"/>
        <v>0</v>
      </c>
      <c r="CE330" s="286"/>
      <c r="CF330" s="282">
        <f t="shared" ref="CF330:CG330" si="465">CF331+CF334</f>
        <v>0</v>
      </c>
      <c r="CG330" s="282">
        <f t="shared" si="465"/>
        <v>0</v>
      </c>
      <c r="CH330" s="286"/>
      <c r="CI330" s="282">
        <f t="shared" ref="CI330:CJ330" si="466">CI331+CI334</f>
        <v>0</v>
      </c>
      <c r="CJ330" s="282">
        <f t="shared" si="466"/>
        <v>0</v>
      </c>
    </row>
    <row r="331" spans="1:88" x14ac:dyDescent="0.25">
      <c r="A331" s="107"/>
      <c r="B331" s="16" t="s">
        <v>1182</v>
      </c>
      <c r="C331" s="95"/>
      <c r="D331" s="95" t="s">
        <v>1112</v>
      </c>
      <c r="E331" s="282">
        <f t="shared" ref="E331:Y331" si="467">E332+E333</f>
        <v>646</v>
      </c>
      <c r="F331" s="282">
        <f t="shared" si="467"/>
        <v>821</v>
      </c>
      <c r="G331" s="282">
        <f t="shared" si="467"/>
        <v>1072</v>
      </c>
      <c r="H331" s="282">
        <f t="shared" si="467"/>
        <v>1352</v>
      </c>
      <c r="I331" s="103">
        <f t="shared" si="467"/>
        <v>1569</v>
      </c>
      <c r="J331" s="103">
        <f t="shared" si="467"/>
        <v>1727</v>
      </c>
      <c r="K331" s="103">
        <f>K332+K333</f>
        <v>2153</v>
      </c>
      <c r="L331" s="103">
        <f t="shared" ref="L331:N331" si="468">L332+L333</f>
        <v>1</v>
      </c>
      <c r="M331" s="103">
        <f t="shared" si="468"/>
        <v>189</v>
      </c>
      <c r="N331" s="103">
        <f t="shared" si="468"/>
        <v>187</v>
      </c>
      <c r="O331" s="365"/>
      <c r="P331" s="103">
        <f>P332+P333</f>
        <v>2166</v>
      </c>
      <c r="Q331" s="103">
        <f t="shared" si="467"/>
        <v>2416</v>
      </c>
      <c r="R331" s="103">
        <f t="shared" si="467"/>
        <v>3</v>
      </c>
      <c r="S331" s="103">
        <f t="shared" si="467"/>
        <v>5</v>
      </c>
      <c r="T331" s="286"/>
      <c r="U331" s="103">
        <f t="shared" si="467"/>
        <v>64</v>
      </c>
      <c r="V331" s="103">
        <f t="shared" si="467"/>
        <v>73</v>
      </c>
      <c r="W331" s="286"/>
      <c r="X331" s="103">
        <f t="shared" si="467"/>
        <v>77</v>
      </c>
      <c r="Y331" s="103">
        <f t="shared" si="467"/>
        <v>100</v>
      </c>
      <c r="Z331" s="286"/>
      <c r="AA331" s="103">
        <f>AA332+AA333</f>
        <v>80</v>
      </c>
      <c r="AB331" s="103">
        <f>AB332+AB333</f>
        <v>121</v>
      </c>
      <c r="AC331" s="286"/>
      <c r="AD331" s="103">
        <f>AD332+AD333</f>
        <v>17</v>
      </c>
      <c r="AE331" s="103">
        <f>AE332+AE333</f>
        <v>17</v>
      </c>
      <c r="AF331" s="286"/>
      <c r="AG331" s="103">
        <f>AG332+AG333</f>
        <v>1</v>
      </c>
      <c r="AH331" s="103">
        <f>AH332+AH333</f>
        <v>1</v>
      </c>
      <c r="AI331" s="286"/>
      <c r="AJ331" s="103">
        <f>AJ332+AJ333</f>
        <v>43</v>
      </c>
      <c r="AK331" s="103">
        <f>AK332+AK333</f>
        <v>48</v>
      </c>
      <c r="AL331" s="286"/>
      <c r="AM331" s="103">
        <f>AM332+AM333</f>
        <v>101</v>
      </c>
      <c r="AN331" s="103">
        <f>AN332+AN333</f>
        <v>133</v>
      </c>
      <c r="AO331" s="286"/>
      <c r="AP331" s="103">
        <f>AP332+AP333</f>
        <v>2</v>
      </c>
      <c r="AQ331" s="103">
        <f>AQ332+AQ333</f>
        <v>4</v>
      </c>
      <c r="AR331" s="286"/>
      <c r="AS331" s="103">
        <f>AS332+AS333</f>
        <v>43</v>
      </c>
      <c r="AT331" s="103">
        <f>AT332+AT333</f>
        <v>62</v>
      </c>
      <c r="AU331" s="286"/>
      <c r="AV331" s="103">
        <f>AV332+AV333</f>
        <v>34</v>
      </c>
      <c r="AW331" s="103">
        <f>AW332+AW333</f>
        <v>16</v>
      </c>
      <c r="AX331" s="286"/>
      <c r="AY331" s="103">
        <f>AY332+AY333</f>
        <v>77</v>
      </c>
      <c r="AZ331" s="103">
        <f>AZ332+AZ333</f>
        <v>29</v>
      </c>
      <c r="BA331" s="286"/>
      <c r="BB331" s="103">
        <f>BB332+BB333</f>
        <v>135</v>
      </c>
      <c r="BC331" s="103">
        <f>BC332+BC333</f>
        <v>145</v>
      </c>
      <c r="BD331" s="286"/>
      <c r="BE331" s="103">
        <f>BE332+BE333</f>
        <v>438</v>
      </c>
      <c r="BF331" s="103">
        <f>BF332+BF333</f>
        <v>479</v>
      </c>
      <c r="BG331" s="286"/>
      <c r="BH331" s="103">
        <f>BH332+BH333</f>
        <v>752</v>
      </c>
      <c r="BI331" s="103">
        <f>BI332+BI333</f>
        <v>870</v>
      </c>
      <c r="BJ331" s="286"/>
      <c r="BK331" s="103">
        <f>BK332+BK333</f>
        <v>49</v>
      </c>
      <c r="BL331" s="103">
        <f>BL332+BL333</f>
        <v>62</v>
      </c>
      <c r="BM331" s="286"/>
      <c r="BN331" s="103">
        <f>BN332+BN333</f>
        <v>39</v>
      </c>
      <c r="BO331" s="103">
        <f>BO332+BO333</f>
        <v>50</v>
      </c>
      <c r="BP331" s="286"/>
      <c r="BQ331" s="103">
        <f>BQ332+BQ333</f>
        <v>101</v>
      </c>
      <c r="BR331" s="103">
        <f>BR332+BR333</f>
        <v>98</v>
      </c>
      <c r="BS331" s="286"/>
      <c r="BT331" s="103">
        <f>BT332+BT333</f>
        <v>26</v>
      </c>
      <c r="BU331" s="103">
        <f>BU332+BU333</f>
        <v>26</v>
      </c>
      <c r="BV331" s="286"/>
      <c r="BW331" s="103">
        <f>BW332+BW333</f>
        <v>22</v>
      </c>
      <c r="BX331" s="103">
        <f>BX332+BX333</f>
        <v>22</v>
      </c>
      <c r="BY331" s="286"/>
      <c r="BZ331" s="103">
        <f>BZ332+BZ333</f>
        <v>62</v>
      </c>
      <c r="CA331" s="103">
        <f>CA332+CA333</f>
        <v>55</v>
      </c>
      <c r="CB331" s="286"/>
      <c r="CC331" s="103">
        <f>CC332+CC333</f>
        <v>0</v>
      </c>
      <c r="CD331" s="103">
        <f>CD332+CD333</f>
        <v>0</v>
      </c>
      <c r="CE331" s="286"/>
      <c r="CF331" s="103">
        <f>CF332+CF333</f>
        <v>0</v>
      </c>
      <c r="CG331" s="103">
        <f>CG332+CG333</f>
        <v>0</v>
      </c>
      <c r="CH331" s="286"/>
      <c r="CI331" s="103">
        <f>CI332+CI333</f>
        <v>0</v>
      </c>
      <c r="CJ331" s="103">
        <f>CJ332+CJ333</f>
        <v>0</v>
      </c>
    </row>
    <row r="332" spans="1:88" x14ac:dyDescent="0.25">
      <c r="A332" s="107"/>
      <c r="B332" s="16" t="s">
        <v>1183</v>
      </c>
      <c r="C332" s="95"/>
      <c r="D332" s="95" t="s">
        <v>1112</v>
      </c>
      <c r="E332" s="282">
        <v>620</v>
      </c>
      <c r="F332" s="282">
        <v>801</v>
      </c>
      <c r="G332" s="282">
        <v>1022</v>
      </c>
      <c r="H332" s="282">
        <v>1290</v>
      </c>
      <c r="I332" s="103">
        <f>1517-25</f>
        <v>1492</v>
      </c>
      <c r="J332" s="103">
        <v>1663</v>
      </c>
      <c r="K332" s="103">
        <v>2054</v>
      </c>
      <c r="L332" s="103">
        <v>0</v>
      </c>
      <c r="M332" s="103">
        <v>117</v>
      </c>
      <c r="N332" s="103">
        <v>111</v>
      </c>
      <c r="O332" s="283"/>
      <c r="P332" s="286">
        <f>R332+U332+X332+AA332+AD332+AG332+AJ332+AM332+AP332+AS332+AV332+AY332+BB332+BE332+BH332+BK332+BN332+BQ332+BT332+BW332+BZ332+CC332+CF332+CI332</f>
        <v>2054</v>
      </c>
      <c r="Q332" s="286">
        <f>S332+V332+Y332+AB332+AE332+AH332+AK332+AN332+AQ332+AT332+AW332+AZ332+BC332+BF332+BI332+BL332+BO332+BR332+BU332+BX332+CA332+CD332+CG332+CJ332</f>
        <v>2275</v>
      </c>
      <c r="R332" s="286">
        <v>3</v>
      </c>
      <c r="S332" s="286">
        <v>5</v>
      </c>
      <c r="T332" s="286"/>
      <c r="U332" s="286">
        <v>39</v>
      </c>
      <c r="V332" s="286">
        <v>38</v>
      </c>
      <c r="W332" s="286"/>
      <c r="X332" s="286">
        <v>66</v>
      </c>
      <c r="Y332" s="286">
        <v>85</v>
      </c>
      <c r="Z332" s="286"/>
      <c r="AA332" s="286">
        <v>49</v>
      </c>
      <c r="AB332" s="286">
        <v>70</v>
      </c>
      <c r="AC332" s="286"/>
      <c r="AD332" s="286">
        <v>13</v>
      </c>
      <c r="AE332" s="286">
        <v>13</v>
      </c>
      <c r="AF332" s="286"/>
      <c r="AG332" s="286">
        <v>0</v>
      </c>
      <c r="AH332" s="286">
        <v>0</v>
      </c>
      <c r="AI332" s="286"/>
      <c r="AJ332" s="286">
        <v>41</v>
      </c>
      <c r="AK332" s="286">
        <v>46</v>
      </c>
      <c r="AL332" s="286"/>
      <c r="AM332" s="286">
        <v>65</v>
      </c>
      <c r="AN332" s="286">
        <v>104</v>
      </c>
      <c r="AO332" s="286"/>
      <c r="AP332" s="286">
        <v>0</v>
      </c>
      <c r="AQ332" s="286">
        <v>0</v>
      </c>
      <c r="AR332" s="286"/>
      <c r="AS332" s="286">
        <v>43</v>
      </c>
      <c r="AT332" s="286">
        <v>62</v>
      </c>
      <c r="AU332" s="286"/>
      <c r="AV332" s="286">
        <v>34</v>
      </c>
      <c r="AW332" s="286">
        <v>16</v>
      </c>
      <c r="AX332" s="286"/>
      <c r="AY332" s="286">
        <v>77</v>
      </c>
      <c r="AZ332" s="286">
        <v>29</v>
      </c>
      <c r="BA332" s="286"/>
      <c r="BB332" s="286">
        <v>135</v>
      </c>
      <c r="BC332" s="286">
        <v>145</v>
      </c>
      <c r="BD332" s="286"/>
      <c r="BE332" s="286">
        <v>438</v>
      </c>
      <c r="BF332" s="286">
        <v>479</v>
      </c>
      <c r="BG332" s="286"/>
      <c r="BH332" s="286">
        <v>752</v>
      </c>
      <c r="BI332" s="286">
        <v>870</v>
      </c>
      <c r="BJ332" s="286"/>
      <c r="BK332" s="286">
        <v>49</v>
      </c>
      <c r="BL332" s="286">
        <v>62</v>
      </c>
      <c r="BM332" s="286"/>
      <c r="BN332" s="286">
        <v>39</v>
      </c>
      <c r="BO332" s="286">
        <v>50</v>
      </c>
      <c r="BP332" s="286"/>
      <c r="BQ332" s="286">
        <v>101</v>
      </c>
      <c r="BR332" s="286">
        <v>98</v>
      </c>
      <c r="BS332" s="286"/>
      <c r="BT332" s="286">
        <v>26</v>
      </c>
      <c r="BU332" s="286">
        <v>26</v>
      </c>
      <c r="BV332" s="286"/>
      <c r="BW332" s="286">
        <v>22</v>
      </c>
      <c r="BX332" s="286">
        <v>22</v>
      </c>
      <c r="BY332" s="286"/>
      <c r="BZ332" s="286">
        <v>62</v>
      </c>
      <c r="CA332" s="286">
        <v>55</v>
      </c>
      <c r="CB332" s="286"/>
      <c r="CC332" s="286">
        <v>0</v>
      </c>
      <c r="CD332" s="286">
        <v>0</v>
      </c>
      <c r="CE332" s="286"/>
      <c r="CF332" s="286">
        <v>0</v>
      </c>
      <c r="CG332" s="286"/>
      <c r="CH332" s="286"/>
      <c r="CI332" s="286">
        <v>0</v>
      </c>
      <c r="CJ332" s="286">
        <v>0</v>
      </c>
    </row>
    <row r="333" spans="1:88" x14ac:dyDescent="0.25">
      <c r="A333" s="107"/>
      <c r="B333" s="16" t="s">
        <v>1185</v>
      </c>
      <c r="C333" s="95"/>
      <c r="D333" s="95" t="s">
        <v>1112</v>
      </c>
      <c r="E333" s="282">
        <v>26</v>
      </c>
      <c r="F333" s="282">
        <v>20</v>
      </c>
      <c r="G333" s="282">
        <v>50</v>
      </c>
      <c r="H333" s="282">
        <v>62</v>
      </c>
      <c r="I333" s="103">
        <v>77</v>
      </c>
      <c r="J333" s="103">
        <v>64</v>
      </c>
      <c r="K333" s="103">
        <v>99</v>
      </c>
      <c r="L333" s="103">
        <v>1</v>
      </c>
      <c r="M333" s="103">
        <v>72</v>
      </c>
      <c r="N333" s="103">
        <v>76</v>
      </c>
      <c r="P333" s="286">
        <f>R333+U333+X333+AA333+AD333+AG333+AJ333+AM333+AP333+AS333+AV333+AY333+BB333+BE333+BH333+BK333+BN333+BQ333+BT333+BW333+BZ333+CC333+CF333+CI333</f>
        <v>112</v>
      </c>
      <c r="Q333" s="286">
        <f>S333+V333+Y333+AB333+AE333+AH333+AK333+AN333+AQ333+AT333+AW333+AZ333+BC333+BF333+BI333+BL333+BO333+BR333+BU333+BX333+CA333+CD333+CG333+CJ333</f>
        <v>141</v>
      </c>
      <c r="R333" s="286">
        <v>0</v>
      </c>
      <c r="S333" s="286">
        <v>0</v>
      </c>
      <c r="T333" s="286"/>
      <c r="U333" s="286">
        <v>25</v>
      </c>
      <c r="V333" s="286">
        <v>35</v>
      </c>
      <c r="W333" s="286"/>
      <c r="X333" s="286">
        <v>11</v>
      </c>
      <c r="Y333" s="286">
        <v>15</v>
      </c>
      <c r="Z333" s="286"/>
      <c r="AA333" s="286">
        <v>31</v>
      </c>
      <c r="AB333" s="286">
        <v>51</v>
      </c>
      <c r="AC333" s="286"/>
      <c r="AD333" s="286">
        <v>4</v>
      </c>
      <c r="AE333" s="286">
        <v>4</v>
      </c>
      <c r="AF333" s="286"/>
      <c r="AG333" s="286">
        <v>1</v>
      </c>
      <c r="AH333" s="286">
        <v>1</v>
      </c>
      <c r="AI333" s="286"/>
      <c r="AJ333" s="286">
        <v>2</v>
      </c>
      <c r="AK333" s="286">
        <v>2</v>
      </c>
      <c r="AL333" s="286"/>
      <c r="AM333" s="286">
        <v>36</v>
      </c>
      <c r="AN333" s="286">
        <v>29</v>
      </c>
      <c r="AO333" s="286"/>
      <c r="AP333" s="286">
        <v>2</v>
      </c>
      <c r="AQ333" s="286">
        <v>4</v>
      </c>
      <c r="AR333" s="286"/>
      <c r="AS333" s="286">
        <v>0</v>
      </c>
      <c r="AT333" s="286">
        <v>0</v>
      </c>
      <c r="AU333" s="286"/>
      <c r="AV333" s="286">
        <v>0</v>
      </c>
      <c r="AW333" s="286">
        <v>0</v>
      </c>
      <c r="AX333" s="286"/>
      <c r="AY333" s="286">
        <v>0</v>
      </c>
      <c r="AZ333" s="286">
        <v>0</v>
      </c>
      <c r="BA333" s="286"/>
      <c r="BB333" s="286">
        <v>0</v>
      </c>
      <c r="BC333" s="286">
        <v>0</v>
      </c>
      <c r="BD333" s="286"/>
      <c r="BE333" s="286">
        <v>0</v>
      </c>
      <c r="BF333" s="286">
        <v>0</v>
      </c>
      <c r="BG333" s="286"/>
      <c r="BH333" s="286">
        <v>0</v>
      </c>
      <c r="BI333" s="286">
        <v>0</v>
      </c>
      <c r="BJ333" s="286"/>
      <c r="BK333" s="286">
        <v>0</v>
      </c>
      <c r="BL333" s="286">
        <v>0</v>
      </c>
      <c r="BM333" s="286"/>
      <c r="BN333" s="286">
        <v>0</v>
      </c>
      <c r="BO333" s="286">
        <v>0</v>
      </c>
      <c r="BP333" s="286"/>
      <c r="BQ333" s="286">
        <v>0</v>
      </c>
      <c r="BR333" s="286">
        <v>0</v>
      </c>
      <c r="BS333" s="286"/>
      <c r="BT333" s="286">
        <v>0</v>
      </c>
      <c r="BU333" s="286">
        <v>0</v>
      </c>
      <c r="BV333" s="286"/>
      <c r="BW333" s="286">
        <v>0</v>
      </c>
      <c r="BX333" s="286">
        <v>0</v>
      </c>
      <c r="BY333" s="286"/>
      <c r="BZ333" s="286">
        <v>0</v>
      </c>
      <c r="CA333" s="286">
        <v>0</v>
      </c>
      <c r="CB333" s="286"/>
      <c r="CC333" s="286">
        <v>0</v>
      </c>
      <c r="CD333" s="286">
        <v>0</v>
      </c>
      <c r="CE333" s="286"/>
      <c r="CF333" s="286">
        <v>0</v>
      </c>
      <c r="CG333" s="286"/>
      <c r="CH333" s="286"/>
      <c r="CI333" s="286">
        <v>0</v>
      </c>
      <c r="CJ333" s="286">
        <v>0</v>
      </c>
    </row>
    <row r="334" spans="1:88" x14ac:dyDescent="0.25">
      <c r="A334" s="107"/>
      <c r="B334" s="16" t="s">
        <v>1184</v>
      </c>
      <c r="C334" s="95"/>
      <c r="D334" s="95" t="s">
        <v>950</v>
      </c>
      <c r="E334" s="282">
        <f t="shared" ref="E334:Y334" si="469">E335+E336</f>
        <v>0</v>
      </c>
      <c r="F334" s="282">
        <f t="shared" si="469"/>
        <v>0</v>
      </c>
      <c r="G334" s="282">
        <f t="shared" si="469"/>
        <v>2</v>
      </c>
      <c r="H334" s="282">
        <f t="shared" si="469"/>
        <v>0</v>
      </c>
      <c r="I334" s="103">
        <f t="shared" si="469"/>
        <v>25</v>
      </c>
      <c r="J334" s="103">
        <f t="shared" si="469"/>
        <v>25</v>
      </c>
      <c r="K334" s="103">
        <f>K335+K336</f>
        <v>25</v>
      </c>
      <c r="L334" s="103">
        <f t="shared" ref="L334:N334" si="470">L335+L336</f>
        <v>0</v>
      </c>
      <c r="M334" s="103">
        <f t="shared" si="470"/>
        <v>1</v>
      </c>
      <c r="N334" s="103">
        <f t="shared" si="470"/>
        <v>1</v>
      </c>
      <c r="P334" s="103">
        <f>P335+P336</f>
        <v>25</v>
      </c>
      <c r="Q334" s="103">
        <f t="shared" ref="Q334" si="471">Q335+Q336</f>
        <v>25</v>
      </c>
      <c r="R334" s="103">
        <f t="shared" si="469"/>
        <v>0</v>
      </c>
      <c r="S334" s="103">
        <f t="shared" si="469"/>
        <v>0</v>
      </c>
      <c r="T334" s="286"/>
      <c r="U334" s="103">
        <f t="shared" si="469"/>
        <v>0</v>
      </c>
      <c r="V334" s="103">
        <f t="shared" si="469"/>
        <v>0</v>
      </c>
      <c r="W334" s="286"/>
      <c r="X334" s="103">
        <f t="shared" si="469"/>
        <v>0</v>
      </c>
      <c r="Y334" s="103">
        <f t="shared" si="469"/>
        <v>0</v>
      </c>
      <c r="Z334" s="286"/>
      <c r="AA334" s="103">
        <f>AA335+AA336</f>
        <v>0</v>
      </c>
      <c r="AB334" s="103">
        <f>AB335+AB336</f>
        <v>0</v>
      </c>
      <c r="AC334" s="286"/>
      <c r="AD334" s="103">
        <f>AD335+AD336</f>
        <v>0</v>
      </c>
      <c r="AE334" s="103">
        <f>AE335+AE336</f>
        <v>0</v>
      </c>
      <c r="AF334" s="286"/>
      <c r="AG334" s="103">
        <f>AG335+AG336</f>
        <v>0</v>
      </c>
      <c r="AH334" s="103">
        <f>AH335+AH336</f>
        <v>0</v>
      </c>
      <c r="AI334" s="286"/>
      <c r="AJ334" s="103">
        <f>AJ335+AJ336</f>
        <v>0</v>
      </c>
      <c r="AK334" s="103">
        <f>AK335+AK336</f>
        <v>0</v>
      </c>
      <c r="AL334" s="286"/>
      <c r="AM334" s="103">
        <f>AM335+AM336</f>
        <v>0</v>
      </c>
      <c r="AN334" s="103">
        <f>AN335+AN336</f>
        <v>0</v>
      </c>
      <c r="AO334" s="286"/>
      <c r="AP334" s="103">
        <f>AP335+AP336</f>
        <v>0</v>
      </c>
      <c r="AQ334" s="103">
        <f>AQ335+AQ336</f>
        <v>0</v>
      </c>
      <c r="AR334" s="286"/>
      <c r="AS334" s="103">
        <f>AS335+AS336</f>
        <v>0</v>
      </c>
      <c r="AT334" s="103">
        <f>AT335+AT336</f>
        <v>0</v>
      </c>
      <c r="AU334" s="286"/>
      <c r="AV334" s="103">
        <f>AV335+AV336</f>
        <v>0</v>
      </c>
      <c r="AW334" s="103">
        <f>AW335+AW336</f>
        <v>0</v>
      </c>
      <c r="AX334" s="286"/>
      <c r="AY334" s="103">
        <f>AY335+AY336</f>
        <v>0</v>
      </c>
      <c r="AZ334" s="103">
        <f>AZ335+AZ336</f>
        <v>0</v>
      </c>
      <c r="BA334" s="286"/>
      <c r="BB334" s="103">
        <f>BB335+BB336</f>
        <v>0</v>
      </c>
      <c r="BC334" s="103">
        <f>BC335+BC336</f>
        <v>0</v>
      </c>
      <c r="BD334" s="286"/>
      <c r="BE334" s="103">
        <f>BE335+BE336</f>
        <v>0</v>
      </c>
      <c r="BF334" s="103">
        <f>BF335+BF336</f>
        <v>0</v>
      </c>
      <c r="BG334" s="286"/>
      <c r="BH334" s="103">
        <f>BH335+BH336</f>
        <v>25</v>
      </c>
      <c r="BI334" s="103">
        <f>BI335+BI336</f>
        <v>25</v>
      </c>
      <c r="BJ334" s="286"/>
      <c r="BK334" s="103">
        <f>BK335+BK336</f>
        <v>0</v>
      </c>
      <c r="BL334" s="103">
        <f>BL335+BL336</f>
        <v>0</v>
      </c>
      <c r="BM334" s="286"/>
      <c r="BN334" s="103">
        <f>BN335+BN336</f>
        <v>0</v>
      </c>
      <c r="BO334" s="103">
        <f>BO335+BO336</f>
        <v>0</v>
      </c>
      <c r="BP334" s="286"/>
      <c r="BQ334" s="103">
        <f>BQ335+BQ336</f>
        <v>0</v>
      </c>
      <c r="BR334" s="103">
        <f>BR335+BR336</f>
        <v>0</v>
      </c>
      <c r="BS334" s="286"/>
      <c r="BT334" s="103">
        <f>BT335+BT336</f>
        <v>0</v>
      </c>
      <c r="BU334" s="103">
        <f>BU335+BU336</f>
        <v>0</v>
      </c>
      <c r="BV334" s="286"/>
      <c r="BW334" s="103">
        <f>BW335+BW336</f>
        <v>0</v>
      </c>
      <c r="BX334" s="103">
        <f>BX335+BX336</f>
        <v>0</v>
      </c>
      <c r="BY334" s="286"/>
      <c r="BZ334" s="103">
        <f>BZ335+BZ336</f>
        <v>0</v>
      </c>
      <c r="CA334" s="103">
        <f>CA335+CA336</f>
        <v>0</v>
      </c>
      <c r="CB334" s="286"/>
      <c r="CC334" s="103">
        <f>CC335+CC336</f>
        <v>0</v>
      </c>
      <c r="CD334" s="103">
        <f>CD335+CD336</f>
        <v>0</v>
      </c>
      <c r="CE334" s="286"/>
      <c r="CF334" s="103">
        <f>CF335+CF336</f>
        <v>0</v>
      </c>
      <c r="CG334" s="103">
        <f>CG335+CG336</f>
        <v>0</v>
      </c>
      <c r="CH334" s="286"/>
      <c r="CI334" s="103">
        <f>CI335+CI336</f>
        <v>0</v>
      </c>
      <c r="CJ334" s="103">
        <f>CJ335+CJ336</f>
        <v>0</v>
      </c>
    </row>
    <row r="335" spans="1:88" x14ac:dyDescent="0.25">
      <c r="A335" s="107"/>
      <c r="B335" s="16" t="s">
        <v>1183</v>
      </c>
      <c r="C335" s="95"/>
      <c r="D335" s="95" t="s">
        <v>950</v>
      </c>
      <c r="E335" s="282">
        <v>0</v>
      </c>
      <c r="F335" s="282">
        <v>0</v>
      </c>
      <c r="G335" s="282">
        <v>2</v>
      </c>
      <c r="H335" s="282">
        <v>0</v>
      </c>
      <c r="I335" s="103">
        <v>25</v>
      </c>
      <c r="J335" s="103">
        <v>25</v>
      </c>
      <c r="K335" s="103">
        <v>25</v>
      </c>
      <c r="L335" s="103">
        <v>0</v>
      </c>
      <c r="M335" s="103">
        <v>1</v>
      </c>
      <c r="N335" s="103">
        <v>1</v>
      </c>
      <c r="P335" s="286">
        <f>R335+U335+X335+AA335+AD335+AG335+AJ335+AM335+AP335+AS335+AV335+AY335+BB335+BE335+BH335+BK335+BN335+BQ335+BT335+BW335+BZ335+CC335+CF335+CI335</f>
        <v>25</v>
      </c>
      <c r="Q335" s="286">
        <f>S335+V335+Y335+AB335+AE335+AH335+AK335+AN335+AQ335+AT335+AW335+AZ335+BC335+BF335+BI335+BL335+BO335+BR335+BU335+BX335+CA335+CD335+CG335+CJ335</f>
        <v>25</v>
      </c>
      <c r="R335" s="302">
        <v>0</v>
      </c>
      <c r="S335" s="302">
        <v>0</v>
      </c>
      <c r="T335" s="302"/>
      <c r="U335" s="302">
        <v>0</v>
      </c>
      <c r="V335" s="302">
        <v>0</v>
      </c>
      <c r="W335" s="302"/>
      <c r="X335" s="302">
        <v>0</v>
      </c>
      <c r="Y335" s="302">
        <v>0</v>
      </c>
      <c r="Z335" s="302"/>
      <c r="AA335" s="302">
        <v>0</v>
      </c>
      <c r="AB335" s="302">
        <v>0</v>
      </c>
      <c r="AC335" s="302"/>
      <c r="AD335" s="302">
        <v>0</v>
      </c>
      <c r="AE335" s="302">
        <v>0</v>
      </c>
      <c r="AF335" s="302"/>
      <c r="AG335" s="302">
        <v>0</v>
      </c>
      <c r="AH335" s="302">
        <v>0</v>
      </c>
      <c r="AI335" s="302"/>
      <c r="AJ335" s="302">
        <v>0</v>
      </c>
      <c r="AK335" s="302">
        <v>0</v>
      </c>
      <c r="AL335" s="302"/>
      <c r="AM335" s="302">
        <v>0</v>
      </c>
      <c r="AN335" s="302">
        <v>0</v>
      </c>
      <c r="AO335" s="302"/>
      <c r="AP335" s="302">
        <v>0</v>
      </c>
      <c r="AQ335" s="302">
        <v>0</v>
      </c>
      <c r="AR335" s="302"/>
      <c r="AS335" s="302">
        <v>0</v>
      </c>
      <c r="AT335" s="302">
        <v>0</v>
      </c>
      <c r="AU335" s="302"/>
      <c r="AV335" s="302">
        <v>0</v>
      </c>
      <c r="AW335" s="302">
        <v>0</v>
      </c>
      <c r="AX335" s="302"/>
      <c r="AY335" s="302">
        <v>0</v>
      </c>
      <c r="AZ335" s="302">
        <v>0</v>
      </c>
      <c r="BA335" s="302"/>
      <c r="BB335" s="302">
        <v>0</v>
      </c>
      <c r="BC335" s="302">
        <v>0</v>
      </c>
      <c r="BD335" s="302"/>
      <c r="BE335" s="302">
        <v>0</v>
      </c>
      <c r="BF335" s="302">
        <v>0</v>
      </c>
      <c r="BG335" s="302"/>
      <c r="BH335" s="302">
        <v>25</v>
      </c>
      <c r="BI335" s="302">
        <v>25</v>
      </c>
      <c r="BJ335" s="302"/>
      <c r="BK335" s="302">
        <v>0</v>
      </c>
      <c r="BL335" s="302">
        <v>0</v>
      </c>
      <c r="BM335" s="302"/>
      <c r="BN335" s="302">
        <v>0</v>
      </c>
      <c r="BO335" s="302">
        <v>0</v>
      </c>
      <c r="BP335" s="302"/>
      <c r="BQ335" s="302">
        <v>0</v>
      </c>
      <c r="BR335" s="302">
        <v>0</v>
      </c>
      <c r="BS335" s="302"/>
      <c r="BT335" s="302">
        <v>0</v>
      </c>
      <c r="BU335" s="302">
        <v>0</v>
      </c>
      <c r="BV335" s="302"/>
      <c r="BW335" s="302">
        <v>0</v>
      </c>
      <c r="BX335" s="302">
        <v>0</v>
      </c>
      <c r="BY335" s="302"/>
      <c r="BZ335" s="302">
        <v>0</v>
      </c>
      <c r="CA335" s="302">
        <v>0</v>
      </c>
      <c r="CB335" s="302"/>
      <c r="CC335" s="302">
        <v>0</v>
      </c>
      <c r="CD335" s="302">
        <v>0</v>
      </c>
      <c r="CE335" s="302"/>
      <c r="CF335" s="302">
        <v>0</v>
      </c>
      <c r="CG335" s="302">
        <v>0</v>
      </c>
      <c r="CH335" s="302"/>
      <c r="CI335" s="302">
        <v>0</v>
      </c>
      <c r="CJ335" s="302">
        <v>0</v>
      </c>
    </row>
    <row r="336" spans="1:88" x14ac:dyDescent="0.25">
      <c r="A336" s="107"/>
      <c r="B336" s="16" t="s">
        <v>1185</v>
      </c>
      <c r="C336" s="95"/>
      <c r="D336" s="95" t="s">
        <v>950</v>
      </c>
      <c r="E336" s="282">
        <v>0</v>
      </c>
      <c r="F336" s="282">
        <v>0</v>
      </c>
      <c r="G336" s="282">
        <v>0</v>
      </c>
      <c r="H336" s="282">
        <v>0</v>
      </c>
      <c r="I336" s="103">
        <v>0</v>
      </c>
      <c r="J336" s="103">
        <v>0</v>
      </c>
      <c r="K336" s="103">
        <v>0</v>
      </c>
      <c r="L336" s="103">
        <v>0</v>
      </c>
      <c r="M336" s="103">
        <v>0</v>
      </c>
      <c r="N336" s="103">
        <v>0</v>
      </c>
      <c r="P336" s="286">
        <f>R336+U336+X336+AA336+AD336+AG336+AJ336+AM336+AP336+AS336+AV336+AY336+BB336+BE336+BH336+BK336+BN336+BQ336+BT336+BW336+BZ336+CC336+CF336+CI336</f>
        <v>0</v>
      </c>
      <c r="Q336" s="286">
        <f>S336+V336+Y336+AB336+AE336+AH336+AK336+AN336+AQ336+AT336+AW336+AZ336+BC336+BF336+BI336+BL336+BO336+BR336+BU336+BX336+CA336+CD336+CG336+CJ336</f>
        <v>0</v>
      </c>
      <c r="R336" s="302">
        <v>0</v>
      </c>
      <c r="S336" s="302">
        <v>0</v>
      </c>
      <c r="T336" s="302"/>
      <c r="U336" s="302">
        <v>0</v>
      </c>
      <c r="V336" s="302">
        <v>0</v>
      </c>
      <c r="W336" s="302"/>
      <c r="X336" s="302">
        <v>0</v>
      </c>
      <c r="Y336" s="302">
        <v>0</v>
      </c>
      <c r="Z336" s="302"/>
      <c r="AA336" s="302">
        <v>0</v>
      </c>
      <c r="AB336" s="302">
        <v>0</v>
      </c>
      <c r="AC336" s="302"/>
      <c r="AD336" s="302">
        <v>0</v>
      </c>
      <c r="AE336" s="302">
        <v>0</v>
      </c>
      <c r="AF336" s="302"/>
      <c r="AG336" s="302">
        <v>0</v>
      </c>
      <c r="AH336" s="302">
        <v>0</v>
      </c>
      <c r="AI336" s="302"/>
      <c r="AJ336" s="302">
        <v>0</v>
      </c>
      <c r="AK336" s="302">
        <v>0</v>
      </c>
      <c r="AL336" s="302"/>
      <c r="AM336" s="302">
        <v>0</v>
      </c>
      <c r="AN336" s="302">
        <v>0</v>
      </c>
      <c r="AO336" s="302"/>
      <c r="AP336" s="302">
        <v>0</v>
      </c>
      <c r="AQ336" s="302">
        <v>0</v>
      </c>
      <c r="AR336" s="302"/>
      <c r="AS336" s="302">
        <v>0</v>
      </c>
      <c r="AT336" s="302">
        <v>0</v>
      </c>
      <c r="AU336" s="302"/>
      <c r="AV336" s="302">
        <v>0</v>
      </c>
      <c r="AW336" s="302">
        <v>0</v>
      </c>
      <c r="AX336" s="302"/>
      <c r="AY336" s="302">
        <v>0</v>
      </c>
      <c r="AZ336" s="302">
        <v>0</v>
      </c>
      <c r="BA336" s="302"/>
      <c r="BB336" s="302">
        <v>0</v>
      </c>
      <c r="BC336" s="302">
        <v>0</v>
      </c>
      <c r="BD336" s="302"/>
      <c r="BE336" s="302">
        <v>0</v>
      </c>
      <c r="BF336" s="302">
        <v>0</v>
      </c>
      <c r="BG336" s="302"/>
      <c r="BH336" s="302">
        <v>0</v>
      </c>
      <c r="BI336" s="302">
        <v>0</v>
      </c>
      <c r="BJ336" s="302"/>
      <c r="BK336" s="302">
        <v>0</v>
      </c>
      <c r="BL336" s="302">
        <v>0</v>
      </c>
      <c r="BM336" s="302"/>
      <c r="BN336" s="302">
        <v>0</v>
      </c>
      <c r="BO336" s="302">
        <v>0</v>
      </c>
      <c r="BP336" s="302"/>
      <c r="BQ336" s="302">
        <v>0</v>
      </c>
      <c r="BR336" s="302">
        <v>0</v>
      </c>
      <c r="BS336" s="302"/>
      <c r="BT336" s="302">
        <v>0</v>
      </c>
      <c r="BU336" s="302">
        <v>0</v>
      </c>
      <c r="BV336" s="302"/>
      <c r="BW336" s="302">
        <v>0</v>
      </c>
      <c r="BX336" s="302">
        <v>0</v>
      </c>
      <c r="BY336" s="302"/>
      <c r="BZ336" s="302">
        <v>0</v>
      </c>
      <c r="CA336" s="302">
        <v>0</v>
      </c>
      <c r="CB336" s="302"/>
      <c r="CC336" s="302">
        <v>0</v>
      </c>
      <c r="CD336" s="302">
        <v>0</v>
      </c>
      <c r="CE336" s="302"/>
      <c r="CF336" s="302">
        <v>0</v>
      </c>
      <c r="CG336" s="302">
        <v>0</v>
      </c>
      <c r="CH336" s="302"/>
      <c r="CI336" s="302">
        <v>0</v>
      </c>
      <c r="CJ336" s="302">
        <v>0</v>
      </c>
    </row>
    <row r="337" spans="1:95" ht="30" x14ac:dyDescent="0.25">
      <c r="A337" s="107"/>
      <c r="B337" s="16" t="s">
        <v>75</v>
      </c>
      <c r="C337" s="95" t="s">
        <v>1808</v>
      </c>
      <c r="D337" s="95"/>
      <c r="E337" s="282">
        <f t="shared" ref="E337:N337" si="472">E338+E341</f>
        <v>77613</v>
      </c>
      <c r="F337" s="282">
        <f t="shared" si="472"/>
        <v>86506</v>
      </c>
      <c r="G337" s="282">
        <f t="shared" si="472"/>
        <v>91760</v>
      </c>
      <c r="H337" s="282">
        <f t="shared" si="472"/>
        <v>94557</v>
      </c>
      <c r="I337" s="282">
        <f t="shared" si="472"/>
        <v>97737</v>
      </c>
      <c r="J337" s="282">
        <f t="shared" si="472"/>
        <v>98764</v>
      </c>
      <c r="K337" s="282">
        <f t="shared" si="472"/>
        <v>96798</v>
      </c>
      <c r="L337" s="282">
        <f t="shared" si="472"/>
        <v>1830</v>
      </c>
      <c r="M337" s="282">
        <f t="shared" si="472"/>
        <v>1345</v>
      </c>
      <c r="N337" s="282">
        <f t="shared" si="472"/>
        <v>1255</v>
      </c>
      <c r="O337" s="286" t="s">
        <v>1396</v>
      </c>
      <c r="P337" s="282">
        <f t="shared" ref="P337:S337" si="473">P338+P341</f>
        <v>96781</v>
      </c>
      <c r="Q337" s="282">
        <f t="shared" si="473"/>
        <v>93833</v>
      </c>
      <c r="R337" s="282">
        <f t="shared" si="473"/>
        <v>1569</v>
      </c>
      <c r="S337" s="282">
        <f t="shared" si="473"/>
        <v>1507</v>
      </c>
      <c r="T337" s="286"/>
      <c r="U337" s="282">
        <f t="shared" ref="U337:V337" si="474">U338+U341</f>
        <v>1419</v>
      </c>
      <c r="V337" s="282">
        <f t="shared" si="474"/>
        <v>1313</v>
      </c>
      <c r="W337" s="286"/>
      <c r="X337" s="282">
        <f t="shared" ref="X337:Y337" si="475">X338+X341</f>
        <v>1620</v>
      </c>
      <c r="Y337" s="282">
        <f t="shared" si="475"/>
        <v>1531</v>
      </c>
      <c r="Z337" s="286"/>
      <c r="AA337" s="282">
        <f t="shared" ref="AA337:AB337" si="476">AA338+AA341</f>
        <v>2085</v>
      </c>
      <c r="AB337" s="282">
        <f t="shared" si="476"/>
        <v>1819</v>
      </c>
      <c r="AC337" s="286"/>
      <c r="AD337" s="282">
        <f t="shared" ref="AD337:AE337" si="477">AD338+AD341</f>
        <v>1540</v>
      </c>
      <c r="AE337" s="282">
        <f t="shared" si="477"/>
        <v>1477</v>
      </c>
      <c r="AF337" s="286"/>
      <c r="AG337" s="282">
        <f t="shared" ref="AG337:AH337" si="478">AG338+AG341</f>
        <v>1497</v>
      </c>
      <c r="AH337" s="282">
        <f t="shared" si="478"/>
        <v>1486</v>
      </c>
      <c r="AI337" s="286"/>
      <c r="AJ337" s="282">
        <f t="shared" ref="AJ337:AK337" si="479">AJ338+AJ341</f>
        <v>2550</v>
      </c>
      <c r="AK337" s="282">
        <f t="shared" si="479"/>
        <v>2379</v>
      </c>
      <c r="AL337" s="286"/>
      <c r="AM337" s="282">
        <f t="shared" ref="AM337:AN337" si="480">AM338+AM341</f>
        <v>6951</v>
      </c>
      <c r="AN337" s="282">
        <f t="shared" si="480"/>
        <v>6519</v>
      </c>
      <c r="AO337" s="286"/>
      <c r="AP337" s="282">
        <f t="shared" ref="AP337:AQ337" si="481">AP338+AP341</f>
        <v>802</v>
      </c>
      <c r="AQ337" s="282">
        <f t="shared" si="481"/>
        <v>758</v>
      </c>
      <c r="AR337" s="286"/>
      <c r="AS337" s="282">
        <f t="shared" ref="AS337:AT337" si="482">AS338+AS341</f>
        <v>6557</v>
      </c>
      <c r="AT337" s="282">
        <f t="shared" si="482"/>
        <v>6882</v>
      </c>
      <c r="AU337" s="286"/>
      <c r="AV337" s="282">
        <f t="shared" ref="AV337:AW337" si="483">AV338+AV341</f>
        <v>2072</v>
      </c>
      <c r="AW337" s="282">
        <f t="shared" si="483"/>
        <v>1828</v>
      </c>
      <c r="AX337" s="286"/>
      <c r="AY337" s="282">
        <f t="shared" ref="AY337:AZ337" si="484">AY338+AY341</f>
        <v>3034</v>
      </c>
      <c r="AZ337" s="282">
        <f t="shared" si="484"/>
        <v>2803</v>
      </c>
      <c r="BA337" s="286"/>
      <c r="BB337" s="282">
        <f t="shared" ref="BB337:BC337" si="485">BB338+BB341</f>
        <v>6760</v>
      </c>
      <c r="BC337" s="282">
        <f t="shared" si="485"/>
        <v>6464</v>
      </c>
      <c r="BD337" s="286"/>
      <c r="BE337" s="282">
        <f t="shared" ref="BE337:BF337" si="486">BE338+BE341</f>
        <v>15651</v>
      </c>
      <c r="BF337" s="282">
        <f t="shared" si="486"/>
        <v>15571</v>
      </c>
      <c r="BG337" s="286"/>
      <c r="BH337" s="282">
        <f t="shared" ref="BH337:BI337" si="487">BH338+BH341</f>
        <v>25532</v>
      </c>
      <c r="BI337" s="282">
        <f t="shared" si="487"/>
        <v>25392</v>
      </c>
      <c r="BJ337" s="286"/>
      <c r="BK337" s="282">
        <f t="shared" ref="BK337:BL337" si="488">BK338+BK341</f>
        <v>2330</v>
      </c>
      <c r="BL337" s="282">
        <f t="shared" si="488"/>
        <v>2179</v>
      </c>
      <c r="BM337" s="286"/>
      <c r="BN337" s="282">
        <f t="shared" ref="BN337:BO337" si="489">BN338+BN341</f>
        <v>2303</v>
      </c>
      <c r="BO337" s="282">
        <f t="shared" si="489"/>
        <v>2183</v>
      </c>
      <c r="BP337" s="286"/>
      <c r="BQ337" s="282">
        <f t="shared" ref="BQ337:BR337" si="490">BQ338+BQ341</f>
        <v>3477</v>
      </c>
      <c r="BR337" s="282">
        <f t="shared" si="490"/>
        <v>3223</v>
      </c>
      <c r="BS337" s="286"/>
      <c r="BT337" s="282">
        <f t="shared" ref="BT337:BU337" si="491">BT338+BT341</f>
        <v>3404</v>
      </c>
      <c r="BU337" s="282">
        <f t="shared" si="491"/>
        <v>3298</v>
      </c>
      <c r="BV337" s="286"/>
      <c r="BW337" s="282">
        <f t="shared" ref="BW337:BX337" si="492">BW338+BW341</f>
        <v>960</v>
      </c>
      <c r="BX337" s="282">
        <f t="shared" si="492"/>
        <v>901</v>
      </c>
      <c r="BY337" s="286"/>
      <c r="BZ337" s="282">
        <f t="shared" ref="BZ337:CA337" si="493">BZ338+BZ341</f>
        <v>2308</v>
      </c>
      <c r="CA337" s="282">
        <f t="shared" si="493"/>
        <v>2123</v>
      </c>
      <c r="CB337" s="286"/>
      <c r="CC337" s="282">
        <f t="shared" ref="CC337:CD337" si="494">CC338+CC341</f>
        <v>2256</v>
      </c>
      <c r="CD337" s="282">
        <f t="shared" si="494"/>
        <v>2089</v>
      </c>
      <c r="CE337" s="286"/>
      <c r="CF337" s="282">
        <f t="shared" ref="CF337:CG337" si="495">CF338+CF341</f>
        <v>104</v>
      </c>
      <c r="CG337" s="282">
        <f t="shared" si="495"/>
        <v>108</v>
      </c>
      <c r="CH337" s="286"/>
      <c r="CI337" s="282">
        <f t="shared" ref="CI337:CJ337" si="496">CI338+CI341</f>
        <v>0</v>
      </c>
      <c r="CJ337" s="282">
        <f t="shared" si="496"/>
        <v>0</v>
      </c>
    </row>
    <row r="338" spans="1:95" x14ac:dyDescent="0.25">
      <c r="A338" s="107"/>
      <c r="B338" s="16" t="s">
        <v>1182</v>
      </c>
      <c r="C338" s="95"/>
      <c r="D338" s="95" t="s">
        <v>1112</v>
      </c>
      <c r="E338" s="282">
        <f t="shared" ref="E338:Y338" si="497">E339+E340</f>
        <v>77613</v>
      </c>
      <c r="F338" s="282">
        <f t="shared" si="497"/>
        <v>86087</v>
      </c>
      <c r="G338" s="282">
        <f t="shared" si="497"/>
        <v>91730</v>
      </c>
      <c r="H338" s="282">
        <f t="shared" si="497"/>
        <v>94523</v>
      </c>
      <c r="I338" s="103">
        <f t="shared" si="497"/>
        <v>97636</v>
      </c>
      <c r="J338" s="103">
        <f t="shared" si="497"/>
        <v>98637</v>
      </c>
      <c r="K338" s="103">
        <f>K339+K340</f>
        <v>96615</v>
      </c>
      <c r="L338" s="103">
        <f>L339+L340</f>
        <v>1820</v>
      </c>
      <c r="M338" s="103">
        <f>M339+M340</f>
        <v>1337</v>
      </c>
      <c r="N338" s="103">
        <f>N339+N340</f>
        <v>1246</v>
      </c>
      <c r="O338" s="286"/>
      <c r="P338" s="103">
        <f t="shared" si="497"/>
        <v>96598</v>
      </c>
      <c r="Q338" s="103">
        <f t="shared" si="497"/>
        <v>93672</v>
      </c>
      <c r="R338" s="103">
        <f t="shared" si="497"/>
        <v>1569</v>
      </c>
      <c r="S338" s="103">
        <f t="shared" si="497"/>
        <v>1507</v>
      </c>
      <c r="T338" s="286"/>
      <c r="U338" s="103">
        <f t="shared" si="497"/>
        <v>1419</v>
      </c>
      <c r="V338" s="103">
        <f t="shared" si="497"/>
        <v>1313</v>
      </c>
      <c r="W338" s="286"/>
      <c r="X338" s="103">
        <f t="shared" si="497"/>
        <v>1620</v>
      </c>
      <c r="Y338" s="103">
        <f t="shared" si="497"/>
        <v>1531</v>
      </c>
      <c r="Z338" s="286"/>
      <c r="AA338" s="103">
        <f>AA339+AA340</f>
        <v>2085</v>
      </c>
      <c r="AB338" s="103">
        <f>AB339+AB340</f>
        <v>1819</v>
      </c>
      <c r="AC338" s="286"/>
      <c r="AD338" s="103">
        <f>AD339+AD340</f>
        <v>1540</v>
      </c>
      <c r="AE338" s="103">
        <f>AE339+AE340</f>
        <v>1477</v>
      </c>
      <c r="AF338" s="286"/>
      <c r="AG338" s="103">
        <f>AG339+AG340</f>
        <v>1490</v>
      </c>
      <c r="AH338" s="103">
        <f>AH339+AH340</f>
        <v>1479</v>
      </c>
      <c r="AI338" s="286"/>
      <c r="AJ338" s="103">
        <f>AJ339+AJ340</f>
        <v>2550</v>
      </c>
      <c r="AK338" s="103">
        <f>AK339+AK340</f>
        <v>2379</v>
      </c>
      <c r="AL338" s="286"/>
      <c r="AM338" s="103">
        <f>AM339+AM340</f>
        <v>6951</v>
      </c>
      <c r="AN338" s="103">
        <f>AN339+AN340</f>
        <v>6519</v>
      </c>
      <c r="AO338" s="286"/>
      <c r="AP338" s="103">
        <f>AP339+AP340</f>
        <v>802</v>
      </c>
      <c r="AQ338" s="103">
        <f>AQ339+AQ340</f>
        <v>758</v>
      </c>
      <c r="AR338" s="286"/>
      <c r="AS338" s="103">
        <f>AS339+AS340</f>
        <v>6505</v>
      </c>
      <c r="AT338" s="103">
        <f>AT339+AT340</f>
        <v>6812</v>
      </c>
      <c r="AU338" s="286"/>
      <c r="AV338" s="103">
        <f>AV339+AV340</f>
        <v>2072</v>
      </c>
      <c r="AW338" s="103">
        <f>AW339+AW340</f>
        <v>1828</v>
      </c>
      <c r="AX338" s="286"/>
      <c r="AY338" s="103">
        <f>AY339+AY340</f>
        <v>3016</v>
      </c>
      <c r="AZ338" s="103">
        <f>AZ339+AZ340</f>
        <v>2803</v>
      </c>
      <c r="BA338" s="286"/>
      <c r="BB338" s="103">
        <f>BB339+BB340</f>
        <v>6755</v>
      </c>
      <c r="BC338" s="103">
        <f>BC339+BC340</f>
        <v>6464</v>
      </c>
      <c r="BD338" s="286"/>
      <c r="BE338" s="103">
        <f>BE339+BE340</f>
        <v>15650</v>
      </c>
      <c r="BF338" s="103">
        <f>BF339+BF340</f>
        <v>15571</v>
      </c>
      <c r="BG338" s="286"/>
      <c r="BH338" s="103">
        <f>BH339+BH340</f>
        <v>25432</v>
      </c>
      <c r="BI338" s="103">
        <f>BI339+BI340</f>
        <v>25308</v>
      </c>
      <c r="BJ338" s="286"/>
      <c r="BK338" s="103">
        <f>BK339+BK340</f>
        <v>2330</v>
      </c>
      <c r="BL338" s="103">
        <f>BL339+BL340</f>
        <v>2179</v>
      </c>
      <c r="BM338" s="286"/>
      <c r="BN338" s="103">
        <f>BN339+BN340</f>
        <v>2303</v>
      </c>
      <c r="BO338" s="103">
        <f>BO339+BO340</f>
        <v>2183</v>
      </c>
      <c r="BP338" s="286"/>
      <c r="BQ338" s="103">
        <f>BQ339+BQ340</f>
        <v>3477</v>
      </c>
      <c r="BR338" s="103">
        <f>BR339+BR340</f>
        <v>3223</v>
      </c>
      <c r="BS338" s="286"/>
      <c r="BT338" s="103">
        <f>BT339+BT340</f>
        <v>3404</v>
      </c>
      <c r="BU338" s="103">
        <f>BU339+BU340</f>
        <v>3298</v>
      </c>
      <c r="BV338" s="286"/>
      <c r="BW338" s="103">
        <f>BW339+BW340</f>
        <v>960</v>
      </c>
      <c r="BX338" s="103">
        <f>BX339+BX340</f>
        <v>901</v>
      </c>
      <c r="BY338" s="286"/>
      <c r="BZ338" s="103">
        <f>BZ339+BZ340</f>
        <v>2308</v>
      </c>
      <c r="CA338" s="103">
        <f>CA339+CA340</f>
        <v>2123</v>
      </c>
      <c r="CB338" s="286"/>
      <c r="CC338" s="103">
        <f>CC339+CC340</f>
        <v>2256</v>
      </c>
      <c r="CD338" s="103">
        <f>CD339+CD340</f>
        <v>2089</v>
      </c>
      <c r="CE338" s="286"/>
      <c r="CF338" s="103">
        <f>CF339+CF340</f>
        <v>104</v>
      </c>
      <c r="CG338" s="103">
        <f>CG339+CG340</f>
        <v>108</v>
      </c>
      <c r="CH338" s="286"/>
      <c r="CI338" s="103">
        <f>CI339+CI340</f>
        <v>0</v>
      </c>
      <c r="CJ338" s="103">
        <f>CJ339+CJ340</f>
        <v>0</v>
      </c>
    </row>
    <row r="339" spans="1:95" x14ac:dyDescent="0.25">
      <c r="A339" s="107"/>
      <c r="B339" s="16" t="s">
        <v>1183</v>
      </c>
      <c r="C339" s="95"/>
      <c r="D339" s="95" t="s">
        <v>1112</v>
      </c>
      <c r="E339" s="282">
        <v>71609</v>
      </c>
      <c r="F339" s="282">
        <v>79919</v>
      </c>
      <c r="G339" s="282">
        <f>85212-30</f>
        <v>85182</v>
      </c>
      <c r="H339" s="282">
        <f>88074-34</f>
        <v>88040</v>
      </c>
      <c r="I339" s="103">
        <f>91254-101</f>
        <v>91153</v>
      </c>
      <c r="J339" s="103">
        <f>92230-126</f>
        <v>92104</v>
      </c>
      <c r="K339" s="103">
        <v>89688</v>
      </c>
      <c r="L339" s="103">
        <v>1061</v>
      </c>
      <c r="M339" s="103">
        <v>767</v>
      </c>
      <c r="N339" s="103">
        <v>721</v>
      </c>
      <c r="O339" s="286"/>
      <c r="P339" s="286">
        <f>R339+U339+X339+AA339+AD339+AG339+AJ339+AM339+AP339+AS339+AV339+AY339+BB339+BE339+BH339+BK339+BN339+BQ339+BT339+BW339+BZ339+CC339+CF339+CI339</f>
        <v>90214</v>
      </c>
      <c r="Q339" s="286">
        <f>S339+V339+Y339+AB339+AE339+AH339+AK339+AN339+AQ339+AT339+AW339+AZ339+BC339+BF339+BI339+BL339+BO339+BR339+BU339+BX339+CA339+CD339+CG339+CJ339</f>
        <v>87778</v>
      </c>
      <c r="R339" s="286">
        <v>1110</v>
      </c>
      <c r="S339" s="286">
        <v>1059</v>
      </c>
      <c r="T339" s="286"/>
      <c r="U339" s="286">
        <v>825</v>
      </c>
      <c r="V339" s="286">
        <v>744</v>
      </c>
      <c r="W339" s="286"/>
      <c r="X339" s="286">
        <v>1127</v>
      </c>
      <c r="Y339" s="286">
        <v>1052</v>
      </c>
      <c r="Z339" s="286"/>
      <c r="AA339" s="286">
        <v>1266</v>
      </c>
      <c r="AB339" s="286">
        <v>1056</v>
      </c>
      <c r="AC339" s="286"/>
      <c r="AD339" s="286">
        <v>1423</v>
      </c>
      <c r="AE339" s="286">
        <v>1163</v>
      </c>
      <c r="AF339" s="286"/>
      <c r="AG339" s="286">
        <v>839</v>
      </c>
      <c r="AH339" s="286">
        <v>866</v>
      </c>
      <c r="AI339" s="286"/>
      <c r="AJ339" s="286">
        <v>2445</v>
      </c>
      <c r="AK339" s="286">
        <v>2279</v>
      </c>
      <c r="AL339" s="286"/>
      <c r="AM339" s="286">
        <v>4607</v>
      </c>
      <c r="AN339" s="286">
        <v>4669</v>
      </c>
      <c r="AO339" s="286"/>
      <c r="AP339" s="286">
        <v>0</v>
      </c>
      <c r="AQ339" s="286">
        <v>0</v>
      </c>
      <c r="AR339" s="286"/>
      <c r="AS339" s="286">
        <v>6505</v>
      </c>
      <c r="AT339" s="286">
        <v>6812</v>
      </c>
      <c r="AU339" s="286"/>
      <c r="AV339" s="286">
        <v>2072</v>
      </c>
      <c r="AW339" s="286">
        <v>1828</v>
      </c>
      <c r="AX339" s="286"/>
      <c r="AY339" s="286">
        <v>3016</v>
      </c>
      <c r="AZ339" s="286">
        <v>2803</v>
      </c>
      <c r="BA339" s="286"/>
      <c r="BB339" s="286">
        <v>6755</v>
      </c>
      <c r="BC339" s="286">
        <v>6464</v>
      </c>
      <c r="BD339" s="286"/>
      <c r="BE339" s="286">
        <v>15650</v>
      </c>
      <c r="BF339" s="286">
        <v>15571</v>
      </c>
      <c r="BG339" s="286"/>
      <c r="BH339" s="286">
        <v>25432</v>
      </c>
      <c r="BI339" s="286">
        <v>25308</v>
      </c>
      <c r="BJ339" s="286"/>
      <c r="BK339" s="286">
        <v>2330</v>
      </c>
      <c r="BL339" s="286">
        <v>2179</v>
      </c>
      <c r="BM339" s="286"/>
      <c r="BN339" s="286">
        <v>2303</v>
      </c>
      <c r="BO339" s="286">
        <v>2183</v>
      </c>
      <c r="BP339" s="286"/>
      <c r="BQ339" s="286">
        <v>3477</v>
      </c>
      <c r="BR339" s="286">
        <v>3223</v>
      </c>
      <c r="BS339" s="286"/>
      <c r="BT339" s="286">
        <v>3404</v>
      </c>
      <c r="BU339" s="286">
        <v>3298</v>
      </c>
      <c r="BV339" s="286"/>
      <c r="BW339" s="286">
        <v>960</v>
      </c>
      <c r="BX339" s="286">
        <v>901</v>
      </c>
      <c r="BY339" s="286"/>
      <c r="BZ339" s="286">
        <v>2308</v>
      </c>
      <c r="CA339" s="286">
        <v>2123</v>
      </c>
      <c r="CB339" s="286"/>
      <c r="CC339" s="286">
        <v>2256</v>
      </c>
      <c r="CD339" s="286">
        <v>2089</v>
      </c>
      <c r="CE339" s="286"/>
      <c r="CF339" s="286">
        <v>104</v>
      </c>
      <c r="CG339" s="286">
        <v>108</v>
      </c>
      <c r="CH339" s="286"/>
      <c r="CI339" s="286">
        <v>0</v>
      </c>
      <c r="CJ339" s="286">
        <v>0</v>
      </c>
    </row>
    <row r="340" spans="1:95" x14ac:dyDescent="0.25">
      <c r="A340" s="107"/>
      <c r="B340" s="16" t="s">
        <v>1185</v>
      </c>
      <c r="C340" s="95"/>
      <c r="D340" s="95" t="s">
        <v>1112</v>
      </c>
      <c r="E340" s="282">
        <v>6004</v>
      </c>
      <c r="F340" s="282">
        <v>6168</v>
      </c>
      <c r="G340" s="282">
        <v>6548</v>
      </c>
      <c r="H340" s="282">
        <v>6483</v>
      </c>
      <c r="I340" s="103">
        <v>6483</v>
      </c>
      <c r="J340" s="103">
        <v>6533</v>
      </c>
      <c r="K340" s="103">
        <v>6927</v>
      </c>
      <c r="L340" s="103">
        <v>759</v>
      </c>
      <c r="M340" s="103">
        <v>570</v>
      </c>
      <c r="N340" s="103">
        <v>525</v>
      </c>
      <c r="O340" s="286"/>
      <c r="P340" s="286">
        <f>R340+U340+X340+AA340+AD340+AG340+AJ340+AM340+AP340+AS340+AV340+AY340+BB340+BE340+BH340+BK340+BN340+BQ340+BT340+BW340+BZ340+CC340+CF340+CI340</f>
        <v>6384</v>
      </c>
      <c r="Q340" s="286">
        <f>S340+V340+Y340+AB340+AE340+AH340+AK340+AN340+AQ340+AT340+AW340+AZ340+BC340+BF340+BI340+BL340+BO340+BR340+BU340+BX340+CA340+CD340+CG340+CJ340</f>
        <v>5894</v>
      </c>
      <c r="R340" s="302">
        <v>459</v>
      </c>
      <c r="S340" s="286">
        <v>448</v>
      </c>
      <c r="T340" s="286"/>
      <c r="U340" s="286">
        <v>594</v>
      </c>
      <c r="V340" s="286">
        <v>569</v>
      </c>
      <c r="W340" s="286"/>
      <c r="X340" s="286">
        <v>493</v>
      </c>
      <c r="Y340" s="286">
        <v>479</v>
      </c>
      <c r="Z340" s="286"/>
      <c r="AA340" s="286">
        <v>819</v>
      </c>
      <c r="AB340" s="286">
        <v>763</v>
      </c>
      <c r="AC340" s="286"/>
      <c r="AD340" s="286">
        <v>117</v>
      </c>
      <c r="AE340" s="286">
        <v>314</v>
      </c>
      <c r="AF340" s="286"/>
      <c r="AG340" s="286">
        <v>651</v>
      </c>
      <c r="AH340" s="286">
        <v>613</v>
      </c>
      <c r="AI340" s="286"/>
      <c r="AJ340" s="286">
        <v>105</v>
      </c>
      <c r="AK340" s="286">
        <v>100</v>
      </c>
      <c r="AL340" s="286"/>
      <c r="AM340" s="286">
        <v>2344</v>
      </c>
      <c r="AN340" s="286">
        <v>1850</v>
      </c>
      <c r="AO340" s="286"/>
      <c r="AP340" s="302">
        <v>802</v>
      </c>
      <c r="AQ340" s="302">
        <v>758</v>
      </c>
      <c r="AR340" s="286"/>
      <c r="AS340" s="302">
        <v>0</v>
      </c>
      <c r="AT340" s="302">
        <v>0</v>
      </c>
      <c r="AU340" s="286"/>
      <c r="AV340" s="302">
        <v>0</v>
      </c>
      <c r="AW340" s="286">
        <v>0</v>
      </c>
      <c r="AX340" s="286"/>
      <c r="AY340" s="302">
        <v>0</v>
      </c>
      <c r="AZ340" s="302">
        <v>0</v>
      </c>
      <c r="BA340" s="286"/>
      <c r="BB340" s="302">
        <v>0</v>
      </c>
      <c r="BC340" s="302">
        <v>0</v>
      </c>
      <c r="BD340" s="286"/>
      <c r="BE340" s="286">
        <v>0</v>
      </c>
      <c r="BF340" s="286">
        <v>0</v>
      </c>
      <c r="BG340" s="286"/>
      <c r="BH340" s="302">
        <v>0</v>
      </c>
      <c r="BI340" s="302">
        <v>0</v>
      </c>
      <c r="BJ340" s="286"/>
      <c r="BK340" s="302">
        <v>0</v>
      </c>
      <c r="BL340" s="286">
        <v>0</v>
      </c>
      <c r="BM340" s="286"/>
      <c r="BN340" s="302">
        <v>0</v>
      </c>
      <c r="BO340" s="302">
        <v>0</v>
      </c>
      <c r="BP340" s="286"/>
      <c r="BQ340" s="302">
        <v>0</v>
      </c>
      <c r="BR340" s="286">
        <v>0</v>
      </c>
      <c r="BS340" s="286"/>
      <c r="BT340" s="302">
        <v>0</v>
      </c>
      <c r="BU340" s="286">
        <v>0</v>
      </c>
      <c r="BV340" s="286"/>
      <c r="BW340" s="302">
        <v>0</v>
      </c>
      <c r="BX340" s="302">
        <v>0</v>
      </c>
      <c r="BY340" s="286"/>
      <c r="BZ340" s="302">
        <v>0</v>
      </c>
      <c r="CA340" s="302">
        <v>0</v>
      </c>
      <c r="CB340" s="286"/>
      <c r="CC340" s="302">
        <v>0</v>
      </c>
      <c r="CD340" s="302">
        <v>0</v>
      </c>
      <c r="CE340" s="286"/>
      <c r="CF340" s="286">
        <v>0</v>
      </c>
      <c r="CG340" s="286">
        <v>0</v>
      </c>
      <c r="CH340" s="286"/>
      <c r="CI340" s="286">
        <v>0</v>
      </c>
      <c r="CJ340" s="286">
        <v>0</v>
      </c>
    </row>
    <row r="341" spans="1:95" x14ac:dyDescent="0.25">
      <c r="A341" s="107"/>
      <c r="B341" s="16" t="s">
        <v>1184</v>
      </c>
      <c r="C341" s="95"/>
      <c r="D341" s="95" t="s">
        <v>950</v>
      </c>
      <c r="E341" s="282">
        <f t="shared" ref="E341:Y341" si="498">E342+E343</f>
        <v>0</v>
      </c>
      <c r="F341" s="282">
        <f t="shared" si="498"/>
        <v>419</v>
      </c>
      <c r="G341" s="282">
        <f t="shared" si="498"/>
        <v>30</v>
      </c>
      <c r="H341" s="282">
        <f t="shared" si="498"/>
        <v>34</v>
      </c>
      <c r="I341" s="103">
        <f t="shared" si="498"/>
        <v>101</v>
      </c>
      <c r="J341" s="103">
        <f t="shared" si="498"/>
        <v>127</v>
      </c>
      <c r="K341" s="103">
        <f t="shared" si="498"/>
        <v>183</v>
      </c>
      <c r="L341" s="103">
        <f t="shared" si="498"/>
        <v>10</v>
      </c>
      <c r="M341" s="103">
        <f t="shared" si="498"/>
        <v>8</v>
      </c>
      <c r="N341" s="103">
        <f t="shared" si="498"/>
        <v>9</v>
      </c>
      <c r="O341" s="286"/>
      <c r="P341" s="103">
        <f t="shared" si="498"/>
        <v>183</v>
      </c>
      <c r="Q341" s="103">
        <f t="shared" si="498"/>
        <v>161</v>
      </c>
      <c r="R341" s="103">
        <f t="shared" si="498"/>
        <v>0</v>
      </c>
      <c r="S341" s="103">
        <f t="shared" si="498"/>
        <v>0</v>
      </c>
      <c r="T341" s="286"/>
      <c r="U341" s="103">
        <f t="shared" si="498"/>
        <v>0</v>
      </c>
      <c r="V341" s="103">
        <f t="shared" si="498"/>
        <v>0</v>
      </c>
      <c r="W341" s="286"/>
      <c r="X341" s="103">
        <f t="shared" si="498"/>
        <v>0</v>
      </c>
      <c r="Y341" s="103">
        <f t="shared" si="498"/>
        <v>0</v>
      </c>
      <c r="Z341" s="286"/>
      <c r="AA341" s="103">
        <f>AA342+AA343</f>
        <v>0</v>
      </c>
      <c r="AB341" s="103">
        <f>AB342+AB343</f>
        <v>0</v>
      </c>
      <c r="AC341" s="286"/>
      <c r="AD341" s="103">
        <f>AD342+AD343</f>
        <v>0</v>
      </c>
      <c r="AE341" s="103">
        <f>AE342+AE343</f>
        <v>0</v>
      </c>
      <c r="AF341" s="286"/>
      <c r="AG341" s="103">
        <f>AG342+AG343</f>
        <v>7</v>
      </c>
      <c r="AH341" s="103">
        <f>AH342+AH343</f>
        <v>7</v>
      </c>
      <c r="AI341" s="286"/>
      <c r="AJ341" s="103">
        <f>AJ342+AJ343</f>
        <v>0</v>
      </c>
      <c r="AK341" s="103">
        <f>AK342+AK343</f>
        <v>0</v>
      </c>
      <c r="AL341" s="286"/>
      <c r="AM341" s="103">
        <f>AM342+AM343</f>
        <v>0</v>
      </c>
      <c r="AN341" s="103">
        <f>AN342+AN343</f>
        <v>0</v>
      </c>
      <c r="AO341" s="286"/>
      <c r="AP341" s="103">
        <f>AP342+AP343</f>
        <v>0</v>
      </c>
      <c r="AQ341" s="103">
        <f>AQ342+AQ343</f>
        <v>0</v>
      </c>
      <c r="AR341" s="286"/>
      <c r="AS341" s="103">
        <f>AS342+AS343</f>
        <v>52</v>
      </c>
      <c r="AT341" s="103">
        <f>AT342+AT343</f>
        <v>70</v>
      </c>
      <c r="AU341" s="286"/>
      <c r="AV341" s="103">
        <f>AV342+AV343</f>
        <v>0</v>
      </c>
      <c r="AW341" s="103">
        <f>AW342+AW343</f>
        <v>0</v>
      </c>
      <c r="AX341" s="286"/>
      <c r="AY341" s="103">
        <f>AY342+AY343</f>
        <v>18</v>
      </c>
      <c r="AZ341" s="103">
        <f>AZ342+AZ343</f>
        <v>0</v>
      </c>
      <c r="BA341" s="286"/>
      <c r="BB341" s="103">
        <f>BB342+BB343</f>
        <v>5</v>
      </c>
      <c r="BC341" s="103">
        <f>BC342+BC343</f>
        <v>0</v>
      </c>
      <c r="BD341" s="286"/>
      <c r="BE341" s="103">
        <f>BE342+BE343</f>
        <v>1</v>
      </c>
      <c r="BF341" s="103">
        <f>BF342+BF343</f>
        <v>0</v>
      </c>
      <c r="BG341" s="286"/>
      <c r="BH341" s="103">
        <f>BH342+BH343</f>
        <v>100</v>
      </c>
      <c r="BI341" s="103">
        <f>BI342+BI343</f>
        <v>84</v>
      </c>
      <c r="BJ341" s="286"/>
      <c r="BK341" s="103">
        <f>BK342+BK343</f>
        <v>0</v>
      </c>
      <c r="BL341" s="103">
        <f>BL342+BL343</f>
        <v>0</v>
      </c>
      <c r="BM341" s="286"/>
      <c r="BN341" s="103">
        <f>BN342+BN343</f>
        <v>0</v>
      </c>
      <c r="BO341" s="103">
        <f>BO342+BO343</f>
        <v>0</v>
      </c>
      <c r="BP341" s="286"/>
      <c r="BQ341" s="103">
        <f>BQ342+BQ343</f>
        <v>0</v>
      </c>
      <c r="BR341" s="103">
        <f>BR342+BR343</f>
        <v>0</v>
      </c>
      <c r="BS341" s="286"/>
      <c r="BT341" s="103">
        <f>BT342+BT343</f>
        <v>0</v>
      </c>
      <c r="BU341" s="103">
        <f>BU342+BU343</f>
        <v>0</v>
      </c>
      <c r="BV341" s="286"/>
      <c r="BW341" s="103">
        <f>BW342+BW343</f>
        <v>0</v>
      </c>
      <c r="BX341" s="103">
        <f>BX342+BX343</f>
        <v>0</v>
      </c>
      <c r="BY341" s="286"/>
      <c r="BZ341" s="103">
        <f>BZ342+BZ343</f>
        <v>0</v>
      </c>
      <c r="CA341" s="103">
        <f>CA342+CA343</f>
        <v>0</v>
      </c>
      <c r="CB341" s="286"/>
      <c r="CC341" s="103">
        <f>CC342+CC343</f>
        <v>0</v>
      </c>
      <c r="CD341" s="103">
        <f>CD342+CD343</f>
        <v>0</v>
      </c>
      <c r="CE341" s="286"/>
      <c r="CF341" s="103">
        <f>CF342+CF343</f>
        <v>0</v>
      </c>
      <c r="CG341" s="103">
        <f>CG342+CG343</f>
        <v>0</v>
      </c>
      <c r="CH341" s="286"/>
      <c r="CI341" s="103">
        <f>CI342+CI343</f>
        <v>0</v>
      </c>
      <c r="CJ341" s="103">
        <f>CJ342+CJ343</f>
        <v>0</v>
      </c>
    </row>
    <row r="342" spans="1:95" x14ac:dyDescent="0.25">
      <c r="A342" s="107"/>
      <c r="B342" s="16" t="s">
        <v>1183</v>
      </c>
      <c r="C342" s="95"/>
      <c r="D342" s="95" t="s">
        <v>950</v>
      </c>
      <c r="E342" s="282"/>
      <c r="F342" s="282">
        <v>419</v>
      </c>
      <c r="G342" s="282">
        <v>30</v>
      </c>
      <c r="H342" s="282">
        <v>34</v>
      </c>
      <c r="I342" s="103">
        <v>101</v>
      </c>
      <c r="J342" s="103">
        <v>127</v>
      </c>
      <c r="K342" s="103">
        <v>183</v>
      </c>
      <c r="L342" s="103">
        <v>10</v>
      </c>
      <c r="M342" s="103">
        <v>8</v>
      </c>
      <c r="N342" s="103">
        <v>9</v>
      </c>
      <c r="P342" s="286">
        <f>R342+U342+X342+AA342+AD342+AG342+AJ342+AM342+AP342+AS342+AV342+AY342+BB342+BE342+BH342+BK342+BN342+BQ342+BT342+BW342+BZ342+CC342+CF342+CI342</f>
        <v>183</v>
      </c>
      <c r="Q342" s="286">
        <f>S342+V342+Y342+AB342+AE342+AH342+AK342+AN342+AQ342+AT342+AW342+AZ342+BC342+BF342+BI342+BL342+BO342+BR342+BU342+BX342+CA342+CD342+CG342+CJ342</f>
        <v>161</v>
      </c>
      <c r="R342" s="302">
        <v>0</v>
      </c>
      <c r="S342" s="302">
        <v>0</v>
      </c>
      <c r="T342" s="302"/>
      <c r="U342" s="302">
        <v>0</v>
      </c>
      <c r="V342" s="302">
        <v>0</v>
      </c>
      <c r="W342" s="302"/>
      <c r="X342" s="302">
        <v>0</v>
      </c>
      <c r="Y342" s="302">
        <v>0</v>
      </c>
      <c r="Z342" s="302"/>
      <c r="AA342" s="302">
        <v>0</v>
      </c>
      <c r="AB342" s="302">
        <v>0</v>
      </c>
      <c r="AC342" s="302"/>
      <c r="AD342" s="302">
        <v>0</v>
      </c>
      <c r="AE342" s="302">
        <v>0</v>
      </c>
      <c r="AF342" s="302"/>
      <c r="AG342" s="302">
        <v>7</v>
      </c>
      <c r="AH342" s="302">
        <v>7</v>
      </c>
      <c r="AI342" s="302"/>
      <c r="AJ342" s="302">
        <v>0</v>
      </c>
      <c r="AK342" s="302">
        <v>0</v>
      </c>
      <c r="AL342" s="302"/>
      <c r="AM342" s="302">
        <v>0</v>
      </c>
      <c r="AN342" s="302">
        <v>0</v>
      </c>
      <c r="AO342" s="302"/>
      <c r="AP342" s="302">
        <v>0</v>
      </c>
      <c r="AQ342" s="302">
        <v>0</v>
      </c>
      <c r="AR342" s="302"/>
      <c r="AS342" s="302">
        <v>52</v>
      </c>
      <c r="AT342" s="302">
        <v>70</v>
      </c>
      <c r="AU342" s="302"/>
      <c r="AV342" s="302">
        <v>0</v>
      </c>
      <c r="AW342" s="302">
        <v>0</v>
      </c>
      <c r="AX342" s="302"/>
      <c r="AY342" s="302">
        <v>18</v>
      </c>
      <c r="AZ342" s="302">
        <v>0</v>
      </c>
      <c r="BA342" s="302"/>
      <c r="BB342" s="302">
        <v>5</v>
      </c>
      <c r="BC342" s="302">
        <v>0</v>
      </c>
      <c r="BD342" s="302"/>
      <c r="BE342" s="302">
        <v>1</v>
      </c>
      <c r="BF342" s="302">
        <v>0</v>
      </c>
      <c r="BG342" s="302"/>
      <c r="BH342" s="302">
        <v>100</v>
      </c>
      <c r="BI342" s="302">
        <v>84</v>
      </c>
      <c r="BJ342" s="302"/>
      <c r="BK342" s="302">
        <v>0</v>
      </c>
      <c r="BL342" s="302">
        <v>0</v>
      </c>
      <c r="BM342" s="302"/>
      <c r="BN342" s="302">
        <v>0</v>
      </c>
      <c r="BO342" s="302">
        <v>0</v>
      </c>
      <c r="BP342" s="302"/>
      <c r="BQ342" s="302">
        <v>0</v>
      </c>
      <c r="BR342" s="302">
        <v>0</v>
      </c>
      <c r="BS342" s="302"/>
      <c r="BT342" s="302">
        <v>0</v>
      </c>
      <c r="BU342" s="302">
        <v>0</v>
      </c>
      <c r="BV342" s="302"/>
      <c r="BW342" s="302">
        <v>0</v>
      </c>
      <c r="BX342" s="302">
        <v>0</v>
      </c>
      <c r="BY342" s="302"/>
      <c r="BZ342" s="302">
        <v>0</v>
      </c>
      <c r="CA342" s="302">
        <v>0</v>
      </c>
      <c r="CB342" s="302"/>
      <c r="CC342" s="302">
        <v>0</v>
      </c>
      <c r="CD342" s="302">
        <v>0</v>
      </c>
      <c r="CE342" s="302"/>
      <c r="CF342" s="302">
        <v>0</v>
      </c>
      <c r="CG342" s="302">
        <v>0</v>
      </c>
      <c r="CH342" s="302"/>
      <c r="CI342" s="302">
        <v>0</v>
      </c>
      <c r="CJ342" s="302">
        <v>0</v>
      </c>
      <c r="CK342" s="304"/>
      <c r="CL342" s="304"/>
      <c r="CM342" s="304"/>
      <c r="CN342" s="304"/>
      <c r="CO342" s="304"/>
      <c r="CP342" s="304"/>
      <c r="CQ342" s="304"/>
    </row>
    <row r="343" spans="1:95" x14ac:dyDescent="0.25">
      <c r="A343" s="107"/>
      <c r="B343" s="16" t="s">
        <v>1185</v>
      </c>
      <c r="C343" s="95"/>
      <c r="D343" s="95" t="s">
        <v>950</v>
      </c>
      <c r="E343" s="282"/>
      <c r="F343" s="282">
        <v>0</v>
      </c>
      <c r="G343" s="282">
        <v>0</v>
      </c>
      <c r="H343" s="282">
        <v>0</v>
      </c>
      <c r="I343" s="103">
        <v>0</v>
      </c>
      <c r="J343" s="103">
        <v>0</v>
      </c>
      <c r="K343" s="103">
        <v>0</v>
      </c>
      <c r="L343" s="103">
        <v>0</v>
      </c>
      <c r="M343" s="103">
        <v>0</v>
      </c>
      <c r="N343" s="103">
        <v>0</v>
      </c>
      <c r="P343" s="286">
        <f>R343+U343+X343+AA343+AD343+AG343+AJ343+AM343+AP343+AS343+AV343+AY343+BB343+BE343+BH343+BK343+BN343+BQ343+BT343+BW343+BZ343+CC343+CF343+CI343</f>
        <v>0</v>
      </c>
      <c r="Q343" s="286">
        <f>S343+V343+Y343+AB343+AE343+AH343+AK343+AN343+AQ343+AT343+AW343+AZ343+BC343+BF343+BI343+BL343+BO343+BR343+BU343+BX343+CA343+CD343+CG343+CJ343</f>
        <v>0</v>
      </c>
      <c r="R343" s="302">
        <v>0</v>
      </c>
      <c r="S343" s="302">
        <v>0</v>
      </c>
      <c r="T343" s="302"/>
      <c r="U343" s="302">
        <v>0</v>
      </c>
      <c r="V343" s="302">
        <v>0</v>
      </c>
      <c r="W343" s="302"/>
      <c r="X343" s="302">
        <v>0</v>
      </c>
      <c r="Y343" s="302">
        <v>0</v>
      </c>
      <c r="Z343" s="302"/>
      <c r="AA343" s="302">
        <v>0</v>
      </c>
      <c r="AB343" s="302">
        <v>0</v>
      </c>
      <c r="AC343" s="302"/>
      <c r="AD343" s="302">
        <v>0</v>
      </c>
      <c r="AE343" s="302">
        <v>0</v>
      </c>
      <c r="AF343" s="302"/>
      <c r="AG343" s="302">
        <v>0</v>
      </c>
      <c r="AH343" s="302">
        <v>0</v>
      </c>
      <c r="AI343" s="302"/>
      <c r="AJ343" s="302">
        <v>0</v>
      </c>
      <c r="AK343" s="302">
        <v>0</v>
      </c>
      <c r="AL343" s="302"/>
      <c r="AM343" s="302">
        <v>0</v>
      </c>
      <c r="AN343" s="302">
        <v>0</v>
      </c>
      <c r="AO343" s="302"/>
      <c r="AP343" s="302">
        <v>0</v>
      </c>
      <c r="AQ343" s="302">
        <v>0</v>
      </c>
      <c r="AR343" s="302"/>
      <c r="AS343" s="302">
        <v>0</v>
      </c>
      <c r="AT343" s="302">
        <v>0</v>
      </c>
      <c r="AU343" s="302"/>
      <c r="AV343" s="302">
        <v>0</v>
      </c>
      <c r="AW343" s="302">
        <v>0</v>
      </c>
      <c r="AX343" s="302"/>
      <c r="AY343" s="302">
        <v>0</v>
      </c>
      <c r="AZ343" s="302">
        <v>0</v>
      </c>
      <c r="BA343" s="302"/>
      <c r="BB343" s="302">
        <v>0</v>
      </c>
      <c r="BC343" s="302">
        <v>0</v>
      </c>
      <c r="BD343" s="302"/>
      <c r="BE343" s="302">
        <v>0</v>
      </c>
      <c r="BF343" s="302">
        <v>0</v>
      </c>
      <c r="BG343" s="302"/>
      <c r="BH343" s="302">
        <v>0</v>
      </c>
      <c r="BI343" s="302">
        <v>0</v>
      </c>
      <c r="BJ343" s="302"/>
      <c r="BK343" s="302">
        <v>0</v>
      </c>
      <c r="BL343" s="302">
        <v>0</v>
      </c>
      <c r="BM343" s="302"/>
      <c r="BN343" s="302">
        <v>0</v>
      </c>
      <c r="BO343" s="302">
        <v>0</v>
      </c>
      <c r="BP343" s="302"/>
      <c r="BQ343" s="302">
        <v>0</v>
      </c>
      <c r="BR343" s="302">
        <v>0</v>
      </c>
      <c r="BS343" s="302"/>
      <c r="BT343" s="302">
        <v>0</v>
      </c>
      <c r="BU343" s="302">
        <v>0</v>
      </c>
      <c r="BV343" s="302"/>
      <c r="BW343" s="302">
        <v>0</v>
      </c>
      <c r="BX343" s="302">
        <v>0</v>
      </c>
      <c r="BY343" s="302"/>
      <c r="BZ343" s="302">
        <v>0</v>
      </c>
      <c r="CA343" s="302">
        <v>0</v>
      </c>
      <c r="CB343" s="302"/>
      <c r="CC343" s="302">
        <v>0</v>
      </c>
      <c r="CD343" s="302">
        <v>0</v>
      </c>
      <c r="CE343" s="302"/>
      <c r="CF343" s="302">
        <v>0</v>
      </c>
      <c r="CG343" s="302">
        <v>0</v>
      </c>
      <c r="CH343" s="302"/>
      <c r="CI343" s="302">
        <v>0</v>
      </c>
      <c r="CJ343" s="302">
        <v>0</v>
      </c>
      <c r="CK343" s="304"/>
      <c r="CL343" s="304"/>
      <c r="CM343" s="304"/>
      <c r="CN343" s="304"/>
      <c r="CO343" s="304"/>
      <c r="CP343" s="304"/>
      <c r="CQ343" s="304"/>
    </row>
    <row r="344" spans="1:95" ht="30" x14ac:dyDescent="0.25">
      <c r="A344" s="105" t="s">
        <v>77</v>
      </c>
      <c r="B344" s="290" t="s">
        <v>76</v>
      </c>
      <c r="C344" s="107"/>
      <c r="D344" s="107"/>
      <c r="E344" s="107"/>
      <c r="F344" s="107"/>
      <c r="G344" s="107"/>
      <c r="H344" s="107"/>
      <c r="I344" s="293"/>
      <c r="J344" s="293"/>
      <c r="K344" s="293"/>
      <c r="L344" s="293"/>
      <c r="M344" s="293"/>
      <c r="N344" s="293"/>
      <c r="P344" s="304"/>
      <c r="Q344" s="304"/>
      <c r="R344" s="304"/>
      <c r="S344" s="304"/>
      <c r="T344" s="319"/>
      <c r="U344" s="319"/>
      <c r="V344" s="319"/>
      <c r="W344" s="319"/>
      <c r="X344" s="319"/>
      <c r="Y344" s="319"/>
      <c r="Z344" s="319"/>
      <c r="AA344" s="319"/>
      <c r="AB344" s="319"/>
      <c r="AC344" s="319"/>
      <c r="AD344" s="319"/>
      <c r="AE344" s="319"/>
      <c r="AF344" s="319"/>
      <c r="AG344" s="319"/>
      <c r="AH344" s="319"/>
      <c r="AI344" s="319"/>
      <c r="AJ344" s="319"/>
      <c r="AK344" s="319"/>
      <c r="AL344" s="319"/>
      <c r="AM344" s="319"/>
      <c r="AN344" s="319"/>
      <c r="AO344" s="319"/>
      <c r="AP344" s="319"/>
      <c r="AQ344" s="319"/>
      <c r="AR344" s="319"/>
      <c r="AS344" s="319"/>
      <c r="AT344" s="319"/>
      <c r="AU344" s="319"/>
      <c r="AV344" s="319"/>
      <c r="AW344" s="319"/>
      <c r="AX344" s="319"/>
      <c r="AY344" s="319"/>
      <c r="AZ344" s="319"/>
      <c r="BA344" s="319"/>
      <c r="BB344" s="319"/>
      <c r="BC344" s="319"/>
      <c r="BD344" s="319"/>
      <c r="BE344" s="319"/>
      <c r="BF344" s="319"/>
      <c r="BG344" s="319"/>
      <c r="BH344" s="319"/>
      <c r="BI344" s="319"/>
      <c r="BJ344" s="319"/>
      <c r="BK344" s="319"/>
      <c r="BL344" s="319"/>
      <c r="BM344" s="319"/>
      <c r="BN344" s="319"/>
      <c r="BO344" s="319"/>
      <c r="BP344" s="319"/>
      <c r="BQ344" s="319"/>
      <c r="BR344" s="319"/>
      <c r="BS344" s="319"/>
      <c r="BT344" s="319"/>
      <c r="BU344" s="319"/>
      <c r="BV344" s="319"/>
      <c r="BW344" s="319"/>
      <c r="BX344" s="319"/>
      <c r="BY344" s="319"/>
      <c r="BZ344" s="319"/>
      <c r="CA344" s="319"/>
      <c r="CB344" s="319"/>
      <c r="CC344" s="319"/>
      <c r="CD344" s="319"/>
      <c r="CE344" s="319"/>
      <c r="CF344" s="319"/>
      <c r="CG344" s="319"/>
      <c r="CH344" s="304"/>
      <c r="CI344" s="304"/>
      <c r="CJ344" s="304"/>
      <c r="CK344" s="304"/>
      <c r="CL344" s="304"/>
      <c r="CM344" s="304"/>
      <c r="CN344" s="304"/>
      <c r="CO344" s="304"/>
      <c r="CP344" s="304"/>
      <c r="CQ344" s="304"/>
    </row>
    <row r="345" spans="1:95" ht="45" customHeight="1" x14ac:dyDescent="0.25">
      <c r="A345" s="101" t="s">
        <v>78</v>
      </c>
      <c r="B345" s="96" t="s">
        <v>1633</v>
      </c>
      <c r="C345" s="101" t="s">
        <v>1210</v>
      </c>
      <c r="D345" s="101" t="s">
        <v>8</v>
      </c>
      <c r="E345" s="293" t="e">
        <f>E348/E351*100</f>
        <v>#DIV/0!</v>
      </c>
      <c r="F345" s="293">
        <v>16.53</v>
      </c>
      <c r="G345" s="293">
        <f t="shared" ref="G345:N347" si="499">G348/G351*100</f>
        <v>3.5516470244104967</v>
      </c>
      <c r="H345" s="293">
        <f t="shared" si="499"/>
        <v>4.711510317576467</v>
      </c>
      <c r="I345" s="293">
        <f t="shared" si="499"/>
        <v>6.0860981921336021</v>
      </c>
      <c r="J345" s="293">
        <f t="shared" si="499"/>
        <v>5.9794844017130186</v>
      </c>
      <c r="K345" s="293">
        <f t="shared" si="499"/>
        <v>7.0509729636645426</v>
      </c>
      <c r="L345" s="293">
        <f t="shared" si="499"/>
        <v>3.7912087912087911</v>
      </c>
      <c r="M345" s="293">
        <f t="shared" si="499"/>
        <v>3.9181286549707601</v>
      </c>
      <c r="N345" s="293">
        <f t="shared" si="499"/>
        <v>6.3619518221124149</v>
      </c>
      <c r="O345" s="281" t="s">
        <v>82</v>
      </c>
      <c r="P345" s="293">
        <f t="shared" ref="P345:S347" si="500">P348/P351*100</f>
        <v>7.0544170828310655</v>
      </c>
      <c r="Q345" s="293">
        <f t="shared" si="500"/>
        <v>6.3677368002122581</v>
      </c>
      <c r="R345" s="293">
        <f t="shared" si="500"/>
        <v>4.455909943714822</v>
      </c>
      <c r="S345" s="293">
        <f t="shared" si="500"/>
        <v>3.9</v>
      </c>
      <c r="T345" s="320"/>
      <c r="U345" s="293">
        <f t="shared" ref="U345:V347" si="501">U348/U351*100</f>
        <v>0.94919039642657721</v>
      </c>
      <c r="V345" s="293">
        <f t="shared" si="501"/>
        <v>1.1990407673860912</v>
      </c>
      <c r="W345" s="320"/>
      <c r="X345" s="293">
        <f t="shared" ref="X345:Y347" si="502">X348/X351*100</f>
        <v>3.2945736434108532</v>
      </c>
      <c r="Y345" s="293">
        <f t="shared" si="502"/>
        <v>3.7993920972644375</v>
      </c>
      <c r="Z345" s="320"/>
      <c r="AA345" s="293">
        <f t="shared" ref="AA345:AB347" si="503">AA348/AA351*100</f>
        <v>0.41928721174004197</v>
      </c>
      <c r="AB345" s="293">
        <f t="shared" si="503"/>
        <v>0.91157702825888776</v>
      </c>
      <c r="AC345" s="320"/>
      <c r="AD345" s="293">
        <f t="shared" ref="AD345:AE347" si="504">AD348/AD351*100</f>
        <v>5.3602811950790858</v>
      </c>
      <c r="AE345" s="293">
        <f t="shared" si="504"/>
        <v>7.8440808469682395</v>
      </c>
      <c r="AF345" s="320"/>
      <c r="AG345" s="293">
        <f t="shared" ref="AG345:AH347" si="505">AG348/AG351*100</f>
        <v>3.2996274614156467</v>
      </c>
      <c r="AH345" s="293">
        <f t="shared" si="505"/>
        <v>3.7912087912087911</v>
      </c>
      <c r="AI345" s="320"/>
      <c r="AJ345" s="293">
        <f t="shared" ref="AJ345:AK347" si="506">AJ348/AJ351*100</f>
        <v>12.48407643312102</v>
      </c>
      <c r="AK345" s="293">
        <f t="shared" si="506"/>
        <v>12.334352701325178</v>
      </c>
      <c r="AL345" s="320"/>
      <c r="AM345" s="293">
        <f t="shared" ref="AM345:AN347" si="507">AM348/AM351*100</f>
        <v>5.0585596810366313</v>
      </c>
      <c r="AN345" s="293">
        <f t="shared" si="507"/>
        <v>6.3746065057712489</v>
      </c>
      <c r="AO345" s="320"/>
      <c r="AP345" s="293">
        <f t="shared" ref="AP345:AQ347" si="508">AP348/AP351*100</f>
        <v>7.0506454816285995</v>
      </c>
      <c r="AQ345" s="293">
        <f t="shared" si="508"/>
        <v>7.3326248671625933</v>
      </c>
      <c r="AR345" s="320"/>
      <c r="AS345" s="293">
        <f t="shared" ref="AS345:AT347" si="509">AS348/AS351*100</f>
        <v>7.4855305466237949</v>
      </c>
      <c r="AT345" s="293">
        <f t="shared" si="509"/>
        <v>6.2540379894043152</v>
      </c>
      <c r="AU345" s="320"/>
      <c r="AV345" s="293">
        <f t="shared" ref="AV345:AW347" si="510">AV348/AV351*100</f>
        <v>6.0807996668054978</v>
      </c>
      <c r="AW345" s="293">
        <f t="shared" si="510"/>
        <v>6.7573908962928195</v>
      </c>
      <c r="AX345" s="320"/>
      <c r="AY345" s="293">
        <f t="shared" ref="AY345:AZ347" si="511">AY348/AY351*100</f>
        <v>13.383702104695089</v>
      </c>
      <c r="AZ345" s="293">
        <f t="shared" si="511"/>
        <v>14.972487691862149</v>
      </c>
      <c r="BA345" s="320"/>
      <c r="BB345" s="293">
        <f t="shared" ref="BB345:BC347" si="512">BB348/BB351*100</f>
        <v>1.8331675429870682</v>
      </c>
      <c r="BC345" s="293">
        <f t="shared" si="512"/>
        <v>1.7798872738059923</v>
      </c>
      <c r="BD345" s="320"/>
      <c r="BE345" s="293">
        <f t="shared" ref="BE345:BF347" si="513">BE348/BE351*100</f>
        <v>4.217835120990725</v>
      </c>
      <c r="BF345" s="293">
        <f t="shared" si="513"/>
        <v>4.9050302650803586</v>
      </c>
      <c r="BG345" s="320"/>
      <c r="BH345" s="293">
        <f t="shared" ref="BH345:BI347" si="514">BH348/BH351*100</f>
        <v>13.180338541666666</v>
      </c>
      <c r="BI345" s="293">
        <f t="shared" si="514"/>
        <v>9.1848156320956864</v>
      </c>
      <c r="BJ345" s="320"/>
      <c r="BK345" s="293">
        <f t="shared" ref="BK345:BL347" si="515">BK348/BK351*100</f>
        <v>0.83449235048678716</v>
      </c>
      <c r="BL345" s="293">
        <f t="shared" si="515"/>
        <v>0.76657723265619016</v>
      </c>
      <c r="BM345" s="320"/>
      <c r="BN345" s="293">
        <f t="shared" ref="BN345:BO347" si="516">BN348/BN351*100</f>
        <v>9.473299195318214</v>
      </c>
      <c r="BO345" s="293">
        <f t="shared" si="516"/>
        <v>10.524271844660193</v>
      </c>
      <c r="BP345" s="320"/>
      <c r="BQ345" s="293">
        <f t="shared" ref="BQ345:BR347" si="517">BQ348/BQ351*100</f>
        <v>1.6385424309122036</v>
      </c>
      <c r="BR345" s="293">
        <f t="shared" si="517"/>
        <v>3.0498836908761953</v>
      </c>
      <c r="BS345" s="320"/>
      <c r="BT345" s="293">
        <f t="shared" ref="BT345:BU347" si="518">BT348/BT351*100</f>
        <v>2.0628448069081315</v>
      </c>
      <c r="BU345" s="293">
        <f t="shared" si="518"/>
        <v>2.1203155818540433</v>
      </c>
      <c r="BV345" s="320"/>
      <c r="BW345" s="293">
        <f t="shared" ref="BW345:BX347" si="519">BW348/BW351*100</f>
        <v>4.286964129483815</v>
      </c>
      <c r="BX345" s="293">
        <f t="shared" si="519"/>
        <v>4.6468401486988844</v>
      </c>
      <c r="BY345" s="320"/>
      <c r="BZ345" s="293">
        <f t="shared" ref="BZ345:CA347" si="520">BZ348/BZ351*100</f>
        <v>4.9853372434017595</v>
      </c>
      <c r="CA345" s="293">
        <f t="shared" si="520"/>
        <v>4.3633478778262598</v>
      </c>
      <c r="CB345" s="320"/>
      <c r="CC345" s="293">
        <f t="shared" ref="CC345:CD347" si="521">CC348/CC351*100</f>
        <v>1.3915005641218503</v>
      </c>
      <c r="CD345" s="293">
        <f t="shared" si="521"/>
        <v>2.1860095389507155</v>
      </c>
      <c r="CE345" s="320"/>
      <c r="CF345" s="293">
        <f t="shared" ref="CF345:CG347" si="522">CF348/CF351*100</f>
        <v>73.076923076923066</v>
      </c>
      <c r="CG345" s="293">
        <f t="shared" si="522"/>
        <v>64.81481481481481</v>
      </c>
      <c r="CH345" s="320"/>
      <c r="CI345" s="293" t="e">
        <f t="shared" ref="CI345:CJ347" si="523">CI348/CI351*100</f>
        <v>#DIV/0!</v>
      </c>
      <c r="CJ345" s="293" t="e">
        <f t="shared" si="523"/>
        <v>#DIV/0!</v>
      </c>
      <c r="CK345" s="304"/>
      <c r="CL345" s="304"/>
      <c r="CM345" s="304"/>
      <c r="CN345" s="304"/>
      <c r="CO345" s="304"/>
      <c r="CP345" s="304"/>
      <c r="CQ345" s="304"/>
    </row>
    <row r="346" spans="1:95" ht="15" customHeight="1" x14ac:dyDescent="0.25">
      <c r="A346" s="101"/>
      <c r="B346" s="16" t="s">
        <v>1183</v>
      </c>
      <c r="C346" s="101"/>
      <c r="D346" s="101"/>
      <c r="E346" s="293" t="e">
        <f>E349/E352*100</f>
        <v>#DIV/0!</v>
      </c>
      <c r="F346" s="293">
        <v>19.57</v>
      </c>
      <c r="G346" s="293">
        <f t="shared" si="499"/>
        <v>3.7455931201728112</v>
      </c>
      <c r="H346" s="293">
        <f t="shared" si="499"/>
        <v>4.9402657264140721</v>
      </c>
      <c r="I346" s="293">
        <f t="shared" si="499"/>
        <v>6.4152169136262458</v>
      </c>
      <c r="J346" s="293">
        <f t="shared" si="499"/>
        <v>6.2135623033611083</v>
      </c>
      <c r="K346" s="293">
        <f t="shared" si="499"/>
        <v>7.4155823680525286</v>
      </c>
      <c r="L346" s="293">
        <f t="shared" si="499"/>
        <v>4.8067860508953819</v>
      </c>
      <c r="M346" s="293">
        <f t="shared" si="499"/>
        <v>5.6224899598393572</v>
      </c>
      <c r="N346" s="293">
        <f t="shared" si="499"/>
        <v>9.7560975609756095</v>
      </c>
      <c r="O346" s="281"/>
      <c r="P346" s="293">
        <f t="shared" si="500"/>
        <v>7.3507032510952266</v>
      </c>
      <c r="Q346" s="293">
        <f t="shared" si="500"/>
        <v>6.5222937158082708</v>
      </c>
      <c r="R346" s="293">
        <f t="shared" si="500"/>
        <v>6.336088154269973</v>
      </c>
      <c r="S346" s="293">
        <f t="shared" si="500"/>
        <v>5.7992565055762082</v>
      </c>
      <c r="T346" s="320"/>
      <c r="U346" s="293">
        <f t="shared" si="501"/>
        <v>1.2476007677543186</v>
      </c>
      <c r="V346" s="293">
        <f t="shared" si="501"/>
        <v>1.263157894736842</v>
      </c>
      <c r="W346" s="320"/>
      <c r="X346" s="293">
        <f t="shared" si="502"/>
        <v>3.9860139860139858</v>
      </c>
      <c r="Y346" s="293">
        <f t="shared" si="502"/>
        <v>4.169769173492182</v>
      </c>
      <c r="Z346" s="320"/>
      <c r="AA346" s="293">
        <f t="shared" si="503"/>
        <v>0.62240663900414939</v>
      </c>
      <c r="AB346" s="293">
        <f t="shared" si="503"/>
        <v>1.4592933947772657</v>
      </c>
      <c r="AC346" s="320"/>
      <c r="AD346" s="293">
        <f t="shared" si="504"/>
        <v>4.9504950495049505</v>
      </c>
      <c r="AE346" s="293">
        <f t="shared" si="504"/>
        <v>7.9518072289156621</v>
      </c>
      <c r="AF346" s="320"/>
      <c r="AG346" s="293">
        <f t="shared" si="505"/>
        <v>4.4198895027624303</v>
      </c>
      <c r="AH346" s="293">
        <f t="shared" si="505"/>
        <v>5.1546391752577314</v>
      </c>
      <c r="AI346" s="320"/>
      <c r="AJ346" s="293">
        <f t="shared" si="506"/>
        <v>12.975316877918614</v>
      </c>
      <c r="AK346" s="293">
        <f t="shared" si="506"/>
        <v>12.651030561478322</v>
      </c>
      <c r="AL346" s="320"/>
      <c r="AM346" s="293">
        <f t="shared" si="507"/>
        <v>5.6746765249537896</v>
      </c>
      <c r="AN346" s="293">
        <f t="shared" si="507"/>
        <v>6.1143270622286545</v>
      </c>
      <c r="AO346" s="320"/>
      <c r="AP346" s="293" t="e">
        <f t="shared" si="508"/>
        <v>#DIV/0!</v>
      </c>
      <c r="AQ346" s="293" t="e">
        <f t="shared" si="508"/>
        <v>#DIV/0!</v>
      </c>
      <c r="AR346" s="320"/>
      <c r="AS346" s="293">
        <f t="shared" si="509"/>
        <v>7.4855305466237949</v>
      </c>
      <c r="AT346" s="293">
        <f t="shared" si="509"/>
        <v>6.2540379894043152</v>
      </c>
      <c r="AU346" s="320"/>
      <c r="AV346" s="293">
        <f t="shared" si="510"/>
        <v>6.0807996668054978</v>
      </c>
      <c r="AW346" s="293">
        <f t="shared" si="510"/>
        <v>6.7573908962928195</v>
      </c>
      <c r="AX346" s="320"/>
      <c r="AY346" s="293">
        <f t="shared" si="511"/>
        <v>13.383702104695089</v>
      </c>
      <c r="AZ346" s="293">
        <f t="shared" si="511"/>
        <v>14.972487691862149</v>
      </c>
      <c r="BA346" s="320"/>
      <c r="BB346" s="293">
        <f t="shared" si="512"/>
        <v>1.8331675429870682</v>
      </c>
      <c r="BC346" s="293">
        <f t="shared" si="512"/>
        <v>1.7798872738059923</v>
      </c>
      <c r="BD346" s="320"/>
      <c r="BE346" s="293">
        <f t="shared" si="513"/>
        <v>4.217835120990725</v>
      </c>
      <c r="BF346" s="293">
        <f t="shared" si="513"/>
        <v>4.9050302650803586</v>
      </c>
      <c r="BG346" s="320"/>
      <c r="BH346" s="293">
        <f t="shared" si="514"/>
        <v>13.180338541666666</v>
      </c>
      <c r="BI346" s="293">
        <f t="shared" si="514"/>
        <v>9.1848156320956864</v>
      </c>
      <c r="BJ346" s="320"/>
      <c r="BK346" s="293">
        <f t="shared" si="515"/>
        <v>0.83449235048678716</v>
      </c>
      <c r="BL346" s="293">
        <f t="shared" si="515"/>
        <v>0.76657723265619016</v>
      </c>
      <c r="BM346" s="320"/>
      <c r="BN346" s="293">
        <f t="shared" si="516"/>
        <v>9.473299195318214</v>
      </c>
      <c r="BO346" s="293">
        <f t="shared" si="516"/>
        <v>10.524271844660193</v>
      </c>
      <c r="BP346" s="320"/>
      <c r="BQ346" s="293">
        <f t="shared" si="517"/>
        <v>1.6385424309122036</v>
      </c>
      <c r="BR346" s="293">
        <f t="shared" si="517"/>
        <v>3.0498836908761953</v>
      </c>
      <c r="BS346" s="320"/>
      <c r="BT346" s="293">
        <f t="shared" si="518"/>
        <v>2.0628448069081315</v>
      </c>
      <c r="BU346" s="293">
        <f t="shared" si="518"/>
        <v>2.1203155818540433</v>
      </c>
      <c r="BV346" s="320"/>
      <c r="BW346" s="293">
        <f t="shared" si="519"/>
        <v>4.286964129483815</v>
      </c>
      <c r="BX346" s="293">
        <f t="shared" si="519"/>
        <v>4.6468401486988844</v>
      </c>
      <c r="BY346" s="320"/>
      <c r="BZ346" s="293">
        <f t="shared" si="520"/>
        <v>4.9853372434017595</v>
      </c>
      <c r="CA346" s="293">
        <f t="shared" si="520"/>
        <v>4.3633478778262598</v>
      </c>
      <c r="CB346" s="320"/>
      <c r="CC346" s="293">
        <f t="shared" si="521"/>
        <v>1.3915005641218503</v>
      </c>
      <c r="CD346" s="293">
        <f t="shared" si="521"/>
        <v>2.1860095389507155</v>
      </c>
      <c r="CE346" s="320"/>
      <c r="CF346" s="293">
        <f t="shared" si="522"/>
        <v>73.076923076923066</v>
      </c>
      <c r="CG346" s="293">
        <f t="shared" si="522"/>
        <v>64.81481481481481</v>
      </c>
      <c r="CH346" s="320"/>
      <c r="CI346" s="293" t="e">
        <f t="shared" si="523"/>
        <v>#DIV/0!</v>
      </c>
      <c r="CJ346" s="293" t="e">
        <f t="shared" si="523"/>
        <v>#DIV/0!</v>
      </c>
      <c r="CK346" s="304"/>
      <c r="CL346" s="304"/>
      <c r="CM346" s="304"/>
      <c r="CN346" s="304"/>
      <c r="CO346" s="304"/>
      <c r="CP346" s="304"/>
      <c r="CQ346" s="304"/>
    </row>
    <row r="347" spans="1:95" x14ac:dyDescent="0.25">
      <c r="A347" s="101"/>
      <c r="B347" s="16" t="s">
        <v>1185</v>
      </c>
      <c r="C347" s="101"/>
      <c r="D347" s="101"/>
      <c r="E347" s="293" t="e">
        <f>E350/E353*100</f>
        <v>#DIV/0!</v>
      </c>
      <c r="F347" s="293">
        <v>1.1499999999999999</v>
      </c>
      <c r="G347" s="293">
        <f t="shared" si="499"/>
        <v>1.1228786525456169</v>
      </c>
      <c r="H347" s="293">
        <f t="shared" si="499"/>
        <v>1.7318794098781269</v>
      </c>
      <c r="I347" s="293">
        <f t="shared" si="499"/>
        <v>1.6580976863753212</v>
      </c>
      <c r="J347" s="293">
        <f t="shared" si="499"/>
        <v>2.696171944550426</v>
      </c>
      <c r="K347" s="293">
        <f t="shared" si="499"/>
        <v>2.321664862263924</v>
      </c>
      <c r="L347" s="293">
        <f t="shared" si="499"/>
        <v>2.3715415019762842</v>
      </c>
      <c r="M347" s="293">
        <f t="shared" si="499"/>
        <v>1.5406162464985995</v>
      </c>
      <c r="N347" s="293">
        <f t="shared" si="499"/>
        <v>1.6272189349112427</v>
      </c>
      <c r="O347" s="281"/>
      <c r="P347" s="293">
        <f t="shared" si="500"/>
        <v>2.8904731043421905</v>
      </c>
      <c r="Q347" s="293">
        <f t="shared" si="500"/>
        <v>4.106180008295313</v>
      </c>
      <c r="R347" s="293">
        <f t="shared" si="500"/>
        <v>0.44117647058823528</v>
      </c>
      <c r="S347" s="293">
        <f t="shared" si="500"/>
        <v>0</v>
      </c>
      <c r="T347" s="320"/>
      <c r="U347" s="293">
        <f t="shared" si="501"/>
        <v>0.53404539385847793</v>
      </c>
      <c r="V347" s="293">
        <f t="shared" si="501"/>
        <v>1.1142061281337048</v>
      </c>
      <c r="W347" s="320"/>
      <c r="X347" s="293">
        <f t="shared" si="502"/>
        <v>1.7350157728706623</v>
      </c>
      <c r="Y347" s="293">
        <f t="shared" si="502"/>
        <v>3.0110935023771792</v>
      </c>
      <c r="Z347" s="320"/>
      <c r="AA347" s="293">
        <f t="shared" si="503"/>
        <v>0.10649627263045794</v>
      </c>
      <c r="AB347" s="293">
        <f t="shared" si="503"/>
        <v>0.11210762331838565</v>
      </c>
      <c r="AC347" s="320"/>
      <c r="AD347" s="293">
        <f t="shared" si="504"/>
        <v>10.967741935483872</v>
      </c>
      <c r="AE347" s="293">
        <f t="shared" si="504"/>
        <v>7.4162679425837315</v>
      </c>
      <c r="AF347" s="320"/>
      <c r="AG347" s="293">
        <f t="shared" si="505"/>
        <v>1.7654476670870116</v>
      </c>
      <c r="AH347" s="293">
        <f t="shared" si="505"/>
        <v>1.8592297476759629</v>
      </c>
      <c r="AI347" s="320"/>
      <c r="AJ347" s="293">
        <f t="shared" si="506"/>
        <v>2.112676056338028</v>
      </c>
      <c r="AK347" s="293">
        <f t="shared" si="506"/>
        <v>5.4263565891472867</v>
      </c>
      <c r="AL347" s="320"/>
      <c r="AM347" s="293">
        <f t="shared" si="507"/>
        <v>3.7844036697247709</v>
      </c>
      <c r="AN347" s="293">
        <f t="shared" si="507"/>
        <v>7.0610687022900773</v>
      </c>
      <c r="AO347" s="320"/>
      <c r="AP347" s="293">
        <f t="shared" si="508"/>
        <v>7.0506454816285995</v>
      </c>
      <c r="AQ347" s="293">
        <f t="shared" si="508"/>
        <v>7.3326248671625933</v>
      </c>
      <c r="AR347" s="320"/>
      <c r="AS347" s="293" t="e">
        <f t="shared" si="509"/>
        <v>#DIV/0!</v>
      </c>
      <c r="AT347" s="293" t="e">
        <f t="shared" si="509"/>
        <v>#DIV/0!</v>
      </c>
      <c r="AU347" s="320"/>
      <c r="AV347" s="293" t="e">
        <f t="shared" si="510"/>
        <v>#DIV/0!</v>
      </c>
      <c r="AW347" s="293" t="e">
        <f t="shared" si="510"/>
        <v>#DIV/0!</v>
      </c>
      <c r="AX347" s="320"/>
      <c r="AY347" s="293" t="e">
        <f t="shared" si="511"/>
        <v>#DIV/0!</v>
      </c>
      <c r="AZ347" s="293" t="e">
        <f t="shared" si="511"/>
        <v>#DIV/0!</v>
      </c>
      <c r="BA347" s="320"/>
      <c r="BB347" s="293" t="e">
        <f t="shared" si="512"/>
        <v>#DIV/0!</v>
      </c>
      <c r="BC347" s="293" t="e">
        <f t="shared" si="512"/>
        <v>#DIV/0!</v>
      </c>
      <c r="BD347" s="320"/>
      <c r="BE347" s="293" t="e">
        <f t="shared" si="513"/>
        <v>#DIV/0!</v>
      </c>
      <c r="BF347" s="293" t="e">
        <f t="shared" si="513"/>
        <v>#DIV/0!</v>
      </c>
      <c r="BG347" s="320"/>
      <c r="BH347" s="293" t="e">
        <f t="shared" si="514"/>
        <v>#DIV/0!</v>
      </c>
      <c r="BI347" s="293" t="e">
        <f t="shared" si="514"/>
        <v>#DIV/0!</v>
      </c>
      <c r="BJ347" s="320"/>
      <c r="BK347" s="293" t="e">
        <f t="shared" si="515"/>
        <v>#DIV/0!</v>
      </c>
      <c r="BL347" s="293" t="e">
        <f t="shared" si="515"/>
        <v>#DIV/0!</v>
      </c>
      <c r="BM347" s="320"/>
      <c r="BN347" s="293" t="e">
        <f t="shared" si="516"/>
        <v>#DIV/0!</v>
      </c>
      <c r="BO347" s="293" t="e">
        <f t="shared" si="516"/>
        <v>#DIV/0!</v>
      </c>
      <c r="BP347" s="320"/>
      <c r="BQ347" s="293" t="e">
        <f t="shared" si="517"/>
        <v>#DIV/0!</v>
      </c>
      <c r="BR347" s="293" t="e">
        <f t="shared" si="517"/>
        <v>#DIV/0!</v>
      </c>
      <c r="BS347" s="320"/>
      <c r="BT347" s="293" t="e">
        <f t="shared" si="518"/>
        <v>#DIV/0!</v>
      </c>
      <c r="BU347" s="293" t="e">
        <f t="shared" si="518"/>
        <v>#DIV/0!</v>
      </c>
      <c r="BV347" s="320"/>
      <c r="BW347" s="293" t="e">
        <f t="shared" si="519"/>
        <v>#DIV/0!</v>
      </c>
      <c r="BX347" s="293" t="e">
        <f t="shared" si="519"/>
        <v>#DIV/0!</v>
      </c>
      <c r="BY347" s="320"/>
      <c r="BZ347" s="293" t="e">
        <f t="shared" si="520"/>
        <v>#DIV/0!</v>
      </c>
      <c r="CA347" s="293" t="e">
        <f t="shared" si="520"/>
        <v>#DIV/0!</v>
      </c>
      <c r="CB347" s="320"/>
      <c r="CC347" s="293" t="e">
        <f t="shared" si="521"/>
        <v>#DIV/0!</v>
      </c>
      <c r="CD347" s="293" t="e">
        <f t="shared" si="521"/>
        <v>#DIV/0!</v>
      </c>
      <c r="CE347" s="320"/>
      <c r="CF347" s="293" t="e">
        <f t="shared" si="522"/>
        <v>#DIV/0!</v>
      </c>
      <c r="CG347" s="293" t="e">
        <f t="shared" si="522"/>
        <v>#DIV/0!</v>
      </c>
      <c r="CH347" s="320"/>
      <c r="CI347" s="293" t="e">
        <f t="shared" si="523"/>
        <v>#DIV/0!</v>
      </c>
      <c r="CJ347" s="293" t="e">
        <f t="shared" si="523"/>
        <v>#DIV/0!</v>
      </c>
      <c r="CK347" s="304"/>
      <c r="CL347" s="304"/>
      <c r="CM347" s="304"/>
      <c r="CN347" s="304"/>
      <c r="CO347" s="304"/>
      <c r="CP347" s="304"/>
      <c r="CQ347" s="304"/>
    </row>
    <row r="348" spans="1:95" ht="45" x14ac:dyDescent="0.25">
      <c r="A348" s="102"/>
      <c r="B348" s="91" t="s">
        <v>79</v>
      </c>
      <c r="C348" s="101" t="s">
        <v>80</v>
      </c>
      <c r="D348" s="101" t="s">
        <v>950</v>
      </c>
      <c r="E348" s="292">
        <f t="shared" ref="E348:J348" si="524">E349+E350</f>
        <v>0</v>
      </c>
      <c r="F348" s="282">
        <f t="shared" si="524"/>
        <v>5938</v>
      </c>
      <c r="G348" s="282">
        <f t="shared" si="524"/>
        <v>3764</v>
      </c>
      <c r="H348" s="282">
        <f t="shared" si="524"/>
        <v>5151</v>
      </c>
      <c r="I348" s="103">
        <f t="shared" si="524"/>
        <v>6844</v>
      </c>
      <c r="J348" s="103">
        <f t="shared" si="524"/>
        <v>7065</v>
      </c>
      <c r="K348" s="103">
        <f>K349+K350</f>
        <v>8189</v>
      </c>
      <c r="L348" s="103">
        <f>L349+L350</f>
        <v>69</v>
      </c>
      <c r="M348" s="103">
        <f>M349+M350</f>
        <v>67</v>
      </c>
      <c r="N348" s="103">
        <f>N349+N350</f>
        <v>103</v>
      </c>
      <c r="O348" s="366"/>
      <c r="P348" s="103">
        <f>P349+P350</f>
        <v>8193</v>
      </c>
      <c r="Q348" s="103">
        <f>Q349+Q350</f>
        <v>7200</v>
      </c>
      <c r="R348" s="103">
        <f>R349+R350</f>
        <v>95</v>
      </c>
      <c r="S348" s="103">
        <f>S349+S350</f>
        <v>78</v>
      </c>
      <c r="T348" s="305"/>
      <c r="U348" s="103">
        <f>U349+U350</f>
        <v>17</v>
      </c>
      <c r="V348" s="103">
        <f>V349+V350</f>
        <v>20</v>
      </c>
      <c r="W348" s="305"/>
      <c r="X348" s="103">
        <f>X349+X350</f>
        <v>68</v>
      </c>
      <c r="Y348" s="103">
        <f>Y349+Y350</f>
        <v>75</v>
      </c>
      <c r="Z348" s="305"/>
      <c r="AA348" s="103">
        <f>AA349+AA350</f>
        <v>10</v>
      </c>
      <c r="AB348" s="103">
        <f>AB349+AB350</f>
        <v>20</v>
      </c>
      <c r="AC348" s="305"/>
      <c r="AD348" s="103">
        <f>AD349+AD350</f>
        <v>122</v>
      </c>
      <c r="AE348" s="103">
        <f>AE349+AE350</f>
        <v>163</v>
      </c>
      <c r="AF348" s="305"/>
      <c r="AG348" s="103">
        <f>AG349+AG350</f>
        <v>62</v>
      </c>
      <c r="AH348" s="103">
        <f>AH349+AH350</f>
        <v>69</v>
      </c>
      <c r="AI348" s="305"/>
      <c r="AJ348" s="103">
        <f>AJ349+AJ350</f>
        <v>392</v>
      </c>
      <c r="AK348" s="103">
        <f>AK349+AK350</f>
        <v>363</v>
      </c>
      <c r="AL348" s="305"/>
      <c r="AM348" s="103">
        <f>AM349+AM350</f>
        <v>406</v>
      </c>
      <c r="AN348" s="103">
        <f>AN349+AN350</f>
        <v>486</v>
      </c>
      <c r="AO348" s="305"/>
      <c r="AP348" s="103">
        <f>AP349+AP350</f>
        <v>71</v>
      </c>
      <c r="AQ348" s="103">
        <f>AQ349+AQ350</f>
        <v>69</v>
      </c>
      <c r="AR348" s="305"/>
      <c r="AS348" s="103">
        <f>AS349+AS350</f>
        <v>582</v>
      </c>
      <c r="AT348" s="103">
        <f>AT349+AT350</f>
        <v>484</v>
      </c>
      <c r="AU348" s="305"/>
      <c r="AV348" s="103">
        <f>AV349+AV350</f>
        <v>146</v>
      </c>
      <c r="AW348" s="103">
        <f>AW349+AW350</f>
        <v>144</v>
      </c>
      <c r="AX348" s="305"/>
      <c r="AY348" s="103">
        <f>AY349+AY350</f>
        <v>496</v>
      </c>
      <c r="AZ348" s="103">
        <f>AZ349+AZ350</f>
        <v>517</v>
      </c>
      <c r="BA348" s="305"/>
      <c r="BB348" s="103">
        <f>BB349+BB350</f>
        <v>129</v>
      </c>
      <c r="BC348" s="103">
        <f>BC349+BC350</f>
        <v>120</v>
      </c>
      <c r="BD348" s="305"/>
      <c r="BE348" s="103">
        <f>BE349+BE350</f>
        <v>814</v>
      </c>
      <c r="BF348" s="103">
        <f>BF349+BF350</f>
        <v>940</v>
      </c>
      <c r="BG348" s="305"/>
      <c r="BH348" s="103">
        <f>BH349+BH350</f>
        <v>4049</v>
      </c>
      <c r="BI348" s="103">
        <f>BI349+BI350</f>
        <v>2872</v>
      </c>
      <c r="BJ348" s="305"/>
      <c r="BK348" s="103">
        <f>BK349+BK350</f>
        <v>24</v>
      </c>
      <c r="BL348" s="103">
        <f>BL349+BL350</f>
        <v>20</v>
      </c>
      <c r="BM348" s="305"/>
      <c r="BN348" s="103">
        <f>BN349+BN350</f>
        <v>259</v>
      </c>
      <c r="BO348" s="103">
        <f>BO349+BO350</f>
        <v>271</v>
      </c>
      <c r="BP348" s="305"/>
      <c r="BQ348" s="103">
        <f>BQ349+BQ350</f>
        <v>67</v>
      </c>
      <c r="BR348" s="103">
        <f>BR349+BR350</f>
        <v>118</v>
      </c>
      <c r="BS348" s="305"/>
      <c r="BT348" s="103">
        <f>BT349+BT350</f>
        <v>86</v>
      </c>
      <c r="BU348" s="103">
        <f>BU349+BU350</f>
        <v>86</v>
      </c>
      <c r="BV348" s="305"/>
      <c r="BW348" s="103">
        <f>BW349+BW350</f>
        <v>49</v>
      </c>
      <c r="BX348" s="103">
        <f>BX349+BX350</f>
        <v>50</v>
      </c>
      <c r="BY348" s="305"/>
      <c r="BZ348" s="103">
        <f>BZ349+BZ350</f>
        <v>136</v>
      </c>
      <c r="CA348" s="103">
        <f>CA349+CA350</f>
        <v>110</v>
      </c>
      <c r="CB348" s="305"/>
      <c r="CC348" s="103">
        <f>CC349+CC350</f>
        <v>37</v>
      </c>
      <c r="CD348" s="103">
        <f>CD349+CD350</f>
        <v>55</v>
      </c>
      <c r="CE348" s="305"/>
      <c r="CF348" s="103">
        <f>CF349+CF350</f>
        <v>76</v>
      </c>
      <c r="CG348" s="103">
        <f>CG349+CG350</f>
        <v>70</v>
      </c>
      <c r="CH348" s="305"/>
      <c r="CI348" s="103">
        <f>CI349+CI350</f>
        <v>0</v>
      </c>
      <c r="CJ348" s="103">
        <f>CJ349+CJ350</f>
        <v>0</v>
      </c>
      <c r="CK348" s="304"/>
      <c r="CL348" s="304"/>
      <c r="CM348" s="304"/>
      <c r="CN348" s="304"/>
      <c r="CO348" s="304"/>
      <c r="CP348" s="304"/>
      <c r="CQ348" s="304"/>
    </row>
    <row r="349" spans="1:95" x14ac:dyDescent="0.25">
      <c r="A349" s="102"/>
      <c r="B349" s="16" t="s">
        <v>1183</v>
      </c>
      <c r="C349" s="101"/>
      <c r="D349" s="101"/>
      <c r="E349" s="292"/>
      <c r="F349" s="282">
        <v>5910</v>
      </c>
      <c r="G349" s="282">
        <v>3676</v>
      </c>
      <c r="H349" s="282">
        <v>5016</v>
      </c>
      <c r="I349" s="103">
        <v>6715</v>
      </c>
      <c r="J349" s="103">
        <v>6853</v>
      </c>
      <c r="K349" s="103">
        <v>7996</v>
      </c>
      <c r="L349" s="103">
        <v>51</v>
      </c>
      <c r="M349" s="103">
        <v>56</v>
      </c>
      <c r="N349" s="103">
        <v>92</v>
      </c>
      <c r="P349" s="286">
        <f>R349+U349+X349+AA349+AD349+AG349+AJ349+AM349+AP349+AS349+AV349+AY349+BB349+BE349+BH349+BK349+BN349+BQ349+BT349+BW349+BZ349+CC349+CF349+CI349</f>
        <v>7970</v>
      </c>
      <c r="Q349" s="286">
        <f>S349+V349+Y349+AB349+AE349+AH349+AK349+AN349+AQ349+AT349+AW349+AZ349+BC349+BF349+BI349+BL349+BO349+BR349+BU349+BX349+CA349+CD349+CG349+CJ349</f>
        <v>6903</v>
      </c>
      <c r="R349" s="302">
        <v>92</v>
      </c>
      <c r="S349" s="302">
        <v>78</v>
      </c>
      <c r="T349" s="302"/>
      <c r="U349" s="302">
        <v>13</v>
      </c>
      <c r="V349" s="302">
        <v>12</v>
      </c>
      <c r="W349" s="302"/>
      <c r="X349" s="302">
        <v>57</v>
      </c>
      <c r="Y349" s="302">
        <v>56</v>
      </c>
      <c r="Z349" s="302"/>
      <c r="AA349" s="302">
        <v>9</v>
      </c>
      <c r="AB349" s="302">
        <v>19</v>
      </c>
      <c r="AC349" s="302"/>
      <c r="AD349" s="302">
        <v>105</v>
      </c>
      <c r="AE349" s="302">
        <v>132</v>
      </c>
      <c r="AF349" s="302"/>
      <c r="AG349" s="302">
        <v>48</v>
      </c>
      <c r="AH349" s="302">
        <v>55</v>
      </c>
      <c r="AI349" s="302"/>
      <c r="AJ349" s="302">
        <v>389</v>
      </c>
      <c r="AK349" s="302">
        <v>356</v>
      </c>
      <c r="AL349" s="302"/>
      <c r="AM349" s="302">
        <v>307</v>
      </c>
      <c r="AN349" s="302">
        <v>338</v>
      </c>
      <c r="AO349" s="302"/>
      <c r="AP349" s="302">
        <v>0</v>
      </c>
      <c r="AQ349" s="302">
        <v>0</v>
      </c>
      <c r="AR349" s="302"/>
      <c r="AS349" s="302">
        <v>582</v>
      </c>
      <c r="AT349" s="302">
        <v>484</v>
      </c>
      <c r="AU349" s="302"/>
      <c r="AV349" s="302">
        <v>146</v>
      </c>
      <c r="AW349" s="302">
        <v>144</v>
      </c>
      <c r="AX349" s="302"/>
      <c r="AY349" s="302">
        <v>496</v>
      </c>
      <c r="AZ349" s="302">
        <v>517</v>
      </c>
      <c r="BA349" s="302"/>
      <c r="BB349" s="302">
        <v>129</v>
      </c>
      <c r="BC349" s="302">
        <v>120</v>
      </c>
      <c r="BD349" s="302"/>
      <c r="BE349" s="302">
        <v>814</v>
      </c>
      <c r="BF349" s="302">
        <v>940</v>
      </c>
      <c r="BG349" s="302"/>
      <c r="BH349" s="302">
        <v>4049</v>
      </c>
      <c r="BI349" s="302">
        <v>2872</v>
      </c>
      <c r="BJ349" s="302"/>
      <c r="BK349" s="302">
        <v>24</v>
      </c>
      <c r="BL349" s="302">
        <v>20</v>
      </c>
      <c r="BM349" s="302"/>
      <c r="BN349" s="302">
        <v>259</v>
      </c>
      <c r="BO349" s="302">
        <v>271</v>
      </c>
      <c r="BP349" s="302"/>
      <c r="BQ349" s="302">
        <v>67</v>
      </c>
      <c r="BR349" s="302">
        <v>118</v>
      </c>
      <c r="BS349" s="302"/>
      <c r="BT349" s="302">
        <v>86</v>
      </c>
      <c r="BU349" s="302">
        <v>86</v>
      </c>
      <c r="BV349" s="302"/>
      <c r="BW349" s="302">
        <v>49</v>
      </c>
      <c r="BX349" s="302">
        <v>50</v>
      </c>
      <c r="BY349" s="302"/>
      <c r="BZ349" s="302">
        <v>136</v>
      </c>
      <c r="CA349" s="302">
        <v>110</v>
      </c>
      <c r="CB349" s="302"/>
      <c r="CC349" s="302">
        <v>37</v>
      </c>
      <c r="CD349" s="302">
        <v>55</v>
      </c>
      <c r="CE349" s="302"/>
      <c r="CF349" s="302">
        <v>76</v>
      </c>
      <c r="CG349" s="302">
        <v>70</v>
      </c>
      <c r="CH349" s="302"/>
      <c r="CI349" s="302">
        <v>0</v>
      </c>
      <c r="CJ349" s="302">
        <v>0</v>
      </c>
      <c r="CK349" s="304"/>
      <c r="CL349" s="304"/>
      <c r="CM349" s="304"/>
      <c r="CN349" s="304"/>
      <c r="CO349" s="304"/>
      <c r="CP349" s="304"/>
      <c r="CQ349" s="304"/>
    </row>
    <row r="350" spans="1:95" x14ac:dyDescent="0.25">
      <c r="A350" s="102"/>
      <c r="B350" s="16" t="s">
        <v>1185</v>
      </c>
      <c r="C350" s="101"/>
      <c r="D350" s="101"/>
      <c r="E350" s="292"/>
      <c r="F350" s="292">
        <v>28</v>
      </c>
      <c r="G350" s="292">
        <v>88</v>
      </c>
      <c r="H350" s="292">
        <v>135</v>
      </c>
      <c r="I350" s="292">
        <v>129</v>
      </c>
      <c r="J350" s="292">
        <v>212</v>
      </c>
      <c r="K350" s="292">
        <v>193</v>
      </c>
      <c r="L350" s="292">
        <v>18</v>
      </c>
      <c r="M350" s="292">
        <v>11</v>
      </c>
      <c r="N350" s="292">
        <v>11</v>
      </c>
      <c r="P350" s="286">
        <f>R350+U350+X350+AA350+AD350+AG350+AJ350+AM350+AP350+AS350+AV350+AY350+BB350+BE350+BH350+BK350+BN350+BQ350+BT350+BW350+BZ350+CC350+CF350+CI350</f>
        <v>223</v>
      </c>
      <c r="Q350" s="286">
        <f>S350+V350+Y350+AB350+AE350+AH350+AK350+AN350+AQ350+AT350+AW350+AZ350+BC350+BF350+BI350+BL350+BO350+BR350+BU350+BX350+CA350+CD350+CG350+CJ350</f>
        <v>297</v>
      </c>
      <c r="R350" s="302">
        <v>3</v>
      </c>
      <c r="S350" s="302">
        <v>0</v>
      </c>
      <c r="T350" s="302"/>
      <c r="U350" s="302">
        <v>4</v>
      </c>
      <c r="V350" s="302">
        <v>8</v>
      </c>
      <c r="W350" s="302"/>
      <c r="X350" s="302">
        <v>11</v>
      </c>
      <c r="Y350" s="302">
        <v>19</v>
      </c>
      <c r="Z350" s="302"/>
      <c r="AA350" s="302">
        <v>1</v>
      </c>
      <c r="AB350" s="302">
        <v>1</v>
      </c>
      <c r="AC350" s="302"/>
      <c r="AD350" s="302">
        <v>17</v>
      </c>
      <c r="AE350" s="302">
        <v>31</v>
      </c>
      <c r="AF350" s="302"/>
      <c r="AG350" s="302">
        <v>14</v>
      </c>
      <c r="AH350" s="302">
        <v>14</v>
      </c>
      <c r="AI350" s="302"/>
      <c r="AJ350" s="302">
        <v>3</v>
      </c>
      <c r="AK350" s="302">
        <v>7</v>
      </c>
      <c r="AL350" s="302"/>
      <c r="AM350" s="302">
        <v>99</v>
      </c>
      <c r="AN350" s="302">
        <v>148</v>
      </c>
      <c r="AO350" s="302"/>
      <c r="AP350" s="302">
        <v>71</v>
      </c>
      <c r="AQ350" s="302">
        <v>69</v>
      </c>
      <c r="AR350" s="302"/>
      <c r="AS350" s="302">
        <v>0</v>
      </c>
      <c r="AT350" s="302">
        <v>0</v>
      </c>
      <c r="AU350" s="302"/>
      <c r="AV350" s="302">
        <v>0</v>
      </c>
      <c r="AW350" s="302">
        <v>0</v>
      </c>
      <c r="AX350" s="302"/>
      <c r="AY350" s="302">
        <v>0</v>
      </c>
      <c r="AZ350" s="302">
        <v>0</v>
      </c>
      <c r="BA350" s="302"/>
      <c r="BB350" s="302">
        <v>0</v>
      </c>
      <c r="BC350" s="302">
        <v>0</v>
      </c>
      <c r="BD350" s="302"/>
      <c r="BE350" s="302">
        <v>0</v>
      </c>
      <c r="BF350" s="302">
        <v>0</v>
      </c>
      <c r="BG350" s="302"/>
      <c r="BH350" s="302">
        <v>0</v>
      </c>
      <c r="BI350" s="302">
        <v>0</v>
      </c>
      <c r="BJ350" s="302"/>
      <c r="BK350" s="302">
        <v>0</v>
      </c>
      <c r="BL350" s="302">
        <v>0</v>
      </c>
      <c r="BM350" s="302"/>
      <c r="BN350" s="302">
        <v>0</v>
      </c>
      <c r="BO350" s="302">
        <v>0</v>
      </c>
      <c r="BP350" s="302"/>
      <c r="BQ350" s="302">
        <v>0</v>
      </c>
      <c r="BR350" s="302">
        <v>0</v>
      </c>
      <c r="BS350" s="302"/>
      <c r="BT350" s="302">
        <v>0</v>
      </c>
      <c r="BU350" s="302">
        <v>0</v>
      </c>
      <c r="BV350" s="302"/>
      <c r="BW350" s="302">
        <v>0</v>
      </c>
      <c r="BX350" s="302">
        <v>0</v>
      </c>
      <c r="BY350" s="302"/>
      <c r="BZ350" s="302">
        <v>0</v>
      </c>
      <c r="CA350" s="302">
        <v>0</v>
      </c>
      <c r="CB350" s="302"/>
      <c r="CC350" s="302">
        <v>0</v>
      </c>
      <c r="CD350" s="302">
        <v>0</v>
      </c>
      <c r="CE350" s="302"/>
      <c r="CF350" s="302">
        <v>0</v>
      </c>
      <c r="CG350" s="302">
        <v>0</v>
      </c>
      <c r="CH350" s="302"/>
      <c r="CI350" s="302">
        <v>0</v>
      </c>
      <c r="CJ350" s="302">
        <v>0</v>
      </c>
      <c r="CK350" s="304"/>
      <c r="CL350" s="304"/>
      <c r="CM350" s="304"/>
      <c r="CN350" s="304"/>
      <c r="CO350" s="304"/>
      <c r="CP350" s="304"/>
      <c r="CQ350" s="304"/>
    </row>
    <row r="351" spans="1:95" ht="45" x14ac:dyDescent="0.25">
      <c r="A351" s="102"/>
      <c r="B351" s="91" t="s">
        <v>16</v>
      </c>
      <c r="C351" s="101" t="s">
        <v>81</v>
      </c>
      <c r="D351" s="101" t="s">
        <v>950</v>
      </c>
      <c r="E351" s="292">
        <f t="shared" ref="E351:Y351" si="525">E352+E353</f>
        <v>0</v>
      </c>
      <c r="F351" s="282">
        <f t="shared" si="525"/>
        <v>98267</v>
      </c>
      <c r="G351" s="282">
        <f t="shared" si="525"/>
        <v>105979</v>
      </c>
      <c r="H351" s="282">
        <f t="shared" si="525"/>
        <v>109328</v>
      </c>
      <c r="I351" s="103">
        <f t="shared" si="525"/>
        <v>112453</v>
      </c>
      <c r="J351" s="103">
        <f t="shared" si="525"/>
        <v>118154</v>
      </c>
      <c r="K351" s="103">
        <f>K352+K353</f>
        <v>116140</v>
      </c>
      <c r="L351" s="103">
        <f>L352+L353</f>
        <v>1820</v>
      </c>
      <c r="M351" s="103">
        <f>M352+M353</f>
        <v>1710</v>
      </c>
      <c r="N351" s="103">
        <f>N352+N353</f>
        <v>1619</v>
      </c>
      <c r="O351" s="286" t="s">
        <v>1396</v>
      </c>
      <c r="P351" s="103">
        <f t="shared" si="525"/>
        <v>116140</v>
      </c>
      <c r="Q351" s="103">
        <f t="shared" si="525"/>
        <v>113070</v>
      </c>
      <c r="R351" s="103">
        <f t="shared" si="525"/>
        <v>2132</v>
      </c>
      <c r="S351" s="103">
        <f t="shared" si="525"/>
        <v>2000</v>
      </c>
      <c r="T351" s="305"/>
      <c r="U351" s="103">
        <f t="shared" si="525"/>
        <v>1791</v>
      </c>
      <c r="V351" s="103">
        <f t="shared" si="525"/>
        <v>1668</v>
      </c>
      <c r="W351" s="305"/>
      <c r="X351" s="103">
        <f t="shared" si="525"/>
        <v>2064</v>
      </c>
      <c r="Y351" s="103">
        <f t="shared" si="525"/>
        <v>1974</v>
      </c>
      <c r="Z351" s="305"/>
      <c r="AA351" s="103">
        <f>AA352+AA353</f>
        <v>2385</v>
      </c>
      <c r="AB351" s="103">
        <f>AB352+AB353</f>
        <v>2194</v>
      </c>
      <c r="AC351" s="305"/>
      <c r="AD351" s="103">
        <f>AD352+AD353</f>
        <v>2276</v>
      </c>
      <c r="AE351" s="103">
        <f>AE352+AE353</f>
        <v>2078</v>
      </c>
      <c r="AF351" s="305"/>
      <c r="AG351" s="103">
        <f>AG352+AG353</f>
        <v>1879</v>
      </c>
      <c r="AH351" s="103">
        <f>AH352+AH353</f>
        <v>1820</v>
      </c>
      <c r="AI351" s="305"/>
      <c r="AJ351" s="103">
        <f>AJ352+AJ353</f>
        <v>3140</v>
      </c>
      <c r="AK351" s="103">
        <f>AK352+AK353</f>
        <v>2943</v>
      </c>
      <c r="AL351" s="305"/>
      <c r="AM351" s="103">
        <f>AM352+AM353</f>
        <v>8026</v>
      </c>
      <c r="AN351" s="103">
        <f>AN352+AN353</f>
        <v>7624</v>
      </c>
      <c r="AO351" s="305"/>
      <c r="AP351" s="103">
        <f>AP352+AP353</f>
        <v>1007</v>
      </c>
      <c r="AQ351" s="103">
        <f>AQ352+AQ353</f>
        <v>941</v>
      </c>
      <c r="AR351" s="305"/>
      <c r="AS351" s="103">
        <f>AS352+AS353</f>
        <v>7775</v>
      </c>
      <c r="AT351" s="103">
        <f>AT352+AT353</f>
        <v>7739</v>
      </c>
      <c r="AU351" s="305"/>
      <c r="AV351" s="103">
        <f>AV352+AV353</f>
        <v>2401</v>
      </c>
      <c r="AW351" s="103">
        <f>AW352+AW353</f>
        <v>2131</v>
      </c>
      <c r="AX351" s="305"/>
      <c r="AY351" s="103">
        <f>AY352+AY353</f>
        <v>3706</v>
      </c>
      <c r="AZ351" s="103">
        <f>AZ352+AZ353</f>
        <v>3453</v>
      </c>
      <c r="BA351" s="305"/>
      <c r="BB351" s="103">
        <f>BB352+BB353</f>
        <v>7037</v>
      </c>
      <c r="BC351" s="103">
        <f>BC352+BC353</f>
        <v>6742</v>
      </c>
      <c r="BD351" s="305"/>
      <c r="BE351" s="103">
        <f>BE352+BE353</f>
        <v>19299</v>
      </c>
      <c r="BF351" s="103">
        <f>BF352+BF353</f>
        <v>19164</v>
      </c>
      <c r="BG351" s="305"/>
      <c r="BH351" s="103">
        <f>BH352+BH353</f>
        <v>30720</v>
      </c>
      <c r="BI351" s="103">
        <f>BI352+BI353</f>
        <v>31269</v>
      </c>
      <c r="BJ351" s="305"/>
      <c r="BK351" s="103">
        <f>BK352+BK353</f>
        <v>2876</v>
      </c>
      <c r="BL351" s="103">
        <f>BL352+BL353</f>
        <v>2609</v>
      </c>
      <c r="BM351" s="305"/>
      <c r="BN351" s="103">
        <f>BN352+BN353</f>
        <v>2734</v>
      </c>
      <c r="BO351" s="103">
        <f>BO352+BO353</f>
        <v>2575</v>
      </c>
      <c r="BP351" s="305"/>
      <c r="BQ351" s="103">
        <f>BQ352+BQ353</f>
        <v>4089</v>
      </c>
      <c r="BR351" s="103">
        <f>BR352+BR353</f>
        <v>3869</v>
      </c>
      <c r="BS351" s="305"/>
      <c r="BT351" s="103">
        <f>BT352+BT353</f>
        <v>4169</v>
      </c>
      <c r="BU351" s="103">
        <f>BU352+BU353</f>
        <v>4056</v>
      </c>
      <c r="BV351" s="305"/>
      <c r="BW351" s="103">
        <f>BW352+BW353</f>
        <v>1143</v>
      </c>
      <c r="BX351" s="103">
        <f>BX352+BX353</f>
        <v>1076</v>
      </c>
      <c r="BY351" s="305"/>
      <c r="BZ351" s="103">
        <f>BZ352+BZ353</f>
        <v>2728</v>
      </c>
      <c r="CA351" s="103">
        <f>CA352+CA353</f>
        <v>2521</v>
      </c>
      <c r="CB351" s="305"/>
      <c r="CC351" s="103">
        <f>CC352+CC353</f>
        <v>2659</v>
      </c>
      <c r="CD351" s="103">
        <f>CD352+CD353</f>
        <v>2516</v>
      </c>
      <c r="CE351" s="305"/>
      <c r="CF351" s="103">
        <f>CF352+CF353</f>
        <v>104</v>
      </c>
      <c r="CG351" s="103">
        <f>CG352+CG353</f>
        <v>108</v>
      </c>
      <c r="CH351" s="305"/>
      <c r="CI351" s="103">
        <f>CI352+CI353</f>
        <v>0</v>
      </c>
      <c r="CJ351" s="103">
        <f>CJ352+CJ353</f>
        <v>0</v>
      </c>
      <c r="CK351" s="304"/>
      <c r="CL351" s="304"/>
      <c r="CM351" s="304"/>
      <c r="CN351" s="304"/>
      <c r="CO351" s="304"/>
      <c r="CP351" s="304"/>
      <c r="CQ351" s="304"/>
    </row>
    <row r="352" spans="1:95" x14ac:dyDescent="0.25">
      <c r="A352" s="102"/>
      <c r="B352" s="16" t="s">
        <v>1183</v>
      </c>
      <c r="C352" s="101"/>
      <c r="D352" s="101"/>
      <c r="E352" s="103"/>
      <c r="F352" s="282">
        <v>90767</v>
      </c>
      <c r="G352" s="282">
        <v>98142</v>
      </c>
      <c r="H352" s="282">
        <v>101533</v>
      </c>
      <c r="I352" s="103">
        <f>105763-1090</f>
        <v>104673</v>
      </c>
      <c r="J352" s="103">
        <f t="shared" ref="J352:J353" si="526">J52</f>
        <v>110291</v>
      </c>
      <c r="K352" s="103">
        <f>K215</f>
        <v>107827</v>
      </c>
      <c r="L352" s="103">
        <f t="shared" ref="L352:N352" si="527">L215</f>
        <v>1061</v>
      </c>
      <c r="M352" s="103">
        <f t="shared" si="527"/>
        <v>996</v>
      </c>
      <c r="N352" s="103">
        <f t="shared" si="527"/>
        <v>943</v>
      </c>
      <c r="O352" s="286"/>
      <c r="P352" s="286">
        <f>R352+U352+X352+AA352+AD352+AG352+AJ352+AM352+AP352+AS352+AV352+AY352+BB352+BE352+BH352+BK352+BN352+BQ352+BT352+BW352+BZ352+CC352+CF352+CI352</f>
        <v>108425</v>
      </c>
      <c r="Q352" s="286">
        <f>S352+V352+Y352+AB352+AE352+AH352+AK352+AN352+AQ352+AT352+AW352+AZ352+BC352+BF352+BI352+BL352+BO352+BR352+BU352+BX352+CA352+CD352+CG352+CJ352</f>
        <v>105837</v>
      </c>
      <c r="R352" s="286">
        <f>R215</f>
        <v>1452</v>
      </c>
      <c r="S352" s="286">
        <f>S215</f>
        <v>1345</v>
      </c>
      <c r="T352" s="286"/>
      <c r="U352" s="286">
        <f>U215</f>
        <v>1042</v>
      </c>
      <c r="V352" s="286">
        <f>V215</f>
        <v>950</v>
      </c>
      <c r="W352" s="286"/>
      <c r="X352" s="286">
        <f>X215</f>
        <v>1430</v>
      </c>
      <c r="Y352" s="286">
        <f>Y215</f>
        <v>1343</v>
      </c>
      <c r="Z352" s="286"/>
      <c r="AA352" s="286">
        <f>AA215</f>
        <v>1446</v>
      </c>
      <c r="AB352" s="286">
        <f>AB215</f>
        <v>1302</v>
      </c>
      <c r="AC352" s="286"/>
      <c r="AD352" s="286">
        <f>AD215</f>
        <v>2121</v>
      </c>
      <c r="AE352" s="286">
        <f>AE215</f>
        <v>1660</v>
      </c>
      <c r="AF352" s="286"/>
      <c r="AG352" s="286">
        <f>AG215</f>
        <v>1086</v>
      </c>
      <c r="AH352" s="286">
        <f>AH215</f>
        <v>1067</v>
      </c>
      <c r="AI352" s="286"/>
      <c r="AJ352" s="286">
        <f>AJ215</f>
        <v>2998</v>
      </c>
      <c r="AK352" s="286">
        <f>AK215</f>
        <v>2814</v>
      </c>
      <c r="AL352" s="286"/>
      <c r="AM352" s="286">
        <f>AM215</f>
        <v>5410</v>
      </c>
      <c r="AN352" s="286">
        <f>AN215</f>
        <v>5528</v>
      </c>
      <c r="AO352" s="286"/>
      <c r="AP352" s="286">
        <f>AP215</f>
        <v>0</v>
      </c>
      <c r="AQ352" s="286">
        <f>AQ215</f>
        <v>0</v>
      </c>
      <c r="AR352" s="286"/>
      <c r="AS352" s="286">
        <f>AS215</f>
        <v>7775</v>
      </c>
      <c r="AT352" s="286">
        <f>AT215</f>
        <v>7739</v>
      </c>
      <c r="AU352" s="286"/>
      <c r="AV352" s="286">
        <f>AV215</f>
        <v>2401</v>
      </c>
      <c r="AW352" s="286">
        <f>AW215</f>
        <v>2131</v>
      </c>
      <c r="AX352" s="286"/>
      <c r="AY352" s="286">
        <f>AY215</f>
        <v>3706</v>
      </c>
      <c r="AZ352" s="286">
        <f>AZ215</f>
        <v>3453</v>
      </c>
      <c r="BA352" s="286"/>
      <c r="BB352" s="286">
        <f>BB215</f>
        <v>7037</v>
      </c>
      <c r="BC352" s="286">
        <f>BC215</f>
        <v>6742</v>
      </c>
      <c r="BD352" s="286"/>
      <c r="BE352" s="286">
        <f>BE215</f>
        <v>19299</v>
      </c>
      <c r="BF352" s="286">
        <f>BF215</f>
        <v>19164</v>
      </c>
      <c r="BG352" s="286"/>
      <c r="BH352" s="286">
        <f>BH215</f>
        <v>30720</v>
      </c>
      <c r="BI352" s="286">
        <f>BI215</f>
        <v>31269</v>
      </c>
      <c r="BJ352" s="286"/>
      <c r="BK352" s="286">
        <f>BK215</f>
        <v>2876</v>
      </c>
      <c r="BL352" s="286">
        <f>BL215</f>
        <v>2609</v>
      </c>
      <c r="BM352" s="286"/>
      <c r="BN352" s="286">
        <f>BN215</f>
        <v>2734</v>
      </c>
      <c r="BO352" s="286">
        <f>BO215</f>
        <v>2575</v>
      </c>
      <c r="BP352" s="286"/>
      <c r="BQ352" s="286">
        <f>BQ215</f>
        <v>4089</v>
      </c>
      <c r="BR352" s="286">
        <f>BR215</f>
        <v>3869</v>
      </c>
      <c r="BS352" s="286"/>
      <c r="BT352" s="286">
        <f>BT215</f>
        <v>4169</v>
      </c>
      <c r="BU352" s="286">
        <f>BU215</f>
        <v>4056</v>
      </c>
      <c r="BV352" s="286"/>
      <c r="BW352" s="286">
        <f>BW215</f>
        <v>1143</v>
      </c>
      <c r="BX352" s="286">
        <f>BX215</f>
        <v>1076</v>
      </c>
      <c r="BY352" s="286"/>
      <c r="BZ352" s="286">
        <f>BZ215</f>
        <v>2728</v>
      </c>
      <c r="CA352" s="286">
        <f>CA215</f>
        <v>2521</v>
      </c>
      <c r="CB352" s="286"/>
      <c r="CC352" s="286">
        <f>CC215</f>
        <v>2659</v>
      </c>
      <c r="CD352" s="286">
        <f>CD215</f>
        <v>2516</v>
      </c>
      <c r="CE352" s="286"/>
      <c r="CF352" s="286">
        <f>CF215</f>
        <v>104</v>
      </c>
      <c r="CG352" s="286">
        <f>CG215</f>
        <v>108</v>
      </c>
      <c r="CH352" s="286"/>
      <c r="CI352" s="286">
        <f>CI215</f>
        <v>0</v>
      </c>
      <c r="CJ352" s="286">
        <f>CJ215</f>
        <v>0</v>
      </c>
      <c r="CK352" s="304"/>
      <c r="CL352" s="304"/>
      <c r="CM352" s="304"/>
      <c r="CN352" s="304"/>
      <c r="CO352" s="304"/>
      <c r="CP352" s="304"/>
      <c r="CQ352" s="304"/>
    </row>
    <row r="353" spans="1:95" x14ac:dyDescent="0.25">
      <c r="A353" s="102"/>
      <c r="B353" s="16" t="s">
        <v>1185</v>
      </c>
      <c r="C353" s="101"/>
      <c r="D353" s="101"/>
      <c r="E353" s="103"/>
      <c r="F353" s="282">
        <v>7500</v>
      </c>
      <c r="G353" s="282">
        <v>7837</v>
      </c>
      <c r="H353" s="282">
        <v>7795</v>
      </c>
      <c r="I353" s="103">
        <v>7780</v>
      </c>
      <c r="J353" s="103">
        <f t="shared" si="526"/>
        <v>7863</v>
      </c>
      <c r="K353" s="103">
        <f>K216</f>
        <v>8313</v>
      </c>
      <c r="L353" s="103">
        <f>L216</f>
        <v>759</v>
      </c>
      <c r="M353" s="103">
        <f>M216</f>
        <v>714</v>
      </c>
      <c r="N353" s="103">
        <f>N216</f>
        <v>676</v>
      </c>
      <c r="O353" s="286"/>
      <c r="P353" s="286">
        <f>R353+U353+X353+AA353+AD353+AG353+AJ353+AM353+AP353+AS353+AV353+AY353+BB353+BE353+BH353+BK353+BN353+BQ353+BT353+BW353+BZ353+CC353+CF353+CI353</f>
        <v>7715</v>
      </c>
      <c r="Q353" s="286">
        <f>S353+V353+Y353+AB353+AE353+AH353+AK353+AN353+AQ353+AT353+AW353+AZ353+BC353+BF353+BI353+BL353+BO353+BR353+BU353+BX353+CA353+CD353+CG353+CJ353</f>
        <v>7233</v>
      </c>
      <c r="R353" s="286">
        <f>R216</f>
        <v>680</v>
      </c>
      <c r="S353" s="286">
        <f>S216</f>
        <v>655</v>
      </c>
      <c r="T353" s="286"/>
      <c r="U353" s="286">
        <f>U216</f>
        <v>749</v>
      </c>
      <c r="V353" s="286">
        <f>V216</f>
        <v>718</v>
      </c>
      <c r="W353" s="286"/>
      <c r="X353" s="286">
        <f>X216</f>
        <v>634</v>
      </c>
      <c r="Y353" s="286">
        <f>Y216</f>
        <v>631</v>
      </c>
      <c r="Z353" s="286"/>
      <c r="AA353" s="286">
        <f>AA216</f>
        <v>939</v>
      </c>
      <c r="AB353" s="286">
        <f>AB216</f>
        <v>892</v>
      </c>
      <c r="AC353" s="286"/>
      <c r="AD353" s="286">
        <f>AD216</f>
        <v>155</v>
      </c>
      <c r="AE353" s="286">
        <f>AE216</f>
        <v>418</v>
      </c>
      <c r="AF353" s="286"/>
      <c r="AG353" s="286">
        <f>AG216</f>
        <v>793</v>
      </c>
      <c r="AH353" s="286">
        <f>AH216</f>
        <v>753</v>
      </c>
      <c r="AI353" s="286"/>
      <c r="AJ353" s="286">
        <f>AJ216</f>
        <v>142</v>
      </c>
      <c r="AK353" s="286">
        <f>AK216</f>
        <v>129</v>
      </c>
      <c r="AL353" s="286"/>
      <c r="AM353" s="286">
        <f>AM216</f>
        <v>2616</v>
      </c>
      <c r="AN353" s="286">
        <f>AN216</f>
        <v>2096</v>
      </c>
      <c r="AO353" s="286"/>
      <c r="AP353" s="286">
        <f>AP216</f>
        <v>1007</v>
      </c>
      <c r="AQ353" s="286">
        <f>AQ216</f>
        <v>941</v>
      </c>
      <c r="AR353" s="286"/>
      <c r="AS353" s="286">
        <f>AS216</f>
        <v>0</v>
      </c>
      <c r="AT353" s="286">
        <f>AT216</f>
        <v>0</v>
      </c>
      <c r="AU353" s="286"/>
      <c r="AV353" s="286">
        <f>AV216</f>
        <v>0</v>
      </c>
      <c r="AW353" s="286">
        <f>AW216</f>
        <v>0</v>
      </c>
      <c r="AX353" s="286"/>
      <c r="AY353" s="286">
        <f>AY216</f>
        <v>0</v>
      </c>
      <c r="AZ353" s="286">
        <f>AZ216</f>
        <v>0</v>
      </c>
      <c r="BA353" s="286"/>
      <c r="BB353" s="286">
        <f>BB216</f>
        <v>0</v>
      </c>
      <c r="BC353" s="286">
        <f>BC216</f>
        <v>0</v>
      </c>
      <c r="BD353" s="286"/>
      <c r="BE353" s="286">
        <f>BE216</f>
        <v>0</v>
      </c>
      <c r="BF353" s="286">
        <f>BF216</f>
        <v>0</v>
      </c>
      <c r="BG353" s="286"/>
      <c r="BH353" s="286">
        <f>BH216</f>
        <v>0</v>
      </c>
      <c r="BI353" s="286">
        <f>BI216</f>
        <v>0</v>
      </c>
      <c r="BJ353" s="286"/>
      <c r="BK353" s="286">
        <f>BK216</f>
        <v>0</v>
      </c>
      <c r="BL353" s="286">
        <f>BL216</f>
        <v>0</v>
      </c>
      <c r="BM353" s="286"/>
      <c r="BN353" s="286">
        <f>BN216</f>
        <v>0</v>
      </c>
      <c r="BO353" s="286">
        <f>BO216</f>
        <v>0</v>
      </c>
      <c r="BP353" s="286"/>
      <c r="BQ353" s="286">
        <f>BQ216</f>
        <v>0</v>
      </c>
      <c r="BR353" s="286">
        <f>BR216</f>
        <v>0</v>
      </c>
      <c r="BS353" s="286"/>
      <c r="BT353" s="286">
        <f>BT216</f>
        <v>0</v>
      </c>
      <c r="BU353" s="286">
        <f>BU216</f>
        <v>0</v>
      </c>
      <c r="BV353" s="286"/>
      <c r="BW353" s="286">
        <f>BW216</f>
        <v>0</v>
      </c>
      <c r="BX353" s="286">
        <f>BX216</f>
        <v>0</v>
      </c>
      <c r="BY353" s="286"/>
      <c r="BZ353" s="286">
        <f>BZ216</f>
        <v>0</v>
      </c>
      <c r="CA353" s="286">
        <f>CA216</f>
        <v>0</v>
      </c>
      <c r="CB353" s="286"/>
      <c r="CC353" s="286">
        <f>CC216</f>
        <v>0</v>
      </c>
      <c r="CD353" s="286">
        <f>CD216</f>
        <v>0</v>
      </c>
      <c r="CE353" s="286"/>
      <c r="CF353" s="286">
        <f>CF216</f>
        <v>0</v>
      </c>
      <c r="CG353" s="286">
        <f>CG216</f>
        <v>0</v>
      </c>
      <c r="CH353" s="286"/>
      <c r="CI353" s="286">
        <f>CI216</f>
        <v>0</v>
      </c>
      <c r="CJ353" s="286">
        <f>CJ216</f>
        <v>0</v>
      </c>
      <c r="CK353" s="304"/>
      <c r="CL353" s="304"/>
      <c r="CM353" s="304"/>
      <c r="CN353" s="304"/>
      <c r="CO353" s="304"/>
      <c r="CP353" s="304"/>
      <c r="CQ353" s="304"/>
    </row>
    <row r="354" spans="1:95" ht="60" x14ac:dyDescent="0.25">
      <c r="A354" s="95" t="s">
        <v>83</v>
      </c>
      <c r="B354" s="96" t="s">
        <v>1634</v>
      </c>
      <c r="C354" s="107"/>
      <c r="D354" s="95" t="s">
        <v>8</v>
      </c>
      <c r="E354" s="279">
        <f t="shared" ref="E354:N356" si="528">E357/E360*100</f>
        <v>0.620973285333147</v>
      </c>
      <c r="F354" s="279">
        <v>2.0499999999999998</v>
      </c>
      <c r="G354" s="279">
        <f t="shared" si="528"/>
        <v>0.74920503118542348</v>
      </c>
      <c r="H354" s="279">
        <f t="shared" si="528"/>
        <v>0.85796868139909266</v>
      </c>
      <c r="I354" s="279">
        <f t="shared" si="528"/>
        <v>0.92838785981699012</v>
      </c>
      <c r="J354" s="279">
        <f t="shared" si="528"/>
        <v>0.93778454782956489</v>
      </c>
      <c r="K354" s="279">
        <f t="shared" si="528"/>
        <v>0.93593938350266925</v>
      </c>
      <c r="L354" s="279">
        <f t="shared" si="528"/>
        <v>1.0439560439560438</v>
      </c>
      <c r="M354" s="279">
        <f t="shared" si="528"/>
        <v>1.0526315789473684</v>
      </c>
      <c r="N354" s="279">
        <f t="shared" si="528"/>
        <v>0.86473131562693017</v>
      </c>
      <c r="O354" s="281" t="s">
        <v>85</v>
      </c>
      <c r="P354" s="282">
        <f t="shared" ref="P354:R356" si="529">P357/P360*100</f>
        <v>0.93593938350266925</v>
      </c>
      <c r="Q354" s="282">
        <f t="shared" si="529"/>
        <v>1.0170690722561244</v>
      </c>
      <c r="R354" s="282">
        <f>R357/R360*100</f>
        <v>1.2664165103189493</v>
      </c>
      <c r="S354" s="282">
        <f>S357/S360*100</f>
        <v>1.6500000000000001</v>
      </c>
      <c r="T354" s="305"/>
      <c r="U354" s="282">
        <f t="shared" ref="U354:V356" si="530">U357/U360*100</f>
        <v>0.67001675041876052</v>
      </c>
      <c r="V354" s="282">
        <f t="shared" si="530"/>
        <v>0.83932853717026379</v>
      </c>
      <c r="W354" s="305"/>
      <c r="X354" s="282">
        <f t="shared" ref="X354:Y356" si="531">X357/X360*100</f>
        <v>1.0174418604651163</v>
      </c>
      <c r="Y354" s="282">
        <f t="shared" si="531"/>
        <v>1.0131712259371835</v>
      </c>
      <c r="Z354" s="305"/>
      <c r="AA354" s="282">
        <f t="shared" ref="AA354:AB356" si="532">AA357/AA360*100</f>
        <v>0.79664570230607956</v>
      </c>
      <c r="AB354" s="282">
        <f t="shared" si="532"/>
        <v>0.8659981768459436</v>
      </c>
      <c r="AC354" s="305"/>
      <c r="AD354" s="282">
        <f t="shared" ref="AD354:AE356" si="533">AD357/AD360*100</f>
        <v>0.52724077328646746</v>
      </c>
      <c r="AE354" s="282">
        <f t="shared" si="533"/>
        <v>0.52935514918190563</v>
      </c>
      <c r="AF354" s="305"/>
      <c r="AG354" s="282">
        <f t="shared" ref="AG354:AH356" si="534">AG357/AG360*100</f>
        <v>0.90473656200106434</v>
      </c>
      <c r="AH354" s="282">
        <f t="shared" si="534"/>
        <v>1.0439560439560438</v>
      </c>
      <c r="AI354" s="305"/>
      <c r="AJ354" s="282">
        <f t="shared" ref="AJ354:AK356" si="535">AJ357/AJ360*100</f>
        <v>1.8152866242038217</v>
      </c>
      <c r="AK354" s="282">
        <f t="shared" si="535"/>
        <v>1.6309887869520898</v>
      </c>
      <c r="AL354" s="305"/>
      <c r="AM354" s="282">
        <f t="shared" ref="AM354:AN356" si="536">AM357/AM360*100</f>
        <v>0.78494891602292549</v>
      </c>
      <c r="AN354" s="282">
        <f t="shared" si="536"/>
        <v>0.90503672612801678</v>
      </c>
      <c r="AO354" s="305"/>
      <c r="AP354" s="282">
        <f t="shared" ref="AP354:AQ356" si="537">AP357/AP360*100</f>
        <v>1.3902681231380336</v>
      </c>
      <c r="AQ354" s="282">
        <f t="shared" si="537"/>
        <v>0.95642933049946877</v>
      </c>
      <c r="AR354" s="305"/>
      <c r="AS354" s="282">
        <f t="shared" ref="AS354:AT356" si="538">AS357/AS360*100</f>
        <v>0.95176848874598075</v>
      </c>
      <c r="AT354" s="282">
        <f t="shared" si="538"/>
        <v>1.020803721411035</v>
      </c>
      <c r="AU354" s="305"/>
      <c r="AV354" s="282">
        <f t="shared" ref="AV354:AW356" si="539">AV357/AV360*100</f>
        <v>0.62473969179508537</v>
      </c>
      <c r="AW354" s="282">
        <f t="shared" si="539"/>
        <v>0.70389488503050213</v>
      </c>
      <c r="AX354" s="305"/>
      <c r="AY354" s="282">
        <f t="shared" ref="AY354:AZ356" si="540">AY357/AY360*100</f>
        <v>0.7825148407987047</v>
      </c>
      <c r="AZ354" s="282">
        <f t="shared" si="540"/>
        <v>0.92673037938024905</v>
      </c>
      <c r="BA354" s="305"/>
      <c r="BB354" s="282">
        <f t="shared" ref="BB354:BC356" si="541">BB357/BB360*100</f>
        <v>0.753161858746625</v>
      </c>
      <c r="BC354" s="282">
        <f t="shared" si="541"/>
        <v>0.90477603085137948</v>
      </c>
      <c r="BD354" s="305"/>
      <c r="BE354" s="282">
        <f t="shared" ref="BE354:BF356" si="542">BE357/BE360*100</f>
        <v>0.96896212238976109</v>
      </c>
      <c r="BF354" s="282">
        <f t="shared" si="542"/>
        <v>0.98622417031934884</v>
      </c>
      <c r="BG354" s="305"/>
      <c r="BH354" s="282">
        <f t="shared" ref="BH354:BI356" si="543">BH357/BH360*100</f>
        <v>0.83333333333333337</v>
      </c>
      <c r="BI354" s="282">
        <f t="shared" si="543"/>
        <v>0.87626722952444913</v>
      </c>
      <c r="BJ354" s="305"/>
      <c r="BK354" s="282">
        <f t="shared" ref="BK354:BL356" si="544">BK357/BK360*100</f>
        <v>0.76495132127955501</v>
      </c>
      <c r="BL354" s="282">
        <f t="shared" si="544"/>
        <v>0.72824837102338058</v>
      </c>
      <c r="BM354" s="305"/>
      <c r="BN354" s="282">
        <f t="shared" ref="BN354:BO356" si="545">BN357/BN360*100</f>
        <v>0.98756400877834682</v>
      </c>
      <c r="BO354" s="282">
        <f t="shared" si="545"/>
        <v>1.2815533980582523</v>
      </c>
      <c r="BP354" s="305"/>
      <c r="BQ354" s="282">
        <f t="shared" ref="BQ354:BR356" si="546">BQ357/BQ360*100</f>
        <v>1.1249694301785278</v>
      </c>
      <c r="BR354" s="282">
        <f t="shared" si="546"/>
        <v>1.3957094856552081</v>
      </c>
      <c r="BS354" s="305"/>
      <c r="BT354" s="282">
        <f t="shared" ref="BT354:BU356" si="547">BT357/BT360*100</f>
        <v>0.71959702566562722</v>
      </c>
      <c r="BU354" s="282">
        <f t="shared" si="547"/>
        <v>0.76429980276134124</v>
      </c>
      <c r="BV354" s="305"/>
      <c r="BW354" s="282">
        <f t="shared" ref="BW354:BX356" si="548">BW357/BW360*100</f>
        <v>1.4873140857392826</v>
      </c>
      <c r="BX354" s="282">
        <f t="shared" si="548"/>
        <v>1.8587360594795539</v>
      </c>
      <c r="BY354" s="305"/>
      <c r="BZ354" s="282">
        <f t="shared" ref="BZ354:CA356" si="549">BZ357/BZ360*100</f>
        <v>0.76979472140762462</v>
      </c>
      <c r="CA354" s="282">
        <f t="shared" si="549"/>
        <v>1.0313367711225703</v>
      </c>
      <c r="CB354" s="305"/>
      <c r="CC354" s="282">
        <f t="shared" ref="CC354:CD356" si="550">CC357/CC360*100</f>
        <v>0.8273787138021812</v>
      </c>
      <c r="CD354" s="282">
        <f t="shared" si="550"/>
        <v>0.91414944356120831</v>
      </c>
      <c r="CE354" s="305"/>
      <c r="CF354" s="282">
        <f t="shared" ref="CF354:CG356" si="551">CF357/CF360*100</f>
        <v>44.230769230769226</v>
      </c>
      <c r="CG354" s="282">
        <f t="shared" si="551"/>
        <v>48.148148148148145</v>
      </c>
      <c r="CH354" s="305"/>
      <c r="CI354" s="282" t="e">
        <f t="shared" ref="CI354:CJ356" si="552">CI357/CI360*100</f>
        <v>#DIV/0!</v>
      </c>
      <c r="CJ354" s="282" t="e">
        <f t="shared" si="552"/>
        <v>#DIV/0!</v>
      </c>
      <c r="CK354" s="304"/>
      <c r="CL354" s="304"/>
      <c r="CM354" s="304"/>
      <c r="CN354" s="304"/>
      <c r="CO354" s="304"/>
      <c r="CP354" s="304"/>
      <c r="CQ354" s="304"/>
    </row>
    <row r="355" spans="1:95" x14ac:dyDescent="0.25">
      <c r="A355" s="95"/>
      <c r="B355" s="16" t="s">
        <v>1183</v>
      </c>
      <c r="C355" s="107"/>
      <c r="D355" s="95" t="s">
        <v>8</v>
      </c>
      <c r="E355" s="279">
        <f t="shared" si="528"/>
        <v>0.64170987089559828</v>
      </c>
      <c r="F355" s="279">
        <v>2.31</v>
      </c>
      <c r="G355" s="279">
        <f t="shared" si="528"/>
        <v>0.77133133622709948</v>
      </c>
      <c r="H355" s="279">
        <f t="shared" si="528"/>
        <v>0.86572838387519324</v>
      </c>
      <c r="I355" s="279">
        <f t="shared" si="528"/>
        <v>0.94198121769701826</v>
      </c>
      <c r="J355" s="279">
        <f t="shared" si="528"/>
        <v>0.94757770319568069</v>
      </c>
      <c r="K355" s="279">
        <f t="shared" si="528"/>
        <v>0.94503232029083617</v>
      </c>
      <c r="L355" s="279">
        <f t="shared" si="528"/>
        <v>1.1310084825636193</v>
      </c>
      <c r="M355" s="279">
        <f t="shared" si="528"/>
        <v>0.80321285140562237</v>
      </c>
      <c r="N355" s="279">
        <f t="shared" si="528"/>
        <v>1.2725344644750796</v>
      </c>
      <c r="O355" s="281"/>
      <c r="P355" s="282">
        <f>P358/P361*100</f>
        <v>0.93705326262393351</v>
      </c>
      <c r="Q355" s="282">
        <f t="shared" si="529"/>
        <v>1.0232716346835229</v>
      </c>
      <c r="R355" s="282">
        <f t="shared" si="529"/>
        <v>1.6528925619834711</v>
      </c>
      <c r="S355" s="282">
        <f>S358/S361*100</f>
        <v>2.3048327137546467</v>
      </c>
      <c r="T355" s="305"/>
      <c r="U355" s="282">
        <f t="shared" si="530"/>
        <v>0.8637236084452975</v>
      </c>
      <c r="V355" s="282">
        <f t="shared" si="530"/>
        <v>1.263157894736842</v>
      </c>
      <c r="W355" s="305"/>
      <c r="X355" s="282">
        <f t="shared" si="531"/>
        <v>0.90909090909090906</v>
      </c>
      <c r="Y355" s="282">
        <f t="shared" si="531"/>
        <v>0.81906180193596423</v>
      </c>
      <c r="Z355" s="305"/>
      <c r="AA355" s="282">
        <f t="shared" si="532"/>
        <v>1.0373443983402488</v>
      </c>
      <c r="AB355" s="282">
        <f t="shared" si="532"/>
        <v>1.0752688172043012</v>
      </c>
      <c r="AC355" s="305"/>
      <c r="AD355" s="282">
        <f t="shared" si="533"/>
        <v>0.47147571900047153</v>
      </c>
      <c r="AE355" s="282">
        <f t="shared" si="533"/>
        <v>0.60240963855421692</v>
      </c>
      <c r="AF355" s="305"/>
      <c r="AG355" s="282">
        <f t="shared" si="534"/>
        <v>0.92081031307550654</v>
      </c>
      <c r="AH355" s="282">
        <f t="shared" si="534"/>
        <v>1.1246485473289598</v>
      </c>
      <c r="AI355" s="305"/>
      <c r="AJ355" s="282">
        <f t="shared" si="535"/>
        <v>1.801200800533689</v>
      </c>
      <c r="AK355" s="282">
        <f t="shared" si="535"/>
        <v>1.5991471215351813</v>
      </c>
      <c r="AL355" s="305"/>
      <c r="AM355" s="282">
        <f t="shared" si="536"/>
        <v>0.6654343807763401</v>
      </c>
      <c r="AN355" s="282">
        <f t="shared" si="536"/>
        <v>0.72358900144717797</v>
      </c>
      <c r="AO355" s="305"/>
      <c r="AP355" s="282" t="e">
        <f t="shared" si="537"/>
        <v>#DIV/0!</v>
      </c>
      <c r="AQ355" s="282" t="e">
        <f t="shared" si="537"/>
        <v>#DIV/0!</v>
      </c>
      <c r="AR355" s="305"/>
      <c r="AS355" s="282">
        <f t="shared" si="538"/>
        <v>0.95176848874598075</v>
      </c>
      <c r="AT355" s="282">
        <f t="shared" si="538"/>
        <v>1.020803721411035</v>
      </c>
      <c r="AU355" s="305"/>
      <c r="AV355" s="282">
        <f t="shared" si="539"/>
        <v>0.62473969179508537</v>
      </c>
      <c r="AW355" s="282">
        <f t="shared" si="539"/>
        <v>0.70389488503050213</v>
      </c>
      <c r="AX355" s="305"/>
      <c r="AY355" s="282">
        <f t="shared" si="540"/>
        <v>0.7825148407987047</v>
      </c>
      <c r="AZ355" s="282">
        <f t="shared" si="540"/>
        <v>0.92673037938024905</v>
      </c>
      <c r="BA355" s="305"/>
      <c r="BB355" s="282">
        <f t="shared" si="541"/>
        <v>0.753161858746625</v>
      </c>
      <c r="BC355" s="282">
        <f t="shared" si="541"/>
        <v>0.90477603085137948</v>
      </c>
      <c r="BD355" s="305"/>
      <c r="BE355" s="282">
        <f t="shared" si="542"/>
        <v>0.96896212238976109</v>
      </c>
      <c r="BF355" s="282">
        <f t="shared" si="542"/>
        <v>0.98622417031934884</v>
      </c>
      <c r="BG355" s="305"/>
      <c r="BH355" s="282">
        <f t="shared" si="543"/>
        <v>0.83333333333333337</v>
      </c>
      <c r="BI355" s="282">
        <f t="shared" si="543"/>
        <v>0.87626722952444913</v>
      </c>
      <c r="BJ355" s="305"/>
      <c r="BK355" s="282">
        <f t="shared" si="544"/>
        <v>0.76495132127955501</v>
      </c>
      <c r="BL355" s="282">
        <f t="shared" si="544"/>
        <v>0.72824837102338058</v>
      </c>
      <c r="BM355" s="305"/>
      <c r="BN355" s="282">
        <f t="shared" si="545"/>
        <v>0.98756400877834682</v>
      </c>
      <c r="BO355" s="282">
        <f t="shared" si="545"/>
        <v>1.2815533980582523</v>
      </c>
      <c r="BP355" s="305"/>
      <c r="BQ355" s="282">
        <f t="shared" si="546"/>
        <v>1.1249694301785278</v>
      </c>
      <c r="BR355" s="282">
        <f t="shared" si="546"/>
        <v>1.3957094856552081</v>
      </c>
      <c r="BS355" s="305"/>
      <c r="BT355" s="282">
        <f t="shared" si="547"/>
        <v>0.71959702566562722</v>
      </c>
      <c r="BU355" s="282">
        <f t="shared" si="547"/>
        <v>0.76429980276134124</v>
      </c>
      <c r="BV355" s="305"/>
      <c r="BW355" s="282">
        <f t="shared" si="548"/>
        <v>1.4873140857392826</v>
      </c>
      <c r="BX355" s="282">
        <f t="shared" si="548"/>
        <v>1.8587360594795539</v>
      </c>
      <c r="BY355" s="305"/>
      <c r="BZ355" s="282">
        <f t="shared" si="549"/>
        <v>0.76979472140762462</v>
      </c>
      <c r="CA355" s="282">
        <f t="shared" si="549"/>
        <v>1.0313367711225703</v>
      </c>
      <c r="CB355" s="305"/>
      <c r="CC355" s="282">
        <f t="shared" si="550"/>
        <v>0.8273787138021812</v>
      </c>
      <c r="CD355" s="282">
        <f t="shared" si="550"/>
        <v>0.91414944356120831</v>
      </c>
      <c r="CE355" s="305"/>
      <c r="CF355" s="282">
        <f t="shared" si="551"/>
        <v>44.230769230769226</v>
      </c>
      <c r="CG355" s="282">
        <f t="shared" si="551"/>
        <v>48.148148148148145</v>
      </c>
      <c r="CH355" s="305"/>
      <c r="CI355" s="282" t="e">
        <f t="shared" si="552"/>
        <v>#DIV/0!</v>
      </c>
      <c r="CJ355" s="282" t="e">
        <f t="shared" si="552"/>
        <v>#DIV/0!</v>
      </c>
      <c r="CK355" s="304"/>
      <c r="CL355" s="304"/>
      <c r="CM355" s="304"/>
      <c r="CN355" s="304"/>
      <c r="CO355" s="304"/>
      <c r="CP355" s="304"/>
      <c r="CQ355" s="304"/>
    </row>
    <row r="356" spans="1:95" x14ac:dyDescent="0.25">
      <c r="A356" s="95"/>
      <c r="B356" s="16" t="s">
        <v>1185</v>
      </c>
      <c r="C356" s="107"/>
      <c r="D356" s="95" t="s">
        <v>8</v>
      </c>
      <c r="E356" s="279">
        <f t="shared" si="528"/>
        <v>0.39232170379711362</v>
      </c>
      <c r="F356" s="279">
        <v>0.75</v>
      </c>
      <c r="G356" s="279">
        <f t="shared" si="528"/>
        <v>0.47211943345667984</v>
      </c>
      <c r="H356" s="279">
        <f t="shared" si="528"/>
        <v>0.75689544579858881</v>
      </c>
      <c r="I356" s="279">
        <f t="shared" si="528"/>
        <v>0.74550128534704374</v>
      </c>
      <c r="J356" s="279">
        <f t="shared" si="528"/>
        <v>0.80122090805036239</v>
      </c>
      <c r="K356" s="279">
        <f t="shared" si="528"/>
        <v>0.81799591002045002</v>
      </c>
      <c r="L356" s="279">
        <f t="shared" si="528"/>
        <v>0.92226613965744397</v>
      </c>
      <c r="M356" s="279">
        <f t="shared" si="528"/>
        <v>1.400560224089636</v>
      </c>
      <c r="N356" s="279">
        <f t="shared" si="528"/>
        <v>0.29585798816568049</v>
      </c>
      <c r="O356" s="281"/>
      <c r="P356" s="282">
        <f>P359/P362*100</f>
        <v>0.92028515878159434</v>
      </c>
      <c r="Q356" s="282">
        <f t="shared" si="529"/>
        <v>0.92630996820129963</v>
      </c>
      <c r="R356" s="282">
        <f t="shared" si="529"/>
        <v>0.44117647058823528</v>
      </c>
      <c r="S356" s="282">
        <f>S359/S362*100</f>
        <v>0.30534351145038169</v>
      </c>
      <c r="T356" s="305"/>
      <c r="U356" s="282">
        <f t="shared" si="530"/>
        <v>0.40053404539385851</v>
      </c>
      <c r="V356" s="282">
        <f t="shared" si="530"/>
        <v>0.2785515320334262</v>
      </c>
      <c r="W356" s="305"/>
      <c r="X356" s="282">
        <f t="shared" si="531"/>
        <v>1.2618296529968454</v>
      </c>
      <c r="Y356" s="282">
        <f t="shared" si="531"/>
        <v>1.4263074484944533</v>
      </c>
      <c r="Z356" s="305"/>
      <c r="AA356" s="282">
        <f t="shared" si="532"/>
        <v>0.42598509052183176</v>
      </c>
      <c r="AB356" s="282">
        <f t="shared" si="532"/>
        <v>0.5605381165919282</v>
      </c>
      <c r="AC356" s="305"/>
      <c r="AD356" s="282">
        <f t="shared" si="533"/>
        <v>1.2903225806451613</v>
      </c>
      <c r="AE356" s="282">
        <f t="shared" si="533"/>
        <v>0.23923444976076555</v>
      </c>
      <c r="AF356" s="305"/>
      <c r="AG356" s="282">
        <f t="shared" si="534"/>
        <v>0.88272383354350581</v>
      </c>
      <c r="AH356" s="282">
        <f t="shared" si="534"/>
        <v>0.92961487383798147</v>
      </c>
      <c r="AI356" s="305"/>
      <c r="AJ356" s="282">
        <f t="shared" si="535"/>
        <v>2.112676056338028</v>
      </c>
      <c r="AK356" s="282">
        <f t="shared" si="535"/>
        <v>2.3255813953488373</v>
      </c>
      <c r="AL356" s="305"/>
      <c r="AM356" s="282">
        <f t="shared" si="536"/>
        <v>1.0321100917431194</v>
      </c>
      <c r="AN356" s="282">
        <f t="shared" si="536"/>
        <v>1.383587786259542</v>
      </c>
      <c r="AO356" s="305"/>
      <c r="AP356" s="282">
        <f t="shared" si="537"/>
        <v>1.3902681231380336</v>
      </c>
      <c r="AQ356" s="282">
        <f t="shared" si="537"/>
        <v>0.95642933049946877</v>
      </c>
      <c r="AR356" s="305"/>
      <c r="AS356" s="282" t="e">
        <f t="shared" si="538"/>
        <v>#DIV/0!</v>
      </c>
      <c r="AT356" s="282" t="e">
        <f t="shared" si="538"/>
        <v>#DIV/0!</v>
      </c>
      <c r="AU356" s="305"/>
      <c r="AV356" s="282" t="e">
        <f t="shared" si="539"/>
        <v>#DIV/0!</v>
      </c>
      <c r="AW356" s="282" t="e">
        <f t="shared" si="539"/>
        <v>#DIV/0!</v>
      </c>
      <c r="AX356" s="305"/>
      <c r="AY356" s="282" t="e">
        <f t="shared" si="540"/>
        <v>#DIV/0!</v>
      </c>
      <c r="AZ356" s="282" t="e">
        <f t="shared" si="540"/>
        <v>#DIV/0!</v>
      </c>
      <c r="BA356" s="305"/>
      <c r="BB356" s="282" t="e">
        <f t="shared" si="541"/>
        <v>#DIV/0!</v>
      </c>
      <c r="BC356" s="282" t="e">
        <f t="shared" si="541"/>
        <v>#DIV/0!</v>
      </c>
      <c r="BD356" s="305"/>
      <c r="BE356" s="282" t="e">
        <f t="shared" si="542"/>
        <v>#DIV/0!</v>
      </c>
      <c r="BF356" s="282" t="e">
        <f t="shared" si="542"/>
        <v>#DIV/0!</v>
      </c>
      <c r="BG356" s="305"/>
      <c r="BH356" s="282" t="e">
        <f t="shared" si="543"/>
        <v>#DIV/0!</v>
      </c>
      <c r="BI356" s="282" t="e">
        <f t="shared" si="543"/>
        <v>#DIV/0!</v>
      </c>
      <c r="BJ356" s="305"/>
      <c r="BK356" s="282" t="e">
        <f t="shared" si="544"/>
        <v>#DIV/0!</v>
      </c>
      <c r="BL356" s="282" t="e">
        <f t="shared" si="544"/>
        <v>#DIV/0!</v>
      </c>
      <c r="BM356" s="305"/>
      <c r="BN356" s="282" t="e">
        <f t="shared" si="545"/>
        <v>#DIV/0!</v>
      </c>
      <c r="BO356" s="282" t="e">
        <f t="shared" si="545"/>
        <v>#DIV/0!</v>
      </c>
      <c r="BP356" s="305"/>
      <c r="BQ356" s="282" t="e">
        <f t="shared" si="546"/>
        <v>#DIV/0!</v>
      </c>
      <c r="BR356" s="282" t="e">
        <f t="shared" si="546"/>
        <v>#DIV/0!</v>
      </c>
      <c r="BS356" s="305"/>
      <c r="BT356" s="282" t="e">
        <f t="shared" si="547"/>
        <v>#DIV/0!</v>
      </c>
      <c r="BU356" s="282" t="e">
        <f t="shared" si="547"/>
        <v>#DIV/0!</v>
      </c>
      <c r="BV356" s="305"/>
      <c r="BW356" s="282" t="e">
        <f t="shared" si="548"/>
        <v>#DIV/0!</v>
      </c>
      <c r="BX356" s="282" t="e">
        <f t="shared" si="548"/>
        <v>#DIV/0!</v>
      </c>
      <c r="BY356" s="305"/>
      <c r="BZ356" s="282" t="e">
        <f t="shared" si="549"/>
        <v>#DIV/0!</v>
      </c>
      <c r="CA356" s="282" t="e">
        <f t="shared" si="549"/>
        <v>#DIV/0!</v>
      </c>
      <c r="CB356" s="305"/>
      <c r="CC356" s="282" t="e">
        <f t="shared" si="550"/>
        <v>#DIV/0!</v>
      </c>
      <c r="CD356" s="282" t="e">
        <f t="shared" si="550"/>
        <v>#DIV/0!</v>
      </c>
      <c r="CE356" s="305"/>
      <c r="CF356" s="282" t="e">
        <f t="shared" si="551"/>
        <v>#DIV/0!</v>
      </c>
      <c r="CG356" s="282" t="e">
        <f t="shared" si="551"/>
        <v>#DIV/0!</v>
      </c>
      <c r="CH356" s="305"/>
      <c r="CI356" s="282" t="e">
        <f t="shared" si="552"/>
        <v>#DIV/0!</v>
      </c>
      <c r="CJ356" s="282" t="e">
        <f t="shared" si="552"/>
        <v>#DIV/0!</v>
      </c>
      <c r="CK356" s="304"/>
      <c r="CL356" s="304"/>
      <c r="CM356" s="304"/>
      <c r="CN356" s="304"/>
      <c r="CO356" s="304"/>
      <c r="CP356" s="304"/>
      <c r="CQ356" s="304"/>
    </row>
    <row r="357" spans="1:95" ht="45" x14ac:dyDescent="0.25">
      <c r="A357" s="107"/>
      <c r="B357" s="16" t="s">
        <v>84</v>
      </c>
      <c r="C357" s="95" t="s">
        <v>1811</v>
      </c>
      <c r="D357" s="95" t="s">
        <v>950</v>
      </c>
      <c r="E357" s="282">
        <f t="shared" ref="E357:J357" si="553">E358+E359</f>
        <v>533</v>
      </c>
      <c r="F357" s="282">
        <f t="shared" si="553"/>
        <v>795</v>
      </c>
      <c r="G357" s="282">
        <f t="shared" si="553"/>
        <v>794</v>
      </c>
      <c r="H357" s="282">
        <f t="shared" si="553"/>
        <v>938</v>
      </c>
      <c r="I357" s="103">
        <f t="shared" si="553"/>
        <v>1044</v>
      </c>
      <c r="J357" s="103">
        <f t="shared" si="553"/>
        <v>1102</v>
      </c>
      <c r="K357" s="103">
        <f>K358+K359</f>
        <v>1087</v>
      </c>
      <c r="L357" s="103">
        <f>L358+L359</f>
        <v>19</v>
      </c>
      <c r="M357" s="103">
        <f>M358+M359</f>
        <v>18</v>
      </c>
      <c r="N357" s="103">
        <f>N358+N359</f>
        <v>14</v>
      </c>
      <c r="O357" s="366"/>
      <c r="P357" s="103">
        <f>P358+P359</f>
        <v>1087</v>
      </c>
      <c r="Q357" s="103">
        <f>Q358+Q359</f>
        <v>1150</v>
      </c>
      <c r="R357" s="103">
        <f>R358+R359</f>
        <v>27</v>
      </c>
      <c r="S357" s="103">
        <f>S358+S359</f>
        <v>33</v>
      </c>
      <c r="T357" s="305"/>
      <c r="U357" s="103">
        <f>U358+U359</f>
        <v>12</v>
      </c>
      <c r="V357" s="103">
        <f>V358+V359</f>
        <v>14</v>
      </c>
      <c r="W357" s="305"/>
      <c r="X357" s="103">
        <f>X358+X359</f>
        <v>21</v>
      </c>
      <c r="Y357" s="103">
        <f>Y358+Y359</f>
        <v>20</v>
      </c>
      <c r="Z357" s="305"/>
      <c r="AA357" s="103">
        <f>AA358+AA359</f>
        <v>19</v>
      </c>
      <c r="AB357" s="103">
        <f>AB358+AB359</f>
        <v>19</v>
      </c>
      <c r="AC357" s="305"/>
      <c r="AD357" s="103">
        <f>AD358+AD359</f>
        <v>12</v>
      </c>
      <c r="AE357" s="103">
        <f>AE358+AE359</f>
        <v>11</v>
      </c>
      <c r="AF357" s="305"/>
      <c r="AG357" s="103">
        <f>AG358+AG359</f>
        <v>17</v>
      </c>
      <c r="AH357" s="103">
        <f>AH358+AH359</f>
        <v>19</v>
      </c>
      <c r="AI357" s="305"/>
      <c r="AJ357" s="103">
        <f>AJ358+AJ359</f>
        <v>57</v>
      </c>
      <c r="AK357" s="103">
        <f>AK358+AK359</f>
        <v>48</v>
      </c>
      <c r="AL357" s="305"/>
      <c r="AM357" s="103">
        <f>AM358+AM359</f>
        <v>63</v>
      </c>
      <c r="AN357" s="103">
        <f>AN358+AN359</f>
        <v>69</v>
      </c>
      <c r="AO357" s="305"/>
      <c r="AP357" s="103">
        <f>AP358+AP359</f>
        <v>14</v>
      </c>
      <c r="AQ357" s="103">
        <f>AQ358+AQ359</f>
        <v>9</v>
      </c>
      <c r="AR357" s="305"/>
      <c r="AS357" s="103">
        <f>AS358+AS359</f>
        <v>74</v>
      </c>
      <c r="AT357" s="103">
        <f>AT358+AT359</f>
        <v>79</v>
      </c>
      <c r="AU357" s="305"/>
      <c r="AV357" s="103">
        <f>AV358+AV359</f>
        <v>15</v>
      </c>
      <c r="AW357" s="103">
        <f>AW358+AW359</f>
        <v>15</v>
      </c>
      <c r="AX357" s="305"/>
      <c r="AY357" s="103">
        <f>AY358+AY359</f>
        <v>29</v>
      </c>
      <c r="AZ357" s="103">
        <f>AZ358+AZ359</f>
        <v>32</v>
      </c>
      <c r="BA357" s="305"/>
      <c r="BB357" s="103">
        <f>BB358+BB359</f>
        <v>53</v>
      </c>
      <c r="BC357" s="103">
        <f>BC358+BC359</f>
        <v>61</v>
      </c>
      <c r="BD357" s="305"/>
      <c r="BE357" s="103">
        <f>BE358+BE359</f>
        <v>187</v>
      </c>
      <c r="BF357" s="103">
        <f>BF358+BF359</f>
        <v>189</v>
      </c>
      <c r="BG357" s="305"/>
      <c r="BH357" s="103">
        <f>BH358+BH359</f>
        <v>256</v>
      </c>
      <c r="BI357" s="103">
        <f>BI358+BI359</f>
        <v>274</v>
      </c>
      <c r="BJ357" s="305"/>
      <c r="BK357" s="103">
        <f>BK358+BK359</f>
        <v>22</v>
      </c>
      <c r="BL357" s="103">
        <f>BL358+BL359</f>
        <v>19</v>
      </c>
      <c r="BM357" s="305"/>
      <c r="BN357" s="103">
        <f>BN358+BN359</f>
        <v>27</v>
      </c>
      <c r="BO357" s="103">
        <f>BO358+BO359</f>
        <v>33</v>
      </c>
      <c r="BP357" s="305"/>
      <c r="BQ357" s="103">
        <f>BQ358+BQ359</f>
        <v>46</v>
      </c>
      <c r="BR357" s="103">
        <f>BR358+BR359</f>
        <v>54</v>
      </c>
      <c r="BS357" s="305"/>
      <c r="BT357" s="103">
        <f>BT358+BT359</f>
        <v>30</v>
      </c>
      <c r="BU357" s="103">
        <f>BU358+BU359</f>
        <v>31</v>
      </c>
      <c r="BV357" s="305"/>
      <c r="BW357" s="103">
        <f>BW358+BW359</f>
        <v>17</v>
      </c>
      <c r="BX357" s="103">
        <f>BX358+BX359</f>
        <v>20</v>
      </c>
      <c r="BY357" s="305"/>
      <c r="BZ357" s="103">
        <f>BZ358+BZ359</f>
        <v>21</v>
      </c>
      <c r="CA357" s="103">
        <f>CA358+CA359</f>
        <v>26</v>
      </c>
      <c r="CB357" s="305"/>
      <c r="CC357" s="103">
        <f>CC358+CC359</f>
        <v>22</v>
      </c>
      <c r="CD357" s="103">
        <f>CD358+CD359</f>
        <v>23</v>
      </c>
      <c r="CE357" s="305"/>
      <c r="CF357" s="103">
        <f>CF358+CF359</f>
        <v>46</v>
      </c>
      <c r="CG357" s="103">
        <f>CG358+CG359</f>
        <v>52</v>
      </c>
      <c r="CH357" s="305"/>
      <c r="CI357" s="103">
        <f>CI358+CI359</f>
        <v>0</v>
      </c>
      <c r="CJ357" s="103">
        <f>CJ358+CJ359</f>
        <v>0</v>
      </c>
      <c r="CK357" s="304"/>
      <c r="CL357" s="304"/>
      <c r="CM357" s="304"/>
      <c r="CN357" s="304"/>
      <c r="CO357" s="304"/>
      <c r="CP357" s="304"/>
      <c r="CQ357" s="304"/>
    </row>
    <row r="358" spans="1:95" x14ac:dyDescent="0.25">
      <c r="A358" s="107"/>
      <c r="B358" s="16" t="s">
        <v>1183</v>
      </c>
      <c r="C358" s="95"/>
      <c r="D358" s="95" t="s">
        <v>950</v>
      </c>
      <c r="E358" s="282">
        <v>505</v>
      </c>
      <c r="F358" s="282">
        <v>744</v>
      </c>
      <c r="G358" s="282">
        <v>757</v>
      </c>
      <c r="H358" s="282">
        <v>879</v>
      </c>
      <c r="I358" s="103">
        <v>986</v>
      </c>
      <c r="J358" s="103">
        <v>1039</v>
      </c>
      <c r="K358" s="103">
        <v>1019</v>
      </c>
      <c r="L358" s="103">
        <v>12</v>
      </c>
      <c r="M358" s="103">
        <v>8</v>
      </c>
      <c r="N358" s="103">
        <v>12</v>
      </c>
      <c r="P358" s="286">
        <f>R358+U358+X358+AA358+AD358+AG358+AJ358+AM358+AP358+AS358+AV358+AY358+BB358+BE358+BH358+BK358+BN358+BQ358+BT358+BW358+BZ358+CC358+CF358+CI358</f>
        <v>1016</v>
      </c>
      <c r="Q358" s="286">
        <f>S358+V358+Y358+AB358+AE358+AH358+AK358+AN358+AQ358+AT358+AW358+AZ358+BC358+BF358+BI358+BL358+BO358+BR358+BU358+BX358+CA358+CD358+CG358+CJ358</f>
        <v>1083</v>
      </c>
      <c r="R358" s="302">
        <v>24</v>
      </c>
      <c r="S358" s="302">
        <v>31</v>
      </c>
      <c r="T358" s="302"/>
      <c r="U358" s="302">
        <v>9</v>
      </c>
      <c r="V358" s="302">
        <v>12</v>
      </c>
      <c r="W358" s="302"/>
      <c r="X358" s="302">
        <v>13</v>
      </c>
      <c r="Y358" s="302">
        <v>11</v>
      </c>
      <c r="Z358" s="302"/>
      <c r="AA358" s="302">
        <v>15</v>
      </c>
      <c r="AB358" s="302">
        <v>14</v>
      </c>
      <c r="AC358" s="302"/>
      <c r="AD358" s="302">
        <v>10</v>
      </c>
      <c r="AE358" s="302">
        <v>10</v>
      </c>
      <c r="AF358" s="302"/>
      <c r="AG358" s="302">
        <v>10</v>
      </c>
      <c r="AH358" s="302">
        <v>12</v>
      </c>
      <c r="AI358" s="302"/>
      <c r="AJ358" s="302">
        <v>54</v>
      </c>
      <c r="AK358" s="302">
        <v>45</v>
      </c>
      <c r="AL358" s="302"/>
      <c r="AM358" s="302">
        <v>36</v>
      </c>
      <c r="AN358" s="302">
        <v>40</v>
      </c>
      <c r="AO358" s="302"/>
      <c r="AP358" s="302">
        <v>0</v>
      </c>
      <c r="AQ358" s="302">
        <v>0</v>
      </c>
      <c r="AR358" s="302"/>
      <c r="AS358" s="302">
        <v>74</v>
      </c>
      <c r="AT358" s="302">
        <v>79</v>
      </c>
      <c r="AU358" s="302"/>
      <c r="AV358" s="302">
        <v>15</v>
      </c>
      <c r="AW358" s="302">
        <v>15</v>
      </c>
      <c r="AX358" s="302"/>
      <c r="AY358" s="302">
        <v>29</v>
      </c>
      <c r="AZ358" s="302">
        <v>32</v>
      </c>
      <c r="BA358" s="302"/>
      <c r="BB358" s="302">
        <v>53</v>
      </c>
      <c r="BC358" s="302">
        <v>61</v>
      </c>
      <c r="BD358" s="302"/>
      <c r="BE358" s="302">
        <v>187</v>
      </c>
      <c r="BF358" s="302">
        <v>189</v>
      </c>
      <c r="BG358" s="302"/>
      <c r="BH358" s="302">
        <v>256</v>
      </c>
      <c r="BI358" s="302">
        <v>274</v>
      </c>
      <c r="BJ358" s="302"/>
      <c r="BK358" s="302">
        <v>22</v>
      </c>
      <c r="BL358" s="302">
        <v>19</v>
      </c>
      <c r="BM358" s="302"/>
      <c r="BN358" s="302">
        <v>27</v>
      </c>
      <c r="BO358" s="302">
        <v>33</v>
      </c>
      <c r="BP358" s="302"/>
      <c r="BQ358" s="302">
        <v>46</v>
      </c>
      <c r="BR358" s="302">
        <v>54</v>
      </c>
      <c r="BS358" s="302"/>
      <c r="BT358" s="302">
        <v>30</v>
      </c>
      <c r="BU358" s="302">
        <v>31</v>
      </c>
      <c r="BV358" s="302"/>
      <c r="BW358" s="302">
        <v>17</v>
      </c>
      <c r="BX358" s="302">
        <v>20</v>
      </c>
      <c r="BY358" s="302"/>
      <c r="BZ358" s="302">
        <v>21</v>
      </c>
      <c r="CA358" s="302">
        <v>26</v>
      </c>
      <c r="CB358" s="302"/>
      <c r="CC358" s="302">
        <v>22</v>
      </c>
      <c r="CD358" s="302">
        <v>23</v>
      </c>
      <c r="CE358" s="302"/>
      <c r="CF358" s="302">
        <v>46</v>
      </c>
      <c r="CG358" s="302">
        <v>52</v>
      </c>
      <c r="CH358" s="302"/>
      <c r="CI358" s="302">
        <v>0</v>
      </c>
      <c r="CJ358" s="302">
        <v>0</v>
      </c>
      <c r="CK358" s="304"/>
      <c r="CL358" s="304"/>
      <c r="CM358" s="304"/>
      <c r="CN358" s="304"/>
      <c r="CO358" s="304"/>
      <c r="CP358" s="304"/>
      <c r="CQ358" s="304"/>
    </row>
    <row r="359" spans="1:95" x14ac:dyDescent="0.25">
      <c r="A359" s="107"/>
      <c r="B359" s="16" t="s">
        <v>1185</v>
      </c>
      <c r="C359" s="95"/>
      <c r="D359" s="95" t="s">
        <v>950</v>
      </c>
      <c r="E359" s="291">
        <v>28</v>
      </c>
      <c r="F359" s="291">
        <v>51</v>
      </c>
      <c r="G359" s="291">
        <v>37</v>
      </c>
      <c r="H359" s="291">
        <v>59</v>
      </c>
      <c r="I359" s="292">
        <v>58</v>
      </c>
      <c r="J359" s="292">
        <v>63</v>
      </c>
      <c r="K359" s="292">
        <v>68</v>
      </c>
      <c r="L359" s="292">
        <v>7</v>
      </c>
      <c r="M359" s="292">
        <v>10</v>
      </c>
      <c r="N359" s="292">
        <v>2</v>
      </c>
      <c r="P359" s="286">
        <f>R359+U359+X359+AA359+AD359+AG359+AJ359+AM359+AP359+AS359+AV359+AY359+BB359+BE359+BH359+BK359+BN359+BQ359+BT359+BW359+BZ359+CC359+CF359+CI359</f>
        <v>71</v>
      </c>
      <c r="Q359" s="286">
        <f>S359+V359+Y359+AB359+AE359+AH359+AK359+AN359+AQ359+AT359+AW359+AZ359+BC359+BF359+BI359+BL359+BO359+BR359+BU359+BX359+CA359+CD359+CG359+CJ359</f>
        <v>67</v>
      </c>
      <c r="R359" s="302">
        <v>3</v>
      </c>
      <c r="S359" s="302">
        <v>2</v>
      </c>
      <c r="T359" s="302"/>
      <c r="U359" s="302">
        <v>3</v>
      </c>
      <c r="V359" s="302">
        <v>2</v>
      </c>
      <c r="W359" s="302"/>
      <c r="X359" s="302">
        <v>8</v>
      </c>
      <c r="Y359" s="302">
        <v>9</v>
      </c>
      <c r="Z359" s="302"/>
      <c r="AA359" s="302">
        <v>4</v>
      </c>
      <c r="AB359" s="302">
        <v>5</v>
      </c>
      <c r="AC359" s="302"/>
      <c r="AD359" s="302">
        <v>2</v>
      </c>
      <c r="AE359" s="302">
        <v>1</v>
      </c>
      <c r="AF359" s="302"/>
      <c r="AG359" s="302">
        <v>7</v>
      </c>
      <c r="AH359" s="302">
        <v>7</v>
      </c>
      <c r="AI359" s="302"/>
      <c r="AJ359" s="302">
        <v>3</v>
      </c>
      <c r="AK359" s="302">
        <v>3</v>
      </c>
      <c r="AL359" s="302"/>
      <c r="AM359" s="302">
        <v>27</v>
      </c>
      <c r="AN359" s="302">
        <v>29</v>
      </c>
      <c r="AO359" s="302"/>
      <c r="AP359" s="302">
        <v>14</v>
      </c>
      <c r="AQ359" s="302">
        <v>9</v>
      </c>
      <c r="AR359" s="302"/>
      <c r="AS359" s="302">
        <v>0</v>
      </c>
      <c r="AT359" s="302">
        <v>0</v>
      </c>
      <c r="AU359" s="302"/>
      <c r="AV359" s="302">
        <v>0</v>
      </c>
      <c r="AW359" s="302">
        <v>0</v>
      </c>
      <c r="AX359" s="302"/>
      <c r="AY359" s="302">
        <v>0</v>
      </c>
      <c r="AZ359" s="302">
        <v>0</v>
      </c>
      <c r="BA359" s="302"/>
      <c r="BB359" s="302">
        <v>0</v>
      </c>
      <c r="BC359" s="302">
        <v>0</v>
      </c>
      <c r="BD359" s="302"/>
      <c r="BE359" s="302">
        <v>0</v>
      </c>
      <c r="BF359" s="302">
        <v>0</v>
      </c>
      <c r="BG359" s="302"/>
      <c r="BH359" s="302">
        <v>0</v>
      </c>
      <c r="BI359" s="302">
        <v>0</v>
      </c>
      <c r="BJ359" s="302"/>
      <c r="BK359" s="302">
        <v>0</v>
      </c>
      <c r="BL359" s="302">
        <v>0</v>
      </c>
      <c r="BM359" s="302"/>
      <c r="BN359" s="302">
        <v>0</v>
      </c>
      <c r="BO359" s="302">
        <v>0</v>
      </c>
      <c r="BP359" s="302"/>
      <c r="BQ359" s="302">
        <v>0</v>
      </c>
      <c r="BR359" s="302">
        <v>0</v>
      </c>
      <c r="BS359" s="302"/>
      <c r="BT359" s="302">
        <v>0</v>
      </c>
      <c r="BU359" s="302">
        <v>0</v>
      </c>
      <c r="BV359" s="302"/>
      <c r="BW359" s="302">
        <v>0</v>
      </c>
      <c r="BX359" s="302">
        <v>0</v>
      </c>
      <c r="BY359" s="302"/>
      <c r="BZ359" s="302">
        <v>0</v>
      </c>
      <c r="CA359" s="302">
        <v>0</v>
      </c>
      <c r="CB359" s="302"/>
      <c r="CC359" s="302">
        <v>0</v>
      </c>
      <c r="CD359" s="302">
        <v>0</v>
      </c>
      <c r="CE359" s="302"/>
      <c r="CF359" s="302">
        <v>0</v>
      </c>
      <c r="CG359" s="302">
        <v>0</v>
      </c>
      <c r="CH359" s="302"/>
      <c r="CI359" s="302">
        <v>0</v>
      </c>
      <c r="CJ359" s="302">
        <v>0</v>
      </c>
      <c r="CK359" s="304"/>
      <c r="CL359" s="304"/>
      <c r="CM359" s="304"/>
      <c r="CN359" s="304"/>
      <c r="CO359" s="304"/>
      <c r="CP359" s="304"/>
      <c r="CQ359" s="304"/>
    </row>
    <row r="360" spans="1:95" ht="45" x14ac:dyDescent="0.25">
      <c r="A360" s="107"/>
      <c r="B360" s="16" t="s">
        <v>16</v>
      </c>
      <c r="C360" s="95" t="s">
        <v>17</v>
      </c>
      <c r="D360" s="95" t="s">
        <v>950</v>
      </c>
      <c r="E360" s="282">
        <f t="shared" ref="E360:Y360" si="554">E361+E362</f>
        <v>85833</v>
      </c>
      <c r="F360" s="282">
        <f t="shared" si="554"/>
        <v>97838</v>
      </c>
      <c r="G360" s="282">
        <f t="shared" si="554"/>
        <v>105979</v>
      </c>
      <c r="H360" s="282">
        <f t="shared" si="554"/>
        <v>109328</v>
      </c>
      <c r="I360" s="103">
        <f t="shared" si="554"/>
        <v>112453</v>
      </c>
      <c r="J360" s="103">
        <f t="shared" si="554"/>
        <v>117511</v>
      </c>
      <c r="K360" s="103">
        <f>K361+K362</f>
        <v>116140</v>
      </c>
      <c r="L360" s="103">
        <f>L361+L362</f>
        <v>1820</v>
      </c>
      <c r="M360" s="103">
        <f>M361+M362</f>
        <v>1710</v>
      </c>
      <c r="N360" s="103">
        <f>N361+N362</f>
        <v>1619</v>
      </c>
      <c r="O360" s="286" t="s">
        <v>1396</v>
      </c>
      <c r="P360" s="103">
        <f t="shared" si="554"/>
        <v>116140</v>
      </c>
      <c r="Q360" s="103">
        <f t="shared" si="554"/>
        <v>113070</v>
      </c>
      <c r="R360" s="103">
        <f t="shared" si="554"/>
        <v>2132</v>
      </c>
      <c r="S360" s="103">
        <f t="shared" si="554"/>
        <v>2000</v>
      </c>
      <c r="T360" s="305"/>
      <c r="U360" s="103">
        <f t="shared" si="554"/>
        <v>1791</v>
      </c>
      <c r="V360" s="103">
        <f t="shared" si="554"/>
        <v>1668</v>
      </c>
      <c r="W360" s="305"/>
      <c r="X360" s="103">
        <f t="shared" si="554"/>
        <v>2064</v>
      </c>
      <c r="Y360" s="103">
        <f t="shared" si="554"/>
        <v>1974</v>
      </c>
      <c r="Z360" s="305"/>
      <c r="AA360" s="103">
        <f>AA361+AA362</f>
        <v>2385</v>
      </c>
      <c r="AB360" s="103">
        <f>AB361+AB362</f>
        <v>2194</v>
      </c>
      <c r="AC360" s="305"/>
      <c r="AD360" s="103">
        <f>AD361+AD362</f>
        <v>2276</v>
      </c>
      <c r="AE360" s="103">
        <f>AE361+AE362</f>
        <v>2078</v>
      </c>
      <c r="AF360" s="305"/>
      <c r="AG360" s="103">
        <f>AG361+AG362</f>
        <v>1879</v>
      </c>
      <c r="AH360" s="103">
        <f>AH361+AH362</f>
        <v>1820</v>
      </c>
      <c r="AI360" s="305"/>
      <c r="AJ360" s="103">
        <f>AJ361+AJ362</f>
        <v>3140</v>
      </c>
      <c r="AK360" s="103">
        <f>AK361+AK362</f>
        <v>2943</v>
      </c>
      <c r="AL360" s="305"/>
      <c r="AM360" s="103">
        <f>AM361+AM362</f>
        <v>8026</v>
      </c>
      <c r="AN360" s="103">
        <f>AN361+AN362</f>
        <v>7624</v>
      </c>
      <c r="AO360" s="305"/>
      <c r="AP360" s="103">
        <f>AP361+AP362</f>
        <v>1007</v>
      </c>
      <c r="AQ360" s="103">
        <f>AQ361+AQ362</f>
        <v>941</v>
      </c>
      <c r="AR360" s="305"/>
      <c r="AS360" s="103">
        <f>AS361+AS362</f>
        <v>7775</v>
      </c>
      <c r="AT360" s="103">
        <f>AT361+AT362</f>
        <v>7739</v>
      </c>
      <c r="AU360" s="305"/>
      <c r="AV360" s="103">
        <f>AV361+AV362</f>
        <v>2401</v>
      </c>
      <c r="AW360" s="103">
        <f>AW361+AW362</f>
        <v>2131</v>
      </c>
      <c r="AX360" s="305"/>
      <c r="AY360" s="103">
        <f>AY361+AY362</f>
        <v>3706</v>
      </c>
      <c r="AZ360" s="103">
        <f>AZ361+AZ362</f>
        <v>3453</v>
      </c>
      <c r="BA360" s="305"/>
      <c r="BB360" s="103">
        <f>BB361+BB362</f>
        <v>7037</v>
      </c>
      <c r="BC360" s="103">
        <f>BC361+BC362</f>
        <v>6742</v>
      </c>
      <c r="BD360" s="305"/>
      <c r="BE360" s="103">
        <f>BE361+BE362</f>
        <v>19299</v>
      </c>
      <c r="BF360" s="103">
        <f>BF361+BF362</f>
        <v>19164</v>
      </c>
      <c r="BG360" s="305"/>
      <c r="BH360" s="103">
        <f>BH361+BH362</f>
        <v>30720</v>
      </c>
      <c r="BI360" s="103">
        <f>BI361+BI362</f>
        <v>31269</v>
      </c>
      <c r="BJ360" s="305"/>
      <c r="BK360" s="103">
        <f>BK361+BK362</f>
        <v>2876</v>
      </c>
      <c r="BL360" s="103">
        <f>BL361+BL362</f>
        <v>2609</v>
      </c>
      <c r="BM360" s="305"/>
      <c r="BN360" s="103">
        <f>BN361+BN362</f>
        <v>2734</v>
      </c>
      <c r="BO360" s="103">
        <f>BO361+BO362</f>
        <v>2575</v>
      </c>
      <c r="BP360" s="305"/>
      <c r="BQ360" s="103">
        <f>BQ361+BQ362</f>
        <v>4089</v>
      </c>
      <c r="BR360" s="103">
        <f>BR361+BR362</f>
        <v>3869</v>
      </c>
      <c r="BS360" s="305"/>
      <c r="BT360" s="103">
        <f>BT361+BT362</f>
        <v>4169</v>
      </c>
      <c r="BU360" s="103">
        <f>BU361+BU362</f>
        <v>4056</v>
      </c>
      <c r="BV360" s="305"/>
      <c r="BW360" s="103">
        <f>BW361+BW362</f>
        <v>1143</v>
      </c>
      <c r="BX360" s="103">
        <f>BX361+BX362</f>
        <v>1076</v>
      </c>
      <c r="BY360" s="305"/>
      <c r="BZ360" s="103">
        <f>BZ361+BZ362</f>
        <v>2728</v>
      </c>
      <c r="CA360" s="103">
        <f>CA361+CA362</f>
        <v>2521</v>
      </c>
      <c r="CB360" s="305"/>
      <c r="CC360" s="103">
        <f>CC361+CC362</f>
        <v>2659</v>
      </c>
      <c r="CD360" s="103">
        <f>CD361+CD362</f>
        <v>2516</v>
      </c>
      <c r="CE360" s="305"/>
      <c r="CF360" s="103">
        <f>CF361+CF362</f>
        <v>104</v>
      </c>
      <c r="CG360" s="103">
        <f>CG361+CG362</f>
        <v>108</v>
      </c>
      <c r="CH360" s="305"/>
      <c r="CI360" s="103">
        <f>CI361+CI362</f>
        <v>0</v>
      </c>
      <c r="CJ360" s="103">
        <f>CJ361+CJ362</f>
        <v>0</v>
      </c>
      <c r="CK360" s="304"/>
      <c r="CL360" s="304"/>
      <c r="CM360" s="304"/>
      <c r="CN360" s="304"/>
      <c r="CO360" s="304"/>
      <c r="CP360" s="304"/>
      <c r="CQ360" s="304"/>
    </row>
    <row r="361" spans="1:95" x14ac:dyDescent="0.25">
      <c r="A361" s="107"/>
      <c r="B361" s="16" t="s">
        <v>1183</v>
      </c>
      <c r="C361" s="95"/>
      <c r="D361" s="95" t="s">
        <v>950</v>
      </c>
      <c r="E361" s="282">
        <v>78696</v>
      </c>
      <c r="F361" s="282">
        <v>90338</v>
      </c>
      <c r="G361" s="282">
        <v>98142</v>
      </c>
      <c r="H361" s="282">
        <v>101533</v>
      </c>
      <c r="I361" s="103">
        <f>105763-1090</f>
        <v>104673</v>
      </c>
      <c r="J361" s="103">
        <f t="shared" ref="J361:J362" si="555">J215</f>
        <v>109648</v>
      </c>
      <c r="K361" s="103">
        <f>K215</f>
        <v>107827</v>
      </c>
      <c r="L361" s="103">
        <f t="shared" ref="L361:N361" si="556">L215</f>
        <v>1061</v>
      </c>
      <c r="M361" s="103">
        <f t="shared" si="556"/>
        <v>996</v>
      </c>
      <c r="N361" s="103">
        <f t="shared" si="556"/>
        <v>943</v>
      </c>
      <c r="O361" s="336"/>
      <c r="P361" s="286">
        <f>R361+U361+X361+AA361+AD361+AG361+AJ361+AM361+AP361+AS361+AV361+AY361+BB361+BE361+BH361+BK361+BN361+BQ361+BT361+BW361+BZ361+CC361+CF361+CI361</f>
        <v>108425</v>
      </c>
      <c r="Q361" s="286">
        <f>S361+V361+Y361+AB361+AE361+AH361+AK361+AN361+AQ361+AT361+AW361+AZ361+BC361+BF361+BI361+BL361+BO361+BR361+BU361+BX361+CA361+CD361+CG361+CJ361</f>
        <v>105837</v>
      </c>
      <c r="R361" s="286">
        <f>R215</f>
        <v>1452</v>
      </c>
      <c r="S361" s="286">
        <f>S215</f>
        <v>1345</v>
      </c>
      <c r="T361" s="286"/>
      <c r="U361" s="286">
        <f>U215</f>
        <v>1042</v>
      </c>
      <c r="V361" s="286">
        <f>V215</f>
        <v>950</v>
      </c>
      <c r="W361" s="286"/>
      <c r="X361" s="286">
        <f>X215</f>
        <v>1430</v>
      </c>
      <c r="Y361" s="286">
        <f>Y215</f>
        <v>1343</v>
      </c>
      <c r="Z361" s="286"/>
      <c r="AA361" s="286">
        <f>AA215</f>
        <v>1446</v>
      </c>
      <c r="AB361" s="286">
        <f>AB215</f>
        <v>1302</v>
      </c>
      <c r="AC361" s="286"/>
      <c r="AD361" s="286">
        <f>AD215</f>
        <v>2121</v>
      </c>
      <c r="AE361" s="286">
        <f>AE215</f>
        <v>1660</v>
      </c>
      <c r="AF361" s="286"/>
      <c r="AG361" s="286">
        <f>AG215</f>
        <v>1086</v>
      </c>
      <c r="AH361" s="286">
        <f>AH215</f>
        <v>1067</v>
      </c>
      <c r="AI361" s="286"/>
      <c r="AJ361" s="286">
        <f>AJ215</f>
        <v>2998</v>
      </c>
      <c r="AK361" s="286">
        <f>AK215</f>
        <v>2814</v>
      </c>
      <c r="AL361" s="286"/>
      <c r="AM361" s="286">
        <f>AM215</f>
        <v>5410</v>
      </c>
      <c r="AN361" s="286">
        <f>AN215</f>
        <v>5528</v>
      </c>
      <c r="AO361" s="286"/>
      <c r="AP361" s="286">
        <f>AP215</f>
        <v>0</v>
      </c>
      <c r="AQ361" s="286">
        <f>AQ215</f>
        <v>0</v>
      </c>
      <c r="AR361" s="286"/>
      <c r="AS361" s="286">
        <f>AS215</f>
        <v>7775</v>
      </c>
      <c r="AT361" s="286">
        <f>AT215</f>
        <v>7739</v>
      </c>
      <c r="AU361" s="286"/>
      <c r="AV361" s="286">
        <f>AV215</f>
        <v>2401</v>
      </c>
      <c r="AW361" s="286">
        <f>AW215</f>
        <v>2131</v>
      </c>
      <c r="AX361" s="286"/>
      <c r="AY361" s="286">
        <f>AY215</f>
        <v>3706</v>
      </c>
      <c r="AZ361" s="286">
        <f>AZ215</f>
        <v>3453</v>
      </c>
      <c r="BA361" s="286"/>
      <c r="BB361" s="286">
        <f>BB215</f>
        <v>7037</v>
      </c>
      <c r="BC361" s="286">
        <f>BC215</f>
        <v>6742</v>
      </c>
      <c r="BD361" s="286"/>
      <c r="BE361" s="286">
        <f>BE215</f>
        <v>19299</v>
      </c>
      <c r="BF361" s="286">
        <f>BF215</f>
        <v>19164</v>
      </c>
      <c r="BG361" s="286"/>
      <c r="BH361" s="286">
        <f>BH215</f>
        <v>30720</v>
      </c>
      <c r="BI361" s="286">
        <f>BI215</f>
        <v>31269</v>
      </c>
      <c r="BJ361" s="286"/>
      <c r="BK361" s="286">
        <f>BK215</f>
        <v>2876</v>
      </c>
      <c r="BL361" s="286">
        <f>BL215</f>
        <v>2609</v>
      </c>
      <c r="BM361" s="286"/>
      <c r="BN361" s="286">
        <f>BN215</f>
        <v>2734</v>
      </c>
      <c r="BO361" s="286">
        <f>BO215</f>
        <v>2575</v>
      </c>
      <c r="BP361" s="286"/>
      <c r="BQ361" s="286">
        <f>BQ215</f>
        <v>4089</v>
      </c>
      <c r="BR361" s="286">
        <f>BR215</f>
        <v>3869</v>
      </c>
      <c r="BS361" s="286"/>
      <c r="BT361" s="286">
        <f>BT215</f>
        <v>4169</v>
      </c>
      <c r="BU361" s="286">
        <f>BU215</f>
        <v>4056</v>
      </c>
      <c r="BV361" s="286"/>
      <c r="BW361" s="286">
        <f>BW215</f>
        <v>1143</v>
      </c>
      <c r="BX361" s="286">
        <f>BX215</f>
        <v>1076</v>
      </c>
      <c r="BY361" s="286"/>
      <c r="BZ361" s="286">
        <f>BZ215</f>
        <v>2728</v>
      </c>
      <c r="CA361" s="286">
        <f>CA215</f>
        <v>2521</v>
      </c>
      <c r="CB361" s="286"/>
      <c r="CC361" s="286">
        <f>CC215</f>
        <v>2659</v>
      </c>
      <c r="CD361" s="286">
        <f>CD215</f>
        <v>2516</v>
      </c>
      <c r="CE361" s="286"/>
      <c r="CF361" s="286">
        <f>CF215</f>
        <v>104</v>
      </c>
      <c r="CG361" s="286">
        <f>CG215</f>
        <v>108</v>
      </c>
      <c r="CH361" s="286"/>
      <c r="CI361" s="286">
        <f>CI215</f>
        <v>0</v>
      </c>
      <c r="CJ361" s="286">
        <f>CJ215</f>
        <v>0</v>
      </c>
      <c r="CK361" s="304"/>
      <c r="CL361" s="304"/>
      <c r="CM361" s="304"/>
      <c r="CN361" s="304"/>
      <c r="CO361" s="304"/>
      <c r="CP361" s="304"/>
      <c r="CQ361" s="304"/>
    </row>
    <row r="362" spans="1:95" x14ac:dyDescent="0.25">
      <c r="A362" s="107"/>
      <c r="B362" s="16" t="s">
        <v>1185</v>
      </c>
      <c r="C362" s="95"/>
      <c r="D362" s="95" t="s">
        <v>950</v>
      </c>
      <c r="E362" s="282">
        <v>7137</v>
      </c>
      <c r="F362" s="282">
        <v>7500</v>
      </c>
      <c r="G362" s="282">
        <v>7837</v>
      </c>
      <c r="H362" s="282">
        <v>7795</v>
      </c>
      <c r="I362" s="103">
        <v>7780</v>
      </c>
      <c r="J362" s="103">
        <f t="shared" si="555"/>
        <v>7863</v>
      </c>
      <c r="K362" s="103">
        <f>K216</f>
        <v>8313</v>
      </c>
      <c r="L362" s="103">
        <f>L216</f>
        <v>759</v>
      </c>
      <c r="M362" s="103">
        <f>M216</f>
        <v>714</v>
      </c>
      <c r="N362" s="103">
        <f>N216</f>
        <v>676</v>
      </c>
      <c r="P362" s="286">
        <f>R362+U362+X362+AA362+AD362+AG362+AJ362+AM362+AP362+AS362+AV362+AY362+BB362+BE362+BH362+BK362+BN362+BQ362+BT362+BW362+BZ362+CC362+CF362+CI362</f>
        <v>7715</v>
      </c>
      <c r="Q362" s="286">
        <f>S362+V362+Y362+AB362+AE362+AH362+AK362+AN362+AQ362+AT362+AW362+AZ362+BC362+BF362+BI362+BL362+BO362+BR362+BU362+BX362+CA362+CD362+CG362+CJ362</f>
        <v>7233</v>
      </c>
      <c r="R362" s="286">
        <f>R216</f>
        <v>680</v>
      </c>
      <c r="S362" s="286">
        <f>S216</f>
        <v>655</v>
      </c>
      <c r="T362" s="286"/>
      <c r="U362" s="286">
        <f>U216</f>
        <v>749</v>
      </c>
      <c r="V362" s="286">
        <f>V216</f>
        <v>718</v>
      </c>
      <c r="W362" s="286"/>
      <c r="X362" s="286">
        <f>X216</f>
        <v>634</v>
      </c>
      <c r="Y362" s="286">
        <f>Y216</f>
        <v>631</v>
      </c>
      <c r="Z362" s="286"/>
      <c r="AA362" s="286">
        <f>AA216</f>
        <v>939</v>
      </c>
      <c r="AB362" s="286">
        <f>AB216</f>
        <v>892</v>
      </c>
      <c r="AC362" s="286"/>
      <c r="AD362" s="286">
        <f>AD216</f>
        <v>155</v>
      </c>
      <c r="AE362" s="286">
        <f>AE216</f>
        <v>418</v>
      </c>
      <c r="AF362" s="286"/>
      <c r="AG362" s="286">
        <f>AG216</f>
        <v>793</v>
      </c>
      <c r="AH362" s="286">
        <f>AH216</f>
        <v>753</v>
      </c>
      <c r="AI362" s="286"/>
      <c r="AJ362" s="286">
        <f>AJ216</f>
        <v>142</v>
      </c>
      <c r="AK362" s="286">
        <f>AK216</f>
        <v>129</v>
      </c>
      <c r="AL362" s="286"/>
      <c r="AM362" s="286">
        <f>AM216</f>
        <v>2616</v>
      </c>
      <c r="AN362" s="286">
        <f>AN216</f>
        <v>2096</v>
      </c>
      <c r="AO362" s="286"/>
      <c r="AP362" s="286">
        <f>AP216</f>
        <v>1007</v>
      </c>
      <c r="AQ362" s="286">
        <f>AQ216</f>
        <v>941</v>
      </c>
      <c r="AR362" s="286"/>
      <c r="AS362" s="286">
        <f>AS216</f>
        <v>0</v>
      </c>
      <c r="AT362" s="286">
        <f>AT216</f>
        <v>0</v>
      </c>
      <c r="AU362" s="286"/>
      <c r="AV362" s="286">
        <f>AV216</f>
        <v>0</v>
      </c>
      <c r="AW362" s="286">
        <f>AW216</f>
        <v>0</v>
      </c>
      <c r="AX362" s="286"/>
      <c r="AY362" s="286">
        <f>AY216</f>
        <v>0</v>
      </c>
      <c r="AZ362" s="286">
        <f>AZ216</f>
        <v>0</v>
      </c>
      <c r="BA362" s="286"/>
      <c r="BB362" s="286">
        <f>BB216</f>
        <v>0</v>
      </c>
      <c r="BC362" s="286">
        <f>BC216</f>
        <v>0</v>
      </c>
      <c r="BD362" s="286"/>
      <c r="BE362" s="286">
        <f>BE216</f>
        <v>0</v>
      </c>
      <c r="BF362" s="286">
        <f>BF216</f>
        <v>0</v>
      </c>
      <c r="BG362" s="286"/>
      <c r="BH362" s="286">
        <f>BH216</f>
        <v>0</v>
      </c>
      <c r="BI362" s="286">
        <f>BI216</f>
        <v>0</v>
      </c>
      <c r="BJ362" s="286"/>
      <c r="BK362" s="286">
        <f>BK216</f>
        <v>0</v>
      </c>
      <c r="BL362" s="286">
        <f>BL216</f>
        <v>0</v>
      </c>
      <c r="BM362" s="286"/>
      <c r="BN362" s="286">
        <f>BN216</f>
        <v>0</v>
      </c>
      <c r="BO362" s="286">
        <f>BO216</f>
        <v>0</v>
      </c>
      <c r="BP362" s="286"/>
      <c r="BQ362" s="286">
        <f>BQ216</f>
        <v>0</v>
      </c>
      <c r="BR362" s="286">
        <f>BR216</f>
        <v>0</v>
      </c>
      <c r="BS362" s="286"/>
      <c r="BT362" s="286">
        <f>BT216</f>
        <v>0</v>
      </c>
      <c r="BU362" s="286">
        <f>BU216</f>
        <v>0</v>
      </c>
      <c r="BV362" s="286"/>
      <c r="BW362" s="286">
        <f>BW216</f>
        <v>0</v>
      </c>
      <c r="BX362" s="286">
        <f>BX216</f>
        <v>0</v>
      </c>
      <c r="BY362" s="286"/>
      <c r="BZ362" s="286">
        <f>BZ216</f>
        <v>0</v>
      </c>
      <c r="CA362" s="286">
        <f>CA216</f>
        <v>0</v>
      </c>
      <c r="CB362" s="286"/>
      <c r="CC362" s="286">
        <f>CC216</f>
        <v>0</v>
      </c>
      <c r="CD362" s="286">
        <f>CD216</f>
        <v>0</v>
      </c>
      <c r="CE362" s="286"/>
      <c r="CF362" s="286">
        <f>CF216</f>
        <v>0</v>
      </c>
      <c r="CG362" s="286">
        <f>CG216</f>
        <v>0</v>
      </c>
      <c r="CH362" s="286"/>
      <c r="CI362" s="286">
        <f>CI216</f>
        <v>0</v>
      </c>
      <c r="CJ362" s="286">
        <f>CJ216</f>
        <v>0</v>
      </c>
      <c r="CK362" s="304"/>
      <c r="CL362" s="304"/>
      <c r="CM362" s="304"/>
      <c r="CN362" s="304"/>
      <c r="CO362" s="304"/>
      <c r="CP362" s="304"/>
      <c r="CQ362" s="304"/>
    </row>
    <row r="363" spans="1:95" ht="60" customHeight="1" x14ac:dyDescent="0.25">
      <c r="A363" s="329" t="s">
        <v>1361</v>
      </c>
      <c r="B363" s="96" t="s">
        <v>1635</v>
      </c>
      <c r="C363" s="329" t="s">
        <v>1399</v>
      </c>
      <c r="D363" s="329"/>
      <c r="E363" s="367"/>
      <c r="F363" s="367"/>
      <c r="G363" s="367"/>
      <c r="H363" s="367"/>
      <c r="I363" s="367"/>
      <c r="J363" s="367"/>
      <c r="K363" s="367"/>
      <c r="L363" s="367"/>
      <c r="M363" s="367"/>
      <c r="N363" s="367"/>
    </row>
    <row r="364" spans="1:95" ht="30" customHeight="1" x14ac:dyDescent="0.25">
      <c r="A364" s="329"/>
      <c r="B364" s="297" t="s">
        <v>1363</v>
      </c>
      <c r="C364" s="368"/>
      <c r="D364" s="329"/>
      <c r="E364" s="367"/>
      <c r="F364" s="367"/>
      <c r="G364" s="367"/>
      <c r="H364" s="367"/>
      <c r="I364" s="367"/>
      <c r="J364" s="367"/>
      <c r="K364" s="367"/>
      <c r="L364" s="367"/>
      <c r="M364" s="367"/>
      <c r="N364" s="367"/>
    </row>
    <row r="365" spans="1:95" ht="15" customHeight="1" x14ac:dyDescent="0.25">
      <c r="A365" s="329"/>
      <c r="B365" s="297" t="s">
        <v>1364</v>
      </c>
      <c r="C365" s="368"/>
      <c r="D365" s="329" t="s">
        <v>8</v>
      </c>
      <c r="E365" s="367"/>
      <c r="F365" s="367"/>
      <c r="G365" s="367"/>
      <c r="H365" s="369">
        <f>H381/($H$380+$H$390+$H$394)*100</f>
        <v>1.0955902492467817</v>
      </c>
      <c r="I365" s="369">
        <f t="shared" ref="I365:I370" si="557">I381/($I$380+$I$390+$I$394)*100</f>
        <v>0.7951454279137895</v>
      </c>
      <c r="J365" s="369">
        <f>J381/($J$380+$J$390+$J$394)*100</f>
        <v>0.70117550010311402</v>
      </c>
      <c r="K365" s="369">
        <f>K381/($K$380+$K$390+$K$394)*100</f>
        <v>0.68252326783867634</v>
      </c>
      <c r="L365" s="369">
        <f t="shared" ref="L365:N377" si="558">L381/($L$380+$L$390+$L$394)*100</f>
        <v>0</v>
      </c>
      <c r="M365" s="369">
        <f t="shared" si="558"/>
        <v>0</v>
      </c>
      <c r="N365" s="369">
        <f t="shared" si="558"/>
        <v>0</v>
      </c>
      <c r="P365" s="369">
        <f>P381/(P380+P390+P394)*100</f>
        <v>0.16546018614270941</v>
      </c>
      <c r="Q365" s="369">
        <f>Q381/(Q380+Q390+Q394)*100</f>
        <v>0.17159199237368922</v>
      </c>
      <c r="R365" s="369">
        <f>R381/(R380+R390+R394)*100</f>
        <v>0</v>
      </c>
      <c r="S365" s="369">
        <f>S381/(S380+S390+S394)*100</f>
        <v>0</v>
      </c>
      <c r="U365" s="369">
        <f>U381/(U380+U390+U394)*100</f>
        <v>0</v>
      </c>
      <c r="V365" s="369">
        <f>V381/(V380+V390+V394)*100</f>
        <v>0</v>
      </c>
      <c r="X365" s="369">
        <f>X381/(X380+X390+X394)*100</f>
        <v>0</v>
      </c>
      <c r="Y365" s="369">
        <f>Y381/(Y380+Y390+Y394)*100</f>
        <v>0</v>
      </c>
      <c r="AA365" s="369">
        <f>AA381/(AA380+AA390+AA394)*100</f>
        <v>0</v>
      </c>
      <c r="AB365" s="369">
        <f>AB381/(AB380+AB390+AB394)*100</f>
        <v>0</v>
      </c>
      <c r="AD365" s="369">
        <f>AD381/(AD380+AD390+AD394)*100</f>
        <v>0</v>
      </c>
      <c r="AE365" s="369">
        <f>AE381/(AE380+AE390+AE394)*100</f>
        <v>0</v>
      </c>
      <c r="AG365" s="369">
        <f>AG381/(AG380+AG390+AG394)*100</f>
        <v>0</v>
      </c>
      <c r="AH365" s="369">
        <f>AH381/(AH380+AH390+AH394)*100</f>
        <v>0</v>
      </c>
      <c r="AJ365" s="369">
        <f>AJ381/(AJ380+AJ390+AJ394)*100</f>
        <v>0</v>
      </c>
      <c r="AK365" s="369">
        <f>AK381/(AK380+AK390+AK394)*100</f>
        <v>0</v>
      </c>
      <c r="AM365" s="369">
        <f>AM381/(AM380+AM390+AM394)*100</f>
        <v>0</v>
      </c>
      <c r="AN365" s="369">
        <f>AN381/(AN380+AN390+AN394)*100</f>
        <v>0</v>
      </c>
      <c r="AP365" s="369">
        <f>AP381/(AP380+AP390+AP394)*100</f>
        <v>0</v>
      </c>
      <c r="AQ365" s="369">
        <f>AQ381/(AQ380+AQ390+AQ394)*100</f>
        <v>0</v>
      </c>
      <c r="AS365" s="369">
        <f>AS381/(AS380+AS390+AS394)*100</f>
        <v>0</v>
      </c>
      <c r="AT365" s="369">
        <f>AT381/(AT380+AT390+AT394)*100</f>
        <v>0</v>
      </c>
      <c r="AV365" s="369">
        <f>AV381/(AV380+AV390+AV394)*100</f>
        <v>0</v>
      </c>
      <c r="AW365" s="369">
        <f>AW381/(AW380+AW390+AW394)*100</f>
        <v>0</v>
      </c>
      <c r="AY365" s="369">
        <f>AY381/(AY380+AY390+AY394)*100</f>
        <v>0</v>
      </c>
      <c r="AZ365" s="369">
        <f>AZ381/(AZ380+AZ390+AZ394)*100</f>
        <v>0</v>
      </c>
      <c r="BB365" s="369">
        <f>BB381/(BB380+BB390+BB394)*100</f>
        <v>0</v>
      </c>
      <c r="BC365" s="369">
        <f>BC381/(BC380+BC390+BC394)*100</f>
        <v>0</v>
      </c>
      <c r="BE365" s="369">
        <f>BE381/(BE380+BE390+BE394)*100</f>
        <v>0</v>
      </c>
      <c r="BF365" s="369">
        <f>BF381/(BF380+BF390+BF394)*100</f>
        <v>0</v>
      </c>
      <c r="BH365" s="369">
        <f>BH381/(BH380+BH390+BH394)*100</f>
        <v>0</v>
      </c>
      <c r="BI365" s="369">
        <f>BI381/(BI380+BI390+BI394)*100</f>
        <v>0</v>
      </c>
      <c r="BK365" s="369">
        <f>BK381/(BK380+BK390+BK394)*100</f>
        <v>0</v>
      </c>
      <c r="BL365" s="369">
        <f>BL381/(BL380+BL390+BL394)*100</f>
        <v>0</v>
      </c>
      <c r="BN365" s="369">
        <f>BN381/(BN380+BN390+BN394)*100</f>
        <v>0</v>
      </c>
      <c r="BO365" s="369">
        <f>BO381/(BO380+BO390+BO394)*100</f>
        <v>0</v>
      </c>
      <c r="BQ365" s="369">
        <f>BQ381/(BQ380+BQ390+BQ394)*100</f>
        <v>0</v>
      </c>
      <c r="BR365" s="369">
        <f>BR381/(BR380+BR390+BR394)*100</f>
        <v>0</v>
      </c>
      <c r="BT365" s="369">
        <f>BT381/(BT380+BT390+BT394)*100</f>
        <v>0</v>
      </c>
      <c r="BU365" s="369">
        <f>BU381/(BU380+BU390+BU394)*100</f>
        <v>0</v>
      </c>
      <c r="BW365" s="369">
        <f>BW381/(BW380+BW390+BW394)*100</f>
        <v>0</v>
      </c>
      <c r="BX365" s="369">
        <f>BX381/(BX380+BX390+BX394)*100</f>
        <v>0</v>
      </c>
      <c r="BZ365" s="369">
        <f>BZ381/(BZ380+BZ390+BZ394)*100</f>
        <v>0</v>
      </c>
      <c r="CA365" s="369">
        <f>CA381/(CA380+CA390+CA394)*100</f>
        <v>0</v>
      </c>
      <c r="CC365" s="369">
        <f>CC381/(CC380+CC390+CC394)*100</f>
        <v>0</v>
      </c>
      <c r="CD365" s="369">
        <f>CD381/(CD380+CD390+CD394)*100</f>
        <v>0</v>
      </c>
      <c r="CF365" s="369">
        <f>CF381/(CF380+CF390+CF394)*100</f>
        <v>10.526315789473683</v>
      </c>
      <c r="CG365" s="369">
        <f>CG381/(CG380+CG390+CG394)*100</f>
        <v>12.857142857142856</v>
      </c>
      <c r="CI365" s="369" t="e">
        <f>CI381/(CI380+CI390+CI394)*100</f>
        <v>#DIV/0!</v>
      </c>
      <c r="CJ365" s="369" t="e">
        <f>CJ381/(CJ380+CJ390+CJ394)*100</f>
        <v>#DIV/0!</v>
      </c>
    </row>
    <row r="366" spans="1:95" ht="15" customHeight="1" x14ac:dyDescent="0.25">
      <c r="A366" s="329"/>
      <c r="B366" s="297" t="s">
        <v>1365</v>
      </c>
      <c r="C366" s="368"/>
      <c r="D366" s="329" t="s">
        <v>8</v>
      </c>
      <c r="E366" s="367"/>
      <c r="F366" s="367"/>
      <c r="G366" s="367"/>
      <c r="H366" s="369">
        <f t="shared" ref="H366:H378" si="559">H382/($H$380+$H$390+$H$394)*100</f>
        <v>60.668310052040539</v>
      </c>
      <c r="I366" s="369">
        <f t="shared" si="557"/>
        <v>52.354048964218457</v>
      </c>
      <c r="J366" s="369">
        <f t="shared" ref="J366:J378" si="560">J382/($J$380+$J$390+$J$394)*100</f>
        <v>53.144978346050728</v>
      </c>
      <c r="K366" s="369">
        <f>K382/($K$380+$K$390+$K$394)*100</f>
        <v>58.552223371251287</v>
      </c>
      <c r="L366" s="369">
        <f t="shared" si="558"/>
        <v>17.924528301886792</v>
      </c>
      <c r="M366" s="369">
        <f t="shared" si="558"/>
        <v>21.69811320754717</v>
      </c>
      <c r="N366" s="369">
        <f t="shared" si="558"/>
        <v>18.867924528301888</v>
      </c>
      <c r="P366" s="369">
        <f>P382/(P380+P390+P394)*100</f>
        <v>58.179937952430194</v>
      </c>
      <c r="Q366" s="369">
        <f>Q382/(Q380+Q390+Q394)*100</f>
        <v>64.690181124880837</v>
      </c>
      <c r="R366" s="369">
        <f>R382/(R380+R390+R394)*100</f>
        <v>38.461538461538467</v>
      </c>
      <c r="S366" s="369">
        <f>S382/(S380+S390+S394)*100</f>
        <v>37.179487179487182</v>
      </c>
      <c r="U366" s="369">
        <f>U382/(U380+U390+U394)*100</f>
        <v>0</v>
      </c>
      <c r="V366" s="369">
        <f>V382/(V380+V390+V394)*100</f>
        <v>0</v>
      </c>
      <c r="X366" s="369">
        <f>X382/(X380+X390+X394)*100</f>
        <v>66.666666666666657</v>
      </c>
      <c r="Y366" s="369">
        <f>Y382/(Y380+Y390+Y394)*100</f>
        <v>26.923076923076923</v>
      </c>
      <c r="AA366" s="369">
        <f>AA382/(AA380+AA390+AA394)*100</f>
        <v>100</v>
      </c>
      <c r="AB366" s="369">
        <f>AB382/(AB380+AB390+AB394)*100</f>
        <v>100</v>
      </c>
      <c r="AD366" s="369">
        <f>AD382/(AD380+AD390+AD394)*100</f>
        <v>0</v>
      </c>
      <c r="AE366" s="369">
        <f>AE382/(AE380+AE390+AE394)*100</f>
        <v>100</v>
      </c>
      <c r="AG366" s="369">
        <f>AG382/(AG380+AG390+AG394)*100</f>
        <v>68.292682926829272</v>
      </c>
      <c r="AH366" s="369">
        <f>AH382/(AH380+AH390+AH394)*100</f>
        <v>55.882352941176471</v>
      </c>
      <c r="AJ366" s="369">
        <f>AJ382/(AJ380+AJ390+AJ394)*100</f>
        <v>78.877005347593581</v>
      </c>
      <c r="AK366" s="369">
        <f>AK382/(AK380+AK390+AK394)*100</f>
        <v>80.222841225626738</v>
      </c>
      <c r="AM366" s="369">
        <f>AM382/(AM380+AM390+AM394)*100</f>
        <v>37.941176470588232</v>
      </c>
      <c r="AN366" s="369">
        <f>AN382/(AN380+AN390+AN394)*100</f>
        <v>37.410071942446045</v>
      </c>
      <c r="AP366" s="369">
        <f>AP382/(AP380+AP390+AP394)*100</f>
        <v>0</v>
      </c>
      <c r="AQ366" s="369">
        <f>AQ382/(AQ380+AQ390+AQ394)*100</f>
        <v>0</v>
      </c>
      <c r="AS366" s="369">
        <f>AS382/(AS380+AS390+AS394)*100</f>
        <v>90</v>
      </c>
      <c r="AT366" s="369">
        <f>AT382/(AT380+AT390+AT394)*100</f>
        <v>81.493506493506501</v>
      </c>
      <c r="AV366" s="369">
        <f>AV382/(AV380+AV390+AV394)*100</f>
        <v>38.405797101449274</v>
      </c>
      <c r="AW366" s="369">
        <f>AW382/(AW380+AW390+AW394)*100</f>
        <v>56.028368794326241</v>
      </c>
      <c r="AY366" s="369">
        <f>AY382/(AY380+AY390+AY394)*100</f>
        <v>47.983870967741936</v>
      </c>
      <c r="AZ366" s="369">
        <f>AZ382/(AZ380+AZ390+AZ394)*100</f>
        <v>45.614035087719294</v>
      </c>
      <c r="BB366" s="369">
        <f>BB382/(BB380+BB390+BB394)*100</f>
        <v>23.333333333333332</v>
      </c>
      <c r="BC366" s="369">
        <f>BC382/(BC380+BC390+BC394)*100</f>
        <v>20.618556701030926</v>
      </c>
      <c r="BE366" s="369">
        <f>BE382/(BE380+BE390+BE394)*100</f>
        <v>46.928746928746925</v>
      </c>
      <c r="BF366" s="369">
        <f>BF382/(BF380+BF390+BF394)*100</f>
        <v>71.063829787234042</v>
      </c>
      <c r="BH366" s="369">
        <f>BH382/(BH380+BH390+BH394)*100</f>
        <v>72.688172043010752</v>
      </c>
      <c r="BI366" s="369">
        <f>BI382/(BI380+BI390+BI394)*100</f>
        <v>75.246872942725474</v>
      </c>
      <c r="BK366" s="369">
        <f>BK382/(BK380+BK390+BK394)*100</f>
        <v>0</v>
      </c>
      <c r="BL366" s="369">
        <f>BL382/(BL380+BL390+BL394)*100</f>
        <v>0</v>
      </c>
      <c r="BN366" s="369">
        <f>BN382/(BN380+BN390+BN394)*100</f>
        <v>84.942084942084932</v>
      </c>
      <c r="BO366" s="369">
        <f>BO382/(BO380+BO390+BO394)*100</f>
        <v>80.308880308880305</v>
      </c>
      <c r="BQ366" s="369">
        <f>BQ382/(BQ380+BQ390+BQ394)*100</f>
        <v>0</v>
      </c>
      <c r="BR366" s="369">
        <f>BR382/(BR380+BR390+BR394)*100</f>
        <v>0</v>
      </c>
      <c r="BT366" s="369">
        <f>BT382/(BT380+BT390+BT394)*100</f>
        <v>0</v>
      </c>
      <c r="BU366" s="369">
        <f>BU382/(BU380+BU390+BU394)*100</f>
        <v>28.571428571428569</v>
      </c>
      <c r="BW366" s="369">
        <f>BW382/(BW380+BW390+BW394)*100</f>
        <v>61.224489795918366</v>
      </c>
      <c r="BX366" s="369">
        <f>BX382/(BX380+BX390+BX394)*100</f>
        <v>42</v>
      </c>
      <c r="BZ366" s="369">
        <f>BZ382/(BZ380+BZ390+BZ394)*100</f>
        <v>21.818181818181817</v>
      </c>
      <c r="CA366" s="369">
        <f>CA382/(CA380+CA390+CA394)*100</f>
        <v>0</v>
      </c>
      <c r="CC366" s="369">
        <f>CC382/(CC380+CC390+CC394)*100</f>
        <v>84.615384615384613</v>
      </c>
      <c r="CD366" s="369">
        <f>CD382/(CD380+CD390+CD394)*100</f>
        <v>51.282051282051277</v>
      </c>
      <c r="CF366" s="369">
        <f>CF382/(CF380+CF390+CF394)*100</f>
        <v>89.473684210526315</v>
      </c>
      <c r="CG366" s="369">
        <f>CG382/(CG380+CG390+CG394)*100</f>
        <v>87.142857142857139</v>
      </c>
      <c r="CI366" s="369" t="e">
        <f>CI382/(CI380+CI390+CI394)*100</f>
        <v>#DIV/0!</v>
      </c>
      <c r="CJ366" s="369" t="e">
        <f>CJ382/(CJ380+CJ390+CJ394)*100</f>
        <v>#DIV/0!</v>
      </c>
    </row>
    <row r="367" spans="1:95" x14ac:dyDescent="0.25">
      <c r="A367" s="329"/>
      <c r="B367" s="297" t="s">
        <v>1366</v>
      </c>
      <c r="C367" s="368"/>
      <c r="D367" s="329" t="s">
        <v>8</v>
      </c>
      <c r="E367" s="367"/>
      <c r="F367" s="367"/>
      <c r="G367" s="367"/>
      <c r="H367" s="369">
        <f t="shared" si="559"/>
        <v>8.4086551629690494</v>
      </c>
      <c r="I367" s="369">
        <f t="shared" si="557"/>
        <v>5.2521448001673994</v>
      </c>
      <c r="J367" s="369">
        <f t="shared" si="560"/>
        <v>5.6506496184780364</v>
      </c>
      <c r="K367" s="369">
        <f t="shared" ref="K367:K378" si="561">K383/($K$380+$K$390+$K$394)*100</f>
        <v>4.9638055842812818</v>
      </c>
      <c r="L367" s="369">
        <f t="shared" ref="L367:M378" si="562">L383/($L$380+$L$390+$L$394)*100</f>
        <v>0</v>
      </c>
      <c r="M367" s="369">
        <f t="shared" si="562"/>
        <v>0</v>
      </c>
      <c r="N367" s="369">
        <f t="shared" si="558"/>
        <v>0</v>
      </c>
      <c r="P367" s="369">
        <f>P383/(P380+P390+P394)*100</f>
        <v>5.8531540847983452</v>
      </c>
      <c r="Q367" s="369">
        <f>Q383/(Q380+Q390+Q394)*100</f>
        <v>4.5948522402287892</v>
      </c>
      <c r="R367" s="369">
        <f>R383/(R380+R390+R394)*100</f>
        <v>0</v>
      </c>
      <c r="S367" s="369">
        <f>S383/(S380+S390+S394)*100</f>
        <v>0</v>
      </c>
      <c r="U367" s="369">
        <f>U383/(U380+U390+U394)*100</f>
        <v>0</v>
      </c>
      <c r="V367" s="369">
        <f>V383/(V380+V390+V394)*100</f>
        <v>0</v>
      </c>
      <c r="X367" s="369">
        <f>X383/(X380+X390+X394)*100</f>
        <v>0</v>
      </c>
      <c r="Y367" s="369">
        <f>Y383/(Y380+Y390+Y394)*100</f>
        <v>0</v>
      </c>
      <c r="AA367" s="369">
        <f>AA383/(AA380+AA390+AA394)*100</f>
        <v>0</v>
      </c>
      <c r="AB367" s="369">
        <f>AB383/(AB380+AB390+AB394)*100</f>
        <v>0</v>
      </c>
      <c r="AD367" s="369">
        <f>AD383/(AD380+AD390+AD394)*100</f>
        <v>0</v>
      </c>
      <c r="AE367" s="369">
        <f>AE383/(AE380+AE390+AE394)*100</f>
        <v>0</v>
      </c>
      <c r="AG367" s="369">
        <f>AG383/(AG380+AG390+AG394)*100</f>
        <v>0</v>
      </c>
      <c r="AH367" s="369">
        <f>AH383/(AH380+AH390+AH394)*100</f>
        <v>0</v>
      </c>
      <c r="AJ367" s="369">
        <f>AJ383/(AJ380+AJ390+AJ394)*100</f>
        <v>0</v>
      </c>
      <c r="AK367" s="369">
        <f>AK383/(AK380+AK390+AK394)*100</f>
        <v>0</v>
      </c>
      <c r="AM367" s="369">
        <f>AM383/(AM380+AM390+AM394)*100</f>
        <v>0</v>
      </c>
      <c r="AN367" s="369">
        <f>AN383/(AN380+AN390+AN394)*100</f>
        <v>0</v>
      </c>
      <c r="AP367" s="369">
        <f>AP383/(AP380+AP390+AP394)*100</f>
        <v>0</v>
      </c>
      <c r="AQ367" s="369">
        <f>AQ383/(AQ380+AQ390+AQ394)*100</f>
        <v>0</v>
      </c>
      <c r="AS367" s="369">
        <f>AS383/(AS380+AS390+AS394)*100</f>
        <v>5</v>
      </c>
      <c r="AT367" s="369">
        <f>AT383/(AT380+AT390+AT394)*100</f>
        <v>3.2467532467532463</v>
      </c>
      <c r="AV367" s="369">
        <f>AV383/(AV380+AV390+AV394)*100</f>
        <v>21.739130434782609</v>
      </c>
      <c r="AW367" s="369">
        <f>AW383/(AW380+AW390+AW394)*100</f>
        <v>0</v>
      </c>
      <c r="AY367" s="369">
        <f>AY383/(AY380+AY390+AY394)*100</f>
        <v>10.080645161290322</v>
      </c>
      <c r="AZ367" s="369">
        <f>AZ383/(AZ380+AZ390+AZ394)*100</f>
        <v>10.331384015594541</v>
      </c>
      <c r="BB367" s="369">
        <f>BB383/(BB380+BB390+BB394)*100</f>
        <v>66.666666666666657</v>
      </c>
      <c r="BC367" s="369">
        <f>BC383/(BC380+BC390+BC394)*100</f>
        <v>57.731958762886592</v>
      </c>
      <c r="BE367" s="369">
        <f>BE383/(BE380+BE390+BE394)*100</f>
        <v>4.9140049140049138</v>
      </c>
      <c r="BF367" s="369">
        <f>BF383/(BF380+BF390+BF394)*100</f>
        <v>3.1914893617021276</v>
      </c>
      <c r="BH367" s="369">
        <f>BH383/(BH380+BH390+BH394)*100</f>
        <v>5.376344086021505</v>
      </c>
      <c r="BI367" s="369">
        <f>BI383/(BI380+BI390+BI394)*100</f>
        <v>4.9374588545095461</v>
      </c>
      <c r="BK367" s="369">
        <f>BK383/(BK380+BK390+BK394)*100</f>
        <v>0</v>
      </c>
      <c r="BL367" s="369">
        <f>BL383/(BL380+BL390+BL394)*100</f>
        <v>0</v>
      </c>
      <c r="BN367" s="369">
        <f>BN383/(BN380+BN390+BN394)*100</f>
        <v>0</v>
      </c>
      <c r="BO367" s="369">
        <f>BO383/(BO380+BO390+BO394)*100</f>
        <v>0</v>
      </c>
      <c r="BQ367" s="369">
        <f>BQ383/(BQ380+BQ390+BQ394)*100</f>
        <v>0</v>
      </c>
      <c r="BR367" s="369">
        <f>BR383/(BR380+BR390+BR394)*100</f>
        <v>0</v>
      </c>
      <c r="BT367" s="369">
        <f>BT383/(BT380+BT390+BT394)*100</f>
        <v>60</v>
      </c>
      <c r="BU367" s="369">
        <f>BU383/(BU380+BU390+BU394)*100</f>
        <v>48.571428571428569</v>
      </c>
      <c r="BW367" s="369">
        <f>BW383/(BW380+BW390+BW394)*100</f>
        <v>0</v>
      </c>
      <c r="BX367" s="369">
        <f>BX383/(BX380+BX390+BX394)*100</f>
        <v>0</v>
      </c>
      <c r="BZ367" s="369">
        <f>BZ383/(BZ380+BZ390+BZ394)*100</f>
        <v>0</v>
      </c>
      <c r="CA367" s="369">
        <f>CA383/(CA380+CA390+CA394)*100</f>
        <v>0</v>
      </c>
      <c r="CC367" s="369">
        <f>CC383/(CC380+CC390+CC394)*100</f>
        <v>0</v>
      </c>
      <c r="CD367" s="369">
        <f>CD383/(CD380+CD390+CD394)*100</f>
        <v>0</v>
      </c>
      <c r="CF367" s="369">
        <f>CF383/(CF380+CF390+CF394)*100</f>
        <v>0</v>
      </c>
      <c r="CG367" s="369">
        <f>CG383/(CG380+CG390+CG394)*100</f>
        <v>0</v>
      </c>
      <c r="CI367" s="369" t="e">
        <f>CI383/(CI380+CI390+CI394)*100</f>
        <v>#DIV/0!</v>
      </c>
      <c r="CJ367" s="369" t="e">
        <f>CJ383/(CJ380+CJ390+CJ394)*100</f>
        <v>#DIV/0!</v>
      </c>
    </row>
    <row r="368" spans="1:95" x14ac:dyDescent="0.25">
      <c r="A368" s="329"/>
      <c r="B368" s="297" t="s">
        <v>1367</v>
      </c>
      <c r="C368" s="368"/>
      <c r="D368" s="329" t="s">
        <v>8</v>
      </c>
      <c r="E368" s="367"/>
      <c r="F368" s="367"/>
      <c r="G368" s="367"/>
      <c r="H368" s="369">
        <f t="shared" si="559"/>
        <v>1.9720624486442069</v>
      </c>
      <c r="I368" s="369">
        <f t="shared" si="557"/>
        <v>1.987863569784474</v>
      </c>
      <c r="J368" s="369">
        <f t="shared" si="560"/>
        <v>2.2685089709218396</v>
      </c>
      <c r="K368" s="369">
        <f t="shared" si="561"/>
        <v>2.2130299896587382</v>
      </c>
      <c r="L368" s="369">
        <f t="shared" si="562"/>
        <v>0</v>
      </c>
      <c r="M368" s="369">
        <f t="shared" si="562"/>
        <v>0</v>
      </c>
      <c r="N368" s="369">
        <f t="shared" si="558"/>
        <v>0</v>
      </c>
      <c r="P368" s="369">
        <f>P384/(P380+P390+P394)*100</f>
        <v>2.2130299896587382</v>
      </c>
      <c r="Q368" s="369">
        <f>Q384/(Q380+Q390+Q394)*100</f>
        <v>1.9065776930409915</v>
      </c>
      <c r="R368" s="369">
        <f>R384/(R380+R390+R394)*100</f>
        <v>0</v>
      </c>
      <c r="S368" s="369">
        <f>S384/(S380+S390+S394)*100</f>
        <v>0</v>
      </c>
      <c r="U368" s="369">
        <f>U384/(U380+U390+U394)*100</f>
        <v>0</v>
      </c>
      <c r="V368" s="369">
        <f>V384/(V380+V390+V394)*100</f>
        <v>0</v>
      </c>
      <c r="X368" s="369">
        <f>X384/(X380+X390+X394)*100</f>
        <v>0</v>
      </c>
      <c r="Y368" s="369">
        <f>Y384/(Y380+Y390+Y394)*100</f>
        <v>0</v>
      </c>
      <c r="AA368" s="369">
        <f>AA384/(AA380+AA390+AA394)*100</f>
        <v>0</v>
      </c>
      <c r="AB368" s="369">
        <f>AB384/(AB380+AB390+AB394)*100</f>
        <v>0</v>
      </c>
      <c r="AD368" s="369">
        <f>AD384/(AD380+AD390+AD394)*100</f>
        <v>0</v>
      </c>
      <c r="AE368" s="369">
        <f>AE384/(AE380+AE390+AE394)*100</f>
        <v>0</v>
      </c>
      <c r="AG368" s="369">
        <f>AG384/(AG380+AG390+AG394)*100</f>
        <v>0</v>
      </c>
      <c r="AH368" s="369">
        <f>AH384/(AH380+AH390+AH394)*100</f>
        <v>0</v>
      </c>
      <c r="AJ368" s="369">
        <f>AJ384/(AJ380+AJ390+AJ394)*100</f>
        <v>0</v>
      </c>
      <c r="AK368" s="369">
        <f>AK384/(AK380+AK390+AK394)*100</f>
        <v>0</v>
      </c>
      <c r="AM368" s="369">
        <f>AM384/(AM380+AM390+AM394)*100</f>
        <v>5.5882352941176476</v>
      </c>
      <c r="AN368" s="369">
        <f>AN384/(AN380+AN390+AN394)*100</f>
        <v>2.6378896882494005</v>
      </c>
      <c r="AP368" s="369">
        <f>AP384/(AP380+AP390+AP394)*100</f>
        <v>0</v>
      </c>
      <c r="AQ368" s="369">
        <f>AQ384/(AQ380+AQ390+AQ394)*100</f>
        <v>0</v>
      </c>
      <c r="AS368" s="369">
        <f>AS384/(AS380+AS390+AS394)*100</f>
        <v>0</v>
      </c>
      <c r="AT368" s="369">
        <f>AT384/(AT380+AT390+AT394)*100</f>
        <v>0</v>
      </c>
      <c r="AV368" s="369">
        <f>AV384/(AV380+AV390+AV394)*100</f>
        <v>0</v>
      </c>
      <c r="AW368" s="369">
        <f>AW384/(AW380+AW390+AW394)*100</f>
        <v>0</v>
      </c>
      <c r="AY368" s="369">
        <f>AY384/(AY380+AY390+AY394)*100</f>
        <v>0</v>
      </c>
      <c r="AZ368" s="369">
        <f>AZ384/(AZ380+AZ390+AZ394)*100</f>
        <v>0</v>
      </c>
      <c r="BB368" s="369">
        <f>BB384/(BB380+BB390+BB394)*100</f>
        <v>0</v>
      </c>
      <c r="BC368" s="369">
        <f>BC384/(BC380+BC390+BC394)*100</f>
        <v>10.309278350515463</v>
      </c>
      <c r="BE368" s="369">
        <f>BE384/(BE380+BE390+BE394)*100</f>
        <v>1.2285012285012284</v>
      </c>
      <c r="BF368" s="369">
        <f>BF384/(BF380+BF390+BF394)*100</f>
        <v>2.1276595744680851</v>
      </c>
      <c r="BH368" s="369">
        <f>BH384/(BH380+BH390+BH394)*100</f>
        <v>4.1577060931899643</v>
      </c>
      <c r="BI368" s="369">
        <f>BI384/(BI380+BI390+BI394)*100</f>
        <v>3.8183015141540491</v>
      </c>
      <c r="BK368" s="369">
        <f>BK384/(BK380+BK390+BK394)*100</f>
        <v>0</v>
      </c>
      <c r="BL368" s="369">
        <f>BL384/(BL380+BL390+BL394)*100</f>
        <v>0</v>
      </c>
      <c r="BN368" s="369">
        <f>BN384/(BN380+BN390+BN394)*100</f>
        <v>3.8610038610038608</v>
      </c>
      <c r="BO368" s="369">
        <f>BO384/(BO380+BO390+BO394)*100</f>
        <v>0</v>
      </c>
      <c r="BQ368" s="369">
        <f>BQ384/(BQ380+BQ390+BQ394)*100</f>
        <v>0</v>
      </c>
      <c r="BR368" s="369">
        <f>BR384/(BR380+BR390+BR394)*100</f>
        <v>0</v>
      </c>
      <c r="BT368" s="369">
        <f>BT384/(BT380+BT390+BT394)*100</f>
        <v>40</v>
      </c>
      <c r="BU368" s="369">
        <f>BU384/(BU380+BU390+BU394)*100</f>
        <v>2.8571428571428572</v>
      </c>
      <c r="BW368" s="369">
        <f>BW384/(BW380+BW390+BW394)*100</f>
        <v>0</v>
      </c>
      <c r="BX368" s="369">
        <f>BX384/(BX380+BX390+BX394)*100</f>
        <v>0</v>
      </c>
      <c r="BZ368" s="369">
        <f>BZ384/(BZ380+BZ390+BZ394)*100</f>
        <v>0</v>
      </c>
      <c r="CA368" s="369">
        <f>CA384/(CA380+CA390+CA394)*100</f>
        <v>0</v>
      </c>
      <c r="CC368" s="369">
        <f>CC384/(CC380+CC390+CC394)*100</f>
        <v>0</v>
      </c>
      <c r="CD368" s="369">
        <f>CD384/(CD380+CD390+CD394)*100</f>
        <v>0</v>
      </c>
      <c r="CF368" s="369">
        <f>CF384/(CF380+CF390+CF394)*100</f>
        <v>0</v>
      </c>
      <c r="CG368" s="369">
        <f>CG384/(CG380+CG390+CG394)*100</f>
        <v>0</v>
      </c>
      <c r="CI368" s="369" t="e">
        <f>CI384/(CI380+CI390+CI394)*100</f>
        <v>#DIV/0!</v>
      </c>
      <c r="CJ368" s="369" t="e">
        <f>CJ384/(CJ380+CJ390+CJ394)*100</f>
        <v>#DIV/0!</v>
      </c>
    </row>
    <row r="369" spans="1:88" x14ac:dyDescent="0.25">
      <c r="A369" s="329"/>
      <c r="B369" s="297" t="s">
        <v>1368</v>
      </c>
      <c r="C369" s="368"/>
      <c r="D369" s="329" t="s">
        <v>8</v>
      </c>
      <c r="E369" s="367"/>
      <c r="F369" s="367"/>
      <c r="G369" s="367"/>
      <c r="H369" s="369">
        <f t="shared" si="559"/>
        <v>10.052040536839222</v>
      </c>
      <c r="I369" s="369">
        <f t="shared" si="557"/>
        <v>14.64741577735928</v>
      </c>
      <c r="J369" s="369">
        <f t="shared" si="560"/>
        <v>14.209115281501342</v>
      </c>
      <c r="K369" s="369">
        <f t="shared" si="561"/>
        <v>13.11271975180972</v>
      </c>
      <c r="L369" s="369">
        <f t="shared" si="562"/>
        <v>0</v>
      </c>
      <c r="M369" s="369">
        <f t="shared" si="562"/>
        <v>2.8301886792452833</v>
      </c>
      <c r="N369" s="369">
        <f t="shared" si="558"/>
        <v>5.6603773584905666</v>
      </c>
      <c r="P369" s="369">
        <f>P385/(P380+P390+P394)*100</f>
        <v>13.11271975180972</v>
      </c>
      <c r="Q369" s="369">
        <f>Q385/(Q380+Q390+Q394)*100</f>
        <v>13.63203050524309</v>
      </c>
      <c r="R369" s="369">
        <f>R385/(R380+R390+R394)*100</f>
        <v>53.846153846153847</v>
      </c>
      <c r="S369" s="369">
        <f>S385/(S380+S390+S394)*100</f>
        <v>50</v>
      </c>
      <c r="U369" s="369">
        <f>U385/(U380+U390+U394)*100</f>
        <v>0</v>
      </c>
      <c r="V369" s="369">
        <f>V385/(V380+V390+V394)*100</f>
        <v>0</v>
      </c>
      <c r="X369" s="369">
        <f>X385/(X380+X390+X394)*100</f>
        <v>0</v>
      </c>
      <c r="Y369" s="369">
        <f>Y385/(Y380+Y390+Y394)*100</f>
        <v>0</v>
      </c>
      <c r="AA369" s="369">
        <f>AA385/(AA380+AA390+AA394)*100</f>
        <v>0</v>
      </c>
      <c r="AB369" s="369">
        <f>AB385/(AB380+AB390+AB394)*100</f>
        <v>0</v>
      </c>
      <c r="AD369" s="369">
        <f>AD385/(AD380+AD390+AD394)*100</f>
        <v>0</v>
      </c>
      <c r="AE369" s="369">
        <f>AE385/(AE380+AE390+AE394)*100</f>
        <v>0</v>
      </c>
      <c r="AG369" s="369">
        <f>AG385/(AG380+AG390+AG394)*100</f>
        <v>0</v>
      </c>
      <c r="AH369" s="369">
        <f>AH385/(AH380+AH390+AH394)*100</f>
        <v>0</v>
      </c>
      <c r="AJ369" s="369">
        <f>AJ385/(AJ380+AJ390+AJ394)*100</f>
        <v>1.3368983957219251</v>
      </c>
      <c r="AK369" s="369">
        <f>AK385/(AK380+AK390+AK394)*100</f>
        <v>1.1142061281337048</v>
      </c>
      <c r="AM369" s="369">
        <f>AM385/(AM380+AM390+AM394)*100</f>
        <v>21.176470588235293</v>
      </c>
      <c r="AN369" s="369">
        <f>AN385/(AN380+AN390+AN394)*100</f>
        <v>21.103117505995204</v>
      </c>
      <c r="AP369" s="369">
        <f>AP385/(AP380+AP390+AP394)*100</f>
        <v>0</v>
      </c>
      <c r="AQ369" s="369">
        <f>AQ385/(AQ380+AQ390+AQ394)*100</f>
        <v>0</v>
      </c>
      <c r="AS369" s="369">
        <f>AS385/(AS380+AS390+AS394)*100</f>
        <v>0</v>
      </c>
      <c r="AT369" s="369">
        <f>AT385/(AT380+AT390+AT394)*100</f>
        <v>5.5194805194805197</v>
      </c>
      <c r="AV369" s="369">
        <f>AV385/(AV380+AV390+AV394)*100</f>
        <v>37.681159420289859</v>
      </c>
      <c r="AW369" s="369">
        <f>AW385/(AW380+AW390+AW394)*100</f>
        <v>33.333333333333329</v>
      </c>
      <c r="AY369" s="369">
        <f>AY385/(AY380+AY390+AY394)*100</f>
        <v>9.879032258064516</v>
      </c>
      <c r="AZ369" s="369">
        <f>AZ385/(AZ380+AZ390+AZ394)*100</f>
        <v>12.085769980506821</v>
      </c>
      <c r="BB369" s="369">
        <f>BB385/(BB380+BB390+BB394)*100</f>
        <v>0</v>
      </c>
      <c r="BC369" s="369">
        <f>BC385/(BC380+BC390+BC394)*100</f>
        <v>11.340206185567011</v>
      </c>
      <c r="BE369" s="369">
        <f>BE385/(BE380+BE390+BE394)*100</f>
        <v>20.884520884520885</v>
      </c>
      <c r="BF369" s="369">
        <f>BF385/(BF380+BF390+BF394)*100</f>
        <v>20.212765957446805</v>
      </c>
      <c r="BH369" s="369">
        <f>BH385/(BH380+BH390+BH394)*100</f>
        <v>16.129032258064516</v>
      </c>
      <c r="BI369" s="369">
        <f>BI385/(BI380+BI390+BI394)*100</f>
        <v>14.549045424621463</v>
      </c>
      <c r="BK369" s="369">
        <f>BK385/(BK380+BK390+BK394)*100</f>
        <v>0</v>
      </c>
      <c r="BL369" s="369">
        <f>BL385/(BL380+BL390+BL394)*100</f>
        <v>0</v>
      </c>
      <c r="BN369" s="369">
        <f>BN385/(BN380+BN390+BN394)*100</f>
        <v>7.7220077220077217</v>
      </c>
      <c r="BO369" s="369">
        <f>BO385/(BO380+BO390+BO394)*100</f>
        <v>10.038610038610038</v>
      </c>
      <c r="BQ369" s="369">
        <f>BQ385/(BQ380+BQ390+BQ394)*100</f>
        <v>0</v>
      </c>
      <c r="BR369" s="369">
        <f>BR385/(BR380+BR390+BR394)*100</f>
        <v>0</v>
      </c>
      <c r="BT369" s="369">
        <f>BT385/(BT380+BT390+BT394)*100</f>
        <v>0</v>
      </c>
      <c r="BU369" s="369">
        <f>BU385/(BU380+BU390+BU394)*100</f>
        <v>20</v>
      </c>
      <c r="BW369" s="369">
        <f>BW385/(BW380+BW390+BW394)*100</f>
        <v>0</v>
      </c>
      <c r="BX369" s="369">
        <f>BX385/(BX380+BX390+BX394)*100</f>
        <v>0</v>
      </c>
      <c r="BZ369" s="369">
        <f>BZ385/(BZ380+BZ390+BZ394)*100</f>
        <v>10.909090909090908</v>
      </c>
      <c r="CA369" s="369">
        <f>CA385/(CA380+CA390+CA394)*100</f>
        <v>6.5217391304347823</v>
      </c>
      <c r="CC369" s="369">
        <f>CC385/(CC380+CC390+CC394)*100</f>
        <v>0</v>
      </c>
      <c r="CD369" s="369">
        <f>CD385/(CD380+CD390+CD394)*100</f>
        <v>0</v>
      </c>
      <c r="CF369" s="369">
        <f>CF385/(CF380+CF390+CF394)*100</f>
        <v>0</v>
      </c>
      <c r="CG369" s="369">
        <f>CG385/(CG380+CG390+CG394)*100</f>
        <v>0</v>
      </c>
      <c r="CI369" s="369" t="e">
        <f>CI385/(CI380+CI390+CI394)*100</f>
        <v>#DIV/0!</v>
      </c>
      <c r="CJ369" s="369" t="e">
        <f>CJ385/(CJ380+CJ390+CJ394)*100</f>
        <v>#DIV/0!</v>
      </c>
    </row>
    <row r="370" spans="1:88" x14ac:dyDescent="0.25">
      <c r="A370" s="329"/>
      <c r="B370" s="297" t="s">
        <v>1369</v>
      </c>
      <c r="C370" s="368"/>
      <c r="D370" s="329" t="s">
        <v>8</v>
      </c>
      <c r="E370" s="367"/>
      <c r="F370" s="367"/>
      <c r="G370" s="367"/>
      <c r="H370" s="369">
        <f t="shared" si="559"/>
        <v>2.9854834291974801</v>
      </c>
      <c r="I370" s="369">
        <f t="shared" si="557"/>
        <v>4.7917974471646785</v>
      </c>
      <c r="J370" s="369">
        <f t="shared" si="560"/>
        <v>4.0420705300061863</v>
      </c>
      <c r="K370" s="369">
        <f t="shared" si="561"/>
        <v>2.1096173733195447</v>
      </c>
      <c r="L370" s="369">
        <f t="shared" si="562"/>
        <v>0</v>
      </c>
      <c r="M370" s="369">
        <f t="shared" si="562"/>
        <v>0</v>
      </c>
      <c r="N370" s="369">
        <f t="shared" si="558"/>
        <v>0</v>
      </c>
      <c r="P370" s="369">
        <f>P386/(P380+P390+P394)*100</f>
        <v>2.1096173733195447</v>
      </c>
      <c r="Q370" s="369">
        <f>Q386/(Q380+Q390+Q394)*100</f>
        <v>0.61010486177311718</v>
      </c>
      <c r="R370" s="369">
        <f>R386/(R380+R390+R394)*100</f>
        <v>0</v>
      </c>
      <c r="S370" s="369">
        <f>S386/(S380+S390+S394)*100</f>
        <v>0</v>
      </c>
      <c r="U370" s="369">
        <f>U386/(U380+U390+U394)*100</f>
        <v>0</v>
      </c>
      <c r="V370" s="369">
        <f>V386/(V380+V390+V394)*100</f>
        <v>0</v>
      </c>
      <c r="X370" s="369">
        <f>X386/(X380+X390+X394)*100</f>
        <v>0</v>
      </c>
      <c r="Y370" s="369">
        <f>Y386/(Y380+Y390+Y394)*100</f>
        <v>0</v>
      </c>
      <c r="AA370" s="369">
        <f>AA386/(AA380+AA390+AA394)*100</f>
        <v>0</v>
      </c>
      <c r="AB370" s="369">
        <f>AB386/(AB380+AB390+AB394)*100</f>
        <v>0</v>
      </c>
      <c r="AD370" s="369">
        <f>AD386/(AD380+AD390+AD394)*100</f>
        <v>0</v>
      </c>
      <c r="AE370" s="369">
        <f>AE386/(AE380+AE390+AE394)*100</f>
        <v>0</v>
      </c>
      <c r="AG370" s="369">
        <f>AG386/(AG380+AG390+AG394)*100</f>
        <v>0</v>
      </c>
      <c r="AH370" s="369">
        <f>AH386/(AH380+AH390+AH394)*100</f>
        <v>0</v>
      </c>
      <c r="AJ370" s="369">
        <f>AJ386/(AJ380+AJ390+AJ394)*100</f>
        <v>0</v>
      </c>
      <c r="AK370" s="369">
        <f>AK386/(AK380+AK390+AK394)*100</f>
        <v>0</v>
      </c>
      <c r="AM370" s="369">
        <f>AM386/(AM380+AM390+AM394)*100</f>
        <v>0</v>
      </c>
      <c r="AN370" s="369">
        <f>AN386/(AN380+AN390+AN394)*100</f>
        <v>0</v>
      </c>
      <c r="AP370" s="369">
        <f>AP386/(AP380+AP390+AP394)*100</f>
        <v>0</v>
      </c>
      <c r="AQ370" s="369">
        <f>AQ386/(AQ380+AQ390+AQ394)*100</f>
        <v>0</v>
      </c>
      <c r="AS370" s="369">
        <f>AS386/(AS380+AS390+AS394)*100</f>
        <v>0</v>
      </c>
      <c r="AT370" s="369">
        <f>AT386/(AT380+AT390+AT394)*100</f>
        <v>0</v>
      </c>
      <c r="AV370" s="369">
        <f>AV386/(AV380+AV390+AV394)*100</f>
        <v>0</v>
      </c>
      <c r="AW370" s="369">
        <f>AW386/(AW380+AW390+AW394)*100</f>
        <v>0</v>
      </c>
      <c r="AY370" s="369">
        <f>AY386/(AY380+AY390+AY394)*100</f>
        <v>0</v>
      </c>
      <c r="AZ370" s="369">
        <f>AZ386/(AZ380+AZ390+AZ394)*100</f>
        <v>0</v>
      </c>
      <c r="BB370" s="369">
        <f>BB386/(BB380+BB390+BB394)*100</f>
        <v>0</v>
      </c>
      <c r="BC370" s="369">
        <f>BC386/(BC380+BC390+BC394)*100</f>
        <v>0</v>
      </c>
      <c r="BE370" s="369">
        <f>BE386/(BE380+BE390+BE394)*100</f>
        <v>12.530712530712531</v>
      </c>
      <c r="BF370" s="369">
        <f>BF386/(BF380+BF390+BF394)*100</f>
        <v>3.4042553191489362</v>
      </c>
      <c r="BH370" s="369">
        <f>BH386/(BH380+BH390+BH394)*100</f>
        <v>0</v>
      </c>
      <c r="BI370" s="369">
        <f>BI386/(BI380+BI390+BI394)*100</f>
        <v>0</v>
      </c>
      <c r="BK370" s="369">
        <f>BK386/(BK380+BK390+BK394)*100</f>
        <v>0</v>
      </c>
      <c r="BL370" s="369">
        <f>BL386/(BL380+BL390+BL394)*100</f>
        <v>0</v>
      </c>
      <c r="BN370" s="369">
        <f>BN386/(BN380+BN390+BN394)*100</f>
        <v>0</v>
      </c>
      <c r="BO370" s="369">
        <f>BO386/(BO380+BO390+BO394)*100</f>
        <v>0</v>
      </c>
      <c r="BQ370" s="369">
        <f>BQ386/(BQ380+BQ390+BQ394)*100</f>
        <v>0</v>
      </c>
      <c r="BR370" s="369">
        <f>BR386/(BR380+BR390+BR394)*100</f>
        <v>0</v>
      </c>
      <c r="BT370" s="369">
        <f>BT386/(BT380+BT390+BT394)*100</f>
        <v>0</v>
      </c>
      <c r="BU370" s="369">
        <f>BU386/(BU380+BU390+BU394)*100</f>
        <v>0</v>
      </c>
      <c r="BW370" s="369">
        <f>BW386/(BW380+BW390+BW394)*100</f>
        <v>0</v>
      </c>
      <c r="BX370" s="369">
        <f>BX386/(BX380+BX390+BX394)*100</f>
        <v>0</v>
      </c>
      <c r="BZ370" s="369">
        <f>BZ386/(BZ380+BZ390+BZ394)*100</f>
        <v>0</v>
      </c>
      <c r="CA370" s="369">
        <f>CA386/(CA380+CA390+CA394)*100</f>
        <v>0</v>
      </c>
      <c r="CC370" s="369">
        <f>CC386/(CC380+CC390+CC394)*100</f>
        <v>0</v>
      </c>
      <c r="CD370" s="369">
        <f>CD386/(CD380+CD390+CD394)*100</f>
        <v>0</v>
      </c>
      <c r="CF370" s="369">
        <f>CF386/(CF380+CF390+CF394)*100</f>
        <v>0</v>
      </c>
      <c r="CG370" s="369">
        <f>CG386/(CG380+CG390+CG394)*100</f>
        <v>0</v>
      </c>
      <c r="CI370" s="369" t="e">
        <f>CI386/(CI380+CI390+CI394)*100</f>
        <v>#DIV/0!</v>
      </c>
      <c r="CJ370" s="369" t="e">
        <f>CJ386/(CJ380+CJ390+CJ394)*100</f>
        <v>#DIV/0!</v>
      </c>
    </row>
    <row r="371" spans="1:88" hidden="1" x14ac:dyDescent="0.25">
      <c r="A371" s="329"/>
      <c r="B371" s="297" t="s">
        <v>1370</v>
      </c>
      <c r="C371" s="368"/>
      <c r="D371" s="329" t="s">
        <v>8</v>
      </c>
      <c r="E371" s="367"/>
      <c r="F371" s="367"/>
      <c r="G371" s="367"/>
      <c r="H371" s="369">
        <f t="shared" si="559"/>
        <v>1.9446726924130373</v>
      </c>
      <c r="I371" s="369"/>
      <c r="J371" s="369">
        <f t="shared" si="560"/>
        <v>0</v>
      </c>
      <c r="K371" s="369">
        <f t="shared" si="561"/>
        <v>0</v>
      </c>
      <c r="L371" s="369">
        <f t="shared" si="562"/>
        <v>0</v>
      </c>
      <c r="M371" s="369">
        <f t="shared" si="562"/>
        <v>0</v>
      </c>
      <c r="N371" s="369">
        <f t="shared" si="558"/>
        <v>0</v>
      </c>
      <c r="P371" s="369"/>
      <c r="Q371" s="369"/>
      <c r="R371" s="369"/>
      <c r="S371" s="369"/>
      <c r="U371" s="369"/>
      <c r="V371" s="369"/>
      <c r="X371" s="369"/>
      <c r="Y371" s="369"/>
      <c r="AA371" s="369"/>
      <c r="AB371" s="369"/>
      <c r="AD371" s="369"/>
      <c r="AE371" s="369"/>
      <c r="AG371" s="369"/>
      <c r="AH371" s="369"/>
      <c r="AJ371" s="369"/>
      <c r="AK371" s="369"/>
      <c r="AM371" s="369"/>
      <c r="AN371" s="369"/>
      <c r="AP371" s="369"/>
      <c r="AQ371" s="369"/>
      <c r="AS371" s="369"/>
      <c r="AT371" s="369"/>
      <c r="AV371" s="369"/>
      <c r="AW371" s="369"/>
      <c r="AY371" s="369"/>
      <c r="AZ371" s="369"/>
      <c r="BB371" s="369"/>
      <c r="BC371" s="369"/>
      <c r="BE371" s="369"/>
      <c r="BF371" s="369"/>
      <c r="BH371" s="369"/>
      <c r="BI371" s="369"/>
      <c r="BK371" s="369"/>
      <c r="BL371" s="369"/>
      <c r="BN371" s="369"/>
      <c r="BO371" s="369"/>
      <c r="BQ371" s="369"/>
      <c r="BR371" s="369"/>
      <c r="BT371" s="369"/>
      <c r="BU371" s="369"/>
      <c r="BW371" s="369"/>
      <c r="BX371" s="369"/>
      <c r="BZ371" s="369"/>
      <c r="CA371" s="369"/>
      <c r="CC371" s="369"/>
      <c r="CD371" s="369"/>
      <c r="CF371" s="369"/>
      <c r="CG371" s="369"/>
      <c r="CI371" s="369"/>
      <c r="CJ371" s="369"/>
    </row>
    <row r="372" spans="1:88" x14ac:dyDescent="0.25">
      <c r="A372" s="329"/>
      <c r="B372" s="297" t="s">
        <v>1371</v>
      </c>
      <c r="C372" s="368"/>
      <c r="D372" s="329" t="s">
        <v>8</v>
      </c>
      <c r="E372" s="367"/>
      <c r="F372" s="367"/>
      <c r="G372" s="367"/>
      <c r="H372" s="369">
        <f t="shared" si="559"/>
        <v>5.9435771021637906</v>
      </c>
      <c r="I372" s="369">
        <f>I388/($I$380+$I$390+$I$394)*100</f>
        <v>2.0924879681941828</v>
      </c>
      <c r="J372" s="369">
        <f t="shared" si="560"/>
        <v>2.0210352650030932</v>
      </c>
      <c r="K372" s="369">
        <f t="shared" si="561"/>
        <v>1.6752843846949326</v>
      </c>
      <c r="L372" s="369">
        <f t="shared" si="562"/>
        <v>0</v>
      </c>
      <c r="M372" s="369">
        <f t="shared" si="562"/>
        <v>0</v>
      </c>
      <c r="N372" s="369">
        <f t="shared" si="558"/>
        <v>0</v>
      </c>
      <c r="P372" s="369">
        <f>P388/(P380+P390+P394)*100</f>
        <v>1.6752843846949326</v>
      </c>
      <c r="Q372" s="369">
        <f>Q388/(Q380+Q390+Q394)*100</f>
        <v>1.6777883698760723</v>
      </c>
      <c r="R372" s="369">
        <f>R388/(R380+R390+R394)*100</f>
        <v>7.6923076923076925</v>
      </c>
      <c r="S372" s="369">
        <f>S388/(S380+S390+S394)*100</f>
        <v>12.820512820512819</v>
      </c>
      <c r="U372" s="369">
        <f>U388/(U380+U390+U394)*100</f>
        <v>0</v>
      </c>
      <c r="V372" s="369">
        <f>V388/(V380+V390+V394)*100</f>
        <v>0</v>
      </c>
      <c r="X372" s="369">
        <f>X388/(X380+X390+X394)*100</f>
        <v>0</v>
      </c>
      <c r="Y372" s="369">
        <f>Y388/(Y380+Y390+Y394)*100</f>
        <v>19.230769230769234</v>
      </c>
      <c r="AA372" s="369">
        <f>AA388/(AA380+AA390+AA394)*100</f>
        <v>0</v>
      </c>
      <c r="AB372" s="369">
        <f>AB388/(AB380+AB390+AB394)*100</f>
        <v>0</v>
      </c>
      <c r="AD372" s="369">
        <f>AD388/(AD380+AD390+AD394)*100</f>
        <v>0</v>
      </c>
      <c r="AE372" s="369">
        <f>AE388/(AE380+AE390+AE394)*100</f>
        <v>0</v>
      </c>
      <c r="AG372" s="369">
        <f>AG388/(AG380+AG390+AG394)*100</f>
        <v>0</v>
      </c>
      <c r="AH372" s="369">
        <f>AH388/(AH380+AH390+AH394)*100</f>
        <v>0</v>
      </c>
      <c r="AJ372" s="369">
        <f>AJ388/(AJ380+AJ390+AJ394)*100</f>
        <v>5.8823529411764701</v>
      </c>
      <c r="AK372" s="369">
        <f>AK388/(AK380+AK390+AK394)*100</f>
        <v>3.8997214484679668</v>
      </c>
      <c r="AM372" s="369">
        <f>AM388/(AM380+AM390+AM394)*100</f>
        <v>6.7647058823529411</v>
      </c>
      <c r="AN372" s="369">
        <f>AN388/(AN380+AN390+AN394)*100</f>
        <v>4.7961630695443649</v>
      </c>
      <c r="AP372" s="369">
        <f>AP388/(AP380+AP390+AP394)*100</f>
        <v>0</v>
      </c>
      <c r="AQ372" s="369">
        <f>AQ388/(AQ380+AQ390+AQ394)*100</f>
        <v>0</v>
      </c>
      <c r="AS372" s="369">
        <f>AS388/(AS380+AS390+AS394)*100</f>
        <v>1.9230769230769231</v>
      </c>
      <c r="AT372" s="369">
        <f>AT388/(AT380+AT390+AT394)*100</f>
        <v>0</v>
      </c>
      <c r="AV372" s="369">
        <f>AV388/(AV380+AV390+AV394)*100</f>
        <v>0</v>
      </c>
      <c r="AW372" s="369">
        <f>AW388/(AW380+AW390+AW394)*100</f>
        <v>0</v>
      </c>
      <c r="AY372" s="369">
        <f>AY388/(AY380+AY390+AY394)*100</f>
        <v>1.2096774193548387</v>
      </c>
      <c r="AZ372" s="369">
        <f>AZ388/(AZ380+AZ390+AZ394)*100</f>
        <v>1.7543859649122806</v>
      </c>
      <c r="BB372" s="369">
        <f>BB388/(BB380+BB390+BB394)*100</f>
        <v>0</v>
      </c>
      <c r="BC372" s="369">
        <f>BC388/(BC380+BC390+BC394)*100</f>
        <v>0</v>
      </c>
      <c r="BE372" s="369">
        <f>BE388/(BE380+BE390+BE394)*100</f>
        <v>0.61425061425061422</v>
      </c>
      <c r="BF372" s="369">
        <f>BF388/(BF380+BF390+BF394)*100</f>
        <v>0</v>
      </c>
      <c r="BH372" s="369">
        <f>BH388/(BH380+BH390+BH394)*100</f>
        <v>0.43010752688172044</v>
      </c>
      <c r="BI372" s="369">
        <f>BI388/(BI380+BI390+BI394)*100</f>
        <v>0</v>
      </c>
      <c r="BK372" s="369">
        <f>BK388/(BK380+BK390+BK394)*100</f>
        <v>0</v>
      </c>
      <c r="BL372" s="369">
        <f>BL388/(BL380+BL390+BL394)*100</f>
        <v>0</v>
      </c>
      <c r="BN372" s="369">
        <f>BN388/(BN380+BN390+BN394)*100</f>
        <v>3.4749034749034751</v>
      </c>
      <c r="BO372" s="369">
        <f>BO388/(BO380+BO390+BO394)*100</f>
        <v>7.7220077220077217</v>
      </c>
      <c r="BQ372" s="369">
        <f>BQ388/(BQ380+BQ390+BQ394)*100</f>
        <v>0</v>
      </c>
      <c r="BR372" s="369">
        <f>BR388/(BR380+BR390+BR394)*100</f>
        <v>0</v>
      </c>
      <c r="BT372" s="369">
        <f>BT388/(BT380+BT390+BT394)*100</f>
        <v>0</v>
      </c>
      <c r="BU372" s="369">
        <f>BU388/(BU380+BU390+BU394)*100</f>
        <v>0</v>
      </c>
      <c r="BW372" s="369">
        <f>BW388/(BW380+BW390+BW394)*100</f>
        <v>0</v>
      </c>
      <c r="BX372" s="369">
        <f>BX388/(BX380+BX390+BX394)*100</f>
        <v>0</v>
      </c>
      <c r="BZ372" s="369">
        <f>BZ388/(BZ380+BZ390+BZ394)*100</f>
        <v>0</v>
      </c>
      <c r="CA372" s="369">
        <f>CA388/(CA380+CA390+CA394)*100</f>
        <v>0</v>
      </c>
      <c r="CC372" s="369">
        <f>CC388/(CC380+CC390+CC394)*100</f>
        <v>0</v>
      </c>
      <c r="CD372" s="369">
        <f>CD388/(CD380+CD390+CD394)*100</f>
        <v>12.820512820512819</v>
      </c>
      <c r="CF372" s="369">
        <f>CF388/(CF380+CF390+CF394)*100</f>
        <v>0</v>
      </c>
      <c r="CG372" s="369">
        <f>CG388/(CG380+CG390+CG394)*100</f>
        <v>0</v>
      </c>
      <c r="CI372" s="369" t="e">
        <f>CI388/(CI380+CI390+CI394)*100</f>
        <v>#DIV/0!</v>
      </c>
      <c r="CJ372" s="369" t="e">
        <f>CJ388/(CJ380+CJ390+CJ394)*100</f>
        <v>#DIV/0!</v>
      </c>
    </row>
    <row r="373" spans="1:88" x14ac:dyDescent="0.25">
      <c r="A373" s="329"/>
      <c r="B373" s="297" t="s">
        <v>1372</v>
      </c>
      <c r="C373" s="368"/>
      <c r="D373" s="329" t="s">
        <v>8</v>
      </c>
      <c r="E373" s="367"/>
      <c r="F373" s="367"/>
      <c r="G373" s="367"/>
      <c r="H373" s="369">
        <f t="shared" si="559"/>
        <v>0.10955902492467817</v>
      </c>
      <c r="I373" s="369">
        <f>I389/($I$380+$I$390+$I$394)*100</f>
        <v>8.7884494664155675</v>
      </c>
      <c r="J373" s="369">
        <f t="shared" si="560"/>
        <v>6.9705093833780163</v>
      </c>
      <c r="K373" s="369">
        <f t="shared" si="561"/>
        <v>4.4881075491209925</v>
      </c>
      <c r="L373" s="369">
        <f t="shared" si="562"/>
        <v>0</v>
      </c>
      <c r="M373" s="369">
        <f t="shared" si="562"/>
        <v>0</v>
      </c>
      <c r="N373" s="369">
        <f t="shared" si="558"/>
        <v>0</v>
      </c>
      <c r="P373" s="369">
        <f>P389/(P380+P390+P394)*100</f>
        <v>4.4881075491209925</v>
      </c>
      <c r="Q373" s="369">
        <f>Q389/(Q380+Q390+Q394)*100</f>
        <v>1.8875119161105816</v>
      </c>
      <c r="R373" s="369">
        <f>R389/(R380+R390+R394)*100</f>
        <v>0</v>
      </c>
      <c r="S373" s="369">
        <f>S389/(S380+S390+S394)*100</f>
        <v>0</v>
      </c>
      <c r="U373" s="369">
        <f>U389/(U380+U390+U394)*100</f>
        <v>0</v>
      </c>
      <c r="V373" s="369">
        <f>V389/(V380+V390+V394)*100</f>
        <v>0</v>
      </c>
      <c r="X373" s="369">
        <f>X389/(X380+X390+X394)*100</f>
        <v>0</v>
      </c>
      <c r="Y373" s="369">
        <f>Y389/(Y380+Y390+Y394)*100</f>
        <v>0</v>
      </c>
      <c r="AA373" s="369">
        <f>AA389/(AA380+AA390+AA394)*100</f>
        <v>0</v>
      </c>
      <c r="AB373" s="369">
        <f>AB389/(AB380+AB390+AB394)*100</f>
        <v>0</v>
      </c>
      <c r="AD373" s="369">
        <f>AD389/(AD380+AD390+AD394)*100</f>
        <v>0</v>
      </c>
      <c r="AE373" s="369">
        <f>AE389/(AE380+AE390+AE394)*100</f>
        <v>0</v>
      </c>
      <c r="AG373" s="369">
        <f>AG389/(AG380+AG390+AG394)*100</f>
        <v>0</v>
      </c>
      <c r="AH373" s="369">
        <f>AH389/(AH380+AH390+AH394)*100</f>
        <v>0</v>
      </c>
      <c r="AJ373" s="369">
        <f>AJ389/(AJ380+AJ390+AJ394)*100</f>
        <v>0</v>
      </c>
      <c r="AK373" s="369">
        <f>AK389/(AK380+AK390+AK394)*100</f>
        <v>0</v>
      </c>
      <c r="AM373" s="369">
        <f>AM389/(AM380+AM390+AM394)*100</f>
        <v>0</v>
      </c>
      <c r="AN373" s="369">
        <f>AN389/(AN380+AN390+AN394)*100</f>
        <v>0</v>
      </c>
      <c r="AP373" s="369">
        <f>AP389/(AP380+AP390+AP394)*100</f>
        <v>0</v>
      </c>
      <c r="AQ373" s="369">
        <f>AQ389/(AQ380+AQ390+AQ394)*100</f>
        <v>0</v>
      </c>
      <c r="AS373" s="369">
        <f>AS389/(AS380+AS390+AS394)*100</f>
        <v>3.0769230769230771</v>
      </c>
      <c r="AT373" s="369">
        <f>AT389/(AT380+AT390+AT394)*100</f>
        <v>6.8181818181818175</v>
      </c>
      <c r="AV373" s="369">
        <f>AV389/(AV380+AV390+AV394)*100</f>
        <v>0</v>
      </c>
      <c r="AW373" s="369">
        <f>AW389/(AW380+AW390+AW394)*100</f>
        <v>0</v>
      </c>
      <c r="AY373" s="369">
        <f>AY389/(AY380+AY390+AY394)*100</f>
        <v>14.919354838709678</v>
      </c>
      <c r="AZ373" s="369">
        <f>AZ389/(AZ380+AZ390+AZ394)*100</f>
        <v>5.2631578947368416</v>
      </c>
      <c r="BB373" s="369">
        <f>BB389/(BB380+BB390+BB394)*100</f>
        <v>0</v>
      </c>
      <c r="BC373" s="369">
        <f>BC389/(BC380+BC390+BC394)*100</f>
        <v>0</v>
      </c>
      <c r="BE373" s="369">
        <f>BE389/(BE380+BE390+BE394)*100</f>
        <v>12.899262899262901</v>
      </c>
      <c r="BF373" s="369">
        <f>BF389/(BF380+BF390+BF394)*100</f>
        <v>0</v>
      </c>
      <c r="BH373" s="369">
        <f>BH389/(BH380+BH390+BH394)*100</f>
        <v>0</v>
      </c>
      <c r="BI373" s="369">
        <f>BI389/(BI380+BI390+BI394)*100</f>
        <v>0</v>
      </c>
      <c r="BK373" s="369">
        <f>BK389/(BK380+BK390+BK394)*100</f>
        <v>0</v>
      </c>
      <c r="BL373" s="369">
        <f>BL389/(BL380+BL390+BL394)*100</f>
        <v>0</v>
      </c>
      <c r="BN373" s="369">
        <f>BN389/(BN380+BN390+BN394)*100</f>
        <v>0</v>
      </c>
      <c r="BO373" s="369">
        <f>BO389/(BO380+BO390+BO394)*100</f>
        <v>0</v>
      </c>
      <c r="BQ373" s="369">
        <f>BQ389/(BQ380+BQ390+BQ394)*100</f>
        <v>63.829787234042556</v>
      </c>
      <c r="BR373" s="369">
        <f>BR389/(BR380+BR390+BR394)*100</f>
        <v>71.83098591549296</v>
      </c>
      <c r="BT373" s="369">
        <f>BT389/(BT380+BT390+BT394)*100</f>
        <v>0</v>
      </c>
      <c r="BU373" s="369">
        <f>BU389/(BU380+BU390+BU394)*100</f>
        <v>0</v>
      </c>
      <c r="BW373" s="369">
        <f>BW389/(BW380+BW390+BW394)*100</f>
        <v>0</v>
      </c>
      <c r="BX373" s="369">
        <f>BX389/(BX380+BX390+BX394)*100</f>
        <v>0</v>
      </c>
      <c r="BZ373" s="369">
        <f>BZ389/(BZ380+BZ390+BZ394)*100</f>
        <v>0</v>
      </c>
      <c r="CA373" s="369">
        <f>CA389/(CA380+CA390+CA394)*100</f>
        <v>0</v>
      </c>
      <c r="CC373" s="369">
        <f>CC389/(CC380+CC390+CC394)*100</f>
        <v>0</v>
      </c>
      <c r="CD373" s="369">
        <f>CD389/(CD380+CD390+CD394)*100</f>
        <v>0</v>
      </c>
      <c r="CF373" s="369">
        <f>CF389/(CF380+CF390+CF394)*100</f>
        <v>0</v>
      </c>
      <c r="CG373" s="369">
        <f>CG389/(CG380+CG390+CG394)*100</f>
        <v>0</v>
      </c>
      <c r="CI373" s="369" t="e">
        <f>CI389/(CI380+CI390+CI394)*100</f>
        <v>#DIV/0!</v>
      </c>
      <c r="CJ373" s="369" t="e">
        <f>CJ389/(CJ380+CJ390+CJ394)*100</f>
        <v>#DIV/0!</v>
      </c>
    </row>
    <row r="374" spans="1:88" ht="30" x14ac:dyDescent="0.25">
      <c r="A374" s="329"/>
      <c r="B374" s="297" t="s">
        <v>1373</v>
      </c>
      <c r="C374" s="368"/>
      <c r="D374" s="329" t="s">
        <v>8</v>
      </c>
      <c r="E374" s="367"/>
      <c r="F374" s="367"/>
      <c r="G374" s="367"/>
      <c r="H374" s="369">
        <f t="shared" si="559"/>
        <v>0.10955902492467817</v>
      </c>
      <c r="I374" s="369">
        <f>I390/($I$380+$I$390+$I$394)*100</f>
        <v>0</v>
      </c>
      <c r="J374" s="369">
        <f t="shared" si="560"/>
        <v>0</v>
      </c>
      <c r="K374" s="369">
        <f t="shared" si="561"/>
        <v>1.4270941054808686</v>
      </c>
      <c r="L374" s="369">
        <f t="shared" si="562"/>
        <v>0</v>
      </c>
      <c r="M374" s="369">
        <f t="shared" si="562"/>
        <v>0</v>
      </c>
      <c r="N374" s="369">
        <f t="shared" si="558"/>
        <v>0</v>
      </c>
      <c r="P374" s="369">
        <f>P390/(P380+P389+P394)*100</f>
        <v>1.3847080072245637</v>
      </c>
      <c r="Q374" s="369">
        <f>Q390/(Q380+Q389+Q394)*100</f>
        <v>0</v>
      </c>
      <c r="R374" s="369">
        <f>R390/(R380+R389+R394)*100</f>
        <v>0</v>
      </c>
      <c r="S374" s="369">
        <f>S390/(S380+S389+S394)*100</f>
        <v>0</v>
      </c>
      <c r="U374" s="369">
        <f>U390/(U380+U389+U394)*100</f>
        <v>0</v>
      </c>
      <c r="V374" s="369">
        <f>V390/(V380+V389+V394)*100</f>
        <v>0</v>
      </c>
      <c r="X374" s="369">
        <f>X390/(X380+X389+X394)*100</f>
        <v>0</v>
      </c>
      <c r="Y374" s="369">
        <f>Y390/(Y380+Y389+Y394)*100</f>
        <v>0</v>
      </c>
      <c r="AA374" s="369">
        <f>AA390/(AA380+AA389+AA394)*100</f>
        <v>0</v>
      </c>
      <c r="AB374" s="369">
        <f>AB390/(AB380+AB389+AB394)*100</f>
        <v>0</v>
      </c>
      <c r="AD374" s="369">
        <f>AD390/(AD380+AD389+AD394)*100</f>
        <v>56.557377049180324</v>
      </c>
      <c r="AE374" s="369">
        <f>AE390/(AE380+AE389+AE394)*100</f>
        <v>0</v>
      </c>
      <c r="AG374" s="369">
        <f>AG390/(AG380+AG389+AG394)*100</f>
        <v>0</v>
      </c>
      <c r="AH374" s="369">
        <f>AH390/(AH380+AH389+AH394)*100</f>
        <v>0</v>
      </c>
      <c r="AJ374" s="369">
        <f>AJ390/(AJ380+AJ389+AJ394)*100</f>
        <v>0</v>
      </c>
      <c r="AK374" s="369">
        <f>AK390/(AK380+AK389+AK394)*100</f>
        <v>0</v>
      </c>
      <c r="AM374" s="369">
        <f>AM390/(AM380+AM389+AM394)*100</f>
        <v>0</v>
      </c>
      <c r="AN374" s="369">
        <f>AN390/(AN380+AN389+AN394)*100</f>
        <v>0</v>
      </c>
      <c r="AP374" s="369">
        <f>AP390/(AP380+AP389+AP394)*100</f>
        <v>0</v>
      </c>
      <c r="AQ374" s="369">
        <f>AQ390/(AQ380+AQ389+AQ394)*100</f>
        <v>0</v>
      </c>
      <c r="AS374" s="369">
        <f>AS390/(AS380+AS389+AS394)*100</f>
        <v>0</v>
      </c>
      <c r="AT374" s="369">
        <f>AT390/(AT380+AT389+AT394)*100</f>
        <v>0</v>
      </c>
      <c r="AV374" s="369">
        <f>AV390/(AV380+AV389+AV394)*100</f>
        <v>0</v>
      </c>
      <c r="AW374" s="369">
        <f>AW390/(AW380+AW389+AW394)*100</f>
        <v>0</v>
      </c>
      <c r="AY374" s="369">
        <f>AY390/(AY380+AY389+AY394)*100</f>
        <v>0</v>
      </c>
      <c r="AZ374" s="369">
        <f>AZ390/(AZ380+AZ389+AZ394)*100</f>
        <v>0</v>
      </c>
      <c r="BB374" s="369">
        <f>BB390/(BB380+BB389+BB394)*100</f>
        <v>0</v>
      </c>
      <c r="BC374" s="369">
        <f>BC390/(BC380+BC389+BC394)*100</f>
        <v>0</v>
      </c>
      <c r="BE374" s="369">
        <f>BE390/(BE380+BE389+BE394)*100</f>
        <v>0</v>
      </c>
      <c r="BF374" s="369">
        <f>BF390/(BF380+BF389+BF394)*100</f>
        <v>0</v>
      </c>
      <c r="BH374" s="369">
        <f>BH390/(BH380+BH389+BH394)*100</f>
        <v>0</v>
      </c>
      <c r="BI374" s="369">
        <f>BI390/(BI380+BI389+BI394)*100</f>
        <v>0</v>
      </c>
      <c r="BK374" s="369">
        <f>BK390/(BK380+BK389+BK394)*100</f>
        <v>0</v>
      </c>
      <c r="BL374" s="369">
        <f>BL390/(BL380+BL389+BL394)*100</f>
        <v>0</v>
      </c>
      <c r="BN374" s="369">
        <f>BN390/(BN380+BN389+BN394)*100</f>
        <v>0</v>
      </c>
      <c r="BO374" s="369">
        <f>BO390/(BO380+BO389+BO394)*100</f>
        <v>0</v>
      </c>
      <c r="BQ374" s="369">
        <f>BQ390/(BQ380+BQ389+BQ394)*100</f>
        <v>0</v>
      </c>
      <c r="BR374" s="369">
        <f>BR390/(BR380+BR389+BR394)*100</f>
        <v>0</v>
      </c>
      <c r="BT374" s="369">
        <f>BT390/(BT380+BT389+BT394)*100</f>
        <v>0</v>
      </c>
      <c r="BU374" s="369">
        <f>BU390/(BU380+BU389+BU394)*100</f>
        <v>0</v>
      </c>
      <c r="BW374" s="369">
        <f>BW390/(BW380+BW389+BW394)*100</f>
        <v>0</v>
      </c>
      <c r="BX374" s="369">
        <f>BX390/(BX380+BX389+BX394)*100</f>
        <v>0</v>
      </c>
      <c r="BZ374" s="369">
        <f>BZ390/(BZ380+BZ389+BZ394)*100</f>
        <v>0</v>
      </c>
      <c r="CA374" s="369">
        <f>CA390/(CA380+CA389+CA394)*100</f>
        <v>0</v>
      </c>
      <c r="CC374" s="369">
        <f>CC390/(CC380+CC389+CC394)*100</f>
        <v>0</v>
      </c>
      <c r="CD374" s="369">
        <f>CD390/(CD380+CD389+CD394)*100</f>
        <v>0</v>
      </c>
      <c r="CF374" s="369">
        <f>CF390/(CF380+CF389+CF394)*100</f>
        <v>0</v>
      </c>
      <c r="CG374" s="369">
        <f>CG390/(CG380+CG389+CG394)*100</f>
        <v>0</v>
      </c>
      <c r="CI374" s="369" t="e">
        <f>CI390/(CI380+CI389+CI394)*100</f>
        <v>#DIV/0!</v>
      </c>
      <c r="CJ374" s="369" t="e">
        <f>CJ390/(CJ380+CJ389+CJ394)*100</f>
        <v>#DIV/0!</v>
      </c>
    </row>
    <row r="375" spans="1:88" x14ac:dyDescent="0.25">
      <c r="A375" s="329"/>
      <c r="B375" s="297" t="s">
        <v>1374</v>
      </c>
      <c r="C375" s="368"/>
      <c r="D375" s="329" t="s">
        <v>8</v>
      </c>
      <c r="E375" s="367"/>
      <c r="F375" s="367"/>
      <c r="G375" s="367"/>
      <c r="H375" s="369">
        <f t="shared" si="559"/>
        <v>0</v>
      </c>
      <c r="I375" s="369">
        <f>I391/($I$380+$I$390+$I$394)*100</f>
        <v>0</v>
      </c>
      <c r="J375" s="369">
        <f t="shared" si="560"/>
        <v>0</v>
      </c>
      <c r="K375" s="369">
        <f t="shared" si="561"/>
        <v>0</v>
      </c>
      <c r="L375" s="369">
        <f t="shared" si="562"/>
        <v>0</v>
      </c>
      <c r="M375" s="369">
        <f t="shared" si="562"/>
        <v>0</v>
      </c>
      <c r="N375" s="369">
        <f t="shared" si="558"/>
        <v>0</v>
      </c>
      <c r="P375" s="369">
        <f>P390/(P380+P389+P394)*100</f>
        <v>1.3847080072245637</v>
      </c>
      <c r="Q375" s="369">
        <f>Q390/(Q380+Q389+Q394)*100</f>
        <v>0</v>
      </c>
      <c r="R375" s="369">
        <f>R390/(R380+R389+R394)*100</f>
        <v>0</v>
      </c>
      <c r="S375" s="369">
        <f>S390/(S380+S389+S394)*100</f>
        <v>0</v>
      </c>
      <c r="U375" s="369">
        <f>U390/(U380+U389+U394)*100</f>
        <v>0</v>
      </c>
      <c r="V375" s="369">
        <f>V390/(V380+V389+V394)*100</f>
        <v>0</v>
      </c>
      <c r="X375" s="369">
        <f>X390/(X380+X389+X394)*100</f>
        <v>0</v>
      </c>
      <c r="Y375" s="369">
        <f>Y390/(Y380+Y389+Y394)*100</f>
        <v>0</v>
      </c>
      <c r="AA375" s="369">
        <f>AA390/(AA380+AA389+AA394)*100</f>
        <v>0</v>
      </c>
      <c r="AB375" s="369">
        <f>AB390/(AB380+AB389+AB394)*100</f>
        <v>0</v>
      </c>
      <c r="AD375" s="369">
        <f>AD390/(AD380+AD389+AD394)*100</f>
        <v>56.557377049180324</v>
      </c>
      <c r="AE375" s="369">
        <f>AE390/(AE380+AE389+AE394)*100</f>
        <v>0</v>
      </c>
      <c r="AG375" s="369">
        <f>AG390/(AG380+AG389+AG394)*100</f>
        <v>0</v>
      </c>
      <c r="AH375" s="369">
        <f>AH390/(AH380+AH389+AH394)*100</f>
        <v>0</v>
      </c>
      <c r="AJ375" s="369">
        <f>AJ390/(AJ380+AJ389+AJ394)*100</f>
        <v>0</v>
      </c>
      <c r="AK375" s="369">
        <f>AK390/(AK380+AK389+AK394)*100</f>
        <v>0</v>
      </c>
      <c r="AM375" s="369">
        <f>AM390/(AM380+AM389+AM394)*100</f>
        <v>0</v>
      </c>
      <c r="AN375" s="369">
        <f>AN390/(AN380+AN389+AN394)*100</f>
        <v>0</v>
      </c>
      <c r="AP375" s="369">
        <f>AP390/(AP380+AP389+AP394)*100</f>
        <v>0</v>
      </c>
      <c r="AQ375" s="369">
        <f>AQ390/(AQ380+AQ389+AQ394)*100</f>
        <v>0</v>
      </c>
      <c r="AS375" s="369">
        <f>AS390/(AS380+AS389+AS394)*100</f>
        <v>0</v>
      </c>
      <c r="AT375" s="369">
        <f>AT390/(AT380+AT389+AT394)*100</f>
        <v>0</v>
      </c>
      <c r="AV375" s="369">
        <f>AV390/(AV380+AV389+AV394)*100</f>
        <v>0</v>
      </c>
      <c r="AW375" s="369">
        <f>AW390/(AW380+AW389+AW394)*100</f>
        <v>0</v>
      </c>
      <c r="AY375" s="369">
        <f>AY390/(AY380+AY389+AY394)*100</f>
        <v>0</v>
      </c>
      <c r="AZ375" s="369">
        <f>AZ390/(AZ380+AZ389+AZ394)*100</f>
        <v>0</v>
      </c>
      <c r="BB375" s="369">
        <f>BB390/(BB380+BB389+BB394)*100</f>
        <v>0</v>
      </c>
      <c r="BC375" s="369">
        <f>BC390/(BC380+BC389+BC394)*100</f>
        <v>0</v>
      </c>
      <c r="BE375" s="369">
        <f>BE390/(BE380+BE389+BE394)*100</f>
        <v>0</v>
      </c>
      <c r="BF375" s="369">
        <f>BF390/(BF380+BF389+BF394)*100</f>
        <v>0</v>
      </c>
      <c r="BH375" s="369">
        <f>BH390/(BH380+BH389+BH394)*100</f>
        <v>0</v>
      </c>
      <c r="BI375" s="369">
        <f>BI390/(BI380+BI389+BI394)*100</f>
        <v>0</v>
      </c>
      <c r="BK375" s="369">
        <f>BK390/(BK380+BK389+BK394)*100</f>
        <v>0</v>
      </c>
      <c r="BL375" s="369">
        <f>BL390/(BL380+BL389+BL394)*100</f>
        <v>0</v>
      </c>
      <c r="BN375" s="369">
        <f>BN390/(BN380+BN389+BN394)*100</f>
        <v>0</v>
      </c>
      <c r="BO375" s="369">
        <f>BO390/(BO380+BO389+BO394)*100</f>
        <v>0</v>
      </c>
      <c r="BQ375" s="369">
        <f>BQ390/(BQ380+BQ389+BQ394)*100</f>
        <v>0</v>
      </c>
      <c r="BR375" s="369">
        <f>BR390/(BR380+BR389+BR394)*100</f>
        <v>0</v>
      </c>
      <c r="BT375" s="369">
        <f>BT390/(BT380+BT389+BT394)*100</f>
        <v>0</v>
      </c>
      <c r="BU375" s="369">
        <f>BU390/(BU380+BU389+BU394)*100</f>
        <v>0</v>
      </c>
      <c r="BW375" s="369">
        <f>BW390/(BW380+BW389+BW394)*100</f>
        <v>0</v>
      </c>
      <c r="BX375" s="369">
        <f>BX390/(BX380+BX389+BX394)*100</f>
        <v>0</v>
      </c>
      <c r="BZ375" s="369">
        <f>BZ390/(BZ380+BZ389+BZ394)*100</f>
        <v>0</v>
      </c>
      <c r="CA375" s="369">
        <f>CA390/(CA380+CA389+CA394)*100</f>
        <v>0</v>
      </c>
      <c r="CC375" s="369">
        <f>CC390/(CC380+CC389+CC394)*100</f>
        <v>0</v>
      </c>
      <c r="CD375" s="369">
        <f>CD390/(CD380+CD389+CD394)*100</f>
        <v>0</v>
      </c>
      <c r="CF375" s="369">
        <f>CF390/(CF380+CF389+CF394)*100</f>
        <v>0</v>
      </c>
      <c r="CG375" s="369">
        <f>CG390/(CG380+CG389+CG394)*100</f>
        <v>0</v>
      </c>
      <c r="CI375" s="369" t="e">
        <f>CI390/(CI380+CI389+CI394)*100</f>
        <v>#DIV/0!</v>
      </c>
      <c r="CJ375" s="369" t="e">
        <f>CJ390/(CJ380+CJ389+CJ394)*100</f>
        <v>#DIV/0!</v>
      </c>
    </row>
    <row r="376" spans="1:88" x14ac:dyDescent="0.25">
      <c r="A376" s="329"/>
      <c r="B376" s="297" t="s">
        <v>1375</v>
      </c>
      <c r="C376" s="368"/>
      <c r="D376" s="329" t="s">
        <v>8</v>
      </c>
      <c r="E376" s="367"/>
      <c r="F376" s="367"/>
      <c r="G376" s="367"/>
      <c r="H376" s="369">
        <f t="shared" si="559"/>
        <v>0.10955902492467817</v>
      </c>
      <c r="I376" s="369">
        <f>I392/($I$380+$I$390+$I$394)*100</f>
        <v>0</v>
      </c>
      <c r="J376" s="369">
        <f t="shared" si="560"/>
        <v>0</v>
      </c>
      <c r="K376" s="369">
        <f t="shared" si="561"/>
        <v>0</v>
      </c>
      <c r="L376" s="369">
        <f t="shared" si="562"/>
        <v>0</v>
      </c>
      <c r="M376" s="369">
        <f t="shared" si="562"/>
        <v>0</v>
      </c>
      <c r="N376" s="369">
        <f t="shared" si="558"/>
        <v>0</v>
      </c>
      <c r="P376" s="369">
        <f>P392/(P380+P390+P394)*100</f>
        <v>0</v>
      </c>
      <c r="Q376" s="369">
        <f>Q392/(Q380+Q390+Q394)*100</f>
        <v>0</v>
      </c>
      <c r="R376" s="369">
        <f>R392/(R380+R390+R394)*100</f>
        <v>0</v>
      </c>
      <c r="S376" s="369">
        <f>S392/(S380+S390+S394)*100</f>
        <v>0</v>
      </c>
      <c r="U376" s="369">
        <f>U392/(U380+U390+U394)*100</f>
        <v>0</v>
      </c>
      <c r="V376" s="369">
        <f>V392/(V380+V390+V394)*100</f>
        <v>0</v>
      </c>
      <c r="X376" s="369">
        <f>X392/(X380+X390+X394)*100</f>
        <v>0</v>
      </c>
      <c r="Y376" s="369">
        <f>Y392/(Y380+Y390+Y394)*100</f>
        <v>0</v>
      </c>
      <c r="AA376" s="369">
        <f>AA392/(AA380+AA390+AA394)*100</f>
        <v>0</v>
      </c>
      <c r="AB376" s="369">
        <f>AB392/(AB380+AB390+AB394)*100</f>
        <v>0</v>
      </c>
      <c r="AD376" s="369">
        <f>AD392/(AD380+AD390+AD394)*100</f>
        <v>0</v>
      </c>
      <c r="AE376" s="369">
        <f>AE392/(AE380+AE390+AE394)*100</f>
        <v>0</v>
      </c>
      <c r="AG376" s="369">
        <f>AG392/(AG380+AG390+AG394)*100</f>
        <v>0</v>
      </c>
      <c r="AH376" s="369">
        <f>AH392/(AH380+AH390+AH394)*100</f>
        <v>0</v>
      </c>
      <c r="AJ376" s="369">
        <f>AJ392/(AJ380+AJ390+AJ394)*100</f>
        <v>0</v>
      </c>
      <c r="AK376" s="369">
        <f>AK392/(AK380+AK390+AK394)*100</f>
        <v>0</v>
      </c>
      <c r="AM376" s="369">
        <f>AM392/(AM380+AM390+AM394)*100</f>
        <v>0</v>
      </c>
      <c r="AN376" s="369">
        <f>AN392/(AN380+AN390+AN394)*100</f>
        <v>0</v>
      </c>
      <c r="AP376" s="369">
        <f>AP392/(AP380+AP390+AP394)*100</f>
        <v>0</v>
      </c>
      <c r="AQ376" s="369">
        <f>AQ392/(AQ380+AQ390+AQ394)*100</f>
        <v>0</v>
      </c>
      <c r="AS376" s="369">
        <f>AS392/(AS380+AS390+AS394)*100</f>
        <v>0</v>
      </c>
      <c r="AT376" s="369">
        <f>AT392/(AT380+AT390+AT394)*100</f>
        <v>0</v>
      </c>
      <c r="AV376" s="369">
        <f>AV392/(AV380+AV390+AV394)*100</f>
        <v>0</v>
      </c>
      <c r="AW376" s="369">
        <f>AW392/(AW380+AW390+AW394)*100</f>
        <v>0</v>
      </c>
      <c r="AY376" s="369">
        <f>AY392/(AY380+AY390+AY394)*100</f>
        <v>0</v>
      </c>
      <c r="AZ376" s="369">
        <f>AZ392/(AZ380+AZ390+AZ394)*100</f>
        <v>0</v>
      </c>
      <c r="BB376" s="369">
        <f>BB392/(BB380+BB390+BB394)*100</f>
        <v>0</v>
      </c>
      <c r="BC376" s="369">
        <f>BC392/(BC380+BC390+BC394)*100</f>
        <v>0</v>
      </c>
      <c r="BE376" s="369">
        <f>BE392/(BE380+BE390+BE394)*100</f>
        <v>0</v>
      </c>
      <c r="BF376" s="369">
        <f>BF392/(BF380+BF390+BF394)*100</f>
        <v>0</v>
      </c>
      <c r="BH376" s="369">
        <f>BH392/(BH380+BH390+BH394)*100</f>
        <v>0</v>
      </c>
      <c r="BI376" s="369">
        <f>BI392/(BI380+BI390+BI394)*100</f>
        <v>0</v>
      </c>
      <c r="BK376" s="369">
        <f>BK392/(BK380+BK390+BK394)*100</f>
        <v>0</v>
      </c>
      <c r="BL376" s="369">
        <f>BL392/(BL380+BL390+BL394)*100</f>
        <v>0</v>
      </c>
      <c r="BN376" s="369">
        <f>BN392/(BN380+BN390+BN394)*100</f>
        <v>0</v>
      </c>
      <c r="BO376" s="369">
        <f>BO392/(BO380+BO390+BO394)*100</f>
        <v>0</v>
      </c>
      <c r="BQ376" s="369">
        <f>BQ392/(BQ380+BQ390+BQ394)*100</f>
        <v>0</v>
      </c>
      <c r="BR376" s="369">
        <f>BR392/(BR380+BR390+BR394)*100</f>
        <v>0</v>
      </c>
      <c r="BT376" s="369">
        <f>BT392/(BT380+BT390+BT394)*100</f>
        <v>0</v>
      </c>
      <c r="BU376" s="369">
        <f>BU392/(BU380+BU390+BU394)*100</f>
        <v>0</v>
      </c>
      <c r="BW376" s="369">
        <f>BW392/(BW380+BW390+BW394)*100</f>
        <v>0</v>
      </c>
      <c r="BX376" s="369">
        <f>BX392/(BX380+BX390+BX394)*100</f>
        <v>0</v>
      </c>
      <c r="BZ376" s="369">
        <f>BZ392/(BZ380+BZ390+BZ394)*100</f>
        <v>0</v>
      </c>
      <c r="CA376" s="369">
        <f>CA392/(CA380+CA390+CA394)*100</f>
        <v>0</v>
      </c>
      <c r="CC376" s="369">
        <f>CC392/(CC380+CC390+CC394)*100</f>
        <v>0</v>
      </c>
      <c r="CD376" s="369">
        <f>CD392/(CD380+CD390+CD394)*100</f>
        <v>0</v>
      </c>
      <c r="CF376" s="369">
        <f>CF392/(CF380+CF390+CF394)*100</f>
        <v>0</v>
      </c>
      <c r="CG376" s="369">
        <f>CG392/(CG380+CG390+CG394)*100</f>
        <v>0</v>
      </c>
      <c r="CI376" s="369" t="e">
        <f>CI392/(CI380+CI390+CI394)*100</f>
        <v>#DIV/0!</v>
      </c>
      <c r="CJ376" s="369" t="e">
        <f>CJ392/(CJ380+CJ390+CJ394)*100</f>
        <v>#DIV/0!</v>
      </c>
    </row>
    <row r="377" spans="1:88" ht="30" hidden="1" x14ac:dyDescent="0.25">
      <c r="A377" s="329"/>
      <c r="B377" s="297" t="s">
        <v>1376</v>
      </c>
      <c r="C377" s="368"/>
      <c r="D377" s="329" t="s">
        <v>8</v>
      </c>
      <c r="E377" s="367"/>
      <c r="F377" s="367"/>
      <c r="G377" s="367"/>
      <c r="H377" s="369">
        <f t="shared" si="559"/>
        <v>0</v>
      </c>
      <c r="I377" s="369">
        <f>I393/(I380+I389+I394)*100</f>
        <v>0</v>
      </c>
      <c r="J377" s="369">
        <f t="shared" si="560"/>
        <v>0</v>
      </c>
      <c r="K377" s="369">
        <f t="shared" si="561"/>
        <v>0</v>
      </c>
      <c r="L377" s="369">
        <f t="shared" si="562"/>
        <v>0</v>
      </c>
      <c r="M377" s="369">
        <f t="shared" si="562"/>
        <v>0</v>
      </c>
      <c r="N377" s="369">
        <f t="shared" si="558"/>
        <v>0</v>
      </c>
      <c r="P377" s="369">
        <f>P393/(P380+P389+P394)*100</f>
        <v>0</v>
      </c>
      <c r="Q377" s="369">
        <f>Q393/(Q380+Q389+Q394)*100</f>
        <v>0</v>
      </c>
      <c r="R377" s="369">
        <f>R393/(R380+R389+R394)*100</f>
        <v>0</v>
      </c>
      <c r="S377" s="369">
        <f>S393/(S380+S389+S394)*100</f>
        <v>0</v>
      </c>
      <c r="U377" s="369">
        <f>U393/(U380+U389+U394)*100</f>
        <v>0</v>
      </c>
      <c r="V377" s="369">
        <f>V393/(V380+V389+V394)*100</f>
        <v>0</v>
      </c>
      <c r="X377" s="369">
        <f>X393/(X380+X389+X394)*100</f>
        <v>0</v>
      </c>
      <c r="Y377" s="369">
        <f>Y393/(Y380+Y389+Y394)*100</f>
        <v>0</v>
      </c>
      <c r="AA377" s="369">
        <f>AA393/(AA380+AA389+AA394)*100</f>
        <v>0</v>
      </c>
      <c r="AB377" s="369">
        <f>AB393/(AB380+AB389+AB394)*100</f>
        <v>0</v>
      </c>
      <c r="AD377" s="369">
        <f>AD393/(AD380+AD389+AD394)*100</f>
        <v>0</v>
      </c>
      <c r="AE377" s="369">
        <f>AE393/(AE380+AE389+AE394)*100</f>
        <v>0</v>
      </c>
      <c r="AG377" s="369">
        <f>AG393/(AG380+AG389+AG394)*100</f>
        <v>0</v>
      </c>
      <c r="AH377" s="369">
        <f>AH393/(AH380+AH389+AH394)*100</f>
        <v>0</v>
      </c>
      <c r="AJ377" s="369">
        <f>AJ393/(AJ380+AJ389+AJ394)*100</f>
        <v>0</v>
      </c>
      <c r="AK377" s="369">
        <f>AK393/(AK380+AK389+AK394)*100</f>
        <v>0</v>
      </c>
      <c r="AM377" s="369">
        <f>AM393/(AM380+AM389+AM394)*100</f>
        <v>0</v>
      </c>
      <c r="AN377" s="369">
        <f>AN393/(AN380+AN389+AN394)*100</f>
        <v>0</v>
      </c>
      <c r="AP377" s="369">
        <f>AP393/(AP380+AP389+AP394)*100</f>
        <v>0</v>
      </c>
      <c r="AQ377" s="369">
        <f>AQ393/(AQ380+AQ389+AQ394)*100</f>
        <v>0</v>
      </c>
      <c r="AS377" s="369">
        <f>AS393/(AS380+AS389+AS394)*100</f>
        <v>0</v>
      </c>
      <c r="AT377" s="369">
        <f>AT393/(AT380+AT389+AT394)*100</f>
        <v>0</v>
      </c>
      <c r="AV377" s="369">
        <f>AV393/(AV380+AV389+AV394)*100</f>
        <v>0</v>
      </c>
      <c r="AW377" s="369">
        <f>AW393/(AW380+AW389+AW394)*100</f>
        <v>0</v>
      </c>
      <c r="AY377" s="369">
        <f>AY393/(AY380+AY389+AY394)*100</f>
        <v>0</v>
      </c>
      <c r="AZ377" s="369">
        <f>AZ393/(AZ380+AZ389+AZ394)*100</f>
        <v>0</v>
      </c>
      <c r="BB377" s="369">
        <f>BB393/(BB380+BB389+BB394)*100</f>
        <v>0</v>
      </c>
      <c r="BC377" s="369">
        <f>BC393/(BC380+BC389+BC394)*100</f>
        <v>0</v>
      </c>
      <c r="BE377" s="369">
        <f>BE393/(BE380+BE389+BE394)*100</f>
        <v>0</v>
      </c>
      <c r="BF377" s="369">
        <f>BF393/(BF380+BF389+BF394)*100</f>
        <v>0</v>
      </c>
      <c r="BH377" s="369">
        <f>BH393/(BH380+BH389+BH394)*100</f>
        <v>0</v>
      </c>
      <c r="BI377" s="369">
        <f>BI393/(BI380+BI389+BI394)*100</f>
        <v>0</v>
      </c>
      <c r="BK377" s="369">
        <f>BK393/(BK380+BK389+BK394)*100</f>
        <v>0</v>
      </c>
      <c r="BL377" s="369">
        <f>BL393/(BL380+BL389+BL394)*100</f>
        <v>0</v>
      </c>
      <c r="BN377" s="369">
        <f>BN393/(BN380+BN389+BN394)*100</f>
        <v>0</v>
      </c>
      <c r="BO377" s="369">
        <f>BO393/(BO380+BO389+BO394)*100</f>
        <v>0</v>
      </c>
      <c r="BQ377" s="369">
        <f>BQ393/(BQ380+BQ389+BQ394)*100</f>
        <v>0</v>
      </c>
      <c r="BR377" s="369">
        <f>BR393/(BR380+BR389+BR394)*100</f>
        <v>0</v>
      </c>
      <c r="BT377" s="369">
        <f>BT393/(BT380+BT389+BT394)*100</f>
        <v>0</v>
      </c>
      <c r="BU377" s="369">
        <f>BU393/(BU380+BU389+BU394)*100</f>
        <v>0</v>
      </c>
      <c r="BW377" s="369">
        <f>BW393/(BW380+BW389+BW394)*100</f>
        <v>0</v>
      </c>
      <c r="BX377" s="369">
        <f>BX393/(BX380+BX389+BX394)*100</f>
        <v>0</v>
      </c>
      <c r="BZ377" s="369">
        <f>BZ393/(BZ380+BZ389+BZ394)*100</f>
        <v>0</v>
      </c>
      <c r="CA377" s="369">
        <f>CA393/(CA380+CA389+CA394)*100</f>
        <v>0</v>
      </c>
      <c r="CC377" s="369">
        <f>CC393/(CC380+CC389+CC394)*100</f>
        <v>0</v>
      </c>
      <c r="CD377" s="369">
        <f>CD393/(CD380+CD389+CD394)*100</f>
        <v>0</v>
      </c>
      <c r="CF377" s="369">
        <f>CF393/(CF380+CF389+CF394)*100</f>
        <v>0</v>
      </c>
      <c r="CG377" s="369">
        <f>CG393/(CG380+CG389+CG394)*100</f>
        <v>0</v>
      </c>
      <c r="CI377" s="369" t="e">
        <f>CI393/(CI380+CI389+CI394)*100</f>
        <v>#DIV/0!</v>
      </c>
      <c r="CJ377" s="369" t="e">
        <f>CJ393/(CJ380+CJ389+CJ394)*100</f>
        <v>#DIV/0!</v>
      </c>
    </row>
    <row r="378" spans="1:88" x14ac:dyDescent="0.25">
      <c r="A378" s="329"/>
      <c r="B378" s="297" t="s">
        <v>1377</v>
      </c>
      <c r="C378" s="368"/>
      <c r="D378" s="329" t="s">
        <v>8</v>
      </c>
      <c r="E378" s="367"/>
      <c r="F378" s="367"/>
      <c r="G378" s="367"/>
      <c r="H378" s="369">
        <f t="shared" si="559"/>
        <v>6.7104902766365377</v>
      </c>
      <c r="I378" s="369">
        <f>I394/($I$380+$I$390+$I$394)*100</f>
        <v>9.2906465787821713</v>
      </c>
      <c r="J378" s="369">
        <f t="shared" si="560"/>
        <v>10.991957104557642</v>
      </c>
      <c r="K378" s="369">
        <f t="shared" si="561"/>
        <v>10.775594622543951</v>
      </c>
      <c r="L378" s="369">
        <f t="shared" si="562"/>
        <v>82.075471698113205</v>
      </c>
      <c r="M378" s="369">
        <f>M394/($M$380+$M$390+$M$394)*100</f>
        <v>53.571428571428569</v>
      </c>
      <c r="N378" s="369">
        <f>N394/($N$380+$N$390+$N$394)*100</f>
        <v>53.571428571428569</v>
      </c>
      <c r="P378" s="369">
        <f>P394/(P380+P390+P394)*100</f>
        <v>10.775594622543951</v>
      </c>
      <c r="Q378" s="369">
        <f>Q394/(Q380+Q390+Q394)*100</f>
        <v>10.829361296472831</v>
      </c>
      <c r="R378" s="369">
        <f>R394/(R380+R390+R394)*100</f>
        <v>0</v>
      </c>
      <c r="S378" s="369">
        <f>S394/(S380+S390+S394)*100</f>
        <v>0</v>
      </c>
      <c r="U378" s="369">
        <f>U394/(U380+U390+U394)*100</f>
        <v>100</v>
      </c>
      <c r="V378" s="369">
        <f>V394/(V380+V390+V394)*100</f>
        <v>100</v>
      </c>
      <c r="X378" s="369">
        <f>X394/(X380+X390+X394)*100</f>
        <v>33.333333333333329</v>
      </c>
      <c r="Y378" s="369">
        <f>Y394/(Y380+Y390+Y394)*100</f>
        <v>53.846153846153847</v>
      </c>
      <c r="AA378" s="369">
        <f>AA394/(AA380+AA390+AA394)*100</f>
        <v>0</v>
      </c>
      <c r="AB378" s="369">
        <f>AB394/(AB380+AB390+AB394)*100</f>
        <v>0</v>
      </c>
      <c r="AD378" s="369">
        <f>AD394/(AD380+AD390+AD394)*100</f>
        <v>63.874345549738223</v>
      </c>
      <c r="AE378" s="369">
        <f>AE394/(AE380+AE390+AE394)*100</f>
        <v>0</v>
      </c>
      <c r="AG378" s="369">
        <f>AG394/(AG380+AG390+AG394)*100</f>
        <v>31.707317073170731</v>
      </c>
      <c r="AH378" s="369">
        <f>AH394/(AH380+AH390+AH394)*100</f>
        <v>44.117647058823529</v>
      </c>
      <c r="AJ378" s="369">
        <f>AJ394/(AJ380+AJ390+AJ394)*100</f>
        <v>13.903743315508022</v>
      </c>
      <c r="AK378" s="369">
        <f>AK394/(AK380+AK390+AK394)*100</f>
        <v>14.763231197771587</v>
      </c>
      <c r="AM378" s="369">
        <f>AM394/(AM380+AM390+AM394)*100</f>
        <v>28.52941176470588</v>
      </c>
      <c r="AN378" s="369">
        <f>AN394/(AN380+AN390+AN394)*100</f>
        <v>34.052757793764989</v>
      </c>
      <c r="AP378" s="369">
        <f>AP394/(AP380+AP390+AP394)*100</f>
        <v>100</v>
      </c>
      <c r="AQ378" s="369">
        <f>AQ394/(AQ380+AQ390+AQ394)*100</f>
        <v>100</v>
      </c>
      <c r="AS378" s="369">
        <f>AS394/(AS380+AS390+AS394)*100</f>
        <v>0</v>
      </c>
      <c r="AT378" s="369">
        <f>AT394/(AT380+AT390+AT394)*100</f>
        <v>2.9220779220779218</v>
      </c>
      <c r="AV378" s="369">
        <f>AV394/(AV380+AV390+AV394)*100</f>
        <v>2.1739130434782608</v>
      </c>
      <c r="AW378" s="369">
        <f>AW394/(AW380+AW390+AW394)*100</f>
        <v>10.638297872340425</v>
      </c>
      <c r="AY378" s="369">
        <f>AY394/(AY380+AY390+AY394)*100</f>
        <v>15.92741935483871</v>
      </c>
      <c r="AZ378" s="369">
        <f>AZ394/(AZ380+AZ390+AZ394)*100</f>
        <v>24.951267056530213</v>
      </c>
      <c r="BB378" s="369">
        <f>BB394/(BB380+BB390+BB394)*100</f>
        <v>10</v>
      </c>
      <c r="BC378" s="369">
        <f>BC394/(BC380+BC390+BC394)*100</f>
        <v>0</v>
      </c>
      <c r="BE378" s="369">
        <f>BE394/(BE380+BE390+BE394)*100</f>
        <v>0</v>
      </c>
      <c r="BF378" s="369">
        <f>BF394/(BF380+BF390+BF394)*100</f>
        <v>0</v>
      </c>
      <c r="BH378" s="369">
        <f>BH394/(BH380+BH390+BH394)*100</f>
        <v>1.2186379928315414</v>
      </c>
      <c r="BI378" s="369">
        <f>BI394/(BI380+BI390+BI394)*100</f>
        <v>1.4483212639894667</v>
      </c>
      <c r="BK378" s="369">
        <f>BK394/(BK380+BK390+BK394)*100</f>
        <v>100</v>
      </c>
      <c r="BL378" s="369">
        <f>BL394/(BL380+BL390+BL394)*100</f>
        <v>100</v>
      </c>
      <c r="BN378" s="369">
        <f>BN394/(BN380+BN390+BN394)*100</f>
        <v>0</v>
      </c>
      <c r="BO378" s="369">
        <f>BO394/(BO380+BO390+BO394)*100</f>
        <v>1.9305019305019304</v>
      </c>
      <c r="BQ378" s="369">
        <f>BQ394/(BQ380+BQ390+BQ394)*100</f>
        <v>36.170212765957451</v>
      </c>
      <c r="BR378" s="369">
        <f>BR394/(BR380+BR390+BR394)*100</f>
        <v>28.169014084507044</v>
      </c>
      <c r="BT378" s="369">
        <f>BT394/(BT380+BT390+BT394)*100</f>
        <v>0</v>
      </c>
      <c r="BU378" s="369">
        <f>BU394/(BU380+BU390+BU394)*100</f>
        <v>0</v>
      </c>
      <c r="BW378" s="369">
        <f>BW394/(BW380+BW390+BW394)*100</f>
        <v>38.775510204081634</v>
      </c>
      <c r="BX378" s="369">
        <f>BX394/(BX380+BX390+BX394)*100</f>
        <v>57.999999999999993</v>
      </c>
      <c r="BZ378" s="369">
        <f>BZ394/(BZ380+BZ390+BZ394)*100</f>
        <v>67.272727272727266</v>
      </c>
      <c r="CA378" s="369">
        <f>CA394/(CA380+CA390+CA394)*100</f>
        <v>93.478260869565219</v>
      </c>
      <c r="CC378" s="369">
        <f>CC394/(CC380+CC390+CC394)*100</f>
        <v>15.384615384615385</v>
      </c>
      <c r="CD378" s="369">
        <f>CD394/(CD380+CD390+CD394)*100</f>
        <v>35.897435897435898</v>
      </c>
      <c r="CF378" s="369">
        <f>CF394/(CF380+CF390+CF394)*100</f>
        <v>0</v>
      </c>
      <c r="CG378" s="369">
        <f>CG394/(CG380+CG390+CG394)*100</f>
        <v>0</v>
      </c>
      <c r="CI378" s="369" t="e">
        <f>CI394/(CI380+CI390+CI394)*100</f>
        <v>#DIV/0!</v>
      </c>
      <c r="CJ378" s="369" t="e">
        <f>CJ394/(CJ380+CJ390+CJ394)*100</f>
        <v>#DIV/0!</v>
      </c>
    </row>
    <row r="379" spans="1:88" ht="60" customHeight="1" x14ac:dyDescent="0.25">
      <c r="A379" s="329"/>
      <c r="B379" s="297" t="s">
        <v>1362</v>
      </c>
      <c r="C379" s="329" t="s">
        <v>1399</v>
      </c>
      <c r="D379" s="329"/>
      <c r="E379" s="367"/>
      <c r="F379" s="367"/>
      <c r="G379" s="367"/>
      <c r="H379" s="367"/>
      <c r="I379" s="367"/>
      <c r="J379" s="367"/>
      <c r="K379" s="367"/>
      <c r="L379" s="367"/>
      <c r="M379" s="367"/>
      <c r="N379" s="367"/>
    </row>
    <row r="380" spans="1:88" ht="45" x14ac:dyDescent="0.25">
      <c r="A380" s="329"/>
      <c r="B380" s="297" t="s">
        <v>1363</v>
      </c>
      <c r="C380" s="370" t="s">
        <v>1812</v>
      </c>
      <c r="D380" s="329" t="s">
        <v>950</v>
      </c>
      <c r="E380" s="367"/>
      <c r="F380" s="367"/>
      <c r="G380" s="367"/>
      <c r="H380" s="367">
        <v>3402</v>
      </c>
      <c r="I380" s="367">
        <f t="shared" ref="I380:N380" si="563">SUM(I381:I389)</f>
        <v>4335</v>
      </c>
      <c r="J380" s="367">
        <f t="shared" si="563"/>
        <v>4316</v>
      </c>
      <c r="K380" s="367">
        <f t="shared" si="563"/>
        <v>4245</v>
      </c>
      <c r="L380" s="367">
        <f t="shared" si="563"/>
        <v>19</v>
      </c>
      <c r="M380" s="367">
        <f t="shared" si="563"/>
        <v>26</v>
      </c>
      <c r="N380" s="367">
        <f t="shared" si="563"/>
        <v>26</v>
      </c>
      <c r="P380" s="367">
        <f>SUM(P381:P389)</f>
        <v>4245</v>
      </c>
      <c r="Q380" s="367">
        <f>SUM(Q381:Q389)</f>
        <v>4677</v>
      </c>
      <c r="R380" s="367">
        <f>SUM(R381:R389)</f>
        <v>65</v>
      </c>
      <c r="S380" s="367">
        <f>SUM(S381:S389)</f>
        <v>78</v>
      </c>
      <c r="U380" s="367">
        <f>SUM(U381:U389)</f>
        <v>0</v>
      </c>
      <c r="V380" s="367">
        <f>SUM(V381:V389)</f>
        <v>0</v>
      </c>
      <c r="X380" s="367">
        <f>SUM(X381:X389)</f>
        <v>34</v>
      </c>
      <c r="Y380" s="367">
        <f>SUM(Y381:Y389)</f>
        <v>24</v>
      </c>
      <c r="AA380" s="367">
        <f>SUM(AA381:AA389)</f>
        <v>8</v>
      </c>
      <c r="AB380" s="367">
        <f>SUM(AB381:AB389)</f>
        <v>18</v>
      </c>
      <c r="AD380" s="367">
        <f>SUM(AD381:AD389)</f>
        <v>0</v>
      </c>
      <c r="AE380" s="367">
        <f>SUM(AE381:AE389)</f>
        <v>154</v>
      </c>
      <c r="AG380" s="367">
        <f>SUM(AG381:AG389)</f>
        <v>28</v>
      </c>
      <c r="AH380" s="367">
        <f>SUM(AH381:AH389)</f>
        <v>19</v>
      </c>
      <c r="AJ380" s="367">
        <f>SUM(AJ381:AJ389)</f>
        <v>322</v>
      </c>
      <c r="AK380" s="367">
        <f>SUM(AK381:AK389)</f>
        <v>306</v>
      </c>
      <c r="AM380" s="367">
        <f>SUM(AM381:AM389)</f>
        <v>243</v>
      </c>
      <c r="AN380" s="367">
        <f>SUM(AN381:AN389)</f>
        <v>275</v>
      </c>
      <c r="AP380" s="367">
        <f>SUM(AP381:AP389)</f>
        <v>0</v>
      </c>
      <c r="AQ380" s="367">
        <f>SUM(AQ381:AQ389)</f>
        <v>0</v>
      </c>
      <c r="AS380" s="367">
        <f>SUM(AS381:AS389)</f>
        <v>260</v>
      </c>
      <c r="AT380" s="367">
        <f>SUM(AT381:AT389)</f>
        <v>299</v>
      </c>
      <c r="AV380" s="367">
        <f>SUM(AV381:AV389)</f>
        <v>135</v>
      </c>
      <c r="AW380" s="367">
        <f>SUM(AW381:AW389)</f>
        <v>126</v>
      </c>
      <c r="AY380" s="367">
        <f>SUM(AY381:AY389)</f>
        <v>417</v>
      </c>
      <c r="AZ380" s="367">
        <f>SUM(AZ381:AZ389)</f>
        <v>385</v>
      </c>
      <c r="BB380" s="367">
        <f>SUM(BB381:BB389)</f>
        <v>81</v>
      </c>
      <c r="BC380" s="367">
        <f>SUM(BC381:BC389)</f>
        <v>97</v>
      </c>
      <c r="BE380" s="367">
        <f>SUM(BE381:BE389)</f>
        <v>814</v>
      </c>
      <c r="BF380" s="367">
        <f>SUM(BF381:BF389)</f>
        <v>940</v>
      </c>
      <c r="BH380" s="367">
        <f>SUM(BH381:BH389)</f>
        <v>1378</v>
      </c>
      <c r="BI380" s="367">
        <f>SUM(BI381:BI389)</f>
        <v>1497</v>
      </c>
      <c r="BK380" s="367">
        <f>SUM(BK381:BK389)</f>
        <v>0</v>
      </c>
      <c r="BL380" s="367">
        <f>SUM(BL381:BL389)</f>
        <v>0</v>
      </c>
      <c r="BN380" s="367">
        <f>SUM(BN381:BN389)</f>
        <v>259</v>
      </c>
      <c r="BO380" s="367">
        <f>SUM(BO381:BO389)</f>
        <v>254</v>
      </c>
      <c r="BQ380" s="367">
        <f>SUM(BQ381:BQ389)</f>
        <v>30</v>
      </c>
      <c r="BR380" s="367">
        <f>SUM(BR381:BR389)</f>
        <v>51</v>
      </c>
      <c r="BT380" s="367">
        <f>SUM(BT381:BT389)</f>
        <v>25</v>
      </c>
      <c r="BU380" s="367">
        <f>SUM(BU381:BU389)</f>
        <v>35</v>
      </c>
      <c r="BW380" s="367">
        <f>SUM(BW381:BW389)</f>
        <v>30</v>
      </c>
      <c r="BX380" s="367">
        <f>SUM(BX381:BX389)</f>
        <v>21</v>
      </c>
      <c r="BZ380" s="367">
        <f>SUM(BZ381:BZ389)</f>
        <v>18</v>
      </c>
      <c r="CA380" s="367">
        <f>SUM(CA381:CA389)</f>
        <v>3</v>
      </c>
      <c r="CC380" s="367">
        <f>SUM(CC381:CC389)</f>
        <v>22</v>
      </c>
      <c r="CD380" s="367">
        <f>SUM(CD381:CD389)</f>
        <v>25</v>
      </c>
      <c r="CF380" s="367">
        <f>SUM(CF381:CF389)</f>
        <v>76</v>
      </c>
      <c r="CG380" s="367">
        <f>SUM(CG381:CG389)</f>
        <v>70</v>
      </c>
      <c r="CI380" s="367">
        <f>SUM(CI381:CI389)</f>
        <v>0</v>
      </c>
      <c r="CJ380" s="367">
        <f>SUM(CJ381:CJ389)</f>
        <v>0</v>
      </c>
    </row>
    <row r="381" spans="1:88" ht="45" x14ac:dyDescent="0.25">
      <c r="A381" s="329"/>
      <c r="B381" s="297" t="s">
        <v>1364</v>
      </c>
      <c r="C381" s="370" t="s">
        <v>1813</v>
      </c>
      <c r="D381" s="329" t="s">
        <v>950</v>
      </c>
      <c r="E381" s="367"/>
      <c r="F381" s="367"/>
      <c r="G381" s="367"/>
      <c r="H381" s="367">
        <v>40</v>
      </c>
      <c r="I381" s="367">
        <v>38</v>
      </c>
      <c r="J381" s="367">
        <v>34</v>
      </c>
      <c r="K381" s="367">
        <v>33</v>
      </c>
      <c r="L381" s="367">
        <v>0</v>
      </c>
      <c r="M381" s="367">
        <v>0</v>
      </c>
      <c r="N381" s="367">
        <v>0</v>
      </c>
      <c r="O381" s="283"/>
      <c r="P381" s="286">
        <f t="shared" ref="P381:Q394" si="564">R381+U381+X381+AA381+AD381+AG381+AJ381+AM381+AP381+AS381+AV381+AY381+BB381+BE381+BH381+BK381+BN381+BQ381+BT381+BW381+BZ381+CC381+CF381+CI381</f>
        <v>8</v>
      </c>
      <c r="Q381" s="286">
        <f t="shared" si="564"/>
        <v>9</v>
      </c>
      <c r="R381" s="286">
        <v>0</v>
      </c>
      <c r="S381" s="286">
        <v>0</v>
      </c>
      <c r="T381" s="286"/>
      <c r="U381" s="286">
        <v>0</v>
      </c>
      <c r="V381" s="286">
        <v>0</v>
      </c>
      <c r="W381" s="286"/>
      <c r="X381" s="286">
        <v>0</v>
      </c>
      <c r="Y381" s="286">
        <v>0</v>
      </c>
      <c r="Z381" s="286"/>
      <c r="AA381" s="286">
        <v>0</v>
      </c>
      <c r="AB381" s="286">
        <v>0</v>
      </c>
      <c r="AC381" s="286"/>
      <c r="AD381" s="286">
        <v>0</v>
      </c>
      <c r="AE381" s="286">
        <v>0</v>
      </c>
      <c r="AF381" s="286"/>
      <c r="AG381" s="286">
        <v>0</v>
      </c>
      <c r="AH381" s="286">
        <v>0</v>
      </c>
      <c r="AI381" s="286"/>
      <c r="AJ381" s="286">
        <v>0</v>
      </c>
      <c r="AK381" s="286">
        <v>0</v>
      </c>
      <c r="AL381" s="286"/>
      <c r="AM381" s="286">
        <v>0</v>
      </c>
      <c r="AN381" s="286">
        <v>0</v>
      </c>
      <c r="AO381" s="286"/>
      <c r="AP381" s="286">
        <v>0</v>
      </c>
      <c r="AQ381" s="286">
        <v>0</v>
      </c>
      <c r="AR381" s="286"/>
      <c r="AS381" s="286">
        <v>0</v>
      </c>
      <c r="AT381" s="286">
        <v>0</v>
      </c>
      <c r="AU381" s="286"/>
      <c r="AV381" s="286">
        <v>0</v>
      </c>
      <c r="AW381" s="286">
        <v>0</v>
      </c>
      <c r="AX381" s="286"/>
      <c r="AY381" s="286">
        <v>0</v>
      </c>
      <c r="AZ381" s="286">
        <v>0</v>
      </c>
      <c r="BA381" s="286"/>
      <c r="BB381" s="286">
        <v>0</v>
      </c>
      <c r="BC381" s="286">
        <v>0</v>
      </c>
      <c r="BD381" s="286"/>
      <c r="BE381" s="286">
        <v>0</v>
      </c>
      <c r="BF381" s="286">
        <v>0</v>
      </c>
      <c r="BG381" s="286"/>
      <c r="BH381" s="286">
        <v>0</v>
      </c>
      <c r="BI381" s="286">
        <v>0</v>
      </c>
      <c r="BJ381" s="286"/>
      <c r="BK381" s="286">
        <v>0</v>
      </c>
      <c r="BL381" s="286">
        <v>0</v>
      </c>
      <c r="BM381" s="286"/>
      <c r="BN381" s="286">
        <v>0</v>
      </c>
      <c r="BO381" s="286">
        <v>0</v>
      </c>
      <c r="BP381" s="286"/>
      <c r="BQ381" s="286">
        <v>0</v>
      </c>
      <c r="BR381" s="286">
        <v>0</v>
      </c>
      <c r="BS381" s="286"/>
      <c r="BT381" s="286">
        <v>0</v>
      </c>
      <c r="BU381" s="286">
        <v>0</v>
      </c>
      <c r="BV381" s="286"/>
      <c r="BW381" s="286">
        <v>0</v>
      </c>
      <c r="BX381" s="286">
        <v>0</v>
      </c>
      <c r="BY381" s="286"/>
      <c r="BZ381" s="286">
        <v>0</v>
      </c>
      <c r="CA381" s="286">
        <v>0</v>
      </c>
      <c r="CB381" s="286"/>
      <c r="CC381" s="286">
        <v>0</v>
      </c>
      <c r="CD381" s="286">
        <v>0</v>
      </c>
      <c r="CE381" s="286"/>
      <c r="CF381" s="286">
        <v>8</v>
      </c>
      <c r="CG381" s="286">
        <v>9</v>
      </c>
      <c r="CH381" s="286"/>
      <c r="CI381" s="286">
        <v>0</v>
      </c>
      <c r="CJ381" s="286">
        <v>0</v>
      </c>
    </row>
    <row r="382" spans="1:88" ht="45" x14ac:dyDescent="0.25">
      <c r="A382" s="329"/>
      <c r="B382" s="297" t="s">
        <v>1365</v>
      </c>
      <c r="C382" s="370" t="s">
        <v>1814</v>
      </c>
      <c r="D382" s="329" t="s">
        <v>950</v>
      </c>
      <c r="E382" s="367"/>
      <c r="F382" s="367"/>
      <c r="G382" s="367"/>
      <c r="H382" s="367">
        <v>2215</v>
      </c>
      <c r="I382" s="367">
        <v>2502</v>
      </c>
      <c r="J382" s="367">
        <v>2577</v>
      </c>
      <c r="K382" s="367">
        <v>2831</v>
      </c>
      <c r="L382" s="367">
        <v>19</v>
      </c>
      <c r="M382" s="367">
        <v>23</v>
      </c>
      <c r="N382" s="367">
        <v>20</v>
      </c>
      <c r="O382" s="283"/>
      <c r="P382" s="286">
        <f t="shared" si="564"/>
        <v>2813</v>
      </c>
      <c r="Q382" s="286">
        <f t="shared" si="564"/>
        <v>3393</v>
      </c>
      <c r="R382" s="286">
        <v>25</v>
      </c>
      <c r="S382" s="286">
        <v>29</v>
      </c>
      <c r="T382" s="286"/>
      <c r="U382" s="286">
        <v>0</v>
      </c>
      <c r="V382" s="286">
        <v>0</v>
      </c>
      <c r="W382" s="286"/>
      <c r="X382" s="286">
        <v>34</v>
      </c>
      <c r="Y382" s="286">
        <v>14</v>
      </c>
      <c r="Z382" s="286"/>
      <c r="AA382" s="286">
        <v>8</v>
      </c>
      <c r="AB382" s="286">
        <v>18</v>
      </c>
      <c r="AC382" s="286"/>
      <c r="AD382" s="286">
        <v>0</v>
      </c>
      <c r="AE382" s="286">
        <v>154</v>
      </c>
      <c r="AF382" s="286"/>
      <c r="AG382" s="286">
        <v>28</v>
      </c>
      <c r="AH382" s="286">
        <v>19</v>
      </c>
      <c r="AI382" s="286"/>
      <c r="AJ382" s="286">
        <v>295</v>
      </c>
      <c r="AK382" s="286">
        <v>288</v>
      </c>
      <c r="AL382" s="286"/>
      <c r="AM382" s="286">
        <v>129</v>
      </c>
      <c r="AN382" s="286">
        <v>156</v>
      </c>
      <c r="AO382" s="286"/>
      <c r="AP382" s="286">
        <v>0</v>
      </c>
      <c r="AQ382" s="286">
        <v>0</v>
      </c>
      <c r="AR382" s="286"/>
      <c r="AS382" s="286">
        <v>234</v>
      </c>
      <c r="AT382" s="286">
        <v>251</v>
      </c>
      <c r="AU382" s="286"/>
      <c r="AV382" s="286">
        <v>53</v>
      </c>
      <c r="AW382" s="286">
        <v>79</v>
      </c>
      <c r="AX382" s="286"/>
      <c r="AY382" s="286">
        <v>238</v>
      </c>
      <c r="AZ382" s="286">
        <v>234</v>
      </c>
      <c r="BA382" s="286"/>
      <c r="BB382" s="286">
        <v>21</v>
      </c>
      <c r="BC382" s="286">
        <v>20</v>
      </c>
      <c r="BD382" s="286"/>
      <c r="BE382" s="286">
        <v>382</v>
      </c>
      <c r="BF382" s="286">
        <v>668</v>
      </c>
      <c r="BG382" s="286"/>
      <c r="BH382" s="286">
        <v>1014</v>
      </c>
      <c r="BI382" s="286">
        <v>1143</v>
      </c>
      <c r="BJ382" s="286"/>
      <c r="BK382" s="286">
        <v>0</v>
      </c>
      <c r="BL382" s="286">
        <v>0</v>
      </c>
      <c r="BM382" s="286"/>
      <c r="BN382" s="286">
        <v>220</v>
      </c>
      <c r="BO382" s="286">
        <v>208</v>
      </c>
      <c r="BP382" s="286"/>
      <c r="BQ382" s="286">
        <v>0</v>
      </c>
      <c r="BR382" s="286">
        <v>0</v>
      </c>
      <c r="BS382" s="286"/>
      <c r="BT382" s="286">
        <v>0</v>
      </c>
      <c r="BU382" s="286">
        <v>10</v>
      </c>
      <c r="BV382" s="286"/>
      <c r="BW382" s="286">
        <v>30</v>
      </c>
      <c r="BX382" s="286">
        <v>21</v>
      </c>
      <c r="BY382" s="286"/>
      <c r="BZ382" s="286">
        <v>12</v>
      </c>
      <c r="CA382" s="286">
        <v>0</v>
      </c>
      <c r="CB382" s="286"/>
      <c r="CC382" s="286">
        <v>22</v>
      </c>
      <c r="CD382" s="286">
        <v>20</v>
      </c>
      <c r="CE382" s="286"/>
      <c r="CF382" s="286">
        <v>68</v>
      </c>
      <c r="CG382" s="286">
        <v>61</v>
      </c>
      <c r="CH382" s="286"/>
      <c r="CI382" s="286">
        <v>0</v>
      </c>
      <c r="CJ382" s="286">
        <v>0</v>
      </c>
    </row>
    <row r="383" spans="1:88" ht="45" x14ac:dyDescent="0.25">
      <c r="A383" s="329"/>
      <c r="B383" s="297" t="s">
        <v>1366</v>
      </c>
      <c r="C383" s="370" t="s">
        <v>1576</v>
      </c>
      <c r="D383" s="329" t="s">
        <v>950</v>
      </c>
      <c r="E383" s="367"/>
      <c r="F383" s="367"/>
      <c r="G383" s="367"/>
      <c r="H383" s="367">
        <v>307</v>
      </c>
      <c r="I383" s="367">
        <v>251</v>
      </c>
      <c r="J383" s="367">
        <v>274</v>
      </c>
      <c r="K383" s="367">
        <v>240</v>
      </c>
      <c r="L383" s="367">
        <v>0</v>
      </c>
      <c r="M383" s="367">
        <v>0</v>
      </c>
      <c r="N383" s="367">
        <v>0</v>
      </c>
      <c r="O383" s="283"/>
      <c r="P383" s="286">
        <f t="shared" si="564"/>
        <v>283</v>
      </c>
      <c r="Q383" s="286">
        <f t="shared" si="564"/>
        <v>241</v>
      </c>
      <c r="R383" s="286">
        <v>0</v>
      </c>
      <c r="S383" s="286">
        <v>0</v>
      </c>
      <c r="T383" s="286"/>
      <c r="U383" s="286">
        <v>0</v>
      </c>
      <c r="V383" s="286">
        <v>0</v>
      </c>
      <c r="W383" s="286"/>
      <c r="X383" s="286">
        <v>0</v>
      </c>
      <c r="Y383" s="286">
        <v>0</v>
      </c>
      <c r="Z383" s="286"/>
      <c r="AA383" s="286">
        <v>0</v>
      </c>
      <c r="AB383" s="286">
        <v>0</v>
      </c>
      <c r="AC383" s="286"/>
      <c r="AD383" s="286">
        <v>0</v>
      </c>
      <c r="AE383" s="286">
        <v>0</v>
      </c>
      <c r="AF383" s="286"/>
      <c r="AG383" s="286">
        <v>0</v>
      </c>
      <c r="AH383" s="286">
        <v>0</v>
      </c>
      <c r="AI383" s="286"/>
      <c r="AJ383" s="286">
        <v>0</v>
      </c>
      <c r="AK383" s="286">
        <v>0</v>
      </c>
      <c r="AL383" s="286"/>
      <c r="AM383" s="286">
        <v>0</v>
      </c>
      <c r="AN383" s="286">
        <v>0</v>
      </c>
      <c r="AO383" s="286"/>
      <c r="AP383" s="286">
        <v>0</v>
      </c>
      <c r="AQ383" s="286">
        <v>0</v>
      </c>
      <c r="AR383" s="286"/>
      <c r="AS383" s="286">
        <v>13</v>
      </c>
      <c r="AT383" s="286">
        <v>10</v>
      </c>
      <c r="AU383" s="286"/>
      <c r="AV383" s="286">
        <v>30</v>
      </c>
      <c r="AW383" s="286">
        <v>0</v>
      </c>
      <c r="AX383" s="286"/>
      <c r="AY383" s="286">
        <v>50</v>
      </c>
      <c r="AZ383" s="286">
        <v>53</v>
      </c>
      <c r="BA383" s="286"/>
      <c r="BB383" s="286">
        <v>60</v>
      </c>
      <c r="BC383" s="286">
        <v>56</v>
      </c>
      <c r="BD383" s="286"/>
      <c r="BE383" s="286">
        <v>40</v>
      </c>
      <c r="BF383" s="286">
        <v>30</v>
      </c>
      <c r="BG383" s="286"/>
      <c r="BH383" s="286">
        <v>75</v>
      </c>
      <c r="BI383" s="286">
        <v>75</v>
      </c>
      <c r="BJ383" s="286"/>
      <c r="BK383" s="286">
        <v>0</v>
      </c>
      <c r="BL383" s="286">
        <v>0</v>
      </c>
      <c r="BM383" s="286"/>
      <c r="BN383" s="286">
        <v>0</v>
      </c>
      <c r="BO383" s="286">
        <v>0</v>
      </c>
      <c r="BP383" s="286"/>
      <c r="BQ383" s="286">
        <v>0</v>
      </c>
      <c r="BR383" s="286">
        <v>0</v>
      </c>
      <c r="BS383" s="286"/>
      <c r="BT383" s="286">
        <v>15</v>
      </c>
      <c r="BU383" s="286">
        <v>17</v>
      </c>
      <c r="BV383" s="286"/>
      <c r="BW383" s="286">
        <v>0</v>
      </c>
      <c r="BX383" s="286">
        <v>0</v>
      </c>
      <c r="BY383" s="286"/>
      <c r="BZ383" s="286">
        <v>0</v>
      </c>
      <c r="CA383" s="286">
        <v>0</v>
      </c>
      <c r="CB383" s="286"/>
      <c r="CC383" s="286">
        <v>0</v>
      </c>
      <c r="CD383" s="286">
        <v>0</v>
      </c>
      <c r="CE383" s="286"/>
      <c r="CF383" s="286">
        <v>0</v>
      </c>
      <c r="CG383" s="286">
        <v>0</v>
      </c>
      <c r="CH383" s="286"/>
      <c r="CI383" s="286">
        <v>0</v>
      </c>
      <c r="CJ383" s="286">
        <v>0</v>
      </c>
    </row>
    <row r="384" spans="1:88" ht="45" x14ac:dyDescent="0.25">
      <c r="A384" s="329"/>
      <c r="B384" s="297" t="s">
        <v>1367</v>
      </c>
      <c r="C384" s="370" t="s">
        <v>1577</v>
      </c>
      <c r="D384" s="329" t="s">
        <v>950</v>
      </c>
      <c r="E384" s="367"/>
      <c r="F384" s="367"/>
      <c r="G384" s="367"/>
      <c r="H384" s="367">
        <v>72</v>
      </c>
      <c r="I384" s="367">
        <v>95</v>
      </c>
      <c r="J384" s="367">
        <v>110</v>
      </c>
      <c r="K384" s="367">
        <v>107</v>
      </c>
      <c r="L384" s="367">
        <v>0</v>
      </c>
      <c r="M384" s="367">
        <v>0</v>
      </c>
      <c r="N384" s="367">
        <v>0</v>
      </c>
      <c r="O384" s="283"/>
      <c r="P384" s="286">
        <f t="shared" si="564"/>
        <v>107</v>
      </c>
      <c r="Q384" s="286">
        <f t="shared" si="564"/>
        <v>100</v>
      </c>
      <c r="R384" s="302">
        <v>0</v>
      </c>
      <c r="S384" s="302">
        <v>0</v>
      </c>
      <c r="T384" s="286"/>
      <c r="U384" s="302">
        <v>0</v>
      </c>
      <c r="V384" s="302">
        <v>0</v>
      </c>
      <c r="W384" s="286"/>
      <c r="X384" s="302">
        <v>0</v>
      </c>
      <c r="Y384" s="302">
        <v>0</v>
      </c>
      <c r="Z384" s="286"/>
      <c r="AA384" s="302">
        <v>0</v>
      </c>
      <c r="AB384" s="302">
        <v>0</v>
      </c>
      <c r="AC384" s="286"/>
      <c r="AD384" s="302">
        <v>0</v>
      </c>
      <c r="AE384" s="302">
        <v>0</v>
      </c>
      <c r="AF384" s="286"/>
      <c r="AG384" s="302">
        <v>0</v>
      </c>
      <c r="AH384" s="302">
        <v>0</v>
      </c>
      <c r="AI384" s="286"/>
      <c r="AJ384" s="302">
        <v>0</v>
      </c>
      <c r="AK384" s="302">
        <v>0</v>
      </c>
      <c r="AL384" s="286"/>
      <c r="AM384" s="302">
        <v>19</v>
      </c>
      <c r="AN384" s="302">
        <v>11</v>
      </c>
      <c r="AO384" s="286"/>
      <c r="AP384" s="302">
        <v>0</v>
      </c>
      <c r="AQ384" s="302">
        <v>0</v>
      </c>
      <c r="AR384" s="286"/>
      <c r="AS384" s="302">
        <v>0</v>
      </c>
      <c r="AT384" s="302">
        <v>0</v>
      </c>
      <c r="AU384" s="286"/>
      <c r="AV384" s="302">
        <v>0</v>
      </c>
      <c r="AW384" s="302">
        <v>0</v>
      </c>
      <c r="AX384" s="286"/>
      <c r="AY384" s="302">
        <v>0</v>
      </c>
      <c r="AZ384" s="302">
        <v>0</v>
      </c>
      <c r="BA384" s="286"/>
      <c r="BB384" s="302">
        <v>0</v>
      </c>
      <c r="BC384" s="302">
        <v>10</v>
      </c>
      <c r="BD384" s="286"/>
      <c r="BE384" s="302">
        <v>10</v>
      </c>
      <c r="BF384" s="302">
        <v>20</v>
      </c>
      <c r="BG384" s="286"/>
      <c r="BH384" s="302">
        <v>58</v>
      </c>
      <c r="BI384" s="302">
        <v>58</v>
      </c>
      <c r="BJ384" s="286"/>
      <c r="BK384" s="302">
        <v>0</v>
      </c>
      <c r="BL384" s="302">
        <v>0</v>
      </c>
      <c r="BM384" s="286"/>
      <c r="BN384" s="302">
        <v>10</v>
      </c>
      <c r="BO384" s="302">
        <v>0</v>
      </c>
      <c r="BP384" s="286"/>
      <c r="BQ384" s="302">
        <v>0</v>
      </c>
      <c r="BR384" s="302">
        <v>0</v>
      </c>
      <c r="BS384" s="286"/>
      <c r="BT384" s="302">
        <v>10</v>
      </c>
      <c r="BU384" s="302">
        <v>1</v>
      </c>
      <c r="BV384" s="286"/>
      <c r="BW384" s="302">
        <v>0</v>
      </c>
      <c r="BX384" s="302">
        <v>0</v>
      </c>
      <c r="BY384" s="286"/>
      <c r="BZ384" s="302">
        <v>0</v>
      </c>
      <c r="CA384" s="302">
        <v>0</v>
      </c>
      <c r="CB384" s="286"/>
      <c r="CC384" s="302">
        <v>0</v>
      </c>
      <c r="CD384" s="302">
        <v>0</v>
      </c>
      <c r="CE384" s="286"/>
      <c r="CF384" s="302">
        <v>0</v>
      </c>
      <c r="CG384" s="302">
        <v>0</v>
      </c>
      <c r="CH384" s="286"/>
      <c r="CI384" s="286">
        <v>0</v>
      </c>
      <c r="CJ384" s="286">
        <v>0</v>
      </c>
    </row>
    <row r="385" spans="1:88" ht="45" x14ac:dyDescent="0.25">
      <c r="A385" s="329"/>
      <c r="B385" s="297" t="s">
        <v>1368</v>
      </c>
      <c r="C385" s="370" t="s">
        <v>1578</v>
      </c>
      <c r="D385" s="329" t="s">
        <v>950</v>
      </c>
      <c r="E385" s="367"/>
      <c r="F385" s="367"/>
      <c r="G385" s="367"/>
      <c r="H385" s="367">
        <v>367</v>
      </c>
      <c r="I385" s="367">
        <v>700</v>
      </c>
      <c r="J385" s="367">
        <v>689</v>
      </c>
      <c r="K385" s="367">
        <v>634</v>
      </c>
      <c r="L385" s="367">
        <v>0</v>
      </c>
      <c r="M385" s="367">
        <v>3</v>
      </c>
      <c r="N385" s="367">
        <v>6</v>
      </c>
      <c r="O385" s="283"/>
      <c r="P385" s="286">
        <f t="shared" si="564"/>
        <v>634</v>
      </c>
      <c r="Q385" s="286">
        <f t="shared" si="564"/>
        <v>715</v>
      </c>
      <c r="R385" s="302">
        <v>35</v>
      </c>
      <c r="S385" s="302">
        <v>39</v>
      </c>
      <c r="T385" s="286"/>
      <c r="U385" s="302">
        <v>0</v>
      </c>
      <c r="V385" s="302">
        <v>0</v>
      </c>
      <c r="W385" s="286"/>
      <c r="X385" s="302">
        <v>0</v>
      </c>
      <c r="Y385" s="302">
        <v>0</v>
      </c>
      <c r="Z385" s="286"/>
      <c r="AA385" s="302">
        <v>0</v>
      </c>
      <c r="AB385" s="302">
        <v>0</v>
      </c>
      <c r="AC385" s="286"/>
      <c r="AD385" s="302">
        <v>0</v>
      </c>
      <c r="AE385" s="302">
        <v>0</v>
      </c>
      <c r="AF385" s="286"/>
      <c r="AG385" s="302">
        <v>0</v>
      </c>
      <c r="AH385" s="302">
        <v>0</v>
      </c>
      <c r="AI385" s="286"/>
      <c r="AJ385" s="302">
        <v>5</v>
      </c>
      <c r="AK385" s="302">
        <v>4</v>
      </c>
      <c r="AL385" s="286"/>
      <c r="AM385" s="302">
        <v>72</v>
      </c>
      <c r="AN385" s="302">
        <v>88</v>
      </c>
      <c r="AO385" s="286"/>
      <c r="AP385" s="302">
        <v>0</v>
      </c>
      <c r="AQ385" s="302">
        <v>0</v>
      </c>
      <c r="AR385" s="286"/>
      <c r="AS385" s="302">
        <v>0</v>
      </c>
      <c r="AT385" s="302">
        <v>17</v>
      </c>
      <c r="AU385" s="286"/>
      <c r="AV385" s="302">
        <v>52</v>
      </c>
      <c r="AW385" s="302">
        <v>47</v>
      </c>
      <c r="AX385" s="286"/>
      <c r="AY385" s="302">
        <v>49</v>
      </c>
      <c r="AZ385" s="302">
        <v>62</v>
      </c>
      <c r="BA385" s="286"/>
      <c r="BB385" s="302">
        <v>0</v>
      </c>
      <c r="BC385" s="302">
        <v>11</v>
      </c>
      <c r="BD385" s="286"/>
      <c r="BE385" s="302">
        <v>170</v>
      </c>
      <c r="BF385" s="302">
        <v>190</v>
      </c>
      <c r="BG385" s="286"/>
      <c r="BH385" s="302">
        <v>225</v>
      </c>
      <c r="BI385" s="302">
        <v>221</v>
      </c>
      <c r="BJ385" s="286"/>
      <c r="BK385" s="302">
        <v>0</v>
      </c>
      <c r="BL385" s="302">
        <v>0</v>
      </c>
      <c r="BM385" s="286"/>
      <c r="BN385" s="302">
        <v>20</v>
      </c>
      <c r="BO385" s="302">
        <v>26</v>
      </c>
      <c r="BP385" s="286"/>
      <c r="BQ385" s="302">
        <v>0</v>
      </c>
      <c r="BR385" s="302">
        <v>0</v>
      </c>
      <c r="BS385" s="286"/>
      <c r="BT385" s="302">
        <v>0</v>
      </c>
      <c r="BU385" s="302">
        <v>7</v>
      </c>
      <c r="BV385" s="286"/>
      <c r="BW385" s="302">
        <v>0</v>
      </c>
      <c r="BX385" s="302">
        <v>0</v>
      </c>
      <c r="BY385" s="286"/>
      <c r="BZ385" s="302">
        <v>6</v>
      </c>
      <c r="CA385" s="302">
        <v>3</v>
      </c>
      <c r="CB385" s="286"/>
      <c r="CC385" s="302">
        <v>0</v>
      </c>
      <c r="CD385" s="302">
        <v>0</v>
      </c>
      <c r="CE385" s="286"/>
      <c r="CF385" s="302">
        <v>0</v>
      </c>
      <c r="CG385" s="302">
        <v>0</v>
      </c>
      <c r="CH385" s="286"/>
      <c r="CI385" s="286">
        <v>0</v>
      </c>
      <c r="CJ385" s="286">
        <v>0</v>
      </c>
    </row>
    <row r="386" spans="1:88" ht="45" x14ac:dyDescent="0.25">
      <c r="A386" s="329"/>
      <c r="B386" s="297" t="s">
        <v>1369</v>
      </c>
      <c r="C386" s="370" t="s">
        <v>1579</v>
      </c>
      <c r="D386" s="329" t="s">
        <v>950</v>
      </c>
      <c r="E386" s="367"/>
      <c r="F386" s="367"/>
      <c r="G386" s="367"/>
      <c r="H386" s="367">
        <v>109</v>
      </c>
      <c r="I386" s="367">
        <v>229</v>
      </c>
      <c r="J386" s="367">
        <v>196</v>
      </c>
      <c r="K386" s="367">
        <v>102</v>
      </c>
      <c r="L386" s="367">
        <v>0</v>
      </c>
      <c r="M386" s="367">
        <v>0</v>
      </c>
      <c r="N386" s="367">
        <v>0</v>
      </c>
      <c r="O386" s="283"/>
      <c r="P386" s="286">
        <f t="shared" si="564"/>
        <v>102</v>
      </c>
      <c r="Q386" s="286">
        <f t="shared" si="564"/>
        <v>32</v>
      </c>
      <c r="R386" s="302">
        <v>0</v>
      </c>
      <c r="S386" s="302">
        <v>0</v>
      </c>
      <c r="T386" s="286"/>
      <c r="U386" s="302">
        <v>0</v>
      </c>
      <c r="V386" s="302">
        <v>0</v>
      </c>
      <c r="W386" s="286"/>
      <c r="X386" s="302">
        <v>0</v>
      </c>
      <c r="Y386" s="302">
        <v>0</v>
      </c>
      <c r="Z386" s="286"/>
      <c r="AA386" s="302">
        <v>0</v>
      </c>
      <c r="AB386" s="302">
        <v>0</v>
      </c>
      <c r="AC386" s="286"/>
      <c r="AD386" s="302">
        <v>0</v>
      </c>
      <c r="AE386" s="302">
        <v>0</v>
      </c>
      <c r="AF386" s="286"/>
      <c r="AG386" s="302">
        <v>0</v>
      </c>
      <c r="AH386" s="302">
        <v>0</v>
      </c>
      <c r="AI386" s="286"/>
      <c r="AJ386" s="302">
        <v>0</v>
      </c>
      <c r="AK386" s="302">
        <v>0</v>
      </c>
      <c r="AL386" s="286"/>
      <c r="AM386" s="302">
        <v>0</v>
      </c>
      <c r="AN386" s="302">
        <v>0</v>
      </c>
      <c r="AO386" s="286"/>
      <c r="AP386" s="302">
        <v>0</v>
      </c>
      <c r="AQ386" s="302">
        <v>0</v>
      </c>
      <c r="AR386" s="286"/>
      <c r="AS386" s="302">
        <v>0</v>
      </c>
      <c r="AT386" s="302">
        <v>0</v>
      </c>
      <c r="AU386" s="286"/>
      <c r="AV386" s="302">
        <v>0</v>
      </c>
      <c r="AW386" s="302">
        <v>0</v>
      </c>
      <c r="AX386" s="286"/>
      <c r="AY386" s="302">
        <v>0</v>
      </c>
      <c r="AZ386" s="302">
        <v>0</v>
      </c>
      <c r="BA386" s="286"/>
      <c r="BB386" s="302">
        <v>0</v>
      </c>
      <c r="BC386" s="302">
        <v>0</v>
      </c>
      <c r="BD386" s="286"/>
      <c r="BE386" s="302">
        <v>102</v>
      </c>
      <c r="BF386" s="302">
        <v>32</v>
      </c>
      <c r="BG386" s="286"/>
      <c r="BH386" s="302">
        <v>0</v>
      </c>
      <c r="BI386" s="302">
        <v>0</v>
      </c>
      <c r="BJ386" s="286"/>
      <c r="BK386" s="302">
        <v>0</v>
      </c>
      <c r="BL386" s="302">
        <v>0</v>
      </c>
      <c r="BM386" s="286"/>
      <c r="BN386" s="302">
        <v>0</v>
      </c>
      <c r="BO386" s="302">
        <v>0</v>
      </c>
      <c r="BP386" s="286"/>
      <c r="BQ386" s="302">
        <v>0</v>
      </c>
      <c r="BR386" s="302">
        <v>0</v>
      </c>
      <c r="BS386" s="286"/>
      <c r="BT386" s="302">
        <v>0</v>
      </c>
      <c r="BU386" s="302">
        <v>0</v>
      </c>
      <c r="BV386" s="286"/>
      <c r="BW386" s="302">
        <v>0</v>
      </c>
      <c r="BX386" s="302">
        <v>0</v>
      </c>
      <c r="BY386" s="286"/>
      <c r="BZ386" s="302">
        <v>0</v>
      </c>
      <c r="CA386" s="302">
        <v>0</v>
      </c>
      <c r="CB386" s="286"/>
      <c r="CC386" s="302">
        <v>0</v>
      </c>
      <c r="CD386" s="302">
        <v>0</v>
      </c>
      <c r="CE386" s="286"/>
      <c r="CF386" s="302">
        <v>0</v>
      </c>
      <c r="CG386" s="302">
        <v>0</v>
      </c>
      <c r="CH386" s="286"/>
      <c r="CI386" s="286">
        <v>0</v>
      </c>
      <c r="CJ386" s="286">
        <v>0</v>
      </c>
    </row>
    <row r="387" spans="1:88" ht="45" hidden="1" x14ac:dyDescent="0.25">
      <c r="A387" s="329"/>
      <c r="B387" s="297" t="s">
        <v>1370</v>
      </c>
      <c r="C387" s="370" t="s">
        <v>1580</v>
      </c>
      <c r="D387" s="329" t="s">
        <v>950</v>
      </c>
      <c r="E387" s="367"/>
      <c r="F387" s="367"/>
      <c r="G387" s="367"/>
      <c r="H387" s="367">
        <v>71</v>
      </c>
      <c r="I387" s="367"/>
      <c r="J387" s="367"/>
      <c r="K387" s="367"/>
      <c r="L387" s="367"/>
      <c r="M387" s="367"/>
      <c r="N387" s="367"/>
      <c r="O387" s="283"/>
      <c r="P387" s="286">
        <f t="shared" si="564"/>
        <v>0</v>
      </c>
      <c r="Q387" s="286">
        <f t="shared" si="564"/>
        <v>0</v>
      </c>
      <c r="R387" s="286"/>
      <c r="S387" s="286"/>
      <c r="T387" s="286"/>
      <c r="U387" s="286"/>
      <c r="V387" s="286"/>
      <c r="W387" s="286"/>
      <c r="X387" s="286"/>
      <c r="Y387" s="286"/>
      <c r="Z387" s="286"/>
      <c r="AA387" s="286"/>
      <c r="AB387" s="286"/>
      <c r="AC387" s="286"/>
      <c r="AD387" s="286"/>
      <c r="AE387" s="286"/>
      <c r="AF387" s="286"/>
      <c r="AG387" s="286"/>
      <c r="AH387" s="286"/>
      <c r="AI387" s="286"/>
      <c r="AJ387" s="286"/>
      <c r="AK387" s="286"/>
      <c r="AL387" s="286"/>
      <c r="AM387" s="286"/>
      <c r="AN387" s="286"/>
      <c r="AO387" s="286"/>
      <c r="AP387" s="286"/>
      <c r="AQ387" s="286"/>
      <c r="AR387" s="286"/>
      <c r="AS387" s="286"/>
      <c r="AT387" s="286"/>
      <c r="AU387" s="286"/>
      <c r="AV387" s="286"/>
      <c r="AW387" s="286"/>
      <c r="AX387" s="286"/>
      <c r="AY387" s="286"/>
      <c r="AZ387" s="286"/>
      <c r="BA387" s="286"/>
      <c r="BB387" s="286"/>
      <c r="BC387" s="286"/>
      <c r="BD387" s="286"/>
      <c r="BE387" s="286"/>
      <c r="BF387" s="286"/>
      <c r="BG387" s="286"/>
      <c r="BH387" s="286"/>
      <c r="BI387" s="286"/>
      <c r="BJ387" s="286"/>
      <c r="BK387" s="286"/>
      <c r="BL387" s="286"/>
      <c r="BM387" s="286"/>
      <c r="BN387" s="286"/>
      <c r="BO387" s="286"/>
      <c r="BP387" s="286"/>
      <c r="BQ387" s="286"/>
      <c r="BR387" s="286"/>
      <c r="BS387" s="286"/>
      <c r="BT387" s="286"/>
      <c r="BU387" s="286"/>
      <c r="BV387" s="286"/>
      <c r="BW387" s="286"/>
      <c r="BX387" s="286"/>
      <c r="BY387" s="286"/>
      <c r="BZ387" s="286"/>
      <c r="CA387" s="286"/>
      <c r="CB387" s="286"/>
      <c r="CC387" s="286"/>
      <c r="CD387" s="286"/>
      <c r="CE387" s="286"/>
      <c r="CF387" s="286"/>
      <c r="CG387" s="286"/>
      <c r="CH387" s="286"/>
      <c r="CI387" s="286"/>
      <c r="CJ387" s="286"/>
    </row>
    <row r="388" spans="1:88" ht="45" x14ac:dyDescent="0.25">
      <c r="A388" s="329"/>
      <c r="B388" s="297" t="s">
        <v>1371</v>
      </c>
      <c r="C388" s="370" t="s">
        <v>1581</v>
      </c>
      <c r="D388" s="329" t="s">
        <v>950</v>
      </c>
      <c r="E388" s="367"/>
      <c r="F388" s="367"/>
      <c r="G388" s="367"/>
      <c r="H388" s="367">
        <v>217</v>
      </c>
      <c r="I388" s="367">
        <v>100</v>
      </c>
      <c r="J388" s="367">
        <v>98</v>
      </c>
      <c r="K388" s="367">
        <v>81</v>
      </c>
      <c r="L388" s="367">
        <v>0</v>
      </c>
      <c r="M388" s="367">
        <v>0</v>
      </c>
      <c r="N388" s="367">
        <v>0</v>
      </c>
      <c r="O388" s="283"/>
      <c r="P388" s="286">
        <f t="shared" si="564"/>
        <v>81</v>
      </c>
      <c r="Q388" s="286">
        <f t="shared" si="564"/>
        <v>88</v>
      </c>
      <c r="R388" s="286">
        <v>5</v>
      </c>
      <c r="S388" s="286">
        <v>10</v>
      </c>
      <c r="T388" s="286"/>
      <c r="U388" s="286">
        <v>0</v>
      </c>
      <c r="V388" s="286">
        <v>0</v>
      </c>
      <c r="W388" s="286"/>
      <c r="X388" s="286">
        <v>0</v>
      </c>
      <c r="Y388" s="286">
        <v>10</v>
      </c>
      <c r="Z388" s="286"/>
      <c r="AA388" s="286">
        <v>0</v>
      </c>
      <c r="AB388" s="286">
        <v>0</v>
      </c>
      <c r="AC388" s="286"/>
      <c r="AD388" s="286">
        <v>0</v>
      </c>
      <c r="AE388" s="286">
        <v>0</v>
      </c>
      <c r="AF388" s="286"/>
      <c r="AG388" s="286">
        <v>0</v>
      </c>
      <c r="AH388" s="286">
        <v>0</v>
      </c>
      <c r="AI388" s="286"/>
      <c r="AJ388" s="286">
        <v>22</v>
      </c>
      <c r="AK388" s="286">
        <v>14</v>
      </c>
      <c r="AL388" s="286"/>
      <c r="AM388" s="286">
        <v>23</v>
      </c>
      <c r="AN388" s="286">
        <v>20</v>
      </c>
      <c r="AO388" s="286"/>
      <c r="AP388" s="286">
        <v>0</v>
      </c>
      <c r="AQ388" s="286">
        <v>0</v>
      </c>
      <c r="AR388" s="286"/>
      <c r="AS388" s="286">
        <v>5</v>
      </c>
      <c r="AT388" s="286">
        <v>0</v>
      </c>
      <c r="AU388" s="286"/>
      <c r="AV388" s="286">
        <v>0</v>
      </c>
      <c r="AW388" s="286">
        <v>0</v>
      </c>
      <c r="AX388" s="286"/>
      <c r="AY388" s="286">
        <v>6</v>
      </c>
      <c r="AZ388" s="286">
        <v>9</v>
      </c>
      <c r="BA388" s="286"/>
      <c r="BB388" s="286">
        <v>0</v>
      </c>
      <c r="BC388" s="286">
        <v>0</v>
      </c>
      <c r="BD388" s="286"/>
      <c r="BE388" s="286">
        <v>5</v>
      </c>
      <c r="BF388" s="286">
        <v>0</v>
      </c>
      <c r="BG388" s="286"/>
      <c r="BH388" s="286">
        <v>6</v>
      </c>
      <c r="BI388" s="286">
        <v>0</v>
      </c>
      <c r="BJ388" s="286"/>
      <c r="BK388" s="286">
        <v>0</v>
      </c>
      <c r="BL388" s="286">
        <v>0</v>
      </c>
      <c r="BM388" s="286"/>
      <c r="BN388" s="286">
        <v>9</v>
      </c>
      <c r="BO388" s="286">
        <v>20</v>
      </c>
      <c r="BP388" s="286"/>
      <c r="BQ388" s="286">
        <v>0</v>
      </c>
      <c r="BR388" s="286">
        <v>0</v>
      </c>
      <c r="BS388" s="286"/>
      <c r="BT388" s="286">
        <v>0</v>
      </c>
      <c r="BU388" s="286">
        <v>0</v>
      </c>
      <c r="BV388" s="286"/>
      <c r="BW388" s="286">
        <v>0</v>
      </c>
      <c r="BX388" s="286">
        <v>0</v>
      </c>
      <c r="BY388" s="286"/>
      <c r="BZ388" s="286">
        <v>0</v>
      </c>
      <c r="CA388" s="286">
        <v>0</v>
      </c>
      <c r="CB388" s="286"/>
      <c r="CC388" s="286">
        <v>0</v>
      </c>
      <c r="CD388" s="286">
        <v>5</v>
      </c>
      <c r="CE388" s="286"/>
      <c r="CF388" s="286">
        <v>0</v>
      </c>
      <c r="CG388" s="286">
        <v>0</v>
      </c>
      <c r="CH388" s="286"/>
      <c r="CI388" s="286">
        <v>0</v>
      </c>
      <c r="CJ388" s="286">
        <v>0</v>
      </c>
    </row>
    <row r="389" spans="1:88" ht="45" x14ac:dyDescent="0.25">
      <c r="A389" s="329"/>
      <c r="B389" s="297" t="s">
        <v>1372</v>
      </c>
      <c r="C389" s="370" t="s">
        <v>1582</v>
      </c>
      <c r="D389" s="329" t="s">
        <v>950</v>
      </c>
      <c r="E389" s="367"/>
      <c r="F389" s="367"/>
      <c r="G389" s="367"/>
      <c r="H389" s="367">
        <v>4</v>
      </c>
      <c r="I389" s="367">
        <v>420</v>
      </c>
      <c r="J389" s="367">
        <v>338</v>
      </c>
      <c r="K389" s="367">
        <v>217</v>
      </c>
      <c r="L389" s="367">
        <v>0</v>
      </c>
      <c r="M389" s="367">
        <v>0</v>
      </c>
      <c r="N389" s="367">
        <v>0</v>
      </c>
      <c r="O389" s="283"/>
      <c r="P389" s="286">
        <f t="shared" si="564"/>
        <v>217</v>
      </c>
      <c r="Q389" s="286">
        <f t="shared" si="564"/>
        <v>99</v>
      </c>
      <c r="R389" s="286">
        <v>0</v>
      </c>
      <c r="S389" s="286">
        <v>0</v>
      </c>
      <c r="T389" s="286"/>
      <c r="U389" s="286">
        <v>0</v>
      </c>
      <c r="V389" s="286">
        <v>0</v>
      </c>
      <c r="W389" s="286"/>
      <c r="X389" s="286">
        <v>0</v>
      </c>
      <c r="Y389" s="286">
        <v>0</v>
      </c>
      <c r="Z389" s="286"/>
      <c r="AA389" s="286">
        <v>0</v>
      </c>
      <c r="AB389" s="286">
        <v>0</v>
      </c>
      <c r="AC389" s="286"/>
      <c r="AD389" s="286">
        <v>0</v>
      </c>
      <c r="AE389" s="286">
        <v>0</v>
      </c>
      <c r="AF389" s="286"/>
      <c r="AG389" s="286">
        <v>0</v>
      </c>
      <c r="AH389" s="286">
        <v>0</v>
      </c>
      <c r="AI389" s="286"/>
      <c r="AJ389" s="286">
        <v>0</v>
      </c>
      <c r="AK389" s="286">
        <v>0</v>
      </c>
      <c r="AL389" s="286"/>
      <c r="AM389" s="286">
        <v>0</v>
      </c>
      <c r="AN389" s="286">
        <v>0</v>
      </c>
      <c r="AO389" s="286"/>
      <c r="AP389" s="286">
        <v>0</v>
      </c>
      <c r="AQ389" s="286">
        <v>0</v>
      </c>
      <c r="AR389" s="286"/>
      <c r="AS389" s="286">
        <v>8</v>
      </c>
      <c r="AT389" s="286">
        <v>21</v>
      </c>
      <c r="AU389" s="286"/>
      <c r="AV389" s="286">
        <v>0</v>
      </c>
      <c r="AW389" s="286">
        <v>0</v>
      </c>
      <c r="AX389" s="286"/>
      <c r="AY389" s="286">
        <v>74</v>
      </c>
      <c r="AZ389" s="286">
        <v>27</v>
      </c>
      <c r="BA389" s="286"/>
      <c r="BB389" s="286">
        <v>0</v>
      </c>
      <c r="BC389" s="286">
        <v>0</v>
      </c>
      <c r="BD389" s="286"/>
      <c r="BE389" s="286">
        <v>105</v>
      </c>
      <c r="BF389" s="286">
        <v>0</v>
      </c>
      <c r="BG389" s="286"/>
      <c r="BH389" s="286">
        <v>0</v>
      </c>
      <c r="BI389" s="286">
        <v>0</v>
      </c>
      <c r="BJ389" s="286"/>
      <c r="BK389" s="286">
        <v>0</v>
      </c>
      <c r="BL389" s="286">
        <v>0</v>
      </c>
      <c r="BM389" s="286"/>
      <c r="BN389" s="286">
        <v>0</v>
      </c>
      <c r="BO389" s="286">
        <v>0</v>
      </c>
      <c r="BP389" s="286"/>
      <c r="BQ389" s="286">
        <v>30</v>
      </c>
      <c r="BR389" s="286">
        <v>51</v>
      </c>
      <c r="BS389" s="286"/>
      <c r="BT389" s="286">
        <v>0</v>
      </c>
      <c r="BU389" s="286">
        <v>0</v>
      </c>
      <c r="BV389" s="286"/>
      <c r="BW389" s="286">
        <v>0</v>
      </c>
      <c r="BX389" s="286">
        <v>0</v>
      </c>
      <c r="BY389" s="286"/>
      <c r="BZ389" s="286">
        <v>0</v>
      </c>
      <c r="CA389" s="286">
        <v>0</v>
      </c>
      <c r="CB389" s="286"/>
      <c r="CC389" s="286">
        <v>0</v>
      </c>
      <c r="CD389" s="286">
        <v>0</v>
      </c>
      <c r="CE389" s="286"/>
      <c r="CF389" s="286">
        <v>0</v>
      </c>
      <c r="CG389" s="286">
        <v>0</v>
      </c>
      <c r="CH389" s="286"/>
      <c r="CI389" s="286">
        <v>0</v>
      </c>
      <c r="CJ389" s="286">
        <v>0</v>
      </c>
    </row>
    <row r="390" spans="1:88" ht="30" x14ac:dyDescent="0.25">
      <c r="A390" s="329"/>
      <c r="B390" s="297" t="s">
        <v>1373</v>
      </c>
      <c r="C390" s="370"/>
      <c r="D390" s="329" t="s">
        <v>950</v>
      </c>
      <c r="E390" s="367"/>
      <c r="F390" s="367"/>
      <c r="G390" s="367"/>
      <c r="H390" s="367">
        <f>H391+H392</f>
        <v>4</v>
      </c>
      <c r="I390" s="367">
        <f>I391+I392</f>
        <v>0</v>
      </c>
      <c r="J390" s="367">
        <f>J391+J392</f>
        <v>0</v>
      </c>
      <c r="K390" s="367">
        <v>69</v>
      </c>
      <c r="L390" s="367">
        <v>0</v>
      </c>
      <c r="M390" s="367">
        <v>0</v>
      </c>
      <c r="N390" s="367">
        <v>0</v>
      </c>
      <c r="P390" s="286">
        <f t="shared" si="564"/>
        <v>69</v>
      </c>
      <c r="Q390" s="286">
        <f t="shared" si="564"/>
        <v>0</v>
      </c>
      <c r="R390" s="286">
        <v>0</v>
      </c>
      <c r="S390" s="286">
        <v>0</v>
      </c>
      <c r="T390" s="286"/>
      <c r="U390" s="286">
        <v>0</v>
      </c>
      <c r="V390" s="286">
        <v>0</v>
      </c>
      <c r="W390" s="286"/>
      <c r="X390" s="286">
        <v>0</v>
      </c>
      <c r="Y390" s="286">
        <v>0</v>
      </c>
      <c r="Z390" s="286"/>
      <c r="AA390" s="286">
        <v>0</v>
      </c>
      <c r="AB390" s="286">
        <v>0</v>
      </c>
      <c r="AC390" s="286"/>
      <c r="AD390" s="286">
        <v>69</v>
      </c>
      <c r="AE390" s="286">
        <v>0</v>
      </c>
      <c r="AF390" s="286"/>
      <c r="AG390" s="286">
        <v>0</v>
      </c>
      <c r="AH390" s="286">
        <v>0</v>
      </c>
      <c r="AI390" s="286"/>
      <c r="AJ390" s="286">
        <v>0</v>
      </c>
      <c r="AK390" s="286">
        <v>0</v>
      </c>
      <c r="AL390" s="286"/>
      <c r="AM390" s="286">
        <v>0</v>
      </c>
      <c r="AN390" s="286">
        <v>0</v>
      </c>
      <c r="AO390" s="286"/>
      <c r="AP390" s="286">
        <v>0</v>
      </c>
      <c r="AQ390" s="286">
        <v>0</v>
      </c>
      <c r="AR390" s="286"/>
      <c r="AS390" s="286">
        <v>0</v>
      </c>
      <c r="AT390" s="286">
        <v>0</v>
      </c>
      <c r="AU390" s="286"/>
      <c r="AV390" s="286">
        <v>0</v>
      </c>
      <c r="AW390" s="286">
        <v>0</v>
      </c>
      <c r="AX390" s="286"/>
      <c r="AY390" s="286">
        <v>0</v>
      </c>
      <c r="AZ390" s="286">
        <v>0</v>
      </c>
      <c r="BA390" s="286"/>
      <c r="BB390" s="286">
        <v>0</v>
      </c>
      <c r="BC390" s="286">
        <v>0</v>
      </c>
      <c r="BD390" s="286"/>
      <c r="BE390" s="286">
        <v>0</v>
      </c>
      <c r="BF390" s="286">
        <v>0</v>
      </c>
      <c r="BG390" s="286"/>
      <c r="BH390" s="286">
        <v>0</v>
      </c>
      <c r="BI390" s="286">
        <v>0</v>
      </c>
      <c r="BJ390" s="286"/>
      <c r="BK390" s="286">
        <v>0</v>
      </c>
      <c r="BL390" s="286">
        <v>0</v>
      </c>
      <c r="BM390" s="286"/>
      <c r="BN390" s="286">
        <v>0</v>
      </c>
      <c r="BO390" s="286">
        <v>0</v>
      </c>
      <c r="BP390" s="286"/>
      <c r="BQ390" s="286">
        <v>0</v>
      </c>
      <c r="BR390" s="286">
        <v>0</v>
      </c>
      <c r="BS390" s="286"/>
      <c r="BT390" s="286">
        <v>0</v>
      </c>
      <c r="BU390" s="286">
        <v>0</v>
      </c>
      <c r="BV390" s="286"/>
      <c r="BW390" s="286">
        <v>0</v>
      </c>
      <c r="BX390" s="286">
        <v>0</v>
      </c>
      <c r="BY390" s="286"/>
      <c r="BZ390" s="286">
        <v>0</v>
      </c>
      <c r="CA390" s="286">
        <v>0</v>
      </c>
      <c r="CB390" s="286"/>
      <c r="CC390" s="286">
        <v>0</v>
      </c>
      <c r="CD390" s="286">
        <v>0</v>
      </c>
      <c r="CE390" s="286"/>
      <c r="CF390" s="286">
        <v>0</v>
      </c>
      <c r="CG390" s="286">
        <v>0</v>
      </c>
      <c r="CH390" s="286"/>
      <c r="CI390" s="286">
        <v>0</v>
      </c>
      <c r="CJ390" s="286">
        <v>0</v>
      </c>
    </row>
    <row r="391" spans="1:88" ht="45" x14ac:dyDescent="0.25">
      <c r="A391" s="329"/>
      <c r="B391" s="297" t="s">
        <v>1374</v>
      </c>
      <c r="C391" s="370" t="s">
        <v>1583</v>
      </c>
      <c r="D391" s="329" t="s">
        <v>950</v>
      </c>
      <c r="E391" s="367"/>
      <c r="F391" s="367"/>
      <c r="G391" s="367"/>
      <c r="H391" s="367">
        <v>0</v>
      </c>
      <c r="I391" s="367">
        <v>0</v>
      </c>
      <c r="J391" s="367">
        <v>0</v>
      </c>
      <c r="K391" s="367">
        <v>0</v>
      </c>
      <c r="L391" s="367">
        <v>0</v>
      </c>
      <c r="M391" s="367">
        <v>0</v>
      </c>
      <c r="N391" s="367">
        <v>0</v>
      </c>
      <c r="O391" s="283"/>
      <c r="P391" s="286">
        <f t="shared" si="564"/>
        <v>0</v>
      </c>
      <c r="Q391" s="286">
        <f t="shared" si="564"/>
        <v>0</v>
      </c>
      <c r="R391" s="286">
        <v>0</v>
      </c>
      <c r="S391" s="286">
        <v>0</v>
      </c>
      <c r="T391" s="286"/>
      <c r="U391" s="286">
        <v>0</v>
      </c>
      <c r="V391" s="286">
        <v>0</v>
      </c>
      <c r="W391" s="286"/>
      <c r="X391" s="286">
        <v>0</v>
      </c>
      <c r="Y391" s="286">
        <v>0</v>
      </c>
      <c r="Z391" s="286"/>
      <c r="AA391" s="286">
        <v>0</v>
      </c>
      <c r="AB391" s="286">
        <v>0</v>
      </c>
      <c r="AC391" s="286"/>
      <c r="AD391" s="286">
        <v>0</v>
      </c>
      <c r="AE391" s="286">
        <v>0</v>
      </c>
      <c r="AF391" s="286"/>
      <c r="AG391" s="286">
        <v>0</v>
      </c>
      <c r="AH391" s="286">
        <v>0</v>
      </c>
      <c r="AI391" s="286"/>
      <c r="AJ391" s="286">
        <v>0</v>
      </c>
      <c r="AK391" s="286">
        <v>0</v>
      </c>
      <c r="AL391" s="286"/>
      <c r="AM391" s="286">
        <v>0</v>
      </c>
      <c r="AN391" s="286">
        <v>0</v>
      </c>
      <c r="AO391" s="286"/>
      <c r="AP391" s="286">
        <v>0</v>
      </c>
      <c r="AQ391" s="286">
        <v>0</v>
      </c>
      <c r="AR391" s="286"/>
      <c r="AS391" s="286">
        <v>0</v>
      </c>
      <c r="AT391" s="286">
        <v>0</v>
      </c>
      <c r="AU391" s="286"/>
      <c r="AV391" s="286">
        <v>0</v>
      </c>
      <c r="AW391" s="286">
        <v>0</v>
      </c>
      <c r="AX391" s="286"/>
      <c r="AY391" s="286">
        <v>0</v>
      </c>
      <c r="AZ391" s="286">
        <v>0</v>
      </c>
      <c r="BA391" s="286"/>
      <c r="BB391" s="286">
        <v>0</v>
      </c>
      <c r="BC391" s="286">
        <v>0</v>
      </c>
      <c r="BD391" s="286"/>
      <c r="BE391" s="286">
        <v>0</v>
      </c>
      <c r="BF391" s="286">
        <v>0</v>
      </c>
      <c r="BG391" s="286"/>
      <c r="BH391" s="286">
        <v>0</v>
      </c>
      <c r="BI391" s="286">
        <v>0</v>
      </c>
      <c r="BJ391" s="286"/>
      <c r="BK391" s="286">
        <v>0</v>
      </c>
      <c r="BL391" s="286">
        <v>0</v>
      </c>
      <c r="BM391" s="286"/>
      <c r="BN391" s="286">
        <v>0</v>
      </c>
      <c r="BO391" s="286">
        <v>0</v>
      </c>
      <c r="BP391" s="286"/>
      <c r="BQ391" s="286">
        <v>0</v>
      </c>
      <c r="BR391" s="286">
        <v>0</v>
      </c>
      <c r="BS391" s="286"/>
      <c r="BT391" s="286">
        <v>0</v>
      </c>
      <c r="BU391" s="286">
        <v>0</v>
      </c>
      <c r="BV391" s="286"/>
      <c r="BW391" s="286">
        <v>0</v>
      </c>
      <c r="BX391" s="286">
        <v>0</v>
      </c>
      <c r="BY391" s="286"/>
      <c r="BZ391" s="286">
        <v>0</v>
      </c>
      <c r="CA391" s="286">
        <v>0</v>
      </c>
      <c r="CB391" s="286"/>
      <c r="CC391" s="286">
        <v>0</v>
      </c>
      <c r="CD391" s="286">
        <v>0</v>
      </c>
      <c r="CE391" s="286"/>
      <c r="CF391" s="286">
        <v>0</v>
      </c>
      <c r="CG391" s="286">
        <v>0</v>
      </c>
      <c r="CH391" s="286"/>
      <c r="CI391" s="286">
        <v>0</v>
      </c>
      <c r="CJ391" s="286">
        <v>0</v>
      </c>
    </row>
    <row r="392" spans="1:88" ht="45" x14ac:dyDescent="0.25">
      <c r="A392" s="329"/>
      <c r="B392" s="297" t="s">
        <v>1375</v>
      </c>
      <c r="C392" s="370" t="s">
        <v>1584</v>
      </c>
      <c r="D392" s="329" t="s">
        <v>950</v>
      </c>
      <c r="E392" s="367"/>
      <c r="F392" s="367"/>
      <c r="G392" s="367"/>
      <c r="H392" s="367">
        <v>4</v>
      </c>
      <c r="I392" s="367">
        <v>0</v>
      </c>
      <c r="J392" s="367">
        <v>0</v>
      </c>
      <c r="K392" s="367">
        <v>0</v>
      </c>
      <c r="L392" s="367">
        <v>0</v>
      </c>
      <c r="M392" s="367">
        <v>0</v>
      </c>
      <c r="N392" s="367">
        <v>0</v>
      </c>
      <c r="O392" s="283"/>
      <c r="P392" s="286">
        <f t="shared" si="564"/>
        <v>0</v>
      </c>
      <c r="Q392" s="286">
        <f t="shared" si="564"/>
        <v>0</v>
      </c>
      <c r="R392" s="286">
        <v>0</v>
      </c>
      <c r="S392" s="286">
        <v>0</v>
      </c>
      <c r="T392" s="286"/>
      <c r="U392" s="286">
        <v>0</v>
      </c>
      <c r="V392" s="286">
        <v>0</v>
      </c>
      <c r="W392" s="286"/>
      <c r="X392" s="286">
        <v>0</v>
      </c>
      <c r="Y392" s="286">
        <v>0</v>
      </c>
      <c r="Z392" s="286"/>
      <c r="AA392" s="286">
        <v>0</v>
      </c>
      <c r="AB392" s="286">
        <v>0</v>
      </c>
      <c r="AC392" s="286"/>
      <c r="AD392" s="286">
        <v>0</v>
      </c>
      <c r="AE392" s="286">
        <v>0</v>
      </c>
      <c r="AF392" s="286"/>
      <c r="AG392" s="286">
        <v>0</v>
      </c>
      <c r="AH392" s="286">
        <v>0</v>
      </c>
      <c r="AI392" s="286"/>
      <c r="AJ392" s="286">
        <v>0</v>
      </c>
      <c r="AK392" s="286">
        <v>0</v>
      </c>
      <c r="AL392" s="286"/>
      <c r="AM392" s="286">
        <v>0</v>
      </c>
      <c r="AN392" s="286">
        <v>0</v>
      </c>
      <c r="AO392" s="286"/>
      <c r="AP392" s="286">
        <v>0</v>
      </c>
      <c r="AQ392" s="286">
        <v>0</v>
      </c>
      <c r="AR392" s="286"/>
      <c r="AS392" s="286">
        <v>0</v>
      </c>
      <c r="AT392" s="286">
        <v>0</v>
      </c>
      <c r="AU392" s="286"/>
      <c r="AV392" s="286">
        <v>0</v>
      </c>
      <c r="AW392" s="286">
        <v>0</v>
      </c>
      <c r="AX392" s="286"/>
      <c r="AY392" s="286">
        <v>0</v>
      </c>
      <c r="AZ392" s="286">
        <v>0</v>
      </c>
      <c r="BA392" s="286"/>
      <c r="BB392" s="286">
        <v>0</v>
      </c>
      <c r="BC392" s="286">
        <v>0</v>
      </c>
      <c r="BD392" s="286"/>
      <c r="BE392" s="286">
        <v>0</v>
      </c>
      <c r="BF392" s="286">
        <v>0</v>
      </c>
      <c r="BG392" s="286"/>
      <c r="BH392" s="286">
        <v>0</v>
      </c>
      <c r="BI392" s="286">
        <v>0</v>
      </c>
      <c r="BJ392" s="286"/>
      <c r="BK392" s="286">
        <v>0</v>
      </c>
      <c r="BL392" s="286">
        <v>0</v>
      </c>
      <c r="BM392" s="286"/>
      <c r="BN392" s="286">
        <v>0</v>
      </c>
      <c r="BO392" s="286">
        <v>0</v>
      </c>
      <c r="BP392" s="286"/>
      <c r="BQ392" s="286">
        <v>0</v>
      </c>
      <c r="BR392" s="286">
        <v>0</v>
      </c>
      <c r="BS392" s="286"/>
      <c r="BT392" s="286">
        <v>0</v>
      </c>
      <c r="BU392" s="286">
        <v>0</v>
      </c>
      <c r="BV392" s="286"/>
      <c r="BW392" s="286">
        <v>0</v>
      </c>
      <c r="BX392" s="286">
        <v>0</v>
      </c>
      <c r="BY392" s="286"/>
      <c r="BZ392" s="286">
        <v>0</v>
      </c>
      <c r="CA392" s="286">
        <v>0</v>
      </c>
      <c r="CB392" s="286"/>
      <c r="CC392" s="286">
        <v>0</v>
      </c>
      <c r="CD392" s="286">
        <v>0</v>
      </c>
      <c r="CE392" s="286"/>
      <c r="CF392" s="286">
        <v>0</v>
      </c>
      <c r="CG392" s="286">
        <v>0</v>
      </c>
      <c r="CH392" s="286"/>
      <c r="CI392" s="286">
        <v>0</v>
      </c>
      <c r="CJ392" s="286">
        <v>0</v>
      </c>
    </row>
    <row r="393" spans="1:88" ht="30" hidden="1" x14ac:dyDescent="0.25">
      <c r="A393" s="329"/>
      <c r="B393" s="297" t="s">
        <v>1376</v>
      </c>
      <c r="C393" s="370"/>
      <c r="D393" s="329"/>
      <c r="E393" s="367"/>
      <c r="F393" s="367"/>
      <c r="G393" s="367"/>
      <c r="H393" s="367"/>
      <c r="I393" s="367"/>
      <c r="J393" s="367"/>
      <c r="K393" s="367"/>
      <c r="L393" s="367"/>
      <c r="M393" s="367"/>
      <c r="N393" s="367"/>
      <c r="O393" s="283"/>
      <c r="P393" s="286">
        <f t="shared" si="564"/>
        <v>0</v>
      </c>
      <c r="Q393" s="286">
        <f t="shared" si="564"/>
        <v>0</v>
      </c>
      <c r="R393" s="286"/>
      <c r="S393" s="286"/>
      <c r="T393" s="286"/>
      <c r="U393" s="286"/>
      <c r="V393" s="286"/>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286"/>
      <c r="BQ393" s="286"/>
      <c r="BR393" s="286"/>
      <c r="BS393" s="286"/>
      <c r="BT393" s="286"/>
      <c r="BU393" s="286"/>
      <c r="BV393" s="286"/>
      <c r="BW393" s="286"/>
      <c r="BX393" s="286"/>
      <c r="BY393" s="286"/>
      <c r="BZ393" s="286"/>
      <c r="CA393" s="286"/>
      <c r="CB393" s="286"/>
      <c r="CC393" s="286"/>
      <c r="CD393" s="286"/>
      <c r="CE393" s="286"/>
      <c r="CF393" s="286"/>
      <c r="CG393" s="286"/>
      <c r="CH393" s="286"/>
      <c r="CI393" s="286"/>
      <c r="CJ393" s="286"/>
    </row>
    <row r="394" spans="1:88" ht="45" x14ac:dyDescent="0.25">
      <c r="A394" s="329"/>
      <c r="B394" s="297" t="s">
        <v>1377</v>
      </c>
      <c r="C394" s="370" t="s">
        <v>1585</v>
      </c>
      <c r="D394" s="329" t="s">
        <v>950</v>
      </c>
      <c r="E394" s="367"/>
      <c r="F394" s="367"/>
      <c r="G394" s="367"/>
      <c r="H394" s="367">
        <v>245</v>
      </c>
      <c r="I394" s="367">
        <v>444</v>
      </c>
      <c r="J394" s="367">
        <v>533</v>
      </c>
      <c r="K394" s="367">
        <v>521</v>
      </c>
      <c r="L394" s="367">
        <v>87</v>
      </c>
      <c r="M394" s="367">
        <v>30</v>
      </c>
      <c r="N394" s="367">
        <v>30</v>
      </c>
      <c r="O394" s="283"/>
      <c r="P394" s="286">
        <f t="shared" si="564"/>
        <v>521</v>
      </c>
      <c r="Q394" s="286">
        <f t="shared" si="564"/>
        <v>568</v>
      </c>
      <c r="R394" s="302">
        <v>0</v>
      </c>
      <c r="S394" s="286">
        <v>0</v>
      </c>
      <c r="T394" s="286"/>
      <c r="U394" s="302">
        <v>5</v>
      </c>
      <c r="V394" s="302">
        <v>13</v>
      </c>
      <c r="W394" s="286"/>
      <c r="X394" s="302">
        <v>17</v>
      </c>
      <c r="Y394" s="302">
        <v>28</v>
      </c>
      <c r="Z394" s="286"/>
      <c r="AA394" s="286">
        <v>0</v>
      </c>
      <c r="AB394" s="286">
        <v>0</v>
      </c>
      <c r="AC394" s="286"/>
      <c r="AD394" s="302">
        <v>122</v>
      </c>
      <c r="AE394" s="302">
        <v>0</v>
      </c>
      <c r="AF394" s="286"/>
      <c r="AG394" s="302">
        <v>13</v>
      </c>
      <c r="AH394" s="302">
        <v>15</v>
      </c>
      <c r="AI394" s="286"/>
      <c r="AJ394" s="302">
        <v>52</v>
      </c>
      <c r="AK394" s="302">
        <v>53</v>
      </c>
      <c r="AL394" s="286"/>
      <c r="AM394" s="302">
        <v>97</v>
      </c>
      <c r="AN394" s="302">
        <v>142</v>
      </c>
      <c r="AO394" s="286"/>
      <c r="AP394" s="302">
        <v>18</v>
      </c>
      <c r="AQ394" s="302">
        <v>15</v>
      </c>
      <c r="AR394" s="286"/>
      <c r="AS394" s="302">
        <v>0</v>
      </c>
      <c r="AT394" s="286">
        <v>9</v>
      </c>
      <c r="AU394" s="286"/>
      <c r="AV394" s="302">
        <v>3</v>
      </c>
      <c r="AW394" s="286">
        <v>15</v>
      </c>
      <c r="AX394" s="286"/>
      <c r="AY394" s="302">
        <v>79</v>
      </c>
      <c r="AZ394" s="302">
        <v>128</v>
      </c>
      <c r="BA394" s="286"/>
      <c r="BB394" s="302">
        <v>9</v>
      </c>
      <c r="BC394" s="302">
        <v>0</v>
      </c>
      <c r="BD394" s="286"/>
      <c r="BE394" s="302">
        <v>0</v>
      </c>
      <c r="BF394" s="302">
        <v>0</v>
      </c>
      <c r="BG394" s="286"/>
      <c r="BH394" s="302">
        <v>17</v>
      </c>
      <c r="BI394" s="302">
        <v>22</v>
      </c>
      <c r="BJ394" s="286"/>
      <c r="BK394" s="302">
        <v>12</v>
      </c>
      <c r="BL394" s="286">
        <v>17</v>
      </c>
      <c r="BM394" s="286"/>
      <c r="BN394" s="302">
        <v>0</v>
      </c>
      <c r="BO394" s="302">
        <v>5</v>
      </c>
      <c r="BP394" s="286"/>
      <c r="BQ394" s="302">
        <v>17</v>
      </c>
      <c r="BR394" s="286">
        <v>20</v>
      </c>
      <c r="BS394" s="286"/>
      <c r="BT394" s="302">
        <v>0</v>
      </c>
      <c r="BU394" s="286">
        <v>0</v>
      </c>
      <c r="BV394" s="286"/>
      <c r="BW394" s="302">
        <v>19</v>
      </c>
      <c r="BX394" s="302">
        <v>29</v>
      </c>
      <c r="BY394" s="286"/>
      <c r="BZ394" s="302">
        <v>37</v>
      </c>
      <c r="CA394" s="302">
        <v>43</v>
      </c>
      <c r="CB394" s="286"/>
      <c r="CC394" s="302">
        <v>4</v>
      </c>
      <c r="CD394" s="302">
        <v>14</v>
      </c>
      <c r="CE394" s="286"/>
      <c r="CF394" s="302">
        <v>0</v>
      </c>
      <c r="CG394" s="302">
        <v>0</v>
      </c>
      <c r="CH394" s="286"/>
      <c r="CI394" s="286">
        <v>0</v>
      </c>
      <c r="CJ394" s="286">
        <v>0</v>
      </c>
    </row>
    <row r="395" spans="1:88" ht="45" x14ac:dyDescent="0.25">
      <c r="A395" s="329" t="s">
        <v>1378</v>
      </c>
      <c r="B395" s="96" t="s">
        <v>1379</v>
      </c>
      <c r="C395" s="329" t="s">
        <v>1399</v>
      </c>
      <c r="D395" s="329"/>
      <c r="E395" s="367"/>
      <c r="F395" s="367"/>
      <c r="G395" s="367"/>
      <c r="H395" s="367"/>
      <c r="I395" s="367"/>
      <c r="J395" s="367"/>
      <c r="K395" s="367"/>
      <c r="L395" s="367"/>
      <c r="M395" s="367"/>
      <c r="N395" s="367"/>
      <c r="CG395" s="304"/>
    </row>
    <row r="396" spans="1:88" ht="30" x14ac:dyDescent="0.25">
      <c r="A396" s="329"/>
      <c r="B396" s="297" t="s">
        <v>1363</v>
      </c>
      <c r="C396" s="368"/>
      <c r="D396" s="329"/>
      <c r="E396" s="367"/>
      <c r="F396" s="367"/>
      <c r="G396" s="367"/>
      <c r="H396" s="369"/>
      <c r="I396" s="369"/>
      <c r="J396" s="369"/>
      <c r="K396" s="369"/>
      <c r="L396" s="369"/>
      <c r="M396" s="369"/>
      <c r="N396" s="369"/>
    </row>
    <row r="397" spans="1:88" x14ac:dyDescent="0.25">
      <c r="A397" s="329"/>
      <c r="B397" s="297" t="s">
        <v>1364</v>
      </c>
      <c r="C397" s="368"/>
      <c r="D397" s="329" t="s">
        <v>8</v>
      </c>
      <c r="E397" s="367"/>
      <c r="F397" s="367"/>
      <c r="G397" s="367"/>
      <c r="H397" s="369">
        <f>H413/(H412+H421+H426)*100</f>
        <v>9.2378752886836022</v>
      </c>
      <c r="I397" s="369">
        <f>I413/(I412+I421+I426)*100</f>
        <v>6.4748201438848918</v>
      </c>
      <c r="J397" s="369">
        <f>J413/($J$412+$J$422+$J$426)*100</f>
        <v>4.778761061946903</v>
      </c>
      <c r="K397" s="369">
        <f t="shared" ref="K397:K402" si="565">K413/($K$412+$K$422+$K$426)*100</f>
        <v>6.557377049180328</v>
      </c>
      <c r="L397" s="369">
        <f t="shared" ref="L397:M409" si="566">L413/($L$412+$L$422+$L$426)*100</f>
        <v>0</v>
      </c>
      <c r="M397" s="369">
        <f t="shared" si="566"/>
        <v>0</v>
      </c>
      <c r="N397" s="369">
        <f>N413/($N$412+$N$422+$N$426)*100</f>
        <v>0</v>
      </c>
      <c r="P397" s="369">
        <f>P413/(P412+P422+P426)*100</f>
        <v>6.1151079136690649</v>
      </c>
      <c r="Q397" s="369">
        <f>Q413/(Q412+Q422+Q426)*100</f>
        <v>5.1437216338880489</v>
      </c>
      <c r="R397" s="369">
        <f>R413/(R412+R422+R426)*100</f>
        <v>0</v>
      </c>
      <c r="S397" s="369">
        <f>S413/(S412+S422+S426)*100</f>
        <v>0</v>
      </c>
      <c r="U397" s="369">
        <f>U413/(U412+U422+U426)*100</f>
        <v>0</v>
      </c>
      <c r="V397" s="369">
        <f>V413/(V412+V422+V426)*100</f>
        <v>0</v>
      </c>
      <c r="X397" s="369">
        <f>X413/(X412+X422+X426)*100</f>
        <v>0</v>
      </c>
      <c r="Y397" s="369">
        <f>Y413/(Y412+Y422+Y426)*100</f>
        <v>0</v>
      </c>
      <c r="AA397" s="369">
        <f>AA413/(AA412+AA422+AA426)*100</f>
        <v>0</v>
      </c>
      <c r="AB397" s="369">
        <f>AB413/(AB412+AB422+AB426)*100</f>
        <v>0</v>
      </c>
      <c r="AD397" s="369">
        <f>AD413/(AD412+AD422+AD426)*100</f>
        <v>0</v>
      </c>
      <c r="AE397" s="369">
        <f>AE413/(AE412+AE422+AE426)*100</f>
        <v>0</v>
      </c>
      <c r="AG397" s="369">
        <f>AG413/(AG412+AG422+AG426)*100</f>
        <v>0</v>
      </c>
      <c r="AH397" s="369">
        <f>AH413/(AH412+AH422+AH426)*100</f>
        <v>0</v>
      </c>
      <c r="AJ397" s="369">
        <f>AJ413/(AJ412+AJ422+AJ426)*100</f>
        <v>0</v>
      </c>
      <c r="AK397" s="369">
        <f>AK413/(AK412+AK422+AK426)*100</f>
        <v>0</v>
      </c>
      <c r="AM397" s="369">
        <f>AM413/(AM412+AM422+AM426)*100</f>
        <v>0</v>
      </c>
      <c r="AN397" s="369">
        <f>AN413/(AN412+AN422+AN426)*100</f>
        <v>0</v>
      </c>
      <c r="AP397" s="369">
        <f>AP413/(AP412+AP422+AP426)*100</f>
        <v>0</v>
      </c>
      <c r="AQ397" s="369">
        <f>AQ413/(AQ412+AQ422+AQ426)*100</f>
        <v>0</v>
      </c>
      <c r="AS397" s="369">
        <f>AS413/(AS412+AS422+AS426)*100</f>
        <v>0</v>
      </c>
      <c r="AT397" s="369">
        <f>AT413/(AT412+AT422+AT426)*100</f>
        <v>0</v>
      </c>
      <c r="AV397" s="369">
        <f>AV413/(AV412+AV422+AV426)*100</f>
        <v>0</v>
      </c>
      <c r="AW397" s="369">
        <f>AW413/(AW412+AW422+AW426)*100</f>
        <v>0</v>
      </c>
      <c r="AY397" s="369">
        <f>AY413/(AY412+AY422+AY426)*100</f>
        <v>0</v>
      </c>
      <c r="AZ397" s="369">
        <f>AZ413/(AZ412+AZ422+AZ426)*100</f>
        <v>0</v>
      </c>
      <c r="BB397" s="369">
        <f>BB413/(BB412+BB422+BB426)*100</f>
        <v>0</v>
      </c>
      <c r="BC397" s="369">
        <f>BC413/(BC412+BC422+BC426)*100</f>
        <v>0</v>
      </c>
      <c r="BE397" s="369">
        <f>BE413/(BE412+BE422+BE426)*100</f>
        <v>0</v>
      </c>
      <c r="BF397" s="369">
        <f>BF413/(BF412+BF422+BF426)*100</f>
        <v>0</v>
      </c>
      <c r="BH397" s="369">
        <f>BH413/(BH412+BH422+BH426)*100</f>
        <v>0</v>
      </c>
      <c r="BI397" s="369">
        <f>BI413/(BI412+BI422+BI426)*100</f>
        <v>0</v>
      </c>
      <c r="BK397" s="369">
        <f>BK413/(BK412+BK422+BK426)*100</f>
        <v>0</v>
      </c>
      <c r="BL397" s="369">
        <f>BL413/(BL412+BL422+BL426)*100</f>
        <v>0</v>
      </c>
      <c r="BN397" s="369">
        <f>BN413/(BN412+BN422+BN426)*100</f>
        <v>0</v>
      </c>
      <c r="BO397" s="369">
        <f>BO413/(BO412+BO422+BO426)*100</f>
        <v>0</v>
      </c>
      <c r="BQ397" s="369">
        <f>BQ413/(BQ412+BQ422+BQ426)*100</f>
        <v>0</v>
      </c>
      <c r="BR397" s="369">
        <f>BR413/(BR412+BR422+BR426)*100</f>
        <v>0</v>
      </c>
      <c r="BT397" s="369">
        <f>BT413/(BT412+BT422+BT426)*100</f>
        <v>0</v>
      </c>
      <c r="BU397" s="369">
        <f>BU413/(BU412+BU422+BU426)*100</f>
        <v>0</v>
      </c>
      <c r="BW397" s="369">
        <f>BW413/(BW412+BW422+BW426)*100</f>
        <v>0</v>
      </c>
      <c r="BX397" s="369">
        <f>BX413/(BX412+BX422+BX426)*100</f>
        <v>0</v>
      </c>
      <c r="BZ397" s="369">
        <f>BZ413/(BZ412+BZ422+BZ426)*100</f>
        <v>0</v>
      </c>
      <c r="CA397" s="369">
        <f>CA413/(CA412+CA422+CA426)*100</f>
        <v>0</v>
      </c>
      <c r="CC397" s="369">
        <f>CC413/(CC412+CC422+CC426)*100</f>
        <v>0</v>
      </c>
      <c r="CD397" s="369">
        <f>CD413/(CD412+CD422+CD426)*100</f>
        <v>0</v>
      </c>
      <c r="CF397" s="369">
        <f>CF413/(CF412+CF422+CF426)*100</f>
        <v>73.91304347826086</v>
      </c>
      <c r="CG397" s="369">
        <f>CG413/(CG412+CG422+CG426)*100</f>
        <v>65.384615384615387</v>
      </c>
      <c r="CI397" s="369" t="e">
        <f>CI413/(CI412+CI422+CI426)*100</f>
        <v>#DIV/0!</v>
      </c>
      <c r="CJ397" s="369" t="e">
        <f>CJ413/(CJ412+CJ422+CJ426)*100</f>
        <v>#DIV/0!</v>
      </c>
    </row>
    <row r="398" spans="1:88" x14ac:dyDescent="0.25">
      <c r="A398" s="329"/>
      <c r="B398" s="297" t="s">
        <v>1365</v>
      </c>
      <c r="C398" s="368"/>
      <c r="D398" s="329" t="s">
        <v>8</v>
      </c>
      <c r="E398" s="367"/>
      <c r="F398" s="367"/>
      <c r="G398" s="367"/>
      <c r="H398" s="369">
        <f>H414/(H412+H421+H426)*100</f>
        <v>23.094688221709006</v>
      </c>
      <c r="I398" s="369">
        <f>I414/(I412+I421+I426)*100</f>
        <v>18.165467625899282</v>
      </c>
      <c r="J398" s="369">
        <f t="shared" ref="J398:K410" si="567">J414/($J$412+$J$422+$J$426)*100</f>
        <v>22.123893805309734</v>
      </c>
      <c r="K398" s="369">
        <f t="shared" si="565"/>
        <v>20.765027322404372</v>
      </c>
      <c r="L398" s="369">
        <f t="shared" si="566"/>
        <v>33.333333333333329</v>
      </c>
      <c r="M398" s="369">
        <f>M414/($M$412+$M$422+$M$426)*100</f>
        <v>45.454545454545453</v>
      </c>
      <c r="N398" s="369">
        <f>N414/($N$412+$N$422+$N$426)*100</f>
        <v>25</v>
      </c>
      <c r="P398" s="369">
        <f>P414/(P412+P422+P426)*100</f>
        <v>20.503597122302157</v>
      </c>
      <c r="Q398" s="369">
        <f>Q414/(Q412+Q422+Q426)*100</f>
        <v>19.062027231467475</v>
      </c>
      <c r="R398" s="369">
        <f>R414/(R412+R422+R426)*100</f>
        <v>7.1428571428571423</v>
      </c>
      <c r="S398" s="369">
        <f>S414/(S412+S422+S426)*100</f>
        <v>8.3333333333333321</v>
      </c>
      <c r="U398" s="369">
        <f>U414/(U412+U422+U426)*100</f>
        <v>0</v>
      </c>
      <c r="V398" s="369">
        <f>V414/(V412+V422+V426)*100</f>
        <v>0</v>
      </c>
      <c r="X398" s="369">
        <f>X414/(X412+X422+X426)*100</f>
        <v>20</v>
      </c>
      <c r="Y398" s="369">
        <f>Y414/(Y412+Y422+Y426)*100</f>
        <v>0</v>
      </c>
      <c r="AA398" s="369">
        <f>AA414/(AA412+AA422+AA426)*100</f>
        <v>30</v>
      </c>
      <c r="AB398" s="369">
        <f>AB414/(AB412+AB422+AB426)*100</f>
        <v>50</v>
      </c>
      <c r="AD398" s="369">
        <f>AD414/(AD412+AD422+AD426)*100</f>
        <v>0</v>
      </c>
      <c r="AE398" s="369">
        <f>AE414/(AE412+AE422+AE426)*100</f>
        <v>75</v>
      </c>
      <c r="AG398" s="369">
        <f>AG414/(AG412+AG422+AG426)*100</f>
        <v>60</v>
      </c>
      <c r="AH398" s="369">
        <f>AH414/(AH412+AH422+AH426)*100</f>
        <v>40</v>
      </c>
      <c r="AJ398" s="369">
        <f>AJ414/(AJ412+AJ422+AJ426)*100</f>
        <v>20.930232558139537</v>
      </c>
      <c r="AK398" s="369">
        <f>AK414/(AK412+AK422+AK426)*100</f>
        <v>19.35483870967742</v>
      </c>
      <c r="AM398" s="369">
        <f>AM414/(AM412+AM422+AM426)*100</f>
        <v>3.0303030303030303</v>
      </c>
      <c r="AN398" s="369">
        <f>AN414/(AN412+AN422+AN426)*100</f>
        <v>5.3571428571428568</v>
      </c>
      <c r="AP398" s="369">
        <f>AP414/(AP412+AP422+AP426)*100</f>
        <v>0</v>
      </c>
      <c r="AQ398" s="369">
        <f>AQ414/(AQ412+AQ422+AQ426)*100</f>
        <v>0</v>
      </c>
      <c r="AS398" s="369">
        <f>AS414/(AS412+AS422+AS426)*100</f>
        <v>72.41379310344827</v>
      </c>
      <c r="AT398" s="369">
        <f>AT414/(AT412+AT422+AT426)*100</f>
        <v>46.666666666666664</v>
      </c>
      <c r="AV398" s="369">
        <f>AV414/(AV412+AV422+AV426)*100</f>
        <v>0</v>
      </c>
      <c r="AW398" s="369">
        <f>AW414/(AW412+AW422+AW426)*100</f>
        <v>12.5</v>
      </c>
      <c r="AY398" s="369">
        <f>AY414/(AY412+AY422+AY426)*100</f>
        <v>15.384615384615385</v>
      </c>
      <c r="AZ398" s="369">
        <f>AZ414/(AZ412+AZ422+AZ426)*100</f>
        <v>11.538461538461538</v>
      </c>
      <c r="BB398" s="369">
        <f>BB414/(BB412+BB422+BB426)*100</f>
        <v>42.857142857142854</v>
      </c>
      <c r="BC398" s="369">
        <f>BC414/(BC412+BC422+BC426)*100</f>
        <v>34.782608695652172</v>
      </c>
      <c r="BE398" s="369">
        <f>BE414/(BE412+BE422+BE426)*100</f>
        <v>25.373134328358208</v>
      </c>
      <c r="BF398" s="369">
        <f>BF414/(BF412+BF422+BF426)*100</f>
        <v>26.436781609195403</v>
      </c>
      <c r="BH398" s="369">
        <f>BH414/(BH412+BH422+BH426)*100</f>
        <v>14.685314685314685</v>
      </c>
      <c r="BI398" s="369">
        <f>BI414/(BI412+BI422+BI426)*100</f>
        <v>19.108280254777071</v>
      </c>
      <c r="BK398" s="369">
        <f>BK414/(BK412+BK422+BK426)*100</f>
        <v>0</v>
      </c>
      <c r="BL398" s="369">
        <f>BL414/(BL412+BL422+BL426)*100</f>
        <v>0</v>
      </c>
      <c r="BN398" s="369">
        <f>BN414/(BN412+BN422+BN426)*100</f>
        <v>28.571428571428569</v>
      </c>
      <c r="BO398" s="369">
        <f>BO414/(BO412+BO422+BO426)*100</f>
        <v>23.076923076923077</v>
      </c>
      <c r="BQ398" s="369">
        <f>BQ414/(BQ412+BQ422+BQ426)*100</f>
        <v>0</v>
      </c>
      <c r="BR398" s="369">
        <f>BR414/(BR412+BR422+BR426)*100</f>
        <v>0</v>
      </c>
      <c r="BT398" s="369">
        <f>BT414/(BT412+BT422+BT426)*100</f>
        <v>0</v>
      </c>
      <c r="BU398" s="369">
        <f>BU414/(BU412+BU422+BU426)*100</f>
        <v>0</v>
      </c>
      <c r="BW398" s="369">
        <f>BW414/(BW412+BW422+BW426)*100</f>
        <v>63.636363636363633</v>
      </c>
      <c r="BX398" s="369">
        <f>BX414/(BX412+BX422+BX426)*100</f>
        <v>33.333333333333329</v>
      </c>
      <c r="BZ398" s="369">
        <f>BZ414/(BZ412+BZ422+BZ426)*100</f>
        <v>11.111111111111111</v>
      </c>
      <c r="CA398" s="369">
        <f>CA414/(CA412+CA422+CA426)*100</f>
        <v>0</v>
      </c>
      <c r="CC398" s="369">
        <f>CC414/(CC412+CC422+CC426)*100</f>
        <v>33.333333333333329</v>
      </c>
      <c r="CD398" s="369">
        <f>CD414/(CD412+CD422+CD426)*100</f>
        <v>10</v>
      </c>
      <c r="CF398" s="369">
        <f>CF414/(CF412+CF422+CF426)*100</f>
        <v>26.086956521739129</v>
      </c>
      <c r="CG398" s="369">
        <f>CG414/(CG412+CG422+CG426)*100</f>
        <v>15.384615384615385</v>
      </c>
      <c r="CI398" s="369" t="e">
        <f>CI414/(CI412+CI422+CI426)*100</f>
        <v>#DIV/0!</v>
      </c>
      <c r="CJ398" s="369" t="e">
        <f>CJ414/(CJ412+CJ422+CJ426)*100</f>
        <v>#DIV/0!</v>
      </c>
    </row>
    <row r="399" spans="1:88" x14ac:dyDescent="0.25">
      <c r="A399" s="329"/>
      <c r="B399" s="297" t="s">
        <v>1366</v>
      </c>
      <c r="C399" s="368"/>
      <c r="D399" s="329" t="s">
        <v>8</v>
      </c>
      <c r="E399" s="367"/>
      <c r="F399" s="367"/>
      <c r="G399" s="367"/>
      <c r="H399" s="369">
        <f>H415/(H412+H421+H426)*100</f>
        <v>4.3879907621247112</v>
      </c>
      <c r="I399" s="369">
        <f>I415/(I412+I421+I426)*100</f>
        <v>3.7769784172661871</v>
      </c>
      <c r="J399" s="369">
        <f t="shared" si="567"/>
        <v>3.0088495575221237</v>
      </c>
      <c r="K399" s="369">
        <f t="shared" si="565"/>
        <v>3.8251366120218582</v>
      </c>
      <c r="L399" s="369">
        <f t="shared" si="566"/>
        <v>0</v>
      </c>
      <c r="M399" s="369">
        <f t="shared" ref="M399:M410" si="568">M415/($M$412+$M$422+$M$426)*100</f>
        <v>0</v>
      </c>
      <c r="N399" s="369">
        <f t="shared" ref="N399:N410" si="569">N415/($N$412+$N$422+$N$426)*100</f>
        <v>0</v>
      </c>
      <c r="P399" s="369">
        <f>P415/(P412+P422+P426)*100</f>
        <v>4.1366906474820144</v>
      </c>
      <c r="Q399" s="369">
        <f>Q415/(Q412+Q422+Q426)*100</f>
        <v>3.6308623298033282</v>
      </c>
      <c r="R399" s="369">
        <f>R415/(R412+R422+R426)*100</f>
        <v>0</v>
      </c>
      <c r="S399" s="369">
        <f>S415/(S412+S422+S426)*100</f>
        <v>0</v>
      </c>
      <c r="U399" s="369">
        <f>U415/(U412+U422+U426)*100</f>
        <v>0</v>
      </c>
      <c r="V399" s="369">
        <f>V415/(V412+V422+V426)*100</f>
        <v>0</v>
      </c>
      <c r="X399" s="369">
        <f>X415/(X412+X422+X426)*100</f>
        <v>0</v>
      </c>
      <c r="Y399" s="369">
        <f>Y415/(Y412+Y422+Y426)*100</f>
        <v>0</v>
      </c>
      <c r="AA399" s="369">
        <f>AA415/(AA412+AA422+AA426)*100</f>
        <v>0</v>
      </c>
      <c r="AB399" s="369">
        <f>AB415/(AB412+AB422+AB426)*100</f>
        <v>0</v>
      </c>
      <c r="AD399" s="369">
        <f>AD415/(AD412+AD422+AD426)*100</f>
        <v>0</v>
      </c>
      <c r="AE399" s="369">
        <f>AE415/(AE412+AE422+AE426)*100</f>
        <v>0</v>
      </c>
      <c r="AG399" s="369">
        <f>AG415/(AG412+AG422+AG426)*100</f>
        <v>0</v>
      </c>
      <c r="AH399" s="369">
        <f>AH415/(AH412+AH422+AH426)*100</f>
        <v>0</v>
      </c>
      <c r="AJ399" s="369">
        <f>AJ415/(AJ412+AJ422+AJ426)*100</f>
        <v>0</v>
      </c>
      <c r="AK399" s="369">
        <f>AK415/(AK412+AK422+AK426)*100</f>
        <v>0</v>
      </c>
      <c r="AM399" s="369">
        <f>AM415/(AM412+AM422+AM426)*100</f>
        <v>0</v>
      </c>
      <c r="AN399" s="369">
        <f>AN415/(AN412+AN422+AN426)*100</f>
        <v>0</v>
      </c>
      <c r="AP399" s="369">
        <f>AP415/(AP412+AP422+AP426)*100</f>
        <v>0</v>
      </c>
      <c r="AQ399" s="369">
        <f>AQ415/(AQ412+AQ422+AQ426)*100</f>
        <v>0</v>
      </c>
      <c r="AS399" s="369">
        <f>AS415/(AS412+AS422+AS426)*100</f>
        <v>6.8965517241379306</v>
      </c>
      <c r="AT399" s="369">
        <f>AT415/(AT412+AT422+AT426)*100</f>
        <v>11.111111111111111</v>
      </c>
      <c r="AV399" s="369">
        <f>AV415/(AV412+AV422+AV426)*100</f>
        <v>0</v>
      </c>
      <c r="AW399" s="369">
        <f>AW415/(AW412+AW422+AW426)*100</f>
        <v>0</v>
      </c>
      <c r="AY399" s="369">
        <f>AY415/(AY412+AY422+AY426)*100</f>
        <v>7.6923076923076925</v>
      </c>
      <c r="AZ399" s="369">
        <f>AZ415/(AZ412+AZ422+AZ426)*100</f>
        <v>7.6923076923076925</v>
      </c>
      <c r="BB399" s="369">
        <f>BB415/(BB412+BB422+BB426)*100</f>
        <v>14.285714285714285</v>
      </c>
      <c r="BC399" s="369">
        <f>BC415/(BC412+BC422+BC426)*100</f>
        <v>4.3478260869565215</v>
      </c>
      <c r="BE399" s="369">
        <f>BE415/(BE412+BE422+BE426)*100</f>
        <v>1.4925373134328357</v>
      </c>
      <c r="BF399" s="369">
        <f>BF415/(BF412+BF422+BF426)*100</f>
        <v>0</v>
      </c>
      <c r="BH399" s="369">
        <f>BH415/(BH412+BH422+BH426)*100</f>
        <v>9.0909090909090917</v>
      </c>
      <c r="BI399" s="369">
        <f>BI415/(BI412+BI422+BI426)*100</f>
        <v>8.2802547770700627</v>
      </c>
      <c r="BK399" s="369">
        <f>BK415/(BK412+BK422+BK426)*100</f>
        <v>0</v>
      </c>
      <c r="BL399" s="369">
        <f>BL415/(BL412+BL422+BL426)*100</f>
        <v>0</v>
      </c>
      <c r="BN399" s="369">
        <f>BN415/(BN412+BN422+BN426)*100</f>
        <v>0</v>
      </c>
      <c r="BO399" s="369">
        <f>BO415/(BO412+BO422+BO426)*100</f>
        <v>0</v>
      </c>
      <c r="BQ399" s="369">
        <f>BQ415/(BQ412+BQ422+BQ426)*100</f>
        <v>0</v>
      </c>
      <c r="BR399" s="369">
        <f>BR415/(BR412+BR422+BR426)*100</f>
        <v>0</v>
      </c>
      <c r="BT399" s="369">
        <f>BT415/(BT412+BT422+BT426)*100</f>
        <v>27.27272727272727</v>
      </c>
      <c r="BU399" s="369">
        <f>BU415/(BU412+BU422+BU426)*100</f>
        <v>25</v>
      </c>
      <c r="BW399" s="369">
        <f>BW415/(BW412+BW422+BW426)*100</f>
        <v>0</v>
      </c>
      <c r="BX399" s="369">
        <f>BX415/(BX412+BX422+BX426)*100</f>
        <v>0</v>
      </c>
      <c r="BZ399" s="369">
        <f>BZ415/(BZ412+BZ422+BZ426)*100</f>
        <v>0</v>
      </c>
      <c r="CA399" s="369">
        <f>CA415/(CA412+CA422+CA426)*100</f>
        <v>0</v>
      </c>
      <c r="CC399" s="369">
        <f>CC415/(CC412+CC422+CC426)*100</f>
        <v>0</v>
      </c>
      <c r="CD399" s="369">
        <f>CD415/(CD412+CD422+CD426)*100</f>
        <v>0</v>
      </c>
      <c r="CF399" s="369">
        <f>CF415/(CF412+CF422+CF426)*100</f>
        <v>0</v>
      </c>
      <c r="CG399" s="369">
        <f>CG415/(CG412+CG422+CG426)*100</f>
        <v>0</v>
      </c>
      <c r="CI399" s="369" t="e">
        <f>CI415/(CI412+CI422+CI426)*100</f>
        <v>#DIV/0!</v>
      </c>
      <c r="CJ399" s="369" t="e">
        <f>CJ415/(CJ412+CJ422+CJ426)*100</f>
        <v>#DIV/0!</v>
      </c>
    </row>
    <row r="400" spans="1:88" x14ac:dyDescent="0.25">
      <c r="A400" s="329"/>
      <c r="B400" s="297" t="s">
        <v>1367</v>
      </c>
      <c r="C400" s="368"/>
      <c r="D400" s="329" t="s">
        <v>8</v>
      </c>
      <c r="E400" s="367"/>
      <c r="F400" s="367"/>
      <c r="G400" s="367"/>
      <c r="H400" s="369">
        <f>H416/(H412+H421+H426)*100</f>
        <v>14.549653579676674</v>
      </c>
      <c r="I400" s="369">
        <f>I416/(I412+I421+I426)*100</f>
        <v>11.151079136690647</v>
      </c>
      <c r="J400" s="369">
        <f t="shared" si="567"/>
        <v>12.035398230088495</v>
      </c>
      <c r="K400" s="369">
        <f t="shared" si="565"/>
        <v>14.389799635701275</v>
      </c>
      <c r="L400" s="369">
        <f t="shared" si="566"/>
        <v>0</v>
      </c>
      <c r="M400" s="369">
        <f t="shared" si="568"/>
        <v>0</v>
      </c>
      <c r="N400" s="369">
        <f t="shared" si="569"/>
        <v>0</v>
      </c>
      <c r="P400" s="369">
        <f>P416/(P412+P422+P426)*100</f>
        <v>14.208633093525179</v>
      </c>
      <c r="Q400" s="369">
        <f>Q416/(Q412+Q422+Q426)*100</f>
        <v>14.826021180030258</v>
      </c>
      <c r="R400" s="369">
        <f>R416/(R412+R422+R426)*100</f>
        <v>0</v>
      </c>
      <c r="S400" s="369">
        <f>S416/(S412+S422+S426)*100</f>
        <v>0</v>
      </c>
      <c r="U400" s="369">
        <f>U416/(U412+U422+U426)*100</f>
        <v>0</v>
      </c>
      <c r="V400" s="369">
        <f>V416/(V412+V422+V426)*100</f>
        <v>0</v>
      </c>
      <c r="X400" s="369">
        <f>X416/(X412+X422+X426)*100</f>
        <v>0</v>
      </c>
      <c r="Y400" s="369">
        <f>Y416/(Y412+Y422+Y426)*100</f>
        <v>0</v>
      </c>
      <c r="AA400" s="369">
        <f>AA416/(AA412+AA422+AA426)*100</f>
        <v>0</v>
      </c>
      <c r="AB400" s="369">
        <f>AB416/(AB412+AB422+AB426)*100</f>
        <v>0</v>
      </c>
      <c r="AD400" s="369">
        <f>AD416/(AD412+AD422+AD426)*100</f>
        <v>0</v>
      </c>
      <c r="AE400" s="369">
        <f>AE416/(AE412+AE422+AE426)*100</f>
        <v>0</v>
      </c>
      <c r="AG400" s="369">
        <f>AG416/(AG412+AG422+AG426)*100</f>
        <v>0</v>
      </c>
      <c r="AH400" s="369">
        <f>AH416/(AH412+AH422+AH426)*100</f>
        <v>0</v>
      </c>
      <c r="AJ400" s="369">
        <f>AJ416/(AJ412+AJ422+AJ426)*100</f>
        <v>0</v>
      </c>
      <c r="AK400" s="369">
        <f>AK416/(AK412+AK422+AK426)*100</f>
        <v>0</v>
      </c>
      <c r="AM400" s="369">
        <f>AM416/(AM412+AM422+AM426)*100</f>
        <v>30.303030303030305</v>
      </c>
      <c r="AN400" s="369">
        <f>AN416/(AN412+AN422+AN426)*100</f>
        <v>8.9285714285714288</v>
      </c>
      <c r="AP400" s="369">
        <f>AP416/(AP412+AP422+AP426)*100</f>
        <v>0</v>
      </c>
      <c r="AQ400" s="369">
        <f>AQ416/(AQ412+AQ422+AQ426)*100</f>
        <v>0</v>
      </c>
      <c r="AS400" s="369">
        <f>AS416/(AS412+AS422+AS426)*100</f>
        <v>0</v>
      </c>
      <c r="AT400" s="369">
        <f>AT416/(AT412+AT422+AT426)*100</f>
        <v>0</v>
      </c>
      <c r="AV400" s="369">
        <f>AV416/(AV412+AV422+AV426)*100</f>
        <v>0</v>
      </c>
      <c r="AW400" s="369">
        <f>AW416/(AW412+AW422+AW426)*100</f>
        <v>0</v>
      </c>
      <c r="AY400" s="369">
        <f>AY416/(AY412+AY422+AY426)*100</f>
        <v>0</v>
      </c>
      <c r="AZ400" s="369">
        <f>AZ416/(AZ412+AZ422+AZ426)*100</f>
        <v>0</v>
      </c>
      <c r="BB400" s="369">
        <f>BB416/(BB412+BB422+BB426)*100</f>
        <v>0</v>
      </c>
      <c r="BC400" s="369">
        <f>BC416/(BC412+BC422+BC426)*100</f>
        <v>43.478260869565219</v>
      </c>
      <c r="BE400" s="369">
        <f>BE416/(BE412+BE422+BE426)*100</f>
        <v>13.432835820895523</v>
      </c>
      <c r="BF400" s="369">
        <f>BF416/(BF412+BF422+BF426)*100</f>
        <v>22.988505747126435</v>
      </c>
      <c r="BH400" s="369">
        <f>BH416/(BH412+BH422+BH426)*100</f>
        <v>32.167832167832167</v>
      </c>
      <c r="BI400" s="369">
        <f>BI416/(BI412+BI422+BI426)*100</f>
        <v>34.394904458598724</v>
      </c>
      <c r="BK400" s="369">
        <f>BK416/(BK412+BK422+BK426)*100</f>
        <v>0</v>
      </c>
      <c r="BL400" s="369">
        <f>BL416/(BL412+BL422+BL426)*100</f>
        <v>0</v>
      </c>
      <c r="BN400" s="369">
        <f>BN416/(BN412+BN422+BN426)*100</f>
        <v>28.571428571428569</v>
      </c>
      <c r="BO400" s="369">
        <f>BO416/(BO412+BO422+BO426)*100</f>
        <v>0</v>
      </c>
      <c r="BQ400" s="369">
        <f>BQ416/(BQ412+BQ422+BQ426)*100</f>
        <v>0</v>
      </c>
      <c r="BR400" s="369">
        <f>BR416/(BR412+BR422+BR426)*100</f>
        <v>0</v>
      </c>
      <c r="BT400" s="369">
        <f>BT416/(BT412+BT422+BT426)*100</f>
        <v>72.727272727272734</v>
      </c>
      <c r="BU400" s="369">
        <f>BU416/(BU412+BU422+BU426)*100</f>
        <v>75</v>
      </c>
      <c r="BW400" s="369">
        <f>BW416/(BW412+BW422+BW426)*100</f>
        <v>0</v>
      </c>
      <c r="BX400" s="369">
        <f>BX416/(BX412+BX422+BX426)*100</f>
        <v>0</v>
      </c>
      <c r="BZ400" s="369">
        <f>BZ416/(BZ412+BZ422+BZ426)*100</f>
        <v>0</v>
      </c>
      <c r="CA400" s="369">
        <f>CA416/(CA412+CA422+CA426)*100</f>
        <v>0</v>
      </c>
      <c r="CC400" s="369">
        <f>CC416/(CC412+CC422+CC426)*100</f>
        <v>0</v>
      </c>
      <c r="CD400" s="369">
        <f>CD416/(CD412+CD422+CD426)*100</f>
        <v>0</v>
      </c>
      <c r="CF400" s="369">
        <f>CF416/(CF412+CF422+CF426)*100</f>
        <v>0</v>
      </c>
      <c r="CG400" s="369">
        <f>CG416/(CG412+CG422+CG426)*100</f>
        <v>0</v>
      </c>
      <c r="CI400" s="369" t="e">
        <f>CI416/(CI412+CI422+CI426)*100</f>
        <v>#DIV/0!</v>
      </c>
      <c r="CJ400" s="369" t="e">
        <f>CJ416/(CJ412+CJ422+CJ426)*100</f>
        <v>#DIV/0!</v>
      </c>
    </row>
    <row r="401" spans="1:88" x14ac:dyDescent="0.25">
      <c r="A401" s="329"/>
      <c r="B401" s="297" t="s">
        <v>1368</v>
      </c>
      <c r="C401" s="368"/>
      <c r="D401" s="329" t="s">
        <v>8</v>
      </c>
      <c r="E401" s="367"/>
      <c r="F401" s="367"/>
      <c r="G401" s="367"/>
      <c r="H401" s="369">
        <f>H417/(H412+H421+H426)*100</f>
        <v>15.935334872979215</v>
      </c>
      <c r="I401" s="369">
        <f>I417/(I412+I421+I426)*100</f>
        <v>16.546762589928058</v>
      </c>
      <c r="J401" s="369">
        <f t="shared" si="567"/>
        <v>15.752212389380531</v>
      </c>
      <c r="K401" s="369">
        <f t="shared" si="565"/>
        <v>18.397085610200364</v>
      </c>
      <c r="L401" s="369">
        <f t="shared" si="566"/>
        <v>0</v>
      </c>
      <c r="M401" s="369">
        <f t="shared" si="568"/>
        <v>0</v>
      </c>
      <c r="N401" s="369">
        <f t="shared" si="569"/>
        <v>33.333333333333329</v>
      </c>
      <c r="P401" s="369">
        <f>P417/(P412+P422+P426)*100</f>
        <v>18.165467625899282</v>
      </c>
      <c r="Q401" s="369">
        <f>Q417/(Q412+Q422+Q426)*100</f>
        <v>19.213313161875945</v>
      </c>
      <c r="R401" s="369">
        <f>R417/(R412+R422+R426)*100</f>
        <v>57.142857142857139</v>
      </c>
      <c r="S401" s="369">
        <f>S417/(S412+S422+S426)*100</f>
        <v>50</v>
      </c>
      <c r="U401" s="369">
        <f>U417/(U412+U422+U426)*100</f>
        <v>0</v>
      </c>
      <c r="V401" s="369">
        <f>V417/(V412+V422+V426)*100</f>
        <v>0</v>
      </c>
      <c r="X401" s="369">
        <f>X417/(X412+X422+X426)*100</f>
        <v>0</v>
      </c>
      <c r="Y401" s="369">
        <f>Y417/(Y412+Y422+Y426)*100</f>
        <v>0</v>
      </c>
      <c r="AA401" s="369">
        <f>AA417/(AA412+AA422+AA426)*100</f>
        <v>0</v>
      </c>
      <c r="AB401" s="369">
        <f>AB417/(AB412+AB422+AB426)*100</f>
        <v>0</v>
      </c>
      <c r="AD401" s="369">
        <f>AD417/(AD412+AD422+AD426)*100</f>
        <v>0</v>
      </c>
      <c r="AE401" s="369">
        <f>AE417/(AE412+AE422+AE426)*100</f>
        <v>0</v>
      </c>
      <c r="AG401" s="369">
        <f>AG417/(AG412+AG422+AG426)*100</f>
        <v>0</v>
      </c>
      <c r="AH401" s="369">
        <f>AH417/(AH412+AH422+AH426)*100</f>
        <v>0</v>
      </c>
      <c r="AJ401" s="369">
        <f>AJ417/(AJ412+AJ422+AJ426)*100</f>
        <v>2.3255813953488373</v>
      </c>
      <c r="AK401" s="369">
        <f>AK417/(AK412+AK422+AK426)*100</f>
        <v>0</v>
      </c>
      <c r="AM401" s="369">
        <f>AM417/(AM412+AM422+AM426)*100</f>
        <v>15.151515151515152</v>
      </c>
      <c r="AN401" s="369">
        <f>AN417/(AN412+AN422+AN426)*100</f>
        <v>12.5</v>
      </c>
      <c r="AP401" s="369">
        <f>AP417/(AP412+AP422+AP426)*100</f>
        <v>0</v>
      </c>
      <c r="AQ401" s="369">
        <f>AQ417/(AQ412+AQ422+AQ426)*100</f>
        <v>0</v>
      </c>
      <c r="AS401" s="369">
        <f>AS417/(AS412+AS422+AS426)*100</f>
        <v>0</v>
      </c>
      <c r="AT401" s="369">
        <f>AT417/(AT412+AT422+AT426)*100</f>
        <v>2.2222222222222223</v>
      </c>
      <c r="AV401" s="369">
        <f>AV417/(AV412+AV422+AV426)*100</f>
        <v>100</v>
      </c>
      <c r="AW401" s="369">
        <f>AW417/(AW412+AW422+AW426)*100</f>
        <v>62.5</v>
      </c>
      <c r="AY401" s="369">
        <f>AY417/(AY412+AY422+AY426)*100</f>
        <v>53.846153846153847</v>
      </c>
      <c r="AZ401" s="369">
        <f>AZ417/(AZ412+AZ422+AZ426)*100</f>
        <v>46.153846153846153</v>
      </c>
      <c r="BB401" s="369">
        <f>BB417/(BB412+BB422+BB426)*100</f>
        <v>0</v>
      </c>
      <c r="BC401" s="369">
        <f>BC417/(BC412+BC422+BC426)*100</f>
        <v>4.3478260869565215</v>
      </c>
      <c r="BE401" s="369">
        <f>BE417/(BE412+BE422+BE426)*100</f>
        <v>37.313432835820898</v>
      </c>
      <c r="BF401" s="369">
        <f>BF417/(BF412+BF422+BF426)*100</f>
        <v>44.827586206896555</v>
      </c>
      <c r="BH401" s="369">
        <f>BH417/(BH412+BH422+BH426)*100</f>
        <v>27.972027972027973</v>
      </c>
      <c r="BI401" s="369">
        <f>BI417/(BI412+BI422+BI426)*100</f>
        <v>28.02547770700637</v>
      </c>
      <c r="BK401" s="369">
        <f>BK417/(BK412+BK422+BK426)*100</f>
        <v>0</v>
      </c>
      <c r="BL401" s="369">
        <f>BL417/(BL412+BL422+BL426)*100</f>
        <v>0</v>
      </c>
      <c r="BN401" s="369">
        <f>BN417/(BN412+BN422+BN426)*100</f>
        <v>9.5238095238095237</v>
      </c>
      <c r="BO401" s="369">
        <f>BO417/(BO412+BO422+BO426)*100</f>
        <v>11.538461538461538</v>
      </c>
      <c r="BQ401" s="369">
        <f>BQ417/(BQ412+BQ422+BQ426)*100</f>
        <v>0</v>
      </c>
      <c r="BR401" s="369">
        <f>BR417/(BR412+BR422+BR426)*100</f>
        <v>0</v>
      </c>
      <c r="BT401" s="369">
        <f>BT417/(BT412+BT422+BT426)*100</f>
        <v>0</v>
      </c>
      <c r="BU401" s="369">
        <f>BU417/(BU412+BU422+BU426)*100</f>
        <v>0</v>
      </c>
      <c r="BW401" s="369">
        <f>BW417/(BW412+BW422+BW426)*100</f>
        <v>0</v>
      </c>
      <c r="BX401" s="369">
        <f>BX417/(BX412+BX422+BX426)*100</f>
        <v>0</v>
      </c>
      <c r="BZ401" s="369">
        <f>BZ417/(BZ412+BZ422+BZ426)*100</f>
        <v>0</v>
      </c>
      <c r="CA401" s="369">
        <f>CA417/(CA412+CA422+CA426)*100</f>
        <v>23.076923076923077</v>
      </c>
      <c r="CC401" s="369">
        <f>CC417/(CC412+CC422+CC426)*100</f>
        <v>0</v>
      </c>
      <c r="CD401" s="369">
        <f>CD417/(CD412+CD422+CD426)*100</f>
        <v>0</v>
      </c>
      <c r="CF401" s="369">
        <f>CF417/(CF412+CF422+CF426)*100</f>
        <v>0</v>
      </c>
      <c r="CG401" s="369">
        <f>CG417/(CG412+CG422+CG426)*100</f>
        <v>0</v>
      </c>
      <c r="CI401" s="369" t="e">
        <f>CI417/(CI412+CI422+CI426)*100</f>
        <v>#DIV/0!</v>
      </c>
      <c r="CJ401" s="369" t="e">
        <f>CJ417/(CJ412+CJ422+CJ426)*100</f>
        <v>#DIV/0!</v>
      </c>
    </row>
    <row r="402" spans="1:88" x14ac:dyDescent="0.25">
      <c r="A402" s="329"/>
      <c r="B402" s="297" t="s">
        <v>1369</v>
      </c>
      <c r="C402" s="368"/>
      <c r="D402" s="329" t="s">
        <v>8</v>
      </c>
      <c r="E402" s="367"/>
      <c r="F402" s="367"/>
      <c r="G402" s="367"/>
      <c r="H402" s="369">
        <f>H418/(H412+H421+H426)*100</f>
        <v>5.3117782909930717</v>
      </c>
      <c r="I402" s="369">
        <f>I418/(I412+I421+I426)*100</f>
        <v>3.9568345323741005</v>
      </c>
      <c r="J402" s="369">
        <f t="shared" si="567"/>
        <v>3.8938053097345131</v>
      </c>
      <c r="K402" s="369">
        <f t="shared" si="565"/>
        <v>1.8214936247723135</v>
      </c>
      <c r="L402" s="369">
        <f t="shared" si="566"/>
        <v>0</v>
      </c>
      <c r="M402" s="369">
        <f t="shared" si="568"/>
        <v>0</v>
      </c>
      <c r="N402" s="369">
        <f t="shared" si="569"/>
        <v>0</v>
      </c>
      <c r="P402" s="369">
        <f>P418/(P412+P422+P426)*100</f>
        <v>1.7985611510791366</v>
      </c>
      <c r="Q402" s="369">
        <f>Q418/(Q412+Q422+Q426)*100</f>
        <v>0.75642965204236012</v>
      </c>
      <c r="R402" s="369">
        <f>R418/(R412+R422+R426)*100</f>
        <v>0</v>
      </c>
      <c r="S402" s="369">
        <f>S418/(S412+S422+S426)*100</f>
        <v>0</v>
      </c>
      <c r="U402" s="369">
        <f>U418/(U412+U422+U426)*100</f>
        <v>0</v>
      </c>
      <c r="V402" s="369">
        <f>V418/(V412+V422+V426)*100</f>
        <v>0</v>
      </c>
      <c r="X402" s="369">
        <f>X418/(X412+X422+X426)*100</f>
        <v>0</v>
      </c>
      <c r="Y402" s="369">
        <f>Y418/(Y412+Y422+Y426)*100</f>
        <v>0</v>
      </c>
      <c r="AA402" s="369">
        <f>AA418/(AA412+AA422+AA426)*100</f>
        <v>0</v>
      </c>
      <c r="AB402" s="369">
        <f>AB418/(AB412+AB422+AB426)*100</f>
        <v>0</v>
      </c>
      <c r="AD402" s="369">
        <f>AD418/(AD412+AD422+AD426)*100</f>
        <v>0</v>
      </c>
      <c r="AE402" s="369">
        <f>AE418/(AE412+AE422+AE426)*100</f>
        <v>0</v>
      </c>
      <c r="AG402" s="369">
        <f>AG418/(AG412+AG422+AG426)*100</f>
        <v>0</v>
      </c>
      <c r="AH402" s="369">
        <f>AH418/(AH412+AH422+AH426)*100</f>
        <v>0</v>
      </c>
      <c r="AJ402" s="369">
        <f>AJ418/(AJ412+AJ422+AJ426)*100</f>
        <v>0</v>
      </c>
      <c r="AK402" s="369">
        <f>AK418/(AK412+AK422+AK426)*100</f>
        <v>0</v>
      </c>
      <c r="AM402" s="369">
        <f>AM418/(AM412+AM422+AM426)*100</f>
        <v>0</v>
      </c>
      <c r="AN402" s="369">
        <f>AN418/(AN412+AN422+AN426)*100</f>
        <v>0</v>
      </c>
      <c r="AP402" s="369">
        <f>AP418/(AP412+AP422+AP426)*100</f>
        <v>0</v>
      </c>
      <c r="AQ402" s="369">
        <f>AQ418/(AQ412+AQ422+AQ426)*100</f>
        <v>0</v>
      </c>
      <c r="AS402" s="369">
        <f>AS418/(AS412+AS422+AS426)*100</f>
        <v>0</v>
      </c>
      <c r="AT402" s="369">
        <f>AT418/(AT412+AT422+AT426)*100</f>
        <v>0</v>
      </c>
      <c r="AV402" s="369">
        <f>AV418/(AV412+AV422+AV426)*100</f>
        <v>0</v>
      </c>
      <c r="AW402" s="369">
        <f>AW418/(AW412+AW422+AW426)*100</f>
        <v>0</v>
      </c>
      <c r="AY402" s="369">
        <f>AY418/(AY412+AY422+AY426)*100</f>
        <v>0</v>
      </c>
      <c r="AZ402" s="369">
        <f>AZ418/(AZ412+AZ422+AZ426)*100</f>
        <v>0</v>
      </c>
      <c r="BB402" s="369">
        <f>BB418/(BB412+BB422+BB426)*100</f>
        <v>0</v>
      </c>
      <c r="BC402" s="369">
        <f>BC418/(BC412+BC422+BC426)*100</f>
        <v>0</v>
      </c>
      <c r="BE402" s="369">
        <f>BE418/(BE412+BE422+BE426)*100</f>
        <v>14.925373134328357</v>
      </c>
      <c r="BF402" s="369">
        <f>BF418/(BF412+BF422+BF426)*100</f>
        <v>5.7471264367816088</v>
      </c>
      <c r="BH402" s="369">
        <f>BH418/(BH412+BH422+BH426)*100</f>
        <v>0</v>
      </c>
      <c r="BI402" s="369">
        <f>BI418/(BI412+BI422+BI426)*100</f>
        <v>0</v>
      </c>
      <c r="BK402" s="369">
        <f>BK418/(BK412+BK422+BK426)*100</f>
        <v>0</v>
      </c>
      <c r="BL402" s="369">
        <f>BL418/(BL412+BL422+BL426)*100</f>
        <v>0</v>
      </c>
      <c r="BN402" s="369">
        <f>BN418/(BN412+BN422+BN426)*100</f>
        <v>0</v>
      </c>
      <c r="BO402" s="369">
        <f>BO418/(BO412+BO422+BO426)*100</f>
        <v>0</v>
      </c>
      <c r="BQ402" s="369">
        <f>BQ418/(BQ412+BQ422+BQ426)*100</f>
        <v>0</v>
      </c>
      <c r="BR402" s="369">
        <f>BR418/(BR412+BR422+BR426)*100</f>
        <v>0</v>
      </c>
      <c r="BT402" s="369">
        <f>BT418/(BT412+BT422+BT426)*100</f>
        <v>0</v>
      </c>
      <c r="BU402" s="369">
        <f>BU418/(BU412+BU422+BU426)*100</f>
        <v>0</v>
      </c>
      <c r="BW402" s="369">
        <f>BW418/(BW412+BW422+BW426)*100</f>
        <v>0</v>
      </c>
      <c r="BX402" s="369">
        <f>BX418/(BX412+BX422+BX426)*100</f>
        <v>0</v>
      </c>
      <c r="BZ402" s="369">
        <f>BZ418/(BZ412+BZ422+BZ426)*100</f>
        <v>0</v>
      </c>
      <c r="CA402" s="369">
        <f>CA418/(CA412+CA422+CA426)*100</f>
        <v>0</v>
      </c>
      <c r="CC402" s="369">
        <f>CC418/(CC412+CC422+CC426)*100</f>
        <v>0</v>
      </c>
      <c r="CD402" s="369">
        <f>CD418/(CD412+CD422+CD426)*100</f>
        <v>0</v>
      </c>
      <c r="CF402" s="369">
        <f>CF418/(CF412+CF422+CF426)*100</f>
        <v>0</v>
      </c>
      <c r="CG402" s="369">
        <f>CG418/(CG412+CG422+CG426)*100</f>
        <v>0</v>
      </c>
      <c r="CI402" s="369" t="e">
        <f>CI418/(CI412+CI422+CI426)*100</f>
        <v>#DIV/0!</v>
      </c>
      <c r="CJ402" s="369" t="e">
        <f>CJ418/(CJ412+CJ422+CJ426)*100</f>
        <v>#DIV/0!</v>
      </c>
    </row>
    <row r="403" spans="1:88" hidden="1" x14ac:dyDescent="0.25">
      <c r="A403" s="329"/>
      <c r="B403" s="297" t="s">
        <v>1370</v>
      </c>
      <c r="C403" s="368"/>
      <c r="D403" s="329" t="s">
        <v>8</v>
      </c>
      <c r="E403" s="367"/>
      <c r="F403" s="367"/>
      <c r="G403" s="367"/>
      <c r="H403" s="369"/>
      <c r="I403" s="369"/>
      <c r="J403" s="369">
        <f t="shared" si="567"/>
        <v>0</v>
      </c>
      <c r="K403" s="369">
        <f t="shared" si="567"/>
        <v>0</v>
      </c>
      <c r="L403" s="369">
        <f t="shared" si="566"/>
        <v>0</v>
      </c>
      <c r="M403" s="369">
        <f t="shared" si="568"/>
        <v>0</v>
      </c>
      <c r="N403" s="369">
        <f t="shared" si="569"/>
        <v>0</v>
      </c>
      <c r="P403" s="369"/>
      <c r="Q403" s="369"/>
      <c r="R403" s="369"/>
      <c r="S403" s="369"/>
      <c r="U403" s="369"/>
      <c r="V403" s="369"/>
      <c r="X403" s="369"/>
      <c r="Y403" s="369"/>
      <c r="AA403" s="369"/>
      <c r="AB403" s="369"/>
      <c r="AD403" s="369"/>
      <c r="AE403" s="369"/>
      <c r="AG403" s="369"/>
      <c r="AH403" s="369"/>
      <c r="AJ403" s="369"/>
      <c r="AK403" s="369"/>
      <c r="AM403" s="369"/>
      <c r="AN403" s="369"/>
      <c r="AP403" s="369"/>
      <c r="AQ403" s="369"/>
      <c r="AS403" s="369"/>
      <c r="AT403" s="369"/>
      <c r="AV403" s="369"/>
      <c r="AW403" s="369"/>
      <c r="AY403" s="369"/>
      <c r="AZ403" s="369"/>
      <c r="BB403" s="369"/>
      <c r="BC403" s="369"/>
      <c r="BE403" s="369"/>
      <c r="BF403" s="369"/>
      <c r="BH403" s="369"/>
      <c r="BI403" s="369"/>
      <c r="BK403" s="369"/>
      <c r="BL403" s="369"/>
      <c r="BN403" s="369"/>
      <c r="BO403" s="369"/>
      <c r="BQ403" s="369"/>
      <c r="BR403" s="369"/>
      <c r="BT403" s="369"/>
      <c r="BU403" s="369"/>
      <c r="BW403" s="369"/>
      <c r="BX403" s="369"/>
      <c r="BZ403" s="369"/>
      <c r="CA403" s="369"/>
      <c r="CC403" s="369"/>
      <c r="CD403" s="369"/>
      <c r="CF403" s="369"/>
      <c r="CG403" s="369"/>
      <c r="CI403" s="369"/>
      <c r="CJ403" s="369"/>
    </row>
    <row r="404" spans="1:88" x14ac:dyDescent="0.25">
      <c r="A404" s="329"/>
      <c r="B404" s="297" t="s">
        <v>1371</v>
      </c>
      <c r="C404" s="368"/>
      <c r="D404" s="329" t="s">
        <v>8</v>
      </c>
      <c r="E404" s="367"/>
      <c r="F404" s="367"/>
      <c r="G404" s="367"/>
      <c r="H404" s="369">
        <f>H419/(H412+H421+H426)*100</f>
        <v>10.392609699769054</v>
      </c>
      <c r="I404" s="369">
        <f>I419/(I412+I421+I426)*100</f>
        <v>0</v>
      </c>
      <c r="J404" s="369">
        <f t="shared" si="567"/>
        <v>14.159292035398231</v>
      </c>
      <c r="K404" s="369">
        <f t="shared" ref="K404:K408" si="570">K420/($K$412+$K$422+$K$426)*100</f>
        <v>11.839708561020036</v>
      </c>
      <c r="L404" s="369">
        <f t="shared" si="566"/>
        <v>0</v>
      </c>
      <c r="M404" s="369">
        <f t="shared" si="568"/>
        <v>0</v>
      </c>
      <c r="N404" s="369">
        <f t="shared" si="569"/>
        <v>0</v>
      </c>
      <c r="P404" s="369">
        <f>P420/(P412+P422+P426)*100</f>
        <v>11.690647482014388</v>
      </c>
      <c r="Q404" s="369">
        <f>Q420/(Q412+Q422+Q426)*100</f>
        <v>12.556732223903177</v>
      </c>
      <c r="R404" s="369">
        <f>R420/(R412+R422+R426)*100</f>
        <v>35.714285714285715</v>
      </c>
      <c r="S404" s="369">
        <f>S420/(S412+S422+S426)*100</f>
        <v>41.666666666666671</v>
      </c>
      <c r="U404" s="369">
        <f>U420/(U412+U422+U426)*100</f>
        <v>0</v>
      </c>
      <c r="V404" s="369">
        <f>V420/(V412+V422+V426)*100</f>
        <v>0</v>
      </c>
      <c r="X404" s="369">
        <f>X420/(X412+X422+X426)*100</f>
        <v>0</v>
      </c>
      <c r="Y404" s="369">
        <f>Y420/(Y412+Y422+Y426)*100</f>
        <v>66.666666666666657</v>
      </c>
      <c r="AA404" s="369">
        <f>AA420/(AA412+AA422+AA426)*100</f>
        <v>70</v>
      </c>
      <c r="AB404" s="369">
        <f>AB420/(AB412+AB422+AB426)*100</f>
        <v>0</v>
      </c>
      <c r="AD404" s="369">
        <f>AD420/(AD412+AD422+AD426)*100</f>
        <v>0</v>
      </c>
      <c r="AE404" s="369">
        <f>AE420/(AE412+AE422+AE426)*100</f>
        <v>0</v>
      </c>
      <c r="AG404" s="369">
        <f>AG420/(AG412+AG422+AG426)*100</f>
        <v>0</v>
      </c>
      <c r="AH404" s="369">
        <f>AH420/(AH412+AH422+AH426)*100</f>
        <v>0</v>
      </c>
      <c r="AJ404" s="369">
        <f>AJ420/(AJ412+AJ422+AJ426)*100</f>
        <v>39.534883720930232</v>
      </c>
      <c r="AK404" s="369">
        <f>AK420/(AK412+AK422+AK426)*100</f>
        <v>32.258064516129032</v>
      </c>
      <c r="AM404" s="369">
        <f>AM420/(AM412+AM422+AM426)*100</f>
        <v>42.424242424242422</v>
      </c>
      <c r="AN404" s="369">
        <f>AN420/(AN412+AN422+AN426)*100</f>
        <v>26.785714285714285</v>
      </c>
      <c r="AP404" s="369">
        <f>AP420/(AP412+AP422+AP426)*100</f>
        <v>0</v>
      </c>
      <c r="AQ404" s="369">
        <f>AQ420/(AQ412+AQ422+AQ426)*100</f>
        <v>0</v>
      </c>
      <c r="AS404" s="369">
        <f>AS420/(AS412+AS422+AS426)*100</f>
        <v>6.8965517241379306</v>
      </c>
      <c r="AT404" s="369">
        <f>AT420/(AT412+AT422+AT426)*100</f>
        <v>0</v>
      </c>
      <c r="AV404" s="369">
        <f>AV420/(AV412+AV422+AV426)*100</f>
        <v>0</v>
      </c>
      <c r="AW404" s="369">
        <f>AW420/(AW412+AW422+AW426)*100</f>
        <v>0</v>
      </c>
      <c r="AY404" s="369">
        <f>AY420/(AY412+AY422+AY426)*100</f>
        <v>11.538461538461538</v>
      </c>
      <c r="AZ404" s="369">
        <f>AZ420/(AZ412+AZ422+AZ426)*100</f>
        <v>26.923076923076923</v>
      </c>
      <c r="BB404" s="369">
        <f>BB420/(BB412+BB422+BB426)*100</f>
        <v>0</v>
      </c>
      <c r="BC404" s="369">
        <f>BC420/(BC412+BC422+BC426)*100</f>
        <v>13.043478260869565</v>
      </c>
      <c r="BE404" s="369">
        <f>BE420/(BE412+BE422+BE426)*100</f>
        <v>7.4626865671641784</v>
      </c>
      <c r="BF404" s="369">
        <f>BF420/(BF412+BF422+BF426)*100</f>
        <v>0</v>
      </c>
      <c r="BH404" s="369">
        <f>BH420/(BH412+BH422+BH426)*100</f>
        <v>3.4965034965034967</v>
      </c>
      <c r="BI404" s="369">
        <f>BI420/(BI412+BI422+BI426)*100</f>
        <v>0</v>
      </c>
      <c r="BK404" s="369">
        <f>BK420/(BK412+BK422+BK426)*100</f>
        <v>0</v>
      </c>
      <c r="BL404" s="369">
        <f>BL420/(BL412+BL422+BL426)*100</f>
        <v>0</v>
      </c>
      <c r="BN404" s="369">
        <f>BN420/(BN412+BN422+BN426)*100</f>
        <v>33.333333333333329</v>
      </c>
      <c r="BO404" s="369">
        <f>BO420/(BO412+BO422+BO426)*100</f>
        <v>65.384615384615387</v>
      </c>
      <c r="BQ404" s="369">
        <f>BQ420/(BQ412+BQ422+BQ426)*100</f>
        <v>0</v>
      </c>
      <c r="BR404" s="369">
        <f>BR420/(BR412+BR422+BR426)*100</f>
        <v>0</v>
      </c>
      <c r="BT404" s="369">
        <f>BT420/(BT412+BT422+BT426)*100</f>
        <v>0</v>
      </c>
      <c r="BU404" s="369">
        <f>BU420/(BU412+BU422+BU426)*100</f>
        <v>0</v>
      </c>
      <c r="BW404" s="369">
        <f>BW420/(BW412+BW422+BW426)*100</f>
        <v>0</v>
      </c>
      <c r="BX404" s="369">
        <f>BX420/(BX412+BX422+BX426)*100</f>
        <v>0</v>
      </c>
      <c r="BZ404" s="369">
        <f>BZ420/(BZ412+BZ422+BZ426)*100</f>
        <v>0</v>
      </c>
      <c r="CA404" s="369">
        <f>CA420/(CA412+CA422+CA426)*100</f>
        <v>0</v>
      </c>
      <c r="CC404" s="369">
        <f>CC420/(CC412+CC422+CC426)*100</f>
        <v>0</v>
      </c>
      <c r="CD404" s="369">
        <f>CD420/(CD412+CD422+CD426)*100</f>
        <v>50</v>
      </c>
      <c r="CF404" s="369">
        <f>CF420/(CF412+CF422+CF426)*100</f>
        <v>0</v>
      </c>
      <c r="CG404" s="369">
        <f>CG420/(CG412+CG422+CG426)*100</f>
        <v>19.230769230769234</v>
      </c>
      <c r="CI404" s="369" t="e">
        <f>CI420/(CI412+CI422+CI426)*100</f>
        <v>#DIV/0!</v>
      </c>
      <c r="CJ404" s="369" t="e">
        <f>CJ420/(CJ412+CJ422+CJ426)*100</f>
        <v>#DIV/0!</v>
      </c>
    </row>
    <row r="405" spans="1:88" x14ac:dyDescent="0.25">
      <c r="A405" s="329"/>
      <c r="B405" s="297" t="s">
        <v>1372</v>
      </c>
      <c r="C405" s="368"/>
      <c r="D405" s="329" t="s">
        <v>8</v>
      </c>
      <c r="E405" s="367"/>
      <c r="F405" s="367"/>
      <c r="G405" s="367"/>
      <c r="H405" s="369">
        <f>H420/(H412+H421+H426)*100</f>
        <v>2.3094688221709005</v>
      </c>
      <c r="I405" s="369">
        <f>I420/(I412+I421+I426)*100</f>
        <v>13.669064748201439</v>
      </c>
      <c r="J405" s="369">
        <f t="shared" si="567"/>
        <v>5.4867256637168138</v>
      </c>
      <c r="K405" s="369">
        <f t="shared" si="570"/>
        <v>2.0036429872495445</v>
      </c>
      <c r="L405" s="369">
        <f t="shared" si="566"/>
        <v>0</v>
      </c>
      <c r="M405" s="369">
        <f t="shared" si="568"/>
        <v>0</v>
      </c>
      <c r="N405" s="369">
        <f t="shared" si="569"/>
        <v>0</v>
      </c>
      <c r="P405" s="369">
        <f>P421/(P412+P422+P426)*100</f>
        <v>1.9784172661870503</v>
      </c>
      <c r="Q405" s="369">
        <f>Q421/(Q412+Q422+Q426)*100</f>
        <v>4.0847201210287443</v>
      </c>
      <c r="R405" s="369">
        <f>R421/(R412+R422+R426)*100</f>
        <v>0</v>
      </c>
      <c r="S405" s="369">
        <f>S421/(S412+S422+S426)*100</f>
        <v>0</v>
      </c>
      <c r="U405" s="369">
        <f>U421/(U412+U422+U426)*100</f>
        <v>0</v>
      </c>
      <c r="V405" s="369">
        <f>V421/(V412+V422+V426)*100</f>
        <v>0</v>
      </c>
      <c r="X405" s="369">
        <f>X421/(X412+X422+X426)*100</f>
        <v>0</v>
      </c>
      <c r="Y405" s="369">
        <f>Y421/(Y412+Y422+Y426)*100</f>
        <v>0</v>
      </c>
      <c r="AA405" s="369">
        <f>AA421/(AA412+AA422+AA426)*100</f>
        <v>0</v>
      </c>
      <c r="AB405" s="369">
        <f>AB421/(AB412+AB422+AB426)*100</f>
        <v>0</v>
      </c>
      <c r="AD405" s="369">
        <f>AD421/(AD412+AD422+AD426)*100</f>
        <v>0</v>
      </c>
      <c r="AE405" s="369">
        <f>AE421/(AE412+AE422+AE426)*100</f>
        <v>0</v>
      </c>
      <c r="AG405" s="369">
        <f>AG421/(AG412+AG422+AG426)*100</f>
        <v>0</v>
      </c>
      <c r="AH405" s="369">
        <f>AH421/(AH412+AH422+AH426)*100</f>
        <v>0</v>
      </c>
      <c r="AJ405" s="369">
        <f>AJ421/(AJ412+AJ422+AJ426)*100</f>
        <v>0</v>
      </c>
      <c r="AK405" s="369">
        <f>AK421/(AK412+AK422+AK426)*100</f>
        <v>0</v>
      </c>
      <c r="AM405" s="369">
        <f>AM421/(AM412+AM422+AM426)*100</f>
        <v>0</v>
      </c>
      <c r="AN405" s="369">
        <f>AN421/(AN412+AN422+AN426)*100</f>
        <v>0</v>
      </c>
      <c r="AP405" s="369">
        <f>AP421/(AP412+AP422+AP426)*100</f>
        <v>0</v>
      </c>
      <c r="AQ405" s="369">
        <f>AQ421/(AQ412+AQ422+AQ426)*100</f>
        <v>0</v>
      </c>
      <c r="AS405" s="369">
        <f>AS421/(AS412+AS422+AS426)*100</f>
        <v>13.793103448275861</v>
      </c>
      <c r="AT405" s="369">
        <f>AT421/(AT412+AT422+AT426)*100</f>
        <v>40</v>
      </c>
      <c r="AV405" s="369">
        <f>AV421/(AV412+AV422+AV426)*100</f>
        <v>0</v>
      </c>
      <c r="AW405" s="369">
        <f>AW421/(AW412+AW422+AW426)*100</f>
        <v>0</v>
      </c>
      <c r="AY405" s="369">
        <f>AY421/(AY412+AY422+AY426)*100</f>
        <v>3.8461538461538463</v>
      </c>
      <c r="AZ405" s="369">
        <f>AZ421/(AZ412+AZ422+AZ426)*100</f>
        <v>0</v>
      </c>
      <c r="BB405" s="369">
        <f>BB421/(BB412+BB422+BB426)*100</f>
        <v>0</v>
      </c>
      <c r="BC405" s="369">
        <f>BC421/(BC412+BC422+BC426)*100</f>
        <v>0</v>
      </c>
      <c r="BE405" s="369">
        <f>BE421/(BE412+BE422+BE426)*100</f>
        <v>0</v>
      </c>
      <c r="BF405" s="369">
        <f>BF421/(BF412+BF422+BF426)*100</f>
        <v>0</v>
      </c>
      <c r="BH405" s="369">
        <f>BH421/(BH412+BH422+BH426)*100</f>
        <v>0</v>
      </c>
      <c r="BI405" s="369">
        <f>BI421/(BI412+BI422+BI426)*100</f>
        <v>0</v>
      </c>
      <c r="BK405" s="369">
        <f>BK421/(BK412+BK422+BK426)*100</f>
        <v>0</v>
      </c>
      <c r="BL405" s="369">
        <f>BL421/(BL412+BL422+BL426)*100</f>
        <v>0</v>
      </c>
      <c r="BN405" s="369">
        <f>BN421/(BN412+BN422+BN426)*100</f>
        <v>0</v>
      </c>
      <c r="BO405" s="369">
        <f>BO421/(BO412+BO422+BO426)*100</f>
        <v>0</v>
      </c>
      <c r="BQ405" s="369">
        <f>BQ421/(BQ412+BQ422+BQ426)*100</f>
        <v>23.076923076923077</v>
      </c>
      <c r="BR405" s="369">
        <f>BR421/(BR412+BR422+BR426)*100</f>
        <v>36</v>
      </c>
      <c r="BT405" s="369">
        <f>BT421/(BT412+BT422+BT426)*100</f>
        <v>0</v>
      </c>
      <c r="BU405" s="369">
        <f>BU421/(BU412+BU422+BU426)*100</f>
        <v>0</v>
      </c>
      <c r="BW405" s="369">
        <f>BW421/(BW412+BW422+BW426)*100</f>
        <v>0</v>
      </c>
      <c r="BX405" s="369">
        <f>BX421/(BX412+BX422+BX426)*100</f>
        <v>0</v>
      </c>
      <c r="BZ405" s="369">
        <f>BZ421/(BZ412+BZ422+BZ426)*100</f>
        <v>0</v>
      </c>
      <c r="CA405" s="369">
        <f>CA421/(CA412+CA422+CA426)*100</f>
        <v>0</v>
      </c>
      <c r="CC405" s="369">
        <f>CC421/(CC412+CC422+CC426)*100</f>
        <v>0</v>
      </c>
      <c r="CD405" s="369">
        <f>CD421/(CD412+CD422+CD426)*100</f>
        <v>0</v>
      </c>
      <c r="CF405" s="369">
        <f>CF421/(CF412+CF422+CF426)*100</f>
        <v>0</v>
      </c>
      <c r="CG405" s="369">
        <f>CG421/(CG412+CG422+CG426)*100</f>
        <v>0</v>
      </c>
      <c r="CI405" s="369" t="e">
        <f>CI421/(CI412+CI422+CI426)*100</f>
        <v>#DIV/0!</v>
      </c>
      <c r="CJ405" s="369" t="e">
        <f>CJ421/(CJ412+CJ422+CJ426)*100</f>
        <v>#DIV/0!</v>
      </c>
    </row>
    <row r="406" spans="1:88" ht="30" x14ac:dyDescent="0.25">
      <c r="A406" s="329"/>
      <c r="B406" s="297" t="s">
        <v>1373</v>
      </c>
      <c r="C406" s="368"/>
      <c r="D406" s="329" t="s">
        <v>8</v>
      </c>
      <c r="E406" s="367"/>
      <c r="F406" s="367"/>
      <c r="G406" s="367"/>
      <c r="H406" s="369">
        <f>H422/(H412+H421+H426)*100</f>
        <v>0</v>
      </c>
      <c r="I406" s="369">
        <f>I422/(I412+I421+I426)*100</f>
        <v>0</v>
      </c>
      <c r="J406" s="369">
        <f t="shared" si="567"/>
        <v>0.17699115044247787</v>
      </c>
      <c r="K406" s="369">
        <f t="shared" si="570"/>
        <v>0</v>
      </c>
      <c r="L406" s="369">
        <f t="shared" si="566"/>
        <v>0</v>
      </c>
      <c r="M406" s="369">
        <f t="shared" si="568"/>
        <v>0</v>
      </c>
      <c r="N406" s="369">
        <f t="shared" si="569"/>
        <v>0</v>
      </c>
      <c r="P406" s="369">
        <f>P422/(P412+P423+P426)*100</f>
        <v>1.2750455373406193</v>
      </c>
      <c r="Q406" s="369">
        <f>Q422/(Q412+Q423+Q426)*100</f>
        <v>0.15151515151515152</v>
      </c>
      <c r="R406" s="369">
        <f>R422/(R412+R423+R426)*100</f>
        <v>0</v>
      </c>
      <c r="S406" s="369">
        <f>S422/(S412+S423+S426)*100</f>
        <v>0</v>
      </c>
      <c r="U406" s="369">
        <f>U422/(U412+U423+U426)*100</f>
        <v>0</v>
      </c>
      <c r="V406" s="369">
        <f>V422/(V412+V423+V426)*100</f>
        <v>0</v>
      </c>
      <c r="X406" s="369">
        <f>X422/(X412+X423+X426)*100</f>
        <v>0</v>
      </c>
      <c r="Y406" s="369">
        <f>Y422/(Y412+Y423+Y426)*100</f>
        <v>0</v>
      </c>
      <c r="AA406" s="369">
        <f>AA422/(AA412+AA423+AA426)*100</f>
        <v>0</v>
      </c>
      <c r="AB406" s="369">
        <f>AB422/(AB412+AB423+AB426)*100</f>
        <v>0</v>
      </c>
      <c r="AD406" s="369">
        <f>AD422/(AD412+AD423+AD426)*100</f>
        <v>140</v>
      </c>
      <c r="AE406" s="369">
        <f>AE422/(AE412+AE423+AE426)*100</f>
        <v>33.333333333333329</v>
      </c>
      <c r="AG406" s="369">
        <f>AG422/(AG412+AG423+AG426)*100</f>
        <v>0</v>
      </c>
      <c r="AH406" s="369">
        <f>AH422/(AH412+AH423+AH426)*100</f>
        <v>0</v>
      </c>
      <c r="AJ406" s="369">
        <f>AJ422/(AJ412+AJ423+AJ426)*100</f>
        <v>0</v>
      </c>
      <c r="AK406" s="369">
        <f>AK422/(AK412+AK423+AK426)*100</f>
        <v>0</v>
      </c>
      <c r="AM406" s="369">
        <f>AM422/(AM412+AM423+AM426)*100</f>
        <v>0</v>
      </c>
      <c r="AN406" s="369">
        <f>AN422/(AN412+AN423+AN426)*100</f>
        <v>0</v>
      </c>
      <c r="AP406" s="369">
        <f>AP422/(AP412+AP423+AP426)*100</f>
        <v>0</v>
      </c>
      <c r="AQ406" s="369">
        <f>AQ422/(AQ412+AQ423+AQ426)*100</f>
        <v>0</v>
      </c>
      <c r="AS406" s="369">
        <f>AS422/(AS412+AS423+AS426)*100</f>
        <v>0</v>
      </c>
      <c r="AT406" s="369">
        <f>AT422/(AT412+AT423+AT426)*100</f>
        <v>0</v>
      </c>
      <c r="AV406" s="369">
        <f>AV422/(AV412+AV423+AV426)*100</f>
        <v>0</v>
      </c>
      <c r="AW406" s="369">
        <f>AW422/(AW412+AW423+AW426)*100</f>
        <v>0</v>
      </c>
      <c r="AY406" s="369">
        <f>AY422/(AY412+AY423+AY426)*100</f>
        <v>0</v>
      </c>
      <c r="AZ406" s="369">
        <f>AZ422/(AZ412+AZ423+AZ426)*100</f>
        <v>0</v>
      </c>
      <c r="BB406" s="369">
        <f>BB422/(BB412+BB423+BB426)*100</f>
        <v>0</v>
      </c>
      <c r="BC406" s="369">
        <f>BC422/(BC412+BC423+BC426)*100</f>
        <v>0</v>
      </c>
      <c r="BE406" s="369">
        <f>BE422/(BE412+BE423+BE426)*100</f>
        <v>0</v>
      </c>
      <c r="BF406" s="369">
        <f>BF422/(BF412+BF423+BF426)*100</f>
        <v>0</v>
      </c>
      <c r="BH406" s="369">
        <f>BH422/(BH412+BH423+BH426)*100</f>
        <v>0</v>
      </c>
      <c r="BI406" s="369">
        <f>BI422/(BI412+BI423+BI426)*100</f>
        <v>0</v>
      </c>
      <c r="BK406" s="369">
        <f>BK422/(BK412+BK423+BK426)*100</f>
        <v>0</v>
      </c>
      <c r="BL406" s="369">
        <f>BL422/(BL412+BL423+BL426)*100</f>
        <v>0</v>
      </c>
      <c r="BN406" s="369">
        <f>BN422/(BN412+BN423+BN426)*100</f>
        <v>0</v>
      </c>
      <c r="BO406" s="369">
        <f>BO422/(BO412+BO423+BO426)*100</f>
        <v>0</v>
      </c>
      <c r="BQ406" s="369">
        <f>BQ422/(BQ412+BQ423+BQ426)*100</f>
        <v>0</v>
      </c>
      <c r="BR406" s="369">
        <f>BR422/(BR412+BR423+BR426)*100</f>
        <v>0</v>
      </c>
      <c r="BT406" s="369">
        <f>BT422/(BT412+BT423+BT426)*100</f>
        <v>0</v>
      </c>
      <c r="BU406" s="369">
        <f>BU422/(BU412+BU423+BU426)*100</f>
        <v>0</v>
      </c>
      <c r="BW406" s="369">
        <f>BW422/(BW412+BW423+BW426)*100</f>
        <v>0</v>
      </c>
      <c r="BX406" s="369">
        <f>BX422/(BX412+BX423+BX426)*100</f>
        <v>0</v>
      </c>
      <c r="BZ406" s="369">
        <f>BZ422/(BZ412+BZ423+BZ426)*100</f>
        <v>0</v>
      </c>
      <c r="CA406" s="369">
        <f>CA422/(CA412+CA423+CA426)*100</f>
        <v>0</v>
      </c>
      <c r="CC406" s="369">
        <f>CC422/(CC412+CC423+CC426)*100</f>
        <v>0</v>
      </c>
      <c r="CD406" s="369">
        <f>CD422/(CD412+CD423+CD426)*100</f>
        <v>0</v>
      </c>
      <c r="CF406" s="369">
        <f>CF422/(CF412+CF423+CF426)*100</f>
        <v>0</v>
      </c>
      <c r="CG406" s="369">
        <f>CG422/(CG412+CG423+CG426)*100</f>
        <v>0</v>
      </c>
      <c r="CI406" s="369" t="e">
        <f>CI422/(CI412+CI423+CI426)*100</f>
        <v>#DIV/0!</v>
      </c>
      <c r="CJ406" s="369" t="e">
        <f>CJ422/(CJ412+CJ423+CJ426)*100</f>
        <v>#DIV/0!</v>
      </c>
    </row>
    <row r="407" spans="1:88" x14ac:dyDescent="0.25">
      <c r="A407" s="329"/>
      <c r="B407" s="297" t="s">
        <v>1374</v>
      </c>
      <c r="C407" s="368"/>
      <c r="D407" s="329" t="s">
        <v>8</v>
      </c>
      <c r="E407" s="367"/>
      <c r="F407" s="367"/>
      <c r="G407" s="367"/>
      <c r="H407" s="369">
        <f>H423/(H412+H421+H426)*100</f>
        <v>0</v>
      </c>
      <c r="I407" s="369">
        <f>I423/(I412+I421+I426)*100</f>
        <v>0</v>
      </c>
      <c r="J407" s="369">
        <f t="shared" si="567"/>
        <v>0</v>
      </c>
      <c r="K407" s="369">
        <f t="shared" si="570"/>
        <v>0</v>
      </c>
      <c r="L407" s="369">
        <f t="shared" si="566"/>
        <v>0</v>
      </c>
      <c r="M407" s="369">
        <f t="shared" si="568"/>
        <v>0</v>
      </c>
      <c r="N407" s="369">
        <f t="shared" si="569"/>
        <v>0</v>
      </c>
      <c r="P407" s="369">
        <f>P423/(P412+P422+P426)*100</f>
        <v>0</v>
      </c>
      <c r="Q407" s="369">
        <f>Q423/(Q412+Q422+Q426)*100</f>
        <v>0</v>
      </c>
      <c r="R407" s="369">
        <f>R423/(R412+R422+R426)*100</f>
        <v>0</v>
      </c>
      <c r="S407" s="369">
        <f>S423/(S412+S422+S426)*100</f>
        <v>0</v>
      </c>
      <c r="U407" s="369">
        <f>U423/(U412+U422+U426)*100</f>
        <v>0</v>
      </c>
      <c r="V407" s="369">
        <f>V423/(V412+V422+V426)*100</f>
        <v>0</v>
      </c>
      <c r="X407" s="369">
        <f>X423/(X412+X422+X426)*100</f>
        <v>0</v>
      </c>
      <c r="Y407" s="369">
        <f>Y423/(Y412+Y422+Y426)*100</f>
        <v>0</v>
      </c>
      <c r="AA407" s="369">
        <f>AA423/(AA412+AA422+AA426)*100</f>
        <v>0</v>
      </c>
      <c r="AB407" s="369">
        <f>AB423/(AB412+AB422+AB426)*100</f>
        <v>0</v>
      </c>
      <c r="AD407" s="369">
        <f>AD423/(AD412+AD422+AD426)*100</f>
        <v>0</v>
      </c>
      <c r="AE407" s="369">
        <f>AE423/(AE412+AE422+AE426)*100</f>
        <v>0</v>
      </c>
      <c r="AG407" s="369">
        <f>AG423/(AG412+AG422+AG426)*100</f>
        <v>0</v>
      </c>
      <c r="AH407" s="369">
        <f>AH423/(AH412+AH422+AH426)*100</f>
        <v>0</v>
      </c>
      <c r="AJ407" s="369">
        <f>AJ423/(AJ412+AJ422+AJ426)*100</f>
        <v>0</v>
      </c>
      <c r="AK407" s="369">
        <f>AK423/(AK412+AK422+AK426)*100</f>
        <v>0</v>
      </c>
      <c r="AM407" s="369">
        <f>AM423/(AM412+AM422+AM426)*100</f>
        <v>0</v>
      </c>
      <c r="AN407" s="369">
        <f>AN423/(AN412+AN422+AN426)*100</f>
        <v>0</v>
      </c>
      <c r="AP407" s="369">
        <f>AP423/(AP412+AP422+AP426)*100</f>
        <v>0</v>
      </c>
      <c r="AQ407" s="369">
        <f>AQ423/(AQ412+AQ422+AQ426)*100</f>
        <v>0</v>
      </c>
      <c r="AS407" s="369">
        <f>AS423/(AS412+AS422+AS426)*100</f>
        <v>0</v>
      </c>
      <c r="AT407" s="369">
        <f>AT423/(AT412+AT422+AT426)*100</f>
        <v>0</v>
      </c>
      <c r="AV407" s="369">
        <f>AV423/(AV412+AV422+AV426)*100</f>
        <v>0</v>
      </c>
      <c r="AW407" s="369">
        <f>AW423/(AW412+AW422+AW426)*100</f>
        <v>0</v>
      </c>
      <c r="AY407" s="369">
        <f>AY423/(AY412+AY422+AY426)*100</f>
        <v>0</v>
      </c>
      <c r="AZ407" s="369">
        <f>AZ423/(AZ412+AZ422+AZ426)*100</f>
        <v>0</v>
      </c>
      <c r="BB407" s="369">
        <f>BB423/(BB412+BB422+BB426)*100</f>
        <v>0</v>
      </c>
      <c r="BC407" s="369">
        <f>BC423/(BC412+BC422+BC426)*100</f>
        <v>0</v>
      </c>
      <c r="BE407" s="369">
        <f>BE423/(BE412+BE422+BE426)*100</f>
        <v>0</v>
      </c>
      <c r="BF407" s="369">
        <f>BF423/(BF412+BF422+BF426)*100</f>
        <v>0</v>
      </c>
      <c r="BH407" s="369">
        <f>BH423/(BH412+BH422+BH426)*100</f>
        <v>0</v>
      </c>
      <c r="BI407" s="369">
        <f>BI423/(BI412+BI422+BI426)*100</f>
        <v>0</v>
      </c>
      <c r="BK407" s="369">
        <f>BK423/(BK412+BK422+BK426)*100</f>
        <v>0</v>
      </c>
      <c r="BL407" s="369">
        <f>BL423/(BL412+BL422+BL426)*100</f>
        <v>0</v>
      </c>
      <c r="BN407" s="369">
        <f>BN423/(BN412+BN422+BN426)*100</f>
        <v>0</v>
      </c>
      <c r="BO407" s="369">
        <f>BO423/(BO412+BO422+BO426)*100</f>
        <v>0</v>
      </c>
      <c r="BQ407" s="369">
        <f>BQ423/(BQ412+BQ422+BQ426)*100</f>
        <v>0</v>
      </c>
      <c r="BR407" s="369">
        <f>BR423/(BR412+BR422+BR426)*100</f>
        <v>0</v>
      </c>
      <c r="BT407" s="369">
        <f>BT423/(BT412+BT422+BT426)*100</f>
        <v>0</v>
      </c>
      <c r="BU407" s="369">
        <f>BU423/(BU412+BU422+BU426)*100</f>
        <v>0</v>
      </c>
      <c r="BW407" s="369">
        <f>BW423/(BW412+BW422+BW426)*100</f>
        <v>0</v>
      </c>
      <c r="BX407" s="369">
        <f>BX423/(BX412+BX422+BX426)*100</f>
        <v>0</v>
      </c>
      <c r="BZ407" s="369">
        <f>BZ423/(BZ412+BZ422+BZ426)*100</f>
        <v>0</v>
      </c>
      <c r="CA407" s="369">
        <f>CA423/(CA412+CA422+CA426)*100</f>
        <v>0</v>
      </c>
      <c r="CC407" s="369">
        <f>CC423/(CC412+CC422+CC426)*100</f>
        <v>0</v>
      </c>
      <c r="CD407" s="369">
        <f>CD423/(CD412+CD422+CD426)*100</f>
        <v>0</v>
      </c>
      <c r="CF407" s="369">
        <f>CF423/(CF412+CF422+CF426)*100</f>
        <v>0</v>
      </c>
      <c r="CG407" s="369">
        <f>CG423/(CG412+CG422+CG426)*100</f>
        <v>0</v>
      </c>
      <c r="CI407" s="369" t="e">
        <f>CI423/(CI412+CI422+CI426)*100</f>
        <v>#DIV/0!</v>
      </c>
      <c r="CJ407" s="369" t="e">
        <f>CJ423/(CJ412+CJ422+CJ426)*100</f>
        <v>#DIV/0!</v>
      </c>
    </row>
    <row r="408" spans="1:88" x14ac:dyDescent="0.25">
      <c r="A408" s="329"/>
      <c r="B408" s="297" t="s">
        <v>1375</v>
      </c>
      <c r="C408" s="368"/>
      <c r="D408" s="329" t="s">
        <v>8</v>
      </c>
      <c r="E408" s="367"/>
      <c r="F408" s="367"/>
      <c r="G408" s="367"/>
      <c r="H408" s="369">
        <f>H424/(H412+H421+H426)*100</f>
        <v>0</v>
      </c>
      <c r="I408" s="369">
        <f>I424/(I412+I421+I426)*100</f>
        <v>0</v>
      </c>
      <c r="J408" s="369">
        <f t="shared" si="567"/>
        <v>0.17699115044247787</v>
      </c>
      <c r="K408" s="369">
        <f t="shared" si="570"/>
        <v>0</v>
      </c>
      <c r="L408" s="369">
        <f t="shared" si="566"/>
        <v>0</v>
      </c>
      <c r="M408" s="369">
        <f t="shared" si="568"/>
        <v>0</v>
      </c>
      <c r="N408" s="369">
        <f t="shared" si="569"/>
        <v>0</v>
      </c>
      <c r="P408" s="369">
        <f>P424/(P412+P422+P426)*100</f>
        <v>0</v>
      </c>
      <c r="Q408" s="369">
        <f>Q424/(Q412+Q422+Q426)*100</f>
        <v>0</v>
      </c>
      <c r="R408" s="369">
        <f>R424/(R412+R422+R426)*100</f>
        <v>0</v>
      </c>
      <c r="S408" s="369">
        <f>S424/(S412+S422+S426)*100</f>
        <v>0</v>
      </c>
      <c r="U408" s="369">
        <f>U424/(U412+U422+U426)*100</f>
        <v>0</v>
      </c>
      <c r="V408" s="369">
        <f>V424/(V412+V422+V426)*100</f>
        <v>0</v>
      </c>
      <c r="X408" s="369">
        <f>X424/(X412+X422+X426)*100</f>
        <v>0</v>
      </c>
      <c r="Y408" s="369">
        <f>Y424/(Y412+Y422+Y426)*100</f>
        <v>0</v>
      </c>
      <c r="AA408" s="369">
        <f>AA424/(AA412+AA422+AA426)*100</f>
        <v>0</v>
      </c>
      <c r="AB408" s="369">
        <f>AB424/(AB412+AB422+AB426)*100</f>
        <v>0</v>
      </c>
      <c r="AD408" s="369">
        <f>AD424/(AD412+AD422+AD426)*100</f>
        <v>0</v>
      </c>
      <c r="AE408" s="369">
        <f>AE424/(AE412+AE422+AE426)*100</f>
        <v>0</v>
      </c>
      <c r="AG408" s="369">
        <f>AG424/(AG412+AG422+AG426)*100</f>
        <v>0</v>
      </c>
      <c r="AH408" s="369">
        <f>AH424/(AH412+AH422+AH426)*100</f>
        <v>0</v>
      </c>
      <c r="AJ408" s="369">
        <f>AJ424/(AJ412+AJ422+AJ426)*100</f>
        <v>0</v>
      </c>
      <c r="AK408" s="369">
        <f>AK424/(AK412+AK422+AK426)*100</f>
        <v>0</v>
      </c>
      <c r="AM408" s="369">
        <f>AM424/(AM412+AM422+AM426)*100</f>
        <v>0</v>
      </c>
      <c r="AN408" s="369">
        <f>AN424/(AN412+AN422+AN426)*100</f>
        <v>0</v>
      </c>
      <c r="AP408" s="369">
        <f>AP424/(AP412+AP422+AP426)*100</f>
        <v>0</v>
      </c>
      <c r="AQ408" s="369">
        <f>AQ424/(AQ412+AQ422+AQ426)*100</f>
        <v>0</v>
      </c>
      <c r="AS408" s="369">
        <f>AS424/(AS412+AS422+AS426)*100</f>
        <v>0</v>
      </c>
      <c r="AT408" s="369">
        <f>AT424/(AT412+AT422+AT426)*100</f>
        <v>0</v>
      </c>
      <c r="AV408" s="369">
        <f>AV424/(AV412+AV422+AV426)*100</f>
        <v>0</v>
      </c>
      <c r="AW408" s="369">
        <f>AW424/(AW412+AW422+AW426)*100</f>
        <v>0</v>
      </c>
      <c r="AY408" s="369">
        <f>AY424/(AY412+AY422+AY426)*100</f>
        <v>0</v>
      </c>
      <c r="AZ408" s="369">
        <f>AZ424/(AZ412+AZ422+AZ426)*100</f>
        <v>0</v>
      </c>
      <c r="BB408" s="369">
        <f>BB424/(BB412+BB422+BB426)*100</f>
        <v>0</v>
      </c>
      <c r="BC408" s="369">
        <f>BC424/(BC412+BC422+BC426)*100</f>
        <v>0</v>
      </c>
      <c r="BE408" s="369">
        <f>BE424/(BE412+BE422+BE426)*100</f>
        <v>0</v>
      </c>
      <c r="BF408" s="369">
        <f>BF424/(BF412+BF422+BF426)*100</f>
        <v>0</v>
      </c>
      <c r="BH408" s="369">
        <f>BH424/(BH412+BH422+BH426)*100</f>
        <v>0</v>
      </c>
      <c r="BI408" s="369">
        <f>BI424/(BI412+BI422+BI426)*100</f>
        <v>0</v>
      </c>
      <c r="BK408" s="369">
        <f>BK424/(BK412+BK422+BK426)*100</f>
        <v>0</v>
      </c>
      <c r="BL408" s="369">
        <f>BL424/(BL412+BL422+BL426)*100</f>
        <v>0</v>
      </c>
      <c r="BN408" s="369">
        <f>BN424/(BN412+BN422+BN426)*100</f>
        <v>0</v>
      </c>
      <c r="BO408" s="369">
        <f>BO424/(BO412+BO422+BO426)*100</f>
        <v>0</v>
      </c>
      <c r="BQ408" s="369">
        <f>BQ424/(BQ412+BQ422+BQ426)*100</f>
        <v>0</v>
      </c>
      <c r="BR408" s="369">
        <f>BR424/(BR412+BR422+BR426)*100</f>
        <v>0</v>
      </c>
      <c r="BT408" s="369">
        <f>BT424/(BT412+BT422+BT426)*100</f>
        <v>0</v>
      </c>
      <c r="BU408" s="369">
        <f>BU424/(BU412+BU422+BU426)*100</f>
        <v>0</v>
      </c>
      <c r="BW408" s="369">
        <f>BW424/(BW412+BW422+BW426)*100</f>
        <v>0</v>
      </c>
      <c r="BX408" s="369">
        <f>BX424/(BX412+BX422+BX426)*100</f>
        <v>0</v>
      </c>
      <c r="BZ408" s="369">
        <f>BZ424/(BZ412+BZ422+BZ426)*100</f>
        <v>0</v>
      </c>
      <c r="CA408" s="369">
        <f>CA424/(CA412+CA422+CA426)*100</f>
        <v>0</v>
      </c>
      <c r="CC408" s="369">
        <f>CC424/(CC412+CC422+CC426)*100</f>
        <v>0</v>
      </c>
      <c r="CD408" s="369">
        <f>CD424/(CD412+CD422+CD426)*100</f>
        <v>0</v>
      </c>
      <c r="CF408" s="369">
        <f>CF424/(CF412+CF422+CF426)*100</f>
        <v>0</v>
      </c>
      <c r="CG408" s="369">
        <f>CG424/(CG412+CG422+CG426)*100</f>
        <v>0</v>
      </c>
      <c r="CI408" s="369" t="e">
        <f>CI424/(CI412+CI422+CI426)*100</f>
        <v>#DIV/0!</v>
      </c>
      <c r="CJ408" s="369" t="e">
        <f>CJ424/(CJ412+CJ422+CJ426)*100</f>
        <v>#DIV/0!</v>
      </c>
    </row>
    <row r="409" spans="1:88" ht="30" hidden="1" x14ac:dyDescent="0.25">
      <c r="A409" s="329"/>
      <c r="B409" s="297" t="s">
        <v>1376</v>
      </c>
      <c r="C409" s="368"/>
      <c r="D409" s="329" t="s">
        <v>8</v>
      </c>
      <c r="E409" s="367"/>
      <c r="F409" s="367"/>
      <c r="G409" s="367"/>
      <c r="H409" s="369">
        <f>H425/(H412+H421+H426)*100</f>
        <v>0</v>
      </c>
      <c r="I409" s="369">
        <f>I425/(I412+I421+I426)*100</f>
        <v>0</v>
      </c>
      <c r="J409" s="369">
        <f t="shared" si="567"/>
        <v>0</v>
      </c>
      <c r="K409" s="369">
        <f t="shared" si="567"/>
        <v>0</v>
      </c>
      <c r="L409" s="369">
        <f t="shared" si="566"/>
        <v>0</v>
      </c>
      <c r="M409" s="369">
        <f t="shared" si="568"/>
        <v>0</v>
      </c>
      <c r="N409" s="369">
        <f t="shared" si="569"/>
        <v>0</v>
      </c>
      <c r="P409" s="369">
        <f>P425/(P412+P421+P426)*100</f>
        <v>0</v>
      </c>
      <c r="Q409" s="369">
        <f>Q425/(Q412+Q421+Q426)*100</f>
        <v>0</v>
      </c>
      <c r="R409" s="369">
        <f>R425/(R412+R421+R426)*100</f>
        <v>0</v>
      </c>
      <c r="S409" s="369">
        <f>S425/(S412+S421+S426)*100</f>
        <v>0</v>
      </c>
      <c r="U409" s="369">
        <f>U425/(U412+U421+U426)*100</f>
        <v>0</v>
      </c>
      <c r="V409" s="369">
        <f>V425/(V412+V421+V426)*100</f>
        <v>0</v>
      </c>
      <c r="X409" s="369">
        <f>X425/(X412+X421+X426)*100</f>
        <v>0</v>
      </c>
      <c r="Y409" s="369">
        <f>Y425/(Y412+Y421+Y426)*100</f>
        <v>0</v>
      </c>
      <c r="AA409" s="369">
        <f>AA425/(AA412+AA421+AA426)*100</f>
        <v>0</v>
      </c>
      <c r="AB409" s="369">
        <f>AB425/(AB412+AB421+AB426)*100</f>
        <v>0</v>
      </c>
      <c r="AD409" s="369">
        <f>AD425/(AD412+AD421+AD426)*100</f>
        <v>0</v>
      </c>
      <c r="AE409" s="369">
        <f>AE425/(AE412+AE421+AE426)*100</f>
        <v>0</v>
      </c>
      <c r="AG409" s="369">
        <f>AG425/(AG412+AG421+AG426)*100</f>
        <v>0</v>
      </c>
      <c r="AH409" s="369">
        <f>AH425/(AH412+AH421+AH426)*100</f>
        <v>0</v>
      </c>
      <c r="AJ409" s="369">
        <f>AJ425/(AJ412+AJ421+AJ426)*100</f>
        <v>0</v>
      </c>
      <c r="AK409" s="369">
        <f>AK425/(AK412+AK421+AK426)*100</f>
        <v>0</v>
      </c>
      <c r="AM409" s="369">
        <f>AM425/(AM412+AM421+AM426)*100</f>
        <v>0</v>
      </c>
      <c r="AN409" s="369">
        <f>AN425/(AN412+AN421+AN426)*100</f>
        <v>0</v>
      </c>
      <c r="AP409" s="369">
        <f>AP425/(AP412+AP421+AP426)*100</f>
        <v>0</v>
      </c>
      <c r="AQ409" s="369">
        <f>AQ425/(AQ412+AQ421+AQ426)*100</f>
        <v>0</v>
      </c>
      <c r="AS409" s="369">
        <f>AS425/(AS412+AS421+AS426)*100</f>
        <v>0</v>
      </c>
      <c r="AT409" s="369">
        <f>AT425/(AT412+AT421+AT426)*100</f>
        <v>0</v>
      </c>
      <c r="AV409" s="369">
        <f>AV425/(AV412+AV421+AV426)*100</f>
        <v>0</v>
      </c>
      <c r="AW409" s="369">
        <f>AW425/(AW412+AW421+AW426)*100</f>
        <v>0</v>
      </c>
      <c r="AY409" s="369">
        <f>AY425/(AY412+AY421+AY426)*100</f>
        <v>0</v>
      </c>
      <c r="AZ409" s="369">
        <f>AZ425/(AZ412+AZ421+AZ426)*100</f>
        <v>0</v>
      </c>
      <c r="BB409" s="369">
        <f>BB425/(BB412+BB421+BB426)*100</f>
        <v>0</v>
      </c>
      <c r="BC409" s="369">
        <f>BC425/(BC412+BC421+BC426)*100</f>
        <v>0</v>
      </c>
      <c r="BE409" s="369">
        <f>BE425/(BE412+BE421+BE426)*100</f>
        <v>0</v>
      </c>
      <c r="BF409" s="369">
        <f>BF425/(BF412+BF421+BF426)*100</f>
        <v>0</v>
      </c>
      <c r="BH409" s="369">
        <f>BH425/(BH412+BH421+BH426)*100</f>
        <v>0</v>
      </c>
      <c r="BI409" s="369">
        <f>BI425/(BI412+BI421+BI426)*100</f>
        <v>0</v>
      </c>
      <c r="BK409" s="369">
        <f>BK425/(BK412+BK421+BK426)*100</f>
        <v>0</v>
      </c>
      <c r="BL409" s="369">
        <f>BL425/(BL412+BL421+BL426)*100</f>
        <v>0</v>
      </c>
      <c r="BN409" s="369">
        <f>BN425/(BN412+BN421+BN426)*100</f>
        <v>0</v>
      </c>
      <c r="BO409" s="369">
        <f>BO425/(BO412+BO421+BO426)*100</f>
        <v>0</v>
      </c>
      <c r="BQ409" s="369">
        <f>BQ425/(BQ412+BQ421+BQ426)*100</f>
        <v>0</v>
      </c>
      <c r="BR409" s="369">
        <f>BR425/(BR412+BR421+BR426)*100</f>
        <v>0</v>
      </c>
      <c r="BT409" s="369">
        <f>BT425/(BT412+BT421+BT426)*100</f>
        <v>0</v>
      </c>
      <c r="BU409" s="369">
        <f>BU425/(BU412+BU421+BU426)*100</f>
        <v>0</v>
      </c>
      <c r="BW409" s="369">
        <f>BW425/(BW412+BW421+BW426)*100</f>
        <v>0</v>
      </c>
      <c r="BX409" s="369">
        <f>BX425/(BX412+BX421+BX426)*100</f>
        <v>0</v>
      </c>
      <c r="BZ409" s="369">
        <f>BZ425/(BZ412+BZ421+BZ426)*100</f>
        <v>0</v>
      </c>
      <c r="CA409" s="369">
        <f>CA425/(CA412+CA421+CA426)*100</f>
        <v>0</v>
      </c>
      <c r="CC409" s="369">
        <f>CC425/(CC412+CC421+CC426)*100</f>
        <v>0</v>
      </c>
      <c r="CD409" s="369">
        <f>CD425/(CD412+CD421+CD426)*100</f>
        <v>0</v>
      </c>
      <c r="CF409" s="369">
        <f>CF425/(CF412+CF421+CF426)*100</f>
        <v>0</v>
      </c>
      <c r="CG409" s="369">
        <f>CG425/(CG412+CG421+CG426)*100</f>
        <v>0</v>
      </c>
      <c r="CI409" s="369" t="e">
        <f>CI425/(CI412+CI421+CI426)*100</f>
        <v>#DIV/0!</v>
      </c>
      <c r="CJ409" s="369" t="e">
        <f>CJ425/(CJ412+CJ421+CJ426)*100</f>
        <v>#DIV/0!</v>
      </c>
    </row>
    <row r="410" spans="1:88" x14ac:dyDescent="0.25">
      <c r="A410" s="329"/>
      <c r="B410" s="297" t="s">
        <v>1377</v>
      </c>
      <c r="C410" s="368"/>
      <c r="D410" s="329" t="s">
        <v>8</v>
      </c>
      <c r="E410" s="367"/>
      <c r="F410" s="367"/>
      <c r="G410" s="367"/>
      <c r="H410" s="369">
        <f>H426/(H412+H421+H426)*100</f>
        <v>14.780600461893764</v>
      </c>
      <c r="I410" s="369">
        <f>I426/(I412+I421+I426)*100</f>
        <v>18.345323741007196</v>
      </c>
      <c r="J410" s="369">
        <f t="shared" si="567"/>
        <v>18.584070796460178</v>
      </c>
      <c r="K410" s="369">
        <f>K426/($K$412+$K$422+$K$426)*100</f>
        <v>20.400728597449909</v>
      </c>
      <c r="L410" s="369">
        <f>L426/($L$412+$L$422+$L$426)*100</f>
        <v>66.666666666666657</v>
      </c>
      <c r="M410" s="369">
        <f t="shared" si="568"/>
        <v>54.54545454545454</v>
      </c>
      <c r="N410" s="369">
        <f t="shared" si="569"/>
        <v>41.666666666666671</v>
      </c>
      <c r="P410" s="369">
        <f>P426/(P412+P422+P426)*100</f>
        <v>20.14388489208633</v>
      </c>
      <c r="Q410" s="369">
        <f>Q426/(Q412+Q422+Q426)*100</f>
        <v>20.574886535552196</v>
      </c>
      <c r="R410" s="369">
        <f>R426/(R412+R422+R426)*100</f>
        <v>0</v>
      </c>
      <c r="S410" s="369">
        <f>S426/(S412+S422+S426)*100</f>
        <v>0</v>
      </c>
      <c r="U410" s="369">
        <f>U426/(U412+U422+U426)*100</f>
        <v>100</v>
      </c>
      <c r="V410" s="369">
        <f>V426/(V412+V422+V426)*100</f>
        <v>100</v>
      </c>
      <c r="X410" s="369">
        <f>X426/(X412+X422+X426)*100</f>
        <v>80</v>
      </c>
      <c r="Y410" s="369">
        <f>Y426/(Y412+Y422+Y426)*100</f>
        <v>33.333333333333329</v>
      </c>
      <c r="AA410" s="369">
        <f>AA426/(AA412+AA422+AA426)*100</f>
        <v>0</v>
      </c>
      <c r="AB410" s="369">
        <f>AB426/(AB412+AB422+AB426)*100</f>
        <v>50</v>
      </c>
      <c r="AD410" s="369">
        <f>AD426/(AD412+AD422+AD426)*100</f>
        <v>41.666666666666671</v>
      </c>
      <c r="AE410" s="369">
        <f>AE426/(AE412+AE422+AE426)*100</f>
        <v>0</v>
      </c>
      <c r="AG410" s="369">
        <f>AG426/(AG412+AG422+AG426)*100</f>
        <v>40</v>
      </c>
      <c r="AH410" s="369">
        <f>AH426/(AH412+AH422+AH426)*100</f>
        <v>60</v>
      </c>
      <c r="AJ410" s="369">
        <f>AJ426/(AJ412+AJ422+AJ426)*100</f>
        <v>37.209302325581397</v>
      </c>
      <c r="AK410" s="369">
        <f>AK426/(AK412+AK422+AK426)*100</f>
        <v>48.387096774193552</v>
      </c>
      <c r="AM410" s="369">
        <f>AM426/(AM412+AM422+AM426)*100</f>
        <v>9.0909090909090917</v>
      </c>
      <c r="AN410" s="369">
        <f>AN426/(AN412+AN422+AN426)*100</f>
        <v>46.428571428571431</v>
      </c>
      <c r="AP410" s="369">
        <f>AP426/(AP412+AP422+AP426)*100</f>
        <v>100</v>
      </c>
      <c r="AQ410" s="369">
        <f>AQ426/(AQ412+AQ422+AQ426)*100</f>
        <v>100</v>
      </c>
      <c r="AS410" s="369">
        <f>AS426/(AS412+AS422+AS426)*100</f>
        <v>0</v>
      </c>
      <c r="AT410" s="369">
        <f>AT426/(AT412+AT422+AT426)*100</f>
        <v>0</v>
      </c>
      <c r="AV410" s="369">
        <f>AV426/(AV412+AV422+AV426)*100</f>
        <v>0</v>
      </c>
      <c r="AW410" s="369">
        <f>AW426/(AW412+AW422+AW426)*100</f>
        <v>25</v>
      </c>
      <c r="AY410" s="369">
        <f>AY426/(AY412+AY422+AY426)*100</f>
        <v>7.6923076923076925</v>
      </c>
      <c r="AZ410" s="369">
        <f>AZ426/(AZ412+AZ422+AZ426)*100</f>
        <v>7.6923076923076925</v>
      </c>
      <c r="BB410" s="369">
        <f>BB426/(BB412+BB422+BB426)*100</f>
        <v>42.857142857142854</v>
      </c>
      <c r="BC410" s="369">
        <f>BC426/(BC412+BC422+BC426)*100</f>
        <v>0</v>
      </c>
      <c r="BE410" s="369">
        <f>BE426/(BE412+BE422+BE426)*100</f>
        <v>0</v>
      </c>
      <c r="BF410" s="369">
        <f>BF426/(BF412+BF422+BF426)*100</f>
        <v>0</v>
      </c>
      <c r="BH410" s="369">
        <f>BH426/(BH412+BH422+BH426)*100</f>
        <v>12.587412587412588</v>
      </c>
      <c r="BI410" s="369">
        <f>BI426/(BI412+BI422+BI426)*100</f>
        <v>10.191082802547772</v>
      </c>
      <c r="BK410" s="369">
        <f>BK426/(BK412+BK422+BK426)*100</f>
        <v>100</v>
      </c>
      <c r="BL410" s="369">
        <f>BL426/(BL412+BL422+BL426)*100</f>
        <v>100</v>
      </c>
      <c r="BN410" s="369">
        <f>BN426/(BN412+BN422+BN426)*100</f>
        <v>0</v>
      </c>
      <c r="BO410" s="369">
        <f>BO426/(BO412+BO422+BO426)*100</f>
        <v>0</v>
      </c>
      <c r="BQ410" s="369">
        <f>BQ426/(BQ412+BQ422+BQ426)*100</f>
        <v>76.923076923076934</v>
      </c>
      <c r="BR410" s="369">
        <f>BR426/(BR412+BR422+BR426)*100</f>
        <v>64</v>
      </c>
      <c r="BT410" s="369">
        <f>BT426/(BT412+BT422+BT426)*100</f>
        <v>0</v>
      </c>
      <c r="BU410" s="369">
        <f>BU426/(BU412+BU422+BU426)*100</f>
        <v>0</v>
      </c>
      <c r="BW410" s="369">
        <f>BW426/(BW412+BW422+BW426)*100</f>
        <v>36.363636363636367</v>
      </c>
      <c r="BX410" s="369">
        <f>BX426/(BX412+BX422+BX426)*100</f>
        <v>66.666666666666657</v>
      </c>
      <c r="BZ410" s="369">
        <f>BZ426/(BZ412+BZ422+BZ426)*100</f>
        <v>88.888888888888886</v>
      </c>
      <c r="CA410" s="369">
        <f>CA426/(CA412+CA422+CA426)*100</f>
        <v>76.923076923076934</v>
      </c>
      <c r="CC410" s="369">
        <f>CC426/(CC412+CC422+CC426)*100</f>
        <v>66.666666666666657</v>
      </c>
      <c r="CD410" s="369">
        <f>CD426/(CD412+CD422+CD426)*100</f>
        <v>40</v>
      </c>
      <c r="CF410" s="369">
        <f>CF426/(CF412+CF422+CF426)*100</f>
        <v>0</v>
      </c>
      <c r="CG410" s="369">
        <f>CG426/(CG412+CG422+CG426)*100</f>
        <v>0</v>
      </c>
      <c r="CI410" s="369" t="e">
        <f>CI426/(CI412+CI422+CI426)*100</f>
        <v>#DIV/0!</v>
      </c>
      <c r="CJ410" s="369" t="e">
        <f>CJ426/(CJ412+CJ422+CJ426)*100</f>
        <v>#DIV/0!</v>
      </c>
    </row>
    <row r="411" spans="1:88" ht="45" x14ac:dyDescent="0.25">
      <c r="A411" s="329"/>
      <c r="B411" s="297" t="s">
        <v>1379</v>
      </c>
      <c r="C411" s="329" t="s">
        <v>1399</v>
      </c>
      <c r="D411" s="329"/>
      <c r="E411" s="367"/>
      <c r="F411" s="367"/>
      <c r="G411" s="367"/>
      <c r="H411" s="367"/>
      <c r="I411" s="367"/>
      <c r="J411" s="367"/>
      <c r="K411" s="367"/>
      <c r="L411" s="367"/>
      <c r="M411" s="367"/>
      <c r="N411" s="367"/>
    </row>
    <row r="412" spans="1:88" ht="45" x14ac:dyDescent="0.25">
      <c r="A412" s="329"/>
      <c r="B412" s="297" t="s">
        <v>1363</v>
      </c>
      <c r="C412" s="370" t="s">
        <v>1815</v>
      </c>
      <c r="D412" s="329" t="s">
        <v>950</v>
      </c>
      <c r="E412" s="367"/>
      <c r="F412" s="367"/>
      <c r="G412" s="367"/>
      <c r="H412" s="367">
        <f t="shared" ref="H412:M412" si="571">SUM(H413:H421)</f>
        <v>369</v>
      </c>
      <c r="I412" s="367">
        <f t="shared" si="571"/>
        <v>432</v>
      </c>
      <c r="J412" s="367">
        <f t="shared" si="571"/>
        <v>459</v>
      </c>
      <c r="K412" s="367">
        <f t="shared" si="571"/>
        <v>437</v>
      </c>
      <c r="L412" s="367">
        <f t="shared" si="571"/>
        <v>2</v>
      </c>
      <c r="M412" s="367">
        <f t="shared" si="571"/>
        <v>5</v>
      </c>
      <c r="N412" s="367">
        <v>7</v>
      </c>
      <c r="P412" s="367">
        <f>SUM(P413:P421)</f>
        <v>437</v>
      </c>
      <c r="Q412" s="367">
        <f>SUM(Q413:Q421)</f>
        <v>524</v>
      </c>
      <c r="R412" s="367">
        <f>SUM(R413:R421)</f>
        <v>14</v>
      </c>
      <c r="S412" s="367">
        <f>SUM(S413:S421)</f>
        <v>24</v>
      </c>
      <c r="U412" s="367">
        <f>SUM(U413:U421)</f>
        <v>0</v>
      </c>
      <c r="V412" s="367">
        <f>SUM(V413:V421)</f>
        <v>0</v>
      </c>
      <c r="X412" s="367">
        <f>SUM(X413:X421)</f>
        <v>1</v>
      </c>
      <c r="Y412" s="367">
        <f>SUM(Y413:Y421)</f>
        <v>6</v>
      </c>
      <c r="AA412" s="367">
        <f>SUM(AA413:AA421)</f>
        <v>10</v>
      </c>
      <c r="AB412" s="367">
        <f>SUM(AB413:AB421)</f>
        <v>5</v>
      </c>
      <c r="AD412" s="367">
        <f>SUM(AD413:AD421)</f>
        <v>0</v>
      </c>
      <c r="AE412" s="367">
        <f>SUM(AE413:AE421)</f>
        <v>3</v>
      </c>
      <c r="AG412" s="367">
        <f>SUM(AG413:AG421)</f>
        <v>3</v>
      </c>
      <c r="AH412" s="367">
        <f>SUM(AH413:AH421)</f>
        <v>2</v>
      </c>
      <c r="AJ412" s="367">
        <f>SUM(AJ413:AJ421)</f>
        <v>27</v>
      </c>
      <c r="AK412" s="367">
        <f>SUM(AK413:AK421)</f>
        <v>16</v>
      </c>
      <c r="AM412" s="367">
        <f>SUM(AM413:AM421)</f>
        <v>30</v>
      </c>
      <c r="AN412" s="367">
        <f>SUM(AN413:AN421)</f>
        <v>30</v>
      </c>
      <c r="AP412" s="367">
        <f>SUM(AP413:AP421)</f>
        <v>0</v>
      </c>
      <c r="AQ412" s="367">
        <f>SUM(AQ413:AQ421)</f>
        <v>0</v>
      </c>
      <c r="AS412" s="367">
        <f>SUM(AS413:AS421)</f>
        <v>29</v>
      </c>
      <c r="AT412" s="367">
        <f>SUM(AT413:AT421)</f>
        <v>45</v>
      </c>
      <c r="AV412" s="367">
        <f>SUM(AV413:AV421)</f>
        <v>6</v>
      </c>
      <c r="AW412" s="367">
        <f>SUM(AW413:AW421)</f>
        <v>6</v>
      </c>
      <c r="AY412" s="367">
        <f>SUM(AY413:AY421)</f>
        <v>24</v>
      </c>
      <c r="AZ412" s="367">
        <f>SUM(AZ413:AZ421)</f>
        <v>24</v>
      </c>
      <c r="BB412" s="367">
        <f>SUM(BB413:BB421)</f>
        <v>8</v>
      </c>
      <c r="BC412" s="367">
        <f>SUM(BC413:BC421)</f>
        <v>23</v>
      </c>
      <c r="BE412" s="367">
        <f>SUM(BE413:BE421)</f>
        <v>67</v>
      </c>
      <c r="BF412" s="367">
        <f>SUM(BF413:BF421)</f>
        <v>87</v>
      </c>
      <c r="BH412" s="367">
        <f>SUM(BH413:BH421)</f>
        <v>125</v>
      </c>
      <c r="BI412" s="367">
        <f>SUM(BI413:BI421)</f>
        <v>141</v>
      </c>
      <c r="BK412" s="367">
        <f>SUM(BK413:BK421)</f>
        <v>0</v>
      </c>
      <c r="BL412" s="367">
        <f>SUM(BL413:BL421)</f>
        <v>0</v>
      </c>
      <c r="BN412" s="367">
        <f>SUM(BN413:BN421)</f>
        <v>21</v>
      </c>
      <c r="BO412" s="367">
        <f>SUM(BO413:BO421)</f>
        <v>26</v>
      </c>
      <c r="BQ412" s="367">
        <f>SUM(BQ413:BQ421)</f>
        <v>6</v>
      </c>
      <c r="BR412" s="367">
        <f>SUM(BR413:BR421)</f>
        <v>9</v>
      </c>
      <c r="BT412" s="367">
        <f>SUM(BT413:BT421)</f>
        <v>11</v>
      </c>
      <c r="BU412" s="367">
        <f>SUM(BU413:BU421)</f>
        <v>12</v>
      </c>
      <c r="BW412" s="367">
        <f>SUM(BW413:BW421)</f>
        <v>7</v>
      </c>
      <c r="BX412" s="367">
        <f>SUM(BX413:BX421)</f>
        <v>4</v>
      </c>
      <c r="BZ412" s="367">
        <f>SUM(BZ413:BZ421)</f>
        <v>1</v>
      </c>
      <c r="CA412" s="367">
        <f>SUM(CA413:CA421)</f>
        <v>3</v>
      </c>
      <c r="CC412" s="367">
        <f>SUM(CC413:CC421)</f>
        <v>1</v>
      </c>
      <c r="CD412" s="367">
        <f>SUM(CD413:CD421)</f>
        <v>6</v>
      </c>
      <c r="CF412" s="367">
        <f>SUM(CF413:CF421)</f>
        <v>46</v>
      </c>
      <c r="CG412" s="367">
        <f>SUM(CG413:CG421)</f>
        <v>52</v>
      </c>
      <c r="CI412" s="367">
        <f>SUM(CI413:CI421)</f>
        <v>0</v>
      </c>
      <c r="CJ412" s="367">
        <f>SUM(CJ413:CJ421)</f>
        <v>0</v>
      </c>
    </row>
    <row r="413" spans="1:88" ht="45" x14ac:dyDescent="0.25">
      <c r="A413" s="329"/>
      <c r="B413" s="297" t="s">
        <v>1364</v>
      </c>
      <c r="C413" s="370" t="s">
        <v>1564</v>
      </c>
      <c r="D413" s="329" t="s">
        <v>950</v>
      </c>
      <c r="E413" s="367"/>
      <c r="F413" s="367"/>
      <c r="G413" s="367"/>
      <c r="H413" s="367">
        <v>40</v>
      </c>
      <c r="I413" s="367">
        <v>36</v>
      </c>
      <c r="J413" s="367">
        <v>27</v>
      </c>
      <c r="K413" s="367">
        <v>36</v>
      </c>
      <c r="L413" s="367">
        <v>0</v>
      </c>
      <c r="M413" s="367">
        <v>0</v>
      </c>
      <c r="N413" s="367">
        <v>0</v>
      </c>
      <c r="O413" s="286"/>
      <c r="P413" s="283">
        <f t="shared" ref="P413:Q426" si="572">R413+U413+X413+AA413+AD413+AG413+AJ413+AM413+AP413+AS413+AV413+AY413+BB413+BE413+BH413+BK413+BN413+BQ413+BT413+BW413+BZ413+CC413+CF413+CI413</f>
        <v>34</v>
      </c>
      <c r="Q413" s="283">
        <f t="shared" si="572"/>
        <v>34</v>
      </c>
      <c r="R413" s="267">
        <v>0</v>
      </c>
      <c r="S413" s="267">
        <v>0</v>
      </c>
      <c r="U413" s="267">
        <v>0</v>
      </c>
      <c r="V413" s="267">
        <v>0</v>
      </c>
      <c r="X413" s="267">
        <v>0</v>
      </c>
      <c r="Y413" s="267">
        <v>0</v>
      </c>
      <c r="AA413" s="267">
        <v>0</v>
      </c>
      <c r="AB413" s="267">
        <v>0</v>
      </c>
      <c r="AD413" s="267">
        <v>0</v>
      </c>
      <c r="AE413" s="267">
        <v>0</v>
      </c>
      <c r="AG413" s="267">
        <v>0</v>
      </c>
      <c r="AH413" s="267">
        <v>0</v>
      </c>
      <c r="AJ413" s="267">
        <v>0</v>
      </c>
      <c r="AK413" s="267">
        <v>0</v>
      </c>
      <c r="AM413" s="267">
        <v>0</v>
      </c>
      <c r="AN413" s="267">
        <v>0</v>
      </c>
      <c r="AP413" s="267">
        <v>0</v>
      </c>
      <c r="AQ413" s="267">
        <v>0</v>
      </c>
      <c r="AS413" s="267">
        <v>0</v>
      </c>
      <c r="AT413" s="267">
        <v>0</v>
      </c>
      <c r="AV413" s="267">
        <v>0</v>
      </c>
      <c r="AW413" s="267">
        <v>0</v>
      </c>
      <c r="AY413" s="267">
        <v>0</v>
      </c>
      <c r="AZ413" s="267">
        <v>0</v>
      </c>
      <c r="BB413" s="267">
        <v>0</v>
      </c>
      <c r="BC413" s="267">
        <v>0</v>
      </c>
      <c r="BE413" s="267">
        <v>0</v>
      </c>
      <c r="BF413" s="267">
        <v>0</v>
      </c>
      <c r="BH413" s="267">
        <v>0</v>
      </c>
      <c r="BI413" s="267">
        <v>0</v>
      </c>
      <c r="BK413" s="267">
        <v>0</v>
      </c>
      <c r="BL413" s="267">
        <v>0</v>
      </c>
      <c r="BN413" s="267">
        <v>0</v>
      </c>
      <c r="BO413" s="267">
        <v>0</v>
      </c>
      <c r="BQ413" s="267">
        <v>0</v>
      </c>
      <c r="BR413" s="267">
        <v>0</v>
      </c>
      <c r="BT413" s="267">
        <v>0</v>
      </c>
      <c r="BU413" s="267">
        <v>0</v>
      </c>
      <c r="BW413" s="267">
        <v>0</v>
      </c>
      <c r="BX413" s="267">
        <v>0</v>
      </c>
      <c r="BZ413" s="267">
        <v>0</v>
      </c>
      <c r="CA413" s="267">
        <v>0</v>
      </c>
      <c r="CC413" s="267">
        <v>0</v>
      </c>
      <c r="CD413" s="267">
        <v>0</v>
      </c>
      <c r="CF413" s="267">
        <v>34</v>
      </c>
      <c r="CG413" s="267">
        <v>34</v>
      </c>
      <c r="CI413" s="267">
        <v>0</v>
      </c>
      <c r="CJ413" s="267">
        <v>0</v>
      </c>
    </row>
    <row r="414" spans="1:88" ht="45" x14ac:dyDescent="0.25">
      <c r="A414" s="329"/>
      <c r="B414" s="297" t="s">
        <v>1365</v>
      </c>
      <c r="C414" s="370" t="s">
        <v>1565</v>
      </c>
      <c r="D414" s="329" t="s">
        <v>950</v>
      </c>
      <c r="E414" s="367"/>
      <c r="F414" s="367"/>
      <c r="G414" s="367"/>
      <c r="H414" s="367">
        <v>100</v>
      </c>
      <c r="I414" s="367">
        <v>101</v>
      </c>
      <c r="J414" s="367">
        <v>125</v>
      </c>
      <c r="K414" s="367">
        <v>114</v>
      </c>
      <c r="L414" s="367">
        <v>2</v>
      </c>
      <c r="M414" s="367">
        <v>5</v>
      </c>
      <c r="N414" s="367">
        <v>3</v>
      </c>
      <c r="O414" s="286"/>
      <c r="P414" s="283">
        <f t="shared" si="572"/>
        <v>114</v>
      </c>
      <c r="Q414" s="283">
        <f t="shared" si="572"/>
        <v>126</v>
      </c>
      <c r="R414" s="267">
        <v>1</v>
      </c>
      <c r="S414" s="267">
        <v>2</v>
      </c>
      <c r="U414" s="267">
        <v>0</v>
      </c>
      <c r="V414" s="267">
        <v>0</v>
      </c>
      <c r="X414" s="267">
        <v>1</v>
      </c>
      <c r="Y414" s="267">
        <v>0</v>
      </c>
      <c r="AA414" s="267">
        <v>3</v>
      </c>
      <c r="AB414" s="267">
        <v>5</v>
      </c>
      <c r="AD414" s="267">
        <v>0</v>
      </c>
      <c r="AE414" s="267">
        <v>3</v>
      </c>
      <c r="AG414" s="267">
        <v>3</v>
      </c>
      <c r="AH414" s="267">
        <v>2</v>
      </c>
      <c r="AJ414" s="267">
        <v>9</v>
      </c>
      <c r="AK414" s="267">
        <v>6</v>
      </c>
      <c r="AM414" s="267">
        <v>1</v>
      </c>
      <c r="AN414" s="267">
        <v>3</v>
      </c>
      <c r="AP414" s="267">
        <v>0</v>
      </c>
      <c r="AQ414" s="267">
        <v>0</v>
      </c>
      <c r="AS414" s="267">
        <v>21</v>
      </c>
      <c r="AT414" s="267">
        <v>21</v>
      </c>
      <c r="AV414" s="267">
        <v>0</v>
      </c>
      <c r="AW414" s="267">
        <v>1</v>
      </c>
      <c r="AY414" s="267">
        <v>4</v>
      </c>
      <c r="AZ414" s="267">
        <v>3</v>
      </c>
      <c r="BB414" s="267">
        <v>6</v>
      </c>
      <c r="BC414" s="267">
        <v>8</v>
      </c>
      <c r="BE414" s="267">
        <v>17</v>
      </c>
      <c r="BF414" s="267">
        <v>23</v>
      </c>
      <c r="BH414" s="267">
        <v>21</v>
      </c>
      <c r="BI414" s="267">
        <v>30</v>
      </c>
      <c r="BK414" s="267">
        <v>0</v>
      </c>
      <c r="BL414" s="267">
        <v>0</v>
      </c>
      <c r="BN414" s="267">
        <v>6</v>
      </c>
      <c r="BO414" s="267">
        <v>6</v>
      </c>
      <c r="BQ414" s="267">
        <v>0</v>
      </c>
      <c r="BR414" s="267">
        <v>0</v>
      </c>
      <c r="BT414" s="267">
        <v>0</v>
      </c>
      <c r="BU414" s="267">
        <v>0</v>
      </c>
      <c r="BW414" s="267">
        <v>7</v>
      </c>
      <c r="BX414" s="267">
        <v>4</v>
      </c>
      <c r="BZ414" s="267">
        <v>1</v>
      </c>
      <c r="CA414" s="267">
        <v>0</v>
      </c>
      <c r="CC414" s="267">
        <v>1</v>
      </c>
      <c r="CD414" s="267">
        <v>1</v>
      </c>
      <c r="CF414" s="267">
        <v>12</v>
      </c>
      <c r="CG414" s="267">
        <v>8</v>
      </c>
      <c r="CI414" s="267">
        <v>0</v>
      </c>
      <c r="CJ414" s="267">
        <v>0</v>
      </c>
    </row>
    <row r="415" spans="1:88" ht="45" x14ac:dyDescent="0.25">
      <c r="A415" s="329"/>
      <c r="B415" s="297" t="s">
        <v>1366</v>
      </c>
      <c r="C415" s="370" t="s">
        <v>1566</v>
      </c>
      <c r="D415" s="329" t="s">
        <v>950</v>
      </c>
      <c r="E415" s="367"/>
      <c r="F415" s="367"/>
      <c r="G415" s="367"/>
      <c r="H415" s="367">
        <v>19</v>
      </c>
      <c r="I415" s="367">
        <v>21</v>
      </c>
      <c r="J415" s="367">
        <v>17</v>
      </c>
      <c r="K415" s="367">
        <v>21</v>
      </c>
      <c r="L415" s="367">
        <v>0</v>
      </c>
      <c r="M415" s="367">
        <v>0</v>
      </c>
      <c r="N415" s="367">
        <v>0</v>
      </c>
      <c r="O415" s="286"/>
      <c r="P415" s="283">
        <f t="shared" si="572"/>
        <v>23</v>
      </c>
      <c r="Q415" s="283">
        <f t="shared" si="572"/>
        <v>24</v>
      </c>
      <c r="R415" s="267">
        <v>0</v>
      </c>
      <c r="S415" s="267">
        <v>0</v>
      </c>
      <c r="U415" s="267">
        <v>0</v>
      </c>
      <c r="V415" s="267">
        <v>0</v>
      </c>
      <c r="X415" s="267">
        <v>0</v>
      </c>
      <c r="Y415" s="267">
        <v>0</v>
      </c>
      <c r="AA415" s="267">
        <v>0</v>
      </c>
      <c r="AB415" s="267">
        <v>0</v>
      </c>
      <c r="AD415" s="267">
        <v>0</v>
      </c>
      <c r="AE415" s="267">
        <v>0</v>
      </c>
      <c r="AG415" s="267">
        <v>0</v>
      </c>
      <c r="AH415" s="267">
        <v>0</v>
      </c>
      <c r="AJ415" s="267">
        <v>0</v>
      </c>
      <c r="AK415" s="267">
        <v>0</v>
      </c>
      <c r="AM415" s="267">
        <v>0</v>
      </c>
      <c r="AN415" s="267">
        <v>0</v>
      </c>
      <c r="AP415" s="267">
        <v>0</v>
      </c>
      <c r="AQ415" s="267">
        <v>0</v>
      </c>
      <c r="AS415" s="267">
        <v>2</v>
      </c>
      <c r="AT415" s="267">
        <v>5</v>
      </c>
      <c r="AV415" s="267">
        <v>0</v>
      </c>
      <c r="AW415" s="267">
        <v>0</v>
      </c>
      <c r="AY415" s="267">
        <v>2</v>
      </c>
      <c r="AZ415" s="267">
        <v>2</v>
      </c>
      <c r="BB415" s="267">
        <v>2</v>
      </c>
      <c r="BC415" s="267">
        <v>1</v>
      </c>
      <c r="BE415" s="267">
        <v>1</v>
      </c>
      <c r="BF415" s="267">
        <v>0</v>
      </c>
      <c r="BH415" s="267">
        <v>13</v>
      </c>
      <c r="BI415" s="267">
        <v>13</v>
      </c>
      <c r="BK415" s="267">
        <v>0</v>
      </c>
      <c r="BL415" s="267">
        <v>0</v>
      </c>
      <c r="BN415" s="267">
        <v>0</v>
      </c>
      <c r="BO415" s="267">
        <v>0</v>
      </c>
      <c r="BQ415" s="267">
        <v>0</v>
      </c>
      <c r="BR415" s="267">
        <v>0</v>
      </c>
      <c r="BT415" s="267">
        <v>3</v>
      </c>
      <c r="BU415" s="267">
        <v>3</v>
      </c>
      <c r="BW415" s="267">
        <v>0</v>
      </c>
      <c r="BX415" s="267">
        <v>0</v>
      </c>
      <c r="BZ415" s="267">
        <v>0</v>
      </c>
      <c r="CA415" s="267">
        <v>0</v>
      </c>
      <c r="CC415" s="267">
        <v>0</v>
      </c>
      <c r="CD415" s="267">
        <v>0</v>
      </c>
      <c r="CF415" s="267">
        <v>0</v>
      </c>
      <c r="CG415" s="267">
        <v>0</v>
      </c>
      <c r="CI415" s="267">
        <v>0</v>
      </c>
      <c r="CJ415" s="267">
        <v>0</v>
      </c>
    </row>
    <row r="416" spans="1:88" ht="45" x14ac:dyDescent="0.25">
      <c r="A416" s="329"/>
      <c r="B416" s="297" t="s">
        <v>1367</v>
      </c>
      <c r="C416" s="370" t="s">
        <v>1567</v>
      </c>
      <c r="D416" s="329" t="s">
        <v>950</v>
      </c>
      <c r="E416" s="367"/>
      <c r="F416" s="367"/>
      <c r="G416" s="367"/>
      <c r="H416" s="367">
        <v>63</v>
      </c>
      <c r="I416" s="367">
        <v>62</v>
      </c>
      <c r="J416" s="367">
        <v>68</v>
      </c>
      <c r="K416" s="367">
        <v>79</v>
      </c>
      <c r="L416" s="367">
        <v>0</v>
      </c>
      <c r="M416" s="367">
        <v>0</v>
      </c>
      <c r="N416" s="367">
        <v>0</v>
      </c>
      <c r="O416" s="286"/>
      <c r="P416" s="283">
        <f t="shared" si="572"/>
        <v>79</v>
      </c>
      <c r="Q416" s="283">
        <f t="shared" si="572"/>
        <v>98</v>
      </c>
      <c r="R416" s="304">
        <v>0</v>
      </c>
      <c r="S416" s="304">
        <v>0</v>
      </c>
      <c r="U416" s="304">
        <v>0</v>
      </c>
      <c r="V416" s="304">
        <v>0</v>
      </c>
      <c r="X416" s="304">
        <v>0</v>
      </c>
      <c r="Y416" s="304">
        <v>0</v>
      </c>
      <c r="AA416" s="304">
        <v>0</v>
      </c>
      <c r="AB416" s="304">
        <v>0</v>
      </c>
      <c r="AD416" s="304">
        <v>0</v>
      </c>
      <c r="AE416" s="304">
        <v>0</v>
      </c>
      <c r="AG416" s="304">
        <v>0</v>
      </c>
      <c r="AH416" s="304">
        <v>0</v>
      </c>
      <c r="AJ416" s="304">
        <v>0</v>
      </c>
      <c r="AK416" s="304">
        <v>0</v>
      </c>
      <c r="AM416" s="304">
        <v>10</v>
      </c>
      <c r="AN416" s="304">
        <v>5</v>
      </c>
      <c r="AP416" s="304">
        <v>0</v>
      </c>
      <c r="AQ416" s="304">
        <v>0</v>
      </c>
      <c r="AS416" s="304">
        <v>0</v>
      </c>
      <c r="AT416" s="304">
        <v>0</v>
      </c>
      <c r="AV416" s="304">
        <v>0</v>
      </c>
      <c r="AW416" s="304">
        <v>0</v>
      </c>
      <c r="AY416" s="304">
        <v>0</v>
      </c>
      <c r="AZ416" s="304">
        <v>0</v>
      </c>
      <c r="BB416" s="304">
        <v>0</v>
      </c>
      <c r="BC416" s="304">
        <v>10</v>
      </c>
      <c r="BE416" s="304">
        <v>9</v>
      </c>
      <c r="BF416" s="304">
        <v>20</v>
      </c>
      <c r="BH416" s="304">
        <v>46</v>
      </c>
      <c r="BI416" s="304">
        <v>54</v>
      </c>
      <c r="BK416" s="304">
        <v>0</v>
      </c>
      <c r="BL416" s="304">
        <v>0</v>
      </c>
      <c r="BN416" s="304">
        <v>6</v>
      </c>
      <c r="BO416" s="304">
        <v>0</v>
      </c>
      <c r="BQ416" s="304">
        <v>0</v>
      </c>
      <c r="BR416" s="304">
        <v>0</v>
      </c>
      <c r="BT416" s="304">
        <v>8</v>
      </c>
      <c r="BU416" s="304">
        <v>9</v>
      </c>
      <c r="BW416" s="304">
        <v>0</v>
      </c>
      <c r="BX416" s="304">
        <v>0</v>
      </c>
      <c r="BZ416" s="304">
        <v>0</v>
      </c>
      <c r="CA416" s="304">
        <v>0</v>
      </c>
      <c r="CC416" s="304">
        <v>0</v>
      </c>
      <c r="CD416" s="304">
        <v>0</v>
      </c>
      <c r="CF416" s="304">
        <v>0</v>
      </c>
      <c r="CG416" s="304">
        <v>0</v>
      </c>
      <c r="CI416" s="267">
        <v>0</v>
      </c>
      <c r="CJ416" s="267">
        <v>0</v>
      </c>
    </row>
    <row r="417" spans="1:88" ht="45" x14ac:dyDescent="0.25">
      <c r="A417" s="329"/>
      <c r="B417" s="297" t="s">
        <v>1368</v>
      </c>
      <c r="C417" s="370" t="s">
        <v>1568</v>
      </c>
      <c r="D417" s="329" t="s">
        <v>950</v>
      </c>
      <c r="E417" s="367"/>
      <c r="F417" s="367"/>
      <c r="G417" s="367"/>
      <c r="H417" s="367">
        <v>69</v>
      </c>
      <c r="I417" s="367">
        <v>92</v>
      </c>
      <c r="J417" s="367">
        <v>89</v>
      </c>
      <c r="K417" s="367">
        <v>101</v>
      </c>
      <c r="L417" s="367">
        <v>0</v>
      </c>
      <c r="M417" s="367">
        <v>0</v>
      </c>
      <c r="N417" s="367">
        <v>4</v>
      </c>
      <c r="O417" s="286"/>
      <c r="P417" s="283">
        <f t="shared" si="572"/>
        <v>101</v>
      </c>
      <c r="Q417" s="283">
        <f t="shared" si="572"/>
        <v>127</v>
      </c>
      <c r="R417" s="304">
        <v>8</v>
      </c>
      <c r="S417" s="304">
        <v>12</v>
      </c>
      <c r="U417" s="304">
        <v>0</v>
      </c>
      <c r="V417" s="304">
        <v>0</v>
      </c>
      <c r="X417" s="304">
        <v>0</v>
      </c>
      <c r="Y417" s="304">
        <v>0</v>
      </c>
      <c r="AA417" s="304">
        <v>0</v>
      </c>
      <c r="AB417" s="304">
        <v>0</v>
      </c>
      <c r="AD417" s="304">
        <v>0</v>
      </c>
      <c r="AE417" s="304">
        <v>0</v>
      </c>
      <c r="AG417" s="304">
        <v>0</v>
      </c>
      <c r="AH417" s="304">
        <v>0</v>
      </c>
      <c r="AJ417" s="304">
        <v>1</v>
      </c>
      <c r="AK417" s="304">
        <v>0</v>
      </c>
      <c r="AM417" s="304">
        <v>5</v>
      </c>
      <c r="AN417" s="304">
        <v>7</v>
      </c>
      <c r="AP417" s="304">
        <v>0</v>
      </c>
      <c r="AQ417" s="304">
        <v>0</v>
      </c>
      <c r="AS417" s="304">
        <v>0</v>
      </c>
      <c r="AT417" s="304">
        <v>1</v>
      </c>
      <c r="AV417" s="304">
        <v>6</v>
      </c>
      <c r="AW417" s="304">
        <v>5</v>
      </c>
      <c r="AY417" s="304">
        <v>14</v>
      </c>
      <c r="AZ417" s="304">
        <v>12</v>
      </c>
      <c r="BB417" s="304">
        <v>0</v>
      </c>
      <c r="BC417" s="304">
        <v>1</v>
      </c>
      <c r="BE417" s="304">
        <v>25</v>
      </c>
      <c r="BF417" s="304">
        <v>39</v>
      </c>
      <c r="BH417" s="304">
        <v>40</v>
      </c>
      <c r="BI417" s="304">
        <v>44</v>
      </c>
      <c r="BK417" s="304">
        <v>0</v>
      </c>
      <c r="BL417" s="304">
        <v>0</v>
      </c>
      <c r="BN417" s="304">
        <v>2</v>
      </c>
      <c r="BO417" s="304">
        <v>3</v>
      </c>
      <c r="BQ417" s="304">
        <v>0</v>
      </c>
      <c r="BR417" s="304">
        <v>0</v>
      </c>
      <c r="BT417" s="304">
        <v>0</v>
      </c>
      <c r="BU417" s="304">
        <v>0</v>
      </c>
      <c r="BW417" s="304">
        <v>0</v>
      </c>
      <c r="BX417" s="304">
        <v>0</v>
      </c>
      <c r="BZ417" s="304">
        <v>0</v>
      </c>
      <c r="CA417" s="304">
        <v>3</v>
      </c>
      <c r="CC417" s="304">
        <v>0</v>
      </c>
      <c r="CD417" s="304">
        <v>0</v>
      </c>
      <c r="CF417" s="304">
        <v>0</v>
      </c>
      <c r="CG417" s="304">
        <v>0</v>
      </c>
      <c r="CI417" s="267">
        <v>0</v>
      </c>
      <c r="CJ417" s="267">
        <v>0</v>
      </c>
    </row>
    <row r="418" spans="1:88" ht="45" x14ac:dyDescent="0.25">
      <c r="A418" s="329"/>
      <c r="B418" s="297" t="s">
        <v>1369</v>
      </c>
      <c r="C418" s="370" t="s">
        <v>1569</v>
      </c>
      <c r="D418" s="329" t="s">
        <v>950</v>
      </c>
      <c r="E418" s="367"/>
      <c r="F418" s="367"/>
      <c r="G418" s="367"/>
      <c r="H418" s="367">
        <v>23</v>
      </c>
      <c r="I418" s="367">
        <v>22</v>
      </c>
      <c r="J418" s="367">
        <v>22</v>
      </c>
      <c r="K418" s="367">
        <v>10</v>
      </c>
      <c r="L418" s="367">
        <v>0</v>
      </c>
      <c r="M418" s="367">
        <v>0</v>
      </c>
      <c r="N418" s="367">
        <v>0</v>
      </c>
      <c r="O418" s="286"/>
      <c r="P418" s="283">
        <f t="shared" si="572"/>
        <v>10</v>
      </c>
      <c r="Q418" s="283">
        <f t="shared" si="572"/>
        <v>5</v>
      </c>
      <c r="R418" s="304">
        <v>0</v>
      </c>
      <c r="S418" s="304">
        <v>0</v>
      </c>
      <c r="U418" s="304">
        <v>0</v>
      </c>
      <c r="V418" s="304">
        <v>0</v>
      </c>
      <c r="X418" s="304">
        <v>0</v>
      </c>
      <c r="Y418" s="304">
        <v>0</v>
      </c>
      <c r="AA418" s="304">
        <v>0</v>
      </c>
      <c r="AB418" s="304">
        <v>0</v>
      </c>
      <c r="AD418" s="304">
        <v>0</v>
      </c>
      <c r="AE418" s="304">
        <v>0</v>
      </c>
      <c r="AG418" s="304">
        <v>0</v>
      </c>
      <c r="AH418" s="304">
        <v>0</v>
      </c>
      <c r="AJ418" s="304">
        <v>0</v>
      </c>
      <c r="AK418" s="304">
        <v>0</v>
      </c>
      <c r="AM418" s="304">
        <v>0</v>
      </c>
      <c r="AN418" s="304">
        <v>0</v>
      </c>
      <c r="AP418" s="304">
        <v>0</v>
      </c>
      <c r="AQ418" s="304">
        <v>0</v>
      </c>
      <c r="AS418" s="304">
        <v>0</v>
      </c>
      <c r="AT418" s="304">
        <v>0</v>
      </c>
      <c r="AV418" s="304">
        <v>0</v>
      </c>
      <c r="AW418" s="304">
        <v>0</v>
      </c>
      <c r="AY418" s="304">
        <v>0</v>
      </c>
      <c r="AZ418" s="304">
        <v>0</v>
      </c>
      <c r="BB418" s="304">
        <v>0</v>
      </c>
      <c r="BC418" s="304">
        <v>0</v>
      </c>
      <c r="BE418" s="304">
        <v>10</v>
      </c>
      <c r="BF418" s="304">
        <v>5</v>
      </c>
      <c r="BH418" s="304">
        <v>0</v>
      </c>
      <c r="BI418" s="304">
        <v>0</v>
      </c>
      <c r="BK418" s="304">
        <v>0</v>
      </c>
      <c r="BL418" s="304">
        <v>0</v>
      </c>
      <c r="BN418" s="304">
        <v>0</v>
      </c>
      <c r="BO418" s="304">
        <v>0</v>
      </c>
      <c r="BQ418" s="304">
        <v>0</v>
      </c>
      <c r="BR418" s="304">
        <v>0</v>
      </c>
      <c r="BT418" s="304">
        <v>0</v>
      </c>
      <c r="BU418" s="304">
        <v>0</v>
      </c>
      <c r="BW418" s="304">
        <v>0</v>
      </c>
      <c r="BX418" s="304">
        <v>0</v>
      </c>
      <c r="BZ418" s="304">
        <v>0</v>
      </c>
      <c r="CA418" s="304">
        <v>0</v>
      </c>
      <c r="CC418" s="304">
        <v>0</v>
      </c>
      <c r="CD418" s="304">
        <v>0</v>
      </c>
      <c r="CF418" s="304">
        <v>0</v>
      </c>
      <c r="CG418" s="304">
        <v>0</v>
      </c>
      <c r="CI418" s="267">
        <v>0</v>
      </c>
      <c r="CJ418" s="267">
        <v>0</v>
      </c>
    </row>
    <row r="419" spans="1:88" ht="45" hidden="1" x14ac:dyDescent="0.25">
      <c r="A419" s="329"/>
      <c r="B419" s="297" t="s">
        <v>1370</v>
      </c>
      <c r="C419" s="370" t="s">
        <v>1570</v>
      </c>
      <c r="D419" s="329" t="s">
        <v>950</v>
      </c>
      <c r="E419" s="367"/>
      <c r="F419" s="367"/>
      <c r="G419" s="367"/>
      <c r="H419" s="367">
        <v>45</v>
      </c>
      <c r="I419" s="367"/>
      <c r="J419" s="367"/>
      <c r="K419" s="367"/>
      <c r="L419" s="367"/>
      <c r="M419" s="367"/>
      <c r="N419" s="367"/>
      <c r="O419" s="286"/>
      <c r="P419" s="283">
        <f t="shared" si="572"/>
        <v>0</v>
      </c>
      <c r="Q419" s="283">
        <f t="shared" si="572"/>
        <v>0</v>
      </c>
    </row>
    <row r="420" spans="1:88" ht="45" x14ac:dyDescent="0.25">
      <c r="A420" s="329"/>
      <c r="B420" s="297" t="s">
        <v>1371</v>
      </c>
      <c r="C420" s="370" t="s">
        <v>1571</v>
      </c>
      <c r="D420" s="329" t="s">
        <v>950</v>
      </c>
      <c r="E420" s="367"/>
      <c r="F420" s="367"/>
      <c r="G420" s="367"/>
      <c r="H420" s="367">
        <v>10</v>
      </c>
      <c r="I420" s="367">
        <v>76</v>
      </c>
      <c r="J420" s="367">
        <v>80</v>
      </c>
      <c r="K420" s="367">
        <v>65</v>
      </c>
      <c r="L420" s="367">
        <v>0</v>
      </c>
      <c r="M420" s="367">
        <v>0</v>
      </c>
      <c r="N420" s="367">
        <v>0</v>
      </c>
      <c r="O420" s="286"/>
      <c r="P420" s="283">
        <f t="shared" si="572"/>
        <v>65</v>
      </c>
      <c r="Q420" s="283">
        <f t="shared" si="572"/>
        <v>83</v>
      </c>
      <c r="R420" s="267">
        <v>5</v>
      </c>
      <c r="S420" s="267">
        <v>10</v>
      </c>
      <c r="U420" s="267">
        <v>0</v>
      </c>
      <c r="V420" s="267">
        <v>0</v>
      </c>
      <c r="X420" s="267">
        <v>0</v>
      </c>
      <c r="Y420" s="267">
        <v>6</v>
      </c>
      <c r="AA420" s="267">
        <v>7</v>
      </c>
      <c r="AB420" s="267">
        <v>0</v>
      </c>
      <c r="AD420" s="267">
        <v>0</v>
      </c>
      <c r="AE420" s="267">
        <v>0</v>
      </c>
      <c r="AG420" s="267">
        <v>0</v>
      </c>
      <c r="AH420" s="267">
        <v>0</v>
      </c>
      <c r="AJ420" s="267">
        <v>17</v>
      </c>
      <c r="AK420" s="267">
        <v>10</v>
      </c>
      <c r="AM420" s="267">
        <v>14</v>
      </c>
      <c r="AN420" s="267">
        <v>15</v>
      </c>
      <c r="AP420" s="267">
        <v>0</v>
      </c>
      <c r="AQ420" s="267">
        <v>0</v>
      </c>
      <c r="AS420" s="267">
        <v>2</v>
      </c>
      <c r="AT420" s="267">
        <v>0</v>
      </c>
      <c r="AV420" s="267">
        <v>0</v>
      </c>
      <c r="AW420" s="267">
        <v>0</v>
      </c>
      <c r="AY420" s="267">
        <v>3</v>
      </c>
      <c r="AZ420" s="267">
        <v>7</v>
      </c>
      <c r="BB420" s="267">
        <v>0</v>
      </c>
      <c r="BC420" s="267">
        <v>3</v>
      </c>
      <c r="BE420" s="267">
        <v>5</v>
      </c>
      <c r="BF420" s="267">
        <v>0</v>
      </c>
      <c r="BH420" s="267">
        <v>5</v>
      </c>
      <c r="BI420" s="267">
        <v>0</v>
      </c>
      <c r="BK420" s="267">
        <v>0</v>
      </c>
      <c r="BL420" s="267">
        <v>0</v>
      </c>
      <c r="BN420" s="267">
        <v>7</v>
      </c>
      <c r="BO420" s="267">
        <v>17</v>
      </c>
      <c r="BQ420" s="267">
        <v>0</v>
      </c>
      <c r="BR420" s="267">
        <v>0</v>
      </c>
      <c r="BT420" s="267">
        <v>0</v>
      </c>
      <c r="BU420" s="267">
        <v>0</v>
      </c>
      <c r="BW420" s="267">
        <v>0</v>
      </c>
      <c r="BX420" s="267">
        <v>0</v>
      </c>
      <c r="BZ420" s="267">
        <v>0</v>
      </c>
      <c r="CA420" s="267">
        <v>0</v>
      </c>
      <c r="CC420" s="267">
        <v>0</v>
      </c>
      <c r="CD420" s="267">
        <v>5</v>
      </c>
      <c r="CF420" s="267">
        <v>0</v>
      </c>
      <c r="CG420" s="267">
        <v>10</v>
      </c>
      <c r="CI420" s="267">
        <v>0</v>
      </c>
      <c r="CJ420" s="267">
        <v>0</v>
      </c>
    </row>
    <row r="421" spans="1:88" ht="45" x14ac:dyDescent="0.25">
      <c r="A421" s="329"/>
      <c r="B421" s="297" t="s">
        <v>1372</v>
      </c>
      <c r="C421" s="370" t="s">
        <v>1572</v>
      </c>
      <c r="D421" s="329" t="s">
        <v>950</v>
      </c>
      <c r="E421" s="367"/>
      <c r="F421" s="367"/>
      <c r="G421" s="367"/>
      <c r="H421" s="367">
        <v>0</v>
      </c>
      <c r="I421" s="367">
        <v>22</v>
      </c>
      <c r="J421" s="367">
        <v>31</v>
      </c>
      <c r="K421" s="367">
        <v>11</v>
      </c>
      <c r="L421" s="367">
        <v>0</v>
      </c>
      <c r="M421" s="367">
        <v>0</v>
      </c>
      <c r="N421" s="367">
        <v>0</v>
      </c>
      <c r="O421" s="286"/>
      <c r="P421" s="283">
        <f t="shared" si="572"/>
        <v>11</v>
      </c>
      <c r="Q421" s="283">
        <f t="shared" si="572"/>
        <v>27</v>
      </c>
      <c r="R421" s="267">
        <v>0</v>
      </c>
      <c r="S421" s="267">
        <v>0</v>
      </c>
      <c r="U421" s="267">
        <v>0</v>
      </c>
      <c r="V421" s="267">
        <v>0</v>
      </c>
      <c r="X421" s="267">
        <v>0</v>
      </c>
      <c r="Y421" s="267">
        <v>0</v>
      </c>
      <c r="AA421" s="267">
        <v>0</v>
      </c>
      <c r="AB421" s="267">
        <v>0</v>
      </c>
      <c r="AD421" s="267">
        <v>0</v>
      </c>
      <c r="AE421" s="267">
        <v>0</v>
      </c>
      <c r="AG421" s="267">
        <v>0</v>
      </c>
      <c r="AH421" s="267">
        <v>0</v>
      </c>
      <c r="AJ421" s="267">
        <v>0</v>
      </c>
      <c r="AK421" s="267">
        <v>0</v>
      </c>
      <c r="AM421" s="267">
        <v>0</v>
      </c>
      <c r="AN421" s="267">
        <v>0</v>
      </c>
      <c r="AP421" s="267">
        <v>0</v>
      </c>
      <c r="AQ421" s="267">
        <v>0</v>
      </c>
      <c r="AS421" s="267">
        <v>4</v>
      </c>
      <c r="AT421" s="267">
        <v>18</v>
      </c>
      <c r="AV421" s="267">
        <v>0</v>
      </c>
      <c r="AW421" s="267">
        <v>0</v>
      </c>
      <c r="AY421" s="267">
        <v>1</v>
      </c>
      <c r="AZ421" s="267">
        <v>0</v>
      </c>
      <c r="BB421" s="267">
        <v>0</v>
      </c>
      <c r="BC421" s="267">
        <v>0</v>
      </c>
      <c r="BE421" s="267">
        <v>0</v>
      </c>
      <c r="BF421" s="267">
        <v>0</v>
      </c>
      <c r="BH421" s="267">
        <v>0</v>
      </c>
      <c r="BI421" s="267">
        <v>0</v>
      </c>
      <c r="BK421" s="267">
        <v>0</v>
      </c>
      <c r="BL421" s="267">
        <v>0</v>
      </c>
      <c r="BN421" s="267">
        <v>0</v>
      </c>
      <c r="BO421" s="267">
        <v>0</v>
      </c>
      <c r="BQ421" s="267">
        <v>6</v>
      </c>
      <c r="BR421" s="267">
        <v>9</v>
      </c>
      <c r="BT421" s="267">
        <v>0</v>
      </c>
      <c r="BU421" s="267">
        <v>0</v>
      </c>
      <c r="BW421" s="267">
        <v>0</v>
      </c>
      <c r="BX421" s="267">
        <v>0</v>
      </c>
      <c r="BZ421" s="267">
        <v>0</v>
      </c>
      <c r="CA421" s="267">
        <v>0</v>
      </c>
      <c r="CC421" s="267">
        <v>0</v>
      </c>
      <c r="CD421" s="267">
        <v>0</v>
      </c>
      <c r="CF421" s="267">
        <v>0</v>
      </c>
      <c r="CG421" s="267">
        <v>0</v>
      </c>
      <c r="CI421" s="267">
        <v>0</v>
      </c>
      <c r="CJ421" s="267">
        <v>0</v>
      </c>
    </row>
    <row r="422" spans="1:88" ht="45" x14ac:dyDescent="0.25">
      <c r="A422" s="329"/>
      <c r="B422" s="297" t="s">
        <v>1373</v>
      </c>
      <c r="C422" s="370" t="s">
        <v>1572</v>
      </c>
      <c r="D422" s="329" t="s">
        <v>950</v>
      </c>
      <c r="E422" s="367"/>
      <c r="F422" s="367"/>
      <c r="G422" s="367"/>
      <c r="H422" s="367">
        <f>H423+H424</f>
        <v>0</v>
      </c>
      <c r="I422" s="367">
        <f>I423+I424</f>
        <v>0</v>
      </c>
      <c r="J422" s="367">
        <f>J423+J424</f>
        <v>1</v>
      </c>
      <c r="K422" s="367">
        <f t="shared" ref="K422:N422" si="573">K423+K424</f>
        <v>0</v>
      </c>
      <c r="L422" s="367">
        <f t="shared" si="573"/>
        <v>0</v>
      </c>
      <c r="M422" s="367">
        <f t="shared" si="573"/>
        <v>0</v>
      </c>
      <c r="N422" s="367">
        <f t="shared" si="573"/>
        <v>0</v>
      </c>
      <c r="O422" s="286"/>
      <c r="P422" s="283">
        <f t="shared" si="572"/>
        <v>7</v>
      </c>
      <c r="Q422" s="283">
        <f t="shared" si="572"/>
        <v>1</v>
      </c>
      <c r="R422" s="267">
        <v>0</v>
      </c>
      <c r="S422" s="267">
        <v>0</v>
      </c>
      <c r="U422" s="267">
        <v>0</v>
      </c>
      <c r="V422" s="267">
        <v>0</v>
      </c>
      <c r="X422" s="267">
        <v>0</v>
      </c>
      <c r="Y422" s="267">
        <v>0</v>
      </c>
      <c r="AA422" s="267">
        <v>0</v>
      </c>
      <c r="AB422" s="267">
        <v>0</v>
      </c>
      <c r="AD422" s="267">
        <v>7</v>
      </c>
      <c r="AE422" s="267">
        <v>1</v>
      </c>
      <c r="AG422" s="267">
        <v>0</v>
      </c>
      <c r="AH422" s="267">
        <v>0</v>
      </c>
      <c r="AJ422" s="267">
        <v>0</v>
      </c>
      <c r="AK422" s="267">
        <v>0</v>
      </c>
      <c r="AM422" s="267">
        <v>0</v>
      </c>
      <c r="AN422" s="267">
        <v>0</v>
      </c>
      <c r="AP422" s="267">
        <v>0</v>
      </c>
      <c r="AQ422" s="267">
        <v>0</v>
      </c>
      <c r="AS422" s="267">
        <v>0</v>
      </c>
      <c r="AT422" s="267">
        <v>0</v>
      </c>
      <c r="AV422" s="267">
        <v>0</v>
      </c>
      <c r="AW422" s="267">
        <v>0</v>
      </c>
      <c r="AY422" s="304">
        <v>0</v>
      </c>
      <c r="AZ422" s="267">
        <v>0</v>
      </c>
      <c r="BB422" s="304">
        <v>0</v>
      </c>
      <c r="BC422" s="267">
        <v>0</v>
      </c>
      <c r="BE422" s="304">
        <v>0</v>
      </c>
      <c r="BF422" s="267">
        <v>0</v>
      </c>
      <c r="BH422" s="304">
        <v>0</v>
      </c>
      <c r="BI422" s="267">
        <v>0</v>
      </c>
      <c r="BK422" s="304">
        <v>0</v>
      </c>
      <c r="BL422" s="267">
        <v>0</v>
      </c>
      <c r="BN422" s="304">
        <v>0</v>
      </c>
      <c r="BO422" s="267">
        <v>0</v>
      </c>
      <c r="BQ422" s="304">
        <v>0</v>
      </c>
      <c r="BR422" s="267">
        <v>0</v>
      </c>
      <c r="BT422" s="304">
        <v>0</v>
      </c>
      <c r="BU422" s="267">
        <v>0</v>
      </c>
      <c r="BW422" s="304">
        <v>0</v>
      </c>
      <c r="BX422" s="267">
        <v>0</v>
      </c>
      <c r="BZ422" s="304">
        <v>0</v>
      </c>
      <c r="CA422" s="267">
        <v>0</v>
      </c>
      <c r="CC422" s="304">
        <v>0</v>
      </c>
      <c r="CD422" s="267">
        <v>0</v>
      </c>
      <c r="CF422" s="304">
        <v>0</v>
      </c>
      <c r="CG422" s="267">
        <v>0</v>
      </c>
      <c r="CI422" s="267">
        <v>0</v>
      </c>
      <c r="CJ422" s="267">
        <v>0</v>
      </c>
    </row>
    <row r="423" spans="1:88" ht="45" x14ac:dyDescent="0.25">
      <c r="A423" s="329"/>
      <c r="B423" s="297" t="s">
        <v>1374</v>
      </c>
      <c r="C423" s="370" t="s">
        <v>1573</v>
      </c>
      <c r="D423" s="329" t="s">
        <v>950</v>
      </c>
      <c r="E423" s="367"/>
      <c r="F423" s="367"/>
      <c r="G423" s="367"/>
      <c r="H423" s="367">
        <v>0</v>
      </c>
      <c r="I423" s="367">
        <v>0</v>
      </c>
      <c r="J423" s="367">
        <v>0</v>
      </c>
      <c r="K423" s="367">
        <v>0</v>
      </c>
      <c r="L423" s="367">
        <v>0</v>
      </c>
      <c r="M423" s="367">
        <v>0</v>
      </c>
      <c r="N423" s="367">
        <v>0</v>
      </c>
      <c r="O423" s="286"/>
      <c r="P423" s="283">
        <f t="shared" si="572"/>
        <v>0</v>
      </c>
      <c r="Q423" s="283">
        <f t="shared" si="572"/>
        <v>0</v>
      </c>
      <c r="R423" s="267">
        <v>0</v>
      </c>
      <c r="S423" s="267">
        <v>0</v>
      </c>
      <c r="U423" s="267">
        <v>0</v>
      </c>
      <c r="V423" s="267">
        <v>0</v>
      </c>
      <c r="X423" s="267">
        <v>0</v>
      </c>
      <c r="Y423" s="267">
        <v>0</v>
      </c>
      <c r="AA423" s="267">
        <v>0</v>
      </c>
      <c r="AB423" s="267">
        <v>0</v>
      </c>
      <c r="AD423" s="267">
        <v>0</v>
      </c>
      <c r="AE423" s="267">
        <v>0</v>
      </c>
      <c r="AG423" s="267">
        <v>0</v>
      </c>
      <c r="AH423" s="267">
        <v>0</v>
      </c>
      <c r="AJ423" s="267">
        <v>0</v>
      </c>
      <c r="AK423" s="267">
        <v>0</v>
      </c>
      <c r="AM423" s="267">
        <v>0</v>
      </c>
      <c r="AN423" s="267">
        <v>0</v>
      </c>
      <c r="AP423" s="267">
        <v>0</v>
      </c>
      <c r="AQ423" s="267">
        <v>0</v>
      </c>
      <c r="AS423" s="267">
        <v>0</v>
      </c>
      <c r="AT423" s="267">
        <v>0</v>
      </c>
      <c r="AV423" s="267">
        <v>0</v>
      </c>
      <c r="AW423" s="267">
        <v>0</v>
      </c>
      <c r="AY423" s="304">
        <v>0</v>
      </c>
      <c r="AZ423" s="304">
        <v>0</v>
      </c>
      <c r="BB423" s="304">
        <v>0</v>
      </c>
      <c r="BC423" s="304">
        <v>0</v>
      </c>
      <c r="BE423" s="304">
        <v>0</v>
      </c>
      <c r="BF423" s="304">
        <v>0</v>
      </c>
      <c r="BH423" s="304">
        <v>0</v>
      </c>
      <c r="BI423" s="304">
        <v>0</v>
      </c>
      <c r="BK423" s="304">
        <v>0</v>
      </c>
      <c r="BL423" s="267">
        <v>0</v>
      </c>
      <c r="BN423" s="304">
        <v>0</v>
      </c>
      <c r="BO423" s="304">
        <v>0</v>
      </c>
      <c r="BQ423" s="304">
        <v>0</v>
      </c>
      <c r="BR423" s="267">
        <v>0</v>
      </c>
      <c r="BT423" s="304">
        <v>0</v>
      </c>
      <c r="BU423" s="267">
        <v>0</v>
      </c>
      <c r="BW423" s="304">
        <v>0</v>
      </c>
      <c r="BX423" s="304">
        <v>0</v>
      </c>
      <c r="BZ423" s="304">
        <v>0</v>
      </c>
      <c r="CA423" s="304">
        <v>0</v>
      </c>
      <c r="CC423" s="304">
        <v>0</v>
      </c>
      <c r="CD423" s="304">
        <v>0</v>
      </c>
      <c r="CF423" s="304">
        <v>0</v>
      </c>
      <c r="CG423" s="304">
        <v>0</v>
      </c>
      <c r="CI423" s="267">
        <v>0</v>
      </c>
      <c r="CJ423" s="267">
        <v>0</v>
      </c>
    </row>
    <row r="424" spans="1:88" ht="45" x14ac:dyDescent="0.25">
      <c r="A424" s="329"/>
      <c r="B424" s="297" t="s">
        <v>1375</v>
      </c>
      <c r="C424" s="370" t="s">
        <v>1574</v>
      </c>
      <c r="D424" s="329" t="s">
        <v>950</v>
      </c>
      <c r="E424" s="367"/>
      <c r="F424" s="367"/>
      <c r="G424" s="367"/>
      <c r="H424" s="367">
        <v>0</v>
      </c>
      <c r="I424" s="367">
        <v>0</v>
      </c>
      <c r="J424" s="367">
        <v>1</v>
      </c>
      <c r="K424" s="367">
        <v>0</v>
      </c>
      <c r="L424" s="367">
        <v>0</v>
      </c>
      <c r="M424" s="367">
        <v>0</v>
      </c>
      <c r="N424" s="367">
        <v>0</v>
      </c>
      <c r="O424" s="286"/>
      <c r="P424" s="283">
        <f t="shared" si="572"/>
        <v>0</v>
      </c>
      <c r="Q424" s="283">
        <f t="shared" si="572"/>
        <v>0</v>
      </c>
      <c r="R424" s="267">
        <v>0</v>
      </c>
      <c r="S424" s="267">
        <v>0</v>
      </c>
      <c r="U424" s="267">
        <v>0</v>
      </c>
      <c r="V424" s="267">
        <v>0</v>
      </c>
      <c r="X424" s="267">
        <v>0</v>
      </c>
      <c r="Y424" s="267">
        <v>0</v>
      </c>
      <c r="AA424" s="267">
        <v>0</v>
      </c>
      <c r="AB424" s="267">
        <v>0</v>
      </c>
      <c r="AD424" s="267">
        <v>0</v>
      </c>
      <c r="AE424" s="267">
        <v>0</v>
      </c>
      <c r="AG424" s="267">
        <v>0</v>
      </c>
      <c r="AH424" s="267">
        <v>0</v>
      </c>
      <c r="AJ424" s="267">
        <v>0</v>
      </c>
      <c r="AK424" s="267">
        <v>0</v>
      </c>
      <c r="AM424" s="267">
        <v>0</v>
      </c>
      <c r="AN424" s="267">
        <v>0</v>
      </c>
      <c r="AP424" s="267">
        <v>0</v>
      </c>
      <c r="AQ424" s="267">
        <v>0</v>
      </c>
      <c r="AS424" s="267">
        <v>0</v>
      </c>
      <c r="AT424" s="267">
        <v>0</v>
      </c>
      <c r="AV424" s="267">
        <v>0</v>
      </c>
      <c r="AW424" s="267">
        <v>0</v>
      </c>
      <c r="AY424" s="304">
        <v>0</v>
      </c>
      <c r="AZ424" s="304">
        <v>0</v>
      </c>
      <c r="BB424" s="304">
        <v>0</v>
      </c>
      <c r="BC424" s="304">
        <v>0</v>
      </c>
      <c r="BE424" s="304">
        <v>0</v>
      </c>
      <c r="BF424" s="304">
        <v>0</v>
      </c>
      <c r="BH424" s="304">
        <v>0</v>
      </c>
      <c r="BI424" s="304">
        <v>0</v>
      </c>
      <c r="BK424" s="304">
        <v>0</v>
      </c>
      <c r="BL424" s="267">
        <v>0</v>
      </c>
      <c r="BN424" s="304">
        <v>0</v>
      </c>
      <c r="BO424" s="304">
        <v>0</v>
      </c>
      <c r="BQ424" s="304">
        <v>0</v>
      </c>
      <c r="BR424" s="267">
        <v>0</v>
      </c>
      <c r="BT424" s="267">
        <v>0</v>
      </c>
      <c r="BU424" s="267">
        <v>0</v>
      </c>
      <c r="BW424" s="304">
        <v>0</v>
      </c>
      <c r="BX424" s="304">
        <v>0</v>
      </c>
      <c r="BZ424" s="304">
        <v>0</v>
      </c>
      <c r="CA424" s="304">
        <v>0</v>
      </c>
      <c r="CC424" s="304">
        <v>0</v>
      </c>
      <c r="CD424" s="304">
        <v>0</v>
      </c>
      <c r="CF424" s="304">
        <v>0</v>
      </c>
      <c r="CG424" s="304">
        <v>0</v>
      </c>
      <c r="CI424" s="267">
        <v>0</v>
      </c>
      <c r="CJ424" s="267">
        <v>0</v>
      </c>
    </row>
    <row r="425" spans="1:88" ht="30" hidden="1" x14ac:dyDescent="0.25">
      <c r="A425" s="329"/>
      <c r="B425" s="297" t="s">
        <v>1376</v>
      </c>
      <c r="C425" s="370"/>
      <c r="D425" s="329"/>
      <c r="E425" s="367"/>
      <c r="F425" s="367"/>
      <c r="G425" s="367"/>
      <c r="H425" s="367"/>
      <c r="I425" s="367"/>
      <c r="J425" s="367"/>
      <c r="K425" s="367"/>
      <c r="L425" s="367"/>
      <c r="M425" s="367"/>
      <c r="N425" s="367"/>
      <c r="O425" s="286"/>
      <c r="P425" s="283">
        <f t="shared" si="572"/>
        <v>0</v>
      </c>
      <c r="Q425" s="283">
        <f t="shared" si="572"/>
        <v>0</v>
      </c>
    </row>
    <row r="426" spans="1:88" ht="45" x14ac:dyDescent="0.25">
      <c r="A426" s="329"/>
      <c r="B426" s="297" t="s">
        <v>1377</v>
      </c>
      <c r="C426" s="370" t="s">
        <v>1575</v>
      </c>
      <c r="D426" s="329" t="s">
        <v>950</v>
      </c>
      <c r="E426" s="367"/>
      <c r="F426" s="367"/>
      <c r="G426" s="367"/>
      <c r="H426" s="367">
        <v>64</v>
      </c>
      <c r="I426" s="367">
        <v>102</v>
      </c>
      <c r="J426" s="367">
        <v>105</v>
      </c>
      <c r="K426" s="367">
        <v>112</v>
      </c>
      <c r="L426" s="367">
        <v>4</v>
      </c>
      <c r="M426" s="367">
        <v>6</v>
      </c>
      <c r="N426" s="367">
        <v>5</v>
      </c>
      <c r="O426" s="286"/>
      <c r="P426" s="283">
        <f t="shared" si="572"/>
        <v>112</v>
      </c>
      <c r="Q426" s="283">
        <f t="shared" si="572"/>
        <v>136</v>
      </c>
      <c r="R426" s="267">
        <v>0</v>
      </c>
      <c r="S426" s="267">
        <v>0</v>
      </c>
      <c r="U426" s="304">
        <v>3</v>
      </c>
      <c r="V426" s="304">
        <v>7</v>
      </c>
      <c r="X426" s="304">
        <v>4</v>
      </c>
      <c r="Y426" s="304">
        <v>3</v>
      </c>
      <c r="AA426" s="304">
        <v>0</v>
      </c>
      <c r="AB426" s="304">
        <v>5</v>
      </c>
      <c r="AD426" s="304">
        <v>5</v>
      </c>
      <c r="AE426" s="304">
        <v>0</v>
      </c>
      <c r="AG426" s="304">
        <v>2</v>
      </c>
      <c r="AH426" s="304">
        <v>3</v>
      </c>
      <c r="AJ426" s="304">
        <v>16</v>
      </c>
      <c r="AK426" s="304">
        <v>15</v>
      </c>
      <c r="AM426" s="304">
        <v>3</v>
      </c>
      <c r="AN426" s="304">
        <v>26</v>
      </c>
      <c r="AP426" s="304">
        <v>6</v>
      </c>
      <c r="AQ426" s="304">
        <v>5</v>
      </c>
      <c r="AS426" s="267">
        <v>0</v>
      </c>
      <c r="AT426" s="267">
        <v>0</v>
      </c>
      <c r="AV426" s="267">
        <v>0</v>
      </c>
      <c r="AW426" s="267">
        <v>2</v>
      </c>
      <c r="AY426" s="304">
        <v>2</v>
      </c>
      <c r="AZ426" s="304">
        <v>2</v>
      </c>
      <c r="BB426" s="304">
        <v>6</v>
      </c>
      <c r="BC426" s="304">
        <v>0</v>
      </c>
      <c r="BE426" s="304">
        <v>0</v>
      </c>
      <c r="BF426" s="304">
        <v>0</v>
      </c>
      <c r="BH426" s="304">
        <v>18</v>
      </c>
      <c r="BI426" s="304">
        <v>16</v>
      </c>
      <c r="BK426" s="304">
        <v>13</v>
      </c>
      <c r="BL426" s="267">
        <v>14</v>
      </c>
      <c r="BN426" s="304">
        <v>0</v>
      </c>
      <c r="BO426" s="304">
        <v>0</v>
      </c>
      <c r="BQ426" s="304">
        <v>20</v>
      </c>
      <c r="BR426" s="267">
        <v>16</v>
      </c>
      <c r="BT426" s="304">
        <v>0</v>
      </c>
      <c r="BU426" s="267">
        <v>0</v>
      </c>
      <c r="BW426" s="304">
        <v>4</v>
      </c>
      <c r="BX426" s="304">
        <v>8</v>
      </c>
      <c r="BZ426" s="304">
        <v>8</v>
      </c>
      <c r="CA426" s="304">
        <v>10</v>
      </c>
      <c r="CC426" s="304">
        <v>2</v>
      </c>
      <c r="CD426" s="304">
        <v>4</v>
      </c>
      <c r="CF426" s="304">
        <v>0</v>
      </c>
      <c r="CG426" s="304">
        <v>0</v>
      </c>
      <c r="CI426" s="267">
        <v>0</v>
      </c>
      <c r="CJ426" s="267">
        <v>0</v>
      </c>
    </row>
    <row r="427" spans="1:88" ht="45" x14ac:dyDescent="0.25">
      <c r="A427" s="329" t="s">
        <v>1380</v>
      </c>
      <c r="B427" s="297" t="s">
        <v>1381</v>
      </c>
      <c r="C427" s="329" t="s">
        <v>1399</v>
      </c>
      <c r="D427" s="329" t="s">
        <v>8</v>
      </c>
      <c r="E427" s="367"/>
      <c r="F427" s="367"/>
      <c r="G427" s="367"/>
      <c r="H427" s="367"/>
      <c r="I427" s="367"/>
      <c r="J427" s="367"/>
      <c r="K427" s="367"/>
      <c r="L427" s="367">
        <v>100</v>
      </c>
      <c r="M427" s="367">
        <v>100</v>
      </c>
      <c r="N427" s="367">
        <v>100</v>
      </c>
    </row>
    <row r="428" spans="1:88" ht="30" x14ac:dyDescent="0.25">
      <c r="A428" s="105" t="s">
        <v>87</v>
      </c>
      <c r="B428" s="290" t="s">
        <v>86</v>
      </c>
      <c r="C428" s="107"/>
      <c r="D428" s="107"/>
      <c r="E428" s="107"/>
      <c r="F428" s="107"/>
      <c r="G428" s="107"/>
      <c r="H428" s="107"/>
      <c r="I428" s="107"/>
      <c r="J428" s="107"/>
      <c r="K428" s="107"/>
      <c r="L428" s="107"/>
      <c r="M428" s="107"/>
      <c r="N428" s="107"/>
    </row>
    <row r="429" spans="1:88" ht="30" hidden="1" x14ac:dyDescent="0.25">
      <c r="A429" s="101" t="s">
        <v>89</v>
      </c>
      <c r="B429" s="91" t="s">
        <v>88</v>
      </c>
      <c r="C429" s="101" t="s">
        <v>1210</v>
      </c>
      <c r="D429" s="101" t="s">
        <v>1113</v>
      </c>
      <c r="E429" s="293" t="e">
        <f>E432/E435</f>
        <v>#DIV/0!</v>
      </c>
      <c r="F429" s="293">
        <v>20.61</v>
      </c>
      <c r="G429" s="293">
        <v>21.39</v>
      </c>
      <c r="H429" s="293" t="e">
        <f t="shared" ref="G429:N431" si="574">H432/H435</f>
        <v>#DIV/0!</v>
      </c>
      <c r="I429" s="293" t="e">
        <f t="shared" si="574"/>
        <v>#DIV/0!</v>
      </c>
      <c r="J429" s="293" t="e">
        <f t="shared" si="574"/>
        <v>#DIV/0!</v>
      </c>
      <c r="K429" s="293" t="e">
        <f t="shared" si="574"/>
        <v>#DIV/0!</v>
      </c>
      <c r="L429" s="293" t="e">
        <f t="shared" si="574"/>
        <v>#DIV/0!</v>
      </c>
      <c r="M429" s="293" t="e">
        <f t="shared" si="574"/>
        <v>#DIV/0!</v>
      </c>
      <c r="N429" s="293" t="e">
        <f t="shared" si="574"/>
        <v>#DIV/0!</v>
      </c>
      <c r="O429" s="281" t="s">
        <v>94</v>
      </c>
    </row>
    <row r="430" spans="1:88" hidden="1" x14ac:dyDescent="0.25">
      <c r="A430" s="101"/>
      <c r="B430" s="16" t="s">
        <v>1183</v>
      </c>
      <c r="C430" s="101"/>
      <c r="D430" s="101"/>
      <c r="E430" s="293" t="e">
        <f>E433/E436</f>
        <v>#DIV/0!</v>
      </c>
      <c r="F430" s="293">
        <f>F433/F436</f>
        <v>19.899828941229948</v>
      </c>
      <c r="G430" s="293">
        <v>20.71</v>
      </c>
      <c r="H430" s="293" t="e">
        <f t="shared" si="574"/>
        <v>#DIV/0!</v>
      </c>
      <c r="I430" s="293" t="e">
        <f t="shared" si="574"/>
        <v>#DIV/0!</v>
      </c>
      <c r="J430" s="293" t="e">
        <f t="shared" si="574"/>
        <v>#DIV/0!</v>
      </c>
      <c r="K430" s="293" t="e">
        <f t="shared" si="574"/>
        <v>#DIV/0!</v>
      </c>
      <c r="L430" s="293" t="e">
        <f t="shared" si="574"/>
        <v>#DIV/0!</v>
      </c>
      <c r="M430" s="293" t="e">
        <f t="shared" si="574"/>
        <v>#DIV/0!</v>
      </c>
      <c r="N430" s="293" t="e">
        <f t="shared" si="574"/>
        <v>#DIV/0!</v>
      </c>
      <c r="O430" s="281"/>
    </row>
    <row r="431" spans="1:88" hidden="1" x14ac:dyDescent="0.25">
      <c r="A431" s="101"/>
      <c r="B431" s="16" t="s">
        <v>1185</v>
      </c>
      <c r="C431" s="101"/>
      <c r="D431" s="101"/>
      <c r="E431" s="293" t="e">
        <f>E434/E437</f>
        <v>#DIV/0!</v>
      </c>
      <c r="F431" s="293">
        <f>F434/F437</f>
        <v>29.010340370529946</v>
      </c>
      <c r="G431" s="293">
        <f t="shared" si="574"/>
        <v>29.796072101156845</v>
      </c>
      <c r="H431" s="293" t="e">
        <f t="shared" si="574"/>
        <v>#DIV/0!</v>
      </c>
      <c r="I431" s="293" t="e">
        <f t="shared" si="574"/>
        <v>#DIV/0!</v>
      </c>
      <c r="J431" s="293" t="e">
        <f t="shared" si="574"/>
        <v>#DIV/0!</v>
      </c>
      <c r="K431" s="293" t="e">
        <f t="shared" si="574"/>
        <v>#DIV/0!</v>
      </c>
      <c r="L431" s="293" t="e">
        <f t="shared" si="574"/>
        <v>#DIV/0!</v>
      </c>
      <c r="M431" s="293" t="e">
        <f t="shared" si="574"/>
        <v>#DIV/0!</v>
      </c>
      <c r="N431" s="293" t="e">
        <f t="shared" si="574"/>
        <v>#DIV/0!</v>
      </c>
      <c r="O431" s="281"/>
    </row>
    <row r="432" spans="1:88" ht="45" hidden="1" x14ac:dyDescent="0.25">
      <c r="A432" s="102"/>
      <c r="B432" s="91" t="s">
        <v>90</v>
      </c>
      <c r="C432" s="101" t="s">
        <v>91</v>
      </c>
      <c r="D432" s="101" t="s">
        <v>1113</v>
      </c>
      <c r="E432" s="103">
        <f t="shared" ref="E432:J432" si="575">E433+E434</f>
        <v>0</v>
      </c>
      <c r="F432" s="103">
        <f t="shared" si="575"/>
        <v>1865565</v>
      </c>
      <c r="G432" s="103">
        <f t="shared" si="575"/>
        <v>2132952</v>
      </c>
      <c r="H432" s="103">
        <f t="shared" si="575"/>
        <v>0</v>
      </c>
      <c r="I432" s="103">
        <f t="shared" si="575"/>
        <v>0</v>
      </c>
      <c r="J432" s="103">
        <f t="shared" si="575"/>
        <v>0</v>
      </c>
      <c r="K432" s="103">
        <f>K433+K434</f>
        <v>0</v>
      </c>
      <c r="L432" s="103">
        <f>L433+L434</f>
        <v>0</v>
      </c>
      <c r="M432" s="103">
        <f>M433+M434</f>
        <v>0</v>
      </c>
      <c r="N432" s="103">
        <f>N433+N434</f>
        <v>0</v>
      </c>
    </row>
    <row r="433" spans="1:88" hidden="1" x14ac:dyDescent="0.25">
      <c r="A433" s="102"/>
      <c r="B433" s="91" t="s">
        <v>1183</v>
      </c>
      <c r="C433" s="101"/>
      <c r="D433" s="101"/>
      <c r="E433" s="103"/>
      <c r="F433" s="103">
        <v>1663566</v>
      </c>
      <c r="G433" s="103">
        <f>1914969-3521</f>
        <v>1911448</v>
      </c>
      <c r="H433" s="103"/>
      <c r="I433" s="103"/>
      <c r="J433" s="103"/>
      <c r="K433" s="103"/>
      <c r="L433" s="103"/>
      <c r="M433" s="103"/>
      <c r="N433" s="103"/>
    </row>
    <row r="434" spans="1:88" hidden="1" x14ac:dyDescent="0.25">
      <c r="A434" s="102"/>
      <c r="B434" s="91" t="s">
        <v>1185</v>
      </c>
      <c r="C434" s="101"/>
      <c r="D434" s="101"/>
      <c r="E434" s="103"/>
      <c r="F434" s="103">
        <v>201999</v>
      </c>
      <c r="G434" s="103">
        <v>221504</v>
      </c>
      <c r="H434" s="103"/>
      <c r="I434" s="103"/>
      <c r="J434" s="103"/>
      <c r="K434" s="103"/>
      <c r="L434" s="103"/>
      <c r="M434" s="103"/>
      <c r="N434" s="103"/>
    </row>
    <row r="435" spans="1:88" ht="45" hidden="1" x14ac:dyDescent="0.25">
      <c r="A435" s="102"/>
      <c r="B435" s="91" t="s">
        <v>92</v>
      </c>
      <c r="C435" s="101" t="s">
        <v>93</v>
      </c>
      <c r="D435" s="101" t="s">
        <v>950</v>
      </c>
      <c r="E435" s="103">
        <f t="shared" ref="E435:J435" si="576">E436+E437</f>
        <v>0</v>
      </c>
      <c r="F435" s="103">
        <f t="shared" si="576"/>
        <v>90560</v>
      </c>
      <c r="G435" s="103">
        <f t="shared" si="576"/>
        <v>99683</v>
      </c>
      <c r="H435" s="103">
        <f t="shared" si="576"/>
        <v>0</v>
      </c>
      <c r="I435" s="103">
        <f t="shared" si="576"/>
        <v>0</v>
      </c>
      <c r="J435" s="103">
        <f t="shared" si="576"/>
        <v>0</v>
      </c>
      <c r="K435" s="103">
        <f>K436+K437</f>
        <v>0</v>
      </c>
      <c r="L435" s="103">
        <f>L436+L437</f>
        <v>0</v>
      </c>
      <c r="M435" s="103">
        <f>M436+M437</f>
        <v>0</v>
      </c>
      <c r="N435" s="103">
        <f>N436+N437</f>
        <v>0</v>
      </c>
    </row>
    <row r="436" spans="1:88" hidden="1" x14ac:dyDescent="0.25">
      <c r="A436" s="102"/>
      <c r="B436" s="91" t="s">
        <v>1183</v>
      </c>
      <c r="C436" s="101"/>
      <c r="D436" s="101"/>
      <c r="E436" s="103"/>
      <c r="F436" s="103">
        <v>83597</v>
      </c>
      <c r="G436" s="103">
        <f>92371-122</f>
        <v>92249</v>
      </c>
      <c r="H436" s="103"/>
      <c r="I436" s="103"/>
      <c r="J436" s="103"/>
      <c r="K436" s="103"/>
      <c r="L436" s="103"/>
      <c r="M436" s="103"/>
      <c r="N436" s="103"/>
    </row>
    <row r="437" spans="1:88" hidden="1" x14ac:dyDescent="0.25">
      <c r="A437" s="102"/>
      <c r="B437" s="91" t="s">
        <v>1185</v>
      </c>
      <c r="C437" s="101"/>
      <c r="D437" s="101"/>
      <c r="E437" s="103"/>
      <c r="F437" s="103">
        <v>6963</v>
      </c>
      <c r="G437" s="103">
        <v>7434</v>
      </c>
      <c r="H437" s="103"/>
      <c r="I437" s="103"/>
      <c r="J437" s="103"/>
      <c r="K437" s="103"/>
      <c r="L437" s="103"/>
      <c r="M437" s="103"/>
      <c r="N437" s="103"/>
    </row>
    <row r="438" spans="1:88" ht="60" x14ac:dyDescent="0.25">
      <c r="A438" s="371" t="s">
        <v>89</v>
      </c>
      <c r="B438" s="96" t="s">
        <v>1636</v>
      </c>
      <c r="C438" s="101"/>
      <c r="D438" s="101" t="s">
        <v>8</v>
      </c>
      <c r="E438" s="103"/>
      <c r="F438" s="103"/>
      <c r="G438" s="103"/>
      <c r="H438" s="103"/>
      <c r="I438" s="342">
        <f>I441/I444*100</f>
        <v>57.160723250222375</v>
      </c>
      <c r="J438" s="342">
        <f t="shared" ref="I438:N440" si="577">J441/J444*100</f>
        <v>58.433908289181915</v>
      </c>
      <c r="K438" s="342">
        <f t="shared" si="577"/>
        <v>62.539210407104449</v>
      </c>
      <c r="L438" s="342">
        <f t="shared" si="577"/>
        <v>71.366120218579226</v>
      </c>
      <c r="M438" s="342">
        <f t="shared" si="577"/>
        <v>75.886112725159791</v>
      </c>
      <c r="N438" s="342" t="e">
        <f t="shared" si="577"/>
        <v>#VALUE!</v>
      </c>
      <c r="P438" s="342">
        <f t="shared" ref="P438:S440" si="578">P441/P444*100</f>
        <v>62.874261733206836</v>
      </c>
      <c r="Q438" s="342">
        <f t="shared" si="578"/>
        <v>42.785416685017665</v>
      </c>
      <c r="R438" s="342">
        <f t="shared" si="578"/>
        <v>49.765478424015008</v>
      </c>
      <c r="S438" s="342">
        <f t="shared" si="578"/>
        <v>49.05</v>
      </c>
      <c r="U438" s="342">
        <f t="shared" ref="U438:V440" si="579">U441/U444*100</f>
        <v>73.646007816862095</v>
      </c>
      <c r="V438" s="342">
        <f t="shared" si="579"/>
        <v>48.920863309352519</v>
      </c>
      <c r="X438" s="342">
        <f t="shared" ref="X438:Y440" si="580">X441/X444*100</f>
        <v>63.129844961240309</v>
      </c>
      <c r="Y438" s="342">
        <f t="shared" si="580"/>
        <v>63.12056737588653</v>
      </c>
      <c r="AA438" s="342">
        <f t="shared" ref="AA438:AB440" si="581">AA441/AA444*100</f>
        <v>63.354297693920337</v>
      </c>
      <c r="AB438" s="342">
        <f t="shared" si="581"/>
        <v>41.431175934366458</v>
      </c>
      <c r="AD438" s="342">
        <f t="shared" ref="AD438:AE440" si="582">AD441/AD444*100</f>
        <v>76.31810193321617</v>
      </c>
      <c r="AE438" s="342">
        <f t="shared" si="582"/>
        <v>63.811357074109722</v>
      </c>
      <c r="AG438" s="342">
        <f t="shared" ref="AG438:AH440" si="583">AG441/AG444*100</f>
        <v>76.031746031746025</v>
      </c>
      <c r="AH438" s="342">
        <f t="shared" si="583"/>
        <v>71.366120218579226</v>
      </c>
      <c r="AJ438" s="342">
        <f t="shared" ref="AJ438:AK440" si="584">AJ441/AJ444*100</f>
        <v>43.407643312101911</v>
      </c>
      <c r="AK438" s="342">
        <f t="shared" si="584"/>
        <v>22.222222222222221</v>
      </c>
      <c r="AM438" s="342">
        <f t="shared" ref="AM438:AN440" si="585">AM441/AM444*100</f>
        <v>46.698230750062294</v>
      </c>
      <c r="AN438" s="342">
        <f t="shared" si="585"/>
        <v>30.299055613850996</v>
      </c>
      <c r="AP438" s="342">
        <f t="shared" ref="AP438:AQ440" si="586">AP441/AP444*100</f>
        <v>0</v>
      </c>
      <c r="AQ438" s="342">
        <f t="shared" si="586"/>
        <v>0</v>
      </c>
      <c r="AS438" s="342">
        <f t="shared" ref="AS438:AT440" si="587">AS441/AS444*100</f>
        <v>53.123456790123456</v>
      </c>
      <c r="AT438" s="342">
        <f t="shared" si="587"/>
        <v>36.81806961244137</v>
      </c>
      <c r="AV438" s="342">
        <f t="shared" ref="AV438:AW440" si="588">AV441/AV444*100</f>
        <v>52.603082049146188</v>
      </c>
      <c r="AW438" s="342">
        <f t="shared" si="588"/>
        <v>19.521351478179259</v>
      </c>
      <c r="AY438" s="342">
        <f t="shared" ref="AY438:AZ440" si="589">AY441/AY444*100</f>
        <v>58.530114088617665</v>
      </c>
      <c r="AZ438" s="342">
        <f t="shared" si="589"/>
        <v>34.926151172893135</v>
      </c>
      <c r="BB438" s="342">
        <f t="shared" ref="BB438:BC440" si="590">BB441/BB444*100</f>
        <v>53.304025278197557</v>
      </c>
      <c r="BC438" s="342">
        <f t="shared" si="590"/>
        <v>1.7502224859092257</v>
      </c>
      <c r="BE438" s="342">
        <f t="shared" ref="BE438:BF440" si="591">BE441/BE444*100</f>
        <v>70.064649599172498</v>
      </c>
      <c r="BF438" s="342">
        <f t="shared" si="591"/>
        <v>69.552285535378829</v>
      </c>
      <c r="BH438" s="342">
        <f t="shared" ref="BH438:BI440" si="592">BH441/BH444*100</f>
        <v>70.343042071197416</v>
      </c>
      <c r="BI438" s="342">
        <f t="shared" si="592"/>
        <v>39.594297196440529</v>
      </c>
      <c r="BK438" s="342">
        <f t="shared" ref="BK438:BL440" si="593">BK441/BK444*100</f>
        <v>77.955493741307365</v>
      </c>
      <c r="BL438" s="342">
        <f t="shared" si="593"/>
        <v>62.24607129168264</v>
      </c>
      <c r="BN438" s="342">
        <f t="shared" ref="BN438:BO440" si="594">BN441/BN444*100</f>
        <v>74.725676664228232</v>
      </c>
      <c r="BO438" s="342">
        <f t="shared" si="594"/>
        <v>38.135922330097088</v>
      </c>
      <c r="BQ438" s="342">
        <f t="shared" ref="BQ438:BR440" si="595">BQ441/BQ444*100</f>
        <v>30.325262900464661</v>
      </c>
      <c r="BR438" s="342">
        <f t="shared" si="595"/>
        <v>38.433703799431377</v>
      </c>
      <c r="BT438" s="342">
        <f t="shared" ref="BT438:BU440" si="596">BT441/BT444*100</f>
        <v>42.648117054449507</v>
      </c>
      <c r="BU438" s="342">
        <f t="shared" si="596"/>
        <v>28.722879684418146</v>
      </c>
      <c r="BW438" s="342">
        <f t="shared" ref="BW438:BX440" si="597">BW441/BW444*100</f>
        <v>57.30533683289589</v>
      </c>
      <c r="BX438" s="342">
        <f t="shared" si="597"/>
        <v>54.646840148698885</v>
      </c>
      <c r="BZ438" s="342">
        <f t="shared" ref="BZ438:CA440" si="598">BZ441/BZ444*100</f>
        <v>92.778592375366571</v>
      </c>
      <c r="CA438" s="342">
        <f t="shared" si="598"/>
        <v>39.627132090440305</v>
      </c>
      <c r="CC438" s="342">
        <f t="shared" ref="CC438:CD440" si="599">CC441/CC444*100</f>
        <v>99.39827002632569</v>
      </c>
      <c r="CD438" s="342">
        <f t="shared" si="599"/>
        <v>67.766295707472182</v>
      </c>
      <c r="CF438" s="342">
        <f t="shared" ref="CF438:CG440" si="600">CF441/CF444*100</f>
        <v>14.423076923076922</v>
      </c>
      <c r="CG438" s="342">
        <f t="shared" si="600"/>
        <v>8.3333333333333321</v>
      </c>
      <c r="CI438" s="342" t="e">
        <f t="shared" ref="CI438:CJ440" si="601">CI441/CI444*100</f>
        <v>#DIV/0!</v>
      </c>
      <c r="CJ438" s="342" t="e">
        <f t="shared" si="601"/>
        <v>#DIV/0!</v>
      </c>
    </row>
    <row r="439" spans="1:88" x14ac:dyDescent="0.25">
      <c r="A439" s="102"/>
      <c r="B439" s="96" t="s">
        <v>1303</v>
      </c>
      <c r="C439" s="101"/>
      <c r="D439" s="101" t="s">
        <v>8</v>
      </c>
      <c r="E439" s="103"/>
      <c r="F439" s="103"/>
      <c r="G439" s="103"/>
      <c r="H439" s="103"/>
      <c r="I439" s="342">
        <f t="shared" si="577"/>
        <v>58.430642096007112</v>
      </c>
      <c r="J439" s="342">
        <f t="shared" si="577"/>
        <v>59.105457380928641</v>
      </c>
      <c r="K439" s="342">
        <f t="shared" si="577"/>
        <v>63.180412940267196</v>
      </c>
      <c r="L439" s="342">
        <f t="shared" si="577"/>
        <v>85.620915032679733</v>
      </c>
      <c r="M439" s="342">
        <f t="shared" si="577"/>
        <v>91.062562065541215</v>
      </c>
      <c r="N439" s="342">
        <f t="shared" si="577"/>
        <v>0</v>
      </c>
      <c r="P439" s="342">
        <f t="shared" si="578"/>
        <v>63.787265972438277</v>
      </c>
      <c r="Q439" s="342">
        <f t="shared" si="578"/>
        <v>42.910230116469414</v>
      </c>
      <c r="R439" s="342">
        <f t="shared" si="578"/>
        <v>49.793388429752063</v>
      </c>
      <c r="S439" s="342">
        <f t="shared" si="578"/>
        <v>55.315985130111521</v>
      </c>
      <c r="U439" s="342">
        <f t="shared" si="579"/>
        <v>79.270633397312864</v>
      </c>
      <c r="V439" s="342">
        <f t="shared" si="579"/>
        <v>39.473684210526315</v>
      </c>
      <c r="X439" s="342">
        <f t="shared" si="580"/>
        <v>61.748251748251747</v>
      </c>
      <c r="Y439" s="342">
        <f t="shared" si="580"/>
        <v>61.280714817572601</v>
      </c>
      <c r="AA439" s="342">
        <f t="shared" si="581"/>
        <v>59.95850622406639</v>
      </c>
      <c r="AB439" s="342">
        <f t="shared" si="581"/>
        <v>36.482334869431639</v>
      </c>
      <c r="AD439" s="342">
        <f t="shared" si="582"/>
        <v>79.773691654879769</v>
      </c>
      <c r="AE439" s="342">
        <f t="shared" si="582"/>
        <v>76.02409638554218</v>
      </c>
      <c r="AG439" s="342">
        <f t="shared" si="583"/>
        <v>86.326344576116682</v>
      </c>
      <c r="AH439" s="342">
        <f t="shared" si="583"/>
        <v>85.143918291550605</v>
      </c>
      <c r="AJ439" s="342">
        <f t="shared" si="584"/>
        <v>42.628418945963972</v>
      </c>
      <c r="AK439" s="342">
        <f t="shared" si="584"/>
        <v>23.240938166311302</v>
      </c>
      <c r="AM439" s="342">
        <f t="shared" si="585"/>
        <v>44.547134935304989</v>
      </c>
      <c r="AN439" s="342">
        <f t="shared" si="585"/>
        <v>24.167872648335745</v>
      </c>
      <c r="AP439" s="342" t="e">
        <f t="shared" si="586"/>
        <v>#DIV/0!</v>
      </c>
      <c r="AQ439" s="342" t="e">
        <f t="shared" si="586"/>
        <v>#DIV/0!</v>
      </c>
      <c r="AS439" s="342">
        <f t="shared" si="587"/>
        <v>53.123456790123456</v>
      </c>
      <c r="AT439" s="342">
        <f t="shared" si="587"/>
        <v>36.81806961244137</v>
      </c>
      <c r="AV439" s="342">
        <f t="shared" si="588"/>
        <v>52.603082049146188</v>
      </c>
      <c r="AW439" s="342">
        <f t="shared" si="588"/>
        <v>19.521351478179259</v>
      </c>
      <c r="AY439" s="342">
        <f t="shared" si="589"/>
        <v>58.530114088617665</v>
      </c>
      <c r="AZ439" s="342">
        <f t="shared" si="589"/>
        <v>34.926151172893135</v>
      </c>
      <c r="BB439" s="342">
        <f t="shared" si="590"/>
        <v>53.304025278197557</v>
      </c>
      <c r="BC439" s="342">
        <f t="shared" si="590"/>
        <v>1.7502224859092257</v>
      </c>
      <c r="BE439" s="342">
        <f t="shared" si="591"/>
        <v>70.064649599172498</v>
      </c>
      <c r="BF439" s="342">
        <f t="shared" si="591"/>
        <v>69.552285535378829</v>
      </c>
      <c r="BH439" s="342">
        <f t="shared" si="592"/>
        <v>70.343042071197416</v>
      </c>
      <c r="BI439" s="342">
        <f t="shared" si="592"/>
        <v>39.594297196440529</v>
      </c>
      <c r="BK439" s="342">
        <f t="shared" si="593"/>
        <v>77.955493741307365</v>
      </c>
      <c r="BL439" s="342">
        <f t="shared" si="593"/>
        <v>62.24607129168264</v>
      </c>
      <c r="BN439" s="342">
        <f t="shared" si="594"/>
        <v>74.725676664228232</v>
      </c>
      <c r="BO439" s="342">
        <f t="shared" si="594"/>
        <v>38.135922330097088</v>
      </c>
      <c r="BQ439" s="342">
        <f t="shared" si="595"/>
        <v>30.325262900464661</v>
      </c>
      <c r="BR439" s="342">
        <f t="shared" si="595"/>
        <v>38.433703799431377</v>
      </c>
      <c r="BT439" s="342">
        <f t="shared" si="596"/>
        <v>42.648117054449507</v>
      </c>
      <c r="BU439" s="342">
        <f t="shared" si="596"/>
        <v>28.722879684418146</v>
      </c>
      <c r="BW439" s="342">
        <f t="shared" si="597"/>
        <v>57.30533683289589</v>
      </c>
      <c r="BX439" s="342">
        <f t="shared" si="597"/>
        <v>54.646840148698885</v>
      </c>
      <c r="BZ439" s="342">
        <f t="shared" si="598"/>
        <v>92.778592375366571</v>
      </c>
      <c r="CA439" s="342">
        <f t="shared" si="598"/>
        <v>39.627132090440305</v>
      </c>
      <c r="CC439" s="342">
        <f t="shared" si="599"/>
        <v>99.39827002632569</v>
      </c>
      <c r="CD439" s="342">
        <f t="shared" si="599"/>
        <v>67.766295707472182</v>
      </c>
      <c r="CF439" s="342">
        <f t="shared" si="600"/>
        <v>14.423076923076922</v>
      </c>
      <c r="CG439" s="342">
        <f t="shared" si="600"/>
        <v>8.3333333333333321</v>
      </c>
      <c r="CI439" s="342" t="e">
        <f t="shared" si="601"/>
        <v>#DIV/0!</v>
      </c>
      <c r="CJ439" s="342" t="e">
        <f t="shared" si="601"/>
        <v>#DIV/0!</v>
      </c>
    </row>
    <row r="440" spans="1:88" x14ac:dyDescent="0.25">
      <c r="A440" s="102"/>
      <c r="B440" s="96" t="s">
        <v>1304</v>
      </c>
      <c r="C440" s="101"/>
      <c r="D440" s="101" t="s">
        <v>8</v>
      </c>
      <c r="E440" s="103"/>
      <c r="F440" s="103"/>
      <c r="G440" s="103"/>
      <c r="H440" s="103"/>
      <c r="I440" s="342">
        <f t="shared" si="577"/>
        <v>39.897172236503856</v>
      </c>
      <c r="J440" s="342">
        <f t="shared" si="577"/>
        <v>49.014371105176139</v>
      </c>
      <c r="K440" s="342">
        <f t="shared" si="577"/>
        <v>54.15614098400097</v>
      </c>
      <c r="L440" s="342">
        <f t="shared" si="577"/>
        <v>51.251646903820813</v>
      </c>
      <c r="M440" s="342">
        <f t="shared" si="577"/>
        <v>54.481792717086833</v>
      </c>
      <c r="N440" s="342">
        <f t="shared" si="577"/>
        <v>0</v>
      </c>
      <c r="P440" s="342">
        <f t="shared" si="578"/>
        <v>49.941672067401164</v>
      </c>
      <c r="Q440" s="342">
        <f t="shared" si="578"/>
        <v>40.951195907645513</v>
      </c>
      <c r="R440" s="342">
        <f t="shared" si="578"/>
        <v>49.705882352941174</v>
      </c>
      <c r="S440" s="342">
        <f t="shared" si="578"/>
        <v>36.18320610687023</v>
      </c>
      <c r="U440" s="342">
        <f t="shared" si="579"/>
        <v>65.821094793057412</v>
      </c>
      <c r="V440" s="342">
        <f t="shared" si="579"/>
        <v>61.420612813370482</v>
      </c>
      <c r="X440" s="342">
        <f t="shared" si="580"/>
        <v>66.246056782334378</v>
      </c>
      <c r="Y440" s="342">
        <f t="shared" si="580"/>
        <v>67.036450079239302</v>
      </c>
      <c r="AA440" s="342">
        <f t="shared" si="581"/>
        <v>68.583599574014912</v>
      </c>
      <c r="AB440" s="342">
        <f t="shared" si="581"/>
        <v>48.654708520179376</v>
      </c>
      <c r="AD440" s="342">
        <f t="shared" si="582"/>
        <v>29.032258064516132</v>
      </c>
      <c r="AE440" s="342">
        <f t="shared" si="582"/>
        <v>15.311004784688995</v>
      </c>
      <c r="AG440" s="342">
        <f t="shared" si="583"/>
        <v>61.790668348045394</v>
      </c>
      <c r="AH440" s="342">
        <f t="shared" si="583"/>
        <v>51.660026560424967</v>
      </c>
      <c r="AJ440" s="342">
        <f t="shared" si="584"/>
        <v>59.859154929577464</v>
      </c>
      <c r="AK440" s="342">
        <f t="shared" si="584"/>
        <v>0</v>
      </c>
      <c r="AM440" s="342">
        <f t="shared" si="585"/>
        <v>51.146788990825684</v>
      </c>
      <c r="AN440" s="342">
        <f t="shared" si="585"/>
        <v>46.469465648854964</v>
      </c>
      <c r="AP440" s="342">
        <f t="shared" si="586"/>
        <v>0</v>
      </c>
      <c r="AQ440" s="342">
        <f t="shared" si="586"/>
        <v>0</v>
      </c>
      <c r="AS440" s="342" t="e">
        <f t="shared" si="587"/>
        <v>#DIV/0!</v>
      </c>
      <c r="AT440" s="342" t="e">
        <f t="shared" si="587"/>
        <v>#DIV/0!</v>
      </c>
      <c r="AV440" s="342" t="e">
        <f t="shared" si="588"/>
        <v>#DIV/0!</v>
      </c>
      <c r="AW440" s="342" t="e">
        <f t="shared" si="588"/>
        <v>#DIV/0!</v>
      </c>
      <c r="AY440" s="342" t="e">
        <f t="shared" si="589"/>
        <v>#DIV/0!</v>
      </c>
      <c r="AZ440" s="342" t="e">
        <f t="shared" si="589"/>
        <v>#DIV/0!</v>
      </c>
      <c r="BB440" s="342" t="e">
        <f t="shared" si="590"/>
        <v>#DIV/0!</v>
      </c>
      <c r="BC440" s="342" t="e">
        <f t="shared" si="590"/>
        <v>#DIV/0!</v>
      </c>
      <c r="BE440" s="342" t="e">
        <f t="shared" si="591"/>
        <v>#DIV/0!</v>
      </c>
      <c r="BF440" s="342" t="e">
        <f t="shared" si="591"/>
        <v>#DIV/0!</v>
      </c>
      <c r="BH440" s="342" t="e">
        <f t="shared" si="592"/>
        <v>#DIV/0!</v>
      </c>
      <c r="BI440" s="342" t="e">
        <f t="shared" si="592"/>
        <v>#DIV/0!</v>
      </c>
      <c r="BK440" s="342" t="e">
        <f t="shared" si="593"/>
        <v>#DIV/0!</v>
      </c>
      <c r="BL440" s="342" t="e">
        <f t="shared" si="593"/>
        <v>#DIV/0!</v>
      </c>
      <c r="BN440" s="342" t="e">
        <f t="shared" si="594"/>
        <v>#DIV/0!</v>
      </c>
      <c r="BO440" s="342" t="e">
        <f t="shared" si="594"/>
        <v>#DIV/0!</v>
      </c>
      <c r="BQ440" s="342" t="e">
        <f t="shared" si="595"/>
        <v>#DIV/0!</v>
      </c>
      <c r="BR440" s="342" t="e">
        <f t="shared" si="595"/>
        <v>#DIV/0!</v>
      </c>
      <c r="BT440" s="342" t="e">
        <f t="shared" si="596"/>
        <v>#DIV/0!</v>
      </c>
      <c r="BU440" s="342" t="e">
        <f t="shared" si="596"/>
        <v>#DIV/0!</v>
      </c>
      <c r="BW440" s="342" t="e">
        <f t="shared" si="597"/>
        <v>#DIV/0!</v>
      </c>
      <c r="BX440" s="342" t="e">
        <f t="shared" si="597"/>
        <v>#DIV/0!</v>
      </c>
      <c r="BZ440" s="342" t="e">
        <f t="shared" si="598"/>
        <v>#DIV/0!</v>
      </c>
      <c r="CA440" s="342" t="e">
        <f t="shared" si="598"/>
        <v>#DIV/0!</v>
      </c>
      <c r="CC440" s="342" t="e">
        <f t="shared" si="599"/>
        <v>#DIV/0!</v>
      </c>
      <c r="CD440" s="342" t="e">
        <f t="shared" si="599"/>
        <v>#DIV/0!</v>
      </c>
      <c r="CF440" s="342" t="e">
        <f t="shared" si="600"/>
        <v>#DIV/0!</v>
      </c>
      <c r="CG440" s="342" t="e">
        <f t="shared" si="600"/>
        <v>#DIV/0!</v>
      </c>
      <c r="CI440" s="342" t="e">
        <f t="shared" si="601"/>
        <v>#DIV/0!</v>
      </c>
      <c r="CJ440" s="342" t="e">
        <f t="shared" si="601"/>
        <v>#DIV/0!</v>
      </c>
    </row>
    <row r="441" spans="1:88" ht="45" x14ac:dyDescent="0.25">
      <c r="A441" s="102"/>
      <c r="B441" s="91" t="s">
        <v>1816</v>
      </c>
      <c r="C441" s="370" t="s">
        <v>1817</v>
      </c>
      <c r="D441" s="101"/>
      <c r="E441" s="103"/>
      <c r="F441" s="103"/>
      <c r="G441" s="103"/>
      <c r="H441" s="103"/>
      <c r="I441" s="103">
        <f t="shared" ref="I441:M441" si="602">I442+I443</f>
        <v>64902</v>
      </c>
      <c r="J441" s="103">
        <f t="shared" si="602"/>
        <v>69042</v>
      </c>
      <c r="K441" s="103">
        <f t="shared" si="602"/>
        <v>73169</v>
      </c>
      <c r="L441" s="103">
        <f t="shared" si="602"/>
        <v>1306</v>
      </c>
      <c r="M441" s="103">
        <f t="shared" si="602"/>
        <v>1306</v>
      </c>
      <c r="N441" s="103" t="s">
        <v>1967</v>
      </c>
      <c r="P441" s="103">
        <f>P442+P443</f>
        <v>73561</v>
      </c>
      <c r="Q441" s="103">
        <f>Q442+Q443</f>
        <v>48573</v>
      </c>
      <c r="R441" s="103">
        <f>R442+R443</f>
        <v>1061</v>
      </c>
      <c r="S441" s="103">
        <f>S442+S443</f>
        <v>981</v>
      </c>
      <c r="U441" s="103">
        <f>U442+U443</f>
        <v>1319</v>
      </c>
      <c r="V441" s="103">
        <f>V442+V443</f>
        <v>816</v>
      </c>
      <c r="X441" s="103">
        <f>X442+X443</f>
        <v>1303</v>
      </c>
      <c r="Y441" s="103">
        <f>Y442+Y443</f>
        <v>1246</v>
      </c>
      <c r="AA441" s="103">
        <f>AA442+AA443</f>
        <v>1511</v>
      </c>
      <c r="AB441" s="103">
        <f>AB442+AB443</f>
        <v>909</v>
      </c>
      <c r="AD441" s="103">
        <f>AD442+AD443</f>
        <v>1737</v>
      </c>
      <c r="AE441" s="103">
        <f>AE442+AE443</f>
        <v>1326</v>
      </c>
      <c r="AG441" s="103">
        <f>AG442+AG443</f>
        <v>1437</v>
      </c>
      <c r="AH441" s="103">
        <f>AH442+AH443</f>
        <v>1306</v>
      </c>
      <c r="AJ441" s="103">
        <f>AJ442+AJ443</f>
        <v>1363</v>
      </c>
      <c r="AK441" s="103">
        <f>AK442+AK443</f>
        <v>654</v>
      </c>
      <c r="AM441" s="103">
        <f>AM442+AM443</f>
        <v>3748</v>
      </c>
      <c r="AN441" s="103">
        <f>AN442+AN443</f>
        <v>2310</v>
      </c>
      <c r="AP441" s="103">
        <f>AP442+AP443</f>
        <v>0</v>
      </c>
      <c r="AQ441" s="103">
        <f>AQ442+AQ443</f>
        <v>0</v>
      </c>
      <c r="AS441" s="103">
        <f>AS442+AS443</f>
        <v>4303</v>
      </c>
      <c r="AT441" s="103">
        <f>AT442+AT443</f>
        <v>2983</v>
      </c>
      <c r="AV441" s="103">
        <f>AV442+AV443</f>
        <v>1263</v>
      </c>
      <c r="AW441" s="103">
        <f>AW442+AW443</f>
        <v>416</v>
      </c>
      <c r="AY441" s="103">
        <f>AY442+AY443</f>
        <v>2206</v>
      </c>
      <c r="AZ441" s="103">
        <f>AZ442+AZ443</f>
        <v>1206</v>
      </c>
      <c r="BB441" s="103">
        <f>BB442+BB443</f>
        <v>3880</v>
      </c>
      <c r="BC441" s="103">
        <f>BC442+BC443</f>
        <v>118</v>
      </c>
      <c r="BE441" s="103">
        <f>BE442+BE443</f>
        <v>13547</v>
      </c>
      <c r="BF441" s="103">
        <f>BF442+BF443</f>
        <v>13329</v>
      </c>
      <c r="BH441" s="103">
        <f>BH442+BH443</f>
        <v>21736</v>
      </c>
      <c r="BI441" s="103">
        <f>BI442+BI443</f>
        <v>12414</v>
      </c>
      <c r="BK441" s="103">
        <f>BK442+BK443</f>
        <v>2242</v>
      </c>
      <c r="BL441" s="103">
        <f>BL442+BL443</f>
        <v>1624</v>
      </c>
      <c r="BN441" s="103">
        <f>BN442+BN443</f>
        <v>2043</v>
      </c>
      <c r="BO441" s="103">
        <f>BO442+BO443</f>
        <v>982</v>
      </c>
      <c r="BQ441" s="103">
        <f>BQ442+BQ443</f>
        <v>1240</v>
      </c>
      <c r="BR441" s="103">
        <f>BR442+BR443</f>
        <v>1487</v>
      </c>
      <c r="BT441" s="103">
        <f>BT442+BT443</f>
        <v>1778</v>
      </c>
      <c r="BU441" s="103">
        <f>BU442+BU443</f>
        <v>1165</v>
      </c>
      <c r="BW441" s="103">
        <f>BW442+BW443</f>
        <v>655</v>
      </c>
      <c r="BX441" s="103">
        <f>BX442+BX443</f>
        <v>588</v>
      </c>
      <c r="BZ441" s="103">
        <f>BZ442+BZ443</f>
        <v>2531</v>
      </c>
      <c r="CA441" s="103">
        <f>CA442+CA443</f>
        <v>999</v>
      </c>
      <c r="CC441" s="103">
        <f>CC442+CC443</f>
        <v>2643</v>
      </c>
      <c r="CD441" s="103">
        <f>CD442+CD443</f>
        <v>1705</v>
      </c>
      <c r="CF441" s="103">
        <f>CF442+CF443</f>
        <v>15</v>
      </c>
      <c r="CG441" s="103">
        <f>CG442+CG443</f>
        <v>9</v>
      </c>
      <c r="CI441" s="103">
        <f>CI442+CI443</f>
        <v>0</v>
      </c>
      <c r="CJ441" s="103">
        <f>CJ442+CJ443</f>
        <v>0</v>
      </c>
    </row>
    <row r="442" spans="1:88" x14ac:dyDescent="0.25">
      <c r="A442" s="102"/>
      <c r="B442" s="372" t="s">
        <v>1183</v>
      </c>
      <c r="C442" s="101"/>
      <c r="D442" s="101" t="s">
        <v>950</v>
      </c>
      <c r="E442" s="103"/>
      <c r="F442" s="103"/>
      <c r="G442" s="103"/>
      <c r="H442" s="103"/>
      <c r="I442" s="103">
        <v>61798</v>
      </c>
      <c r="J442" s="103">
        <v>65188</v>
      </c>
      <c r="K442" s="103">
        <v>68667</v>
      </c>
      <c r="L442" s="103">
        <v>917</v>
      </c>
      <c r="M442" s="103">
        <v>917</v>
      </c>
      <c r="N442" s="103">
        <v>0</v>
      </c>
      <c r="O442" s="283"/>
      <c r="P442" s="286">
        <f>R442+U442+X442+AA442+AD442+AG442+AJ442+AM442+AP442+AS442+AV442+AY442+BB442+BE442+BH442+BK442+BN442+BQ442+BT442+BW442+BZ442+CC442+CF442+CI442</f>
        <v>69708</v>
      </c>
      <c r="Q442" s="286">
        <f>S442+V442+Y442+AB442+AE442+AH442+AK442+AN442+AQ442+AT442+AW442+AZ442+BC442+BF442+BI442+BL442+BO442+BR442+BU442+BX442+CA442+CD442+CG442+CJ442</f>
        <v>45611</v>
      </c>
      <c r="R442" s="286">
        <v>723</v>
      </c>
      <c r="S442" s="286">
        <v>744</v>
      </c>
      <c r="T442" s="286"/>
      <c r="U442" s="286">
        <v>826</v>
      </c>
      <c r="V442" s="286">
        <v>375</v>
      </c>
      <c r="W442" s="286"/>
      <c r="X442" s="286">
        <v>883</v>
      </c>
      <c r="Y442" s="286">
        <v>823</v>
      </c>
      <c r="Z442" s="286"/>
      <c r="AA442" s="286">
        <v>867</v>
      </c>
      <c r="AB442" s="286">
        <v>475</v>
      </c>
      <c r="AC442" s="286"/>
      <c r="AD442" s="286">
        <v>1692</v>
      </c>
      <c r="AE442" s="286">
        <v>1262</v>
      </c>
      <c r="AF442" s="286"/>
      <c r="AG442" s="286">
        <v>947</v>
      </c>
      <c r="AH442" s="286">
        <v>917</v>
      </c>
      <c r="AI442" s="286"/>
      <c r="AJ442" s="286">
        <v>1278</v>
      </c>
      <c r="AK442" s="286">
        <v>654</v>
      </c>
      <c r="AL442" s="286"/>
      <c r="AM442" s="286">
        <v>2410</v>
      </c>
      <c r="AN442" s="286">
        <v>1336</v>
      </c>
      <c r="AO442" s="286"/>
      <c r="AP442" s="286">
        <v>0</v>
      </c>
      <c r="AQ442" s="286">
        <v>0</v>
      </c>
      <c r="AR442" s="286"/>
      <c r="AS442" s="286">
        <v>4303</v>
      </c>
      <c r="AT442" s="286">
        <v>2983</v>
      </c>
      <c r="AU442" s="286"/>
      <c r="AV442" s="286">
        <v>1263</v>
      </c>
      <c r="AW442" s="286">
        <v>416</v>
      </c>
      <c r="AX442" s="286"/>
      <c r="AY442" s="286">
        <v>2206</v>
      </c>
      <c r="AZ442" s="286">
        <v>1206</v>
      </c>
      <c r="BA442" s="286"/>
      <c r="BB442" s="286">
        <v>3880</v>
      </c>
      <c r="BC442" s="286">
        <v>118</v>
      </c>
      <c r="BD442" s="286"/>
      <c r="BE442" s="286">
        <v>13547</v>
      </c>
      <c r="BF442" s="286">
        <v>13329</v>
      </c>
      <c r="BG442" s="286"/>
      <c r="BH442" s="286">
        <v>21736</v>
      </c>
      <c r="BI442" s="286">
        <v>12414</v>
      </c>
      <c r="BJ442" s="286"/>
      <c r="BK442" s="286">
        <v>2242</v>
      </c>
      <c r="BL442" s="286">
        <v>1624</v>
      </c>
      <c r="BM442" s="286"/>
      <c r="BN442" s="286">
        <v>2043</v>
      </c>
      <c r="BO442" s="286">
        <v>982</v>
      </c>
      <c r="BP442" s="286"/>
      <c r="BQ442" s="286">
        <v>1240</v>
      </c>
      <c r="BR442" s="286">
        <v>1487</v>
      </c>
      <c r="BS442" s="286"/>
      <c r="BT442" s="286">
        <v>1778</v>
      </c>
      <c r="BU442" s="286">
        <v>1165</v>
      </c>
      <c r="BV442" s="286"/>
      <c r="BW442" s="286">
        <v>655</v>
      </c>
      <c r="BX442" s="286">
        <v>588</v>
      </c>
      <c r="BY442" s="286"/>
      <c r="BZ442" s="286">
        <v>2531</v>
      </c>
      <c r="CA442" s="286">
        <v>999</v>
      </c>
      <c r="CB442" s="286"/>
      <c r="CC442" s="286">
        <v>2643</v>
      </c>
      <c r="CD442" s="286">
        <v>1705</v>
      </c>
      <c r="CE442" s="286"/>
      <c r="CF442" s="286">
        <v>15</v>
      </c>
      <c r="CG442" s="286">
        <v>9</v>
      </c>
      <c r="CH442" s="286"/>
      <c r="CI442" s="286">
        <v>0</v>
      </c>
      <c r="CJ442" s="286">
        <v>0</v>
      </c>
    </row>
    <row r="443" spans="1:88" x14ac:dyDescent="0.25">
      <c r="A443" s="102"/>
      <c r="B443" s="372" t="s">
        <v>1185</v>
      </c>
      <c r="C443" s="101"/>
      <c r="D443" s="101" t="s">
        <v>950</v>
      </c>
      <c r="E443" s="103"/>
      <c r="F443" s="103"/>
      <c r="G443" s="103"/>
      <c r="H443" s="103"/>
      <c r="I443" s="103">
        <v>3104</v>
      </c>
      <c r="J443" s="103">
        <v>3854</v>
      </c>
      <c r="K443" s="103">
        <v>4502</v>
      </c>
      <c r="L443" s="103">
        <v>389</v>
      </c>
      <c r="M443" s="103">
        <v>389</v>
      </c>
      <c r="N443" s="103">
        <v>0</v>
      </c>
      <c r="O443" s="283"/>
      <c r="P443" s="286">
        <f>R443+U443+X443+AA443+AD443+AG443+AJ443+AM443+AP443+AS443+AV443+AY443+BB443+BE443+BH443+BK443+BN443+BQ443+BT443+BW443+BZ443+CC443+CF443+CI443</f>
        <v>3853</v>
      </c>
      <c r="Q443" s="286">
        <f>S443+V443+Y443+AB443+AE443+AH443+AK443+AN443+AQ443+AT443+AW443+AZ443+BC443+BF443+BI443+BL443+BO443+BR443+BU443+BX443+CA443+CD443+CG443+CJ443</f>
        <v>2962</v>
      </c>
      <c r="R443" s="286">
        <v>338</v>
      </c>
      <c r="S443" s="286">
        <v>237</v>
      </c>
      <c r="T443" s="286"/>
      <c r="U443" s="286">
        <v>493</v>
      </c>
      <c r="V443" s="286">
        <v>441</v>
      </c>
      <c r="W443" s="286"/>
      <c r="X443" s="286">
        <v>420</v>
      </c>
      <c r="Y443" s="286">
        <v>423</v>
      </c>
      <c r="Z443" s="286"/>
      <c r="AA443" s="286">
        <v>644</v>
      </c>
      <c r="AB443" s="286">
        <v>434</v>
      </c>
      <c r="AC443" s="286"/>
      <c r="AD443" s="286">
        <v>45</v>
      </c>
      <c r="AE443" s="286">
        <v>64</v>
      </c>
      <c r="AF443" s="286"/>
      <c r="AG443" s="286">
        <v>490</v>
      </c>
      <c r="AH443" s="286">
        <v>389</v>
      </c>
      <c r="AI443" s="286"/>
      <c r="AJ443" s="286">
        <v>85</v>
      </c>
      <c r="AK443" s="286">
        <v>0</v>
      </c>
      <c r="AL443" s="286"/>
      <c r="AM443" s="286">
        <v>1338</v>
      </c>
      <c r="AN443" s="286">
        <v>974</v>
      </c>
      <c r="AO443" s="286"/>
      <c r="AP443" s="286">
        <v>0</v>
      </c>
      <c r="AQ443" s="286">
        <v>0</v>
      </c>
      <c r="AR443" s="286"/>
      <c r="AS443" s="286">
        <v>0</v>
      </c>
      <c r="AT443" s="286">
        <v>0</v>
      </c>
      <c r="AU443" s="286"/>
      <c r="AV443" s="286">
        <v>0</v>
      </c>
      <c r="AW443" s="286">
        <v>0</v>
      </c>
      <c r="AX443" s="286"/>
      <c r="AY443" s="286">
        <v>0</v>
      </c>
      <c r="AZ443" s="286">
        <v>0</v>
      </c>
      <c r="BA443" s="286"/>
      <c r="BB443" s="286">
        <v>0</v>
      </c>
      <c r="BC443" s="286">
        <v>0</v>
      </c>
      <c r="BD443" s="286"/>
      <c r="BE443" s="286">
        <v>0</v>
      </c>
      <c r="BF443" s="286">
        <v>0</v>
      </c>
      <c r="BG443" s="286"/>
      <c r="BH443" s="286">
        <v>0</v>
      </c>
      <c r="BI443" s="286">
        <v>0</v>
      </c>
      <c r="BJ443" s="286"/>
      <c r="BK443" s="286">
        <v>0</v>
      </c>
      <c r="BL443" s="286">
        <v>0</v>
      </c>
      <c r="BM443" s="286"/>
      <c r="BN443" s="286">
        <v>0</v>
      </c>
      <c r="BO443" s="286">
        <v>0</v>
      </c>
      <c r="BP443" s="286"/>
      <c r="BQ443" s="286">
        <v>0</v>
      </c>
      <c r="BR443" s="286">
        <v>0</v>
      </c>
      <c r="BS443" s="286"/>
      <c r="BT443" s="286">
        <v>0</v>
      </c>
      <c r="BU443" s="286">
        <v>0</v>
      </c>
      <c r="BV443" s="286"/>
      <c r="BW443" s="286">
        <v>0</v>
      </c>
      <c r="BX443" s="286">
        <v>0</v>
      </c>
      <c r="BY443" s="286"/>
      <c r="BZ443" s="286">
        <v>0</v>
      </c>
      <c r="CA443" s="286">
        <v>0</v>
      </c>
      <c r="CB443" s="286"/>
      <c r="CC443" s="286">
        <v>0</v>
      </c>
      <c r="CD443" s="286">
        <v>0</v>
      </c>
      <c r="CE443" s="286"/>
      <c r="CF443" s="286">
        <v>0</v>
      </c>
      <c r="CG443" s="286">
        <v>0</v>
      </c>
      <c r="CH443" s="286"/>
      <c r="CI443" s="286">
        <v>0</v>
      </c>
      <c r="CJ443" s="286">
        <v>0</v>
      </c>
    </row>
    <row r="444" spans="1:88" ht="45" x14ac:dyDescent="0.25">
      <c r="A444" s="102"/>
      <c r="B444" s="91" t="s">
        <v>1778</v>
      </c>
      <c r="C444" s="370" t="s">
        <v>1818</v>
      </c>
      <c r="D444" s="101"/>
      <c r="E444" s="103"/>
      <c r="F444" s="103"/>
      <c r="G444" s="103"/>
      <c r="H444" s="103"/>
      <c r="I444" s="103">
        <f t="shared" ref="I444:N444" si="603">I445+I446</f>
        <v>113543</v>
      </c>
      <c r="J444" s="103">
        <f t="shared" si="603"/>
        <v>118154</v>
      </c>
      <c r="K444" s="103">
        <f t="shared" si="603"/>
        <v>116997</v>
      </c>
      <c r="L444" s="103">
        <f t="shared" si="603"/>
        <v>1830</v>
      </c>
      <c r="M444" s="103">
        <f t="shared" si="603"/>
        <v>1721</v>
      </c>
      <c r="N444" s="103">
        <f t="shared" si="603"/>
        <v>1631</v>
      </c>
      <c r="P444" s="103">
        <f>P445+P446</f>
        <v>116997</v>
      </c>
      <c r="Q444" s="103">
        <f>Q445+Q446</f>
        <v>113527</v>
      </c>
      <c r="R444" s="103">
        <f>R445+R446</f>
        <v>2132</v>
      </c>
      <c r="S444" s="103">
        <f>S445+S446</f>
        <v>2000</v>
      </c>
      <c r="T444" s="286"/>
      <c r="U444" s="103">
        <f>U445+U446</f>
        <v>1791</v>
      </c>
      <c r="V444" s="103">
        <f>V445+V446</f>
        <v>1668</v>
      </c>
      <c r="W444" s="286"/>
      <c r="X444" s="103">
        <f>X445+X446</f>
        <v>2064</v>
      </c>
      <c r="Y444" s="103">
        <f>Y445+Y446</f>
        <v>1974</v>
      </c>
      <c r="Z444" s="286"/>
      <c r="AA444" s="103">
        <f>AA445+AA446</f>
        <v>2385</v>
      </c>
      <c r="AB444" s="103">
        <f>AB445+AB446</f>
        <v>2194</v>
      </c>
      <c r="AC444" s="286"/>
      <c r="AD444" s="103">
        <f>AD445+AD446</f>
        <v>2276</v>
      </c>
      <c r="AE444" s="103">
        <f>AE445+AE446</f>
        <v>2078</v>
      </c>
      <c r="AF444" s="286"/>
      <c r="AG444" s="103">
        <f>AG445+AG446</f>
        <v>1890</v>
      </c>
      <c r="AH444" s="103">
        <f>AH445+AH446</f>
        <v>1830</v>
      </c>
      <c r="AI444" s="286"/>
      <c r="AJ444" s="103">
        <f>AJ445+AJ446</f>
        <v>3140</v>
      </c>
      <c r="AK444" s="103">
        <f>AK445+AK446</f>
        <v>2943</v>
      </c>
      <c r="AL444" s="286"/>
      <c r="AM444" s="103">
        <f>AM445+AM446</f>
        <v>8026</v>
      </c>
      <c r="AN444" s="103">
        <f>AN445+AN446</f>
        <v>7624</v>
      </c>
      <c r="AO444" s="286"/>
      <c r="AP444" s="103">
        <f>AP445+AP446</f>
        <v>1007</v>
      </c>
      <c r="AQ444" s="103">
        <f>AQ445+AQ446</f>
        <v>941</v>
      </c>
      <c r="AR444" s="286"/>
      <c r="AS444" s="103">
        <f>AS445+AS446</f>
        <v>8100</v>
      </c>
      <c r="AT444" s="103">
        <f>AT445+AT446</f>
        <v>8102</v>
      </c>
      <c r="AU444" s="286"/>
      <c r="AV444" s="103">
        <f>AV445+AV446</f>
        <v>2401</v>
      </c>
      <c r="AW444" s="103">
        <f>AW445+AW446</f>
        <v>2131</v>
      </c>
      <c r="AX444" s="286"/>
      <c r="AY444" s="103">
        <f>AY445+AY446</f>
        <v>3769</v>
      </c>
      <c r="AZ444" s="103">
        <f>AZ445+AZ446</f>
        <v>3453</v>
      </c>
      <c r="BA444" s="286"/>
      <c r="BB444" s="103">
        <f>BB445+BB446</f>
        <v>7279</v>
      </c>
      <c r="BC444" s="103">
        <f>BC445+BC446</f>
        <v>6742</v>
      </c>
      <c r="BD444" s="286"/>
      <c r="BE444" s="103">
        <f>BE445+BE446</f>
        <v>19335</v>
      </c>
      <c r="BF444" s="103">
        <f>BF445+BF446</f>
        <v>19164</v>
      </c>
      <c r="BG444" s="286"/>
      <c r="BH444" s="103">
        <f>BH445+BH446</f>
        <v>30900</v>
      </c>
      <c r="BI444" s="103">
        <f>BI445+BI446</f>
        <v>31353</v>
      </c>
      <c r="BJ444" s="286"/>
      <c r="BK444" s="103">
        <f>BK445+BK446</f>
        <v>2876</v>
      </c>
      <c r="BL444" s="103">
        <f>BL445+BL446</f>
        <v>2609</v>
      </c>
      <c r="BM444" s="286"/>
      <c r="BN444" s="103">
        <f>BN445+BN446</f>
        <v>2734</v>
      </c>
      <c r="BO444" s="103">
        <f>BO445+BO446</f>
        <v>2575</v>
      </c>
      <c r="BP444" s="286"/>
      <c r="BQ444" s="103">
        <f>BQ445+BQ446</f>
        <v>4089</v>
      </c>
      <c r="BR444" s="103">
        <f>BR445+BR446</f>
        <v>3869</v>
      </c>
      <c r="BS444" s="286"/>
      <c r="BT444" s="103">
        <f>BT445+BT446</f>
        <v>4169</v>
      </c>
      <c r="BU444" s="103">
        <f>BU445+BU446</f>
        <v>4056</v>
      </c>
      <c r="BV444" s="286"/>
      <c r="BW444" s="103">
        <f>BW445+BW446</f>
        <v>1143</v>
      </c>
      <c r="BX444" s="103">
        <f>BX445+BX446</f>
        <v>1076</v>
      </c>
      <c r="BY444" s="286"/>
      <c r="BZ444" s="103">
        <f>BZ445+BZ446</f>
        <v>2728</v>
      </c>
      <c r="CA444" s="103">
        <f>CA445+CA446</f>
        <v>2521</v>
      </c>
      <c r="CB444" s="286"/>
      <c r="CC444" s="103">
        <f>CC445+CC446</f>
        <v>2659</v>
      </c>
      <c r="CD444" s="103">
        <f>CD445+CD446</f>
        <v>2516</v>
      </c>
      <c r="CE444" s="286"/>
      <c r="CF444" s="103">
        <f>CF445+CF446</f>
        <v>104</v>
      </c>
      <c r="CG444" s="103">
        <f>CG445+CG446</f>
        <v>108</v>
      </c>
      <c r="CH444" s="286"/>
      <c r="CI444" s="103">
        <f>CI445+CI446</f>
        <v>0</v>
      </c>
      <c r="CJ444" s="103">
        <f>CJ445+CJ446</f>
        <v>0</v>
      </c>
    </row>
    <row r="445" spans="1:88" x14ac:dyDescent="0.25">
      <c r="A445" s="102"/>
      <c r="B445" s="372" t="s">
        <v>1183</v>
      </c>
      <c r="C445" s="101"/>
      <c r="D445" s="101" t="s">
        <v>950</v>
      </c>
      <c r="E445" s="103"/>
      <c r="F445" s="103"/>
      <c r="G445" s="103"/>
      <c r="H445" s="103"/>
      <c r="I445" s="103">
        <v>105763</v>
      </c>
      <c r="J445" s="103">
        <f t="shared" ref="J445:N446" si="604">J188</f>
        <v>110291</v>
      </c>
      <c r="K445" s="103">
        <f t="shared" si="604"/>
        <v>108684</v>
      </c>
      <c r="L445" s="103">
        <f t="shared" si="604"/>
        <v>1071</v>
      </c>
      <c r="M445" s="103">
        <f t="shared" si="604"/>
        <v>1007</v>
      </c>
      <c r="N445" s="103">
        <f t="shared" si="604"/>
        <v>955</v>
      </c>
      <c r="P445" s="286">
        <f>R445+U445+X445+AA445+AD445+AG445+AJ445+AM445+AP445+AS445+AV445+AY445+BB445+BE445+BH445+BK445+BN445+BQ445+BT445+BW445+BZ445+CC445+CF445+CI445</f>
        <v>109282</v>
      </c>
      <c r="Q445" s="286">
        <f>S445+V445+Y445+AB445+AE445+AH445+AK445+AN445+AQ445+AT445+AW445+AZ445+BC445+BF445+BI445+BL445+BO445+BR445+BU445+BX445+CA445+CD445+CG445+CJ445</f>
        <v>106294</v>
      </c>
      <c r="R445" s="286">
        <f>R188</f>
        <v>1452</v>
      </c>
      <c r="S445" s="286">
        <f t="shared" ref="S445" si="605">S188</f>
        <v>1345</v>
      </c>
      <c r="T445" s="286"/>
      <c r="U445" s="286">
        <f t="shared" ref="U445:V446" si="606">U188</f>
        <v>1042</v>
      </c>
      <c r="V445" s="286">
        <f t="shared" si="606"/>
        <v>950</v>
      </c>
      <c r="W445" s="286"/>
      <c r="X445" s="286">
        <f t="shared" ref="X445:Y446" si="607">X188</f>
        <v>1430</v>
      </c>
      <c r="Y445" s="286">
        <f t="shared" si="607"/>
        <v>1343</v>
      </c>
      <c r="Z445" s="286"/>
      <c r="AA445" s="286">
        <f t="shared" ref="AA445:AB446" si="608">AA188</f>
        <v>1446</v>
      </c>
      <c r="AB445" s="286">
        <f t="shared" si="608"/>
        <v>1302</v>
      </c>
      <c r="AC445" s="286"/>
      <c r="AD445" s="286">
        <f t="shared" ref="AD445:AE446" si="609">AD188</f>
        <v>2121</v>
      </c>
      <c r="AE445" s="286">
        <f t="shared" si="609"/>
        <v>1660</v>
      </c>
      <c r="AF445" s="286"/>
      <c r="AG445" s="286">
        <f t="shared" ref="AG445:AH446" si="610">AG188</f>
        <v>1097</v>
      </c>
      <c r="AH445" s="286">
        <f t="shared" si="610"/>
        <v>1077</v>
      </c>
      <c r="AI445" s="286"/>
      <c r="AJ445" s="286">
        <f t="shared" ref="AJ445:AK446" si="611">AJ188</f>
        <v>2998</v>
      </c>
      <c r="AK445" s="286">
        <f t="shared" si="611"/>
        <v>2814</v>
      </c>
      <c r="AL445" s="286"/>
      <c r="AM445" s="286">
        <f t="shared" ref="AM445:AN446" si="612">AM188</f>
        <v>5410</v>
      </c>
      <c r="AN445" s="286">
        <f t="shared" si="612"/>
        <v>5528</v>
      </c>
      <c r="AO445" s="286"/>
      <c r="AP445" s="286">
        <f t="shared" ref="AP445:AQ446" si="613">AP188</f>
        <v>0</v>
      </c>
      <c r="AQ445" s="286">
        <f t="shared" si="613"/>
        <v>0</v>
      </c>
      <c r="AR445" s="286"/>
      <c r="AS445" s="286">
        <f t="shared" ref="AS445:AT446" si="614">AS188</f>
        <v>8100</v>
      </c>
      <c r="AT445" s="286">
        <f t="shared" si="614"/>
        <v>8102</v>
      </c>
      <c r="AU445" s="286"/>
      <c r="AV445" s="286">
        <f t="shared" ref="AV445:AW446" si="615">AV188</f>
        <v>2401</v>
      </c>
      <c r="AW445" s="286">
        <f t="shared" si="615"/>
        <v>2131</v>
      </c>
      <c r="AX445" s="286"/>
      <c r="AY445" s="286">
        <f t="shared" ref="AY445:AZ446" si="616">AY188</f>
        <v>3769</v>
      </c>
      <c r="AZ445" s="286">
        <f t="shared" si="616"/>
        <v>3453</v>
      </c>
      <c r="BA445" s="286"/>
      <c r="BB445" s="286">
        <f t="shared" ref="BB445:BC446" si="617">BB188</f>
        <v>7279</v>
      </c>
      <c r="BC445" s="286">
        <f t="shared" si="617"/>
        <v>6742</v>
      </c>
      <c r="BD445" s="286"/>
      <c r="BE445" s="286">
        <f t="shared" ref="BE445:BF446" si="618">BE188</f>
        <v>19335</v>
      </c>
      <c r="BF445" s="286">
        <f t="shared" si="618"/>
        <v>19164</v>
      </c>
      <c r="BG445" s="286"/>
      <c r="BH445" s="286">
        <f t="shared" ref="BH445:BI446" si="619">BH188</f>
        <v>30900</v>
      </c>
      <c r="BI445" s="286">
        <f t="shared" si="619"/>
        <v>31353</v>
      </c>
      <c r="BJ445" s="286"/>
      <c r="BK445" s="286">
        <f t="shared" ref="BK445:BL446" si="620">BK188</f>
        <v>2876</v>
      </c>
      <c r="BL445" s="286">
        <f t="shared" si="620"/>
        <v>2609</v>
      </c>
      <c r="BM445" s="286"/>
      <c r="BN445" s="286">
        <f t="shared" ref="BN445:BO446" si="621">BN188</f>
        <v>2734</v>
      </c>
      <c r="BO445" s="286">
        <f t="shared" si="621"/>
        <v>2575</v>
      </c>
      <c r="BP445" s="286"/>
      <c r="BQ445" s="286">
        <f t="shared" ref="BQ445:BR446" si="622">BQ188</f>
        <v>4089</v>
      </c>
      <c r="BR445" s="286">
        <f t="shared" si="622"/>
        <v>3869</v>
      </c>
      <c r="BS445" s="286"/>
      <c r="BT445" s="286">
        <f t="shared" ref="BT445:BU446" si="623">BT188</f>
        <v>4169</v>
      </c>
      <c r="BU445" s="286">
        <f t="shared" si="623"/>
        <v>4056</v>
      </c>
      <c r="BV445" s="286"/>
      <c r="BW445" s="286">
        <f t="shared" ref="BW445:BX446" si="624">BW188</f>
        <v>1143</v>
      </c>
      <c r="BX445" s="286">
        <f t="shared" si="624"/>
        <v>1076</v>
      </c>
      <c r="BY445" s="286"/>
      <c r="BZ445" s="286">
        <f t="shared" ref="BZ445:CA446" si="625">BZ188</f>
        <v>2728</v>
      </c>
      <c r="CA445" s="286">
        <f t="shared" si="625"/>
        <v>2521</v>
      </c>
      <c r="CB445" s="286"/>
      <c r="CC445" s="286">
        <f t="shared" ref="CC445:CD446" si="626">CC188</f>
        <v>2659</v>
      </c>
      <c r="CD445" s="286">
        <f t="shared" si="626"/>
        <v>2516</v>
      </c>
      <c r="CE445" s="286"/>
      <c r="CF445" s="286">
        <f t="shared" ref="CF445:CG446" si="627">CF188</f>
        <v>104</v>
      </c>
      <c r="CG445" s="286">
        <f t="shared" si="627"/>
        <v>108</v>
      </c>
      <c r="CH445" s="286"/>
      <c r="CI445" s="286">
        <f t="shared" ref="CI445:CJ446" si="628">CI188</f>
        <v>0</v>
      </c>
      <c r="CJ445" s="286">
        <f t="shared" si="628"/>
        <v>0</v>
      </c>
    </row>
    <row r="446" spans="1:88" x14ac:dyDescent="0.25">
      <c r="A446" s="102"/>
      <c r="B446" s="372" t="s">
        <v>1185</v>
      </c>
      <c r="C446" s="101"/>
      <c r="D446" s="101" t="s">
        <v>950</v>
      </c>
      <c r="E446" s="103"/>
      <c r="F446" s="103"/>
      <c r="G446" s="103"/>
      <c r="H446" s="103"/>
      <c r="I446" s="103">
        <v>7780</v>
      </c>
      <c r="J446" s="103">
        <f t="shared" si="604"/>
        <v>7863</v>
      </c>
      <c r="K446" s="103">
        <f t="shared" si="604"/>
        <v>8313</v>
      </c>
      <c r="L446" s="103">
        <f t="shared" si="604"/>
        <v>759</v>
      </c>
      <c r="M446" s="103">
        <f t="shared" si="604"/>
        <v>714</v>
      </c>
      <c r="N446" s="103">
        <f t="shared" si="604"/>
        <v>676</v>
      </c>
      <c r="O446" s="296"/>
      <c r="P446" s="286">
        <f>R446+U446+X446+AA446+AD446+AG446+AJ446+AM446+AP446+AS446+AV446+AY446+BB446+BE446+BH446+BK446+BN446+BQ446+BT446+BW446+BZ446+CC446+CF446+CI446</f>
        <v>7715</v>
      </c>
      <c r="Q446" s="286">
        <f>S446+V446+Y446+AB446+AE446+AH446+AK446+AN446+AQ446+AT446+AW446+AZ446+BC446+BF446+BI446+BL446+BO446+BR446+BU446+BX446+CA446+CD446+CG446+CJ446</f>
        <v>7233</v>
      </c>
      <c r="R446" s="286">
        <f t="shared" ref="R446:S446" si="629">R189</f>
        <v>680</v>
      </c>
      <c r="S446" s="286">
        <f t="shared" si="629"/>
        <v>655</v>
      </c>
      <c r="T446" s="286"/>
      <c r="U446" s="286">
        <f t="shared" si="606"/>
        <v>749</v>
      </c>
      <c r="V446" s="286">
        <f t="shared" si="606"/>
        <v>718</v>
      </c>
      <c r="W446" s="286"/>
      <c r="X446" s="286">
        <f t="shared" si="607"/>
        <v>634</v>
      </c>
      <c r="Y446" s="286">
        <f t="shared" si="607"/>
        <v>631</v>
      </c>
      <c r="Z446" s="286"/>
      <c r="AA446" s="286">
        <f t="shared" si="608"/>
        <v>939</v>
      </c>
      <c r="AB446" s="286">
        <f t="shared" si="608"/>
        <v>892</v>
      </c>
      <c r="AC446" s="286"/>
      <c r="AD446" s="286">
        <f t="shared" si="609"/>
        <v>155</v>
      </c>
      <c r="AE446" s="286">
        <f t="shared" si="609"/>
        <v>418</v>
      </c>
      <c r="AF446" s="286"/>
      <c r="AG446" s="286">
        <f t="shared" si="610"/>
        <v>793</v>
      </c>
      <c r="AH446" s="286">
        <f t="shared" si="610"/>
        <v>753</v>
      </c>
      <c r="AI446" s="286"/>
      <c r="AJ446" s="286">
        <f t="shared" si="611"/>
        <v>142</v>
      </c>
      <c r="AK446" s="286">
        <f t="shared" si="611"/>
        <v>129</v>
      </c>
      <c r="AL446" s="286"/>
      <c r="AM446" s="286">
        <f t="shared" si="612"/>
        <v>2616</v>
      </c>
      <c r="AN446" s="286">
        <f t="shared" si="612"/>
        <v>2096</v>
      </c>
      <c r="AO446" s="286"/>
      <c r="AP446" s="286">
        <f t="shared" si="613"/>
        <v>1007</v>
      </c>
      <c r="AQ446" s="286">
        <f t="shared" si="613"/>
        <v>941</v>
      </c>
      <c r="AR446" s="286"/>
      <c r="AS446" s="286">
        <f t="shared" si="614"/>
        <v>0</v>
      </c>
      <c r="AT446" s="286">
        <f t="shared" si="614"/>
        <v>0</v>
      </c>
      <c r="AU446" s="286"/>
      <c r="AV446" s="286">
        <f t="shared" si="615"/>
        <v>0</v>
      </c>
      <c r="AW446" s="286">
        <f t="shared" si="615"/>
        <v>0</v>
      </c>
      <c r="AX446" s="286"/>
      <c r="AY446" s="286">
        <f t="shared" si="616"/>
        <v>0</v>
      </c>
      <c r="AZ446" s="286">
        <f t="shared" si="616"/>
        <v>0</v>
      </c>
      <c r="BA446" s="286"/>
      <c r="BB446" s="286">
        <f t="shared" si="617"/>
        <v>0</v>
      </c>
      <c r="BC446" s="286">
        <f t="shared" si="617"/>
        <v>0</v>
      </c>
      <c r="BD446" s="286"/>
      <c r="BE446" s="286">
        <f t="shared" si="618"/>
        <v>0</v>
      </c>
      <c r="BF446" s="286">
        <f t="shared" si="618"/>
        <v>0</v>
      </c>
      <c r="BG446" s="286"/>
      <c r="BH446" s="286">
        <f t="shared" si="619"/>
        <v>0</v>
      </c>
      <c r="BI446" s="286">
        <f t="shared" si="619"/>
        <v>0</v>
      </c>
      <c r="BJ446" s="286"/>
      <c r="BK446" s="286">
        <f t="shared" si="620"/>
        <v>0</v>
      </c>
      <c r="BL446" s="286">
        <f t="shared" si="620"/>
        <v>0</v>
      </c>
      <c r="BM446" s="286"/>
      <c r="BN446" s="286">
        <f t="shared" si="621"/>
        <v>0</v>
      </c>
      <c r="BO446" s="286">
        <f t="shared" si="621"/>
        <v>0</v>
      </c>
      <c r="BP446" s="286"/>
      <c r="BQ446" s="286">
        <f t="shared" si="622"/>
        <v>0</v>
      </c>
      <c r="BR446" s="286">
        <f t="shared" si="622"/>
        <v>0</v>
      </c>
      <c r="BS446" s="286"/>
      <c r="BT446" s="286">
        <f t="shared" si="623"/>
        <v>0</v>
      </c>
      <c r="BU446" s="286">
        <f t="shared" si="623"/>
        <v>0</v>
      </c>
      <c r="BV446" s="286"/>
      <c r="BW446" s="286">
        <f t="shared" si="624"/>
        <v>0</v>
      </c>
      <c r="BX446" s="286">
        <f t="shared" si="624"/>
        <v>0</v>
      </c>
      <c r="BY446" s="286"/>
      <c r="BZ446" s="286">
        <f t="shared" si="625"/>
        <v>0</v>
      </c>
      <c r="CA446" s="286">
        <f t="shared" si="625"/>
        <v>0</v>
      </c>
      <c r="CB446" s="286"/>
      <c r="CC446" s="286">
        <f t="shared" si="626"/>
        <v>0</v>
      </c>
      <c r="CD446" s="286">
        <f t="shared" si="626"/>
        <v>0</v>
      </c>
      <c r="CE446" s="286"/>
      <c r="CF446" s="286">
        <f t="shared" si="627"/>
        <v>0</v>
      </c>
      <c r="CG446" s="286">
        <f t="shared" si="627"/>
        <v>0</v>
      </c>
      <c r="CH446" s="286"/>
      <c r="CI446" s="286">
        <f t="shared" si="628"/>
        <v>0</v>
      </c>
      <c r="CJ446" s="286">
        <f t="shared" si="628"/>
        <v>0</v>
      </c>
    </row>
    <row r="447" spans="1:88" ht="45" x14ac:dyDescent="0.25">
      <c r="A447" s="105" t="s">
        <v>96</v>
      </c>
      <c r="B447" s="290" t="s">
        <v>95</v>
      </c>
      <c r="C447" s="107"/>
      <c r="D447" s="107"/>
      <c r="E447" s="107"/>
      <c r="F447" s="107"/>
      <c r="G447" s="107"/>
      <c r="H447" s="107"/>
      <c r="I447" s="107"/>
      <c r="J447" s="107"/>
      <c r="K447" s="107"/>
      <c r="L447" s="107"/>
      <c r="M447" s="107"/>
      <c r="N447" s="107"/>
    </row>
    <row r="448" spans="1:88" ht="75" x14ac:dyDescent="0.25">
      <c r="A448" s="95" t="s">
        <v>97</v>
      </c>
      <c r="B448" s="96" t="s">
        <v>1637</v>
      </c>
      <c r="C448" s="107"/>
      <c r="D448" s="95" t="s">
        <v>8</v>
      </c>
      <c r="E448" s="279"/>
      <c r="F448" s="279"/>
      <c r="G448" s="279"/>
      <c r="H448" s="279"/>
      <c r="I448" s="279">
        <f t="shared" ref="I448:N448" si="630">I469/I476*100</f>
        <v>101.21580547112461</v>
      </c>
      <c r="J448" s="279">
        <f t="shared" si="630"/>
        <v>109.53947368421053</v>
      </c>
      <c r="K448" s="279">
        <f t="shared" si="630"/>
        <v>114.43298969072164</v>
      </c>
      <c r="L448" s="279">
        <f t="shared" si="630"/>
        <v>3027.2727272727275</v>
      </c>
      <c r="M448" s="279">
        <f t="shared" si="630"/>
        <v>3700</v>
      </c>
      <c r="N448" s="279">
        <f t="shared" si="630"/>
        <v>3700</v>
      </c>
      <c r="O448" s="281" t="s">
        <v>102</v>
      </c>
    </row>
    <row r="449" spans="1:88" hidden="1" x14ac:dyDescent="0.25">
      <c r="A449" s="95"/>
      <c r="B449" s="16" t="s">
        <v>1182</v>
      </c>
      <c r="C449" s="107"/>
      <c r="D449" s="95" t="s">
        <v>8</v>
      </c>
      <c r="E449" s="279">
        <f>E462/E469*100</f>
        <v>97.572815533980588</v>
      </c>
      <c r="F449" s="279">
        <f>F462/F469*100</f>
        <v>96.019900497512438</v>
      </c>
      <c r="G449" s="279">
        <f t="shared" ref="G449:N454" si="631">G462/G469*100</f>
        <v>90.673575129533674</v>
      </c>
      <c r="H449" s="279">
        <f t="shared" si="631"/>
        <v>95.142857142857139</v>
      </c>
      <c r="I449" s="279">
        <f t="shared" si="631"/>
        <v>100.90090090090089</v>
      </c>
      <c r="J449" s="279">
        <f t="shared" si="631"/>
        <v>100.90090090090089</v>
      </c>
      <c r="K449" s="279">
        <f t="shared" si="631"/>
        <v>100.90090090090089</v>
      </c>
      <c r="L449" s="279">
        <f t="shared" si="631"/>
        <v>100.90090090090089</v>
      </c>
      <c r="M449" s="279">
        <f t="shared" si="631"/>
        <v>100.90090090090089</v>
      </c>
      <c r="N449" s="279">
        <f t="shared" si="631"/>
        <v>100.90090090090089</v>
      </c>
      <c r="O449" s="313"/>
    </row>
    <row r="450" spans="1:88" hidden="1" x14ac:dyDescent="0.25">
      <c r="A450" s="95"/>
      <c r="B450" s="16" t="s">
        <v>1183</v>
      </c>
      <c r="C450" s="107"/>
      <c r="D450" s="95"/>
      <c r="E450" s="279"/>
      <c r="F450" s="279"/>
      <c r="G450" s="279"/>
      <c r="H450" s="279">
        <f t="shared" si="631"/>
        <v>95.189003436426106</v>
      </c>
      <c r="I450" s="279">
        <f t="shared" si="631"/>
        <v>102.88808664259928</v>
      </c>
      <c r="J450" s="279">
        <f t="shared" si="631"/>
        <v>102.88808664259928</v>
      </c>
      <c r="K450" s="279">
        <f t="shared" si="631"/>
        <v>102.88808664259928</v>
      </c>
      <c r="L450" s="279">
        <f t="shared" si="631"/>
        <v>102.88808664259928</v>
      </c>
      <c r="M450" s="279">
        <f t="shared" si="631"/>
        <v>102.88808664259928</v>
      </c>
      <c r="N450" s="279">
        <f t="shared" si="631"/>
        <v>102.88808664259928</v>
      </c>
      <c r="O450" s="313"/>
    </row>
    <row r="451" spans="1:88" hidden="1" x14ac:dyDescent="0.25">
      <c r="A451" s="95"/>
      <c r="B451" s="16" t="s">
        <v>1185</v>
      </c>
      <c r="C451" s="107"/>
      <c r="D451" s="95"/>
      <c r="E451" s="279"/>
      <c r="F451" s="279"/>
      <c r="G451" s="279"/>
      <c r="H451" s="279">
        <f t="shared" si="631"/>
        <v>94.915254237288138</v>
      </c>
      <c r="I451" s="279">
        <f t="shared" si="631"/>
        <v>91.071428571428569</v>
      </c>
      <c r="J451" s="279">
        <f t="shared" si="631"/>
        <v>91.071428571428569</v>
      </c>
      <c r="K451" s="279">
        <f t="shared" si="631"/>
        <v>91.071428571428569</v>
      </c>
      <c r="L451" s="279">
        <f t="shared" si="631"/>
        <v>91.071428571428569</v>
      </c>
      <c r="M451" s="279">
        <f t="shared" si="631"/>
        <v>91.071428571428569</v>
      </c>
      <c r="N451" s="279">
        <f t="shared" si="631"/>
        <v>91.071428571428569</v>
      </c>
      <c r="O451" s="313"/>
    </row>
    <row r="452" spans="1:88" hidden="1" x14ac:dyDescent="0.25">
      <c r="A452" s="95"/>
      <c r="B452" s="16" t="s">
        <v>1184</v>
      </c>
      <c r="C452" s="107"/>
      <c r="D452" s="95" t="s">
        <v>8</v>
      </c>
      <c r="E452" s="279">
        <f>E465/E472*100</f>
        <v>100</v>
      </c>
      <c r="F452" s="279">
        <f>F465/F472*100</f>
        <v>400</v>
      </c>
      <c r="G452" s="279">
        <f t="shared" ref="G452:H454" si="632">G465/G472*100</f>
        <v>75</v>
      </c>
      <c r="H452" s="279">
        <f t="shared" si="632"/>
        <v>100</v>
      </c>
      <c r="I452" s="279">
        <f t="shared" si="631"/>
        <v>300</v>
      </c>
      <c r="J452" s="279">
        <f t="shared" si="631"/>
        <v>300</v>
      </c>
      <c r="K452" s="279">
        <f t="shared" si="631"/>
        <v>300</v>
      </c>
      <c r="L452" s="279">
        <f t="shared" si="631"/>
        <v>300</v>
      </c>
      <c r="M452" s="279">
        <f t="shared" si="631"/>
        <v>300</v>
      </c>
      <c r="N452" s="279">
        <f t="shared" si="631"/>
        <v>300</v>
      </c>
      <c r="O452" s="313"/>
    </row>
    <row r="453" spans="1:88" hidden="1" x14ac:dyDescent="0.25">
      <c r="A453" s="95"/>
      <c r="B453" s="16" t="s">
        <v>1183</v>
      </c>
      <c r="C453" s="107"/>
      <c r="D453" s="95"/>
      <c r="E453" s="279"/>
      <c r="F453" s="279"/>
      <c r="G453" s="279"/>
      <c r="H453" s="279">
        <f t="shared" si="632"/>
        <v>100</v>
      </c>
      <c r="I453" s="279">
        <f t="shared" si="631"/>
        <v>300</v>
      </c>
      <c r="J453" s="279">
        <f t="shared" si="631"/>
        <v>300</v>
      </c>
      <c r="K453" s="279">
        <f t="shared" si="631"/>
        <v>300</v>
      </c>
      <c r="L453" s="279">
        <f t="shared" si="631"/>
        <v>300</v>
      </c>
      <c r="M453" s="279">
        <f t="shared" si="631"/>
        <v>300</v>
      </c>
      <c r="N453" s="279">
        <f t="shared" si="631"/>
        <v>300</v>
      </c>
      <c r="O453" s="313"/>
    </row>
    <row r="454" spans="1:88" hidden="1" x14ac:dyDescent="0.25">
      <c r="A454" s="95"/>
      <c r="B454" s="16" t="s">
        <v>1185</v>
      </c>
      <c r="C454" s="107"/>
      <c r="D454" s="95"/>
      <c r="E454" s="279"/>
      <c r="F454" s="279"/>
      <c r="G454" s="279"/>
      <c r="H454" s="279" t="e">
        <f t="shared" si="632"/>
        <v>#DIV/0!</v>
      </c>
      <c r="I454" s="279" t="e">
        <f t="shared" si="631"/>
        <v>#DIV/0!</v>
      </c>
      <c r="J454" s="279" t="e">
        <f t="shared" si="631"/>
        <v>#DIV/0!</v>
      </c>
      <c r="K454" s="279" t="e">
        <f t="shared" si="631"/>
        <v>#DIV/0!</v>
      </c>
      <c r="L454" s="279" t="e">
        <f t="shared" si="631"/>
        <v>#DIV/0!</v>
      </c>
      <c r="M454" s="279" t="e">
        <f t="shared" si="631"/>
        <v>#DIV/0!</v>
      </c>
      <c r="N454" s="279" t="e">
        <f t="shared" si="631"/>
        <v>#DIV/0!</v>
      </c>
      <c r="O454" s="313"/>
    </row>
    <row r="455" spans="1:88" x14ac:dyDescent="0.25">
      <c r="A455" s="95"/>
      <c r="B455" s="96" t="s">
        <v>1638</v>
      </c>
      <c r="C455" s="107"/>
      <c r="D455" s="95" t="s">
        <v>8</v>
      </c>
      <c r="E455" s="279"/>
      <c r="F455" s="279"/>
      <c r="G455" s="279"/>
      <c r="H455" s="279"/>
      <c r="I455" s="279">
        <f t="shared" ref="I455:J460" si="633">I476/I483*100</f>
        <v>97.916666666666657</v>
      </c>
      <c r="J455" s="279">
        <f t="shared" si="633"/>
        <v>92.401215805471125</v>
      </c>
      <c r="K455" s="279">
        <f>K476/K483*100</f>
        <v>95.723684210526315</v>
      </c>
      <c r="L455" s="279">
        <f t="shared" ref="K455:N460" si="634">L476/L483*100</f>
        <v>3.7800687285223367</v>
      </c>
      <c r="M455" s="279">
        <f t="shared" si="634"/>
        <v>81.818181818181827</v>
      </c>
      <c r="N455" s="279">
        <f t="shared" si="634"/>
        <v>100</v>
      </c>
      <c r="O455" s="313"/>
      <c r="P455" s="279">
        <f t="shared" ref="P455:S460" si="635">P476/P483*100</f>
        <v>95.723684210526315</v>
      </c>
      <c r="Q455" s="279">
        <f t="shared" si="635"/>
        <v>94.50171821305841</v>
      </c>
      <c r="R455" s="279">
        <f t="shared" si="635"/>
        <v>100</v>
      </c>
      <c r="S455" s="279">
        <f t="shared" si="635"/>
        <v>100</v>
      </c>
      <c r="U455" s="279">
        <f t="shared" ref="U455:V460" si="636">U476/U483*100</f>
        <v>76.923076923076934</v>
      </c>
      <c r="V455" s="279">
        <f t="shared" si="636"/>
        <v>90</v>
      </c>
      <c r="X455" s="279">
        <f t="shared" ref="X455:Y460" si="637">X476/X483*100</f>
        <v>100</v>
      </c>
      <c r="Y455" s="279">
        <f t="shared" si="637"/>
        <v>100</v>
      </c>
      <c r="AA455" s="279">
        <f t="shared" ref="AA455:AB460" si="638">AA476/AA483*100</f>
        <v>100</v>
      </c>
      <c r="AB455" s="279">
        <f t="shared" si="638"/>
        <v>100</v>
      </c>
      <c r="AD455" s="279">
        <f t="shared" ref="AD455:AE460" si="639">AD476/AD483*100</f>
        <v>100</v>
      </c>
      <c r="AE455" s="279">
        <f t="shared" si="639"/>
        <v>100</v>
      </c>
      <c r="AG455" s="279">
        <f t="shared" ref="AG455:AH460" si="640">AG476/AG483*100</f>
        <v>84.615384615384613</v>
      </c>
      <c r="AH455" s="279">
        <f t="shared" si="640"/>
        <v>100</v>
      </c>
      <c r="AJ455" s="279">
        <f t="shared" ref="AJ455:AK460" si="641">AJ476/AJ483*100</f>
        <v>100</v>
      </c>
      <c r="AK455" s="279">
        <f t="shared" si="641"/>
        <v>100</v>
      </c>
      <c r="AM455" s="279">
        <f t="shared" ref="AM455:AN460" si="642">AM476/AM483*100</f>
        <v>100</v>
      </c>
      <c r="AN455" s="279">
        <f t="shared" si="642"/>
        <v>100</v>
      </c>
      <c r="AP455" s="279">
        <f t="shared" ref="AP455:AQ460" si="643">AP476/AP483*100</f>
        <v>100</v>
      </c>
      <c r="AQ455" s="279">
        <f t="shared" si="643"/>
        <v>100</v>
      </c>
      <c r="AS455" s="279">
        <f t="shared" ref="AS455:AT460" si="644">AS476/AS483*100</f>
        <v>100</v>
      </c>
      <c r="AT455" s="279">
        <f t="shared" si="644"/>
        <v>88.888888888888886</v>
      </c>
      <c r="AV455" s="279">
        <f t="shared" ref="AV455:AW460" si="645">AV476/AV483*100</f>
        <v>100</v>
      </c>
      <c r="AW455" s="279">
        <f t="shared" si="645"/>
        <v>40</v>
      </c>
      <c r="AY455" s="279">
        <f t="shared" ref="AY455:AZ460" si="646">AY476/AY483*100</f>
        <v>107.69230769230769</v>
      </c>
      <c r="AZ455" s="279">
        <f t="shared" si="646"/>
        <v>92.857142857142861</v>
      </c>
      <c r="BB455" s="279">
        <f t="shared" ref="BB455:BC460" si="647">BB476/BB483*100</f>
        <v>100</v>
      </c>
      <c r="BC455" s="279">
        <f t="shared" si="647"/>
        <v>93.75</v>
      </c>
      <c r="BE455" s="279">
        <f t="shared" ref="BE455:BF460" si="648">BE476/BE483*100</f>
        <v>95.348837209302332</v>
      </c>
      <c r="BF455" s="279">
        <f t="shared" si="648"/>
        <v>95.121951219512198</v>
      </c>
      <c r="BH455" s="279">
        <f t="shared" ref="BH455:BI460" si="649">BH476/BH483*100</f>
        <v>91.666666666666657</v>
      </c>
      <c r="BI455" s="279">
        <f t="shared" si="649"/>
        <v>95.454545454545453</v>
      </c>
      <c r="BK455" s="279">
        <f t="shared" ref="BK455:BL460" si="650">BK476/BK483*100</f>
        <v>100</v>
      </c>
      <c r="BL455" s="279">
        <f t="shared" si="650"/>
        <v>100</v>
      </c>
      <c r="BN455" s="279">
        <f t="shared" ref="BN455:BO460" si="651">BN476/BN483*100</f>
        <v>88.888888888888886</v>
      </c>
      <c r="BO455" s="279">
        <f t="shared" si="651"/>
        <v>100</v>
      </c>
      <c r="BQ455" s="279">
        <f t="shared" ref="BQ455:BR460" si="652">BQ476/BQ483*100</f>
        <v>81.818181818181827</v>
      </c>
      <c r="BR455" s="279">
        <f t="shared" si="652"/>
        <v>100</v>
      </c>
      <c r="BT455" s="279">
        <f t="shared" ref="BT455:BU460" si="653">BT476/BT483*100</f>
        <v>100</v>
      </c>
      <c r="BU455" s="279">
        <f t="shared" si="653"/>
        <v>100</v>
      </c>
      <c r="BW455" s="279">
        <f t="shared" ref="BW455:BX460" si="654">BW476/BW483*100</f>
        <v>100</v>
      </c>
      <c r="BX455" s="279">
        <f t="shared" si="654"/>
        <v>100</v>
      </c>
      <c r="BZ455" s="279">
        <f t="shared" ref="BZ455:CA460" si="655">BZ476/BZ483*100</f>
        <v>100</v>
      </c>
      <c r="CA455" s="279">
        <f t="shared" si="655"/>
        <v>85.714285714285708</v>
      </c>
      <c r="CC455" s="279">
        <f t="shared" ref="CC455:CD460" si="656">CC476/CC483*100</f>
        <v>100</v>
      </c>
      <c r="CD455" s="279">
        <f t="shared" si="656"/>
        <v>100</v>
      </c>
      <c r="CF455" s="279" t="e">
        <f t="shared" ref="CF455:CG460" si="657">CF476/CF483*100</f>
        <v>#DIV/0!</v>
      </c>
      <c r="CG455" s="279" t="e">
        <f t="shared" si="657"/>
        <v>#DIV/0!</v>
      </c>
      <c r="CI455" s="279" t="e">
        <f t="shared" ref="CI455:CJ460" si="658">CI476/CI483*100</f>
        <v>#DIV/0!</v>
      </c>
      <c r="CJ455" s="279" t="e">
        <f t="shared" si="658"/>
        <v>#DIV/0!</v>
      </c>
    </row>
    <row r="456" spans="1:88" ht="30" x14ac:dyDescent="0.25">
      <c r="A456" s="95"/>
      <c r="B456" s="96" t="s">
        <v>1639</v>
      </c>
      <c r="C456" s="107"/>
      <c r="D456" s="95" t="s">
        <v>8</v>
      </c>
      <c r="E456" s="279"/>
      <c r="F456" s="279"/>
      <c r="G456" s="279"/>
      <c r="H456" s="279"/>
      <c r="I456" s="279">
        <f t="shared" si="633"/>
        <v>140</v>
      </c>
      <c r="J456" s="279">
        <f t="shared" si="633"/>
        <v>128.57142857142858</v>
      </c>
      <c r="K456" s="279">
        <f t="shared" si="634"/>
        <v>55.555555555555557</v>
      </c>
      <c r="L456" s="279">
        <f t="shared" si="634"/>
        <v>0</v>
      </c>
      <c r="M456" s="279" t="e">
        <f t="shared" si="634"/>
        <v>#DIV/0!</v>
      </c>
      <c r="N456" s="279" t="e">
        <f t="shared" si="634"/>
        <v>#DIV/0!</v>
      </c>
      <c r="O456" s="313"/>
      <c r="P456" s="279">
        <f t="shared" si="635"/>
        <v>55.555555555555557</v>
      </c>
      <c r="Q456" s="279">
        <f t="shared" si="635"/>
        <v>100</v>
      </c>
      <c r="R456" s="279" t="e">
        <f t="shared" si="635"/>
        <v>#DIV/0!</v>
      </c>
      <c r="S456" s="279" t="e">
        <f t="shared" si="635"/>
        <v>#DIV/0!</v>
      </c>
      <c r="U456" s="279" t="e">
        <f t="shared" si="636"/>
        <v>#DIV/0!</v>
      </c>
      <c r="V456" s="279" t="e">
        <f t="shared" si="636"/>
        <v>#DIV/0!</v>
      </c>
      <c r="X456" s="279" t="e">
        <f t="shared" si="637"/>
        <v>#DIV/0!</v>
      </c>
      <c r="Y456" s="279" t="e">
        <f t="shared" si="637"/>
        <v>#DIV/0!</v>
      </c>
      <c r="AA456" s="279" t="e">
        <f t="shared" si="638"/>
        <v>#DIV/0!</v>
      </c>
      <c r="AB456" s="279" t="e">
        <f t="shared" si="638"/>
        <v>#DIV/0!</v>
      </c>
      <c r="AD456" s="279" t="e">
        <f t="shared" si="639"/>
        <v>#DIV/0!</v>
      </c>
      <c r="AE456" s="279" t="e">
        <f t="shared" si="639"/>
        <v>#DIV/0!</v>
      </c>
      <c r="AG456" s="279" t="e">
        <f t="shared" si="640"/>
        <v>#DIV/0!</v>
      </c>
      <c r="AH456" s="279" t="e">
        <f t="shared" si="640"/>
        <v>#DIV/0!</v>
      </c>
      <c r="AJ456" s="279">
        <f t="shared" si="641"/>
        <v>100</v>
      </c>
      <c r="AK456" s="279">
        <f t="shared" si="641"/>
        <v>100</v>
      </c>
      <c r="AM456" s="279">
        <f t="shared" si="642"/>
        <v>50</v>
      </c>
      <c r="AN456" s="279">
        <f t="shared" si="642"/>
        <v>100</v>
      </c>
      <c r="AP456" s="279" t="e">
        <f t="shared" si="643"/>
        <v>#DIV/0!</v>
      </c>
      <c r="AQ456" s="279" t="e">
        <f t="shared" si="643"/>
        <v>#DIV/0!</v>
      </c>
      <c r="AS456" s="279">
        <f t="shared" si="644"/>
        <v>0</v>
      </c>
      <c r="AT456" s="279" t="e">
        <f t="shared" si="644"/>
        <v>#DIV/0!</v>
      </c>
      <c r="AV456" s="279" t="e">
        <f t="shared" si="645"/>
        <v>#DIV/0!</v>
      </c>
      <c r="AW456" s="279" t="e">
        <f t="shared" si="645"/>
        <v>#DIV/0!</v>
      </c>
      <c r="AY456" s="279" t="e">
        <f t="shared" si="646"/>
        <v>#DIV/0!</v>
      </c>
      <c r="AZ456" s="279" t="e">
        <f t="shared" si="646"/>
        <v>#DIV/0!</v>
      </c>
      <c r="BB456" s="279" t="e">
        <f t="shared" si="647"/>
        <v>#DIV/0!</v>
      </c>
      <c r="BC456" s="279" t="e">
        <f t="shared" si="647"/>
        <v>#DIV/0!</v>
      </c>
      <c r="BE456" s="279" t="e">
        <f t="shared" si="648"/>
        <v>#DIV/0!</v>
      </c>
      <c r="BF456" s="279" t="e">
        <f t="shared" si="648"/>
        <v>#DIV/0!</v>
      </c>
      <c r="BH456" s="279" t="e">
        <f t="shared" si="649"/>
        <v>#DIV/0!</v>
      </c>
      <c r="BI456" s="279" t="e">
        <f t="shared" si="649"/>
        <v>#DIV/0!</v>
      </c>
      <c r="BK456" s="279" t="e">
        <f t="shared" si="650"/>
        <v>#DIV/0!</v>
      </c>
      <c r="BL456" s="279" t="e">
        <f t="shared" si="650"/>
        <v>#DIV/0!</v>
      </c>
      <c r="BN456" s="279" t="e">
        <f t="shared" si="651"/>
        <v>#DIV/0!</v>
      </c>
      <c r="BO456" s="279" t="e">
        <f t="shared" si="651"/>
        <v>#DIV/0!</v>
      </c>
      <c r="BQ456" s="279" t="e">
        <f t="shared" si="652"/>
        <v>#DIV/0!</v>
      </c>
      <c r="BR456" s="279" t="e">
        <f t="shared" si="652"/>
        <v>#DIV/0!</v>
      </c>
      <c r="BT456" s="279" t="e">
        <f t="shared" si="653"/>
        <v>#DIV/0!</v>
      </c>
      <c r="BU456" s="279" t="e">
        <f t="shared" si="653"/>
        <v>#DIV/0!</v>
      </c>
      <c r="BW456" s="279" t="e">
        <f t="shared" si="654"/>
        <v>#DIV/0!</v>
      </c>
      <c r="BX456" s="279" t="e">
        <f t="shared" si="654"/>
        <v>#DIV/0!</v>
      </c>
      <c r="BZ456" s="279" t="e">
        <f t="shared" si="655"/>
        <v>#DIV/0!</v>
      </c>
      <c r="CA456" s="279" t="e">
        <f t="shared" si="655"/>
        <v>#DIV/0!</v>
      </c>
      <c r="CC456" s="279" t="e">
        <f t="shared" si="656"/>
        <v>#DIV/0!</v>
      </c>
      <c r="CD456" s="279" t="e">
        <f t="shared" si="656"/>
        <v>#DIV/0!</v>
      </c>
      <c r="CF456" s="279" t="e">
        <f t="shared" si="657"/>
        <v>#DIV/0!</v>
      </c>
      <c r="CG456" s="279" t="e">
        <f t="shared" si="657"/>
        <v>#DIV/0!</v>
      </c>
      <c r="CI456" s="279" t="e">
        <f t="shared" si="658"/>
        <v>#DIV/0!</v>
      </c>
      <c r="CJ456" s="279" t="e">
        <f t="shared" si="658"/>
        <v>#DIV/0!</v>
      </c>
    </row>
    <row r="457" spans="1:88" ht="30" x14ac:dyDescent="0.25">
      <c r="A457" s="95"/>
      <c r="B457" s="96" t="s">
        <v>1640</v>
      </c>
      <c r="C457" s="107"/>
      <c r="D457" s="95" t="s">
        <v>8</v>
      </c>
      <c r="E457" s="279"/>
      <c r="F457" s="279"/>
      <c r="G457" s="279"/>
      <c r="H457" s="279"/>
      <c r="I457" s="279">
        <f t="shared" si="633"/>
        <v>71.428571428571431</v>
      </c>
      <c r="J457" s="279">
        <f t="shared" si="633"/>
        <v>100</v>
      </c>
      <c r="K457" s="279">
        <f t="shared" si="634"/>
        <v>120</v>
      </c>
      <c r="L457" s="279">
        <f t="shared" si="634"/>
        <v>0</v>
      </c>
      <c r="M457" s="279" t="e">
        <f t="shared" si="634"/>
        <v>#DIV/0!</v>
      </c>
      <c r="N457" s="279" t="e">
        <f t="shared" si="634"/>
        <v>#DIV/0!</v>
      </c>
      <c r="O457" s="313"/>
      <c r="P457" s="279">
        <f t="shared" si="635"/>
        <v>120</v>
      </c>
      <c r="Q457" s="279">
        <f t="shared" si="635"/>
        <v>83.333333333333343</v>
      </c>
      <c r="R457" s="279" t="e">
        <f t="shared" si="635"/>
        <v>#DIV/0!</v>
      </c>
      <c r="S457" s="279" t="e">
        <f t="shared" si="635"/>
        <v>#DIV/0!</v>
      </c>
      <c r="U457" s="279">
        <f t="shared" si="636"/>
        <v>100</v>
      </c>
      <c r="V457" s="279">
        <f t="shared" si="636"/>
        <v>66.666666666666657</v>
      </c>
      <c r="X457" s="279" t="e">
        <f t="shared" si="637"/>
        <v>#DIV/0!</v>
      </c>
      <c r="Y457" s="279" t="e">
        <f t="shared" si="637"/>
        <v>#DIV/0!</v>
      </c>
      <c r="AA457" s="279" t="e">
        <f t="shared" si="638"/>
        <v>#DIV/0!</v>
      </c>
      <c r="AB457" s="279" t="e">
        <f t="shared" si="638"/>
        <v>#DIV/0!</v>
      </c>
      <c r="AD457" s="279" t="e">
        <f t="shared" si="639"/>
        <v>#DIV/0!</v>
      </c>
      <c r="AE457" s="279" t="e">
        <f t="shared" si="639"/>
        <v>#DIV/0!</v>
      </c>
      <c r="AG457" s="279" t="e">
        <f t="shared" si="640"/>
        <v>#DIV/0!</v>
      </c>
      <c r="AH457" s="279" t="e">
        <f t="shared" si="640"/>
        <v>#DIV/0!</v>
      </c>
      <c r="AJ457" s="279" t="e">
        <f t="shared" si="641"/>
        <v>#DIV/0!</v>
      </c>
      <c r="AK457" s="279" t="e">
        <f t="shared" si="641"/>
        <v>#DIV/0!</v>
      </c>
      <c r="AM457" s="279">
        <f t="shared" si="642"/>
        <v>150</v>
      </c>
      <c r="AN457" s="279">
        <f t="shared" si="642"/>
        <v>100</v>
      </c>
      <c r="AP457" s="279" t="e">
        <f t="shared" si="643"/>
        <v>#DIV/0!</v>
      </c>
      <c r="AQ457" s="279" t="e">
        <f t="shared" si="643"/>
        <v>#DIV/0!</v>
      </c>
      <c r="AS457" s="279" t="e">
        <f t="shared" si="644"/>
        <v>#DIV/0!</v>
      </c>
      <c r="AT457" s="279" t="e">
        <f t="shared" si="644"/>
        <v>#DIV/0!</v>
      </c>
      <c r="AV457" s="279" t="e">
        <f t="shared" si="645"/>
        <v>#DIV/0!</v>
      </c>
      <c r="AW457" s="279" t="e">
        <f t="shared" si="645"/>
        <v>#DIV/0!</v>
      </c>
      <c r="AY457" s="279" t="e">
        <f t="shared" si="646"/>
        <v>#DIV/0!</v>
      </c>
      <c r="AZ457" s="279" t="e">
        <f t="shared" si="646"/>
        <v>#DIV/0!</v>
      </c>
      <c r="BB457" s="279" t="e">
        <f t="shared" si="647"/>
        <v>#DIV/0!</v>
      </c>
      <c r="BC457" s="279" t="e">
        <f t="shared" si="647"/>
        <v>#DIV/0!</v>
      </c>
      <c r="BE457" s="279" t="e">
        <f t="shared" si="648"/>
        <v>#DIV/0!</v>
      </c>
      <c r="BF457" s="279" t="e">
        <f t="shared" si="648"/>
        <v>#DIV/0!</v>
      </c>
      <c r="BH457" s="279" t="e">
        <f t="shared" si="649"/>
        <v>#DIV/0!</v>
      </c>
      <c r="BI457" s="279" t="e">
        <f t="shared" si="649"/>
        <v>#DIV/0!</v>
      </c>
      <c r="BK457" s="279" t="e">
        <f t="shared" si="650"/>
        <v>#DIV/0!</v>
      </c>
      <c r="BL457" s="279" t="e">
        <f t="shared" si="650"/>
        <v>#DIV/0!</v>
      </c>
      <c r="BN457" s="279" t="e">
        <f t="shared" si="651"/>
        <v>#DIV/0!</v>
      </c>
      <c r="BO457" s="279" t="e">
        <f t="shared" si="651"/>
        <v>#DIV/0!</v>
      </c>
      <c r="BQ457" s="279" t="e">
        <f t="shared" si="652"/>
        <v>#DIV/0!</v>
      </c>
      <c r="BR457" s="279" t="e">
        <f t="shared" si="652"/>
        <v>#DIV/0!</v>
      </c>
      <c r="BT457" s="279" t="e">
        <f t="shared" si="653"/>
        <v>#DIV/0!</v>
      </c>
      <c r="BU457" s="279" t="e">
        <f t="shared" si="653"/>
        <v>#DIV/0!</v>
      </c>
      <c r="BW457" s="279" t="e">
        <f t="shared" si="654"/>
        <v>#DIV/0!</v>
      </c>
      <c r="BX457" s="279" t="e">
        <f t="shared" si="654"/>
        <v>#DIV/0!</v>
      </c>
      <c r="BZ457" s="279" t="e">
        <f t="shared" si="655"/>
        <v>#DIV/0!</v>
      </c>
      <c r="CA457" s="279" t="e">
        <f t="shared" si="655"/>
        <v>#DIV/0!</v>
      </c>
      <c r="CC457" s="279" t="e">
        <f t="shared" si="656"/>
        <v>#DIV/0!</v>
      </c>
      <c r="CD457" s="279" t="e">
        <f t="shared" si="656"/>
        <v>#DIV/0!</v>
      </c>
      <c r="CF457" s="279" t="e">
        <f t="shared" si="657"/>
        <v>#DIV/0!</v>
      </c>
      <c r="CG457" s="279" t="e">
        <f t="shared" si="657"/>
        <v>#DIV/0!</v>
      </c>
      <c r="CI457" s="279" t="e">
        <f t="shared" si="658"/>
        <v>#DIV/0!</v>
      </c>
      <c r="CJ457" s="279" t="e">
        <f t="shared" si="658"/>
        <v>#DIV/0!</v>
      </c>
    </row>
    <row r="458" spans="1:88" ht="45" x14ac:dyDescent="0.25">
      <c r="A458" s="95"/>
      <c r="B458" s="96" t="s">
        <v>1641</v>
      </c>
      <c r="C458" s="107"/>
      <c r="D458" s="95" t="s">
        <v>8</v>
      </c>
      <c r="E458" s="279"/>
      <c r="F458" s="279"/>
      <c r="G458" s="279"/>
      <c r="H458" s="279"/>
      <c r="I458" s="279">
        <f t="shared" si="633"/>
        <v>105.0632911392405</v>
      </c>
      <c r="J458" s="279">
        <f t="shared" si="633"/>
        <v>101.20481927710843</v>
      </c>
      <c r="K458" s="279">
        <f t="shared" si="634"/>
        <v>105.95238095238095</v>
      </c>
      <c r="L458" s="279">
        <f t="shared" si="634"/>
        <v>12.359550561797752</v>
      </c>
      <c r="M458" s="279">
        <f t="shared" si="634"/>
        <v>109.09090909090908</v>
      </c>
      <c r="N458" s="279">
        <f t="shared" si="634"/>
        <v>100</v>
      </c>
      <c r="O458" s="313"/>
      <c r="P458" s="279">
        <f t="shared" si="635"/>
        <v>105.95238095238095</v>
      </c>
      <c r="Q458" s="279">
        <f t="shared" si="635"/>
        <v>105.61797752808988</v>
      </c>
      <c r="R458" s="279">
        <f t="shared" si="635"/>
        <v>100</v>
      </c>
      <c r="S458" s="279">
        <f t="shared" si="635"/>
        <v>100</v>
      </c>
      <c r="U458" s="279">
        <f t="shared" si="636"/>
        <v>150</v>
      </c>
      <c r="V458" s="279">
        <f t="shared" si="636"/>
        <v>133.33333333333331</v>
      </c>
      <c r="X458" s="279">
        <f t="shared" si="637"/>
        <v>100</v>
      </c>
      <c r="Y458" s="279">
        <f t="shared" si="637"/>
        <v>100</v>
      </c>
      <c r="AA458" s="279">
        <f t="shared" si="638"/>
        <v>100</v>
      </c>
      <c r="AB458" s="279">
        <f t="shared" si="638"/>
        <v>100</v>
      </c>
      <c r="AD458" s="279">
        <f t="shared" si="639"/>
        <v>100</v>
      </c>
      <c r="AE458" s="279">
        <f t="shared" si="639"/>
        <v>100</v>
      </c>
      <c r="AG458" s="279">
        <f t="shared" si="640"/>
        <v>122.22222222222223</v>
      </c>
      <c r="AH458" s="279">
        <f t="shared" si="640"/>
        <v>100</v>
      </c>
      <c r="AJ458" s="279" t="e">
        <f t="shared" si="641"/>
        <v>#DIV/0!</v>
      </c>
      <c r="AK458" s="279" t="e">
        <f t="shared" si="641"/>
        <v>#DIV/0!</v>
      </c>
      <c r="AM458" s="279">
        <f t="shared" si="642"/>
        <v>200</v>
      </c>
      <c r="AN458" s="279">
        <f t="shared" si="642"/>
        <v>100</v>
      </c>
      <c r="AP458" s="279">
        <f t="shared" si="643"/>
        <v>100</v>
      </c>
      <c r="AQ458" s="279">
        <f t="shared" si="643"/>
        <v>109.09090909090908</v>
      </c>
      <c r="AS458" s="279">
        <f t="shared" si="644"/>
        <v>100</v>
      </c>
      <c r="AT458" s="279">
        <f t="shared" si="644"/>
        <v>100</v>
      </c>
      <c r="AV458" s="279" t="e">
        <f t="shared" si="645"/>
        <v>#DIV/0!</v>
      </c>
      <c r="AW458" s="279" t="e">
        <f t="shared" si="645"/>
        <v>#DIV/0!</v>
      </c>
      <c r="AY458" s="279">
        <f t="shared" si="646"/>
        <v>100</v>
      </c>
      <c r="AZ458" s="279">
        <f t="shared" si="646"/>
        <v>75</v>
      </c>
      <c r="BB458" s="279">
        <f t="shared" si="647"/>
        <v>100</v>
      </c>
      <c r="BC458" s="279">
        <f t="shared" si="647"/>
        <v>100</v>
      </c>
      <c r="BE458" s="279">
        <f t="shared" si="648"/>
        <v>100</v>
      </c>
      <c r="BF458" s="279">
        <f t="shared" si="648"/>
        <v>200</v>
      </c>
      <c r="BH458" s="279">
        <f t="shared" si="649"/>
        <v>100</v>
      </c>
      <c r="BI458" s="279">
        <f t="shared" si="649"/>
        <v>120</v>
      </c>
      <c r="BK458" s="279" t="e">
        <f t="shared" si="650"/>
        <v>#DIV/0!</v>
      </c>
      <c r="BL458" s="279" t="e">
        <f t="shared" si="650"/>
        <v>#DIV/0!</v>
      </c>
      <c r="BN458" s="279" t="e">
        <f t="shared" si="651"/>
        <v>#DIV/0!</v>
      </c>
      <c r="BO458" s="279" t="e">
        <f t="shared" si="651"/>
        <v>#DIV/0!</v>
      </c>
      <c r="BQ458" s="279">
        <f t="shared" si="652"/>
        <v>100</v>
      </c>
      <c r="BR458" s="279">
        <f t="shared" si="652"/>
        <v>100</v>
      </c>
      <c r="BT458" s="279" t="e">
        <f t="shared" si="653"/>
        <v>#DIV/0!</v>
      </c>
      <c r="BU458" s="279" t="e">
        <f t="shared" si="653"/>
        <v>#DIV/0!</v>
      </c>
      <c r="BW458" s="279" t="e">
        <f t="shared" si="654"/>
        <v>#DIV/0!</v>
      </c>
      <c r="BX458" s="279" t="e">
        <f t="shared" si="654"/>
        <v>#DIV/0!</v>
      </c>
      <c r="BZ458" s="279">
        <f t="shared" si="655"/>
        <v>100</v>
      </c>
      <c r="CA458" s="279">
        <f t="shared" si="655"/>
        <v>200</v>
      </c>
      <c r="CC458" s="279">
        <f t="shared" si="656"/>
        <v>100</v>
      </c>
      <c r="CD458" s="279">
        <f t="shared" si="656"/>
        <v>100</v>
      </c>
      <c r="CF458" s="279">
        <f t="shared" si="657"/>
        <v>100</v>
      </c>
      <c r="CG458" s="279">
        <f t="shared" si="657"/>
        <v>100</v>
      </c>
      <c r="CI458" s="279" t="e">
        <f t="shared" si="658"/>
        <v>#DIV/0!</v>
      </c>
      <c r="CJ458" s="279" t="e">
        <f t="shared" si="658"/>
        <v>#DIV/0!</v>
      </c>
    </row>
    <row r="459" spans="1:88" ht="45" x14ac:dyDescent="0.25">
      <c r="A459" s="95"/>
      <c r="B459" s="96" t="s">
        <v>1642</v>
      </c>
      <c r="C459" s="107"/>
      <c r="D459" s="95" t="s">
        <v>8</v>
      </c>
      <c r="E459" s="279"/>
      <c r="F459" s="279"/>
      <c r="G459" s="279"/>
      <c r="H459" s="279"/>
      <c r="I459" s="279" t="e">
        <f t="shared" si="633"/>
        <v>#DIV/0!</v>
      </c>
      <c r="J459" s="279" t="e">
        <f t="shared" si="633"/>
        <v>#DIV/0!</v>
      </c>
      <c r="K459" s="279">
        <f t="shared" si="634"/>
        <v>0</v>
      </c>
      <c r="L459" s="279" t="e">
        <f t="shared" si="634"/>
        <v>#DIV/0!</v>
      </c>
      <c r="M459" s="279" t="e">
        <f t="shared" si="634"/>
        <v>#DIV/0!</v>
      </c>
      <c r="N459" s="279" t="e">
        <f t="shared" si="634"/>
        <v>#DIV/0!</v>
      </c>
      <c r="O459" s="313"/>
      <c r="P459" s="279">
        <f t="shared" si="635"/>
        <v>0</v>
      </c>
      <c r="Q459" s="279" t="e">
        <f t="shared" si="635"/>
        <v>#DIV/0!</v>
      </c>
      <c r="R459" s="279" t="e">
        <f t="shared" si="635"/>
        <v>#DIV/0!</v>
      </c>
      <c r="S459" s="279" t="e">
        <f t="shared" si="635"/>
        <v>#DIV/0!</v>
      </c>
      <c r="U459" s="279" t="e">
        <f t="shared" si="636"/>
        <v>#DIV/0!</v>
      </c>
      <c r="V459" s="279" t="e">
        <f t="shared" si="636"/>
        <v>#DIV/0!</v>
      </c>
      <c r="X459" s="279" t="e">
        <f t="shared" si="637"/>
        <v>#DIV/0!</v>
      </c>
      <c r="Y459" s="279" t="e">
        <f t="shared" si="637"/>
        <v>#DIV/0!</v>
      </c>
      <c r="AA459" s="279" t="e">
        <f t="shared" si="638"/>
        <v>#DIV/0!</v>
      </c>
      <c r="AB459" s="279" t="e">
        <f t="shared" si="638"/>
        <v>#DIV/0!</v>
      </c>
      <c r="AD459" s="279" t="e">
        <f t="shared" si="639"/>
        <v>#DIV/0!</v>
      </c>
      <c r="AE459" s="279" t="e">
        <f t="shared" si="639"/>
        <v>#DIV/0!</v>
      </c>
      <c r="AG459" s="279" t="e">
        <f t="shared" si="640"/>
        <v>#DIV/0!</v>
      </c>
      <c r="AH459" s="279" t="e">
        <f t="shared" si="640"/>
        <v>#DIV/0!</v>
      </c>
      <c r="AJ459" s="279" t="e">
        <f t="shared" si="641"/>
        <v>#DIV/0!</v>
      </c>
      <c r="AK459" s="279" t="e">
        <f t="shared" si="641"/>
        <v>#DIV/0!</v>
      </c>
      <c r="AM459" s="279" t="e">
        <f t="shared" si="642"/>
        <v>#DIV/0!</v>
      </c>
      <c r="AN459" s="279" t="e">
        <f t="shared" si="642"/>
        <v>#DIV/0!</v>
      </c>
      <c r="AP459" s="279" t="e">
        <f t="shared" si="643"/>
        <v>#DIV/0!</v>
      </c>
      <c r="AQ459" s="279" t="e">
        <f t="shared" si="643"/>
        <v>#DIV/0!</v>
      </c>
      <c r="AS459" s="279" t="e">
        <f t="shared" si="644"/>
        <v>#DIV/0!</v>
      </c>
      <c r="AT459" s="279" t="e">
        <f t="shared" si="644"/>
        <v>#DIV/0!</v>
      </c>
      <c r="AV459" s="279" t="e">
        <f t="shared" si="645"/>
        <v>#DIV/0!</v>
      </c>
      <c r="AW459" s="279" t="e">
        <f t="shared" si="645"/>
        <v>#DIV/0!</v>
      </c>
      <c r="AY459" s="279" t="e">
        <f t="shared" si="646"/>
        <v>#DIV/0!</v>
      </c>
      <c r="AZ459" s="279" t="e">
        <f t="shared" si="646"/>
        <v>#DIV/0!</v>
      </c>
      <c r="BB459" s="279" t="e">
        <f t="shared" si="647"/>
        <v>#DIV/0!</v>
      </c>
      <c r="BC459" s="279" t="e">
        <f t="shared" si="647"/>
        <v>#DIV/0!</v>
      </c>
      <c r="BE459" s="279" t="e">
        <f t="shared" si="648"/>
        <v>#DIV/0!</v>
      </c>
      <c r="BF459" s="279" t="e">
        <f t="shared" si="648"/>
        <v>#DIV/0!</v>
      </c>
      <c r="BH459" s="279">
        <f t="shared" si="649"/>
        <v>0</v>
      </c>
      <c r="BI459" s="279" t="e">
        <f t="shared" si="649"/>
        <v>#DIV/0!</v>
      </c>
      <c r="BK459" s="279" t="e">
        <f t="shared" si="650"/>
        <v>#DIV/0!</v>
      </c>
      <c r="BL459" s="279" t="e">
        <f t="shared" si="650"/>
        <v>#DIV/0!</v>
      </c>
      <c r="BN459" s="279" t="e">
        <f t="shared" si="651"/>
        <v>#DIV/0!</v>
      </c>
      <c r="BO459" s="279" t="e">
        <f t="shared" si="651"/>
        <v>#DIV/0!</v>
      </c>
      <c r="BQ459" s="279" t="e">
        <f t="shared" si="652"/>
        <v>#DIV/0!</v>
      </c>
      <c r="BR459" s="279" t="e">
        <f t="shared" si="652"/>
        <v>#DIV/0!</v>
      </c>
      <c r="BT459" s="279" t="e">
        <f t="shared" si="653"/>
        <v>#DIV/0!</v>
      </c>
      <c r="BU459" s="279" t="e">
        <f t="shared" si="653"/>
        <v>#DIV/0!</v>
      </c>
      <c r="BW459" s="279" t="e">
        <f t="shared" si="654"/>
        <v>#DIV/0!</v>
      </c>
      <c r="BX459" s="279" t="e">
        <f t="shared" si="654"/>
        <v>#DIV/0!</v>
      </c>
      <c r="BZ459" s="279" t="e">
        <f t="shared" si="655"/>
        <v>#DIV/0!</v>
      </c>
      <c r="CA459" s="279" t="e">
        <f t="shared" si="655"/>
        <v>#DIV/0!</v>
      </c>
      <c r="CC459" s="279" t="e">
        <f t="shared" si="656"/>
        <v>#DIV/0!</v>
      </c>
      <c r="CD459" s="279" t="e">
        <f t="shared" si="656"/>
        <v>#DIV/0!</v>
      </c>
      <c r="CF459" s="279" t="e">
        <f t="shared" si="657"/>
        <v>#DIV/0!</v>
      </c>
      <c r="CG459" s="279" t="e">
        <f t="shared" si="657"/>
        <v>#DIV/0!</v>
      </c>
      <c r="CI459" s="279" t="e">
        <f t="shared" si="658"/>
        <v>#DIV/0!</v>
      </c>
      <c r="CJ459" s="279" t="e">
        <f t="shared" si="658"/>
        <v>#DIV/0!</v>
      </c>
    </row>
    <row r="460" spans="1:88" ht="45" x14ac:dyDescent="0.25">
      <c r="A460" s="95"/>
      <c r="B460" s="96" t="s">
        <v>1643</v>
      </c>
      <c r="C460" s="107"/>
      <c r="D460" s="95" t="s">
        <v>8</v>
      </c>
      <c r="E460" s="279"/>
      <c r="F460" s="279"/>
      <c r="G460" s="279"/>
      <c r="H460" s="279"/>
      <c r="I460" s="279">
        <f t="shared" si="633"/>
        <v>200</v>
      </c>
      <c r="J460" s="279">
        <f>J481/J488*100</f>
        <v>100</v>
      </c>
      <c r="K460" s="279">
        <f t="shared" si="634"/>
        <v>0</v>
      </c>
      <c r="L460" s="279">
        <f t="shared" si="634"/>
        <v>0</v>
      </c>
      <c r="M460" s="279">
        <f t="shared" si="634"/>
        <v>0</v>
      </c>
      <c r="N460" s="279">
        <f t="shared" si="634"/>
        <v>0</v>
      </c>
      <c r="O460" s="313"/>
      <c r="P460" s="279">
        <f t="shared" si="635"/>
        <v>0</v>
      </c>
      <c r="Q460" s="279" t="e">
        <f t="shared" si="635"/>
        <v>#DIV/0!</v>
      </c>
      <c r="R460" s="279" t="e">
        <f t="shared" si="635"/>
        <v>#DIV/0!</v>
      </c>
      <c r="S460" s="279" t="e">
        <f t="shared" si="635"/>
        <v>#DIV/0!</v>
      </c>
      <c r="U460" s="279" t="e">
        <f t="shared" si="636"/>
        <v>#DIV/0!</v>
      </c>
      <c r="V460" s="279" t="e">
        <f t="shared" si="636"/>
        <v>#DIV/0!</v>
      </c>
      <c r="X460" s="279" t="e">
        <f t="shared" si="637"/>
        <v>#DIV/0!</v>
      </c>
      <c r="Y460" s="279" t="e">
        <f t="shared" si="637"/>
        <v>#DIV/0!</v>
      </c>
      <c r="AA460" s="279" t="e">
        <f t="shared" si="638"/>
        <v>#DIV/0!</v>
      </c>
      <c r="AB460" s="279" t="e">
        <f t="shared" si="638"/>
        <v>#DIV/0!</v>
      </c>
      <c r="AD460" s="279" t="e">
        <f t="shared" si="639"/>
        <v>#DIV/0!</v>
      </c>
      <c r="AE460" s="279" t="e">
        <f t="shared" si="639"/>
        <v>#DIV/0!</v>
      </c>
      <c r="AG460" s="279" t="e">
        <f t="shared" si="640"/>
        <v>#DIV/0!</v>
      </c>
      <c r="AH460" s="279" t="e">
        <f t="shared" si="640"/>
        <v>#DIV/0!</v>
      </c>
      <c r="AJ460" s="279" t="e">
        <f t="shared" si="641"/>
        <v>#DIV/0!</v>
      </c>
      <c r="AK460" s="279" t="e">
        <f t="shared" si="641"/>
        <v>#DIV/0!</v>
      </c>
      <c r="AM460" s="279" t="e">
        <f t="shared" si="642"/>
        <v>#DIV/0!</v>
      </c>
      <c r="AN460" s="279" t="e">
        <f t="shared" si="642"/>
        <v>#DIV/0!</v>
      </c>
      <c r="AP460" s="279" t="e">
        <f t="shared" si="643"/>
        <v>#DIV/0!</v>
      </c>
      <c r="AQ460" s="279" t="e">
        <f t="shared" si="643"/>
        <v>#DIV/0!</v>
      </c>
      <c r="AS460" s="279">
        <f t="shared" si="644"/>
        <v>0</v>
      </c>
      <c r="AT460" s="279" t="e">
        <f t="shared" si="644"/>
        <v>#DIV/0!</v>
      </c>
      <c r="AV460" s="279" t="e">
        <f t="shared" si="645"/>
        <v>#DIV/0!</v>
      </c>
      <c r="AW460" s="279" t="e">
        <f t="shared" si="645"/>
        <v>#DIV/0!</v>
      </c>
      <c r="AY460" s="279" t="e">
        <f t="shared" si="646"/>
        <v>#DIV/0!</v>
      </c>
      <c r="AZ460" s="279" t="e">
        <f t="shared" si="646"/>
        <v>#DIV/0!</v>
      </c>
      <c r="BB460" s="279" t="e">
        <f t="shared" si="647"/>
        <v>#DIV/0!</v>
      </c>
      <c r="BC460" s="279" t="e">
        <f t="shared" si="647"/>
        <v>#DIV/0!</v>
      </c>
      <c r="BE460" s="279" t="e">
        <f t="shared" si="648"/>
        <v>#DIV/0!</v>
      </c>
      <c r="BF460" s="279" t="e">
        <f t="shared" si="648"/>
        <v>#DIV/0!</v>
      </c>
      <c r="BH460" s="279" t="e">
        <f t="shared" si="649"/>
        <v>#DIV/0!</v>
      </c>
      <c r="BI460" s="279" t="e">
        <f t="shared" si="649"/>
        <v>#DIV/0!</v>
      </c>
      <c r="BK460" s="279" t="e">
        <f t="shared" si="650"/>
        <v>#DIV/0!</v>
      </c>
      <c r="BL460" s="279" t="e">
        <f t="shared" si="650"/>
        <v>#DIV/0!</v>
      </c>
      <c r="BN460" s="279" t="e">
        <f t="shared" si="651"/>
        <v>#DIV/0!</v>
      </c>
      <c r="BO460" s="279" t="e">
        <f t="shared" si="651"/>
        <v>#DIV/0!</v>
      </c>
      <c r="BQ460" s="279" t="e">
        <f t="shared" si="652"/>
        <v>#DIV/0!</v>
      </c>
      <c r="BR460" s="279" t="e">
        <f t="shared" si="652"/>
        <v>#DIV/0!</v>
      </c>
      <c r="BT460" s="279" t="e">
        <f t="shared" si="653"/>
        <v>#DIV/0!</v>
      </c>
      <c r="BU460" s="279" t="e">
        <f t="shared" si="653"/>
        <v>#DIV/0!</v>
      </c>
      <c r="BW460" s="279" t="e">
        <f t="shared" si="654"/>
        <v>#DIV/0!</v>
      </c>
      <c r="BX460" s="279" t="e">
        <f t="shared" si="654"/>
        <v>#DIV/0!</v>
      </c>
      <c r="BZ460" s="279" t="e">
        <f t="shared" si="655"/>
        <v>#DIV/0!</v>
      </c>
      <c r="CA460" s="279" t="e">
        <f t="shared" si="655"/>
        <v>#DIV/0!</v>
      </c>
      <c r="CC460" s="279" t="e">
        <f t="shared" si="656"/>
        <v>#DIV/0!</v>
      </c>
      <c r="CD460" s="279" t="e">
        <f t="shared" si="656"/>
        <v>#DIV/0!</v>
      </c>
      <c r="CF460" s="279" t="e">
        <f t="shared" si="657"/>
        <v>#DIV/0!</v>
      </c>
      <c r="CG460" s="279" t="e">
        <f t="shared" si="657"/>
        <v>#DIV/0!</v>
      </c>
      <c r="CI460" s="279">
        <f t="shared" si="658"/>
        <v>0</v>
      </c>
      <c r="CJ460" s="279" t="e">
        <f t="shared" si="658"/>
        <v>#DIV/0!</v>
      </c>
    </row>
    <row r="461" spans="1:88" ht="45" hidden="1" x14ac:dyDescent="0.25">
      <c r="A461" s="107"/>
      <c r="B461" s="16" t="s">
        <v>98</v>
      </c>
      <c r="C461" s="95" t="s">
        <v>99</v>
      </c>
      <c r="D461" s="95" t="s">
        <v>1112</v>
      </c>
      <c r="E461" s="291"/>
      <c r="F461" s="291"/>
      <c r="G461" s="291"/>
      <c r="H461" s="291"/>
      <c r="I461" s="291"/>
      <c r="J461" s="291"/>
      <c r="K461" s="291"/>
      <c r="L461" s="291"/>
      <c r="M461" s="291"/>
      <c r="N461" s="291"/>
      <c r="O461" s="281"/>
    </row>
    <row r="462" spans="1:88" hidden="1" x14ac:dyDescent="0.25">
      <c r="A462" s="107"/>
      <c r="B462" s="16" t="s">
        <v>1182</v>
      </c>
      <c r="C462" s="95"/>
      <c r="D462" s="95" t="s">
        <v>1112</v>
      </c>
      <c r="E462" s="291">
        <v>402</v>
      </c>
      <c r="F462" s="291">
        <v>386</v>
      </c>
      <c r="G462" s="291">
        <v>350</v>
      </c>
      <c r="H462" s="291">
        <f t="shared" ref="H462:N462" si="659">H463+H464</f>
        <v>333</v>
      </c>
      <c r="I462" s="291">
        <f t="shared" si="659"/>
        <v>336</v>
      </c>
      <c r="J462" s="291">
        <f t="shared" si="659"/>
        <v>336</v>
      </c>
      <c r="K462" s="291">
        <f t="shared" si="659"/>
        <v>336</v>
      </c>
      <c r="L462" s="291">
        <f t="shared" si="659"/>
        <v>336</v>
      </c>
      <c r="M462" s="291">
        <f t="shared" si="659"/>
        <v>336</v>
      </c>
      <c r="N462" s="291">
        <f t="shared" si="659"/>
        <v>336</v>
      </c>
      <c r="O462" s="281">
        <v>336</v>
      </c>
    </row>
    <row r="463" spans="1:88" hidden="1" x14ac:dyDescent="0.25">
      <c r="A463" s="107"/>
      <c r="B463" s="16" t="s">
        <v>1183</v>
      </c>
      <c r="C463" s="95"/>
      <c r="D463" s="95"/>
      <c r="E463" s="291"/>
      <c r="F463" s="291"/>
      <c r="G463" s="291"/>
      <c r="H463" s="291">
        <v>277</v>
      </c>
      <c r="I463" s="291">
        <v>285</v>
      </c>
      <c r="J463" s="291">
        <v>285</v>
      </c>
      <c r="K463" s="291">
        <v>285</v>
      </c>
      <c r="L463" s="291">
        <v>285</v>
      </c>
      <c r="M463" s="291">
        <v>285</v>
      </c>
      <c r="N463" s="291">
        <v>285</v>
      </c>
      <c r="O463" s="281"/>
    </row>
    <row r="464" spans="1:88" hidden="1" x14ac:dyDescent="0.25">
      <c r="A464" s="107"/>
      <c r="B464" s="16" t="s">
        <v>1185</v>
      </c>
      <c r="C464" s="95"/>
      <c r="D464" s="95"/>
      <c r="E464" s="291"/>
      <c r="F464" s="291"/>
      <c r="G464" s="291"/>
      <c r="H464" s="291">
        <v>56</v>
      </c>
      <c r="I464" s="291">
        <v>51</v>
      </c>
      <c r="J464" s="291">
        <v>51</v>
      </c>
      <c r="K464" s="291">
        <v>51</v>
      </c>
      <c r="L464" s="291">
        <v>51</v>
      </c>
      <c r="M464" s="291">
        <v>51</v>
      </c>
      <c r="N464" s="291">
        <v>51</v>
      </c>
      <c r="O464" s="281"/>
    </row>
    <row r="465" spans="1:88" hidden="1" x14ac:dyDescent="0.25">
      <c r="A465" s="107"/>
      <c r="B465" s="16" t="s">
        <v>1184</v>
      </c>
      <c r="C465" s="95"/>
      <c r="D465" s="95" t="s">
        <v>1112</v>
      </c>
      <c r="E465" s="291">
        <v>1</v>
      </c>
      <c r="F465" s="291">
        <v>4</v>
      </c>
      <c r="G465" s="291">
        <v>3</v>
      </c>
      <c r="H465" s="291">
        <f t="shared" ref="H465:N465" si="660">H466+H467</f>
        <v>3</v>
      </c>
      <c r="I465" s="291">
        <f t="shared" si="660"/>
        <v>9</v>
      </c>
      <c r="J465" s="291">
        <f t="shared" si="660"/>
        <v>9</v>
      </c>
      <c r="K465" s="291">
        <f t="shared" si="660"/>
        <v>9</v>
      </c>
      <c r="L465" s="291">
        <f t="shared" si="660"/>
        <v>9</v>
      </c>
      <c r="M465" s="291">
        <f t="shared" si="660"/>
        <v>9</v>
      </c>
      <c r="N465" s="291">
        <f t="shared" si="660"/>
        <v>9</v>
      </c>
      <c r="O465" s="281"/>
    </row>
    <row r="466" spans="1:88" hidden="1" x14ac:dyDescent="0.25">
      <c r="A466" s="107"/>
      <c r="B466" s="16" t="s">
        <v>1183</v>
      </c>
      <c r="C466" s="95"/>
      <c r="D466" s="95"/>
      <c r="E466" s="291"/>
      <c r="F466" s="291"/>
      <c r="G466" s="291"/>
      <c r="H466" s="291">
        <v>3</v>
      </c>
      <c r="I466" s="291">
        <v>9</v>
      </c>
      <c r="J466" s="291">
        <v>9</v>
      </c>
      <c r="K466" s="291">
        <v>9</v>
      </c>
      <c r="L466" s="291">
        <v>9</v>
      </c>
      <c r="M466" s="291">
        <v>9</v>
      </c>
      <c r="N466" s="291">
        <v>9</v>
      </c>
      <c r="O466" s="281"/>
    </row>
    <row r="467" spans="1:88" hidden="1" x14ac:dyDescent="0.25">
      <c r="A467" s="107"/>
      <c r="B467" s="16" t="s">
        <v>1185</v>
      </c>
      <c r="C467" s="95"/>
      <c r="D467" s="95"/>
      <c r="E467" s="291"/>
      <c r="F467" s="291"/>
      <c r="G467" s="291"/>
      <c r="H467" s="291">
        <v>0</v>
      </c>
      <c r="I467" s="291">
        <v>0</v>
      </c>
      <c r="J467" s="291">
        <v>0</v>
      </c>
      <c r="K467" s="291">
        <v>0</v>
      </c>
      <c r="L467" s="291">
        <v>0</v>
      </c>
      <c r="M467" s="291">
        <v>0</v>
      </c>
      <c r="N467" s="291">
        <v>0</v>
      </c>
      <c r="O467" s="281"/>
    </row>
    <row r="468" spans="1:88" ht="45" hidden="1" x14ac:dyDescent="0.25">
      <c r="A468" s="107"/>
      <c r="B468" s="16" t="s">
        <v>101</v>
      </c>
      <c r="C468" s="95" t="s">
        <v>100</v>
      </c>
      <c r="D468" s="95" t="s">
        <v>1112</v>
      </c>
      <c r="E468" s="291"/>
      <c r="F468" s="291"/>
      <c r="G468" s="291"/>
      <c r="H468" s="291"/>
      <c r="I468" s="291"/>
      <c r="J468" s="291"/>
      <c r="K468" s="291"/>
      <c r="L468" s="291"/>
      <c r="M468" s="291"/>
      <c r="N468" s="291"/>
      <c r="O468" s="281"/>
    </row>
    <row r="469" spans="1:88" hidden="1" x14ac:dyDescent="0.25">
      <c r="A469" s="107"/>
      <c r="B469" s="16" t="s">
        <v>1182</v>
      </c>
      <c r="C469" s="95"/>
      <c r="D469" s="95" t="s">
        <v>1112</v>
      </c>
      <c r="E469" s="291">
        <v>412</v>
      </c>
      <c r="F469" s="291">
        <v>402</v>
      </c>
      <c r="G469" s="291">
        <v>386</v>
      </c>
      <c r="H469" s="291">
        <f t="shared" ref="H469:N469" si="661">H470+H471</f>
        <v>350</v>
      </c>
      <c r="I469" s="291">
        <f t="shared" si="661"/>
        <v>333</v>
      </c>
      <c r="J469" s="291">
        <f t="shared" si="661"/>
        <v>333</v>
      </c>
      <c r="K469" s="291">
        <f t="shared" si="661"/>
        <v>333</v>
      </c>
      <c r="L469" s="291">
        <f t="shared" si="661"/>
        <v>333</v>
      </c>
      <c r="M469" s="291">
        <f t="shared" si="661"/>
        <v>333</v>
      </c>
      <c r="N469" s="291">
        <f t="shared" si="661"/>
        <v>333</v>
      </c>
      <c r="O469" s="281"/>
    </row>
    <row r="470" spans="1:88" hidden="1" x14ac:dyDescent="0.25">
      <c r="A470" s="107"/>
      <c r="B470" s="16" t="s">
        <v>1183</v>
      </c>
      <c r="C470" s="95"/>
      <c r="D470" s="95"/>
      <c r="E470" s="291"/>
      <c r="F470" s="291"/>
      <c r="G470" s="291"/>
      <c r="H470" s="291">
        <v>291</v>
      </c>
      <c r="I470" s="291">
        <v>277</v>
      </c>
      <c r="J470" s="291">
        <v>277</v>
      </c>
      <c r="K470" s="291">
        <v>277</v>
      </c>
      <c r="L470" s="291">
        <v>277</v>
      </c>
      <c r="M470" s="291">
        <v>277</v>
      </c>
      <c r="N470" s="291">
        <v>277</v>
      </c>
      <c r="O470" s="281"/>
    </row>
    <row r="471" spans="1:88" hidden="1" x14ac:dyDescent="0.25">
      <c r="A471" s="107"/>
      <c r="B471" s="16" t="s">
        <v>1185</v>
      </c>
      <c r="C471" s="95"/>
      <c r="D471" s="95"/>
      <c r="E471" s="291"/>
      <c r="F471" s="291"/>
      <c r="G471" s="291"/>
      <c r="H471" s="291">
        <v>59</v>
      </c>
      <c r="I471" s="291">
        <v>56</v>
      </c>
      <c r="J471" s="291">
        <v>56</v>
      </c>
      <c r="K471" s="291">
        <v>56</v>
      </c>
      <c r="L471" s="291">
        <v>56</v>
      </c>
      <c r="M471" s="291">
        <v>56</v>
      </c>
      <c r="N471" s="291">
        <v>56</v>
      </c>
      <c r="O471" s="281"/>
    </row>
    <row r="472" spans="1:88" hidden="1" x14ac:dyDescent="0.25">
      <c r="A472" s="107"/>
      <c r="B472" s="16" t="s">
        <v>1184</v>
      </c>
      <c r="C472" s="95"/>
      <c r="D472" s="95" t="s">
        <v>1112</v>
      </c>
      <c r="E472" s="291">
        <v>1</v>
      </c>
      <c r="F472" s="291">
        <v>1</v>
      </c>
      <c r="G472" s="291">
        <v>4</v>
      </c>
      <c r="H472" s="291">
        <f t="shared" ref="H472:N472" si="662">H473+H474</f>
        <v>3</v>
      </c>
      <c r="I472" s="291">
        <f t="shared" si="662"/>
        <v>3</v>
      </c>
      <c r="J472" s="291">
        <f t="shared" si="662"/>
        <v>3</v>
      </c>
      <c r="K472" s="291">
        <f t="shared" si="662"/>
        <v>3</v>
      </c>
      <c r="L472" s="291">
        <f t="shared" si="662"/>
        <v>3</v>
      </c>
      <c r="M472" s="291">
        <f t="shared" si="662"/>
        <v>3</v>
      </c>
      <c r="N472" s="291">
        <f t="shared" si="662"/>
        <v>3</v>
      </c>
      <c r="O472" s="281"/>
    </row>
    <row r="473" spans="1:88" hidden="1" x14ac:dyDescent="0.25">
      <c r="A473" s="107"/>
      <c r="B473" s="16" t="s">
        <v>1183</v>
      </c>
      <c r="C473" s="95"/>
      <c r="D473" s="95"/>
      <c r="E473" s="291"/>
      <c r="F473" s="291"/>
      <c r="G473" s="291"/>
      <c r="H473" s="291">
        <v>3</v>
      </c>
      <c r="I473" s="291">
        <v>3</v>
      </c>
      <c r="J473" s="291">
        <v>3</v>
      </c>
      <c r="K473" s="291">
        <v>3</v>
      </c>
      <c r="L473" s="291">
        <v>3</v>
      </c>
      <c r="M473" s="291">
        <v>3</v>
      </c>
      <c r="N473" s="291">
        <v>3</v>
      </c>
      <c r="O473" s="281"/>
    </row>
    <row r="474" spans="1:88" hidden="1" x14ac:dyDescent="0.25">
      <c r="A474" s="107"/>
      <c r="B474" s="16" t="s">
        <v>1185</v>
      </c>
      <c r="C474" s="95"/>
      <c r="D474" s="95"/>
      <c r="E474" s="291"/>
      <c r="F474" s="291"/>
      <c r="G474" s="291"/>
      <c r="H474" s="291">
        <v>0</v>
      </c>
      <c r="I474" s="291">
        <v>0</v>
      </c>
      <c r="J474" s="291">
        <v>0</v>
      </c>
      <c r="K474" s="291">
        <v>0</v>
      </c>
      <c r="L474" s="291">
        <v>0</v>
      </c>
      <c r="M474" s="291">
        <v>0</v>
      </c>
      <c r="N474" s="291">
        <v>0</v>
      </c>
      <c r="O474" s="281"/>
    </row>
    <row r="475" spans="1:88" ht="30" x14ac:dyDescent="0.25">
      <c r="A475" s="107"/>
      <c r="B475" s="16" t="s">
        <v>98</v>
      </c>
      <c r="C475" s="95"/>
      <c r="D475" s="95"/>
      <c r="E475" s="291"/>
      <c r="F475" s="291"/>
      <c r="G475" s="291"/>
      <c r="H475" s="291"/>
      <c r="I475" s="292">
        <f t="shared" ref="I475:N475" si="663">SUM(I476:I481)</f>
        <v>426</v>
      </c>
      <c r="J475" s="292">
        <f t="shared" si="663"/>
        <v>404</v>
      </c>
      <c r="K475" s="292">
        <f t="shared" si="663"/>
        <v>391</v>
      </c>
      <c r="L475" s="292">
        <f t="shared" si="663"/>
        <v>22</v>
      </c>
      <c r="M475" s="292">
        <f t="shared" si="663"/>
        <v>21</v>
      </c>
      <c r="N475" s="292">
        <f t="shared" si="663"/>
        <v>21</v>
      </c>
      <c r="O475" s="281"/>
      <c r="P475" s="292">
        <f>SUM(P476:P481)</f>
        <v>391</v>
      </c>
      <c r="Q475" s="292">
        <f>SUM(Q476:Q481)</f>
        <v>379</v>
      </c>
      <c r="R475" s="292">
        <f>SUM(R476:R481)</f>
        <v>11</v>
      </c>
      <c r="S475" s="292">
        <f>SUM(S476:S481)</f>
        <v>11</v>
      </c>
      <c r="U475" s="292">
        <f>SUM(U476:U481)</f>
        <v>19</v>
      </c>
      <c r="V475" s="292">
        <f>SUM(V476:V481)</f>
        <v>19</v>
      </c>
      <c r="X475" s="292">
        <f>SUM(X476:X481)</f>
        <v>19</v>
      </c>
      <c r="Y475" s="292">
        <f>SUM(Y476:Y481)</f>
        <v>19</v>
      </c>
      <c r="AA475" s="292">
        <f>SUM(AA476:AA481)</f>
        <v>18</v>
      </c>
      <c r="AB475" s="292">
        <f>SUM(AB476:AB481)</f>
        <v>18</v>
      </c>
      <c r="AD475" s="292">
        <f>SUM(AD476:AD481)</f>
        <v>16</v>
      </c>
      <c r="AE475" s="292">
        <f>SUM(AE476:AE481)</f>
        <v>16</v>
      </c>
      <c r="AG475" s="292">
        <f>SUM(AG476:AG481)</f>
        <v>22</v>
      </c>
      <c r="AH475" s="292">
        <f>SUM(AH476:AH481)</f>
        <v>22</v>
      </c>
      <c r="AJ475" s="292">
        <f>SUM(AJ476:AJ481)</f>
        <v>13</v>
      </c>
      <c r="AK475" s="292">
        <f>SUM(AK476:AK481)</f>
        <v>13</v>
      </c>
      <c r="AM475" s="292">
        <f>SUM(AM476:AM481)</f>
        <v>27</v>
      </c>
      <c r="AN475" s="292">
        <f>SUM(AN476:AN481)</f>
        <v>27</v>
      </c>
      <c r="AP475" s="292">
        <f>SUM(AP476:AP481)</f>
        <v>24</v>
      </c>
      <c r="AQ475" s="292">
        <f>SUM(AQ476:AQ481)</f>
        <v>25</v>
      </c>
      <c r="AS475" s="292">
        <f>SUM(AS476:AS481)</f>
        <v>19</v>
      </c>
      <c r="AT475" s="292">
        <f>SUM(AT476:AT481)</f>
        <v>17</v>
      </c>
      <c r="AV475" s="292">
        <f>SUM(AV476:AV481)</f>
        <v>10</v>
      </c>
      <c r="AW475" s="292">
        <f>SUM(AW476:AW481)</f>
        <v>4</v>
      </c>
      <c r="AY475" s="292">
        <f>SUM(AY476:AY481)</f>
        <v>18</v>
      </c>
      <c r="AZ475" s="292">
        <f>SUM(AZ476:AZ481)</f>
        <v>16</v>
      </c>
      <c r="BB475" s="292">
        <f>SUM(BB476:BB481)</f>
        <v>23</v>
      </c>
      <c r="BC475" s="292">
        <f>SUM(BC476:BC481)</f>
        <v>22</v>
      </c>
      <c r="BE475" s="292">
        <f>SUM(BE476:BE481)</f>
        <v>42</v>
      </c>
      <c r="BF475" s="292">
        <f>SUM(BF476:BF481)</f>
        <v>41</v>
      </c>
      <c r="BH475" s="292">
        <f>SUM(BH476:BH481)</f>
        <v>49</v>
      </c>
      <c r="BI475" s="292">
        <f>SUM(BI476:BI481)</f>
        <v>48</v>
      </c>
      <c r="BK475" s="292">
        <f>SUM(BK476:BK481)</f>
        <v>10</v>
      </c>
      <c r="BL475" s="292">
        <f>SUM(BL476:BL481)</f>
        <v>10</v>
      </c>
      <c r="BN475" s="292">
        <f>SUM(BN476:BN481)</f>
        <v>8</v>
      </c>
      <c r="BO475" s="292">
        <f>SUM(BO476:BO481)</f>
        <v>8</v>
      </c>
      <c r="BQ475" s="292">
        <f>SUM(BQ476:BQ481)</f>
        <v>11</v>
      </c>
      <c r="BR475" s="292">
        <f>SUM(BR476:BR481)</f>
        <v>11</v>
      </c>
      <c r="BT475" s="292">
        <f>SUM(BT476:BT481)</f>
        <v>7</v>
      </c>
      <c r="BU475" s="292">
        <f>SUM(BU476:BU481)</f>
        <v>7</v>
      </c>
      <c r="BW475" s="292">
        <f>SUM(BW476:BW481)</f>
        <v>5</v>
      </c>
      <c r="BX475" s="292">
        <f>SUM(BX476:BX481)</f>
        <v>5</v>
      </c>
      <c r="BZ475" s="292">
        <f>SUM(BZ476:BZ481)</f>
        <v>8</v>
      </c>
      <c r="CA475" s="292">
        <f>SUM(CA476:CA481)</f>
        <v>8</v>
      </c>
      <c r="CC475" s="292">
        <f>SUM(CC476:CC481)</f>
        <v>8</v>
      </c>
      <c r="CD475" s="292">
        <f>SUM(CD476:CD481)</f>
        <v>8</v>
      </c>
      <c r="CF475" s="292">
        <f>SUM(CF476:CF481)</f>
        <v>4</v>
      </c>
      <c r="CG475" s="292">
        <f>SUM(CG476:CG481)</f>
        <v>4</v>
      </c>
      <c r="CI475" s="292">
        <f>SUM(CI476:CI481)</f>
        <v>0</v>
      </c>
      <c r="CJ475" s="292">
        <f>SUM(CJ476:CJ481)</f>
        <v>0</v>
      </c>
    </row>
    <row r="476" spans="1:88" ht="45" x14ac:dyDescent="0.25">
      <c r="A476" s="107"/>
      <c r="B476" s="96" t="s">
        <v>1638</v>
      </c>
      <c r="C476" s="370" t="s">
        <v>1820</v>
      </c>
      <c r="D476" s="95"/>
      <c r="E476" s="291"/>
      <c r="F476" s="291"/>
      <c r="G476" s="291"/>
      <c r="H476" s="291"/>
      <c r="I476" s="292">
        <v>329</v>
      </c>
      <c r="J476" s="292">
        <v>304</v>
      </c>
      <c r="K476" s="292">
        <v>291</v>
      </c>
      <c r="L476" s="292">
        <v>11</v>
      </c>
      <c r="M476" s="292">
        <v>9</v>
      </c>
      <c r="N476" s="292">
        <v>9</v>
      </c>
      <c r="O476" s="281"/>
      <c r="P476" s="283">
        <f t="shared" ref="P476:Q488" si="664">R476+U476+X476+AA476+AD476+AG476+AJ476+AM476+AP476+AS476+AV476+AY476+BB476+BE476+BH476+BK476+BN476+BQ476+BT476+BW476+BZ476+CC476+CF476+CI476</f>
        <v>291</v>
      </c>
      <c r="Q476" s="283">
        <f t="shared" si="664"/>
        <v>275</v>
      </c>
      <c r="R476" s="267">
        <v>6</v>
      </c>
      <c r="S476" s="267">
        <v>6</v>
      </c>
      <c r="U476" s="267">
        <v>10</v>
      </c>
      <c r="V476" s="267">
        <v>9</v>
      </c>
      <c r="X476" s="267">
        <v>10</v>
      </c>
      <c r="Y476" s="267">
        <v>10</v>
      </c>
      <c r="AA476" s="267">
        <v>13</v>
      </c>
      <c r="AB476" s="267">
        <v>13</v>
      </c>
      <c r="AD476" s="267">
        <v>6</v>
      </c>
      <c r="AE476" s="267">
        <v>6</v>
      </c>
      <c r="AG476" s="267">
        <v>11</v>
      </c>
      <c r="AH476" s="267">
        <v>11</v>
      </c>
      <c r="AJ476" s="267">
        <v>10</v>
      </c>
      <c r="AK476" s="267">
        <v>10</v>
      </c>
      <c r="AM476" s="267">
        <v>20</v>
      </c>
      <c r="AN476" s="267">
        <v>20</v>
      </c>
      <c r="AP476" s="267">
        <v>13</v>
      </c>
      <c r="AQ476" s="267">
        <v>13</v>
      </c>
      <c r="AS476" s="267">
        <v>18</v>
      </c>
      <c r="AT476" s="267">
        <v>16</v>
      </c>
      <c r="AV476" s="267">
        <v>10</v>
      </c>
      <c r="AW476" s="267">
        <v>4</v>
      </c>
      <c r="AY476" s="267">
        <v>14</v>
      </c>
      <c r="AZ476" s="267">
        <v>13</v>
      </c>
      <c r="BB476" s="267">
        <v>16</v>
      </c>
      <c r="BC476" s="267">
        <v>15</v>
      </c>
      <c r="BE476" s="267">
        <v>41</v>
      </c>
      <c r="BF476" s="267">
        <v>39</v>
      </c>
      <c r="BH476" s="267">
        <v>44</v>
      </c>
      <c r="BI476" s="267">
        <v>42</v>
      </c>
      <c r="BK476" s="267">
        <v>10</v>
      </c>
      <c r="BL476" s="267">
        <v>10</v>
      </c>
      <c r="BN476" s="267">
        <v>8</v>
      </c>
      <c r="BO476" s="267">
        <v>8</v>
      </c>
      <c r="BQ476" s="267">
        <v>9</v>
      </c>
      <c r="BR476" s="267">
        <v>9</v>
      </c>
      <c r="BT476" s="267">
        <v>7</v>
      </c>
      <c r="BU476" s="267">
        <v>7</v>
      </c>
      <c r="BW476" s="267">
        <v>5</v>
      </c>
      <c r="BX476" s="267">
        <v>5</v>
      </c>
      <c r="BZ476" s="267">
        <v>7</v>
      </c>
      <c r="CA476" s="267">
        <v>6</v>
      </c>
      <c r="CC476" s="267">
        <v>3</v>
      </c>
      <c r="CD476" s="267">
        <v>3</v>
      </c>
      <c r="CF476" s="267">
        <v>0</v>
      </c>
      <c r="CG476" s="267">
        <v>0</v>
      </c>
      <c r="CI476" s="267">
        <v>0</v>
      </c>
      <c r="CJ476" s="267">
        <v>0</v>
      </c>
    </row>
    <row r="477" spans="1:88" ht="45" x14ac:dyDescent="0.25">
      <c r="A477" s="107"/>
      <c r="B477" s="96" t="s">
        <v>1639</v>
      </c>
      <c r="C477" s="370" t="s">
        <v>1821</v>
      </c>
      <c r="D477" s="95"/>
      <c r="E477" s="291"/>
      <c r="F477" s="291"/>
      <c r="G477" s="291"/>
      <c r="H477" s="291"/>
      <c r="I477" s="292">
        <v>7</v>
      </c>
      <c r="J477" s="292">
        <v>9</v>
      </c>
      <c r="K477" s="292">
        <v>5</v>
      </c>
      <c r="L477" s="292">
        <v>0</v>
      </c>
      <c r="M477" s="292">
        <v>0</v>
      </c>
      <c r="N477" s="292">
        <v>0</v>
      </c>
      <c r="O477" s="281"/>
      <c r="P477" s="283">
        <f t="shared" si="664"/>
        <v>5</v>
      </c>
      <c r="Q477" s="283">
        <f t="shared" si="664"/>
        <v>5</v>
      </c>
      <c r="R477" s="267">
        <v>0</v>
      </c>
      <c r="S477" s="267">
        <v>0</v>
      </c>
      <c r="U477" s="267">
        <v>0</v>
      </c>
      <c r="V477" s="267">
        <v>0</v>
      </c>
      <c r="X477" s="267">
        <v>0</v>
      </c>
      <c r="Y477" s="267">
        <v>0</v>
      </c>
      <c r="AA477" s="267">
        <v>0</v>
      </c>
      <c r="AB477" s="267">
        <v>0</v>
      </c>
      <c r="AD477" s="267">
        <v>0</v>
      </c>
      <c r="AE477" s="267">
        <v>0</v>
      </c>
      <c r="AG477" s="267">
        <v>0</v>
      </c>
      <c r="AH477" s="267">
        <v>0</v>
      </c>
      <c r="AJ477" s="267">
        <v>3</v>
      </c>
      <c r="AK477" s="267">
        <v>3</v>
      </c>
      <c r="AM477" s="267">
        <v>2</v>
      </c>
      <c r="AN477" s="267">
        <v>2</v>
      </c>
      <c r="AP477" s="267">
        <v>0</v>
      </c>
      <c r="AQ477" s="267">
        <v>0</v>
      </c>
      <c r="AS477" s="267">
        <v>0</v>
      </c>
      <c r="AT477" s="267">
        <v>0</v>
      </c>
      <c r="AV477" s="267">
        <v>0</v>
      </c>
      <c r="AW477" s="267">
        <v>0</v>
      </c>
      <c r="AY477" s="267">
        <v>0</v>
      </c>
      <c r="AZ477" s="267">
        <v>0</v>
      </c>
      <c r="BB477" s="267">
        <v>0</v>
      </c>
      <c r="BC477" s="267">
        <v>0</v>
      </c>
      <c r="BE477" s="267">
        <v>0</v>
      </c>
      <c r="BF477" s="267">
        <v>0</v>
      </c>
      <c r="BH477" s="267">
        <v>0</v>
      </c>
      <c r="BI477" s="267">
        <v>0</v>
      </c>
      <c r="BK477" s="267">
        <v>0</v>
      </c>
      <c r="BL477" s="267">
        <v>0</v>
      </c>
      <c r="BN477" s="267">
        <v>0</v>
      </c>
      <c r="BO477" s="267">
        <v>0</v>
      </c>
      <c r="BQ477" s="267">
        <v>0</v>
      </c>
      <c r="BR477" s="267">
        <v>0</v>
      </c>
      <c r="BT477" s="267">
        <v>0</v>
      </c>
      <c r="BU477" s="267">
        <v>0</v>
      </c>
      <c r="BW477" s="267">
        <v>0</v>
      </c>
      <c r="BX477" s="267">
        <v>0</v>
      </c>
      <c r="BZ477" s="267">
        <v>0</v>
      </c>
      <c r="CA477" s="267">
        <v>0</v>
      </c>
      <c r="CC477" s="267">
        <v>0</v>
      </c>
      <c r="CD477" s="267">
        <v>0</v>
      </c>
      <c r="CF477" s="267">
        <v>0</v>
      </c>
      <c r="CG477" s="267">
        <v>0</v>
      </c>
      <c r="CI477" s="267">
        <v>0</v>
      </c>
      <c r="CJ477" s="267">
        <v>0</v>
      </c>
    </row>
    <row r="478" spans="1:88" ht="45" x14ac:dyDescent="0.25">
      <c r="A478" s="107"/>
      <c r="B478" s="96" t="s">
        <v>1640</v>
      </c>
      <c r="C478" s="370" t="s">
        <v>1822</v>
      </c>
      <c r="D478" s="95"/>
      <c r="E478" s="291"/>
      <c r="F478" s="291"/>
      <c r="G478" s="291"/>
      <c r="H478" s="291"/>
      <c r="I478" s="292">
        <v>5</v>
      </c>
      <c r="J478" s="292">
        <v>5</v>
      </c>
      <c r="K478" s="292">
        <v>6</v>
      </c>
      <c r="L478" s="292">
        <v>0</v>
      </c>
      <c r="M478" s="292">
        <v>0</v>
      </c>
      <c r="N478" s="292">
        <v>0</v>
      </c>
      <c r="O478" s="281"/>
      <c r="P478" s="283">
        <f t="shared" si="664"/>
        <v>6</v>
      </c>
      <c r="Q478" s="283">
        <f t="shared" si="664"/>
        <v>5</v>
      </c>
      <c r="R478" s="267">
        <v>0</v>
      </c>
      <c r="S478" s="267">
        <v>0</v>
      </c>
      <c r="U478" s="267">
        <v>3</v>
      </c>
      <c r="V478" s="267">
        <v>2</v>
      </c>
      <c r="X478" s="267">
        <v>0</v>
      </c>
      <c r="Y478" s="267">
        <v>0</v>
      </c>
      <c r="AA478" s="267">
        <v>0</v>
      </c>
      <c r="AB478" s="267">
        <v>0</v>
      </c>
      <c r="AD478" s="267">
        <v>0</v>
      </c>
      <c r="AE478" s="267">
        <v>0</v>
      </c>
      <c r="AG478" s="267">
        <v>0</v>
      </c>
      <c r="AH478" s="267">
        <v>0</v>
      </c>
      <c r="AJ478" s="267">
        <v>0</v>
      </c>
      <c r="AK478" s="267">
        <v>0</v>
      </c>
      <c r="AM478" s="267">
        <v>3</v>
      </c>
      <c r="AN478" s="267">
        <v>3</v>
      </c>
      <c r="AP478" s="267">
        <v>0</v>
      </c>
      <c r="AQ478" s="267">
        <v>0</v>
      </c>
      <c r="AS478" s="267">
        <v>0</v>
      </c>
      <c r="AT478" s="267">
        <v>0</v>
      </c>
      <c r="AV478" s="267">
        <v>0</v>
      </c>
      <c r="AW478" s="267">
        <v>0</v>
      </c>
      <c r="AY478" s="267">
        <v>0</v>
      </c>
      <c r="AZ478" s="267">
        <v>0</v>
      </c>
      <c r="BB478" s="267">
        <v>0</v>
      </c>
      <c r="BC478" s="267">
        <v>0</v>
      </c>
      <c r="BE478" s="267">
        <v>0</v>
      </c>
      <c r="BF478" s="267">
        <v>0</v>
      </c>
      <c r="BH478" s="267">
        <v>0</v>
      </c>
      <c r="BI478" s="267">
        <v>0</v>
      </c>
      <c r="BK478" s="267">
        <v>0</v>
      </c>
      <c r="BL478" s="267">
        <v>0</v>
      </c>
      <c r="BN478" s="267">
        <v>0</v>
      </c>
      <c r="BO478" s="267">
        <v>0</v>
      </c>
      <c r="BQ478" s="267">
        <v>0</v>
      </c>
      <c r="BR478" s="267">
        <v>0</v>
      </c>
      <c r="BT478" s="267">
        <v>0</v>
      </c>
      <c r="BU478" s="267">
        <v>0</v>
      </c>
      <c r="BW478" s="267">
        <v>0</v>
      </c>
      <c r="BX478" s="267">
        <v>0</v>
      </c>
      <c r="BZ478" s="267">
        <v>0</v>
      </c>
      <c r="CA478" s="267">
        <v>0</v>
      </c>
      <c r="CC478" s="267">
        <v>0</v>
      </c>
      <c r="CD478" s="267">
        <v>0</v>
      </c>
      <c r="CF478" s="267">
        <v>0</v>
      </c>
      <c r="CG478" s="267">
        <v>0</v>
      </c>
      <c r="CI478" s="267">
        <v>0</v>
      </c>
      <c r="CJ478" s="267">
        <v>0</v>
      </c>
    </row>
    <row r="479" spans="1:88" ht="45" x14ac:dyDescent="0.25">
      <c r="A479" s="107"/>
      <c r="B479" s="96" t="s">
        <v>1641</v>
      </c>
      <c r="C479" s="370" t="s">
        <v>1823</v>
      </c>
      <c r="D479" s="95"/>
      <c r="E479" s="291"/>
      <c r="F479" s="291"/>
      <c r="G479" s="291"/>
      <c r="H479" s="291"/>
      <c r="I479" s="292">
        <v>83</v>
      </c>
      <c r="J479" s="292">
        <v>84</v>
      </c>
      <c r="K479" s="292">
        <v>89</v>
      </c>
      <c r="L479" s="292">
        <v>11</v>
      </c>
      <c r="M479" s="292">
        <v>12</v>
      </c>
      <c r="N479" s="292">
        <v>12</v>
      </c>
      <c r="O479" s="281"/>
      <c r="P479" s="283">
        <f t="shared" si="664"/>
        <v>89</v>
      </c>
      <c r="Q479" s="283">
        <f t="shared" si="664"/>
        <v>94</v>
      </c>
      <c r="R479" s="304">
        <v>5</v>
      </c>
      <c r="S479" s="304">
        <v>5</v>
      </c>
      <c r="U479" s="304">
        <v>6</v>
      </c>
      <c r="V479" s="304">
        <v>8</v>
      </c>
      <c r="X479" s="304">
        <v>9</v>
      </c>
      <c r="Y479" s="304">
        <v>9</v>
      </c>
      <c r="AA479" s="304">
        <v>5</v>
      </c>
      <c r="AB479" s="304">
        <v>5</v>
      </c>
      <c r="AD479" s="304">
        <v>10</v>
      </c>
      <c r="AE479" s="304">
        <v>10</v>
      </c>
      <c r="AG479" s="304">
        <v>11</v>
      </c>
      <c r="AH479" s="304">
        <v>11</v>
      </c>
      <c r="AJ479" s="304">
        <v>0</v>
      </c>
      <c r="AK479" s="304">
        <v>0</v>
      </c>
      <c r="AM479" s="304">
        <v>2</v>
      </c>
      <c r="AN479" s="304">
        <v>2</v>
      </c>
      <c r="AP479" s="304">
        <v>11</v>
      </c>
      <c r="AQ479" s="304">
        <v>12</v>
      </c>
      <c r="AS479" s="304">
        <v>1</v>
      </c>
      <c r="AT479" s="304">
        <v>1</v>
      </c>
      <c r="AV479" s="304">
        <v>0</v>
      </c>
      <c r="AW479" s="304">
        <v>0</v>
      </c>
      <c r="AY479" s="304">
        <v>4</v>
      </c>
      <c r="AZ479" s="304">
        <v>3</v>
      </c>
      <c r="BB479" s="304">
        <v>7</v>
      </c>
      <c r="BC479" s="304">
        <v>7</v>
      </c>
      <c r="BE479" s="304">
        <v>1</v>
      </c>
      <c r="BF479" s="304">
        <v>2</v>
      </c>
      <c r="BH479" s="304">
        <v>5</v>
      </c>
      <c r="BI479" s="304">
        <v>6</v>
      </c>
      <c r="BK479" s="304">
        <v>0</v>
      </c>
      <c r="BL479" s="304">
        <v>0</v>
      </c>
      <c r="BN479" s="304">
        <v>0</v>
      </c>
      <c r="BO479" s="304">
        <v>0</v>
      </c>
      <c r="BQ479" s="304">
        <v>2</v>
      </c>
      <c r="BR479" s="304">
        <v>2</v>
      </c>
      <c r="BT479" s="304">
        <v>0</v>
      </c>
      <c r="BU479" s="304">
        <v>0</v>
      </c>
      <c r="BW479" s="304">
        <v>0</v>
      </c>
      <c r="BX479" s="304">
        <v>0</v>
      </c>
      <c r="BZ479" s="304">
        <v>1</v>
      </c>
      <c r="CA479" s="304">
        <v>2</v>
      </c>
      <c r="CC479" s="304">
        <v>5</v>
      </c>
      <c r="CD479" s="304">
        <v>5</v>
      </c>
      <c r="CF479" s="304">
        <v>4</v>
      </c>
      <c r="CG479" s="304">
        <v>4</v>
      </c>
      <c r="CI479" s="267">
        <v>0</v>
      </c>
      <c r="CJ479" s="267">
        <v>0</v>
      </c>
    </row>
    <row r="480" spans="1:88" ht="45" x14ac:dyDescent="0.25">
      <c r="A480" s="107"/>
      <c r="B480" s="96" t="s">
        <v>1642</v>
      </c>
      <c r="C480" s="370" t="s">
        <v>2856</v>
      </c>
      <c r="D480" s="95"/>
      <c r="E480" s="291"/>
      <c r="F480" s="291"/>
      <c r="G480" s="291"/>
      <c r="H480" s="291"/>
      <c r="I480" s="292">
        <v>0</v>
      </c>
      <c r="J480" s="292">
        <v>1</v>
      </c>
      <c r="K480" s="292">
        <v>0</v>
      </c>
      <c r="L480" s="292">
        <v>0</v>
      </c>
      <c r="M480" s="292">
        <v>0</v>
      </c>
      <c r="N480" s="292">
        <v>0</v>
      </c>
      <c r="O480" s="281"/>
      <c r="P480" s="283">
        <f t="shared" si="664"/>
        <v>0</v>
      </c>
      <c r="Q480" s="283">
        <f t="shared" si="664"/>
        <v>0</v>
      </c>
      <c r="R480" s="304">
        <v>0</v>
      </c>
      <c r="S480" s="304">
        <v>0</v>
      </c>
      <c r="U480" s="304">
        <v>0</v>
      </c>
      <c r="V480" s="304">
        <v>0</v>
      </c>
      <c r="X480" s="304">
        <v>0</v>
      </c>
      <c r="Y480" s="304">
        <v>0</v>
      </c>
      <c r="AA480" s="304">
        <v>0</v>
      </c>
      <c r="AB480" s="304">
        <v>0</v>
      </c>
      <c r="AD480" s="304">
        <v>0</v>
      </c>
      <c r="AE480" s="304">
        <v>0</v>
      </c>
      <c r="AG480" s="304">
        <v>0</v>
      </c>
      <c r="AH480" s="304">
        <v>0</v>
      </c>
      <c r="AJ480" s="304">
        <v>0</v>
      </c>
      <c r="AK480" s="304">
        <v>0</v>
      </c>
      <c r="AM480" s="304">
        <v>0</v>
      </c>
      <c r="AN480" s="304">
        <v>0</v>
      </c>
      <c r="AP480" s="304">
        <v>0</v>
      </c>
      <c r="AQ480" s="304">
        <v>0</v>
      </c>
      <c r="AS480" s="304">
        <v>0</v>
      </c>
      <c r="AT480" s="304">
        <v>0</v>
      </c>
      <c r="AV480" s="304">
        <v>0</v>
      </c>
      <c r="AW480" s="304">
        <v>0</v>
      </c>
      <c r="AY480" s="304">
        <v>0</v>
      </c>
      <c r="AZ480" s="304">
        <v>0</v>
      </c>
      <c r="BB480" s="304">
        <v>0</v>
      </c>
      <c r="BC480" s="304">
        <v>0</v>
      </c>
      <c r="BE480" s="304">
        <v>0</v>
      </c>
      <c r="BF480" s="304">
        <v>0</v>
      </c>
      <c r="BH480" s="304">
        <v>0</v>
      </c>
      <c r="BI480" s="304">
        <v>0</v>
      </c>
      <c r="BK480" s="304">
        <v>0</v>
      </c>
      <c r="BL480" s="304">
        <v>0</v>
      </c>
      <c r="BN480" s="304">
        <v>0</v>
      </c>
      <c r="BO480" s="304">
        <v>0</v>
      </c>
      <c r="BQ480" s="304">
        <v>0</v>
      </c>
      <c r="BR480" s="304">
        <v>0</v>
      </c>
      <c r="BT480" s="304">
        <v>0</v>
      </c>
      <c r="BU480" s="304">
        <v>0</v>
      </c>
      <c r="BW480" s="304">
        <v>0</v>
      </c>
      <c r="BX480" s="304">
        <v>0</v>
      </c>
      <c r="BZ480" s="304">
        <v>0</v>
      </c>
      <c r="CA480" s="304">
        <v>0</v>
      </c>
      <c r="CC480" s="304">
        <v>0</v>
      </c>
      <c r="CD480" s="304">
        <v>0</v>
      </c>
      <c r="CF480" s="304">
        <v>0</v>
      </c>
      <c r="CG480" s="304">
        <v>0</v>
      </c>
      <c r="CI480" s="267">
        <v>0</v>
      </c>
      <c r="CJ480" s="267">
        <v>0</v>
      </c>
    </row>
    <row r="481" spans="1:88" ht="45" x14ac:dyDescent="0.25">
      <c r="A481" s="107"/>
      <c r="B481" s="96" t="s">
        <v>1643</v>
      </c>
      <c r="C481" s="370" t="s">
        <v>1824</v>
      </c>
      <c r="D481" s="95"/>
      <c r="E481" s="291"/>
      <c r="F481" s="291"/>
      <c r="G481" s="291"/>
      <c r="H481" s="291"/>
      <c r="I481" s="292">
        <v>2</v>
      </c>
      <c r="J481" s="292">
        <v>1</v>
      </c>
      <c r="K481" s="292">
        <v>0</v>
      </c>
      <c r="L481" s="292">
        <v>0</v>
      </c>
      <c r="M481" s="292">
        <v>0</v>
      </c>
      <c r="N481" s="292">
        <v>0</v>
      </c>
      <c r="O481" s="281"/>
      <c r="P481" s="283">
        <f t="shared" si="664"/>
        <v>0</v>
      </c>
      <c r="Q481" s="283">
        <f t="shared" si="664"/>
        <v>0</v>
      </c>
      <c r="R481" s="304">
        <v>0</v>
      </c>
      <c r="S481" s="304">
        <v>0</v>
      </c>
      <c r="U481" s="304">
        <v>0</v>
      </c>
      <c r="V481" s="304">
        <v>0</v>
      </c>
      <c r="X481" s="304">
        <v>0</v>
      </c>
      <c r="Y481" s="304">
        <v>0</v>
      </c>
      <c r="AA481" s="304">
        <v>0</v>
      </c>
      <c r="AB481" s="304">
        <v>0</v>
      </c>
      <c r="AD481" s="304">
        <v>0</v>
      </c>
      <c r="AE481" s="304">
        <v>0</v>
      </c>
      <c r="AG481" s="304">
        <v>0</v>
      </c>
      <c r="AH481" s="304">
        <v>0</v>
      </c>
      <c r="AJ481" s="304">
        <v>0</v>
      </c>
      <c r="AK481" s="304">
        <v>0</v>
      </c>
      <c r="AM481" s="304">
        <v>0</v>
      </c>
      <c r="AN481" s="304">
        <v>0</v>
      </c>
      <c r="AP481" s="304">
        <v>0</v>
      </c>
      <c r="AQ481" s="304">
        <v>0</v>
      </c>
      <c r="AS481" s="304">
        <v>0</v>
      </c>
      <c r="AT481" s="304">
        <v>0</v>
      </c>
      <c r="AV481" s="304">
        <v>0</v>
      </c>
      <c r="AW481" s="304">
        <v>0</v>
      </c>
      <c r="AY481" s="304">
        <v>0</v>
      </c>
      <c r="AZ481" s="304">
        <v>0</v>
      </c>
      <c r="BB481" s="304">
        <v>0</v>
      </c>
      <c r="BC481" s="304">
        <v>0</v>
      </c>
      <c r="BE481" s="304">
        <v>0</v>
      </c>
      <c r="BF481" s="304">
        <v>0</v>
      </c>
      <c r="BH481" s="304">
        <v>0</v>
      </c>
      <c r="BI481" s="304">
        <v>0</v>
      </c>
      <c r="BK481" s="304">
        <v>0</v>
      </c>
      <c r="BL481" s="304">
        <v>0</v>
      </c>
      <c r="BN481" s="304">
        <v>0</v>
      </c>
      <c r="BO481" s="304">
        <v>0</v>
      </c>
      <c r="BQ481" s="304">
        <v>0</v>
      </c>
      <c r="BR481" s="304">
        <v>0</v>
      </c>
      <c r="BT481" s="304">
        <v>0</v>
      </c>
      <c r="BU481" s="304">
        <v>0</v>
      </c>
      <c r="BW481" s="304">
        <v>0</v>
      </c>
      <c r="BX481" s="304">
        <v>0</v>
      </c>
      <c r="BZ481" s="304">
        <v>0</v>
      </c>
      <c r="CA481" s="304">
        <v>0</v>
      </c>
      <c r="CC481" s="304">
        <v>0</v>
      </c>
      <c r="CD481" s="304">
        <v>0</v>
      </c>
      <c r="CF481" s="304">
        <v>0</v>
      </c>
      <c r="CG481" s="304">
        <v>0</v>
      </c>
      <c r="CI481" s="267">
        <v>0</v>
      </c>
      <c r="CJ481" s="267">
        <v>0</v>
      </c>
    </row>
    <row r="482" spans="1:88" ht="30" x14ac:dyDescent="0.25">
      <c r="A482" s="107"/>
      <c r="B482" s="16" t="s">
        <v>1819</v>
      </c>
      <c r="C482" s="95"/>
      <c r="D482" s="95"/>
      <c r="E482" s="291"/>
      <c r="F482" s="291"/>
      <c r="G482" s="291"/>
      <c r="H482" s="291"/>
      <c r="I482" s="291">
        <f>SUM(I483:I488)</f>
        <v>428</v>
      </c>
      <c r="J482" s="291">
        <f>SUM(J483:J488)</f>
        <v>425</v>
      </c>
      <c r="K482" s="291">
        <f>SUM(K483:K488)</f>
        <v>404</v>
      </c>
      <c r="L482" s="291">
        <f t="shared" ref="L482:N482" si="665">SUM(L483:L488)</f>
        <v>392</v>
      </c>
      <c r="M482" s="291">
        <f t="shared" si="665"/>
        <v>23</v>
      </c>
      <c r="N482" s="291">
        <f t="shared" si="665"/>
        <v>22</v>
      </c>
      <c r="O482" s="281"/>
      <c r="P482" s="291">
        <f>SUM(P483:P488)</f>
        <v>405</v>
      </c>
      <c r="Q482" s="291">
        <f>SUM(Q483:Q488)</f>
        <v>391</v>
      </c>
      <c r="R482" s="291">
        <f>SUM(R483:R488)</f>
        <v>11</v>
      </c>
      <c r="S482" s="291">
        <f>SUM(S483:S488)</f>
        <v>11</v>
      </c>
      <c r="U482" s="291">
        <f>SUM(U483:U488)</f>
        <v>20</v>
      </c>
      <c r="V482" s="291">
        <f>SUM(V483:V488)</f>
        <v>19</v>
      </c>
      <c r="X482" s="291">
        <f>SUM(X483:X488)</f>
        <v>19</v>
      </c>
      <c r="Y482" s="291">
        <f>SUM(Y483:Y488)</f>
        <v>19</v>
      </c>
      <c r="AA482" s="291">
        <f>SUM(AA483:AA488)</f>
        <v>18</v>
      </c>
      <c r="AB482" s="291">
        <f>SUM(AB483:AB488)</f>
        <v>18</v>
      </c>
      <c r="AD482" s="291">
        <f>SUM(AD483:AD488)</f>
        <v>16</v>
      </c>
      <c r="AE482" s="291">
        <f>SUM(AE483:AE488)</f>
        <v>16</v>
      </c>
      <c r="AG482" s="291">
        <f>SUM(AG483:AG488)</f>
        <v>22</v>
      </c>
      <c r="AH482" s="291">
        <f>SUM(AH483:AH488)</f>
        <v>22</v>
      </c>
      <c r="AJ482" s="291">
        <f>SUM(AJ483:AJ488)</f>
        <v>13</v>
      </c>
      <c r="AK482" s="291">
        <f>SUM(AK483:AK488)</f>
        <v>13</v>
      </c>
      <c r="AM482" s="291">
        <f>SUM(AM483:AM488)</f>
        <v>27</v>
      </c>
      <c r="AN482" s="291">
        <f>SUM(AN483:AN488)</f>
        <v>27</v>
      </c>
      <c r="AP482" s="291">
        <f>SUM(AP483:AP488)</f>
        <v>24</v>
      </c>
      <c r="AQ482" s="291">
        <f>SUM(AQ483:AQ488)</f>
        <v>24</v>
      </c>
      <c r="AS482" s="291">
        <f>SUM(AS483:AS488)</f>
        <v>22</v>
      </c>
      <c r="AT482" s="291">
        <f>SUM(AT483:AT488)</f>
        <v>19</v>
      </c>
      <c r="AV482" s="291">
        <f>SUM(AV483:AV488)</f>
        <v>10</v>
      </c>
      <c r="AW482" s="291">
        <f>SUM(AW483:AW488)</f>
        <v>10</v>
      </c>
      <c r="AY482" s="291">
        <f>SUM(AY483:AY488)</f>
        <v>17</v>
      </c>
      <c r="AZ482" s="291">
        <f>SUM(AZ483:AZ488)</f>
        <v>18</v>
      </c>
      <c r="BB482" s="291">
        <f>SUM(BB483:BB488)</f>
        <v>23</v>
      </c>
      <c r="BC482" s="291">
        <f>SUM(BC483:BC488)</f>
        <v>23</v>
      </c>
      <c r="BE482" s="291">
        <f>SUM(BE483:BE488)</f>
        <v>44</v>
      </c>
      <c r="BF482" s="291">
        <f>SUM(BF483:BF488)</f>
        <v>42</v>
      </c>
      <c r="BH482" s="291">
        <f>SUM(BH483:BH488)</f>
        <v>54</v>
      </c>
      <c r="BI482" s="291">
        <f>SUM(BI483:BI488)</f>
        <v>49</v>
      </c>
      <c r="BK482" s="291">
        <f>SUM(BK483:BK488)</f>
        <v>10</v>
      </c>
      <c r="BL482" s="291">
        <f>SUM(BL483:BL488)</f>
        <v>10</v>
      </c>
      <c r="BN482" s="291">
        <f>SUM(BN483:BN488)</f>
        <v>9</v>
      </c>
      <c r="BO482" s="291">
        <f>SUM(BO483:BO488)</f>
        <v>8</v>
      </c>
      <c r="BQ482" s="291">
        <f>SUM(BQ483:BQ488)</f>
        <v>13</v>
      </c>
      <c r="BR482" s="291">
        <f>SUM(BR483:BR488)</f>
        <v>11</v>
      </c>
      <c r="BT482" s="291">
        <f>SUM(BT483:BT488)</f>
        <v>7</v>
      </c>
      <c r="BU482" s="291">
        <f>SUM(BU483:BU488)</f>
        <v>7</v>
      </c>
      <c r="BW482" s="291">
        <f>SUM(BW483:BW488)</f>
        <v>5</v>
      </c>
      <c r="BX482" s="291">
        <f>SUM(BX483:BX488)</f>
        <v>5</v>
      </c>
      <c r="BZ482" s="291">
        <f>SUM(BZ483:BZ488)</f>
        <v>8</v>
      </c>
      <c r="CA482" s="291">
        <f>SUM(CA483:CA488)</f>
        <v>8</v>
      </c>
      <c r="CC482" s="291">
        <f>SUM(CC483:CC488)</f>
        <v>8</v>
      </c>
      <c r="CD482" s="291">
        <f>SUM(CD483:CD488)</f>
        <v>8</v>
      </c>
      <c r="CF482" s="291">
        <f>SUM(CF483:CF488)</f>
        <v>4</v>
      </c>
      <c r="CG482" s="291">
        <f>SUM(CG483:CG488)</f>
        <v>4</v>
      </c>
      <c r="CI482" s="291">
        <f>SUM(CI483:CI488)</f>
        <v>1</v>
      </c>
      <c r="CJ482" s="291">
        <f>SUM(CJ483:CJ488)</f>
        <v>0</v>
      </c>
    </row>
    <row r="483" spans="1:88" ht="45" x14ac:dyDescent="0.25">
      <c r="A483" s="107"/>
      <c r="B483" s="96" t="s">
        <v>1638</v>
      </c>
      <c r="C483" s="370" t="s">
        <v>1820</v>
      </c>
      <c r="D483" s="95"/>
      <c r="E483" s="291"/>
      <c r="F483" s="291"/>
      <c r="G483" s="291"/>
      <c r="H483" s="291"/>
      <c r="I483" s="291">
        <v>336</v>
      </c>
      <c r="J483" s="291">
        <f t="shared" ref="J483:N487" si="666">I476</f>
        <v>329</v>
      </c>
      <c r="K483" s="291">
        <f t="shared" si="666"/>
        <v>304</v>
      </c>
      <c r="L483" s="291">
        <f t="shared" si="666"/>
        <v>291</v>
      </c>
      <c r="M483" s="291">
        <f t="shared" si="666"/>
        <v>11</v>
      </c>
      <c r="N483" s="291">
        <f t="shared" si="666"/>
        <v>9</v>
      </c>
      <c r="O483" s="281"/>
      <c r="P483" s="283">
        <f t="shared" si="664"/>
        <v>304</v>
      </c>
      <c r="Q483" s="283">
        <f t="shared" si="664"/>
        <v>291</v>
      </c>
      <c r="R483" s="267">
        <v>6</v>
      </c>
      <c r="S483" s="267">
        <f>R476</f>
        <v>6</v>
      </c>
      <c r="U483" s="267">
        <v>13</v>
      </c>
      <c r="V483" s="267">
        <f t="shared" ref="V483:V488" si="667">U476</f>
        <v>10</v>
      </c>
      <c r="X483" s="267">
        <v>10</v>
      </c>
      <c r="Y483" s="267">
        <f t="shared" ref="Y483:Y488" si="668">X476</f>
        <v>10</v>
      </c>
      <c r="AA483" s="267">
        <v>13</v>
      </c>
      <c r="AB483" s="267">
        <f t="shared" ref="AB483:AB488" si="669">AA476</f>
        <v>13</v>
      </c>
      <c r="AD483" s="267">
        <v>6</v>
      </c>
      <c r="AE483" s="267">
        <f t="shared" ref="AE483:AE488" si="670">AD476</f>
        <v>6</v>
      </c>
      <c r="AG483" s="267">
        <v>13</v>
      </c>
      <c r="AH483" s="267">
        <f t="shared" ref="AH483:AH488" si="671">AG476</f>
        <v>11</v>
      </c>
      <c r="AJ483" s="267">
        <v>10</v>
      </c>
      <c r="AK483" s="267">
        <f t="shared" ref="AK483:AK488" si="672">AJ476</f>
        <v>10</v>
      </c>
      <c r="AM483" s="267">
        <v>20</v>
      </c>
      <c r="AN483" s="267">
        <f t="shared" ref="AN483:AN488" si="673">AM476</f>
        <v>20</v>
      </c>
      <c r="AP483" s="267">
        <v>13</v>
      </c>
      <c r="AQ483" s="267">
        <f t="shared" ref="AQ483:AQ488" si="674">AP476</f>
        <v>13</v>
      </c>
      <c r="AS483" s="267">
        <v>18</v>
      </c>
      <c r="AT483" s="267">
        <f t="shared" ref="AT483:AT488" si="675">AS476</f>
        <v>18</v>
      </c>
      <c r="AV483" s="267">
        <v>10</v>
      </c>
      <c r="AW483" s="267">
        <f t="shared" ref="AW483:AW488" si="676">AV476</f>
        <v>10</v>
      </c>
      <c r="AY483" s="267">
        <v>13</v>
      </c>
      <c r="AZ483" s="267">
        <f t="shared" ref="AZ483:AZ488" si="677">AY476</f>
        <v>14</v>
      </c>
      <c r="BB483" s="267">
        <v>16</v>
      </c>
      <c r="BC483" s="267">
        <f t="shared" ref="BC483:BC488" si="678">BB476</f>
        <v>16</v>
      </c>
      <c r="BE483" s="267">
        <v>43</v>
      </c>
      <c r="BF483" s="267">
        <f t="shared" ref="BF483:BF488" si="679">BE476</f>
        <v>41</v>
      </c>
      <c r="BH483" s="267">
        <v>48</v>
      </c>
      <c r="BI483" s="267">
        <f t="shared" ref="BI483:BI488" si="680">BH476</f>
        <v>44</v>
      </c>
      <c r="BK483" s="267">
        <v>10</v>
      </c>
      <c r="BL483" s="267">
        <f t="shared" ref="BL483:BL488" si="681">BK476</f>
        <v>10</v>
      </c>
      <c r="BN483" s="267">
        <v>9</v>
      </c>
      <c r="BO483" s="267">
        <f t="shared" ref="BO483:BO488" si="682">BN476</f>
        <v>8</v>
      </c>
      <c r="BQ483" s="267">
        <v>11</v>
      </c>
      <c r="BR483" s="267">
        <f t="shared" ref="BR483:BR488" si="683">BQ476</f>
        <v>9</v>
      </c>
      <c r="BT483" s="267">
        <v>7</v>
      </c>
      <c r="BU483" s="267">
        <f t="shared" ref="BU483:BU488" si="684">BT476</f>
        <v>7</v>
      </c>
      <c r="BW483" s="267">
        <v>5</v>
      </c>
      <c r="BX483" s="267">
        <f t="shared" ref="BX483:BX488" si="685">BW476</f>
        <v>5</v>
      </c>
      <c r="BZ483" s="267">
        <v>7</v>
      </c>
      <c r="CA483" s="267">
        <f t="shared" ref="CA483:CA488" si="686">BZ476</f>
        <v>7</v>
      </c>
      <c r="CC483" s="267">
        <v>3</v>
      </c>
      <c r="CD483" s="267">
        <f t="shared" ref="CD483:CD488" si="687">CC476</f>
        <v>3</v>
      </c>
      <c r="CF483" s="267">
        <v>0</v>
      </c>
      <c r="CG483" s="267">
        <f t="shared" ref="CG483:CG488" si="688">CF476</f>
        <v>0</v>
      </c>
      <c r="CI483" s="267">
        <v>0</v>
      </c>
      <c r="CJ483" s="267">
        <f t="shared" ref="CJ483:CJ488" si="689">CI476</f>
        <v>0</v>
      </c>
    </row>
    <row r="484" spans="1:88" ht="45" x14ac:dyDescent="0.25">
      <c r="A484" s="107"/>
      <c r="B484" s="96" t="s">
        <v>1639</v>
      </c>
      <c r="C484" s="370" t="s">
        <v>1821</v>
      </c>
      <c r="D484" s="95"/>
      <c r="E484" s="291"/>
      <c r="F484" s="291"/>
      <c r="G484" s="291"/>
      <c r="H484" s="291"/>
      <c r="I484" s="291">
        <v>5</v>
      </c>
      <c r="J484" s="291">
        <f t="shared" si="666"/>
        <v>7</v>
      </c>
      <c r="K484" s="291">
        <f t="shared" si="666"/>
        <v>9</v>
      </c>
      <c r="L484" s="291">
        <f t="shared" si="666"/>
        <v>5</v>
      </c>
      <c r="M484" s="291">
        <f t="shared" si="666"/>
        <v>0</v>
      </c>
      <c r="N484" s="291">
        <f t="shared" si="666"/>
        <v>0</v>
      </c>
      <c r="O484" s="281"/>
      <c r="P484" s="283">
        <f t="shared" si="664"/>
        <v>9</v>
      </c>
      <c r="Q484" s="283">
        <f t="shared" si="664"/>
        <v>5</v>
      </c>
      <c r="R484" s="267">
        <v>0</v>
      </c>
      <c r="S484" s="267">
        <f t="shared" ref="S484:S488" si="690">R477</f>
        <v>0</v>
      </c>
      <c r="U484" s="267">
        <v>0</v>
      </c>
      <c r="V484" s="267">
        <f t="shared" si="667"/>
        <v>0</v>
      </c>
      <c r="X484" s="267">
        <v>0</v>
      </c>
      <c r="Y484" s="267">
        <f t="shared" si="668"/>
        <v>0</v>
      </c>
      <c r="AA484" s="267">
        <v>0</v>
      </c>
      <c r="AB484" s="267">
        <f t="shared" si="669"/>
        <v>0</v>
      </c>
      <c r="AD484" s="267">
        <v>0</v>
      </c>
      <c r="AE484" s="267">
        <f t="shared" si="670"/>
        <v>0</v>
      </c>
      <c r="AG484" s="267">
        <v>0</v>
      </c>
      <c r="AH484" s="267">
        <f t="shared" si="671"/>
        <v>0</v>
      </c>
      <c r="AJ484" s="267">
        <v>3</v>
      </c>
      <c r="AK484" s="267">
        <f t="shared" si="672"/>
        <v>3</v>
      </c>
      <c r="AM484" s="267">
        <v>4</v>
      </c>
      <c r="AN484" s="267">
        <f t="shared" si="673"/>
        <v>2</v>
      </c>
      <c r="AP484" s="267">
        <v>0</v>
      </c>
      <c r="AQ484" s="267">
        <f t="shared" si="674"/>
        <v>0</v>
      </c>
      <c r="AS484" s="267">
        <v>2</v>
      </c>
      <c r="AT484" s="267">
        <f t="shared" si="675"/>
        <v>0</v>
      </c>
      <c r="AV484" s="267">
        <v>0</v>
      </c>
      <c r="AW484" s="267">
        <f t="shared" si="676"/>
        <v>0</v>
      </c>
      <c r="AY484" s="267">
        <v>0</v>
      </c>
      <c r="AZ484" s="267">
        <f t="shared" si="677"/>
        <v>0</v>
      </c>
      <c r="BB484" s="267">
        <v>0</v>
      </c>
      <c r="BC484" s="267">
        <f t="shared" si="678"/>
        <v>0</v>
      </c>
      <c r="BE484" s="267">
        <v>0</v>
      </c>
      <c r="BF484" s="267">
        <f t="shared" si="679"/>
        <v>0</v>
      </c>
      <c r="BH484" s="267">
        <v>0</v>
      </c>
      <c r="BI484" s="267">
        <f t="shared" si="680"/>
        <v>0</v>
      </c>
      <c r="BK484" s="267">
        <v>0</v>
      </c>
      <c r="BL484" s="267">
        <f t="shared" si="681"/>
        <v>0</v>
      </c>
      <c r="BN484" s="267">
        <v>0</v>
      </c>
      <c r="BO484" s="267">
        <f t="shared" si="682"/>
        <v>0</v>
      </c>
      <c r="BQ484" s="267">
        <v>0</v>
      </c>
      <c r="BR484" s="267">
        <f t="shared" si="683"/>
        <v>0</v>
      </c>
      <c r="BT484" s="267">
        <v>0</v>
      </c>
      <c r="BU484" s="267">
        <f t="shared" si="684"/>
        <v>0</v>
      </c>
      <c r="BW484" s="267">
        <v>0</v>
      </c>
      <c r="BX484" s="267">
        <f t="shared" si="685"/>
        <v>0</v>
      </c>
      <c r="BZ484" s="267">
        <v>0</v>
      </c>
      <c r="CA484" s="267">
        <f t="shared" si="686"/>
        <v>0</v>
      </c>
      <c r="CC484" s="267">
        <v>0</v>
      </c>
      <c r="CD484" s="267">
        <f t="shared" si="687"/>
        <v>0</v>
      </c>
      <c r="CF484" s="267">
        <v>0</v>
      </c>
      <c r="CG484" s="267">
        <f t="shared" si="688"/>
        <v>0</v>
      </c>
      <c r="CI484" s="267">
        <v>0</v>
      </c>
      <c r="CJ484" s="267">
        <f t="shared" si="689"/>
        <v>0</v>
      </c>
    </row>
    <row r="485" spans="1:88" ht="45" x14ac:dyDescent="0.25">
      <c r="A485" s="107"/>
      <c r="B485" s="96" t="s">
        <v>1640</v>
      </c>
      <c r="C485" s="370" t="s">
        <v>1822</v>
      </c>
      <c r="D485" s="95"/>
      <c r="E485" s="291"/>
      <c r="F485" s="291"/>
      <c r="G485" s="291"/>
      <c r="H485" s="291"/>
      <c r="I485" s="291">
        <v>7</v>
      </c>
      <c r="J485" s="291">
        <f t="shared" si="666"/>
        <v>5</v>
      </c>
      <c r="K485" s="291">
        <f t="shared" si="666"/>
        <v>5</v>
      </c>
      <c r="L485" s="291">
        <f t="shared" si="666"/>
        <v>6</v>
      </c>
      <c r="M485" s="291">
        <f t="shared" si="666"/>
        <v>0</v>
      </c>
      <c r="N485" s="291">
        <f t="shared" si="666"/>
        <v>0</v>
      </c>
      <c r="O485" s="281"/>
      <c r="P485" s="283">
        <f t="shared" si="664"/>
        <v>5</v>
      </c>
      <c r="Q485" s="283">
        <f t="shared" si="664"/>
        <v>6</v>
      </c>
      <c r="R485" s="267">
        <v>0</v>
      </c>
      <c r="S485" s="267">
        <f t="shared" si="690"/>
        <v>0</v>
      </c>
      <c r="U485" s="267">
        <v>3</v>
      </c>
      <c r="V485" s="267">
        <f t="shared" si="667"/>
        <v>3</v>
      </c>
      <c r="X485" s="267">
        <v>0</v>
      </c>
      <c r="Y485" s="267">
        <f t="shared" si="668"/>
        <v>0</v>
      </c>
      <c r="AA485" s="267">
        <v>0</v>
      </c>
      <c r="AB485" s="267">
        <f t="shared" si="669"/>
        <v>0</v>
      </c>
      <c r="AD485" s="267">
        <v>0</v>
      </c>
      <c r="AE485" s="267">
        <f t="shared" si="670"/>
        <v>0</v>
      </c>
      <c r="AG485" s="267">
        <v>0</v>
      </c>
      <c r="AH485" s="267">
        <f t="shared" si="671"/>
        <v>0</v>
      </c>
      <c r="AJ485" s="267">
        <v>0</v>
      </c>
      <c r="AK485" s="267">
        <f t="shared" si="672"/>
        <v>0</v>
      </c>
      <c r="AM485" s="267">
        <v>2</v>
      </c>
      <c r="AN485" s="267">
        <f t="shared" si="673"/>
        <v>3</v>
      </c>
      <c r="AP485" s="267">
        <v>0</v>
      </c>
      <c r="AQ485" s="267">
        <f t="shared" si="674"/>
        <v>0</v>
      </c>
      <c r="AS485" s="267">
        <v>0</v>
      </c>
      <c r="AT485" s="267">
        <f t="shared" si="675"/>
        <v>0</v>
      </c>
      <c r="AV485" s="267">
        <v>0</v>
      </c>
      <c r="AW485" s="267">
        <f t="shared" si="676"/>
        <v>0</v>
      </c>
      <c r="AY485" s="267">
        <v>0</v>
      </c>
      <c r="AZ485" s="267">
        <f t="shared" si="677"/>
        <v>0</v>
      </c>
      <c r="BB485" s="267">
        <v>0</v>
      </c>
      <c r="BC485" s="267">
        <f t="shared" si="678"/>
        <v>0</v>
      </c>
      <c r="BE485" s="267">
        <v>0</v>
      </c>
      <c r="BF485" s="267">
        <f t="shared" si="679"/>
        <v>0</v>
      </c>
      <c r="BH485" s="267">
        <v>0</v>
      </c>
      <c r="BI485" s="267">
        <f t="shared" si="680"/>
        <v>0</v>
      </c>
      <c r="BK485" s="267">
        <v>0</v>
      </c>
      <c r="BL485" s="267">
        <f t="shared" si="681"/>
        <v>0</v>
      </c>
      <c r="BN485" s="267">
        <v>0</v>
      </c>
      <c r="BO485" s="267">
        <f t="shared" si="682"/>
        <v>0</v>
      </c>
      <c r="BQ485" s="267">
        <v>0</v>
      </c>
      <c r="BR485" s="267">
        <f t="shared" si="683"/>
        <v>0</v>
      </c>
      <c r="BT485" s="267">
        <v>0</v>
      </c>
      <c r="BU485" s="267">
        <f t="shared" si="684"/>
        <v>0</v>
      </c>
      <c r="BW485" s="267">
        <v>0</v>
      </c>
      <c r="BX485" s="267">
        <f t="shared" si="685"/>
        <v>0</v>
      </c>
      <c r="BZ485" s="267">
        <v>0</v>
      </c>
      <c r="CA485" s="267">
        <f t="shared" si="686"/>
        <v>0</v>
      </c>
      <c r="CC485" s="267">
        <v>0</v>
      </c>
      <c r="CD485" s="267">
        <f t="shared" si="687"/>
        <v>0</v>
      </c>
      <c r="CF485" s="267">
        <v>0</v>
      </c>
      <c r="CG485" s="267">
        <f t="shared" si="688"/>
        <v>0</v>
      </c>
      <c r="CI485" s="267">
        <v>0</v>
      </c>
      <c r="CJ485" s="267">
        <f t="shared" si="689"/>
        <v>0</v>
      </c>
    </row>
    <row r="486" spans="1:88" ht="45" x14ac:dyDescent="0.25">
      <c r="A486" s="107"/>
      <c r="B486" s="96" t="s">
        <v>1641</v>
      </c>
      <c r="C486" s="370" t="s">
        <v>1823</v>
      </c>
      <c r="D486" s="95"/>
      <c r="E486" s="291"/>
      <c r="F486" s="291"/>
      <c r="G486" s="291"/>
      <c r="H486" s="291"/>
      <c r="I486" s="291">
        <v>79</v>
      </c>
      <c r="J486" s="291">
        <f t="shared" si="666"/>
        <v>83</v>
      </c>
      <c r="K486" s="291">
        <f t="shared" si="666"/>
        <v>84</v>
      </c>
      <c r="L486" s="291">
        <f t="shared" si="666"/>
        <v>89</v>
      </c>
      <c r="M486" s="291">
        <f t="shared" si="666"/>
        <v>11</v>
      </c>
      <c r="N486" s="291">
        <f t="shared" si="666"/>
        <v>12</v>
      </c>
      <c r="O486" s="281"/>
      <c r="P486" s="283">
        <f t="shared" si="664"/>
        <v>84</v>
      </c>
      <c r="Q486" s="283">
        <f t="shared" si="664"/>
        <v>89</v>
      </c>
      <c r="R486" s="267">
        <v>5</v>
      </c>
      <c r="S486" s="267">
        <f t="shared" si="690"/>
        <v>5</v>
      </c>
      <c r="U486" s="267">
        <v>4</v>
      </c>
      <c r="V486" s="267">
        <f t="shared" si="667"/>
        <v>6</v>
      </c>
      <c r="X486" s="267">
        <v>9</v>
      </c>
      <c r="Y486" s="267">
        <f t="shared" si="668"/>
        <v>9</v>
      </c>
      <c r="AA486" s="267">
        <v>5</v>
      </c>
      <c r="AB486" s="267">
        <f t="shared" si="669"/>
        <v>5</v>
      </c>
      <c r="AD486" s="267">
        <v>10</v>
      </c>
      <c r="AE486" s="267">
        <f t="shared" si="670"/>
        <v>10</v>
      </c>
      <c r="AG486" s="267">
        <v>9</v>
      </c>
      <c r="AH486" s="267">
        <f t="shared" si="671"/>
        <v>11</v>
      </c>
      <c r="AJ486" s="267">
        <v>0</v>
      </c>
      <c r="AK486" s="267">
        <f t="shared" si="672"/>
        <v>0</v>
      </c>
      <c r="AM486" s="267">
        <v>1</v>
      </c>
      <c r="AN486" s="267">
        <f t="shared" si="673"/>
        <v>2</v>
      </c>
      <c r="AP486" s="267">
        <v>11</v>
      </c>
      <c r="AQ486" s="267">
        <f t="shared" si="674"/>
        <v>11</v>
      </c>
      <c r="AS486" s="267">
        <v>1</v>
      </c>
      <c r="AT486" s="267">
        <f t="shared" si="675"/>
        <v>1</v>
      </c>
      <c r="AV486" s="267">
        <v>0</v>
      </c>
      <c r="AW486" s="267">
        <f t="shared" si="676"/>
        <v>0</v>
      </c>
      <c r="AY486" s="267">
        <v>4</v>
      </c>
      <c r="AZ486" s="267">
        <f t="shared" si="677"/>
        <v>4</v>
      </c>
      <c r="BB486" s="267">
        <v>7</v>
      </c>
      <c r="BC486" s="267">
        <f t="shared" si="678"/>
        <v>7</v>
      </c>
      <c r="BE486" s="267">
        <v>1</v>
      </c>
      <c r="BF486" s="267">
        <f t="shared" si="679"/>
        <v>1</v>
      </c>
      <c r="BH486" s="267">
        <v>5</v>
      </c>
      <c r="BI486" s="267">
        <f t="shared" si="680"/>
        <v>5</v>
      </c>
      <c r="BK486" s="267">
        <v>0</v>
      </c>
      <c r="BL486" s="267">
        <f t="shared" si="681"/>
        <v>0</v>
      </c>
      <c r="BN486" s="267">
        <v>0</v>
      </c>
      <c r="BO486" s="267">
        <f t="shared" si="682"/>
        <v>0</v>
      </c>
      <c r="BQ486" s="267">
        <v>2</v>
      </c>
      <c r="BR486" s="267">
        <f t="shared" si="683"/>
        <v>2</v>
      </c>
      <c r="BT486" s="267">
        <v>0</v>
      </c>
      <c r="BU486" s="267">
        <f t="shared" si="684"/>
        <v>0</v>
      </c>
      <c r="BW486" s="267">
        <v>0</v>
      </c>
      <c r="BX486" s="267">
        <f t="shared" si="685"/>
        <v>0</v>
      </c>
      <c r="BZ486" s="267">
        <v>1</v>
      </c>
      <c r="CA486" s="267">
        <f t="shared" si="686"/>
        <v>1</v>
      </c>
      <c r="CC486" s="267">
        <v>5</v>
      </c>
      <c r="CD486" s="267">
        <f t="shared" si="687"/>
        <v>5</v>
      </c>
      <c r="CF486" s="267">
        <v>4</v>
      </c>
      <c r="CG486" s="267">
        <f t="shared" si="688"/>
        <v>4</v>
      </c>
      <c r="CI486" s="267">
        <v>0</v>
      </c>
      <c r="CJ486" s="267">
        <f t="shared" si="689"/>
        <v>0</v>
      </c>
    </row>
    <row r="487" spans="1:88" ht="45" x14ac:dyDescent="0.25">
      <c r="A487" s="107"/>
      <c r="B487" s="96" t="s">
        <v>1642</v>
      </c>
      <c r="C487" s="370" t="s">
        <v>2856</v>
      </c>
      <c r="D487" s="95"/>
      <c r="E487" s="291"/>
      <c r="F487" s="291"/>
      <c r="G487" s="291"/>
      <c r="H487" s="291"/>
      <c r="I487" s="291">
        <v>0</v>
      </c>
      <c r="J487" s="291">
        <f t="shared" si="666"/>
        <v>0</v>
      </c>
      <c r="K487" s="291">
        <f t="shared" si="666"/>
        <v>1</v>
      </c>
      <c r="L487" s="291">
        <f t="shared" si="666"/>
        <v>0</v>
      </c>
      <c r="M487" s="291">
        <f t="shared" si="666"/>
        <v>0</v>
      </c>
      <c r="N487" s="291">
        <f t="shared" si="666"/>
        <v>0</v>
      </c>
      <c r="O487" s="281"/>
      <c r="P487" s="283">
        <f t="shared" si="664"/>
        <v>1</v>
      </c>
      <c r="Q487" s="283">
        <f t="shared" si="664"/>
        <v>0</v>
      </c>
      <c r="R487" s="267">
        <v>0</v>
      </c>
      <c r="S487" s="267">
        <f t="shared" si="690"/>
        <v>0</v>
      </c>
      <c r="U487" s="267">
        <v>0</v>
      </c>
      <c r="V487" s="267">
        <f t="shared" si="667"/>
        <v>0</v>
      </c>
      <c r="X487" s="267">
        <v>0</v>
      </c>
      <c r="Y487" s="267">
        <f t="shared" si="668"/>
        <v>0</v>
      </c>
      <c r="AA487" s="267">
        <v>0</v>
      </c>
      <c r="AB487" s="267">
        <f t="shared" si="669"/>
        <v>0</v>
      </c>
      <c r="AD487" s="267">
        <v>0</v>
      </c>
      <c r="AE487" s="267">
        <f t="shared" si="670"/>
        <v>0</v>
      </c>
      <c r="AG487" s="267">
        <v>0</v>
      </c>
      <c r="AH487" s="267">
        <f t="shared" si="671"/>
        <v>0</v>
      </c>
      <c r="AJ487" s="267">
        <v>0</v>
      </c>
      <c r="AK487" s="267">
        <f t="shared" si="672"/>
        <v>0</v>
      </c>
      <c r="AM487" s="267">
        <v>0</v>
      </c>
      <c r="AN487" s="267">
        <f t="shared" si="673"/>
        <v>0</v>
      </c>
      <c r="AP487" s="267">
        <v>0</v>
      </c>
      <c r="AQ487" s="267">
        <f t="shared" si="674"/>
        <v>0</v>
      </c>
      <c r="AS487" s="267">
        <v>0</v>
      </c>
      <c r="AT487" s="267">
        <f t="shared" si="675"/>
        <v>0</v>
      </c>
      <c r="AV487" s="267">
        <v>0</v>
      </c>
      <c r="AW487" s="267">
        <f t="shared" si="676"/>
        <v>0</v>
      </c>
      <c r="AY487" s="267">
        <v>0</v>
      </c>
      <c r="AZ487" s="267">
        <f t="shared" si="677"/>
        <v>0</v>
      </c>
      <c r="BB487" s="267">
        <v>0</v>
      </c>
      <c r="BC487" s="267">
        <f t="shared" si="678"/>
        <v>0</v>
      </c>
      <c r="BE487" s="267">
        <v>0</v>
      </c>
      <c r="BF487" s="267">
        <f t="shared" si="679"/>
        <v>0</v>
      </c>
      <c r="BH487" s="267">
        <v>1</v>
      </c>
      <c r="BI487" s="267">
        <f t="shared" si="680"/>
        <v>0</v>
      </c>
      <c r="BK487" s="267">
        <v>0</v>
      </c>
      <c r="BL487" s="267">
        <f t="shared" si="681"/>
        <v>0</v>
      </c>
      <c r="BN487" s="267">
        <v>0</v>
      </c>
      <c r="BO487" s="267">
        <f t="shared" si="682"/>
        <v>0</v>
      </c>
      <c r="BQ487" s="267">
        <v>0</v>
      </c>
      <c r="BR487" s="267">
        <f t="shared" si="683"/>
        <v>0</v>
      </c>
      <c r="BT487" s="267">
        <v>0</v>
      </c>
      <c r="BU487" s="267">
        <f t="shared" si="684"/>
        <v>0</v>
      </c>
      <c r="BW487" s="267">
        <v>0</v>
      </c>
      <c r="BX487" s="267">
        <f t="shared" si="685"/>
        <v>0</v>
      </c>
      <c r="BZ487" s="267">
        <v>0</v>
      </c>
      <c r="CA487" s="267">
        <f t="shared" si="686"/>
        <v>0</v>
      </c>
      <c r="CC487" s="267">
        <v>0</v>
      </c>
      <c r="CD487" s="267">
        <f t="shared" si="687"/>
        <v>0</v>
      </c>
      <c r="CF487" s="267">
        <v>0</v>
      </c>
      <c r="CG487" s="267">
        <f t="shared" si="688"/>
        <v>0</v>
      </c>
      <c r="CI487" s="267">
        <v>0</v>
      </c>
      <c r="CJ487" s="267">
        <f t="shared" si="689"/>
        <v>0</v>
      </c>
    </row>
    <row r="488" spans="1:88" ht="45" x14ac:dyDescent="0.25">
      <c r="A488" s="107"/>
      <c r="B488" s="96" t="s">
        <v>1643</v>
      </c>
      <c r="C488" s="370" t="s">
        <v>1824</v>
      </c>
      <c r="D488" s="95"/>
      <c r="E488" s="291"/>
      <c r="F488" s="291"/>
      <c r="G488" s="291"/>
      <c r="H488" s="291"/>
      <c r="I488" s="291">
        <v>1</v>
      </c>
      <c r="J488" s="291">
        <v>1</v>
      </c>
      <c r="K488" s="291">
        <v>1</v>
      </c>
      <c r="L488" s="291">
        <v>1</v>
      </c>
      <c r="M488" s="291">
        <v>1</v>
      </c>
      <c r="N488" s="291">
        <v>1</v>
      </c>
      <c r="O488" s="281"/>
      <c r="P488" s="283">
        <f t="shared" si="664"/>
        <v>2</v>
      </c>
      <c r="Q488" s="283">
        <f t="shared" si="664"/>
        <v>0</v>
      </c>
      <c r="R488" s="267">
        <v>0</v>
      </c>
      <c r="S488" s="267">
        <f t="shared" si="690"/>
        <v>0</v>
      </c>
      <c r="U488" s="267">
        <v>0</v>
      </c>
      <c r="V488" s="267">
        <f t="shared" si="667"/>
        <v>0</v>
      </c>
      <c r="X488" s="267">
        <v>0</v>
      </c>
      <c r="Y488" s="267">
        <f t="shared" si="668"/>
        <v>0</v>
      </c>
      <c r="AA488" s="267">
        <v>0</v>
      </c>
      <c r="AB488" s="267">
        <f t="shared" si="669"/>
        <v>0</v>
      </c>
      <c r="AD488" s="267">
        <v>0</v>
      </c>
      <c r="AE488" s="267">
        <f t="shared" si="670"/>
        <v>0</v>
      </c>
      <c r="AG488" s="267">
        <v>0</v>
      </c>
      <c r="AH488" s="267">
        <f t="shared" si="671"/>
        <v>0</v>
      </c>
      <c r="AJ488" s="267">
        <v>0</v>
      </c>
      <c r="AK488" s="267">
        <f t="shared" si="672"/>
        <v>0</v>
      </c>
      <c r="AM488" s="267">
        <v>0</v>
      </c>
      <c r="AN488" s="267">
        <f t="shared" si="673"/>
        <v>0</v>
      </c>
      <c r="AP488" s="267">
        <v>0</v>
      </c>
      <c r="AQ488" s="267">
        <f t="shared" si="674"/>
        <v>0</v>
      </c>
      <c r="AS488" s="267">
        <v>1</v>
      </c>
      <c r="AT488" s="267">
        <f t="shared" si="675"/>
        <v>0</v>
      </c>
      <c r="AV488" s="267">
        <v>0</v>
      </c>
      <c r="AW488" s="267">
        <f t="shared" si="676"/>
        <v>0</v>
      </c>
      <c r="AY488" s="267">
        <v>0</v>
      </c>
      <c r="AZ488" s="267">
        <f t="shared" si="677"/>
        <v>0</v>
      </c>
      <c r="BB488" s="267">
        <v>0</v>
      </c>
      <c r="BC488" s="267">
        <f t="shared" si="678"/>
        <v>0</v>
      </c>
      <c r="BE488" s="267">
        <v>0</v>
      </c>
      <c r="BF488" s="267">
        <f t="shared" si="679"/>
        <v>0</v>
      </c>
      <c r="BH488" s="267">
        <v>0</v>
      </c>
      <c r="BI488" s="267">
        <f t="shared" si="680"/>
        <v>0</v>
      </c>
      <c r="BK488" s="267">
        <v>0</v>
      </c>
      <c r="BL488" s="267">
        <f t="shared" si="681"/>
        <v>0</v>
      </c>
      <c r="BN488" s="267">
        <v>0</v>
      </c>
      <c r="BO488" s="267">
        <f t="shared" si="682"/>
        <v>0</v>
      </c>
      <c r="BQ488" s="267">
        <v>0</v>
      </c>
      <c r="BR488" s="267">
        <f t="shared" si="683"/>
        <v>0</v>
      </c>
      <c r="BT488" s="267">
        <v>0</v>
      </c>
      <c r="BU488" s="267">
        <f t="shared" si="684"/>
        <v>0</v>
      </c>
      <c r="BW488" s="267">
        <v>0</v>
      </c>
      <c r="BX488" s="267">
        <f t="shared" si="685"/>
        <v>0</v>
      </c>
      <c r="BZ488" s="267">
        <v>0</v>
      </c>
      <c r="CA488" s="267">
        <f t="shared" si="686"/>
        <v>0</v>
      </c>
      <c r="CC488" s="267">
        <v>0</v>
      </c>
      <c r="CD488" s="267">
        <f t="shared" si="687"/>
        <v>0</v>
      </c>
      <c r="CF488" s="267">
        <v>0</v>
      </c>
      <c r="CG488" s="267">
        <f t="shared" si="688"/>
        <v>0</v>
      </c>
      <c r="CI488" s="267">
        <v>1</v>
      </c>
      <c r="CJ488" s="267">
        <f t="shared" si="689"/>
        <v>0</v>
      </c>
    </row>
    <row r="489" spans="1:88" ht="30" x14ac:dyDescent="0.25">
      <c r="A489" s="105" t="s">
        <v>104</v>
      </c>
      <c r="B489" s="290" t="s">
        <v>103</v>
      </c>
      <c r="C489" s="107"/>
      <c r="D489" s="107"/>
      <c r="E489" s="107"/>
      <c r="F489" s="107"/>
      <c r="G489" s="107"/>
      <c r="H489" s="107"/>
      <c r="I489" s="107"/>
      <c r="J489" s="107"/>
      <c r="K489" s="107"/>
      <c r="L489" s="107"/>
      <c r="M489" s="107"/>
      <c r="N489" s="107"/>
    </row>
    <row r="490" spans="1:88" ht="60" hidden="1" x14ac:dyDescent="0.25">
      <c r="A490" s="101" t="s">
        <v>106</v>
      </c>
      <c r="B490" s="91" t="s">
        <v>105</v>
      </c>
      <c r="C490" s="101" t="s">
        <v>1210</v>
      </c>
      <c r="D490" s="101" t="s">
        <v>1114</v>
      </c>
      <c r="E490" s="293"/>
      <c r="F490" s="293"/>
      <c r="G490" s="293"/>
      <c r="H490" s="293"/>
      <c r="I490" s="293"/>
      <c r="J490" s="293"/>
      <c r="K490" s="293"/>
      <c r="L490" s="293"/>
      <c r="M490" s="293"/>
      <c r="N490" s="293"/>
      <c r="O490" s="281" t="s">
        <v>1160</v>
      </c>
      <c r="S490" s="373" t="s">
        <v>1421</v>
      </c>
      <c r="T490" s="373" t="s">
        <v>1422</v>
      </c>
      <c r="U490" s="373" t="s">
        <v>1423</v>
      </c>
      <c r="V490" s="373" t="s">
        <v>1424</v>
      </c>
      <c r="W490" s="373" t="s">
        <v>1425</v>
      </c>
      <c r="X490" s="373" t="s">
        <v>1426</v>
      </c>
      <c r="Y490" s="373" t="s">
        <v>1427</v>
      </c>
      <c r="Z490" s="373" t="s">
        <v>1428</v>
      </c>
      <c r="AA490" s="373" t="s">
        <v>1429</v>
      </c>
      <c r="AB490" s="373" t="s">
        <v>1430</v>
      </c>
      <c r="AC490" s="373" t="s">
        <v>1431</v>
      </c>
      <c r="AD490" s="374" t="s">
        <v>1432</v>
      </c>
      <c r="AE490" s="374" t="s">
        <v>1433</v>
      </c>
      <c r="AF490" s="374" t="s">
        <v>1434</v>
      </c>
      <c r="AG490" s="374" t="s">
        <v>1435</v>
      </c>
      <c r="AH490" s="373" t="s">
        <v>1436</v>
      </c>
      <c r="AI490" s="373" t="s">
        <v>1437</v>
      </c>
      <c r="AJ490" s="373" t="s">
        <v>1438</v>
      </c>
      <c r="AK490" s="373" t="s">
        <v>1439</v>
      </c>
      <c r="AL490" s="373" t="s">
        <v>1440</v>
      </c>
      <c r="AM490" s="373" t="s">
        <v>1441</v>
      </c>
      <c r="AN490" s="373" t="s">
        <v>1442</v>
      </c>
    </row>
    <row r="491" spans="1:88" hidden="1" x14ac:dyDescent="0.25">
      <c r="A491" s="101"/>
      <c r="B491" s="91" t="s">
        <v>1182</v>
      </c>
      <c r="C491" s="101"/>
      <c r="D491" s="101"/>
      <c r="E491" s="293" t="e">
        <f>E494/E497*100</f>
        <v>#DIV/0!</v>
      </c>
      <c r="F491" s="293">
        <f t="shared" ref="F491:N492" si="691">F494/F497</f>
        <v>198.21999632044808</v>
      </c>
      <c r="G491" s="293">
        <v>196.18</v>
      </c>
      <c r="H491" s="293">
        <f t="shared" si="691"/>
        <v>207.01932007225892</v>
      </c>
      <c r="I491" s="293" t="e">
        <f t="shared" si="691"/>
        <v>#DIV/0!</v>
      </c>
      <c r="J491" s="293" t="e">
        <f t="shared" si="691"/>
        <v>#DIV/0!</v>
      </c>
      <c r="K491" s="293" t="e">
        <f t="shared" si="691"/>
        <v>#DIV/0!</v>
      </c>
      <c r="L491" s="293" t="e">
        <f t="shared" si="691"/>
        <v>#DIV/0!</v>
      </c>
      <c r="M491" s="293" t="e">
        <f t="shared" si="691"/>
        <v>#DIV/0!</v>
      </c>
      <c r="N491" s="293" t="e">
        <f t="shared" si="691"/>
        <v>#DIV/0!</v>
      </c>
      <c r="O491" s="281"/>
    </row>
    <row r="492" spans="1:88" hidden="1" x14ac:dyDescent="0.25">
      <c r="A492" s="101"/>
      <c r="B492" s="91" t="s">
        <v>1184</v>
      </c>
      <c r="C492" s="101"/>
      <c r="D492" s="101"/>
      <c r="E492" s="293" t="e">
        <f>E495/E498*100</f>
        <v>#DIV/0!</v>
      </c>
      <c r="F492" s="293">
        <f t="shared" si="691"/>
        <v>91.130536130536129</v>
      </c>
      <c r="G492" s="293">
        <f t="shared" si="691"/>
        <v>167.58196721311475</v>
      </c>
      <c r="H492" s="293" t="e">
        <f t="shared" si="691"/>
        <v>#DIV/0!</v>
      </c>
      <c r="I492" s="293" t="e">
        <f t="shared" si="691"/>
        <v>#DIV/0!</v>
      </c>
      <c r="J492" s="293" t="e">
        <f t="shared" si="691"/>
        <v>#DIV/0!</v>
      </c>
      <c r="K492" s="293" t="e">
        <f t="shared" si="691"/>
        <v>#DIV/0!</v>
      </c>
      <c r="L492" s="293" t="e">
        <f t="shared" si="691"/>
        <v>#DIV/0!</v>
      </c>
      <c r="M492" s="293" t="e">
        <f t="shared" si="691"/>
        <v>#DIV/0!</v>
      </c>
      <c r="N492" s="293" t="e">
        <f t="shared" si="691"/>
        <v>#DIV/0!</v>
      </c>
      <c r="O492" s="281"/>
    </row>
    <row r="493" spans="1:88" ht="30" hidden="1" x14ac:dyDescent="0.25">
      <c r="A493" s="102"/>
      <c r="B493" s="91" t="s">
        <v>107</v>
      </c>
      <c r="C493" s="101" t="s">
        <v>108</v>
      </c>
      <c r="D493" s="101" t="s">
        <v>1114</v>
      </c>
      <c r="E493" s="345"/>
      <c r="F493" s="345"/>
      <c r="G493" s="345"/>
      <c r="H493" s="345"/>
      <c r="I493" s="345"/>
      <c r="J493" s="345"/>
      <c r="K493" s="345"/>
      <c r="L493" s="345"/>
      <c r="M493" s="345"/>
      <c r="N493" s="345"/>
    </row>
    <row r="494" spans="1:88" hidden="1" x14ac:dyDescent="0.25">
      <c r="A494" s="102"/>
      <c r="B494" s="91" t="s">
        <v>1182</v>
      </c>
      <c r="C494" s="101"/>
      <c r="D494" s="101"/>
      <c r="E494" s="345"/>
      <c r="F494" s="345">
        <v>19393448</v>
      </c>
      <c r="G494" s="345">
        <f>19584028-20445</f>
        <v>19563583</v>
      </c>
      <c r="H494" s="345">
        <v>20283960</v>
      </c>
      <c r="I494" s="345"/>
      <c r="J494" s="345"/>
      <c r="K494" s="345"/>
      <c r="L494" s="345"/>
      <c r="M494" s="345"/>
      <c r="N494" s="345"/>
      <c r="AC494" s="267">
        <v>452237.7</v>
      </c>
      <c r="AK494" s="267">
        <v>865365.2</v>
      </c>
    </row>
    <row r="495" spans="1:88" hidden="1" x14ac:dyDescent="0.25">
      <c r="A495" s="102"/>
      <c r="B495" s="91" t="s">
        <v>1184</v>
      </c>
      <c r="C495" s="101"/>
      <c r="D495" s="101"/>
      <c r="E495" s="345"/>
      <c r="F495" s="345">
        <v>39095</v>
      </c>
      <c r="G495" s="345">
        <v>20445</v>
      </c>
      <c r="H495" s="345"/>
      <c r="I495" s="345"/>
      <c r="J495" s="345"/>
      <c r="K495" s="345"/>
      <c r="L495" s="345"/>
      <c r="M495" s="345"/>
      <c r="N495" s="345"/>
    </row>
    <row r="496" spans="1:88" ht="30" hidden="1" x14ac:dyDescent="0.25">
      <c r="A496" s="102"/>
      <c r="B496" s="91" t="s">
        <v>109</v>
      </c>
      <c r="C496" s="101" t="s">
        <v>93</v>
      </c>
      <c r="D496" s="101" t="s">
        <v>950</v>
      </c>
      <c r="E496" s="103"/>
      <c r="F496" s="103"/>
      <c r="G496" s="103"/>
      <c r="H496" s="103"/>
      <c r="I496" s="103"/>
      <c r="J496" s="103"/>
      <c r="K496" s="103"/>
      <c r="L496" s="103"/>
      <c r="M496" s="103"/>
      <c r="N496" s="103"/>
    </row>
    <row r="497" spans="1:37" hidden="1" x14ac:dyDescent="0.25">
      <c r="A497" s="102"/>
      <c r="B497" s="91" t="s">
        <v>1182</v>
      </c>
      <c r="C497" s="101"/>
      <c r="D497" s="101"/>
      <c r="E497" s="103"/>
      <c r="F497" s="103">
        <f>98267-F498</f>
        <v>97838</v>
      </c>
      <c r="G497" s="103">
        <f>99805-122</f>
        <v>99683</v>
      </c>
      <c r="H497" s="103">
        <v>97981</v>
      </c>
      <c r="I497" s="103"/>
      <c r="J497" s="103"/>
      <c r="K497" s="103"/>
      <c r="L497" s="103"/>
      <c r="M497" s="103"/>
      <c r="N497" s="103"/>
      <c r="AK497" s="267">
        <v>4079</v>
      </c>
    </row>
    <row r="498" spans="1:37" hidden="1" x14ac:dyDescent="0.25">
      <c r="A498" s="102"/>
      <c r="B498" s="91" t="s">
        <v>1184</v>
      </c>
      <c r="C498" s="101"/>
      <c r="D498" s="101"/>
      <c r="E498" s="103"/>
      <c r="F498" s="103">
        <v>429</v>
      </c>
      <c r="G498" s="103">
        <v>122</v>
      </c>
      <c r="H498" s="103"/>
      <c r="I498" s="103"/>
      <c r="J498" s="103"/>
      <c r="K498" s="103"/>
      <c r="L498" s="103"/>
      <c r="M498" s="103"/>
      <c r="N498" s="103"/>
    </row>
    <row r="499" spans="1:37" ht="60" hidden="1" x14ac:dyDescent="0.25">
      <c r="A499" s="101" t="s">
        <v>106</v>
      </c>
      <c r="B499" s="91" t="s">
        <v>111</v>
      </c>
      <c r="C499" s="101" t="s">
        <v>1210</v>
      </c>
      <c r="D499" s="101" t="s">
        <v>8</v>
      </c>
      <c r="E499" s="293"/>
      <c r="F499" s="293"/>
      <c r="G499" s="293"/>
      <c r="H499" s="293"/>
      <c r="I499" s="293"/>
      <c r="J499" s="293"/>
      <c r="K499" s="293"/>
      <c r="L499" s="293"/>
      <c r="M499" s="293"/>
      <c r="N499" s="293"/>
      <c r="O499" s="281" t="s">
        <v>1160</v>
      </c>
    </row>
    <row r="500" spans="1:37" hidden="1" x14ac:dyDescent="0.25">
      <c r="A500" s="101"/>
      <c r="B500" s="91" t="s">
        <v>1182</v>
      </c>
      <c r="C500" s="101"/>
      <c r="D500" s="101"/>
      <c r="E500" s="293" t="e">
        <f t="shared" ref="E500:N501" si="692">E503/E506*100</f>
        <v>#DIV/0!</v>
      </c>
      <c r="F500" s="293">
        <f t="shared" si="692"/>
        <v>9.2899999776905879</v>
      </c>
      <c r="G500" s="293">
        <f t="shared" si="692"/>
        <v>11.070957707491516</v>
      </c>
      <c r="H500" s="293" t="e">
        <f t="shared" si="692"/>
        <v>#DIV/0!</v>
      </c>
      <c r="I500" s="293" t="e">
        <f t="shared" si="692"/>
        <v>#DIV/0!</v>
      </c>
      <c r="J500" s="293" t="e">
        <f t="shared" si="692"/>
        <v>#DIV/0!</v>
      </c>
      <c r="K500" s="293" t="e">
        <f t="shared" si="692"/>
        <v>#DIV/0!</v>
      </c>
      <c r="L500" s="293" t="e">
        <f t="shared" si="692"/>
        <v>#DIV/0!</v>
      </c>
      <c r="M500" s="293" t="e">
        <f t="shared" si="692"/>
        <v>#DIV/0!</v>
      </c>
      <c r="N500" s="293" t="e">
        <f t="shared" si="692"/>
        <v>#DIV/0!</v>
      </c>
      <c r="O500" s="313"/>
    </row>
    <row r="501" spans="1:37" hidden="1" x14ac:dyDescent="0.25">
      <c r="A501" s="101"/>
      <c r="B501" s="91" t="s">
        <v>1184</v>
      </c>
      <c r="C501" s="101"/>
      <c r="D501" s="101"/>
      <c r="E501" s="293" t="e">
        <f t="shared" si="692"/>
        <v>#DIV/0!</v>
      </c>
      <c r="F501" s="293">
        <f t="shared" si="692"/>
        <v>84.649925377976771</v>
      </c>
      <c r="G501" s="293">
        <f t="shared" si="692"/>
        <v>29.806798728295426</v>
      </c>
      <c r="H501" s="293" t="e">
        <f t="shared" si="692"/>
        <v>#DIV/0!</v>
      </c>
      <c r="I501" s="293" t="e">
        <f t="shared" si="692"/>
        <v>#DIV/0!</v>
      </c>
      <c r="J501" s="293" t="e">
        <f t="shared" si="692"/>
        <v>#DIV/0!</v>
      </c>
      <c r="K501" s="293" t="e">
        <f t="shared" si="692"/>
        <v>#DIV/0!</v>
      </c>
      <c r="L501" s="293" t="e">
        <f t="shared" si="692"/>
        <v>#DIV/0!</v>
      </c>
      <c r="M501" s="293" t="e">
        <f t="shared" si="692"/>
        <v>#DIV/0!</v>
      </c>
      <c r="N501" s="293" t="e">
        <f t="shared" si="692"/>
        <v>#DIV/0!</v>
      </c>
      <c r="O501" s="281"/>
    </row>
    <row r="502" spans="1:37" ht="45" hidden="1" x14ac:dyDescent="0.25">
      <c r="A502" s="102"/>
      <c r="B502" s="91" t="s">
        <v>112</v>
      </c>
      <c r="C502" s="101" t="s">
        <v>113</v>
      </c>
      <c r="D502" s="101" t="s">
        <v>1114</v>
      </c>
      <c r="E502" s="345"/>
      <c r="F502" s="345"/>
      <c r="G502" s="345"/>
      <c r="H502" s="345"/>
      <c r="I502" s="345"/>
      <c r="J502" s="345"/>
      <c r="K502" s="345"/>
      <c r="L502" s="345"/>
      <c r="M502" s="345"/>
      <c r="N502" s="345"/>
    </row>
    <row r="503" spans="1:37" hidden="1" x14ac:dyDescent="0.25">
      <c r="A503" s="102"/>
      <c r="B503" s="91" t="s">
        <v>1182</v>
      </c>
      <c r="C503" s="101"/>
      <c r="D503" s="101"/>
      <c r="E503" s="345"/>
      <c r="F503" s="345">
        <v>1669828.9</v>
      </c>
      <c r="G503" s="345">
        <f>2171970-6094</f>
        <v>2165876</v>
      </c>
      <c r="H503" s="345"/>
      <c r="I503" s="345"/>
      <c r="J503" s="345"/>
      <c r="K503" s="345"/>
      <c r="L503" s="345"/>
      <c r="M503" s="345"/>
      <c r="N503" s="345"/>
    </row>
    <row r="504" spans="1:37" hidden="1" x14ac:dyDescent="0.25">
      <c r="A504" s="102"/>
      <c r="B504" s="91" t="s">
        <v>1184</v>
      </c>
      <c r="C504" s="101"/>
      <c r="D504" s="101"/>
      <c r="E504" s="345"/>
      <c r="F504" s="345">
        <v>39136.199999999997</v>
      </c>
      <c r="G504" s="345">
        <v>6094</v>
      </c>
      <c r="H504" s="345"/>
      <c r="I504" s="345"/>
      <c r="J504" s="345"/>
      <c r="K504" s="345"/>
      <c r="L504" s="345"/>
      <c r="M504" s="345"/>
      <c r="N504" s="345"/>
    </row>
    <row r="505" spans="1:37" ht="30" hidden="1" x14ac:dyDescent="0.25">
      <c r="A505" s="102"/>
      <c r="B505" s="91" t="s">
        <v>107</v>
      </c>
      <c r="C505" s="101" t="s">
        <v>108</v>
      </c>
      <c r="D505" s="101" t="s">
        <v>1114</v>
      </c>
      <c r="E505" s="345"/>
      <c r="F505" s="345"/>
      <c r="G505" s="345"/>
      <c r="H505" s="345"/>
      <c r="I505" s="345"/>
      <c r="J505" s="345"/>
      <c r="K505" s="345"/>
      <c r="L505" s="345"/>
      <c r="M505" s="345"/>
      <c r="N505" s="345"/>
    </row>
    <row r="506" spans="1:37" hidden="1" x14ac:dyDescent="0.25">
      <c r="A506" s="102"/>
      <c r="B506" s="91" t="s">
        <v>1182</v>
      </c>
      <c r="C506" s="101"/>
      <c r="D506" s="101"/>
      <c r="E506" s="345"/>
      <c r="F506" s="345">
        <v>17974476.899999999</v>
      </c>
      <c r="G506" s="345">
        <f>19584028-20445</f>
        <v>19563583</v>
      </c>
      <c r="H506" s="345"/>
      <c r="I506" s="345"/>
      <c r="J506" s="345"/>
      <c r="K506" s="345"/>
      <c r="L506" s="345"/>
      <c r="M506" s="345"/>
      <c r="N506" s="345"/>
    </row>
    <row r="507" spans="1:37" hidden="1" x14ac:dyDescent="0.25">
      <c r="A507" s="102"/>
      <c r="B507" s="91" t="s">
        <v>1184</v>
      </c>
      <c r="C507" s="101"/>
      <c r="D507" s="101"/>
      <c r="E507" s="345"/>
      <c r="F507" s="345">
        <v>46233</v>
      </c>
      <c r="G507" s="345">
        <v>20445</v>
      </c>
      <c r="H507" s="345"/>
      <c r="I507" s="345"/>
      <c r="J507" s="345"/>
      <c r="K507" s="345"/>
      <c r="L507" s="345"/>
      <c r="M507" s="345"/>
      <c r="N507" s="345"/>
    </row>
    <row r="508" spans="1:37" ht="60" x14ac:dyDescent="0.25">
      <c r="A508" s="371" t="s">
        <v>106</v>
      </c>
      <c r="B508" s="96" t="s">
        <v>1644</v>
      </c>
      <c r="C508" s="101"/>
      <c r="D508" s="101" t="s">
        <v>1114</v>
      </c>
      <c r="E508" s="345"/>
      <c r="F508" s="345"/>
      <c r="G508" s="345"/>
      <c r="H508" s="345"/>
      <c r="I508" s="342">
        <v>179.07</v>
      </c>
      <c r="J508" s="342"/>
      <c r="K508" s="342"/>
      <c r="L508" s="342"/>
      <c r="M508" s="342"/>
      <c r="N508" s="342"/>
    </row>
    <row r="509" spans="1:37" ht="30" x14ac:dyDescent="0.25">
      <c r="A509" s="102"/>
      <c r="B509" s="96" t="s">
        <v>1301</v>
      </c>
      <c r="C509" s="101"/>
      <c r="D509" s="101" t="s">
        <v>1114</v>
      </c>
      <c r="E509" s="345"/>
      <c r="F509" s="345"/>
      <c r="G509" s="345"/>
      <c r="H509" s="345"/>
      <c r="I509" s="345"/>
      <c r="J509" s="345"/>
      <c r="K509" s="345"/>
      <c r="L509" s="345"/>
      <c r="M509" s="345"/>
      <c r="N509" s="345"/>
    </row>
    <row r="510" spans="1:37" ht="30" x14ac:dyDescent="0.25">
      <c r="A510" s="102"/>
      <c r="B510" s="96" t="s">
        <v>1302</v>
      </c>
      <c r="C510" s="101"/>
      <c r="D510" s="101" t="s">
        <v>1114</v>
      </c>
      <c r="E510" s="345"/>
      <c r="F510" s="345"/>
      <c r="G510" s="345"/>
      <c r="H510" s="345"/>
      <c r="I510" s="345"/>
      <c r="J510" s="345"/>
      <c r="K510" s="345"/>
      <c r="L510" s="345"/>
      <c r="M510" s="345"/>
      <c r="N510" s="345"/>
    </row>
    <row r="511" spans="1:37" x14ac:dyDescent="0.25">
      <c r="A511" s="102"/>
      <c r="B511" s="91"/>
      <c r="C511" s="101"/>
      <c r="D511" s="101"/>
      <c r="E511" s="345"/>
      <c r="F511" s="345"/>
      <c r="G511" s="345"/>
      <c r="H511" s="345"/>
      <c r="I511" s="345"/>
      <c r="J511" s="345"/>
      <c r="K511" s="345"/>
      <c r="L511" s="345"/>
      <c r="M511" s="345"/>
      <c r="N511" s="345"/>
    </row>
    <row r="512" spans="1:37" x14ac:dyDescent="0.25">
      <c r="A512" s="102"/>
      <c r="B512" s="91"/>
      <c r="C512" s="101"/>
      <c r="D512" s="101"/>
      <c r="E512" s="345"/>
      <c r="F512" s="345"/>
      <c r="G512" s="345"/>
      <c r="H512" s="345"/>
      <c r="I512" s="345"/>
      <c r="J512" s="345"/>
      <c r="K512" s="345"/>
      <c r="L512" s="345"/>
      <c r="M512" s="345"/>
      <c r="N512" s="345"/>
    </row>
    <row r="513" spans="1:88" x14ac:dyDescent="0.25">
      <c r="A513" s="102"/>
      <c r="B513" s="91"/>
      <c r="C513" s="101"/>
      <c r="D513" s="101"/>
      <c r="E513" s="345"/>
      <c r="F513" s="345"/>
      <c r="G513" s="345"/>
      <c r="H513" s="345"/>
      <c r="I513" s="345"/>
      <c r="J513" s="345"/>
      <c r="K513" s="345"/>
      <c r="L513" s="345"/>
      <c r="M513" s="345"/>
      <c r="N513" s="345"/>
    </row>
    <row r="514" spans="1:88" x14ac:dyDescent="0.25">
      <c r="A514" s="102"/>
      <c r="B514" s="91"/>
      <c r="C514" s="101"/>
      <c r="D514" s="101"/>
      <c r="E514" s="345"/>
      <c r="F514" s="345"/>
      <c r="G514" s="345"/>
      <c r="H514" s="345"/>
      <c r="I514" s="345"/>
      <c r="J514" s="345"/>
      <c r="K514" s="345"/>
      <c r="L514" s="345"/>
      <c r="M514" s="345"/>
      <c r="N514" s="345"/>
    </row>
    <row r="515" spans="1:88" x14ac:dyDescent="0.25">
      <c r="A515" s="102"/>
      <c r="B515" s="91"/>
      <c r="C515" s="101"/>
      <c r="D515" s="101"/>
      <c r="E515" s="345"/>
      <c r="F515" s="345"/>
      <c r="G515" s="345"/>
      <c r="H515" s="345"/>
      <c r="I515" s="345"/>
      <c r="J515" s="345"/>
      <c r="K515" s="345"/>
      <c r="L515" s="345"/>
      <c r="M515" s="345"/>
      <c r="N515" s="345"/>
    </row>
    <row r="516" spans="1:88" ht="30" x14ac:dyDescent="0.25">
      <c r="A516" s="105" t="s">
        <v>115</v>
      </c>
      <c r="B516" s="290" t="s">
        <v>114</v>
      </c>
      <c r="C516" s="107"/>
      <c r="D516" s="107"/>
      <c r="E516" s="107"/>
      <c r="F516" s="107"/>
      <c r="G516" s="107"/>
      <c r="H516" s="107"/>
      <c r="I516" s="107"/>
      <c r="J516" s="107"/>
      <c r="K516" s="107"/>
      <c r="L516" s="107"/>
      <c r="M516" s="107"/>
      <c r="N516" s="107"/>
    </row>
    <row r="517" spans="1:88" ht="45" customHeight="1" x14ac:dyDescent="0.25">
      <c r="A517" s="95" t="s">
        <v>116</v>
      </c>
      <c r="B517" s="96" t="s">
        <v>1645</v>
      </c>
      <c r="C517" s="107"/>
      <c r="D517" s="95" t="s">
        <v>8</v>
      </c>
      <c r="E517" s="279">
        <f t="shared" ref="E517:N519" si="693">E520/E523*100</f>
        <v>0</v>
      </c>
      <c r="F517" s="279">
        <f t="shared" si="693"/>
        <v>0</v>
      </c>
      <c r="G517" s="279">
        <f t="shared" si="693"/>
        <v>0</v>
      </c>
      <c r="H517" s="279">
        <f t="shared" si="693"/>
        <v>0</v>
      </c>
      <c r="I517" s="279">
        <f t="shared" si="693"/>
        <v>0</v>
      </c>
      <c r="J517" s="279">
        <f t="shared" si="693"/>
        <v>0</v>
      </c>
      <c r="K517" s="279">
        <f t="shared" si="693"/>
        <v>0.21276595744680851</v>
      </c>
      <c r="L517" s="279">
        <f t="shared" si="693"/>
        <v>0</v>
      </c>
      <c r="M517" s="279">
        <f t="shared" si="693"/>
        <v>0</v>
      </c>
      <c r="N517" s="279">
        <f t="shared" si="693"/>
        <v>0</v>
      </c>
      <c r="O517" s="281" t="s">
        <v>85</v>
      </c>
      <c r="P517" s="279">
        <f t="shared" ref="P517:S519" si="694">P520/P523*100</f>
        <v>0.21231422505307856</v>
      </c>
      <c r="Q517" s="279">
        <f t="shared" si="694"/>
        <v>0</v>
      </c>
      <c r="R517" s="279">
        <f t="shared" si="694"/>
        <v>0</v>
      </c>
      <c r="S517" s="279">
        <f t="shared" si="694"/>
        <v>0</v>
      </c>
      <c r="T517" s="373"/>
      <c r="U517" s="279">
        <f t="shared" ref="U517:V519" si="695">U520/U523*100</f>
        <v>0</v>
      </c>
      <c r="V517" s="279">
        <f t="shared" si="695"/>
        <v>0</v>
      </c>
      <c r="W517" s="373"/>
      <c r="X517" s="279">
        <f t="shared" ref="X517:Y519" si="696">X520/X523*100</f>
        <v>0</v>
      </c>
      <c r="Y517" s="279">
        <f t="shared" si="696"/>
        <v>0</v>
      </c>
      <c r="Z517" s="373"/>
      <c r="AA517" s="279">
        <f t="shared" ref="AA517:AB519" si="697">AA520/AA523*100</f>
        <v>0</v>
      </c>
      <c r="AB517" s="279">
        <f t="shared" si="697"/>
        <v>0</v>
      </c>
      <c r="AC517" s="373"/>
      <c r="AD517" s="279">
        <f t="shared" ref="AD517:AE519" si="698">AD520/AD523*100</f>
        <v>0</v>
      </c>
      <c r="AE517" s="279">
        <f t="shared" si="698"/>
        <v>0</v>
      </c>
      <c r="AF517" s="373"/>
      <c r="AG517" s="279">
        <f t="shared" ref="AG517:AH519" si="699">AG520/AG523*100</f>
        <v>0</v>
      </c>
      <c r="AH517" s="279">
        <f t="shared" si="699"/>
        <v>0</v>
      </c>
      <c r="AI517" s="373"/>
      <c r="AJ517" s="279">
        <f t="shared" ref="AJ517:AK519" si="700">AJ520/AJ523*100</f>
        <v>0</v>
      </c>
      <c r="AK517" s="279">
        <f t="shared" si="700"/>
        <v>0</v>
      </c>
      <c r="AL517" s="373"/>
      <c r="AM517" s="279">
        <f t="shared" ref="AM517:AN519" si="701">AM520/AM523*100</f>
        <v>0</v>
      </c>
      <c r="AN517" s="279">
        <f t="shared" si="701"/>
        <v>0</v>
      </c>
      <c r="AO517" s="373"/>
      <c r="AP517" s="279">
        <f t="shared" ref="AP517:AQ519" si="702">AP520/AP523*100</f>
        <v>0</v>
      </c>
      <c r="AQ517" s="279">
        <f t="shared" si="702"/>
        <v>0</v>
      </c>
      <c r="AR517" s="374"/>
      <c r="AS517" s="279">
        <f t="shared" ref="AS517:AT519" si="703">AS520/AS523*100</f>
        <v>0</v>
      </c>
      <c r="AT517" s="279">
        <f t="shared" si="703"/>
        <v>0</v>
      </c>
      <c r="AU517" s="373"/>
      <c r="AV517" s="279">
        <f t="shared" ref="AV517:AW519" si="704">AV520/AV523*100</f>
        <v>0</v>
      </c>
      <c r="AW517" s="279">
        <f t="shared" si="704"/>
        <v>0</v>
      </c>
      <c r="AX517" s="373"/>
      <c r="AY517" s="279">
        <f t="shared" ref="AY517:AZ519" si="705">AY520/AY523*100</f>
        <v>0</v>
      </c>
      <c r="AZ517" s="279">
        <f t="shared" si="705"/>
        <v>0</v>
      </c>
      <c r="BA517" s="374"/>
      <c r="BB517" s="279">
        <f t="shared" ref="BB517:BC519" si="706">BB520/BB523*100</f>
        <v>0</v>
      </c>
      <c r="BC517" s="279">
        <f t="shared" si="706"/>
        <v>0</v>
      </c>
      <c r="BD517" s="373"/>
      <c r="BE517" s="279">
        <f t="shared" ref="BE517:BF519" si="707">BE520/BE523*100</f>
        <v>1.4492753623188406</v>
      </c>
      <c r="BF517" s="279">
        <f t="shared" si="707"/>
        <v>0</v>
      </c>
      <c r="BG517" s="373"/>
      <c r="BH517" s="279">
        <f t="shared" ref="BH517:BI519" si="708">BH520/BH523*100</f>
        <v>0</v>
      </c>
      <c r="BI517" s="279">
        <f t="shared" si="708"/>
        <v>0</v>
      </c>
      <c r="BK517" s="279">
        <f t="shared" ref="BK517:BL519" si="709">BK520/BK523*100</f>
        <v>0</v>
      </c>
      <c r="BL517" s="279">
        <f t="shared" si="709"/>
        <v>0</v>
      </c>
      <c r="BM517" s="373"/>
      <c r="BN517" s="279">
        <f t="shared" ref="BN517:BO519" si="710">BN520/BN523*100</f>
        <v>0</v>
      </c>
      <c r="BO517" s="279">
        <f t="shared" si="710"/>
        <v>0</v>
      </c>
      <c r="BP517" s="373"/>
      <c r="BQ517" s="279">
        <f t="shared" ref="BQ517:BR519" si="711">BQ520/BQ523*100</f>
        <v>0</v>
      </c>
      <c r="BR517" s="279">
        <f t="shared" si="711"/>
        <v>0</v>
      </c>
      <c r="BT517" s="279">
        <f t="shared" ref="BT517:BU519" si="712">BT520/BT523*100</f>
        <v>0</v>
      </c>
      <c r="BU517" s="279">
        <f t="shared" si="712"/>
        <v>0</v>
      </c>
      <c r="BV517" s="373"/>
      <c r="BW517" s="279">
        <f t="shared" ref="BW517:BX519" si="713">BW520/BW523*100</f>
        <v>0</v>
      </c>
      <c r="BX517" s="279">
        <f t="shared" si="713"/>
        <v>0</v>
      </c>
      <c r="BY517" s="373"/>
      <c r="BZ517" s="279">
        <f t="shared" ref="BZ517:CA519" si="714">BZ520/BZ523*100</f>
        <v>0</v>
      </c>
      <c r="CA517" s="279">
        <f t="shared" si="714"/>
        <v>0</v>
      </c>
      <c r="CC517" s="279">
        <f t="shared" ref="CC517:CD519" si="715">CC520/CC523*100</f>
        <v>0</v>
      </c>
      <c r="CD517" s="279">
        <f t="shared" si="715"/>
        <v>0</v>
      </c>
      <c r="CE517" s="373"/>
      <c r="CF517" s="279" t="e">
        <f t="shared" ref="CF517:CG519" si="716">CF520/CF523*100</f>
        <v>#DIV/0!</v>
      </c>
      <c r="CG517" s="279" t="e">
        <f t="shared" si="716"/>
        <v>#DIV/0!</v>
      </c>
      <c r="CH517" s="373"/>
      <c r="CI517" s="279" t="e">
        <f t="shared" ref="CI517:CJ519" si="717">CI520/CI523*100</f>
        <v>#DIV/0!</v>
      </c>
      <c r="CJ517" s="279" t="e">
        <f t="shared" si="717"/>
        <v>#DIV/0!</v>
      </c>
    </row>
    <row r="518" spans="1:88" x14ac:dyDescent="0.25">
      <c r="A518" s="95"/>
      <c r="B518" s="16" t="s">
        <v>1183</v>
      </c>
      <c r="C518" s="107"/>
      <c r="D518" s="95" t="s">
        <v>8</v>
      </c>
      <c r="E518" s="279">
        <f t="shared" si="693"/>
        <v>0</v>
      </c>
      <c r="F518" s="279">
        <f t="shared" si="693"/>
        <v>0</v>
      </c>
      <c r="G518" s="279">
        <f t="shared" si="693"/>
        <v>0</v>
      </c>
      <c r="H518" s="279">
        <f t="shared" si="693"/>
        <v>0</v>
      </c>
      <c r="I518" s="279">
        <f t="shared" si="693"/>
        <v>0</v>
      </c>
      <c r="J518" s="279">
        <f t="shared" si="693"/>
        <v>0</v>
      </c>
      <c r="K518" s="279">
        <f t="shared" si="693"/>
        <v>0.25380710659898476</v>
      </c>
      <c r="L518" s="279">
        <f t="shared" si="693"/>
        <v>0</v>
      </c>
      <c r="M518" s="279">
        <f t="shared" si="693"/>
        <v>0</v>
      </c>
      <c r="N518" s="279">
        <f t="shared" si="693"/>
        <v>0</v>
      </c>
      <c r="O518" s="281"/>
      <c r="P518" s="279">
        <f t="shared" si="694"/>
        <v>0.25641025641025639</v>
      </c>
      <c r="Q518" s="279">
        <f t="shared" si="694"/>
        <v>0</v>
      </c>
      <c r="R518" s="279">
        <f t="shared" si="694"/>
        <v>0</v>
      </c>
      <c r="S518" s="279">
        <f t="shared" si="694"/>
        <v>0</v>
      </c>
      <c r="U518" s="279">
        <f t="shared" si="695"/>
        <v>0</v>
      </c>
      <c r="V518" s="279">
        <f t="shared" si="695"/>
        <v>0</v>
      </c>
      <c r="X518" s="279">
        <f t="shared" si="696"/>
        <v>0</v>
      </c>
      <c r="Y518" s="279">
        <f t="shared" si="696"/>
        <v>0</v>
      </c>
      <c r="AA518" s="279">
        <f t="shared" si="697"/>
        <v>0</v>
      </c>
      <c r="AB518" s="279">
        <f t="shared" si="697"/>
        <v>0</v>
      </c>
      <c r="AD518" s="279">
        <f t="shared" si="698"/>
        <v>0</v>
      </c>
      <c r="AE518" s="279">
        <f t="shared" si="698"/>
        <v>0</v>
      </c>
      <c r="AG518" s="279">
        <f t="shared" si="699"/>
        <v>0</v>
      </c>
      <c r="AH518" s="279">
        <f t="shared" si="699"/>
        <v>0</v>
      </c>
      <c r="AJ518" s="279">
        <f t="shared" si="700"/>
        <v>0</v>
      </c>
      <c r="AK518" s="279">
        <f t="shared" si="700"/>
        <v>0</v>
      </c>
      <c r="AM518" s="279">
        <f t="shared" si="701"/>
        <v>0</v>
      </c>
      <c r="AN518" s="279">
        <f t="shared" si="701"/>
        <v>0</v>
      </c>
      <c r="AP518" s="279" t="e">
        <f t="shared" si="702"/>
        <v>#DIV/0!</v>
      </c>
      <c r="AQ518" s="279" t="e">
        <f t="shared" si="702"/>
        <v>#DIV/0!</v>
      </c>
      <c r="AS518" s="279">
        <f t="shared" si="703"/>
        <v>0</v>
      </c>
      <c r="AT518" s="279">
        <f t="shared" si="703"/>
        <v>0</v>
      </c>
      <c r="AV518" s="279">
        <f t="shared" si="704"/>
        <v>0</v>
      </c>
      <c r="AW518" s="279">
        <f t="shared" si="704"/>
        <v>0</v>
      </c>
      <c r="AY518" s="279">
        <f t="shared" si="705"/>
        <v>0</v>
      </c>
      <c r="AZ518" s="279">
        <f t="shared" si="705"/>
        <v>0</v>
      </c>
      <c r="BB518" s="279">
        <f t="shared" si="706"/>
        <v>0</v>
      </c>
      <c r="BC518" s="279">
        <f t="shared" si="706"/>
        <v>0</v>
      </c>
      <c r="BE518" s="279">
        <f t="shared" si="707"/>
        <v>1.4492753623188406</v>
      </c>
      <c r="BF518" s="279">
        <f t="shared" si="707"/>
        <v>0</v>
      </c>
      <c r="BH518" s="279">
        <f t="shared" si="708"/>
        <v>0</v>
      </c>
      <c r="BI518" s="279">
        <f t="shared" si="708"/>
        <v>0</v>
      </c>
      <c r="BK518" s="279">
        <f t="shared" si="709"/>
        <v>0</v>
      </c>
      <c r="BL518" s="279">
        <f t="shared" si="709"/>
        <v>0</v>
      </c>
      <c r="BN518" s="279">
        <f t="shared" si="710"/>
        <v>0</v>
      </c>
      <c r="BO518" s="279">
        <f t="shared" si="710"/>
        <v>0</v>
      </c>
      <c r="BQ518" s="279">
        <f t="shared" si="711"/>
        <v>0</v>
      </c>
      <c r="BR518" s="279">
        <f t="shared" si="711"/>
        <v>0</v>
      </c>
      <c r="BT518" s="279">
        <f t="shared" si="712"/>
        <v>0</v>
      </c>
      <c r="BU518" s="279">
        <f t="shared" si="712"/>
        <v>0</v>
      </c>
      <c r="BW518" s="279">
        <f t="shared" si="713"/>
        <v>0</v>
      </c>
      <c r="BX518" s="279">
        <f t="shared" si="713"/>
        <v>0</v>
      </c>
      <c r="BZ518" s="279">
        <f t="shared" si="714"/>
        <v>0</v>
      </c>
      <c r="CA518" s="279">
        <f t="shared" si="714"/>
        <v>0</v>
      </c>
      <c r="CC518" s="279">
        <f t="shared" si="715"/>
        <v>0</v>
      </c>
      <c r="CD518" s="279">
        <f t="shared" si="715"/>
        <v>0</v>
      </c>
      <c r="CF518" s="279" t="e">
        <f t="shared" si="716"/>
        <v>#DIV/0!</v>
      </c>
      <c r="CG518" s="279" t="e">
        <f t="shared" si="716"/>
        <v>#DIV/0!</v>
      </c>
      <c r="CI518" s="279" t="e">
        <f t="shared" si="717"/>
        <v>#DIV/0!</v>
      </c>
      <c r="CJ518" s="279" t="e">
        <f t="shared" si="717"/>
        <v>#DIV/0!</v>
      </c>
    </row>
    <row r="519" spans="1:88" x14ac:dyDescent="0.25">
      <c r="A519" s="95"/>
      <c r="B519" s="16" t="s">
        <v>1185</v>
      </c>
      <c r="C519" s="107"/>
      <c r="D519" s="95" t="s">
        <v>8</v>
      </c>
      <c r="E519" s="279">
        <f t="shared" si="693"/>
        <v>0</v>
      </c>
      <c r="F519" s="279">
        <f t="shared" si="693"/>
        <v>0</v>
      </c>
      <c r="G519" s="279">
        <f t="shared" si="693"/>
        <v>0</v>
      </c>
      <c r="H519" s="279">
        <f t="shared" si="693"/>
        <v>0</v>
      </c>
      <c r="I519" s="279">
        <f t="shared" si="693"/>
        <v>0</v>
      </c>
      <c r="J519" s="279">
        <f t="shared" si="693"/>
        <v>0</v>
      </c>
      <c r="K519" s="279">
        <f t="shared" si="693"/>
        <v>0</v>
      </c>
      <c r="L519" s="279">
        <f t="shared" si="693"/>
        <v>0</v>
      </c>
      <c r="M519" s="279">
        <f t="shared" si="693"/>
        <v>0</v>
      </c>
      <c r="N519" s="279">
        <f t="shared" si="693"/>
        <v>0</v>
      </c>
      <c r="O519" s="281"/>
      <c r="P519" s="279">
        <f t="shared" si="694"/>
        <v>0</v>
      </c>
      <c r="Q519" s="279">
        <f t="shared" si="694"/>
        <v>0</v>
      </c>
      <c r="R519" s="279">
        <f t="shared" si="694"/>
        <v>0</v>
      </c>
      <c r="S519" s="279">
        <f t="shared" si="694"/>
        <v>0</v>
      </c>
      <c r="U519" s="279">
        <f t="shared" si="695"/>
        <v>0</v>
      </c>
      <c r="V519" s="279">
        <f t="shared" si="695"/>
        <v>0</v>
      </c>
      <c r="X519" s="279">
        <f t="shared" si="696"/>
        <v>0</v>
      </c>
      <c r="Y519" s="279">
        <f t="shared" si="696"/>
        <v>0</v>
      </c>
      <c r="AA519" s="279">
        <f t="shared" si="697"/>
        <v>0</v>
      </c>
      <c r="AB519" s="279">
        <f t="shared" si="697"/>
        <v>0</v>
      </c>
      <c r="AD519" s="279">
        <f t="shared" si="698"/>
        <v>0</v>
      </c>
      <c r="AE519" s="279">
        <f t="shared" si="698"/>
        <v>0</v>
      </c>
      <c r="AG519" s="279">
        <f t="shared" si="699"/>
        <v>0</v>
      </c>
      <c r="AH519" s="279">
        <f t="shared" si="699"/>
        <v>0</v>
      </c>
      <c r="AJ519" s="279">
        <f t="shared" si="700"/>
        <v>0</v>
      </c>
      <c r="AK519" s="279">
        <f t="shared" si="700"/>
        <v>0</v>
      </c>
      <c r="AM519" s="279">
        <f t="shared" si="701"/>
        <v>0</v>
      </c>
      <c r="AN519" s="279">
        <f t="shared" si="701"/>
        <v>0</v>
      </c>
      <c r="AP519" s="279">
        <f t="shared" si="702"/>
        <v>0</v>
      </c>
      <c r="AQ519" s="279">
        <f t="shared" si="702"/>
        <v>0</v>
      </c>
      <c r="AS519" s="279" t="e">
        <f t="shared" si="703"/>
        <v>#DIV/0!</v>
      </c>
      <c r="AT519" s="279" t="e">
        <f t="shared" si="703"/>
        <v>#DIV/0!</v>
      </c>
      <c r="AV519" s="279" t="e">
        <f t="shared" si="704"/>
        <v>#DIV/0!</v>
      </c>
      <c r="AW519" s="279" t="e">
        <f t="shared" si="704"/>
        <v>#DIV/0!</v>
      </c>
      <c r="AY519" s="279" t="e">
        <f t="shared" si="705"/>
        <v>#DIV/0!</v>
      </c>
      <c r="AZ519" s="279" t="e">
        <f t="shared" si="705"/>
        <v>#DIV/0!</v>
      </c>
      <c r="BB519" s="279" t="e">
        <f t="shared" si="706"/>
        <v>#DIV/0!</v>
      </c>
      <c r="BC519" s="279" t="e">
        <f t="shared" si="706"/>
        <v>#DIV/0!</v>
      </c>
      <c r="BE519" s="279" t="e">
        <f t="shared" si="707"/>
        <v>#DIV/0!</v>
      </c>
      <c r="BF519" s="279" t="e">
        <f t="shared" si="707"/>
        <v>#DIV/0!</v>
      </c>
      <c r="BH519" s="279" t="e">
        <f t="shared" si="708"/>
        <v>#DIV/0!</v>
      </c>
      <c r="BI519" s="279" t="e">
        <f t="shared" si="708"/>
        <v>#DIV/0!</v>
      </c>
      <c r="BK519" s="279" t="e">
        <f t="shared" si="709"/>
        <v>#DIV/0!</v>
      </c>
      <c r="BL519" s="279" t="e">
        <f t="shared" si="709"/>
        <v>#DIV/0!</v>
      </c>
      <c r="BN519" s="279" t="e">
        <f t="shared" si="710"/>
        <v>#DIV/0!</v>
      </c>
      <c r="BO519" s="279" t="e">
        <f t="shared" si="710"/>
        <v>#DIV/0!</v>
      </c>
      <c r="BQ519" s="279" t="e">
        <f t="shared" si="711"/>
        <v>#DIV/0!</v>
      </c>
      <c r="BR519" s="279" t="e">
        <f t="shared" si="711"/>
        <v>#DIV/0!</v>
      </c>
      <c r="BT519" s="279" t="e">
        <f t="shared" si="712"/>
        <v>#DIV/0!</v>
      </c>
      <c r="BU519" s="279" t="e">
        <f t="shared" si="712"/>
        <v>#DIV/0!</v>
      </c>
      <c r="BW519" s="279" t="e">
        <f t="shared" si="713"/>
        <v>#DIV/0!</v>
      </c>
      <c r="BX519" s="279" t="e">
        <f t="shared" si="713"/>
        <v>#DIV/0!</v>
      </c>
      <c r="BZ519" s="279" t="e">
        <f t="shared" si="714"/>
        <v>#DIV/0!</v>
      </c>
      <c r="CA519" s="279" t="e">
        <f t="shared" si="714"/>
        <v>#DIV/0!</v>
      </c>
      <c r="CC519" s="279" t="e">
        <f t="shared" si="715"/>
        <v>#DIV/0!</v>
      </c>
      <c r="CD519" s="279" t="e">
        <f t="shared" si="715"/>
        <v>#DIV/0!</v>
      </c>
      <c r="CF519" s="279" t="e">
        <f t="shared" si="716"/>
        <v>#DIV/0!</v>
      </c>
      <c r="CG519" s="279" t="e">
        <f t="shared" si="716"/>
        <v>#DIV/0!</v>
      </c>
      <c r="CI519" s="279" t="e">
        <f t="shared" si="717"/>
        <v>#DIV/0!</v>
      </c>
      <c r="CJ519" s="279" t="e">
        <f t="shared" si="717"/>
        <v>#DIV/0!</v>
      </c>
    </row>
    <row r="520" spans="1:88" ht="45" x14ac:dyDescent="0.25">
      <c r="A520" s="107"/>
      <c r="B520" s="16" t="s">
        <v>117</v>
      </c>
      <c r="C520" s="95" t="s">
        <v>1825</v>
      </c>
      <c r="D520" s="95" t="s">
        <v>1112</v>
      </c>
      <c r="E520" s="291">
        <f>E521+E522</f>
        <v>0</v>
      </c>
      <c r="F520" s="291">
        <f>F521+F522</f>
        <v>0</v>
      </c>
      <c r="G520" s="291">
        <f>G521+G522</f>
        <v>0</v>
      </c>
      <c r="H520" s="291">
        <f>H521+H522</f>
        <v>0</v>
      </c>
      <c r="I520" s="292">
        <f t="shared" ref="I520:Q520" si="718">I521+I522</f>
        <v>0</v>
      </c>
      <c r="J520" s="292">
        <f t="shared" si="718"/>
        <v>0</v>
      </c>
      <c r="K520" s="292">
        <f>K521+K522</f>
        <v>1</v>
      </c>
      <c r="L520" s="292">
        <f>L521+L522</f>
        <v>0</v>
      </c>
      <c r="M520" s="292">
        <f>M521+M522</f>
        <v>0</v>
      </c>
      <c r="N520" s="292">
        <f>N521+N522</f>
        <v>0</v>
      </c>
      <c r="P520" s="292">
        <f t="shared" si="718"/>
        <v>1</v>
      </c>
      <c r="Q520" s="292">
        <f t="shared" si="718"/>
        <v>0</v>
      </c>
      <c r="R520" s="292">
        <f>R521+R522</f>
        <v>0</v>
      </c>
      <c r="S520" s="292">
        <f>S521+S522</f>
        <v>0</v>
      </c>
      <c r="U520" s="292">
        <f>U521+U522</f>
        <v>0</v>
      </c>
      <c r="V520" s="292">
        <f>V521+V522</f>
        <v>0</v>
      </c>
      <c r="X520" s="292">
        <f>X521+X522</f>
        <v>0</v>
      </c>
      <c r="Y520" s="292">
        <f>Y521+Y522</f>
        <v>0</v>
      </c>
      <c r="AA520" s="292">
        <f>AA521+AA522</f>
        <v>0</v>
      </c>
      <c r="AB520" s="292">
        <f>AB521+AB522</f>
        <v>0</v>
      </c>
      <c r="AD520" s="292">
        <f>AD521+AD522</f>
        <v>0</v>
      </c>
      <c r="AE520" s="292">
        <f>AE521+AE522</f>
        <v>0</v>
      </c>
      <c r="AG520" s="292">
        <f>AG521+AG522</f>
        <v>0</v>
      </c>
      <c r="AH520" s="292">
        <f>AH521+AH522</f>
        <v>0</v>
      </c>
      <c r="AJ520" s="292">
        <f>AJ521+AJ522</f>
        <v>0</v>
      </c>
      <c r="AK520" s="292">
        <f>AK521+AK522</f>
        <v>0</v>
      </c>
      <c r="AM520" s="292">
        <f>AM521+AM522</f>
        <v>0</v>
      </c>
      <c r="AN520" s="292">
        <f>AN521+AN522</f>
        <v>0</v>
      </c>
      <c r="AP520" s="292">
        <f>AP521+AP522</f>
        <v>0</v>
      </c>
      <c r="AQ520" s="292">
        <f>AQ521+AQ522</f>
        <v>0</v>
      </c>
      <c r="AS520" s="292">
        <f>AS521+AS522</f>
        <v>0</v>
      </c>
      <c r="AT520" s="292">
        <f>AT521+AT522</f>
        <v>0</v>
      </c>
      <c r="AV520" s="292">
        <f>AV521+AV522</f>
        <v>0</v>
      </c>
      <c r="AW520" s="292">
        <f>AW521+AW522</f>
        <v>0</v>
      </c>
      <c r="AY520" s="292">
        <f>AY521+AY522</f>
        <v>0</v>
      </c>
      <c r="AZ520" s="292">
        <f>AZ521+AZ522</f>
        <v>0</v>
      </c>
      <c r="BB520" s="292">
        <f>BB521+BB522</f>
        <v>0</v>
      </c>
      <c r="BC520" s="292">
        <f>BC521+BC522</f>
        <v>0</v>
      </c>
      <c r="BE520" s="292">
        <f>BE521+BE522</f>
        <v>1</v>
      </c>
      <c r="BF520" s="292">
        <f>BF521+BF522</f>
        <v>0</v>
      </c>
      <c r="BH520" s="292">
        <f>BH521+BH522</f>
        <v>0</v>
      </c>
      <c r="BI520" s="292">
        <f>BI521+BI522</f>
        <v>0</v>
      </c>
      <c r="BK520" s="292">
        <f>BK521+BK522</f>
        <v>0</v>
      </c>
      <c r="BL520" s="292">
        <f>BL521+BL522</f>
        <v>0</v>
      </c>
      <c r="BN520" s="292">
        <f>BN521+BN522</f>
        <v>0</v>
      </c>
      <c r="BO520" s="292">
        <f>BO521+BO522</f>
        <v>0</v>
      </c>
      <c r="BQ520" s="292">
        <f>BQ521+BQ522</f>
        <v>0</v>
      </c>
      <c r="BR520" s="292">
        <f>BR521+BR522</f>
        <v>0</v>
      </c>
      <c r="BT520" s="292">
        <f>BT521+BT522</f>
        <v>0</v>
      </c>
      <c r="BU520" s="292">
        <f>BU521+BU522</f>
        <v>0</v>
      </c>
      <c r="BW520" s="292">
        <f>BW521+BW522</f>
        <v>0</v>
      </c>
      <c r="BX520" s="292">
        <f>BX521+BX522</f>
        <v>0</v>
      </c>
      <c r="BZ520" s="292">
        <f>BZ521+BZ522</f>
        <v>0</v>
      </c>
      <c r="CA520" s="292">
        <f>CA521+CA522</f>
        <v>0</v>
      </c>
      <c r="CC520" s="292">
        <f>CC521+CC522</f>
        <v>0</v>
      </c>
      <c r="CD520" s="292">
        <f>CD521+CD522</f>
        <v>0</v>
      </c>
      <c r="CF520" s="292">
        <f>CF521+CF522</f>
        <v>0</v>
      </c>
      <c r="CG520" s="292">
        <f>CG521+CG522</f>
        <v>0</v>
      </c>
      <c r="CI520" s="292">
        <f>CI521+CI522</f>
        <v>0</v>
      </c>
      <c r="CJ520" s="292">
        <f>CJ521+CJ522</f>
        <v>0</v>
      </c>
    </row>
    <row r="521" spans="1:88" x14ac:dyDescent="0.25">
      <c r="A521" s="107"/>
      <c r="B521" s="16" t="s">
        <v>1183</v>
      </c>
      <c r="C521" s="95"/>
      <c r="D521" s="95" t="s">
        <v>1112</v>
      </c>
      <c r="E521" s="291">
        <v>0</v>
      </c>
      <c r="F521" s="291">
        <v>0</v>
      </c>
      <c r="G521" s="291">
        <v>0</v>
      </c>
      <c r="H521" s="291">
        <v>0</v>
      </c>
      <c r="I521" s="292">
        <v>0</v>
      </c>
      <c r="J521" s="292">
        <v>0</v>
      </c>
      <c r="K521" s="292">
        <v>1</v>
      </c>
      <c r="L521" s="292">
        <v>0</v>
      </c>
      <c r="M521" s="292">
        <v>0</v>
      </c>
      <c r="N521" s="292">
        <v>0</v>
      </c>
      <c r="P521" s="283">
        <f>R521+U521+X521+AA521+AD521+AG521+AJ521+AM521+AP521+AS521+AV521+AY521+BB521+BE521+BH521+BK521+BN521+BQ521+BT521+BW521+BZ521+CC521+CF521+CI521</f>
        <v>1</v>
      </c>
      <c r="Q521" s="283">
        <f>S521+V521+Y521+AB521+AE521+AH521+AK521+AN521+AQ521+AT521+AW521+AZ521+BC521+BF521+BI521+BL521+BO521+BR521+BU521+BX521+CA521+CD521+CG521+CJ521</f>
        <v>0</v>
      </c>
      <c r="R521" s="267">
        <v>0</v>
      </c>
      <c r="S521" s="267">
        <v>0</v>
      </c>
      <c r="U521" s="267">
        <v>0</v>
      </c>
      <c r="V521" s="267">
        <v>0</v>
      </c>
      <c r="X521" s="267">
        <v>0</v>
      </c>
      <c r="Y521" s="267">
        <v>0</v>
      </c>
      <c r="AA521" s="267">
        <v>0</v>
      </c>
      <c r="AB521" s="267">
        <v>0</v>
      </c>
      <c r="AD521" s="267">
        <v>0</v>
      </c>
      <c r="AE521" s="267">
        <v>0</v>
      </c>
      <c r="AG521" s="267">
        <v>0</v>
      </c>
      <c r="AH521" s="267">
        <v>0</v>
      </c>
      <c r="AJ521" s="267">
        <v>0</v>
      </c>
      <c r="AK521" s="267">
        <v>0</v>
      </c>
      <c r="AM521" s="267">
        <v>0</v>
      </c>
      <c r="AN521" s="267">
        <v>0</v>
      </c>
      <c r="AP521" s="267">
        <v>0</v>
      </c>
      <c r="AQ521" s="267">
        <v>0</v>
      </c>
      <c r="AS521" s="267">
        <v>0</v>
      </c>
      <c r="AT521" s="267">
        <v>0</v>
      </c>
      <c r="AV521" s="267">
        <v>0</v>
      </c>
      <c r="AW521" s="267">
        <v>0</v>
      </c>
      <c r="AY521" s="267">
        <v>0</v>
      </c>
      <c r="AZ521" s="267">
        <v>0</v>
      </c>
      <c r="BB521" s="267">
        <v>0</v>
      </c>
      <c r="BC521" s="267">
        <v>0</v>
      </c>
      <c r="BE521" s="267">
        <v>1</v>
      </c>
      <c r="BF521" s="267">
        <v>0</v>
      </c>
      <c r="BH521" s="267">
        <v>0</v>
      </c>
      <c r="BI521" s="267">
        <v>0</v>
      </c>
      <c r="BK521" s="267">
        <v>0</v>
      </c>
      <c r="BL521" s="267">
        <v>0</v>
      </c>
      <c r="BN521" s="267">
        <v>0</v>
      </c>
      <c r="BO521" s="267">
        <v>0</v>
      </c>
      <c r="BQ521" s="267">
        <v>0</v>
      </c>
      <c r="BR521" s="267">
        <v>0</v>
      </c>
      <c r="BT521" s="267">
        <v>0</v>
      </c>
      <c r="BU521" s="267">
        <v>0</v>
      </c>
      <c r="BW521" s="267">
        <v>0</v>
      </c>
      <c r="BX521" s="267">
        <v>0</v>
      </c>
      <c r="BZ521" s="267">
        <v>0</v>
      </c>
      <c r="CA521" s="267">
        <v>0</v>
      </c>
      <c r="CC521" s="267">
        <v>0</v>
      </c>
      <c r="CD521" s="267">
        <v>0</v>
      </c>
      <c r="CF521" s="267">
        <v>0</v>
      </c>
      <c r="CG521" s="267">
        <v>0</v>
      </c>
      <c r="CI521" s="267">
        <v>0</v>
      </c>
      <c r="CJ521" s="267">
        <v>0</v>
      </c>
    </row>
    <row r="522" spans="1:88" x14ac:dyDescent="0.25">
      <c r="A522" s="107"/>
      <c r="B522" s="16" t="s">
        <v>1185</v>
      </c>
      <c r="C522" s="95"/>
      <c r="D522" s="95" t="s">
        <v>1112</v>
      </c>
      <c r="E522" s="291">
        <v>0</v>
      </c>
      <c r="F522" s="291">
        <v>0</v>
      </c>
      <c r="G522" s="291">
        <v>0</v>
      </c>
      <c r="H522" s="291">
        <v>0</v>
      </c>
      <c r="I522" s="292">
        <v>0</v>
      </c>
      <c r="J522" s="292">
        <v>0</v>
      </c>
      <c r="K522" s="292">
        <v>0</v>
      </c>
      <c r="L522" s="292">
        <v>0</v>
      </c>
      <c r="M522" s="292">
        <v>0</v>
      </c>
      <c r="N522" s="292">
        <v>0</v>
      </c>
      <c r="P522" s="283">
        <f>R522+U522+X522+AA522+AD522+AG522+AJ522+AM522+AP522+AS522+AV522+AY522+BB522+BE522+BH522+BK522+BN522+BQ522+BT522+BW522+BZ522+CC522+CF522+CI522</f>
        <v>0</v>
      </c>
      <c r="Q522" s="283">
        <f>S522+V522+Y522+AB522+AE522+AH522+AK522+AN522+AQ522+AT522+AW522+AZ522+BC522+BF522+BI522+BL522+BO522+BR522+BU522+BX522+CA522+CD522+CG522+CJ522</f>
        <v>0</v>
      </c>
      <c r="R522" s="267">
        <v>0</v>
      </c>
      <c r="S522" s="267">
        <v>0</v>
      </c>
      <c r="U522" s="267">
        <v>0</v>
      </c>
      <c r="V522" s="267">
        <v>0</v>
      </c>
      <c r="X522" s="267">
        <v>0</v>
      </c>
      <c r="Y522" s="267">
        <v>0</v>
      </c>
      <c r="AA522" s="267">
        <v>0</v>
      </c>
      <c r="AB522" s="267">
        <v>0</v>
      </c>
      <c r="AD522" s="267">
        <v>0</v>
      </c>
      <c r="AE522" s="267">
        <v>0</v>
      </c>
      <c r="AG522" s="267">
        <v>0</v>
      </c>
      <c r="AH522" s="267">
        <v>0</v>
      </c>
      <c r="AJ522" s="267">
        <v>0</v>
      </c>
      <c r="AK522" s="267">
        <v>0</v>
      </c>
      <c r="AM522" s="267">
        <v>0</v>
      </c>
      <c r="AN522" s="267">
        <v>0</v>
      </c>
      <c r="AP522" s="267">
        <v>0</v>
      </c>
      <c r="AQ522" s="267">
        <v>0</v>
      </c>
      <c r="AS522" s="267">
        <v>0</v>
      </c>
      <c r="AT522" s="267">
        <v>0</v>
      </c>
      <c r="AV522" s="267">
        <v>0</v>
      </c>
      <c r="AW522" s="267">
        <v>0</v>
      </c>
      <c r="AY522" s="267">
        <v>0</v>
      </c>
      <c r="AZ522" s="267">
        <v>0</v>
      </c>
      <c r="BB522" s="267">
        <v>0</v>
      </c>
      <c r="BC522" s="267">
        <v>0</v>
      </c>
      <c r="BE522" s="267">
        <v>0</v>
      </c>
      <c r="BF522" s="267">
        <v>0</v>
      </c>
      <c r="BH522" s="267">
        <v>0</v>
      </c>
      <c r="BI522" s="267">
        <v>0</v>
      </c>
      <c r="BK522" s="267">
        <v>0</v>
      </c>
      <c r="BL522" s="267">
        <v>0</v>
      </c>
      <c r="BN522" s="267">
        <v>0</v>
      </c>
      <c r="BO522" s="267">
        <v>0</v>
      </c>
      <c r="BQ522" s="267">
        <v>0</v>
      </c>
      <c r="BR522" s="267">
        <v>0</v>
      </c>
      <c r="BT522" s="267">
        <v>0</v>
      </c>
      <c r="BU522" s="267">
        <v>0</v>
      </c>
      <c r="BW522" s="267">
        <v>0</v>
      </c>
      <c r="BX522" s="267">
        <v>0</v>
      </c>
      <c r="BZ522" s="267">
        <v>0</v>
      </c>
      <c r="CA522" s="267">
        <v>0</v>
      </c>
      <c r="CC522" s="267">
        <v>0</v>
      </c>
      <c r="CD522" s="267">
        <v>0</v>
      </c>
      <c r="CF522" s="267">
        <v>0</v>
      </c>
      <c r="CG522" s="267">
        <v>0</v>
      </c>
      <c r="CI522" s="267">
        <v>0</v>
      </c>
      <c r="CJ522" s="267">
        <v>0</v>
      </c>
    </row>
    <row r="523" spans="1:88" ht="30" x14ac:dyDescent="0.25">
      <c r="A523" s="107"/>
      <c r="B523" s="16" t="s">
        <v>61</v>
      </c>
      <c r="C523" s="95" t="s">
        <v>2724</v>
      </c>
      <c r="D523" s="95" t="s">
        <v>1112</v>
      </c>
      <c r="E523" s="291">
        <f t="shared" ref="E523:J523" si="719">E524+E525</f>
        <v>413</v>
      </c>
      <c r="F523" s="291">
        <f t="shared" si="719"/>
        <v>397</v>
      </c>
      <c r="G523" s="291">
        <f t="shared" si="719"/>
        <v>365</v>
      </c>
      <c r="H523" s="291">
        <f t="shared" si="719"/>
        <v>348</v>
      </c>
      <c r="I523" s="291">
        <f t="shared" si="719"/>
        <v>485</v>
      </c>
      <c r="J523" s="291">
        <f t="shared" si="719"/>
        <v>482</v>
      </c>
      <c r="K523" s="291">
        <f>K524+K525</f>
        <v>470</v>
      </c>
      <c r="L523" s="291">
        <f>L524+L525</f>
        <v>31</v>
      </c>
      <c r="M523" s="291">
        <f>M524+M525</f>
        <v>31</v>
      </c>
      <c r="N523" s="291">
        <f>N524+N525</f>
        <v>31</v>
      </c>
      <c r="P523" s="292">
        <f>P524+P525</f>
        <v>471</v>
      </c>
      <c r="Q523" s="292">
        <f>Q524+Q525</f>
        <v>457</v>
      </c>
      <c r="R523" s="292">
        <f>R524+R525</f>
        <v>8</v>
      </c>
      <c r="S523" s="292">
        <f>S524+S525</f>
        <v>8</v>
      </c>
      <c r="U523" s="292">
        <f>U524+U525</f>
        <v>29</v>
      </c>
      <c r="V523" s="292">
        <f>V524+V525</f>
        <v>25</v>
      </c>
      <c r="X523" s="292">
        <f>X524+X525</f>
        <v>14</v>
      </c>
      <c r="Y523" s="292">
        <f>Y524+Y525</f>
        <v>13</v>
      </c>
      <c r="AA523" s="292">
        <f>AA524+AA525</f>
        <v>15</v>
      </c>
      <c r="AB523" s="292">
        <f>AB524+AB525</f>
        <v>13</v>
      </c>
      <c r="AD523" s="292">
        <f>AD524+AD525</f>
        <v>6</v>
      </c>
      <c r="AE523" s="292">
        <f>AE524+AE525</f>
        <v>7</v>
      </c>
      <c r="AG523" s="292">
        <f>AG524+AG525</f>
        <v>33</v>
      </c>
      <c r="AH523" s="292">
        <f>AH524+AH525</f>
        <v>31</v>
      </c>
      <c r="AJ523" s="292">
        <f>AJ524+AJ525</f>
        <v>26</v>
      </c>
      <c r="AK523" s="292">
        <f>AK524+AK525</f>
        <v>27</v>
      </c>
      <c r="AM523" s="292">
        <f>AM524+AM525</f>
        <v>41</v>
      </c>
      <c r="AN523" s="292">
        <f>AN524+AN525</f>
        <v>40</v>
      </c>
      <c r="AP523" s="292">
        <f>AP524+AP525</f>
        <v>20</v>
      </c>
      <c r="AQ523" s="292">
        <f>AQ524+AQ525</f>
        <v>17</v>
      </c>
      <c r="AS523" s="292">
        <f>AS524+AS525</f>
        <v>26</v>
      </c>
      <c r="AT523" s="292">
        <f>AT524+AT525</f>
        <v>27</v>
      </c>
      <c r="AV523" s="292">
        <f>AV524+AV525</f>
        <v>10</v>
      </c>
      <c r="AW523" s="292">
        <f>AW524+AW525</f>
        <v>10</v>
      </c>
      <c r="AY523" s="292">
        <f>AY524+AY525</f>
        <v>17</v>
      </c>
      <c r="AZ523" s="292">
        <f>AZ524+AZ525</f>
        <v>17</v>
      </c>
      <c r="BB523" s="292">
        <f>BB524+BB525</f>
        <v>17</v>
      </c>
      <c r="BC523" s="292">
        <f>BC524+BC525</f>
        <v>16</v>
      </c>
      <c r="BE523" s="292">
        <f>BE524+BE525</f>
        <v>69</v>
      </c>
      <c r="BF523" s="292">
        <f>BF524+BF525</f>
        <v>67</v>
      </c>
      <c r="BH523" s="292">
        <f>BH524+BH525</f>
        <v>67</v>
      </c>
      <c r="BI523" s="292">
        <f>BI524+BI525</f>
        <v>68</v>
      </c>
      <c r="BK523" s="292">
        <f>BK524+BK525</f>
        <v>12</v>
      </c>
      <c r="BL523" s="292">
        <f>BL524+BL525</f>
        <v>12</v>
      </c>
      <c r="BN523" s="292">
        <f>BN524+BN525</f>
        <v>12</v>
      </c>
      <c r="BO523" s="292">
        <f>BO524+BO525</f>
        <v>12</v>
      </c>
      <c r="BQ523" s="292">
        <f>BQ524+BQ525</f>
        <v>15</v>
      </c>
      <c r="BR523" s="292">
        <f>BR524+BR525</f>
        <v>14</v>
      </c>
      <c r="BT523" s="292">
        <f>BT524+BT525</f>
        <v>14</v>
      </c>
      <c r="BU523" s="292">
        <f>BU524+BU525</f>
        <v>14</v>
      </c>
      <c r="BW523" s="292">
        <f>BW524+BW525</f>
        <v>5</v>
      </c>
      <c r="BX523" s="292">
        <f>BX524+BX525</f>
        <v>5</v>
      </c>
      <c r="BZ523" s="292">
        <f>BZ524+BZ525</f>
        <v>9</v>
      </c>
      <c r="CA523" s="292">
        <f>CA524+CA525</f>
        <v>8</v>
      </c>
      <c r="CC523" s="292">
        <f>CC524+CC525</f>
        <v>6</v>
      </c>
      <c r="CD523" s="292">
        <f>CD524+CD525</f>
        <v>6</v>
      </c>
      <c r="CF523" s="292">
        <f>CF524+CF525</f>
        <v>0</v>
      </c>
      <c r="CG523" s="292">
        <f>CG524+CG525</f>
        <v>0</v>
      </c>
      <c r="CI523" s="292">
        <f>CI524+CI525</f>
        <v>0</v>
      </c>
      <c r="CJ523" s="292">
        <f>CJ524+CJ525</f>
        <v>0</v>
      </c>
    </row>
    <row r="524" spans="1:88" x14ac:dyDescent="0.25">
      <c r="A524" s="107"/>
      <c r="B524" s="16" t="s">
        <v>1183</v>
      </c>
      <c r="C524" s="95"/>
      <c r="D524" s="95" t="s">
        <v>1112</v>
      </c>
      <c r="E524" s="291">
        <v>329</v>
      </c>
      <c r="F524" s="291">
        <v>320</v>
      </c>
      <c r="G524" s="291">
        <v>300</v>
      </c>
      <c r="H524" s="291">
        <v>284</v>
      </c>
      <c r="I524" s="291">
        <v>402</v>
      </c>
      <c r="J524" s="291">
        <v>400</v>
      </c>
      <c r="K524" s="291">
        <v>394</v>
      </c>
      <c r="L524" s="291">
        <v>18</v>
      </c>
      <c r="M524" s="291">
        <v>18</v>
      </c>
      <c r="N524" s="291">
        <v>18</v>
      </c>
      <c r="P524" s="283">
        <f>R524+U524+X524+AA524+AD524+AG524+AJ524+AM524+AP524+AS524+AV524+AY524+BB524+BE524+BH524+BK524+BN524+BQ524+BT524+BW524+BZ524+CC524+CF524+CI524</f>
        <v>390</v>
      </c>
      <c r="Q524" s="283">
        <f>S524+V524+Y524+AB524+AE524+AH524+AK524+AN524+AQ524+AT524+AW524+AZ524+BC524+BF524+BI524+BL524+BO524+BR524+BU524+BX524+CA524+CD524+CG524+CJ524</f>
        <v>387</v>
      </c>
      <c r="R524" s="267">
        <v>6</v>
      </c>
      <c r="S524" s="267">
        <v>6</v>
      </c>
      <c r="U524" s="267">
        <v>18</v>
      </c>
      <c r="V524" s="267">
        <v>16</v>
      </c>
      <c r="X524" s="267">
        <v>10</v>
      </c>
      <c r="Y524" s="267">
        <v>9</v>
      </c>
      <c r="AA524" s="267">
        <v>7</v>
      </c>
      <c r="AB524" s="267">
        <v>7</v>
      </c>
      <c r="AD524" s="267">
        <v>4</v>
      </c>
      <c r="AE524" s="267">
        <v>5</v>
      </c>
      <c r="AG524" s="267">
        <v>18</v>
      </c>
      <c r="AH524" s="267">
        <v>18</v>
      </c>
      <c r="AJ524" s="267">
        <v>24</v>
      </c>
      <c r="AK524" s="267">
        <v>25</v>
      </c>
      <c r="AM524" s="267">
        <v>24</v>
      </c>
      <c r="AN524" s="267">
        <v>25</v>
      </c>
      <c r="AP524" s="267">
        <v>0</v>
      </c>
      <c r="AQ524" s="267">
        <v>0</v>
      </c>
      <c r="AS524" s="267">
        <v>26</v>
      </c>
      <c r="AT524" s="267">
        <v>27</v>
      </c>
      <c r="AV524" s="267">
        <v>10</v>
      </c>
      <c r="AW524" s="267">
        <v>10</v>
      </c>
      <c r="AY524" s="267">
        <v>17</v>
      </c>
      <c r="AZ524" s="267">
        <v>17</v>
      </c>
      <c r="BB524" s="267">
        <v>17</v>
      </c>
      <c r="BC524" s="267">
        <v>16</v>
      </c>
      <c r="BE524" s="267">
        <v>69</v>
      </c>
      <c r="BF524" s="267">
        <v>67</v>
      </c>
      <c r="BH524" s="267">
        <v>67</v>
      </c>
      <c r="BI524" s="267">
        <v>68</v>
      </c>
      <c r="BK524" s="267">
        <v>12</v>
      </c>
      <c r="BL524" s="267">
        <v>12</v>
      </c>
      <c r="BN524" s="267">
        <v>12</v>
      </c>
      <c r="BO524" s="267">
        <v>12</v>
      </c>
      <c r="BQ524" s="267">
        <v>15</v>
      </c>
      <c r="BR524" s="267">
        <v>14</v>
      </c>
      <c r="BT524" s="267">
        <v>14</v>
      </c>
      <c r="BU524" s="267">
        <v>14</v>
      </c>
      <c r="BW524" s="267">
        <v>5</v>
      </c>
      <c r="BX524" s="267">
        <v>5</v>
      </c>
      <c r="BZ524" s="267">
        <v>9</v>
      </c>
      <c r="CA524" s="267">
        <v>8</v>
      </c>
      <c r="CC524" s="267">
        <v>6</v>
      </c>
      <c r="CD524" s="267">
        <v>6</v>
      </c>
      <c r="CF524" s="267">
        <v>0</v>
      </c>
      <c r="CG524" s="267">
        <v>0</v>
      </c>
      <c r="CI524" s="267">
        <v>0</v>
      </c>
      <c r="CJ524" s="267">
        <v>0</v>
      </c>
    </row>
    <row r="525" spans="1:88" x14ac:dyDescent="0.25">
      <c r="A525" s="107"/>
      <c r="B525" s="16" t="s">
        <v>1185</v>
      </c>
      <c r="C525" s="95"/>
      <c r="D525" s="95" t="s">
        <v>1112</v>
      </c>
      <c r="E525" s="291">
        <v>84</v>
      </c>
      <c r="F525" s="291">
        <v>77</v>
      </c>
      <c r="G525" s="291">
        <v>65</v>
      </c>
      <c r="H525" s="291">
        <v>64</v>
      </c>
      <c r="I525" s="291">
        <v>83</v>
      </c>
      <c r="J525" s="291">
        <v>82</v>
      </c>
      <c r="K525" s="291">
        <v>76</v>
      </c>
      <c r="L525" s="291">
        <v>13</v>
      </c>
      <c r="M525" s="291">
        <v>13</v>
      </c>
      <c r="N525" s="291">
        <v>13</v>
      </c>
      <c r="P525" s="283">
        <f>R525+U525+X525+AA525+AD525+AG525+AJ525+AM525+AP525+AS525+AV525+AY525+BB525+BE525+BH525+BK525+BN525+BQ525+BT525+BW525+BZ525+CC525+CF525+CI525</f>
        <v>81</v>
      </c>
      <c r="Q525" s="283">
        <f>S525+V525+Y525+AB525+AE525+AH525+AK525+AN525+AQ525+AT525+AW525+AZ525+BC525+BF525+BI525+BL525+BO525+BR525+BU525+BX525+CA525+CD525+CG525+CJ525</f>
        <v>70</v>
      </c>
      <c r="R525" s="267">
        <v>2</v>
      </c>
      <c r="S525" s="267">
        <v>2</v>
      </c>
      <c r="U525" s="267">
        <v>11</v>
      </c>
      <c r="V525" s="267">
        <v>9</v>
      </c>
      <c r="X525" s="267">
        <v>4</v>
      </c>
      <c r="Y525" s="267">
        <v>4</v>
      </c>
      <c r="AA525" s="267">
        <v>8</v>
      </c>
      <c r="AB525" s="267">
        <v>6</v>
      </c>
      <c r="AD525" s="267">
        <v>2</v>
      </c>
      <c r="AE525" s="267">
        <v>2</v>
      </c>
      <c r="AG525" s="267">
        <v>15</v>
      </c>
      <c r="AH525" s="267">
        <v>13</v>
      </c>
      <c r="AJ525" s="267">
        <v>2</v>
      </c>
      <c r="AK525" s="267">
        <v>2</v>
      </c>
      <c r="AM525" s="267">
        <v>17</v>
      </c>
      <c r="AN525" s="267">
        <v>15</v>
      </c>
      <c r="AP525" s="267">
        <v>20</v>
      </c>
      <c r="AQ525" s="267">
        <v>17</v>
      </c>
      <c r="AS525" s="267">
        <v>0</v>
      </c>
      <c r="AT525" s="267">
        <v>0</v>
      </c>
      <c r="AV525" s="267">
        <v>0</v>
      </c>
      <c r="AW525" s="267">
        <v>0</v>
      </c>
      <c r="AY525" s="267">
        <v>0</v>
      </c>
      <c r="AZ525" s="267">
        <v>0</v>
      </c>
      <c r="BB525" s="267">
        <v>0</v>
      </c>
      <c r="BC525" s="267">
        <v>0</v>
      </c>
      <c r="BE525" s="267">
        <v>0</v>
      </c>
      <c r="BF525" s="267">
        <v>0</v>
      </c>
      <c r="BH525" s="267">
        <v>0</v>
      </c>
      <c r="BI525" s="267">
        <v>0</v>
      </c>
      <c r="BK525" s="267">
        <v>0</v>
      </c>
      <c r="BL525" s="267">
        <v>0</v>
      </c>
      <c r="BN525" s="267">
        <v>0</v>
      </c>
      <c r="BO525" s="267">
        <v>0</v>
      </c>
      <c r="BQ525" s="267">
        <v>0</v>
      </c>
      <c r="BR525" s="267">
        <v>0</v>
      </c>
      <c r="BT525" s="267">
        <v>0</v>
      </c>
      <c r="BU525" s="267">
        <v>0</v>
      </c>
      <c r="BW525" s="267">
        <v>0</v>
      </c>
      <c r="BX525" s="267">
        <v>0</v>
      </c>
      <c r="BZ525" s="267">
        <v>0</v>
      </c>
      <c r="CA525" s="267">
        <v>0</v>
      </c>
      <c r="CC525" s="267">
        <v>0</v>
      </c>
      <c r="CD525" s="267">
        <v>0</v>
      </c>
      <c r="CF525" s="267">
        <v>0</v>
      </c>
      <c r="CG525" s="267">
        <v>0</v>
      </c>
      <c r="CI525" s="267">
        <v>0</v>
      </c>
      <c r="CJ525" s="267">
        <v>0</v>
      </c>
    </row>
    <row r="526" spans="1:88" ht="45" x14ac:dyDescent="0.25">
      <c r="A526" s="95" t="s">
        <v>118</v>
      </c>
      <c r="B526" s="96" t="s">
        <v>1646</v>
      </c>
      <c r="C526" s="107"/>
      <c r="D526" s="95" t="s">
        <v>8</v>
      </c>
      <c r="E526" s="279">
        <f t="shared" ref="E526:N528" si="720">E529/E532*100</f>
        <v>8.4745762711864394</v>
      </c>
      <c r="F526" s="279">
        <f t="shared" si="720"/>
        <v>6.2972292191435768</v>
      </c>
      <c r="G526" s="293">
        <f t="shared" si="720"/>
        <v>6.8493150684931505</v>
      </c>
      <c r="H526" s="279">
        <f t="shared" si="720"/>
        <v>5.7471264367816088</v>
      </c>
      <c r="I526" s="279">
        <f t="shared" si="720"/>
        <v>4.3298969072164946</v>
      </c>
      <c r="J526" s="279">
        <f t="shared" si="720"/>
        <v>3.7344398340248963</v>
      </c>
      <c r="K526" s="279">
        <f t="shared" si="720"/>
        <v>2.7659574468085104</v>
      </c>
      <c r="L526" s="279">
        <f t="shared" si="720"/>
        <v>0</v>
      </c>
      <c r="M526" s="279">
        <f t="shared" si="720"/>
        <v>0</v>
      </c>
      <c r="N526" s="279">
        <f t="shared" si="720"/>
        <v>0</v>
      </c>
      <c r="O526" s="281" t="s">
        <v>120</v>
      </c>
      <c r="P526" s="279">
        <f t="shared" ref="P526:S528" si="721">P529/P532*100</f>
        <v>2.7600849256900215</v>
      </c>
      <c r="Q526" s="279">
        <f t="shared" si="721"/>
        <v>2.6258205689277898</v>
      </c>
      <c r="R526" s="279">
        <f t="shared" si="721"/>
        <v>0</v>
      </c>
      <c r="S526" s="279">
        <f t="shared" si="721"/>
        <v>0</v>
      </c>
      <c r="U526" s="279">
        <f t="shared" ref="U526:V528" si="722">U529/U532*100</f>
        <v>0</v>
      </c>
      <c r="V526" s="279">
        <f t="shared" si="722"/>
        <v>0</v>
      </c>
      <c r="X526" s="279">
        <f t="shared" ref="X526:Y528" si="723">X529/X532*100</f>
        <v>7.1428571428571423</v>
      </c>
      <c r="Y526" s="279">
        <f t="shared" si="723"/>
        <v>7.6923076923076925</v>
      </c>
      <c r="AA526" s="279">
        <f t="shared" ref="AA526:AB528" si="724">AA529/AA532*100</f>
        <v>0</v>
      </c>
      <c r="AB526" s="279">
        <f t="shared" si="724"/>
        <v>0</v>
      </c>
      <c r="AD526" s="279">
        <f t="shared" ref="AD526:AE528" si="725">AD529/AD532*100</f>
        <v>0</v>
      </c>
      <c r="AE526" s="279">
        <f t="shared" si="725"/>
        <v>0</v>
      </c>
      <c r="AG526" s="279">
        <f t="shared" ref="AG526:AH528" si="726">AG529/AG532*100</f>
        <v>0</v>
      </c>
      <c r="AH526" s="279">
        <f t="shared" si="726"/>
        <v>0</v>
      </c>
      <c r="AJ526" s="279">
        <f t="shared" ref="AJ526:AK528" si="727">AJ529/AJ532*100</f>
        <v>23.076923076923077</v>
      </c>
      <c r="AK526" s="279">
        <f t="shared" si="727"/>
        <v>18.518518518518519</v>
      </c>
      <c r="AM526" s="279">
        <f t="shared" ref="AM526:AN528" si="728">AM529/AM532*100</f>
        <v>2.4390243902439024</v>
      </c>
      <c r="AN526" s="279">
        <f t="shared" si="728"/>
        <v>2.5</v>
      </c>
      <c r="AP526" s="279">
        <f t="shared" ref="AP526:AQ528" si="729">AP529/AP532*100</f>
        <v>0</v>
      </c>
      <c r="AQ526" s="279">
        <f t="shared" si="729"/>
        <v>0</v>
      </c>
      <c r="AS526" s="279">
        <f t="shared" ref="AS526:AT528" si="730">AS529/AS532*100</f>
        <v>0</v>
      </c>
      <c r="AT526" s="279">
        <f t="shared" si="730"/>
        <v>0</v>
      </c>
      <c r="AV526" s="279">
        <f t="shared" ref="AV526:AW528" si="731">AV529/AV532*100</f>
        <v>0</v>
      </c>
      <c r="AW526" s="279">
        <f t="shared" si="731"/>
        <v>0</v>
      </c>
      <c r="AY526" s="279">
        <f t="shared" ref="AY526:AZ528" si="732">AY529/AY532*100</f>
        <v>0</v>
      </c>
      <c r="AZ526" s="279">
        <f t="shared" si="732"/>
        <v>0</v>
      </c>
      <c r="BB526" s="279">
        <f t="shared" ref="BB526:BC528" si="733">BB529/BB532*100</f>
        <v>0</v>
      </c>
      <c r="BC526" s="279">
        <f t="shared" si="733"/>
        <v>0</v>
      </c>
      <c r="BE526" s="279">
        <f t="shared" ref="BE526:BF528" si="734">BE529/BE532*100</f>
        <v>0</v>
      </c>
      <c r="BF526" s="279">
        <f t="shared" si="734"/>
        <v>0</v>
      </c>
      <c r="BH526" s="279">
        <f t="shared" ref="BH526:BI528" si="735">BH529/BH532*100</f>
        <v>5.9701492537313428</v>
      </c>
      <c r="BI526" s="279">
        <f t="shared" si="735"/>
        <v>5.8823529411764701</v>
      </c>
      <c r="BK526" s="279">
        <f t="shared" ref="BK526:BL528" si="736">BK529/BK532*100</f>
        <v>0</v>
      </c>
      <c r="BL526" s="279">
        <f t="shared" si="736"/>
        <v>0</v>
      </c>
      <c r="BN526" s="279">
        <f t="shared" ref="BN526:BO528" si="737">BN529/BN532*100</f>
        <v>8.3333333333333321</v>
      </c>
      <c r="BO526" s="279">
        <f t="shared" si="737"/>
        <v>8.3333333333333321</v>
      </c>
      <c r="BQ526" s="279">
        <f t="shared" ref="BQ526:BR528" si="738">BQ529/BQ532*100</f>
        <v>0</v>
      </c>
      <c r="BR526" s="279">
        <f t="shared" si="738"/>
        <v>0</v>
      </c>
      <c r="BT526" s="279">
        <f t="shared" ref="BT526:BU528" si="739">BT529/BT532*100</f>
        <v>0</v>
      </c>
      <c r="BU526" s="279">
        <f t="shared" si="739"/>
        <v>0</v>
      </c>
      <c r="BW526" s="279">
        <f t="shared" ref="BW526:BX528" si="740">BW529/BW532*100</f>
        <v>0</v>
      </c>
      <c r="BX526" s="279">
        <f t="shared" si="740"/>
        <v>0</v>
      </c>
      <c r="BZ526" s="279">
        <f t="shared" ref="BZ526:CA528" si="741">BZ529/BZ532*100</f>
        <v>0</v>
      </c>
      <c r="CA526" s="279">
        <f t="shared" si="741"/>
        <v>0</v>
      </c>
      <c r="CC526" s="279">
        <f t="shared" ref="CC526:CD528" si="742">CC529/CC532*100</f>
        <v>0</v>
      </c>
      <c r="CD526" s="279">
        <f t="shared" si="742"/>
        <v>0</v>
      </c>
      <c r="CF526" s="279" t="e">
        <f t="shared" ref="CF526:CG528" si="743">CF529/CF532*100</f>
        <v>#DIV/0!</v>
      </c>
      <c r="CG526" s="279" t="e">
        <f t="shared" si="743"/>
        <v>#DIV/0!</v>
      </c>
      <c r="CI526" s="279" t="e">
        <f t="shared" ref="CI526:CJ528" si="744">CI529/CI532*100</f>
        <v>#DIV/0!</v>
      </c>
      <c r="CJ526" s="279" t="e">
        <f t="shared" si="744"/>
        <v>#DIV/0!</v>
      </c>
    </row>
    <row r="527" spans="1:88" x14ac:dyDescent="0.25">
      <c r="A527" s="95"/>
      <c r="B527" s="16" t="s">
        <v>1183</v>
      </c>
      <c r="C527" s="107"/>
      <c r="D527" s="95" t="s">
        <v>8</v>
      </c>
      <c r="E527" s="279">
        <f t="shared" si="720"/>
        <v>7.2948328267477196</v>
      </c>
      <c r="F527" s="279">
        <f t="shared" si="720"/>
        <v>5</v>
      </c>
      <c r="G527" s="293">
        <f t="shared" si="720"/>
        <v>6</v>
      </c>
      <c r="H527" s="279">
        <f t="shared" si="720"/>
        <v>4.929577464788732</v>
      </c>
      <c r="I527" s="279">
        <f t="shared" si="720"/>
        <v>3.7313432835820892</v>
      </c>
      <c r="J527" s="279">
        <f t="shared" si="720"/>
        <v>3.25</v>
      </c>
      <c r="K527" s="279">
        <f t="shared" si="720"/>
        <v>2.7918781725888326</v>
      </c>
      <c r="L527" s="279">
        <f t="shared" si="720"/>
        <v>0</v>
      </c>
      <c r="M527" s="279">
        <f t="shared" si="720"/>
        <v>0</v>
      </c>
      <c r="N527" s="279">
        <f t="shared" si="720"/>
        <v>0</v>
      </c>
      <c r="O527" s="281"/>
      <c r="P527" s="279">
        <f t="shared" si="721"/>
        <v>2.8205128205128207</v>
      </c>
      <c r="Q527" s="279">
        <f t="shared" si="721"/>
        <v>2.5839793281653747</v>
      </c>
      <c r="R527" s="279">
        <f t="shared" si="721"/>
        <v>0</v>
      </c>
      <c r="S527" s="279">
        <f t="shared" si="721"/>
        <v>0</v>
      </c>
      <c r="U527" s="279">
        <f t="shared" si="722"/>
        <v>0</v>
      </c>
      <c r="V527" s="279">
        <f t="shared" si="722"/>
        <v>0</v>
      </c>
      <c r="X527" s="279">
        <f t="shared" si="723"/>
        <v>0</v>
      </c>
      <c r="Y527" s="279">
        <f t="shared" si="723"/>
        <v>0</v>
      </c>
      <c r="AA527" s="279">
        <f t="shared" si="724"/>
        <v>0</v>
      </c>
      <c r="AB527" s="279">
        <f t="shared" si="724"/>
        <v>0</v>
      </c>
      <c r="AD527" s="279">
        <f t="shared" si="725"/>
        <v>0</v>
      </c>
      <c r="AE527" s="279">
        <f t="shared" si="725"/>
        <v>0</v>
      </c>
      <c r="AG527" s="279">
        <f t="shared" si="726"/>
        <v>0</v>
      </c>
      <c r="AH527" s="279">
        <f t="shared" si="726"/>
        <v>0</v>
      </c>
      <c r="AJ527" s="279">
        <f t="shared" si="727"/>
        <v>20.833333333333336</v>
      </c>
      <c r="AK527" s="279">
        <f t="shared" si="727"/>
        <v>20</v>
      </c>
      <c r="AM527" s="279">
        <f t="shared" si="728"/>
        <v>4.1666666666666661</v>
      </c>
      <c r="AN527" s="279">
        <f t="shared" si="728"/>
        <v>0</v>
      </c>
      <c r="AP527" s="279" t="e">
        <f t="shared" si="729"/>
        <v>#DIV/0!</v>
      </c>
      <c r="AQ527" s="279" t="e">
        <f t="shared" si="729"/>
        <v>#DIV/0!</v>
      </c>
      <c r="AS527" s="279">
        <f t="shared" si="730"/>
        <v>0</v>
      </c>
      <c r="AT527" s="279">
        <f t="shared" si="730"/>
        <v>0</v>
      </c>
      <c r="AV527" s="279">
        <f t="shared" si="731"/>
        <v>0</v>
      </c>
      <c r="AW527" s="279">
        <f t="shared" si="731"/>
        <v>0</v>
      </c>
      <c r="AY527" s="279">
        <f t="shared" si="732"/>
        <v>0</v>
      </c>
      <c r="AZ527" s="279">
        <f t="shared" si="732"/>
        <v>0</v>
      </c>
      <c r="BB527" s="279">
        <f t="shared" si="733"/>
        <v>0</v>
      </c>
      <c r="BC527" s="279">
        <f t="shared" si="733"/>
        <v>0</v>
      </c>
      <c r="BE527" s="279">
        <f t="shared" si="734"/>
        <v>0</v>
      </c>
      <c r="BF527" s="279">
        <f t="shared" si="734"/>
        <v>0</v>
      </c>
      <c r="BH527" s="279">
        <f t="shared" si="735"/>
        <v>5.9701492537313428</v>
      </c>
      <c r="BI527" s="279">
        <f t="shared" si="735"/>
        <v>5.8823529411764701</v>
      </c>
      <c r="BK527" s="279">
        <f t="shared" si="736"/>
        <v>0</v>
      </c>
      <c r="BL527" s="279">
        <f t="shared" si="736"/>
        <v>0</v>
      </c>
      <c r="BN527" s="279">
        <f t="shared" si="737"/>
        <v>8.3333333333333321</v>
      </c>
      <c r="BO527" s="279">
        <f t="shared" si="737"/>
        <v>8.3333333333333321</v>
      </c>
      <c r="BQ527" s="279">
        <f t="shared" si="738"/>
        <v>0</v>
      </c>
      <c r="BR527" s="279">
        <f t="shared" si="738"/>
        <v>0</v>
      </c>
      <c r="BT527" s="279">
        <f t="shared" si="739"/>
        <v>0</v>
      </c>
      <c r="BU527" s="279">
        <f t="shared" si="739"/>
        <v>0</v>
      </c>
      <c r="BW527" s="279">
        <f t="shared" si="740"/>
        <v>0</v>
      </c>
      <c r="BX527" s="279">
        <f t="shared" si="740"/>
        <v>0</v>
      </c>
      <c r="BZ527" s="279">
        <f t="shared" si="741"/>
        <v>0</v>
      </c>
      <c r="CA527" s="279">
        <f t="shared" si="741"/>
        <v>0</v>
      </c>
      <c r="CC527" s="279">
        <f t="shared" si="742"/>
        <v>0</v>
      </c>
      <c r="CD527" s="279">
        <f t="shared" si="742"/>
        <v>0</v>
      </c>
      <c r="CF527" s="279" t="e">
        <f t="shared" si="743"/>
        <v>#DIV/0!</v>
      </c>
      <c r="CG527" s="279" t="e">
        <f t="shared" si="743"/>
        <v>#DIV/0!</v>
      </c>
      <c r="CI527" s="279" t="e">
        <f t="shared" si="744"/>
        <v>#DIV/0!</v>
      </c>
      <c r="CJ527" s="279" t="e">
        <f t="shared" si="744"/>
        <v>#DIV/0!</v>
      </c>
    </row>
    <row r="528" spans="1:88" x14ac:dyDescent="0.25">
      <c r="A528" s="95"/>
      <c r="B528" s="16" t="s">
        <v>1185</v>
      </c>
      <c r="C528" s="107"/>
      <c r="D528" s="95" t="s">
        <v>8</v>
      </c>
      <c r="E528" s="279">
        <f t="shared" si="720"/>
        <v>13.095238095238097</v>
      </c>
      <c r="F528" s="279">
        <v>11.7</v>
      </c>
      <c r="G528" s="293">
        <f t="shared" si="720"/>
        <v>10.76923076923077</v>
      </c>
      <c r="H528" s="279">
        <f t="shared" si="720"/>
        <v>9.375</v>
      </c>
      <c r="I528" s="279">
        <f t="shared" si="720"/>
        <v>7.2289156626506017</v>
      </c>
      <c r="J528" s="279">
        <f t="shared" si="720"/>
        <v>6.0975609756097562</v>
      </c>
      <c r="K528" s="279">
        <f t="shared" si="720"/>
        <v>2.6315789473684208</v>
      </c>
      <c r="L528" s="279">
        <f t="shared" si="720"/>
        <v>0</v>
      </c>
      <c r="M528" s="279">
        <f t="shared" si="720"/>
        <v>0</v>
      </c>
      <c r="N528" s="279">
        <f t="shared" si="720"/>
        <v>0</v>
      </c>
      <c r="O528" s="281"/>
      <c r="P528" s="279">
        <f t="shared" si="721"/>
        <v>2.4691358024691357</v>
      </c>
      <c r="Q528" s="279">
        <f t="shared" si="721"/>
        <v>2.8571428571428572</v>
      </c>
      <c r="R528" s="279">
        <f t="shared" si="721"/>
        <v>0</v>
      </c>
      <c r="S528" s="279">
        <f t="shared" si="721"/>
        <v>0</v>
      </c>
      <c r="U528" s="279">
        <f t="shared" si="722"/>
        <v>0</v>
      </c>
      <c r="V528" s="279">
        <f t="shared" si="722"/>
        <v>0</v>
      </c>
      <c r="X528" s="279">
        <f t="shared" si="723"/>
        <v>25</v>
      </c>
      <c r="Y528" s="279">
        <f t="shared" si="723"/>
        <v>25</v>
      </c>
      <c r="AA528" s="279">
        <f t="shared" si="724"/>
        <v>0</v>
      </c>
      <c r="AB528" s="279">
        <f t="shared" si="724"/>
        <v>0</v>
      </c>
      <c r="AD528" s="279">
        <f t="shared" si="725"/>
        <v>0</v>
      </c>
      <c r="AE528" s="279">
        <f t="shared" si="725"/>
        <v>0</v>
      </c>
      <c r="AG528" s="279">
        <f t="shared" si="726"/>
        <v>0</v>
      </c>
      <c r="AH528" s="279">
        <f t="shared" si="726"/>
        <v>0</v>
      </c>
      <c r="AJ528" s="279">
        <f t="shared" si="727"/>
        <v>50</v>
      </c>
      <c r="AK528" s="279">
        <f t="shared" si="727"/>
        <v>0</v>
      </c>
      <c r="AM528" s="279">
        <f t="shared" si="728"/>
        <v>0</v>
      </c>
      <c r="AN528" s="279">
        <f t="shared" si="728"/>
        <v>6.666666666666667</v>
      </c>
      <c r="AP528" s="279">
        <f t="shared" si="729"/>
        <v>0</v>
      </c>
      <c r="AQ528" s="279">
        <f t="shared" si="729"/>
        <v>0</v>
      </c>
      <c r="AS528" s="279" t="e">
        <f t="shared" si="730"/>
        <v>#DIV/0!</v>
      </c>
      <c r="AT528" s="279" t="e">
        <f t="shared" si="730"/>
        <v>#DIV/0!</v>
      </c>
      <c r="AV528" s="279" t="e">
        <f t="shared" si="731"/>
        <v>#DIV/0!</v>
      </c>
      <c r="AW528" s="279" t="e">
        <f t="shared" si="731"/>
        <v>#DIV/0!</v>
      </c>
      <c r="AY528" s="279" t="e">
        <f t="shared" si="732"/>
        <v>#DIV/0!</v>
      </c>
      <c r="AZ528" s="279" t="e">
        <f t="shared" si="732"/>
        <v>#DIV/0!</v>
      </c>
      <c r="BB528" s="279" t="e">
        <f t="shared" si="733"/>
        <v>#DIV/0!</v>
      </c>
      <c r="BC528" s="279" t="e">
        <f t="shared" si="733"/>
        <v>#DIV/0!</v>
      </c>
      <c r="BE528" s="279" t="e">
        <f t="shared" si="734"/>
        <v>#DIV/0!</v>
      </c>
      <c r="BF528" s="279" t="e">
        <f t="shared" si="734"/>
        <v>#DIV/0!</v>
      </c>
      <c r="BH528" s="279" t="e">
        <f t="shared" si="735"/>
        <v>#DIV/0!</v>
      </c>
      <c r="BI528" s="279" t="e">
        <f t="shared" si="735"/>
        <v>#DIV/0!</v>
      </c>
      <c r="BK528" s="279" t="e">
        <f t="shared" si="736"/>
        <v>#DIV/0!</v>
      </c>
      <c r="BL528" s="279" t="e">
        <f t="shared" si="736"/>
        <v>#DIV/0!</v>
      </c>
      <c r="BN528" s="279" t="e">
        <f t="shared" si="737"/>
        <v>#DIV/0!</v>
      </c>
      <c r="BO528" s="279" t="e">
        <f t="shared" si="737"/>
        <v>#DIV/0!</v>
      </c>
      <c r="BQ528" s="279" t="e">
        <f t="shared" si="738"/>
        <v>#DIV/0!</v>
      </c>
      <c r="BR528" s="279" t="e">
        <f t="shared" si="738"/>
        <v>#DIV/0!</v>
      </c>
      <c r="BT528" s="279" t="e">
        <f t="shared" si="739"/>
        <v>#DIV/0!</v>
      </c>
      <c r="BU528" s="279" t="e">
        <f t="shared" si="739"/>
        <v>#DIV/0!</v>
      </c>
      <c r="BW528" s="279" t="e">
        <f t="shared" si="740"/>
        <v>#DIV/0!</v>
      </c>
      <c r="BX528" s="279" t="e">
        <f t="shared" si="740"/>
        <v>#DIV/0!</v>
      </c>
      <c r="BZ528" s="279" t="e">
        <f t="shared" si="741"/>
        <v>#DIV/0!</v>
      </c>
      <c r="CA528" s="279" t="e">
        <f t="shared" si="741"/>
        <v>#DIV/0!</v>
      </c>
      <c r="CC528" s="279" t="e">
        <f t="shared" si="742"/>
        <v>#DIV/0!</v>
      </c>
      <c r="CD528" s="279" t="e">
        <f t="shared" si="742"/>
        <v>#DIV/0!</v>
      </c>
      <c r="CF528" s="279" t="e">
        <f t="shared" si="743"/>
        <v>#DIV/0!</v>
      </c>
      <c r="CG528" s="279" t="e">
        <f t="shared" si="743"/>
        <v>#DIV/0!</v>
      </c>
      <c r="CI528" s="279" t="e">
        <f t="shared" si="744"/>
        <v>#DIV/0!</v>
      </c>
      <c r="CJ528" s="279" t="e">
        <f t="shared" si="744"/>
        <v>#DIV/0!</v>
      </c>
    </row>
    <row r="529" spans="1:88" ht="30" x14ac:dyDescent="0.25">
      <c r="A529" s="107"/>
      <c r="B529" s="16" t="s">
        <v>119</v>
      </c>
      <c r="C529" s="101" t="s">
        <v>1826</v>
      </c>
      <c r="D529" s="95" t="s">
        <v>1112</v>
      </c>
      <c r="E529" s="291">
        <f t="shared" ref="E529:Y529" si="745">E530+E531</f>
        <v>35</v>
      </c>
      <c r="F529" s="291">
        <f t="shared" si="745"/>
        <v>25</v>
      </c>
      <c r="G529" s="291">
        <f t="shared" si="745"/>
        <v>25</v>
      </c>
      <c r="H529" s="291">
        <f t="shared" si="745"/>
        <v>20</v>
      </c>
      <c r="I529" s="292">
        <f t="shared" si="745"/>
        <v>21</v>
      </c>
      <c r="J529" s="292">
        <f t="shared" si="745"/>
        <v>18</v>
      </c>
      <c r="K529" s="292">
        <f>K530+K531</f>
        <v>13</v>
      </c>
      <c r="L529" s="292">
        <f>L530+L531</f>
        <v>0</v>
      </c>
      <c r="M529" s="292">
        <f>M530+M531</f>
        <v>0</v>
      </c>
      <c r="N529" s="292">
        <f>N530+N531</f>
        <v>0</v>
      </c>
      <c r="P529" s="292">
        <f t="shared" si="745"/>
        <v>13</v>
      </c>
      <c r="Q529" s="292">
        <f t="shared" si="745"/>
        <v>12</v>
      </c>
      <c r="R529" s="292">
        <f t="shared" si="745"/>
        <v>0</v>
      </c>
      <c r="S529" s="292">
        <f t="shared" si="745"/>
        <v>0</v>
      </c>
      <c r="U529" s="292">
        <f t="shared" si="745"/>
        <v>0</v>
      </c>
      <c r="V529" s="292">
        <f t="shared" si="745"/>
        <v>0</v>
      </c>
      <c r="X529" s="292">
        <f t="shared" si="745"/>
        <v>1</v>
      </c>
      <c r="Y529" s="292">
        <f t="shared" si="745"/>
        <v>1</v>
      </c>
      <c r="AA529" s="292">
        <f>AA530+AA531</f>
        <v>0</v>
      </c>
      <c r="AB529" s="292">
        <f>AB530+AB531</f>
        <v>0</v>
      </c>
      <c r="AD529" s="292">
        <f>AD530+AD531</f>
        <v>0</v>
      </c>
      <c r="AE529" s="292">
        <f>AE530+AE531</f>
        <v>0</v>
      </c>
      <c r="AG529" s="292">
        <f>AG530+AG531</f>
        <v>0</v>
      </c>
      <c r="AH529" s="292">
        <f>AH530+AH531</f>
        <v>0</v>
      </c>
      <c r="AJ529" s="292">
        <f>AJ530+AJ531</f>
        <v>6</v>
      </c>
      <c r="AK529" s="292">
        <f>AK530+AK531</f>
        <v>5</v>
      </c>
      <c r="AM529" s="292">
        <f>AM530+AM531</f>
        <v>1</v>
      </c>
      <c r="AN529" s="292">
        <f>AN530+AN531</f>
        <v>1</v>
      </c>
      <c r="AP529" s="292">
        <f>AP530+AP531</f>
        <v>0</v>
      </c>
      <c r="AQ529" s="292">
        <f>AQ530+AQ531</f>
        <v>0</v>
      </c>
      <c r="AS529" s="292">
        <f>AS530+AS531</f>
        <v>0</v>
      </c>
      <c r="AT529" s="292">
        <f>AT530+AT531</f>
        <v>0</v>
      </c>
      <c r="AV529" s="292">
        <f>AV530+AV531</f>
        <v>0</v>
      </c>
      <c r="AW529" s="292">
        <f>AW530+AW531</f>
        <v>0</v>
      </c>
      <c r="AY529" s="292">
        <f>AY530+AY531</f>
        <v>0</v>
      </c>
      <c r="AZ529" s="292">
        <f>AZ530+AZ531</f>
        <v>0</v>
      </c>
      <c r="BB529" s="292">
        <f>BB530+BB531</f>
        <v>0</v>
      </c>
      <c r="BC529" s="292">
        <f>BC530+BC531</f>
        <v>0</v>
      </c>
      <c r="BE529" s="292">
        <f>BE530+BE531</f>
        <v>0</v>
      </c>
      <c r="BF529" s="292">
        <f>BF530+BF531</f>
        <v>0</v>
      </c>
      <c r="BH529" s="292">
        <f>BH530+BH531</f>
        <v>4</v>
      </c>
      <c r="BI529" s="292">
        <f>BI530+BI531</f>
        <v>4</v>
      </c>
      <c r="BK529" s="292">
        <f>BK530+BK531</f>
        <v>0</v>
      </c>
      <c r="BL529" s="292">
        <f>BL530+BL531</f>
        <v>0</v>
      </c>
      <c r="BN529" s="292">
        <f>BN530+BN531</f>
        <v>1</v>
      </c>
      <c r="BO529" s="292">
        <f>BO530+BO531</f>
        <v>1</v>
      </c>
      <c r="BQ529" s="292">
        <f>BQ530+BQ531</f>
        <v>0</v>
      </c>
      <c r="BR529" s="292">
        <f>BR530+BR531</f>
        <v>0</v>
      </c>
      <c r="BT529" s="292">
        <f>BT530+BT531</f>
        <v>0</v>
      </c>
      <c r="BU529" s="292">
        <f>BU530+BU531</f>
        <v>0</v>
      </c>
      <c r="BW529" s="292">
        <f>BW530+BW531</f>
        <v>0</v>
      </c>
      <c r="BX529" s="292">
        <f>BX530+BX531</f>
        <v>0</v>
      </c>
      <c r="BZ529" s="292">
        <f>BZ530+BZ531</f>
        <v>0</v>
      </c>
      <c r="CA529" s="292">
        <f>CA530+CA531</f>
        <v>0</v>
      </c>
      <c r="CC529" s="292">
        <f>CC530+CC531</f>
        <v>0</v>
      </c>
      <c r="CD529" s="292">
        <f>CD530+CD531</f>
        <v>0</v>
      </c>
      <c r="CF529" s="292">
        <f>CF530+CF531</f>
        <v>0</v>
      </c>
      <c r="CG529" s="292">
        <f>CG530+CG531</f>
        <v>0</v>
      </c>
      <c r="CI529" s="292">
        <f>CI530+CI531</f>
        <v>0</v>
      </c>
      <c r="CJ529" s="292">
        <f>CJ530+CJ531</f>
        <v>0</v>
      </c>
    </row>
    <row r="530" spans="1:88" x14ac:dyDescent="0.25">
      <c r="A530" s="107"/>
      <c r="B530" s="16" t="s">
        <v>1183</v>
      </c>
      <c r="C530" s="95"/>
      <c r="D530" s="95" t="s">
        <v>1112</v>
      </c>
      <c r="E530" s="291">
        <v>24</v>
      </c>
      <c r="F530" s="291">
        <v>16</v>
      </c>
      <c r="G530" s="291">
        <v>18</v>
      </c>
      <c r="H530" s="291">
        <v>14</v>
      </c>
      <c r="I530" s="292">
        <v>15</v>
      </c>
      <c r="J530" s="292">
        <v>13</v>
      </c>
      <c r="K530" s="292">
        <v>11</v>
      </c>
      <c r="L530" s="292">
        <v>0</v>
      </c>
      <c r="M530" s="292">
        <v>0</v>
      </c>
      <c r="N530" s="292">
        <v>0</v>
      </c>
      <c r="P530" s="283">
        <f>R530+U530+X530+AA530+AD530+AG530+AJ530+AM530+AP530+AS530+AV530+AY530+BB530+BE530+BH530+BK530+BN530+BQ530+BT530+BW530+BZ530+CC530+CF530+CI530</f>
        <v>11</v>
      </c>
      <c r="Q530" s="283">
        <f>S530+V530+Y530+AB530+AE530+AH530+AK530+AN530+AQ530+AT530+AW530+AZ530+BC530+BF530+BI530+BL530+BO530+BR530+BU530+BX530+CA530+CD530+CG530+CJ530</f>
        <v>10</v>
      </c>
      <c r="R530" s="267">
        <v>0</v>
      </c>
      <c r="S530" s="267">
        <v>0</v>
      </c>
      <c r="U530" s="267">
        <v>0</v>
      </c>
      <c r="V530" s="267">
        <v>0</v>
      </c>
      <c r="X530" s="267">
        <v>0</v>
      </c>
      <c r="Y530" s="267">
        <v>0</v>
      </c>
      <c r="AA530" s="267">
        <v>0</v>
      </c>
      <c r="AB530" s="267">
        <v>0</v>
      </c>
      <c r="AD530" s="267">
        <v>0</v>
      </c>
      <c r="AE530" s="267">
        <v>0</v>
      </c>
      <c r="AG530" s="267">
        <v>0</v>
      </c>
      <c r="AH530" s="267">
        <v>0</v>
      </c>
      <c r="AJ530" s="267">
        <v>5</v>
      </c>
      <c r="AK530" s="267">
        <v>5</v>
      </c>
      <c r="AM530" s="267">
        <v>1</v>
      </c>
      <c r="AN530" s="267">
        <v>0</v>
      </c>
      <c r="AP530" s="267">
        <v>0</v>
      </c>
      <c r="AQ530" s="267">
        <v>0</v>
      </c>
      <c r="AS530" s="267">
        <v>0</v>
      </c>
      <c r="AT530" s="267">
        <v>0</v>
      </c>
      <c r="AV530" s="267">
        <v>0</v>
      </c>
      <c r="AW530" s="267">
        <v>0</v>
      </c>
      <c r="AY530" s="267">
        <v>0</v>
      </c>
      <c r="AZ530" s="267">
        <v>0</v>
      </c>
      <c r="BB530" s="267">
        <v>0</v>
      </c>
      <c r="BC530" s="267">
        <v>0</v>
      </c>
      <c r="BE530" s="267">
        <v>0</v>
      </c>
      <c r="BF530" s="267">
        <v>0</v>
      </c>
      <c r="BH530" s="267">
        <v>4</v>
      </c>
      <c r="BI530" s="267">
        <v>4</v>
      </c>
      <c r="BK530" s="267">
        <v>0</v>
      </c>
      <c r="BL530" s="267">
        <v>0</v>
      </c>
      <c r="BN530" s="267">
        <v>1</v>
      </c>
      <c r="BO530" s="267">
        <v>1</v>
      </c>
      <c r="BQ530" s="267">
        <v>0</v>
      </c>
      <c r="BR530" s="267">
        <v>0</v>
      </c>
      <c r="BT530" s="267">
        <v>0</v>
      </c>
      <c r="BU530" s="267">
        <v>0</v>
      </c>
      <c r="BW530" s="267">
        <v>0</v>
      </c>
      <c r="BX530" s="267">
        <v>0</v>
      </c>
      <c r="BZ530" s="267">
        <v>0</v>
      </c>
      <c r="CA530" s="267">
        <v>0</v>
      </c>
      <c r="CC530" s="267">
        <v>0</v>
      </c>
      <c r="CD530" s="267">
        <v>0</v>
      </c>
      <c r="CF530" s="267">
        <v>0</v>
      </c>
      <c r="CG530" s="267">
        <v>0</v>
      </c>
      <c r="CI530" s="267">
        <v>0</v>
      </c>
      <c r="CJ530" s="267">
        <v>0</v>
      </c>
    </row>
    <row r="531" spans="1:88" x14ac:dyDescent="0.25">
      <c r="A531" s="107"/>
      <c r="B531" s="16" t="s">
        <v>1185</v>
      </c>
      <c r="C531" s="95"/>
      <c r="D531" s="95" t="s">
        <v>1112</v>
      </c>
      <c r="E531" s="291">
        <v>11</v>
      </c>
      <c r="F531" s="291">
        <v>9</v>
      </c>
      <c r="G531" s="291">
        <v>7</v>
      </c>
      <c r="H531" s="291">
        <v>6</v>
      </c>
      <c r="I531" s="292">
        <v>6</v>
      </c>
      <c r="J531" s="292">
        <v>5</v>
      </c>
      <c r="K531" s="292">
        <v>2</v>
      </c>
      <c r="L531" s="292">
        <v>0</v>
      </c>
      <c r="M531" s="292">
        <v>0</v>
      </c>
      <c r="N531" s="292">
        <v>0</v>
      </c>
      <c r="P531" s="283">
        <f>R531+U531+X531+AA531+AD531+AG531+AJ531+AM531+AP531+AS531+AV531+AY531+BB531+BE531+BH531+BK531+BN531+BQ531+BT531+BW531+BZ531+CC531+CF531+CI531</f>
        <v>2</v>
      </c>
      <c r="Q531" s="283">
        <f>S531+V531+Y531+AB531+AE531+AH531+AK531+AN531+AQ531+AT531+AW531+AZ531+BC531+BF531+BI531+BL531+BO531+BR531+BU531+BX531+CA531+CD531+CG531+CJ531</f>
        <v>2</v>
      </c>
      <c r="R531" s="267">
        <v>0</v>
      </c>
      <c r="S531" s="267">
        <v>0</v>
      </c>
      <c r="U531" s="267">
        <v>0</v>
      </c>
      <c r="V531" s="267">
        <v>0</v>
      </c>
      <c r="X531" s="267">
        <v>1</v>
      </c>
      <c r="Y531" s="267">
        <v>1</v>
      </c>
      <c r="AA531" s="267">
        <v>0</v>
      </c>
      <c r="AB531" s="267">
        <v>0</v>
      </c>
      <c r="AD531" s="267">
        <v>0</v>
      </c>
      <c r="AE531" s="267">
        <v>0</v>
      </c>
      <c r="AG531" s="267">
        <v>0</v>
      </c>
      <c r="AH531" s="267">
        <v>0</v>
      </c>
      <c r="AJ531" s="267">
        <v>1</v>
      </c>
      <c r="AK531" s="267">
        <v>0</v>
      </c>
      <c r="AM531" s="267">
        <v>0</v>
      </c>
      <c r="AN531" s="267">
        <v>1</v>
      </c>
      <c r="AP531" s="267">
        <v>0</v>
      </c>
      <c r="AQ531" s="267">
        <v>0</v>
      </c>
      <c r="AS531" s="267">
        <v>0</v>
      </c>
      <c r="AT531" s="267">
        <v>0</v>
      </c>
      <c r="AV531" s="267">
        <v>0</v>
      </c>
      <c r="AW531" s="267">
        <v>0</v>
      </c>
      <c r="AY531" s="267">
        <v>0</v>
      </c>
      <c r="AZ531" s="267">
        <v>0</v>
      </c>
      <c r="BB531" s="267">
        <v>0</v>
      </c>
      <c r="BC531" s="267">
        <v>0</v>
      </c>
      <c r="BE531" s="267">
        <v>0</v>
      </c>
      <c r="BF531" s="267">
        <v>0</v>
      </c>
      <c r="BH531" s="267">
        <v>0</v>
      </c>
      <c r="BI531" s="267">
        <v>0</v>
      </c>
      <c r="BK531" s="267">
        <v>0</v>
      </c>
      <c r="BL531" s="267">
        <v>0</v>
      </c>
      <c r="BN531" s="267">
        <v>0</v>
      </c>
      <c r="BO531" s="267">
        <v>0</v>
      </c>
      <c r="BQ531" s="267">
        <v>0</v>
      </c>
      <c r="BR531" s="267">
        <v>0</v>
      </c>
      <c r="BT531" s="267">
        <v>0</v>
      </c>
      <c r="BU531" s="267">
        <v>0</v>
      </c>
      <c r="BW531" s="267">
        <v>0</v>
      </c>
      <c r="BX531" s="267">
        <v>0</v>
      </c>
      <c r="BZ531" s="267">
        <v>0</v>
      </c>
      <c r="CA531" s="267">
        <v>0</v>
      </c>
      <c r="CC531" s="267">
        <v>0</v>
      </c>
      <c r="CD531" s="267">
        <v>0</v>
      </c>
      <c r="CF531" s="267">
        <v>0</v>
      </c>
      <c r="CG531" s="267">
        <v>0</v>
      </c>
      <c r="CI531" s="267">
        <v>0</v>
      </c>
      <c r="CJ531" s="267">
        <v>0</v>
      </c>
    </row>
    <row r="532" spans="1:88" ht="30" x14ac:dyDescent="0.25">
      <c r="A532" s="107"/>
      <c r="B532" s="16" t="s">
        <v>72</v>
      </c>
      <c r="C532" s="95" t="s">
        <v>2724</v>
      </c>
      <c r="D532" s="95" t="s">
        <v>1112</v>
      </c>
      <c r="E532" s="291">
        <f t="shared" ref="E532:Y532" si="746">E533+E534</f>
        <v>413</v>
      </c>
      <c r="F532" s="291">
        <f t="shared" si="746"/>
        <v>397</v>
      </c>
      <c r="G532" s="291">
        <f t="shared" si="746"/>
        <v>365</v>
      </c>
      <c r="H532" s="291">
        <f t="shared" si="746"/>
        <v>348</v>
      </c>
      <c r="I532" s="292">
        <f t="shared" si="746"/>
        <v>485</v>
      </c>
      <c r="J532" s="292">
        <f t="shared" si="746"/>
        <v>482</v>
      </c>
      <c r="K532" s="292">
        <f>K533+K534</f>
        <v>470</v>
      </c>
      <c r="L532" s="292">
        <f>L533+L534</f>
        <v>31</v>
      </c>
      <c r="M532" s="292">
        <f>M533+M534</f>
        <v>31</v>
      </c>
      <c r="N532" s="292">
        <f>N533+N534</f>
        <v>31</v>
      </c>
      <c r="P532" s="292">
        <f t="shared" si="746"/>
        <v>471</v>
      </c>
      <c r="Q532" s="292">
        <f t="shared" si="746"/>
        <v>457</v>
      </c>
      <c r="R532" s="292">
        <f t="shared" si="746"/>
        <v>8</v>
      </c>
      <c r="S532" s="292">
        <f t="shared" si="746"/>
        <v>8</v>
      </c>
      <c r="U532" s="292">
        <f t="shared" si="746"/>
        <v>29</v>
      </c>
      <c r="V532" s="292">
        <f t="shared" si="746"/>
        <v>25</v>
      </c>
      <c r="X532" s="292">
        <f t="shared" si="746"/>
        <v>14</v>
      </c>
      <c r="Y532" s="292">
        <f t="shared" si="746"/>
        <v>13</v>
      </c>
      <c r="AA532" s="292">
        <f>AA533+AA534</f>
        <v>15</v>
      </c>
      <c r="AB532" s="292">
        <f>AB533+AB534</f>
        <v>13</v>
      </c>
      <c r="AD532" s="292">
        <f>AD533+AD534</f>
        <v>6</v>
      </c>
      <c r="AE532" s="292">
        <f>AE533+AE534</f>
        <v>7</v>
      </c>
      <c r="AG532" s="292">
        <f>AG533+AG534</f>
        <v>33</v>
      </c>
      <c r="AH532" s="292">
        <f>AH533+AH534</f>
        <v>31</v>
      </c>
      <c r="AJ532" s="292">
        <f>AJ533+AJ534</f>
        <v>26</v>
      </c>
      <c r="AK532" s="292">
        <f>AK533+AK534</f>
        <v>27</v>
      </c>
      <c r="AM532" s="292">
        <f>AM533+AM534</f>
        <v>41</v>
      </c>
      <c r="AN532" s="292">
        <f>AN533+AN534</f>
        <v>40</v>
      </c>
      <c r="AP532" s="292">
        <f>AP533+AP534</f>
        <v>20</v>
      </c>
      <c r="AQ532" s="292">
        <f>AQ533+AQ534</f>
        <v>17</v>
      </c>
      <c r="AS532" s="292">
        <f>AS533+AS534</f>
        <v>26</v>
      </c>
      <c r="AT532" s="292">
        <f>AT533+AT534</f>
        <v>27</v>
      </c>
      <c r="AV532" s="292">
        <f>AV533+AV534</f>
        <v>10</v>
      </c>
      <c r="AW532" s="292">
        <f>AW533+AW534</f>
        <v>10</v>
      </c>
      <c r="AY532" s="292">
        <f>AY533+AY534</f>
        <v>17</v>
      </c>
      <c r="AZ532" s="292">
        <f>AZ533+AZ534</f>
        <v>17</v>
      </c>
      <c r="BB532" s="292">
        <f>BB533+BB534</f>
        <v>17</v>
      </c>
      <c r="BC532" s="292">
        <f>BC533+BC534</f>
        <v>16</v>
      </c>
      <c r="BE532" s="292">
        <f>BE533+BE534</f>
        <v>69</v>
      </c>
      <c r="BF532" s="292">
        <f>BF533+BF534</f>
        <v>67</v>
      </c>
      <c r="BH532" s="292">
        <f>BH533+BH534</f>
        <v>67</v>
      </c>
      <c r="BI532" s="292">
        <f>BI533+BI534</f>
        <v>68</v>
      </c>
      <c r="BK532" s="292">
        <f>BK533+BK534</f>
        <v>12</v>
      </c>
      <c r="BL532" s="292">
        <f>BL533+BL534</f>
        <v>12</v>
      </c>
      <c r="BN532" s="292">
        <f>BN533+BN534</f>
        <v>12</v>
      </c>
      <c r="BO532" s="292">
        <f>BO533+BO534</f>
        <v>12</v>
      </c>
      <c r="BQ532" s="292">
        <f>BQ533+BQ534</f>
        <v>15</v>
      </c>
      <c r="BR532" s="292">
        <f>BR533+BR534</f>
        <v>14</v>
      </c>
      <c r="BT532" s="292">
        <f>BT533+BT534</f>
        <v>14</v>
      </c>
      <c r="BU532" s="292">
        <f>BU533+BU534</f>
        <v>14</v>
      </c>
      <c r="BW532" s="292">
        <f>BW533+BW534</f>
        <v>5</v>
      </c>
      <c r="BX532" s="292">
        <f>BX533+BX534</f>
        <v>5</v>
      </c>
      <c r="BZ532" s="292">
        <f>BZ533+BZ534</f>
        <v>9</v>
      </c>
      <c r="CA532" s="292">
        <f>CA533+CA534</f>
        <v>8</v>
      </c>
      <c r="CC532" s="292">
        <f>CC533+CC534</f>
        <v>6</v>
      </c>
      <c r="CD532" s="292">
        <f>CD533+CD534</f>
        <v>6</v>
      </c>
      <c r="CF532" s="292">
        <f>CF533+CF534</f>
        <v>0</v>
      </c>
      <c r="CG532" s="292">
        <f>CG533+CG534</f>
        <v>0</v>
      </c>
      <c r="CI532" s="292">
        <f>CI533+CI534</f>
        <v>0</v>
      </c>
      <c r="CJ532" s="292">
        <f>CJ533+CJ534</f>
        <v>0</v>
      </c>
    </row>
    <row r="533" spans="1:88" x14ac:dyDescent="0.25">
      <c r="A533" s="107"/>
      <c r="B533" s="16" t="s">
        <v>1183</v>
      </c>
      <c r="C533" s="95"/>
      <c r="D533" s="95" t="s">
        <v>1112</v>
      </c>
      <c r="E533" s="291">
        <v>329</v>
      </c>
      <c r="F533" s="291">
        <v>320</v>
      </c>
      <c r="G533" s="291">
        <v>300</v>
      </c>
      <c r="H533" s="291">
        <v>284</v>
      </c>
      <c r="I533" s="291">
        <v>402</v>
      </c>
      <c r="J533" s="291">
        <v>400</v>
      </c>
      <c r="K533" s="291">
        <f>K524</f>
        <v>394</v>
      </c>
      <c r="L533" s="291">
        <v>18</v>
      </c>
      <c r="M533" s="291">
        <v>18</v>
      </c>
      <c r="N533" s="291">
        <v>18</v>
      </c>
      <c r="P533" s="283">
        <f>R533+U533+X533+AA533+AD533+AG533+AJ533+AM533+AP533+AS533+AV533+AY533+BB533+BE533+BH533+BK533+BN533+BQ533+BT533+BW533+BZ533+CC533+CF533+CI533</f>
        <v>390</v>
      </c>
      <c r="Q533" s="283">
        <f>S533+V533+Y533+AB533+AE533+AH533+AK533+AN533+AQ533+AT533+AW533+AZ533+BC533+BF533+BI533+BL533+BO533+BR533+BU533+BX533+CA533+CD533+CG533+CJ533</f>
        <v>387</v>
      </c>
      <c r="R533" s="267">
        <f>R524</f>
        <v>6</v>
      </c>
      <c r="S533" s="267">
        <f>S524</f>
        <v>6</v>
      </c>
      <c r="U533" s="267">
        <f>U524</f>
        <v>18</v>
      </c>
      <c r="V533" s="267">
        <f>V524</f>
        <v>16</v>
      </c>
      <c r="X533" s="267">
        <f>X524</f>
        <v>10</v>
      </c>
      <c r="Y533" s="267">
        <f>Y524</f>
        <v>9</v>
      </c>
      <c r="AA533" s="267">
        <f>AA524</f>
        <v>7</v>
      </c>
      <c r="AB533" s="267">
        <f>AB524</f>
        <v>7</v>
      </c>
      <c r="AD533" s="267">
        <f>AD524</f>
        <v>4</v>
      </c>
      <c r="AE533" s="267">
        <f>AE524</f>
        <v>5</v>
      </c>
      <c r="AG533" s="267">
        <f>AG524</f>
        <v>18</v>
      </c>
      <c r="AH533" s="267">
        <f>AH524</f>
        <v>18</v>
      </c>
      <c r="AJ533" s="267">
        <f>AJ524</f>
        <v>24</v>
      </c>
      <c r="AK533" s="267">
        <f>AK524</f>
        <v>25</v>
      </c>
      <c r="AM533" s="267">
        <f>AM524</f>
        <v>24</v>
      </c>
      <c r="AN533" s="267">
        <f>AN524</f>
        <v>25</v>
      </c>
      <c r="AP533" s="267">
        <f>AP524</f>
        <v>0</v>
      </c>
      <c r="AQ533" s="267">
        <f>AQ524</f>
        <v>0</v>
      </c>
      <c r="AS533" s="267">
        <f>AS524</f>
        <v>26</v>
      </c>
      <c r="AT533" s="267">
        <f>AT524</f>
        <v>27</v>
      </c>
      <c r="AV533" s="267">
        <f>AV524</f>
        <v>10</v>
      </c>
      <c r="AW533" s="267">
        <f>AW524</f>
        <v>10</v>
      </c>
      <c r="AY533" s="267">
        <f>AY524</f>
        <v>17</v>
      </c>
      <c r="AZ533" s="267">
        <f>AZ524</f>
        <v>17</v>
      </c>
      <c r="BB533" s="267">
        <f>BB524</f>
        <v>17</v>
      </c>
      <c r="BC533" s="267">
        <f>BC524</f>
        <v>16</v>
      </c>
      <c r="BE533" s="267">
        <f>BE524</f>
        <v>69</v>
      </c>
      <c r="BF533" s="267">
        <f>BF524</f>
        <v>67</v>
      </c>
      <c r="BH533" s="267">
        <f>BH524</f>
        <v>67</v>
      </c>
      <c r="BI533" s="267">
        <f>BI524</f>
        <v>68</v>
      </c>
      <c r="BK533" s="267">
        <f>BK524</f>
        <v>12</v>
      </c>
      <c r="BL533" s="267">
        <f>BL524</f>
        <v>12</v>
      </c>
      <c r="BN533" s="267">
        <f>BN524</f>
        <v>12</v>
      </c>
      <c r="BO533" s="267">
        <f>BO524</f>
        <v>12</v>
      </c>
      <c r="BQ533" s="267">
        <f>BQ524</f>
        <v>15</v>
      </c>
      <c r="BR533" s="267">
        <f>BR524</f>
        <v>14</v>
      </c>
      <c r="BT533" s="267">
        <f>BT524</f>
        <v>14</v>
      </c>
      <c r="BU533" s="267">
        <f>BU524</f>
        <v>14</v>
      </c>
      <c r="BW533" s="267">
        <f>BW524</f>
        <v>5</v>
      </c>
      <c r="BX533" s="267">
        <f>BX524</f>
        <v>5</v>
      </c>
      <c r="BZ533" s="267">
        <f>BZ524</f>
        <v>9</v>
      </c>
      <c r="CA533" s="267">
        <f>CA524</f>
        <v>8</v>
      </c>
      <c r="CC533" s="267">
        <f>CC524</f>
        <v>6</v>
      </c>
      <c r="CD533" s="267">
        <f>CD524</f>
        <v>6</v>
      </c>
      <c r="CF533" s="267">
        <f>CF524</f>
        <v>0</v>
      </c>
      <c r="CG533" s="267">
        <f>CG524</f>
        <v>0</v>
      </c>
      <c r="CI533" s="267">
        <f>CI524</f>
        <v>0</v>
      </c>
      <c r="CJ533" s="267">
        <f>CJ524</f>
        <v>0</v>
      </c>
    </row>
    <row r="534" spans="1:88" x14ac:dyDescent="0.25">
      <c r="A534" s="107"/>
      <c r="B534" s="16" t="s">
        <v>1185</v>
      </c>
      <c r="C534" s="95"/>
      <c r="D534" s="95" t="s">
        <v>1112</v>
      </c>
      <c r="E534" s="291">
        <v>84</v>
      </c>
      <c r="F534" s="291">
        <v>77</v>
      </c>
      <c r="G534" s="291">
        <v>65</v>
      </c>
      <c r="H534" s="291">
        <v>64</v>
      </c>
      <c r="I534" s="291">
        <v>83</v>
      </c>
      <c r="J534" s="291">
        <v>82</v>
      </c>
      <c r="K534" s="291">
        <f>K525</f>
        <v>76</v>
      </c>
      <c r="L534" s="291">
        <v>13</v>
      </c>
      <c r="M534" s="291">
        <v>13</v>
      </c>
      <c r="N534" s="291">
        <v>13</v>
      </c>
      <c r="P534" s="283">
        <f>R534+U534+X534+AA534+AD534+AG534+AJ534+AM534+AP534+AS534+AV534+AY534+BB534+BE534+BH534+BK534+BN534+BQ534+BT534+BW534+BZ534+CC534+CF534+CI534</f>
        <v>81</v>
      </c>
      <c r="Q534" s="283">
        <f>S534+V534+Y534+AB534+AE534+AH534+AK534+AN534+AQ534+AT534+AW534+AZ534+BC534+BF534+BI534+BL534+BO534+BR534+BU534+BX534+CA534+CD534+CG534+CJ534</f>
        <v>70</v>
      </c>
      <c r="R534" s="267">
        <f>R525</f>
        <v>2</v>
      </c>
      <c r="S534" s="267">
        <f>S525</f>
        <v>2</v>
      </c>
      <c r="U534" s="267">
        <f>U525</f>
        <v>11</v>
      </c>
      <c r="V534" s="267">
        <f>V525</f>
        <v>9</v>
      </c>
      <c r="X534" s="267">
        <f>X525</f>
        <v>4</v>
      </c>
      <c r="Y534" s="267">
        <f>Y525</f>
        <v>4</v>
      </c>
      <c r="AA534" s="267">
        <f>AA525</f>
        <v>8</v>
      </c>
      <c r="AB534" s="267">
        <f>AB525</f>
        <v>6</v>
      </c>
      <c r="AD534" s="267">
        <f>AD525</f>
        <v>2</v>
      </c>
      <c r="AE534" s="267">
        <f>AE525</f>
        <v>2</v>
      </c>
      <c r="AG534" s="267">
        <f>AG525</f>
        <v>15</v>
      </c>
      <c r="AH534" s="267">
        <f>AH525</f>
        <v>13</v>
      </c>
      <c r="AJ534" s="267">
        <f>AJ525</f>
        <v>2</v>
      </c>
      <c r="AK534" s="267">
        <f>AK525</f>
        <v>2</v>
      </c>
      <c r="AM534" s="267">
        <f>AM525</f>
        <v>17</v>
      </c>
      <c r="AN534" s="267">
        <f>AN525</f>
        <v>15</v>
      </c>
      <c r="AP534" s="267">
        <f>AP525</f>
        <v>20</v>
      </c>
      <c r="AQ534" s="267">
        <f>AQ525</f>
        <v>17</v>
      </c>
      <c r="AS534" s="267">
        <f>AS525</f>
        <v>0</v>
      </c>
      <c r="AT534" s="267">
        <f>AT525</f>
        <v>0</v>
      </c>
      <c r="AV534" s="267">
        <f>AV525</f>
        <v>0</v>
      </c>
      <c r="AW534" s="267">
        <f>AW525</f>
        <v>0</v>
      </c>
      <c r="AY534" s="267">
        <f>AY525</f>
        <v>0</v>
      </c>
      <c r="AZ534" s="267">
        <f>AZ525</f>
        <v>0</v>
      </c>
      <c r="BB534" s="267">
        <f>BB525</f>
        <v>0</v>
      </c>
      <c r="BC534" s="267">
        <f>BC525</f>
        <v>0</v>
      </c>
      <c r="BE534" s="267">
        <f>BE525</f>
        <v>0</v>
      </c>
      <c r="BF534" s="267">
        <f>BF525</f>
        <v>0</v>
      </c>
      <c r="BH534" s="267">
        <f>BH525</f>
        <v>0</v>
      </c>
      <c r="BI534" s="267">
        <f>BI525</f>
        <v>0</v>
      </c>
      <c r="BK534" s="267">
        <f>BK525</f>
        <v>0</v>
      </c>
      <c r="BL534" s="267">
        <f>BL525</f>
        <v>0</v>
      </c>
      <c r="BN534" s="267">
        <f>BN525</f>
        <v>0</v>
      </c>
      <c r="BO534" s="267">
        <f>BO525</f>
        <v>0</v>
      </c>
      <c r="BQ534" s="267">
        <f>BQ525</f>
        <v>0</v>
      </c>
      <c r="BR534" s="267">
        <f>BR525</f>
        <v>0</v>
      </c>
      <c r="BT534" s="267">
        <f>BT525</f>
        <v>0</v>
      </c>
      <c r="BU534" s="267">
        <f>BU525</f>
        <v>0</v>
      </c>
      <c r="BW534" s="267">
        <f>BW525</f>
        <v>0</v>
      </c>
      <c r="BX534" s="267">
        <f>BX525</f>
        <v>0</v>
      </c>
      <c r="BZ534" s="267">
        <f>BZ525</f>
        <v>0</v>
      </c>
      <c r="CA534" s="267">
        <f>CA525</f>
        <v>0</v>
      </c>
      <c r="CC534" s="267">
        <f>CC525</f>
        <v>0</v>
      </c>
      <c r="CD534" s="267">
        <f>CD525</f>
        <v>0</v>
      </c>
      <c r="CF534" s="267">
        <f>CF525</f>
        <v>0</v>
      </c>
      <c r="CG534" s="267">
        <f>CG525</f>
        <v>0</v>
      </c>
      <c r="CI534" s="267">
        <f>CI525</f>
        <v>0</v>
      </c>
      <c r="CJ534" s="267">
        <f>CJ525</f>
        <v>0</v>
      </c>
    </row>
  </sheetData>
  <mergeCells count="50">
    <mergeCell ref="T205:U205"/>
    <mergeCell ref="W205:X205"/>
    <mergeCell ref="Z205:AA205"/>
    <mergeCell ref="AC205:AD205"/>
    <mergeCell ref="AF205:AG205"/>
    <mergeCell ref="A3:K3"/>
    <mergeCell ref="A4:K4"/>
    <mergeCell ref="AV8:AW8"/>
    <mergeCell ref="R8:S8"/>
    <mergeCell ref="U8:V8"/>
    <mergeCell ref="X8:Y8"/>
    <mergeCell ref="AA8:AB8"/>
    <mergeCell ref="AD8:AE8"/>
    <mergeCell ref="A7:L7"/>
    <mergeCell ref="A8:L8"/>
    <mergeCell ref="BJ205:BK205"/>
    <mergeCell ref="BM205:BN205"/>
    <mergeCell ref="BG205:BH205"/>
    <mergeCell ref="BD205:BE205"/>
    <mergeCell ref="BA205:BB205"/>
    <mergeCell ref="CE205:CF205"/>
    <mergeCell ref="BP205:BQ205"/>
    <mergeCell ref="BS205:BT205"/>
    <mergeCell ref="BV205:BW205"/>
    <mergeCell ref="BY205:BZ205"/>
    <mergeCell ref="CB205:CC205"/>
    <mergeCell ref="AU205:AV205"/>
    <mergeCell ref="AX205:AY205"/>
    <mergeCell ref="AG8:AH8"/>
    <mergeCell ref="AJ8:AK8"/>
    <mergeCell ref="AM8:AN8"/>
    <mergeCell ref="AP8:AQ8"/>
    <mergeCell ref="AS8:AT8"/>
    <mergeCell ref="AY8:AZ8"/>
    <mergeCell ref="AI205:AJ205"/>
    <mergeCell ref="AL205:AM205"/>
    <mergeCell ref="AO205:AP205"/>
    <mergeCell ref="AR205:AS205"/>
    <mergeCell ref="BB8:BC8"/>
    <mergeCell ref="BE8:BF8"/>
    <mergeCell ref="BH8:BI8"/>
    <mergeCell ref="BK8:BL8"/>
    <mergeCell ref="BN8:BO8"/>
    <mergeCell ref="CF8:CG8"/>
    <mergeCell ref="CI8:CJ8"/>
    <mergeCell ref="BQ8:BR8"/>
    <mergeCell ref="BT8:BU8"/>
    <mergeCell ref="BW8:BX8"/>
    <mergeCell ref="BZ8:CA8"/>
    <mergeCell ref="CC8:CD8"/>
  </mergeCells>
  <pageMargins left="0.70866141732283472" right="0.70866141732283472" top="0.74803149606299213" bottom="0.74803149606299213" header="0.31496062992125984" footer="0.31496062992125984"/>
  <pageSetup paperSize="9" scale="5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4:BY28"/>
  <sheetViews>
    <sheetView workbookViewId="0"/>
  </sheetViews>
  <sheetFormatPr defaultRowHeight="15" x14ac:dyDescent="0.25"/>
  <cols>
    <col min="1" max="1" width="6.85546875" bestFit="1" customWidth="1"/>
    <col min="2" max="2" width="74.85546875" customWidth="1"/>
    <col min="3" max="3" width="13.7109375" bestFit="1" customWidth="1"/>
    <col min="4" max="8" width="11.28515625" bestFit="1" customWidth="1"/>
  </cols>
  <sheetData>
    <row r="4" spans="1:77" ht="45" x14ac:dyDescent="0.25">
      <c r="A4" s="4" t="s">
        <v>6</v>
      </c>
      <c r="B4" s="4" t="s">
        <v>375</v>
      </c>
      <c r="C4" s="5" t="s">
        <v>9</v>
      </c>
      <c r="D4" s="5" t="s">
        <v>10</v>
      </c>
      <c r="E4" s="5" t="s">
        <v>1401</v>
      </c>
      <c r="F4" s="5" t="s">
        <v>1406</v>
      </c>
      <c r="G4" s="5" t="s">
        <v>1446</v>
      </c>
      <c r="H4" s="5" t="s">
        <v>1486</v>
      </c>
    </row>
    <row r="5" spans="1:77" x14ac:dyDescent="0.25">
      <c r="A5" s="398" t="s">
        <v>3</v>
      </c>
      <c r="B5" s="398"/>
      <c r="C5" s="398"/>
      <c r="D5" s="398"/>
      <c r="E5" s="398"/>
      <c r="F5" s="398"/>
      <c r="G5" s="398"/>
      <c r="H5" s="398"/>
    </row>
    <row r="6" spans="1:77" ht="30" customHeight="1" x14ac:dyDescent="0.25">
      <c r="A6" s="398" t="s">
        <v>4</v>
      </c>
      <c r="B6" s="398"/>
      <c r="C6" s="398"/>
      <c r="D6" s="398"/>
      <c r="E6" s="398"/>
      <c r="F6" s="398"/>
      <c r="G6" s="398"/>
      <c r="H6" s="398"/>
      <c r="L6" s="415" t="s">
        <v>1421</v>
      </c>
      <c r="M6" s="415"/>
      <c r="N6" s="120"/>
      <c r="O6" s="415" t="s">
        <v>1422</v>
      </c>
      <c r="P6" s="415"/>
      <c r="Q6" s="120"/>
      <c r="R6" s="415" t="s">
        <v>1423</v>
      </c>
      <c r="S6" s="415"/>
      <c r="T6" s="120"/>
      <c r="U6" s="415" t="s">
        <v>1424</v>
      </c>
      <c r="V6" s="415"/>
      <c r="W6" s="120"/>
      <c r="X6" s="415" t="s">
        <v>1425</v>
      </c>
      <c r="Y6" s="415"/>
      <c r="Z6" s="120"/>
      <c r="AA6" s="415" t="s">
        <v>1426</v>
      </c>
      <c r="AB6" s="415"/>
      <c r="AC6" s="120"/>
      <c r="AD6" s="415" t="s">
        <v>1427</v>
      </c>
      <c r="AE6" s="415"/>
      <c r="AF6" s="120"/>
      <c r="AG6" s="415" t="s">
        <v>1428</v>
      </c>
      <c r="AH6" s="415"/>
      <c r="AI6" s="120"/>
      <c r="AJ6" s="415" t="s">
        <v>1429</v>
      </c>
      <c r="AK6" s="415"/>
      <c r="AL6" s="120"/>
      <c r="AM6" s="415" t="s">
        <v>1430</v>
      </c>
      <c r="AN6" s="415"/>
      <c r="AO6" s="120"/>
      <c r="AP6" s="415" t="s">
        <v>1431</v>
      </c>
      <c r="AQ6" s="415"/>
      <c r="AR6" s="120"/>
      <c r="AS6" s="415" t="s">
        <v>1432</v>
      </c>
      <c r="AT6" s="415"/>
      <c r="AU6" s="120"/>
      <c r="AV6" s="415" t="s">
        <v>1433</v>
      </c>
      <c r="AW6" s="415"/>
      <c r="AX6" s="120"/>
      <c r="AY6" s="415" t="s">
        <v>1434</v>
      </c>
      <c r="AZ6" s="415"/>
      <c r="BA6" s="120"/>
      <c r="BB6" s="415" t="s">
        <v>1435</v>
      </c>
      <c r="BC6" s="415"/>
      <c r="BD6" s="120"/>
      <c r="BE6" s="415" t="s">
        <v>1436</v>
      </c>
      <c r="BF6" s="415"/>
      <c r="BG6" s="120"/>
      <c r="BH6" s="415" t="s">
        <v>1437</v>
      </c>
      <c r="BI6" s="415"/>
      <c r="BJ6" s="120"/>
      <c r="BK6" s="415" t="s">
        <v>1438</v>
      </c>
      <c r="BL6" s="415"/>
      <c r="BM6" s="120"/>
      <c r="BN6" s="415" t="s">
        <v>1439</v>
      </c>
      <c r="BO6" s="415"/>
      <c r="BP6" s="120"/>
      <c r="BQ6" s="415" t="s">
        <v>1440</v>
      </c>
      <c r="BR6" s="415"/>
      <c r="BS6" s="120"/>
      <c r="BT6" s="415" t="s">
        <v>1441</v>
      </c>
      <c r="BU6" s="415"/>
      <c r="BV6" s="120"/>
      <c r="BW6" s="415" t="s">
        <v>1442</v>
      </c>
      <c r="BX6" s="415"/>
      <c r="BY6" s="119"/>
    </row>
    <row r="7" spans="1:77" ht="30" customHeight="1" x14ac:dyDescent="0.25">
      <c r="A7" s="10"/>
      <c r="B7" s="11" t="s">
        <v>5</v>
      </c>
      <c r="C7" s="7"/>
      <c r="D7" s="8"/>
      <c r="E7" s="8"/>
      <c r="F7" s="8"/>
      <c r="G7" s="8"/>
      <c r="H7" s="8"/>
      <c r="L7" s="118">
        <v>2013</v>
      </c>
      <c r="M7" s="118">
        <v>2014</v>
      </c>
      <c r="N7" s="118" t="s">
        <v>1443</v>
      </c>
      <c r="O7" s="118">
        <v>2013</v>
      </c>
      <c r="P7" s="118">
        <v>2014</v>
      </c>
      <c r="Q7" s="118" t="s">
        <v>1443</v>
      </c>
      <c r="R7" s="118">
        <v>2013</v>
      </c>
      <c r="S7" s="118">
        <v>2014</v>
      </c>
      <c r="T7" s="118" t="s">
        <v>1443</v>
      </c>
      <c r="U7" s="118">
        <v>2013</v>
      </c>
      <c r="V7" s="118">
        <v>2014</v>
      </c>
      <c r="W7" s="118" t="s">
        <v>1443</v>
      </c>
      <c r="X7" s="118">
        <v>2013</v>
      </c>
      <c r="Y7" s="118">
        <v>2014</v>
      </c>
      <c r="Z7" s="118" t="s">
        <v>1443</v>
      </c>
      <c r="AA7" s="118">
        <v>2013</v>
      </c>
      <c r="AB7" s="118">
        <v>2014</v>
      </c>
      <c r="AC7" s="118" t="s">
        <v>1443</v>
      </c>
      <c r="AD7" s="118">
        <v>2013</v>
      </c>
      <c r="AE7" s="118">
        <v>2014</v>
      </c>
      <c r="AF7" s="118" t="s">
        <v>1443</v>
      </c>
      <c r="AG7" s="118">
        <v>2013</v>
      </c>
      <c r="AH7" s="118">
        <v>2014</v>
      </c>
      <c r="AI7" s="118" t="s">
        <v>1443</v>
      </c>
      <c r="AJ7" s="118">
        <v>2013</v>
      </c>
      <c r="AK7" s="118">
        <v>2014</v>
      </c>
      <c r="AL7" s="118" t="s">
        <v>1443</v>
      </c>
      <c r="AM7" s="118">
        <v>2013</v>
      </c>
      <c r="AN7" s="118">
        <v>2014</v>
      </c>
      <c r="AO7" s="118" t="s">
        <v>1443</v>
      </c>
      <c r="AP7" s="118">
        <v>2013</v>
      </c>
      <c r="AQ7" s="118">
        <v>2014</v>
      </c>
      <c r="AR7" s="118" t="s">
        <v>1443</v>
      </c>
      <c r="AS7" s="118">
        <v>2013</v>
      </c>
      <c r="AT7" s="118">
        <v>2014</v>
      </c>
      <c r="AU7" s="118" t="s">
        <v>1443</v>
      </c>
      <c r="AV7" s="118">
        <v>2013</v>
      </c>
      <c r="AW7" s="118">
        <v>2014</v>
      </c>
      <c r="AX7" s="118" t="s">
        <v>1443</v>
      </c>
      <c r="AY7" s="118">
        <v>2013</v>
      </c>
      <c r="AZ7" s="118">
        <v>2014</v>
      </c>
      <c r="BA7" s="118" t="s">
        <v>1443</v>
      </c>
      <c r="BB7" s="118">
        <v>2013</v>
      </c>
      <c r="BC7" s="118">
        <v>2014</v>
      </c>
      <c r="BD7" s="118" t="s">
        <v>1443</v>
      </c>
      <c r="BE7" s="118">
        <v>2013</v>
      </c>
      <c r="BF7" s="118">
        <v>2014</v>
      </c>
      <c r="BG7" s="118" t="s">
        <v>1443</v>
      </c>
      <c r="BH7" s="118">
        <v>2013</v>
      </c>
      <c r="BI7" s="118">
        <v>2014</v>
      </c>
      <c r="BJ7" s="118" t="s">
        <v>1443</v>
      </c>
      <c r="BK7" s="118">
        <v>2013</v>
      </c>
      <c r="BL7" s="118">
        <v>2014</v>
      </c>
      <c r="BM7" s="118" t="s">
        <v>1443</v>
      </c>
      <c r="BN7" s="118">
        <v>2013</v>
      </c>
      <c r="BO7" s="118">
        <v>2014</v>
      </c>
      <c r="BP7" s="118" t="s">
        <v>1443</v>
      </c>
      <c r="BQ7" s="118">
        <v>2013</v>
      </c>
      <c r="BR7" s="118">
        <v>2014</v>
      </c>
      <c r="BS7" s="118" t="s">
        <v>1443</v>
      </c>
      <c r="BT7" s="118">
        <v>2013</v>
      </c>
      <c r="BU7" s="118">
        <v>2014</v>
      </c>
      <c r="BV7" s="118" t="s">
        <v>1443</v>
      </c>
      <c r="BW7" s="118">
        <v>2013</v>
      </c>
      <c r="BX7" s="118">
        <v>2014</v>
      </c>
      <c r="BY7" s="118" t="s">
        <v>1443</v>
      </c>
    </row>
    <row r="8" spans="1:77" ht="30" customHeight="1" x14ac:dyDescent="0.25">
      <c r="A8" s="42"/>
      <c r="B8" s="43" t="s">
        <v>32</v>
      </c>
      <c r="C8" s="44"/>
      <c r="D8" s="42"/>
      <c r="E8" s="45" t="e">
        <f>E9</f>
        <v>#DIV/0!</v>
      </c>
      <c r="F8" s="45">
        <f>F9</f>
        <v>66.5</v>
      </c>
      <c r="G8" s="45">
        <f>G9</f>
        <v>66.5</v>
      </c>
      <c r="H8" s="45">
        <f>H9</f>
        <v>66.5</v>
      </c>
      <c r="J8" s="45" t="e">
        <f t="shared" ref="J8:AO8" si="0">J16/(J16+J23)*100</f>
        <v>#DIV/0!</v>
      </c>
      <c r="K8" s="45">
        <f t="shared" si="0"/>
        <v>74.590082480373638</v>
      </c>
      <c r="L8" s="45" t="e">
        <f t="shared" si="0"/>
        <v>#DIV/0!</v>
      </c>
      <c r="M8" s="45">
        <f t="shared" si="0"/>
        <v>100</v>
      </c>
      <c r="N8" s="45" t="e">
        <f t="shared" si="0"/>
        <v>#DIV/0!</v>
      </c>
      <c r="O8" s="45" t="e">
        <f t="shared" si="0"/>
        <v>#DIV/0!</v>
      </c>
      <c r="P8" s="45">
        <f t="shared" si="0"/>
        <v>100</v>
      </c>
      <c r="Q8" s="45" t="e">
        <f t="shared" si="0"/>
        <v>#DIV/0!</v>
      </c>
      <c r="R8" s="45" t="e">
        <f t="shared" si="0"/>
        <v>#DIV/0!</v>
      </c>
      <c r="S8" s="45">
        <f t="shared" si="0"/>
        <v>100</v>
      </c>
      <c r="T8" s="45" t="e">
        <f t="shared" si="0"/>
        <v>#DIV/0!</v>
      </c>
      <c r="U8" s="45" t="e">
        <f t="shared" si="0"/>
        <v>#DIV/0!</v>
      </c>
      <c r="V8" s="45">
        <f t="shared" si="0"/>
        <v>100</v>
      </c>
      <c r="W8" s="45" t="e">
        <f t="shared" si="0"/>
        <v>#DIV/0!</v>
      </c>
      <c r="X8" s="45" t="e">
        <f t="shared" si="0"/>
        <v>#DIV/0!</v>
      </c>
      <c r="Y8" s="45">
        <f t="shared" si="0"/>
        <v>100</v>
      </c>
      <c r="Z8" s="45" t="e">
        <f t="shared" si="0"/>
        <v>#DIV/0!</v>
      </c>
      <c r="AA8" s="45" t="e">
        <f t="shared" si="0"/>
        <v>#DIV/0!</v>
      </c>
      <c r="AB8" s="45">
        <f t="shared" si="0"/>
        <v>86.36363636363636</v>
      </c>
      <c r="AC8" s="45" t="e">
        <f t="shared" si="0"/>
        <v>#DIV/0!</v>
      </c>
      <c r="AD8" s="45" t="e">
        <f t="shared" si="0"/>
        <v>#DIV/0!</v>
      </c>
      <c r="AE8" s="45">
        <f t="shared" si="0"/>
        <v>100</v>
      </c>
      <c r="AF8" s="45" t="e">
        <f t="shared" si="0"/>
        <v>#DIV/0!</v>
      </c>
      <c r="AG8" s="45" t="e">
        <f t="shared" si="0"/>
        <v>#DIV/0!</v>
      </c>
      <c r="AH8" s="45">
        <f t="shared" si="0"/>
        <v>99.785714285714292</v>
      </c>
      <c r="AI8" s="45" t="e">
        <f t="shared" si="0"/>
        <v>#DIV/0!</v>
      </c>
      <c r="AJ8" s="45" t="e">
        <f t="shared" si="0"/>
        <v>#DIV/0!</v>
      </c>
      <c r="AK8" s="45">
        <f t="shared" si="0"/>
        <v>100</v>
      </c>
      <c r="AL8" s="45" t="e">
        <f t="shared" si="0"/>
        <v>#DIV/0!</v>
      </c>
      <c r="AM8" s="45" t="e">
        <f t="shared" si="0"/>
        <v>#DIV/0!</v>
      </c>
      <c r="AN8" s="45">
        <f t="shared" si="0"/>
        <v>63.417569193742473</v>
      </c>
      <c r="AO8" s="45" t="e">
        <f t="shared" si="0"/>
        <v>#DIV/0!</v>
      </c>
      <c r="AP8" s="45" t="e">
        <f t="shared" ref="AP8:BY8" si="1">AP16/(AP16+AP23)*100</f>
        <v>#DIV/0!</v>
      </c>
      <c r="AQ8" s="45">
        <f t="shared" si="1"/>
        <v>100</v>
      </c>
      <c r="AR8" s="45" t="e">
        <f t="shared" si="1"/>
        <v>#DIV/0!</v>
      </c>
      <c r="AS8" s="45" t="e">
        <f t="shared" si="1"/>
        <v>#DIV/0!</v>
      </c>
      <c r="AT8" s="45">
        <f t="shared" si="1"/>
        <v>68.502824858757066</v>
      </c>
      <c r="AU8" s="45" t="e">
        <f t="shared" si="1"/>
        <v>#DIV/0!</v>
      </c>
      <c r="AV8" s="45" t="e">
        <f t="shared" si="1"/>
        <v>#DIV/0!</v>
      </c>
      <c r="AW8" s="45">
        <f t="shared" si="1"/>
        <v>100</v>
      </c>
      <c r="AX8" s="45" t="e">
        <f t="shared" si="1"/>
        <v>#DIV/0!</v>
      </c>
      <c r="AY8" s="45" t="e">
        <f t="shared" si="1"/>
        <v>#DIV/0!</v>
      </c>
      <c r="AZ8" s="45">
        <f t="shared" si="1"/>
        <v>94.649061848505909</v>
      </c>
      <c r="BA8" s="45" t="e">
        <f t="shared" si="1"/>
        <v>#DIV/0!</v>
      </c>
      <c r="BB8" s="45" t="e">
        <f t="shared" si="1"/>
        <v>#DIV/0!</v>
      </c>
      <c r="BC8" s="45">
        <f t="shared" si="1"/>
        <v>47.413529231711053</v>
      </c>
      <c r="BD8" s="45" t="e">
        <f t="shared" si="1"/>
        <v>#DIV/0!</v>
      </c>
      <c r="BE8" s="45" t="e">
        <f t="shared" si="1"/>
        <v>#DIV/0!</v>
      </c>
      <c r="BF8" s="45">
        <f t="shared" si="1"/>
        <v>94.204851752021568</v>
      </c>
      <c r="BG8" s="45" t="e">
        <f t="shared" si="1"/>
        <v>#DIV/0!</v>
      </c>
      <c r="BH8" s="45" t="e">
        <f t="shared" si="1"/>
        <v>#DIV/0!</v>
      </c>
      <c r="BI8" s="45">
        <f t="shared" si="1"/>
        <v>89.929742388758783</v>
      </c>
      <c r="BJ8" s="45" t="e">
        <f t="shared" si="1"/>
        <v>#DIV/0!</v>
      </c>
      <c r="BK8" s="45" t="e">
        <f t="shared" si="1"/>
        <v>#DIV/0!</v>
      </c>
      <c r="BL8" s="45">
        <f t="shared" si="1"/>
        <v>50.88</v>
      </c>
      <c r="BM8" s="45" t="e">
        <f t="shared" si="1"/>
        <v>#DIV/0!</v>
      </c>
      <c r="BN8" s="45" t="e">
        <f t="shared" si="1"/>
        <v>#DIV/0!</v>
      </c>
      <c r="BO8" s="45">
        <f t="shared" si="1"/>
        <v>72.267206477732799</v>
      </c>
      <c r="BP8" s="45" t="e">
        <f t="shared" si="1"/>
        <v>#DIV/0!</v>
      </c>
      <c r="BQ8" s="45" t="e">
        <f t="shared" si="1"/>
        <v>#DIV/0!</v>
      </c>
      <c r="BR8" s="45">
        <f t="shared" si="1"/>
        <v>100</v>
      </c>
      <c r="BS8" s="45" t="e">
        <f t="shared" si="1"/>
        <v>#DIV/0!</v>
      </c>
      <c r="BT8" s="45" t="e">
        <f t="shared" si="1"/>
        <v>#DIV/0!</v>
      </c>
      <c r="BU8" s="45">
        <f t="shared" si="1"/>
        <v>64.607679465776286</v>
      </c>
      <c r="BV8" s="45" t="e">
        <f t="shared" si="1"/>
        <v>#DIV/0!</v>
      </c>
      <c r="BW8" s="45" t="e">
        <f t="shared" si="1"/>
        <v>#DIV/0!</v>
      </c>
      <c r="BX8" s="45">
        <f t="shared" si="1"/>
        <v>82.315112540192928</v>
      </c>
      <c r="BY8" s="45" t="e">
        <f t="shared" si="1"/>
        <v>#DIV/0!</v>
      </c>
    </row>
    <row r="9" spans="1:77" hidden="1" x14ac:dyDescent="0.25">
      <c r="A9" s="42"/>
      <c r="B9" s="43" t="s">
        <v>1182</v>
      </c>
      <c r="C9" s="44"/>
      <c r="D9" s="42" t="s">
        <v>950</v>
      </c>
      <c r="E9" s="45" t="e">
        <f t="shared" ref="E9:E14" si="2">E16/(E16+E23)*100</f>
        <v>#DIV/0!</v>
      </c>
      <c r="F9" s="45">
        <v>66.5</v>
      </c>
      <c r="G9" s="45">
        <v>66.5</v>
      </c>
      <c r="H9" s="45">
        <v>66.5</v>
      </c>
      <c r="J9" s="45" t="e">
        <f t="shared" ref="J9:AO9" si="3">J17/(J17+J24)*100</f>
        <v>#DIV/0!</v>
      </c>
      <c r="K9" s="45">
        <f t="shared" si="3"/>
        <v>74.590082480373638</v>
      </c>
      <c r="L9" s="45" t="e">
        <f t="shared" si="3"/>
        <v>#DIV/0!</v>
      </c>
      <c r="M9" s="45">
        <f t="shared" si="3"/>
        <v>100</v>
      </c>
      <c r="N9" s="45" t="e">
        <f t="shared" si="3"/>
        <v>#DIV/0!</v>
      </c>
      <c r="O9" s="45" t="e">
        <f t="shared" si="3"/>
        <v>#DIV/0!</v>
      </c>
      <c r="P9" s="45">
        <f t="shared" si="3"/>
        <v>100</v>
      </c>
      <c r="Q9" s="45" t="e">
        <f t="shared" si="3"/>
        <v>#DIV/0!</v>
      </c>
      <c r="R9" s="45" t="e">
        <f t="shared" si="3"/>
        <v>#DIV/0!</v>
      </c>
      <c r="S9" s="45">
        <f t="shared" si="3"/>
        <v>100</v>
      </c>
      <c r="T9" s="45" t="e">
        <f t="shared" si="3"/>
        <v>#DIV/0!</v>
      </c>
      <c r="U9" s="45" t="e">
        <f t="shared" si="3"/>
        <v>#DIV/0!</v>
      </c>
      <c r="V9" s="45">
        <f t="shared" si="3"/>
        <v>100</v>
      </c>
      <c r="W9" s="45" t="e">
        <f t="shared" si="3"/>
        <v>#DIV/0!</v>
      </c>
      <c r="X9" s="45" t="e">
        <f t="shared" si="3"/>
        <v>#DIV/0!</v>
      </c>
      <c r="Y9" s="45">
        <f t="shared" si="3"/>
        <v>100</v>
      </c>
      <c r="Z9" s="45" t="e">
        <f t="shared" si="3"/>
        <v>#DIV/0!</v>
      </c>
      <c r="AA9" s="45" t="e">
        <f t="shared" si="3"/>
        <v>#DIV/0!</v>
      </c>
      <c r="AB9" s="45">
        <f t="shared" si="3"/>
        <v>86.36363636363636</v>
      </c>
      <c r="AC9" s="45" t="e">
        <f t="shared" si="3"/>
        <v>#DIV/0!</v>
      </c>
      <c r="AD9" s="45" t="e">
        <f t="shared" si="3"/>
        <v>#DIV/0!</v>
      </c>
      <c r="AE9" s="45">
        <f t="shared" si="3"/>
        <v>100</v>
      </c>
      <c r="AF9" s="45" t="e">
        <f t="shared" si="3"/>
        <v>#DIV/0!</v>
      </c>
      <c r="AG9" s="45" t="e">
        <f t="shared" si="3"/>
        <v>#DIV/0!</v>
      </c>
      <c r="AH9" s="45">
        <f t="shared" si="3"/>
        <v>99.785714285714292</v>
      </c>
      <c r="AI9" s="45" t="e">
        <f t="shared" si="3"/>
        <v>#DIV/0!</v>
      </c>
      <c r="AJ9" s="45" t="e">
        <f t="shared" si="3"/>
        <v>#DIV/0!</v>
      </c>
      <c r="AK9" s="45">
        <f t="shared" si="3"/>
        <v>100</v>
      </c>
      <c r="AL9" s="45" t="e">
        <f t="shared" si="3"/>
        <v>#DIV/0!</v>
      </c>
      <c r="AM9" s="45" t="e">
        <f t="shared" si="3"/>
        <v>#DIV/0!</v>
      </c>
      <c r="AN9" s="45">
        <f t="shared" si="3"/>
        <v>63.417569193742473</v>
      </c>
      <c r="AO9" s="45" t="e">
        <f t="shared" si="3"/>
        <v>#DIV/0!</v>
      </c>
      <c r="AP9" s="45" t="e">
        <f t="shared" ref="AP9:BY9" si="4">AP17/(AP17+AP24)*100</f>
        <v>#DIV/0!</v>
      </c>
      <c r="AQ9" s="45">
        <f t="shared" si="4"/>
        <v>100</v>
      </c>
      <c r="AR9" s="45" t="e">
        <f t="shared" si="4"/>
        <v>#DIV/0!</v>
      </c>
      <c r="AS9" s="45" t="e">
        <f t="shared" si="4"/>
        <v>#DIV/0!</v>
      </c>
      <c r="AT9" s="45">
        <f t="shared" si="4"/>
        <v>68.502824858757066</v>
      </c>
      <c r="AU9" s="45" t="e">
        <f t="shared" si="4"/>
        <v>#DIV/0!</v>
      </c>
      <c r="AV9" s="45" t="e">
        <f t="shared" si="4"/>
        <v>#DIV/0!</v>
      </c>
      <c r="AW9" s="45">
        <f t="shared" si="4"/>
        <v>100</v>
      </c>
      <c r="AX9" s="45" t="e">
        <f t="shared" si="4"/>
        <v>#DIV/0!</v>
      </c>
      <c r="AY9" s="45" t="e">
        <f t="shared" si="4"/>
        <v>#DIV/0!</v>
      </c>
      <c r="AZ9" s="45">
        <f t="shared" si="4"/>
        <v>94.649061848505909</v>
      </c>
      <c r="BA9" s="45" t="e">
        <f t="shared" si="4"/>
        <v>#DIV/0!</v>
      </c>
      <c r="BB9" s="45" t="e">
        <f t="shared" si="4"/>
        <v>#DIV/0!</v>
      </c>
      <c r="BC9" s="45">
        <f t="shared" si="4"/>
        <v>47.413529231711053</v>
      </c>
      <c r="BD9" s="45" t="e">
        <f t="shared" si="4"/>
        <v>#DIV/0!</v>
      </c>
      <c r="BE9" s="45" t="e">
        <f t="shared" si="4"/>
        <v>#DIV/0!</v>
      </c>
      <c r="BF9" s="45">
        <f t="shared" si="4"/>
        <v>94.204851752021568</v>
      </c>
      <c r="BG9" s="45" t="e">
        <f t="shared" si="4"/>
        <v>#DIV/0!</v>
      </c>
      <c r="BH9" s="45" t="e">
        <f t="shared" si="4"/>
        <v>#DIV/0!</v>
      </c>
      <c r="BI9" s="45">
        <f t="shared" si="4"/>
        <v>89.929742388758783</v>
      </c>
      <c r="BJ9" s="45" t="e">
        <f t="shared" si="4"/>
        <v>#DIV/0!</v>
      </c>
      <c r="BK9" s="45" t="e">
        <f t="shared" si="4"/>
        <v>#DIV/0!</v>
      </c>
      <c r="BL9" s="45">
        <f t="shared" si="4"/>
        <v>50.88</v>
      </c>
      <c r="BM9" s="45" t="e">
        <f t="shared" si="4"/>
        <v>#DIV/0!</v>
      </c>
      <c r="BN9" s="45" t="e">
        <f t="shared" si="4"/>
        <v>#DIV/0!</v>
      </c>
      <c r="BO9" s="45">
        <f t="shared" si="4"/>
        <v>72.267206477732799</v>
      </c>
      <c r="BP9" s="45" t="e">
        <f t="shared" si="4"/>
        <v>#DIV/0!</v>
      </c>
      <c r="BQ9" s="45" t="e">
        <f t="shared" si="4"/>
        <v>#DIV/0!</v>
      </c>
      <c r="BR9" s="45">
        <f t="shared" si="4"/>
        <v>100</v>
      </c>
      <c r="BS9" s="45" t="e">
        <f t="shared" si="4"/>
        <v>#DIV/0!</v>
      </c>
      <c r="BT9" s="45" t="e">
        <f t="shared" si="4"/>
        <v>#DIV/0!</v>
      </c>
      <c r="BU9" s="45">
        <f t="shared" si="4"/>
        <v>64.607679465776286</v>
      </c>
      <c r="BV9" s="45" t="e">
        <f t="shared" si="4"/>
        <v>#DIV/0!</v>
      </c>
      <c r="BW9" s="45" t="e">
        <f t="shared" si="4"/>
        <v>#DIV/0!</v>
      </c>
      <c r="BX9" s="45">
        <f t="shared" si="4"/>
        <v>82.315112540192928</v>
      </c>
      <c r="BY9" s="45" t="e">
        <f t="shared" si="4"/>
        <v>#DIV/0!</v>
      </c>
    </row>
    <row r="10" spans="1:77" hidden="1" x14ac:dyDescent="0.25">
      <c r="A10" s="42"/>
      <c r="B10" s="43" t="s">
        <v>1183</v>
      </c>
      <c r="C10" s="43"/>
      <c r="D10" s="42" t="s">
        <v>950</v>
      </c>
      <c r="E10" s="45" t="e">
        <f t="shared" si="2"/>
        <v>#DIV/0!</v>
      </c>
      <c r="F10" s="45">
        <f t="shared" ref="F10:H14" si="5">F17/(F17+F24)*100</f>
        <v>74.590082480373638</v>
      </c>
      <c r="G10" s="45">
        <f t="shared" si="5"/>
        <v>0</v>
      </c>
      <c r="H10" s="45">
        <f t="shared" si="5"/>
        <v>0</v>
      </c>
      <c r="J10" s="45" t="e">
        <f t="shared" ref="J10:AO10" si="6">J18/(J18+J25)*100</f>
        <v>#DIV/0!</v>
      </c>
      <c r="K10" s="45" t="e">
        <f t="shared" si="6"/>
        <v>#DIV/0!</v>
      </c>
      <c r="L10" s="45" t="e">
        <f t="shared" si="6"/>
        <v>#DIV/0!</v>
      </c>
      <c r="M10" s="45" t="e">
        <f t="shared" si="6"/>
        <v>#DIV/0!</v>
      </c>
      <c r="N10" s="45" t="e">
        <f t="shared" si="6"/>
        <v>#DIV/0!</v>
      </c>
      <c r="O10" s="45" t="e">
        <f t="shared" si="6"/>
        <v>#DIV/0!</v>
      </c>
      <c r="P10" s="45" t="e">
        <f t="shared" si="6"/>
        <v>#DIV/0!</v>
      </c>
      <c r="Q10" s="45" t="e">
        <f t="shared" si="6"/>
        <v>#DIV/0!</v>
      </c>
      <c r="R10" s="45" t="e">
        <f t="shared" si="6"/>
        <v>#DIV/0!</v>
      </c>
      <c r="S10" s="45" t="e">
        <f t="shared" si="6"/>
        <v>#DIV/0!</v>
      </c>
      <c r="T10" s="45" t="e">
        <f t="shared" si="6"/>
        <v>#DIV/0!</v>
      </c>
      <c r="U10" s="45" t="e">
        <f t="shared" si="6"/>
        <v>#DIV/0!</v>
      </c>
      <c r="V10" s="45" t="e">
        <f t="shared" si="6"/>
        <v>#DIV/0!</v>
      </c>
      <c r="W10" s="45" t="e">
        <f t="shared" si="6"/>
        <v>#DIV/0!</v>
      </c>
      <c r="X10" s="45" t="e">
        <f t="shared" si="6"/>
        <v>#DIV/0!</v>
      </c>
      <c r="Y10" s="45" t="e">
        <f t="shared" si="6"/>
        <v>#DIV/0!</v>
      </c>
      <c r="Z10" s="45" t="e">
        <f t="shared" si="6"/>
        <v>#DIV/0!</v>
      </c>
      <c r="AA10" s="45" t="e">
        <f t="shared" si="6"/>
        <v>#DIV/0!</v>
      </c>
      <c r="AB10" s="45" t="e">
        <f t="shared" si="6"/>
        <v>#DIV/0!</v>
      </c>
      <c r="AC10" s="45" t="e">
        <f t="shared" si="6"/>
        <v>#DIV/0!</v>
      </c>
      <c r="AD10" s="45" t="e">
        <f t="shared" si="6"/>
        <v>#DIV/0!</v>
      </c>
      <c r="AE10" s="45" t="e">
        <f t="shared" si="6"/>
        <v>#DIV/0!</v>
      </c>
      <c r="AF10" s="45" t="e">
        <f t="shared" si="6"/>
        <v>#DIV/0!</v>
      </c>
      <c r="AG10" s="45" t="e">
        <f t="shared" si="6"/>
        <v>#DIV/0!</v>
      </c>
      <c r="AH10" s="45" t="e">
        <f t="shared" si="6"/>
        <v>#DIV/0!</v>
      </c>
      <c r="AI10" s="45" t="e">
        <f t="shared" si="6"/>
        <v>#DIV/0!</v>
      </c>
      <c r="AJ10" s="45" t="e">
        <f t="shared" si="6"/>
        <v>#DIV/0!</v>
      </c>
      <c r="AK10" s="45" t="e">
        <f t="shared" si="6"/>
        <v>#DIV/0!</v>
      </c>
      <c r="AL10" s="45" t="e">
        <f t="shared" si="6"/>
        <v>#DIV/0!</v>
      </c>
      <c r="AM10" s="45" t="e">
        <f t="shared" si="6"/>
        <v>#DIV/0!</v>
      </c>
      <c r="AN10" s="45" t="e">
        <f t="shared" si="6"/>
        <v>#DIV/0!</v>
      </c>
      <c r="AO10" s="45" t="e">
        <f t="shared" si="6"/>
        <v>#DIV/0!</v>
      </c>
      <c r="AP10" s="45" t="e">
        <f t="shared" ref="AP10:BY10" si="7">AP18/(AP18+AP25)*100</f>
        <v>#DIV/0!</v>
      </c>
      <c r="AQ10" s="45" t="e">
        <f t="shared" si="7"/>
        <v>#DIV/0!</v>
      </c>
      <c r="AR10" s="45" t="e">
        <f t="shared" si="7"/>
        <v>#DIV/0!</v>
      </c>
      <c r="AS10" s="45" t="e">
        <f t="shared" si="7"/>
        <v>#DIV/0!</v>
      </c>
      <c r="AT10" s="45" t="e">
        <f t="shared" si="7"/>
        <v>#DIV/0!</v>
      </c>
      <c r="AU10" s="45" t="e">
        <f t="shared" si="7"/>
        <v>#DIV/0!</v>
      </c>
      <c r="AV10" s="45" t="e">
        <f t="shared" si="7"/>
        <v>#DIV/0!</v>
      </c>
      <c r="AW10" s="45" t="e">
        <f t="shared" si="7"/>
        <v>#DIV/0!</v>
      </c>
      <c r="AX10" s="45" t="e">
        <f t="shared" si="7"/>
        <v>#DIV/0!</v>
      </c>
      <c r="AY10" s="45" t="e">
        <f t="shared" si="7"/>
        <v>#DIV/0!</v>
      </c>
      <c r="AZ10" s="45" t="e">
        <f t="shared" si="7"/>
        <v>#DIV/0!</v>
      </c>
      <c r="BA10" s="45" t="e">
        <f t="shared" si="7"/>
        <v>#DIV/0!</v>
      </c>
      <c r="BB10" s="45" t="e">
        <f t="shared" si="7"/>
        <v>#DIV/0!</v>
      </c>
      <c r="BC10" s="45" t="e">
        <f t="shared" si="7"/>
        <v>#DIV/0!</v>
      </c>
      <c r="BD10" s="45" t="e">
        <f t="shared" si="7"/>
        <v>#DIV/0!</v>
      </c>
      <c r="BE10" s="45" t="e">
        <f t="shared" si="7"/>
        <v>#DIV/0!</v>
      </c>
      <c r="BF10" s="45" t="e">
        <f t="shared" si="7"/>
        <v>#DIV/0!</v>
      </c>
      <c r="BG10" s="45" t="e">
        <f t="shared" si="7"/>
        <v>#DIV/0!</v>
      </c>
      <c r="BH10" s="45" t="e">
        <f t="shared" si="7"/>
        <v>#DIV/0!</v>
      </c>
      <c r="BI10" s="45" t="e">
        <f t="shared" si="7"/>
        <v>#DIV/0!</v>
      </c>
      <c r="BJ10" s="45" t="e">
        <f t="shared" si="7"/>
        <v>#DIV/0!</v>
      </c>
      <c r="BK10" s="45" t="e">
        <f t="shared" si="7"/>
        <v>#DIV/0!</v>
      </c>
      <c r="BL10" s="45" t="e">
        <f t="shared" si="7"/>
        <v>#DIV/0!</v>
      </c>
      <c r="BM10" s="45" t="e">
        <f t="shared" si="7"/>
        <v>#DIV/0!</v>
      </c>
      <c r="BN10" s="45" t="e">
        <f t="shared" si="7"/>
        <v>#DIV/0!</v>
      </c>
      <c r="BO10" s="45" t="e">
        <f t="shared" si="7"/>
        <v>#DIV/0!</v>
      </c>
      <c r="BP10" s="45" t="e">
        <f t="shared" si="7"/>
        <v>#DIV/0!</v>
      </c>
      <c r="BQ10" s="45" t="e">
        <f t="shared" si="7"/>
        <v>#DIV/0!</v>
      </c>
      <c r="BR10" s="45" t="e">
        <f t="shared" si="7"/>
        <v>#DIV/0!</v>
      </c>
      <c r="BS10" s="45" t="e">
        <f t="shared" si="7"/>
        <v>#DIV/0!</v>
      </c>
      <c r="BT10" s="45" t="e">
        <f t="shared" si="7"/>
        <v>#DIV/0!</v>
      </c>
      <c r="BU10" s="45" t="e">
        <f t="shared" si="7"/>
        <v>#DIV/0!</v>
      </c>
      <c r="BV10" s="45" t="e">
        <f t="shared" si="7"/>
        <v>#DIV/0!</v>
      </c>
      <c r="BW10" s="45" t="e">
        <f t="shared" si="7"/>
        <v>#DIV/0!</v>
      </c>
      <c r="BX10" s="45" t="e">
        <f t="shared" si="7"/>
        <v>#DIV/0!</v>
      </c>
      <c r="BY10" s="45" t="e">
        <f t="shared" si="7"/>
        <v>#DIV/0!</v>
      </c>
    </row>
    <row r="11" spans="1:77" hidden="1" x14ac:dyDescent="0.25">
      <c r="A11" s="42"/>
      <c r="B11" s="43" t="s">
        <v>1185</v>
      </c>
      <c r="C11" s="43"/>
      <c r="D11" s="42" t="s">
        <v>950</v>
      </c>
      <c r="E11" s="45" t="e">
        <f t="shared" si="2"/>
        <v>#DIV/0!</v>
      </c>
      <c r="F11" s="45" t="e">
        <f t="shared" si="5"/>
        <v>#DIV/0!</v>
      </c>
      <c r="G11" s="45" t="e">
        <f t="shared" si="5"/>
        <v>#DIV/0!</v>
      </c>
      <c r="H11" s="45" t="e">
        <f t="shared" si="5"/>
        <v>#DIV/0!</v>
      </c>
      <c r="J11" s="45" t="e">
        <f t="shared" ref="J11:AO11" si="8">J19/(J19+J26)*100</f>
        <v>#DIV/0!</v>
      </c>
      <c r="K11" s="45" t="e">
        <f t="shared" si="8"/>
        <v>#DIV/0!</v>
      </c>
      <c r="L11" s="45" t="e">
        <f t="shared" si="8"/>
        <v>#DIV/0!</v>
      </c>
      <c r="M11" s="45" t="e">
        <f t="shared" si="8"/>
        <v>#DIV/0!</v>
      </c>
      <c r="N11" s="45" t="e">
        <f t="shared" si="8"/>
        <v>#DIV/0!</v>
      </c>
      <c r="O11" s="45" t="e">
        <f t="shared" si="8"/>
        <v>#DIV/0!</v>
      </c>
      <c r="P11" s="45" t="e">
        <f t="shared" si="8"/>
        <v>#DIV/0!</v>
      </c>
      <c r="Q11" s="45" t="e">
        <f t="shared" si="8"/>
        <v>#DIV/0!</v>
      </c>
      <c r="R11" s="45" t="e">
        <f t="shared" si="8"/>
        <v>#DIV/0!</v>
      </c>
      <c r="S11" s="45" t="e">
        <f t="shared" si="8"/>
        <v>#DIV/0!</v>
      </c>
      <c r="T11" s="45" t="e">
        <f t="shared" si="8"/>
        <v>#DIV/0!</v>
      </c>
      <c r="U11" s="45" t="e">
        <f t="shared" si="8"/>
        <v>#DIV/0!</v>
      </c>
      <c r="V11" s="45" t="e">
        <f t="shared" si="8"/>
        <v>#DIV/0!</v>
      </c>
      <c r="W11" s="45" t="e">
        <f t="shared" si="8"/>
        <v>#DIV/0!</v>
      </c>
      <c r="X11" s="45" t="e">
        <f t="shared" si="8"/>
        <v>#DIV/0!</v>
      </c>
      <c r="Y11" s="45" t="e">
        <f t="shared" si="8"/>
        <v>#DIV/0!</v>
      </c>
      <c r="Z11" s="45" t="e">
        <f t="shared" si="8"/>
        <v>#DIV/0!</v>
      </c>
      <c r="AA11" s="45" t="e">
        <f t="shared" si="8"/>
        <v>#DIV/0!</v>
      </c>
      <c r="AB11" s="45" t="e">
        <f t="shared" si="8"/>
        <v>#DIV/0!</v>
      </c>
      <c r="AC11" s="45" t="e">
        <f t="shared" si="8"/>
        <v>#DIV/0!</v>
      </c>
      <c r="AD11" s="45" t="e">
        <f t="shared" si="8"/>
        <v>#DIV/0!</v>
      </c>
      <c r="AE11" s="45" t="e">
        <f t="shared" si="8"/>
        <v>#DIV/0!</v>
      </c>
      <c r="AF11" s="45" t="e">
        <f t="shared" si="8"/>
        <v>#DIV/0!</v>
      </c>
      <c r="AG11" s="45" t="e">
        <f t="shared" si="8"/>
        <v>#DIV/0!</v>
      </c>
      <c r="AH11" s="45" t="e">
        <f t="shared" si="8"/>
        <v>#DIV/0!</v>
      </c>
      <c r="AI11" s="45" t="e">
        <f t="shared" si="8"/>
        <v>#DIV/0!</v>
      </c>
      <c r="AJ11" s="45" t="e">
        <f t="shared" si="8"/>
        <v>#DIV/0!</v>
      </c>
      <c r="AK11" s="45" t="e">
        <f t="shared" si="8"/>
        <v>#DIV/0!</v>
      </c>
      <c r="AL11" s="45" t="e">
        <f t="shared" si="8"/>
        <v>#DIV/0!</v>
      </c>
      <c r="AM11" s="45" t="e">
        <f t="shared" si="8"/>
        <v>#DIV/0!</v>
      </c>
      <c r="AN11" s="45" t="e">
        <f t="shared" si="8"/>
        <v>#DIV/0!</v>
      </c>
      <c r="AO11" s="45" t="e">
        <f t="shared" si="8"/>
        <v>#DIV/0!</v>
      </c>
      <c r="AP11" s="45" t="e">
        <f t="shared" ref="AP11:BY11" si="9">AP19/(AP19+AP26)*100</f>
        <v>#DIV/0!</v>
      </c>
      <c r="AQ11" s="45" t="e">
        <f t="shared" si="9"/>
        <v>#DIV/0!</v>
      </c>
      <c r="AR11" s="45" t="e">
        <f t="shared" si="9"/>
        <v>#DIV/0!</v>
      </c>
      <c r="AS11" s="45" t="e">
        <f t="shared" si="9"/>
        <v>#DIV/0!</v>
      </c>
      <c r="AT11" s="45" t="e">
        <f t="shared" si="9"/>
        <v>#DIV/0!</v>
      </c>
      <c r="AU11" s="45" t="e">
        <f t="shared" si="9"/>
        <v>#DIV/0!</v>
      </c>
      <c r="AV11" s="45" t="e">
        <f t="shared" si="9"/>
        <v>#DIV/0!</v>
      </c>
      <c r="AW11" s="45" t="e">
        <f t="shared" si="9"/>
        <v>#DIV/0!</v>
      </c>
      <c r="AX11" s="45" t="e">
        <f t="shared" si="9"/>
        <v>#DIV/0!</v>
      </c>
      <c r="AY11" s="45" t="e">
        <f t="shared" si="9"/>
        <v>#DIV/0!</v>
      </c>
      <c r="AZ11" s="45" t="e">
        <f t="shared" si="9"/>
        <v>#DIV/0!</v>
      </c>
      <c r="BA11" s="45" t="e">
        <f t="shared" si="9"/>
        <v>#DIV/0!</v>
      </c>
      <c r="BB11" s="45" t="e">
        <f t="shared" si="9"/>
        <v>#DIV/0!</v>
      </c>
      <c r="BC11" s="45" t="e">
        <f t="shared" si="9"/>
        <v>#DIV/0!</v>
      </c>
      <c r="BD11" s="45" t="e">
        <f t="shared" si="9"/>
        <v>#DIV/0!</v>
      </c>
      <c r="BE11" s="45" t="e">
        <f t="shared" si="9"/>
        <v>#DIV/0!</v>
      </c>
      <c r="BF11" s="45" t="e">
        <f t="shared" si="9"/>
        <v>#DIV/0!</v>
      </c>
      <c r="BG11" s="45" t="e">
        <f t="shared" si="9"/>
        <v>#DIV/0!</v>
      </c>
      <c r="BH11" s="45" t="e">
        <f t="shared" si="9"/>
        <v>#DIV/0!</v>
      </c>
      <c r="BI11" s="45" t="e">
        <f t="shared" si="9"/>
        <v>#DIV/0!</v>
      </c>
      <c r="BJ11" s="45" t="e">
        <f t="shared" si="9"/>
        <v>#DIV/0!</v>
      </c>
      <c r="BK11" s="45" t="e">
        <f t="shared" si="9"/>
        <v>#DIV/0!</v>
      </c>
      <c r="BL11" s="45" t="e">
        <f t="shared" si="9"/>
        <v>#DIV/0!</v>
      </c>
      <c r="BM11" s="45" t="e">
        <f t="shared" si="9"/>
        <v>#DIV/0!</v>
      </c>
      <c r="BN11" s="45" t="e">
        <f t="shared" si="9"/>
        <v>#DIV/0!</v>
      </c>
      <c r="BO11" s="45" t="e">
        <f t="shared" si="9"/>
        <v>#DIV/0!</v>
      </c>
      <c r="BP11" s="45" t="e">
        <f t="shared" si="9"/>
        <v>#DIV/0!</v>
      </c>
      <c r="BQ11" s="45" t="e">
        <f t="shared" si="9"/>
        <v>#DIV/0!</v>
      </c>
      <c r="BR11" s="45" t="e">
        <f t="shared" si="9"/>
        <v>#DIV/0!</v>
      </c>
      <c r="BS11" s="45" t="e">
        <f t="shared" si="9"/>
        <v>#DIV/0!</v>
      </c>
      <c r="BT11" s="45" t="e">
        <f t="shared" si="9"/>
        <v>#DIV/0!</v>
      </c>
      <c r="BU11" s="45" t="e">
        <f t="shared" si="9"/>
        <v>#DIV/0!</v>
      </c>
      <c r="BV11" s="45" t="e">
        <f t="shared" si="9"/>
        <v>#DIV/0!</v>
      </c>
      <c r="BW11" s="45" t="e">
        <f t="shared" si="9"/>
        <v>#DIV/0!</v>
      </c>
      <c r="BX11" s="45" t="e">
        <f t="shared" si="9"/>
        <v>#DIV/0!</v>
      </c>
      <c r="BY11" s="45" t="e">
        <f t="shared" si="9"/>
        <v>#DIV/0!</v>
      </c>
    </row>
    <row r="12" spans="1:77" hidden="1" x14ac:dyDescent="0.25">
      <c r="A12" s="42"/>
      <c r="B12" s="43" t="s">
        <v>1184</v>
      </c>
      <c r="C12" s="43"/>
      <c r="D12" s="42" t="s">
        <v>950</v>
      </c>
      <c r="E12" s="45" t="e">
        <f t="shared" si="2"/>
        <v>#DIV/0!</v>
      </c>
      <c r="F12" s="45" t="e">
        <f t="shared" si="5"/>
        <v>#DIV/0!</v>
      </c>
      <c r="G12" s="45" t="e">
        <f t="shared" si="5"/>
        <v>#DIV/0!</v>
      </c>
      <c r="H12" s="45" t="e">
        <f t="shared" si="5"/>
        <v>#DIV/0!</v>
      </c>
      <c r="J12" s="45" t="e">
        <f t="shared" ref="J12:AO12" si="10">J20/(J20+J27)*100</f>
        <v>#DIV/0!</v>
      </c>
      <c r="K12" s="45" t="e">
        <f t="shared" si="10"/>
        <v>#DIV/0!</v>
      </c>
      <c r="L12" s="45" t="e">
        <f t="shared" si="10"/>
        <v>#DIV/0!</v>
      </c>
      <c r="M12" s="45" t="e">
        <f t="shared" si="10"/>
        <v>#DIV/0!</v>
      </c>
      <c r="N12" s="45" t="e">
        <f t="shared" si="10"/>
        <v>#DIV/0!</v>
      </c>
      <c r="O12" s="45" t="e">
        <f t="shared" si="10"/>
        <v>#DIV/0!</v>
      </c>
      <c r="P12" s="45" t="e">
        <f t="shared" si="10"/>
        <v>#DIV/0!</v>
      </c>
      <c r="Q12" s="45" t="e">
        <f t="shared" si="10"/>
        <v>#DIV/0!</v>
      </c>
      <c r="R12" s="45" t="e">
        <f t="shared" si="10"/>
        <v>#DIV/0!</v>
      </c>
      <c r="S12" s="45" t="e">
        <f t="shared" si="10"/>
        <v>#DIV/0!</v>
      </c>
      <c r="T12" s="45" t="e">
        <f t="shared" si="10"/>
        <v>#DIV/0!</v>
      </c>
      <c r="U12" s="45" t="e">
        <f t="shared" si="10"/>
        <v>#DIV/0!</v>
      </c>
      <c r="V12" s="45" t="e">
        <f t="shared" si="10"/>
        <v>#DIV/0!</v>
      </c>
      <c r="W12" s="45" t="e">
        <f t="shared" si="10"/>
        <v>#DIV/0!</v>
      </c>
      <c r="X12" s="45" t="e">
        <f t="shared" si="10"/>
        <v>#DIV/0!</v>
      </c>
      <c r="Y12" s="45" t="e">
        <f t="shared" si="10"/>
        <v>#DIV/0!</v>
      </c>
      <c r="Z12" s="45" t="e">
        <f t="shared" si="10"/>
        <v>#DIV/0!</v>
      </c>
      <c r="AA12" s="45" t="e">
        <f t="shared" si="10"/>
        <v>#DIV/0!</v>
      </c>
      <c r="AB12" s="45" t="e">
        <f t="shared" si="10"/>
        <v>#DIV/0!</v>
      </c>
      <c r="AC12" s="45" t="e">
        <f t="shared" si="10"/>
        <v>#DIV/0!</v>
      </c>
      <c r="AD12" s="45" t="e">
        <f t="shared" si="10"/>
        <v>#DIV/0!</v>
      </c>
      <c r="AE12" s="45" t="e">
        <f t="shared" si="10"/>
        <v>#DIV/0!</v>
      </c>
      <c r="AF12" s="45" t="e">
        <f t="shared" si="10"/>
        <v>#DIV/0!</v>
      </c>
      <c r="AG12" s="45" t="e">
        <f t="shared" si="10"/>
        <v>#DIV/0!</v>
      </c>
      <c r="AH12" s="45" t="e">
        <f t="shared" si="10"/>
        <v>#DIV/0!</v>
      </c>
      <c r="AI12" s="45" t="e">
        <f t="shared" si="10"/>
        <v>#DIV/0!</v>
      </c>
      <c r="AJ12" s="45" t="e">
        <f t="shared" si="10"/>
        <v>#DIV/0!</v>
      </c>
      <c r="AK12" s="45" t="e">
        <f t="shared" si="10"/>
        <v>#DIV/0!</v>
      </c>
      <c r="AL12" s="45" t="e">
        <f t="shared" si="10"/>
        <v>#DIV/0!</v>
      </c>
      <c r="AM12" s="45" t="e">
        <f t="shared" si="10"/>
        <v>#DIV/0!</v>
      </c>
      <c r="AN12" s="45" t="e">
        <f t="shared" si="10"/>
        <v>#DIV/0!</v>
      </c>
      <c r="AO12" s="45" t="e">
        <f t="shared" si="10"/>
        <v>#DIV/0!</v>
      </c>
      <c r="AP12" s="45" t="e">
        <f t="shared" ref="AP12:BY12" si="11">AP20/(AP20+AP27)*100</f>
        <v>#DIV/0!</v>
      </c>
      <c r="AQ12" s="45" t="e">
        <f t="shared" si="11"/>
        <v>#DIV/0!</v>
      </c>
      <c r="AR12" s="45" t="e">
        <f t="shared" si="11"/>
        <v>#DIV/0!</v>
      </c>
      <c r="AS12" s="45" t="e">
        <f t="shared" si="11"/>
        <v>#DIV/0!</v>
      </c>
      <c r="AT12" s="45" t="e">
        <f t="shared" si="11"/>
        <v>#DIV/0!</v>
      </c>
      <c r="AU12" s="45" t="e">
        <f t="shared" si="11"/>
        <v>#DIV/0!</v>
      </c>
      <c r="AV12" s="45" t="e">
        <f t="shared" si="11"/>
        <v>#DIV/0!</v>
      </c>
      <c r="AW12" s="45" t="e">
        <f t="shared" si="11"/>
        <v>#DIV/0!</v>
      </c>
      <c r="AX12" s="45" t="e">
        <f t="shared" si="11"/>
        <v>#DIV/0!</v>
      </c>
      <c r="AY12" s="45" t="e">
        <f t="shared" si="11"/>
        <v>#DIV/0!</v>
      </c>
      <c r="AZ12" s="45" t="e">
        <f t="shared" si="11"/>
        <v>#DIV/0!</v>
      </c>
      <c r="BA12" s="45" t="e">
        <f t="shared" si="11"/>
        <v>#DIV/0!</v>
      </c>
      <c r="BB12" s="45" t="e">
        <f t="shared" si="11"/>
        <v>#DIV/0!</v>
      </c>
      <c r="BC12" s="45" t="e">
        <f t="shared" si="11"/>
        <v>#DIV/0!</v>
      </c>
      <c r="BD12" s="45" t="e">
        <f t="shared" si="11"/>
        <v>#DIV/0!</v>
      </c>
      <c r="BE12" s="45" t="e">
        <f t="shared" si="11"/>
        <v>#DIV/0!</v>
      </c>
      <c r="BF12" s="45" t="e">
        <f t="shared" si="11"/>
        <v>#DIV/0!</v>
      </c>
      <c r="BG12" s="45" t="e">
        <f t="shared" si="11"/>
        <v>#DIV/0!</v>
      </c>
      <c r="BH12" s="45" t="e">
        <f t="shared" si="11"/>
        <v>#DIV/0!</v>
      </c>
      <c r="BI12" s="45" t="e">
        <f t="shared" si="11"/>
        <v>#DIV/0!</v>
      </c>
      <c r="BJ12" s="45" t="e">
        <f t="shared" si="11"/>
        <v>#DIV/0!</v>
      </c>
      <c r="BK12" s="45" t="e">
        <f t="shared" si="11"/>
        <v>#DIV/0!</v>
      </c>
      <c r="BL12" s="45" t="e">
        <f t="shared" si="11"/>
        <v>#DIV/0!</v>
      </c>
      <c r="BM12" s="45" t="e">
        <f t="shared" si="11"/>
        <v>#DIV/0!</v>
      </c>
      <c r="BN12" s="45" t="e">
        <f t="shared" si="11"/>
        <v>#DIV/0!</v>
      </c>
      <c r="BO12" s="45" t="e">
        <f t="shared" si="11"/>
        <v>#DIV/0!</v>
      </c>
      <c r="BP12" s="45" t="e">
        <f t="shared" si="11"/>
        <v>#DIV/0!</v>
      </c>
      <c r="BQ12" s="45" t="e">
        <f t="shared" si="11"/>
        <v>#DIV/0!</v>
      </c>
      <c r="BR12" s="45" t="e">
        <f t="shared" si="11"/>
        <v>#DIV/0!</v>
      </c>
      <c r="BS12" s="45" t="e">
        <f t="shared" si="11"/>
        <v>#DIV/0!</v>
      </c>
      <c r="BT12" s="45" t="e">
        <f t="shared" si="11"/>
        <v>#DIV/0!</v>
      </c>
      <c r="BU12" s="45" t="e">
        <f t="shared" si="11"/>
        <v>#DIV/0!</v>
      </c>
      <c r="BV12" s="45" t="e">
        <f t="shared" si="11"/>
        <v>#DIV/0!</v>
      </c>
      <c r="BW12" s="45" t="e">
        <f t="shared" si="11"/>
        <v>#DIV/0!</v>
      </c>
      <c r="BX12" s="45" t="e">
        <f t="shared" si="11"/>
        <v>#DIV/0!</v>
      </c>
      <c r="BY12" s="45" t="e">
        <f t="shared" si="11"/>
        <v>#DIV/0!</v>
      </c>
    </row>
    <row r="13" spans="1:77" hidden="1" x14ac:dyDescent="0.25">
      <c r="A13" s="42"/>
      <c r="B13" s="43" t="s">
        <v>1183</v>
      </c>
      <c r="C13" s="43"/>
      <c r="D13" s="42" t="s">
        <v>950</v>
      </c>
      <c r="E13" s="45" t="e">
        <f t="shared" si="2"/>
        <v>#DIV/0!</v>
      </c>
      <c r="F13" s="45" t="e">
        <f t="shared" si="5"/>
        <v>#DIV/0!</v>
      </c>
      <c r="G13" s="45" t="e">
        <f t="shared" si="5"/>
        <v>#DIV/0!</v>
      </c>
      <c r="H13" s="45" t="e">
        <f t="shared" si="5"/>
        <v>#DIV/0!</v>
      </c>
      <c r="J13" s="45" t="e">
        <f t="shared" ref="J13:AO13" si="12">J21/(J21+J28)*100</f>
        <v>#DIV/0!</v>
      </c>
      <c r="K13" s="45" t="e">
        <f t="shared" si="12"/>
        <v>#DIV/0!</v>
      </c>
      <c r="L13" s="45" t="e">
        <f t="shared" si="12"/>
        <v>#DIV/0!</v>
      </c>
      <c r="M13" s="45" t="e">
        <f t="shared" si="12"/>
        <v>#DIV/0!</v>
      </c>
      <c r="N13" s="45" t="e">
        <f t="shared" si="12"/>
        <v>#DIV/0!</v>
      </c>
      <c r="O13" s="45" t="e">
        <f t="shared" si="12"/>
        <v>#DIV/0!</v>
      </c>
      <c r="P13" s="45" t="e">
        <f t="shared" si="12"/>
        <v>#DIV/0!</v>
      </c>
      <c r="Q13" s="45" t="e">
        <f t="shared" si="12"/>
        <v>#DIV/0!</v>
      </c>
      <c r="R13" s="45" t="e">
        <f t="shared" si="12"/>
        <v>#DIV/0!</v>
      </c>
      <c r="S13" s="45" t="e">
        <f t="shared" si="12"/>
        <v>#DIV/0!</v>
      </c>
      <c r="T13" s="45" t="e">
        <f t="shared" si="12"/>
        <v>#DIV/0!</v>
      </c>
      <c r="U13" s="45" t="e">
        <f t="shared" si="12"/>
        <v>#DIV/0!</v>
      </c>
      <c r="V13" s="45" t="e">
        <f t="shared" si="12"/>
        <v>#DIV/0!</v>
      </c>
      <c r="W13" s="45" t="e">
        <f t="shared" si="12"/>
        <v>#DIV/0!</v>
      </c>
      <c r="X13" s="45" t="e">
        <f t="shared" si="12"/>
        <v>#DIV/0!</v>
      </c>
      <c r="Y13" s="45" t="e">
        <f t="shared" si="12"/>
        <v>#DIV/0!</v>
      </c>
      <c r="Z13" s="45" t="e">
        <f t="shared" si="12"/>
        <v>#DIV/0!</v>
      </c>
      <c r="AA13" s="45" t="e">
        <f t="shared" si="12"/>
        <v>#DIV/0!</v>
      </c>
      <c r="AB13" s="45" t="e">
        <f t="shared" si="12"/>
        <v>#DIV/0!</v>
      </c>
      <c r="AC13" s="45" t="e">
        <f t="shared" si="12"/>
        <v>#DIV/0!</v>
      </c>
      <c r="AD13" s="45" t="e">
        <f t="shared" si="12"/>
        <v>#DIV/0!</v>
      </c>
      <c r="AE13" s="45" t="e">
        <f t="shared" si="12"/>
        <v>#DIV/0!</v>
      </c>
      <c r="AF13" s="45" t="e">
        <f t="shared" si="12"/>
        <v>#DIV/0!</v>
      </c>
      <c r="AG13" s="45" t="e">
        <f t="shared" si="12"/>
        <v>#DIV/0!</v>
      </c>
      <c r="AH13" s="45" t="e">
        <f t="shared" si="12"/>
        <v>#DIV/0!</v>
      </c>
      <c r="AI13" s="45" t="e">
        <f t="shared" si="12"/>
        <v>#DIV/0!</v>
      </c>
      <c r="AJ13" s="45" t="e">
        <f t="shared" si="12"/>
        <v>#DIV/0!</v>
      </c>
      <c r="AK13" s="45" t="e">
        <f t="shared" si="12"/>
        <v>#DIV/0!</v>
      </c>
      <c r="AL13" s="45" t="e">
        <f t="shared" si="12"/>
        <v>#DIV/0!</v>
      </c>
      <c r="AM13" s="45" t="e">
        <f t="shared" si="12"/>
        <v>#DIV/0!</v>
      </c>
      <c r="AN13" s="45" t="e">
        <f t="shared" si="12"/>
        <v>#DIV/0!</v>
      </c>
      <c r="AO13" s="45" t="e">
        <f t="shared" si="12"/>
        <v>#DIV/0!</v>
      </c>
      <c r="AP13" s="45" t="e">
        <f t="shared" ref="AP13:BY13" si="13">AP21/(AP21+AP28)*100</f>
        <v>#DIV/0!</v>
      </c>
      <c r="AQ13" s="45" t="e">
        <f t="shared" si="13"/>
        <v>#DIV/0!</v>
      </c>
      <c r="AR13" s="45" t="e">
        <f t="shared" si="13"/>
        <v>#DIV/0!</v>
      </c>
      <c r="AS13" s="45" t="e">
        <f t="shared" si="13"/>
        <v>#DIV/0!</v>
      </c>
      <c r="AT13" s="45" t="e">
        <f t="shared" si="13"/>
        <v>#DIV/0!</v>
      </c>
      <c r="AU13" s="45" t="e">
        <f t="shared" si="13"/>
        <v>#DIV/0!</v>
      </c>
      <c r="AV13" s="45" t="e">
        <f t="shared" si="13"/>
        <v>#DIV/0!</v>
      </c>
      <c r="AW13" s="45" t="e">
        <f t="shared" si="13"/>
        <v>#DIV/0!</v>
      </c>
      <c r="AX13" s="45" t="e">
        <f t="shared" si="13"/>
        <v>#DIV/0!</v>
      </c>
      <c r="AY13" s="45" t="e">
        <f t="shared" si="13"/>
        <v>#DIV/0!</v>
      </c>
      <c r="AZ13" s="45" t="e">
        <f t="shared" si="13"/>
        <v>#DIV/0!</v>
      </c>
      <c r="BA13" s="45" t="e">
        <f t="shared" si="13"/>
        <v>#DIV/0!</v>
      </c>
      <c r="BB13" s="45" t="e">
        <f t="shared" si="13"/>
        <v>#DIV/0!</v>
      </c>
      <c r="BC13" s="45" t="e">
        <f t="shared" si="13"/>
        <v>#DIV/0!</v>
      </c>
      <c r="BD13" s="45" t="e">
        <f t="shared" si="13"/>
        <v>#DIV/0!</v>
      </c>
      <c r="BE13" s="45" t="e">
        <f t="shared" si="13"/>
        <v>#DIV/0!</v>
      </c>
      <c r="BF13" s="45" t="e">
        <f t="shared" si="13"/>
        <v>#DIV/0!</v>
      </c>
      <c r="BG13" s="45" t="e">
        <f t="shared" si="13"/>
        <v>#DIV/0!</v>
      </c>
      <c r="BH13" s="45" t="e">
        <f t="shared" si="13"/>
        <v>#DIV/0!</v>
      </c>
      <c r="BI13" s="45" t="e">
        <f t="shared" si="13"/>
        <v>#DIV/0!</v>
      </c>
      <c r="BJ13" s="45" t="e">
        <f t="shared" si="13"/>
        <v>#DIV/0!</v>
      </c>
      <c r="BK13" s="45" t="e">
        <f t="shared" si="13"/>
        <v>#DIV/0!</v>
      </c>
      <c r="BL13" s="45" t="e">
        <f t="shared" si="13"/>
        <v>#DIV/0!</v>
      </c>
      <c r="BM13" s="45" t="e">
        <f t="shared" si="13"/>
        <v>#DIV/0!</v>
      </c>
      <c r="BN13" s="45" t="e">
        <f t="shared" si="13"/>
        <v>#DIV/0!</v>
      </c>
      <c r="BO13" s="45" t="e">
        <f t="shared" si="13"/>
        <v>#DIV/0!</v>
      </c>
      <c r="BP13" s="45" t="e">
        <f t="shared" si="13"/>
        <v>#DIV/0!</v>
      </c>
      <c r="BQ13" s="45" t="e">
        <f t="shared" si="13"/>
        <v>#DIV/0!</v>
      </c>
      <c r="BR13" s="45" t="e">
        <f t="shared" si="13"/>
        <v>#DIV/0!</v>
      </c>
      <c r="BS13" s="45" t="e">
        <f t="shared" si="13"/>
        <v>#DIV/0!</v>
      </c>
      <c r="BT13" s="45" t="e">
        <f t="shared" si="13"/>
        <v>#DIV/0!</v>
      </c>
      <c r="BU13" s="45" t="e">
        <f t="shared" si="13"/>
        <v>#DIV/0!</v>
      </c>
      <c r="BV13" s="45" t="e">
        <f t="shared" si="13"/>
        <v>#DIV/0!</v>
      </c>
      <c r="BW13" s="45" t="e">
        <f t="shared" si="13"/>
        <v>#DIV/0!</v>
      </c>
      <c r="BX13" s="45" t="e">
        <f t="shared" si="13"/>
        <v>#DIV/0!</v>
      </c>
      <c r="BY13" s="45" t="e">
        <f t="shared" si="13"/>
        <v>#DIV/0!</v>
      </c>
    </row>
    <row r="14" spans="1:77" hidden="1" x14ac:dyDescent="0.25">
      <c r="A14" s="42"/>
      <c r="B14" s="43" t="s">
        <v>1185</v>
      </c>
      <c r="C14" s="43"/>
      <c r="D14" s="42" t="s">
        <v>950</v>
      </c>
      <c r="E14" s="45" t="e">
        <f t="shared" si="2"/>
        <v>#DIV/0!</v>
      </c>
      <c r="F14" s="45" t="e">
        <f t="shared" si="5"/>
        <v>#DIV/0!</v>
      </c>
      <c r="G14" s="45" t="e">
        <f t="shared" si="5"/>
        <v>#DIV/0!</v>
      </c>
      <c r="H14" s="45" t="e">
        <f t="shared" si="5"/>
        <v>#DIV/0!</v>
      </c>
    </row>
    <row r="15" spans="1:77" ht="30" x14ac:dyDescent="0.25">
      <c r="A15" s="8"/>
      <c r="B15" s="7" t="s">
        <v>2299</v>
      </c>
      <c r="C15" s="6"/>
      <c r="D15" s="6" t="s">
        <v>950</v>
      </c>
      <c r="E15" s="35"/>
      <c r="F15" s="35">
        <v>15012</v>
      </c>
      <c r="G15" s="35"/>
      <c r="H15" s="35"/>
      <c r="J15" s="36">
        <f>J16</f>
        <v>0</v>
      </c>
      <c r="K15" s="36">
        <f>K16</f>
        <v>15012</v>
      </c>
      <c r="L15" s="36">
        <f>L16</f>
        <v>0</v>
      </c>
      <c r="M15" s="36">
        <f t="shared" ref="M15:BX15" si="14">M16</f>
        <v>447</v>
      </c>
      <c r="N15" s="36">
        <f t="shared" si="14"/>
        <v>0</v>
      </c>
      <c r="O15" s="36">
        <f t="shared" si="14"/>
        <v>0</v>
      </c>
      <c r="P15" s="36">
        <f t="shared" si="14"/>
        <v>264</v>
      </c>
      <c r="Q15" s="36">
        <f t="shared" si="14"/>
        <v>0</v>
      </c>
      <c r="R15" s="36">
        <f t="shared" si="14"/>
        <v>0</v>
      </c>
      <c r="S15" s="36">
        <f t="shared" si="14"/>
        <v>428</v>
      </c>
      <c r="T15" s="36">
        <f t="shared" si="14"/>
        <v>0</v>
      </c>
      <c r="U15" s="36">
        <f t="shared" si="14"/>
        <v>0</v>
      </c>
      <c r="V15" s="36">
        <f t="shared" si="14"/>
        <v>329</v>
      </c>
      <c r="W15" s="36">
        <f t="shared" si="14"/>
        <v>0</v>
      </c>
      <c r="X15" s="36">
        <f t="shared" si="14"/>
        <v>0</v>
      </c>
      <c r="Y15" s="36">
        <f t="shared" si="14"/>
        <v>481</v>
      </c>
      <c r="Z15" s="36">
        <f t="shared" si="14"/>
        <v>0</v>
      </c>
      <c r="AA15" s="36">
        <f t="shared" si="14"/>
        <v>0</v>
      </c>
      <c r="AB15" s="36">
        <f t="shared" si="14"/>
        <v>380</v>
      </c>
      <c r="AC15" s="36">
        <f t="shared" si="14"/>
        <v>0</v>
      </c>
      <c r="AD15" s="36">
        <f t="shared" si="14"/>
        <v>0</v>
      </c>
      <c r="AE15" s="36">
        <f t="shared" si="14"/>
        <v>546</v>
      </c>
      <c r="AF15" s="36">
        <f t="shared" si="14"/>
        <v>0</v>
      </c>
      <c r="AG15" s="36">
        <f t="shared" si="14"/>
        <v>0</v>
      </c>
      <c r="AH15" s="36">
        <f t="shared" si="14"/>
        <v>1397</v>
      </c>
      <c r="AI15" s="36">
        <f t="shared" si="14"/>
        <v>0</v>
      </c>
      <c r="AJ15" s="36">
        <f t="shared" si="14"/>
        <v>0</v>
      </c>
      <c r="AK15" s="36">
        <f t="shared" si="14"/>
        <v>263</v>
      </c>
      <c r="AL15" s="36">
        <f t="shared" si="14"/>
        <v>0</v>
      </c>
      <c r="AM15" s="36">
        <f t="shared" si="14"/>
        <v>0</v>
      </c>
      <c r="AN15" s="36">
        <f t="shared" si="14"/>
        <v>527</v>
      </c>
      <c r="AO15" s="36">
        <f t="shared" si="14"/>
        <v>0</v>
      </c>
      <c r="AP15" s="36">
        <f t="shared" si="14"/>
        <v>0</v>
      </c>
      <c r="AQ15" s="36">
        <f t="shared" si="14"/>
        <v>275</v>
      </c>
      <c r="AR15" s="36">
        <f t="shared" si="14"/>
        <v>0</v>
      </c>
      <c r="AS15" s="36">
        <f t="shared" si="14"/>
        <v>0</v>
      </c>
      <c r="AT15" s="36">
        <f t="shared" si="14"/>
        <v>485</v>
      </c>
      <c r="AU15" s="36">
        <f t="shared" si="14"/>
        <v>0</v>
      </c>
      <c r="AV15" s="36">
        <f t="shared" si="14"/>
        <v>0</v>
      </c>
      <c r="AW15" s="36">
        <f t="shared" si="14"/>
        <v>427</v>
      </c>
      <c r="AX15" s="36">
        <f t="shared" si="14"/>
        <v>0</v>
      </c>
      <c r="AY15" s="36">
        <f t="shared" si="14"/>
        <v>0</v>
      </c>
      <c r="AZ15" s="36">
        <f t="shared" si="14"/>
        <v>2724</v>
      </c>
      <c r="BA15" s="36">
        <f t="shared" si="14"/>
        <v>0</v>
      </c>
      <c r="BB15" s="36">
        <f t="shared" si="14"/>
        <v>0</v>
      </c>
      <c r="BC15" s="36">
        <f t="shared" si="14"/>
        <v>3098</v>
      </c>
      <c r="BD15" s="36">
        <f t="shared" si="14"/>
        <v>0</v>
      </c>
      <c r="BE15" s="36">
        <f t="shared" si="14"/>
        <v>0</v>
      </c>
      <c r="BF15" s="36">
        <f t="shared" si="14"/>
        <v>699</v>
      </c>
      <c r="BG15" s="36">
        <f t="shared" si="14"/>
        <v>0</v>
      </c>
      <c r="BH15" s="36">
        <f t="shared" si="14"/>
        <v>0</v>
      </c>
      <c r="BI15" s="36">
        <f t="shared" si="14"/>
        <v>384</v>
      </c>
      <c r="BJ15" s="36">
        <f t="shared" si="14"/>
        <v>0</v>
      </c>
      <c r="BK15" s="36">
        <f t="shared" si="14"/>
        <v>0</v>
      </c>
      <c r="BL15" s="36">
        <f t="shared" si="14"/>
        <v>318</v>
      </c>
      <c r="BM15" s="36">
        <f t="shared" si="14"/>
        <v>0</v>
      </c>
      <c r="BN15" s="36">
        <f t="shared" si="14"/>
        <v>0</v>
      </c>
      <c r="BO15" s="36">
        <f t="shared" si="14"/>
        <v>714</v>
      </c>
      <c r="BP15" s="36">
        <f t="shared" si="14"/>
        <v>0</v>
      </c>
      <c r="BQ15" s="36">
        <f t="shared" si="14"/>
        <v>0</v>
      </c>
      <c r="BR15" s="36">
        <f t="shared" si="14"/>
        <v>183</v>
      </c>
      <c r="BS15" s="36">
        <f t="shared" si="14"/>
        <v>0</v>
      </c>
      <c r="BT15" s="36">
        <f t="shared" si="14"/>
        <v>0</v>
      </c>
      <c r="BU15" s="36">
        <f t="shared" si="14"/>
        <v>387</v>
      </c>
      <c r="BV15" s="36">
        <f t="shared" si="14"/>
        <v>0</v>
      </c>
      <c r="BW15" s="36">
        <f t="shared" si="14"/>
        <v>0</v>
      </c>
      <c r="BX15" s="36">
        <f t="shared" si="14"/>
        <v>256</v>
      </c>
      <c r="BY15" s="36">
        <f>BY16</f>
        <v>0</v>
      </c>
    </row>
    <row r="16" spans="1:77" hidden="1" x14ac:dyDescent="0.25">
      <c r="A16" s="8"/>
      <c r="B16" s="7" t="s">
        <v>1182</v>
      </c>
      <c r="C16" s="6"/>
      <c r="D16" s="6"/>
      <c r="E16" s="35">
        <f>E17+E18</f>
        <v>0</v>
      </c>
      <c r="F16" s="35">
        <f>F17+F18</f>
        <v>15012</v>
      </c>
      <c r="G16" s="35"/>
      <c r="H16" s="35"/>
      <c r="J16">
        <f t="shared" ref="J16:K21" si="15">L16+O16+R16+U16+X16+AA16+AD16+AG16+AJ16+AM16+AP16+AS16+AV16+AY16+BB16+BE16+BH16+BK16+BN16+BQ16+BT16+BW16</f>
        <v>0</v>
      </c>
      <c r="K16">
        <f t="shared" si="15"/>
        <v>15012</v>
      </c>
      <c r="L16" s="35">
        <f t="shared" ref="L16:BX16" si="16">L17+L18</f>
        <v>0</v>
      </c>
      <c r="M16" s="35">
        <f t="shared" si="16"/>
        <v>447</v>
      </c>
      <c r="N16" s="35"/>
      <c r="O16" s="35">
        <f t="shared" si="16"/>
        <v>0</v>
      </c>
      <c r="P16" s="35">
        <f t="shared" si="16"/>
        <v>264</v>
      </c>
      <c r="Q16" s="35"/>
      <c r="R16" s="35">
        <f t="shared" si="16"/>
        <v>0</v>
      </c>
      <c r="S16" s="35">
        <f t="shared" si="16"/>
        <v>428</v>
      </c>
      <c r="T16" s="35"/>
      <c r="U16" s="35">
        <f t="shared" si="16"/>
        <v>0</v>
      </c>
      <c r="V16" s="35">
        <f t="shared" si="16"/>
        <v>329</v>
      </c>
      <c r="W16" s="35"/>
      <c r="X16" s="35">
        <f t="shared" si="16"/>
        <v>0</v>
      </c>
      <c r="Y16" s="35">
        <f t="shared" si="16"/>
        <v>481</v>
      </c>
      <c r="Z16" s="35"/>
      <c r="AA16" s="35">
        <f t="shared" si="16"/>
        <v>0</v>
      </c>
      <c r="AB16" s="35">
        <f t="shared" si="16"/>
        <v>380</v>
      </c>
      <c r="AC16" s="35"/>
      <c r="AD16" s="35">
        <f t="shared" si="16"/>
        <v>0</v>
      </c>
      <c r="AE16" s="35">
        <f t="shared" si="16"/>
        <v>546</v>
      </c>
      <c r="AF16" s="35"/>
      <c r="AG16" s="35">
        <f t="shared" si="16"/>
        <v>0</v>
      </c>
      <c r="AH16" s="35">
        <f t="shared" si="16"/>
        <v>1397</v>
      </c>
      <c r="AI16" s="35"/>
      <c r="AJ16" s="35">
        <f t="shared" si="16"/>
        <v>0</v>
      </c>
      <c r="AK16" s="35">
        <f t="shared" si="16"/>
        <v>263</v>
      </c>
      <c r="AL16" s="35"/>
      <c r="AM16" s="35">
        <f t="shared" si="16"/>
        <v>0</v>
      </c>
      <c r="AN16" s="35">
        <f t="shared" si="16"/>
        <v>527</v>
      </c>
      <c r="AO16" s="35"/>
      <c r="AP16" s="35">
        <f t="shared" si="16"/>
        <v>0</v>
      </c>
      <c r="AQ16" s="35">
        <f t="shared" si="16"/>
        <v>275</v>
      </c>
      <c r="AR16" s="35"/>
      <c r="AS16" s="35">
        <f t="shared" si="16"/>
        <v>0</v>
      </c>
      <c r="AT16" s="35">
        <f t="shared" si="16"/>
        <v>485</v>
      </c>
      <c r="AU16" s="35"/>
      <c r="AV16" s="35">
        <f t="shared" si="16"/>
        <v>0</v>
      </c>
      <c r="AW16" s="35">
        <f t="shared" si="16"/>
        <v>427</v>
      </c>
      <c r="AX16" s="35"/>
      <c r="AY16" s="35">
        <f t="shared" si="16"/>
        <v>0</v>
      </c>
      <c r="AZ16" s="35">
        <f t="shared" si="16"/>
        <v>2724</v>
      </c>
      <c r="BA16" s="35"/>
      <c r="BB16" s="35">
        <f t="shared" si="16"/>
        <v>0</v>
      </c>
      <c r="BC16" s="35">
        <f t="shared" si="16"/>
        <v>3098</v>
      </c>
      <c r="BD16" s="35"/>
      <c r="BE16" s="35">
        <f t="shared" si="16"/>
        <v>0</v>
      </c>
      <c r="BF16" s="35">
        <f t="shared" si="16"/>
        <v>699</v>
      </c>
      <c r="BG16" s="35"/>
      <c r="BH16" s="35">
        <f t="shared" si="16"/>
        <v>0</v>
      </c>
      <c r="BI16" s="35">
        <f t="shared" si="16"/>
        <v>384</v>
      </c>
      <c r="BJ16" s="35"/>
      <c r="BK16" s="35">
        <f t="shared" si="16"/>
        <v>0</v>
      </c>
      <c r="BL16" s="35">
        <f t="shared" si="16"/>
        <v>318</v>
      </c>
      <c r="BM16" s="35"/>
      <c r="BN16" s="35">
        <f t="shared" si="16"/>
        <v>0</v>
      </c>
      <c r="BO16" s="35">
        <f t="shared" si="16"/>
        <v>714</v>
      </c>
      <c r="BP16" s="35"/>
      <c r="BQ16" s="35">
        <f t="shared" si="16"/>
        <v>0</v>
      </c>
      <c r="BR16" s="35">
        <f t="shared" si="16"/>
        <v>183</v>
      </c>
      <c r="BS16" s="35"/>
      <c r="BT16" s="35">
        <f t="shared" si="16"/>
        <v>0</v>
      </c>
      <c r="BU16" s="35">
        <f t="shared" si="16"/>
        <v>387</v>
      </c>
      <c r="BV16" s="35"/>
      <c r="BW16" s="35">
        <f t="shared" si="16"/>
        <v>0</v>
      </c>
      <c r="BX16" s="35">
        <f t="shared" si="16"/>
        <v>256</v>
      </c>
      <c r="BY16" s="35"/>
    </row>
    <row r="17" spans="1:77" hidden="1" x14ac:dyDescent="0.25">
      <c r="A17" s="8"/>
      <c r="B17" s="7" t="s">
        <v>1183</v>
      </c>
      <c r="C17" s="6"/>
      <c r="D17" s="6" t="s">
        <v>950</v>
      </c>
      <c r="E17" s="35"/>
      <c r="F17" s="35">
        <v>15012</v>
      </c>
      <c r="G17" s="35"/>
      <c r="H17" s="35"/>
      <c r="J17">
        <f t="shared" si="15"/>
        <v>0</v>
      </c>
      <c r="K17">
        <f t="shared" si="15"/>
        <v>15012</v>
      </c>
      <c r="M17">
        <v>447</v>
      </c>
      <c r="P17">
        <v>264</v>
      </c>
      <c r="S17">
        <v>428</v>
      </c>
      <c r="V17">
        <v>329</v>
      </c>
      <c r="Y17">
        <v>481</v>
      </c>
      <c r="AB17">
        <v>380</v>
      </c>
      <c r="AE17">
        <v>546</v>
      </c>
      <c r="AH17">
        <v>1397</v>
      </c>
      <c r="AK17">
        <v>263</v>
      </c>
      <c r="AN17">
        <v>527</v>
      </c>
      <c r="AQ17">
        <v>275</v>
      </c>
      <c r="AT17">
        <v>485</v>
      </c>
      <c r="AW17">
        <v>427</v>
      </c>
      <c r="AZ17">
        <v>2724</v>
      </c>
      <c r="BC17">
        <v>3098</v>
      </c>
      <c r="BF17">
        <v>699</v>
      </c>
      <c r="BI17">
        <v>384</v>
      </c>
      <c r="BL17">
        <v>318</v>
      </c>
      <c r="BO17">
        <v>714</v>
      </c>
      <c r="BR17">
        <v>183</v>
      </c>
      <c r="BU17">
        <v>387</v>
      </c>
      <c r="BX17">
        <v>256</v>
      </c>
    </row>
    <row r="18" spans="1:77" hidden="1" x14ac:dyDescent="0.25">
      <c r="A18" s="8"/>
      <c r="B18" s="7" t="s">
        <v>1185</v>
      </c>
      <c r="C18" s="6"/>
      <c r="D18" s="6" t="s">
        <v>950</v>
      </c>
      <c r="E18" s="35"/>
      <c r="F18" s="35"/>
      <c r="G18" s="35"/>
      <c r="H18" s="35"/>
      <c r="J18">
        <f t="shared" si="15"/>
        <v>0</v>
      </c>
      <c r="K18">
        <f t="shared" si="15"/>
        <v>0</v>
      </c>
    </row>
    <row r="19" spans="1:77" hidden="1" x14ac:dyDescent="0.25">
      <c r="A19" s="8"/>
      <c r="B19" s="7" t="s">
        <v>1184</v>
      </c>
      <c r="C19" s="6"/>
      <c r="D19" s="6"/>
      <c r="E19" s="35">
        <f>E20+E21</f>
        <v>0</v>
      </c>
      <c r="F19" s="35">
        <f>F20+F21</f>
        <v>0</v>
      </c>
      <c r="G19" s="35"/>
      <c r="H19" s="35"/>
      <c r="J19">
        <f t="shared" si="15"/>
        <v>0</v>
      </c>
      <c r="K19">
        <f t="shared" si="15"/>
        <v>0</v>
      </c>
      <c r="L19" s="35">
        <f>L20+L21</f>
        <v>0</v>
      </c>
      <c r="M19" s="35">
        <f>M20+M21</f>
        <v>0</v>
      </c>
      <c r="N19" s="35"/>
      <c r="O19" s="35">
        <f t="shared" ref="O19:BX19" si="17">O20+O21</f>
        <v>0</v>
      </c>
      <c r="P19" s="35">
        <f t="shared" si="17"/>
        <v>0</v>
      </c>
      <c r="Q19" s="35"/>
      <c r="R19" s="35">
        <f t="shared" si="17"/>
        <v>0</v>
      </c>
      <c r="S19" s="35">
        <f t="shared" si="17"/>
        <v>0</v>
      </c>
      <c r="T19" s="35"/>
      <c r="U19" s="35">
        <f t="shared" si="17"/>
        <v>0</v>
      </c>
      <c r="V19" s="35">
        <f t="shared" si="17"/>
        <v>0</v>
      </c>
      <c r="W19" s="35"/>
      <c r="X19" s="35">
        <f t="shared" si="17"/>
        <v>0</v>
      </c>
      <c r="Y19" s="35">
        <f t="shared" si="17"/>
        <v>0</v>
      </c>
      <c r="Z19" s="35"/>
      <c r="AA19" s="35">
        <f t="shared" si="17"/>
        <v>0</v>
      </c>
      <c r="AB19" s="35">
        <f t="shared" si="17"/>
        <v>0</v>
      </c>
      <c r="AC19" s="35"/>
      <c r="AD19" s="35">
        <f t="shared" si="17"/>
        <v>0</v>
      </c>
      <c r="AE19" s="35">
        <f t="shared" si="17"/>
        <v>0</v>
      </c>
      <c r="AF19" s="35"/>
      <c r="AG19" s="35">
        <f t="shared" si="17"/>
        <v>0</v>
      </c>
      <c r="AH19" s="35">
        <f t="shared" si="17"/>
        <v>0</v>
      </c>
      <c r="AI19" s="35"/>
      <c r="AJ19" s="35">
        <f t="shared" si="17"/>
        <v>0</v>
      </c>
      <c r="AK19" s="35">
        <f t="shared" si="17"/>
        <v>0</v>
      </c>
      <c r="AL19" s="35"/>
      <c r="AM19" s="35">
        <f t="shared" si="17"/>
        <v>0</v>
      </c>
      <c r="AN19" s="35">
        <f t="shared" si="17"/>
        <v>0</v>
      </c>
      <c r="AO19" s="35"/>
      <c r="AP19" s="35">
        <f t="shared" si="17"/>
        <v>0</v>
      </c>
      <c r="AQ19" s="35">
        <f t="shared" si="17"/>
        <v>0</v>
      </c>
      <c r="AR19" s="35"/>
      <c r="AS19" s="35">
        <f t="shared" si="17"/>
        <v>0</v>
      </c>
      <c r="AT19" s="35">
        <f t="shared" si="17"/>
        <v>0</v>
      </c>
      <c r="AU19" s="35"/>
      <c r="AV19" s="35">
        <f t="shared" si="17"/>
        <v>0</v>
      </c>
      <c r="AW19" s="35">
        <f t="shared" si="17"/>
        <v>0</v>
      </c>
      <c r="AX19" s="35"/>
      <c r="AY19" s="35">
        <f t="shared" si="17"/>
        <v>0</v>
      </c>
      <c r="AZ19" s="35">
        <f t="shared" si="17"/>
        <v>0</v>
      </c>
      <c r="BA19" s="35"/>
      <c r="BB19" s="35">
        <f t="shared" si="17"/>
        <v>0</v>
      </c>
      <c r="BC19" s="35">
        <f t="shared" si="17"/>
        <v>0</v>
      </c>
      <c r="BD19" s="35"/>
      <c r="BE19" s="35">
        <f t="shared" si="17"/>
        <v>0</v>
      </c>
      <c r="BF19" s="35">
        <f t="shared" si="17"/>
        <v>0</v>
      </c>
      <c r="BG19" s="35"/>
      <c r="BH19" s="35">
        <f t="shared" si="17"/>
        <v>0</v>
      </c>
      <c r="BI19" s="35">
        <f t="shared" si="17"/>
        <v>0</v>
      </c>
      <c r="BJ19" s="35"/>
      <c r="BK19" s="35">
        <f t="shared" si="17"/>
        <v>0</v>
      </c>
      <c r="BL19" s="35">
        <f t="shared" si="17"/>
        <v>0</v>
      </c>
      <c r="BM19" s="35"/>
      <c r="BN19" s="35">
        <f t="shared" si="17"/>
        <v>0</v>
      </c>
      <c r="BO19" s="35">
        <f t="shared" si="17"/>
        <v>0</v>
      </c>
      <c r="BP19" s="35"/>
      <c r="BQ19" s="35">
        <f t="shared" si="17"/>
        <v>0</v>
      </c>
      <c r="BR19" s="35">
        <f t="shared" si="17"/>
        <v>0</v>
      </c>
      <c r="BS19" s="35"/>
      <c r="BT19" s="35">
        <f t="shared" si="17"/>
        <v>0</v>
      </c>
      <c r="BU19" s="35">
        <f t="shared" si="17"/>
        <v>0</v>
      </c>
      <c r="BV19" s="35"/>
      <c r="BW19" s="35">
        <f t="shared" si="17"/>
        <v>0</v>
      </c>
      <c r="BX19" s="35">
        <f t="shared" si="17"/>
        <v>0</v>
      </c>
      <c r="BY19" s="35"/>
    </row>
    <row r="20" spans="1:77" hidden="1" x14ac:dyDescent="0.25">
      <c r="A20" s="8"/>
      <c r="B20" s="7" t="s">
        <v>1183</v>
      </c>
      <c r="C20" s="6"/>
      <c r="D20" s="6" t="s">
        <v>950</v>
      </c>
      <c r="E20" s="35"/>
      <c r="F20" s="35"/>
      <c r="G20" s="35"/>
      <c r="H20" s="35"/>
      <c r="J20">
        <f t="shared" si="15"/>
        <v>0</v>
      </c>
      <c r="K20">
        <f t="shared" si="15"/>
        <v>0</v>
      </c>
    </row>
    <row r="21" spans="1:77" hidden="1" x14ac:dyDescent="0.25">
      <c r="A21" s="8"/>
      <c r="B21" s="7" t="s">
        <v>1185</v>
      </c>
      <c r="C21" s="6"/>
      <c r="D21" s="6" t="s">
        <v>950</v>
      </c>
      <c r="E21" s="35"/>
      <c r="F21" s="35"/>
      <c r="G21" s="35"/>
      <c r="H21" s="35"/>
      <c r="J21">
        <f t="shared" si="15"/>
        <v>0</v>
      </c>
      <c r="K21">
        <f t="shared" si="15"/>
        <v>0</v>
      </c>
    </row>
    <row r="22" spans="1:77" ht="30" x14ac:dyDescent="0.25">
      <c r="A22" s="8"/>
      <c r="B22" s="7" t="s">
        <v>1444</v>
      </c>
      <c r="C22" s="6"/>
      <c r="D22" s="6" t="s">
        <v>950</v>
      </c>
      <c r="E22" s="35"/>
      <c r="F22" s="35">
        <v>5114</v>
      </c>
      <c r="G22" s="35"/>
      <c r="H22" s="35"/>
      <c r="J22">
        <f>J23</f>
        <v>0</v>
      </c>
      <c r="K22">
        <f t="shared" ref="K22:BV22" si="18">K23</f>
        <v>5114</v>
      </c>
      <c r="L22">
        <f t="shared" si="18"/>
        <v>0</v>
      </c>
      <c r="M22">
        <f t="shared" si="18"/>
        <v>0</v>
      </c>
      <c r="N22">
        <f t="shared" si="18"/>
        <v>0</v>
      </c>
      <c r="O22">
        <f t="shared" si="18"/>
        <v>0</v>
      </c>
      <c r="P22">
        <f t="shared" si="18"/>
        <v>0</v>
      </c>
      <c r="Q22">
        <f t="shared" si="18"/>
        <v>0</v>
      </c>
      <c r="R22">
        <f t="shared" si="18"/>
        <v>0</v>
      </c>
      <c r="S22">
        <f t="shared" si="18"/>
        <v>0</v>
      </c>
      <c r="T22">
        <f t="shared" si="18"/>
        <v>0</v>
      </c>
      <c r="U22">
        <f t="shared" si="18"/>
        <v>0</v>
      </c>
      <c r="V22">
        <f t="shared" si="18"/>
        <v>0</v>
      </c>
      <c r="W22">
        <f t="shared" si="18"/>
        <v>0</v>
      </c>
      <c r="X22">
        <f t="shared" si="18"/>
        <v>0</v>
      </c>
      <c r="Y22">
        <f t="shared" si="18"/>
        <v>0</v>
      </c>
      <c r="Z22">
        <f t="shared" si="18"/>
        <v>0</v>
      </c>
      <c r="AA22">
        <f t="shared" si="18"/>
        <v>0</v>
      </c>
      <c r="AB22">
        <f t="shared" si="18"/>
        <v>60</v>
      </c>
      <c r="AC22">
        <f t="shared" si="18"/>
        <v>0</v>
      </c>
      <c r="AD22">
        <f t="shared" si="18"/>
        <v>0</v>
      </c>
      <c r="AE22">
        <f t="shared" si="18"/>
        <v>0</v>
      </c>
      <c r="AF22">
        <f t="shared" si="18"/>
        <v>0</v>
      </c>
      <c r="AG22">
        <f t="shared" si="18"/>
        <v>0</v>
      </c>
      <c r="AH22">
        <f t="shared" si="18"/>
        <v>3</v>
      </c>
      <c r="AI22">
        <f t="shared" si="18"/>
        <v>0</v>
      </c>
      <c r="AJ22">
        <f t="shared" si="18"/>
        <v>0</v>
      </c>
      <c r="AK22">
        <f t="shared" si="18"/>
        <v>0</v>
      </c>
      <c r="AL22">
        <f t="shared" si="18"/>
        <v>0</v>
      </c>
      <c r="AM22">
        <f t="shared" si="18"/>
        <v>0</v>
      </c>
      <c r="AN22">
        <f t="shared" si="18"/>
        <v>304</v>
      </c>
      <c r="AO22">
        <f t="shared" si="18"/>
        <v>0</v>
      </c>
      <c r="AP22">
        <f t="shared" si="18"/>
        <v>0</v>
      </c>
      <c r="AQ22">
        <f t="shared" si="18"/>
        <v>0</v>
      </c>
      <c r="AR22">
        <f t="shared" si="18"/>
        <v>0</v>
      </c>
      <c r="AS22">
        <f t="shared" si="18"/>
        <v>0</v>
      </c>
      <c r="AT22">
        <f t="shared" si="18"/>
        <v>223</v>
      </c>
      <c r="AU22">
        <f t="shared" si="18"/>
        <v>0</v>
      </c>
      <c r="AV22">
        <f t="shared" si="18"/>
        <v>0</v>
      </c>
      <c r="AW22">
        <f t="shared" si="18"/>
        <v>0</v>
      </c>
      <c r="AX22">
        <f t="shared" si="18"/>
        <v>0</v>
      </c>
      <c r="AY22">
        <f t="shared" si="18"/>
        <v>0</v>
      </c>
      <c r="AZ22">
        <f t="shared" si="18"/>
        <v>154</v>
      </c>
      <c r="BA22">
        <f t="shared" si="18"/>
        <v>0</v>
      </c>
      <c r="BB22">
        <f t="shared" si="18"/>
        <v>0</v>
      </c>
      <c r="BC22">
        <f t="shared" si="18"/>
        <v>3436</v>
      </c>
      <c r="BD22">
        <f t="shared" si="18"/>
        <v>0</v>
      </c>
      <c r="BE22">
        <f t="shared" si="18"/>
        <v>0</v>
      </c>
      <c r="BF22">
        <f t="shared" si="18"/>
        <v>43</v>
      </c>
      <c r="BG22">
        <f t="shared" si="18"/>
        <v>0</v>
      </c>
      <c r="BH22">
        <f t="shared" si="18"/>
        <v>0</v>
      </c>
      <c r="BI22">
        <f t="shared" si="18"/>
        <v>43</v>
      </c>
      <c r="BJ22">
        <f t="shared" si="18"/>
        <v>0</v>
      </c>
      <c r="BK22">
        <f t="shared" si="18"/>
        <v>0</v>
      </c>
      <c r="BL22">
        <f t="shared" si="18"/>
        <v>307</v>
      </c>
      <c r="BM22">
        <f t="shared" si="18"/>
        <v>0</v>
      </c>
      <c r="BN22">
        <f t="shared" si="18"/>
        <v>0</v>
      </c>
      <c r="BO22">
        <f t="shared" si="18"/>
        <v>274</v>
      </c>
      <c r="BP22">
        <f t="shared" si="18"/>
        <v>0</v>
      </c>
      <c r="BQ22">
        <f t="shared" si="18"/>
        <v>0</v>
      </c>
      <c r="BR22">
        <f t="shared" si="18"/>
        <v>0</v>
      </c>
      <c r="BS22">
        <f t="shared" si="18"/>
        <v>0</v>
      </c>
      <c r="BT22">
        <f t="shared" si="18"/>
        <v>0</v>
      </c>
      <c r="BU22">
        <f t="shared" si="18"/>
        <v>212</v>
      </c>
      <c r="BV22">
        <f t="shared" si="18"/>
        <v>0</v>
      </c>
      <c r="BW22">
        <f>BW23</f>
        <v>0</v>
      </c>
      <c r="BX22">
        <f>BX23</f>
        <v>55</v>
      </c>
      <c r="BY22">
        <f>BY23</f>
        <v>0</v>
      </c>
    </row>
    <row r="23" spans="1:77" hidden="1" x14ac:dyDescent="0.25">
      <c r="A23" s="8"/>
      <c r="B23" s="7" t="s">
        <v>1182</v>
      </c>
      <c r="C23" s="6"/>
      <c r="D23" s="6"/>
      <c r="E23" s="35">
        <f>E24+E25</f>
        <v>0</v>
      </c>
      <c r="F23" s="35">
        <f>F24+F25</f>
        <v>5114</v>
      </c>
      <c r="G23" s="35">
        <f>G24+G25</f>
        <v>5114</v>
      </c>
      <c r="H23" s="35">
        <f>H24+H25</f>
        <v>5114</v>
      </c>
      <c r="J23">
        <f t="shared" ref="J23:K28" si="19">L23+O23+R23+U23+X23+AA23+AD23+AG23+AJ23+AM23+AP23+AS23+AV23+AY23+BB23+BE23+BH23+BK23+BN23+BQ23+BT23+BW23</f>
        <v>0</v>
      </c>
      <c r="K23">
        <f t="shared" si="19"/>
        <v>5114</v>
      </c>
      <c r="L23" s="35">
        <f t="shared" ref="L23:BX23" si="20">L24+L25</f>
        <v>0</v>
      </c>
      <c r="M23" s="35">
        <f t="shared" si="20"/>
        <v>0</v>
      </c>
      <c r="N23" s="35"/>
      <c r="O23" s="35">
        <f t="shared" si="20"/>
        <v>0</v>
      </c>
      <c r="P23" s="35">
        <f t="shared" si="20"/>
        <v>0</v>
      </c>
      <c r="Q23" s="35"/>
      <c r="R23" s="35">
        <f t="shared" si="20"/>
        <v>0</v>
      </c>
      <c r="S23" s="35">
        <f t="shared" si="20"/>
        <v>0</v>
      </c>
      <c r="T23" s="35"/>
      <c r="U23" s="35">
        <f t="shared" si="20"/>
        <v>0</v>
      </c>
      <c r="V23" s="35">
        <f t="shared" si="20"/>
        <v>0</v>
      </c>
      <c r="W23" s="35"/>
      <c r="X23" s="35">
        <f t="shared" si="20"/>
        <v>0</v>
      </c>
      <c r="Y23" s="35">
        <f t="shared" si="20"/>
        <v>0</v>
      </c>
      <c r="Z23" s="35"/>
      <c r="AA23" s="35">
        <f t="shared" si="20"/>
        <v>0</v>
      </c>
      <c r="AB23" s="35">
        <f t="shared" si="20"/>
        <v>60</v>
      </c>
      <c r="AC23" s="35"/>
      <c r="AD23" s="35">
        <f t="shared" si="20"/>
        <v>0</v>
      </c>
      <c r="AE23" s="35">
        <f t="shared" si="20"/>
        <v>0</v>
      </c>
      <c r="AF23" s="35"/>
      <c r="AG23" s="35">
        <f t="shared" si="20"/>
        <v>0</v>
      </c>
      <c r="AH23" s="35">
        <f t="shared" si="20"/>
        <v>3</v>
      </c>
      <c r="AI23" s="35"/>
      <c r="AJ23" s="35">
        <f t="shared" si="20"/>
        <v>0</v>
      </c>
      <c r="AK23" s="35">
        <f t="shared" si="20"/>
        <v>0</v>
      </c>
      <c r="AL23" s="35"/>
      <c r="AM23" s="35">
        <f t="shared" si="20"/>
        <v>0</v>
      </c>
      <c r="AN23" s="35">
        <f t="shared" si="20"/>
        <v>304</v>
      </c>
      <c r="AO23" s="35"/>
      <c r="AP23" s="35">
        <f t="shared" si="20"/>
        <v>0</v>
      </c>
      <c r="AQ23" s="35">
        <f t="shared" si="20"/>
        <v>0</v>
      </c>
      <c r="AR23" s="35"/>
      <c r="AS23" s="35">
        <f t="shared" si="20"/>
        <v>0</v>
      </c>
      <c r="AT23" s="35">
        <f t="shared" si="20"/>
        <v>223</v>
      </c>
      <c r="AU23" s="35"/>
      <c r="AV23" s="35">
        <f t="shared" si="20"/>
        <v>0</v>
      </c>
      <c r="AW23" s="35">
        <f t="shared" si="20"/>
        <v>0</v>
      </c>
      <c r="AX23" s="35"/>
      <c r="AY23" s="35">
        <f t="shared" si="20"/>
        <v>0</v>
      </c>
      <c r="AZ23" s="35">
        <f t="shared" si="20"/>
        <v>154</v>
      </c>
      <c r="BA23" s="35"/>
      <c r="BB23" s="35">
        <f t="shared" si="20"/>
        <v>0</v>
      </c>
      <c r="BC23" s="35">
        <f t="shared" si="20"/>
        <v>3436</v>
      </c>
      <c r="BD23" s="35"/>
      <c r="BE23" s="35">
        <f t="shared" si="20"/>
        <v>0</v>
      </c>
      <c r="BF23" s="35">
        <f t="shared" si="20"/>
        <v>43</v>
      </c>
      <c r="BG23" s="35"/>
      <c r="BH23" s="35">
        <f t="shared" si="20"/>
        <v>0</v>
      </c>
      <c r="BI23" s="35">
        <f t="shared" si="20"/>
        <v>43</v>
      </c>
      <c r="BJ23" s="35"/>
      <c r="BK23" s="35">
        <f t="shared" si="20"/>
        <v>0</v>
      </c>
      <c r="BL23" s="35">
        <f t="shared" si="20"/>
        <v>307</v>
      </c>
      <c r="BM23" s="35"/>
      <c r="BN23" s="35">
        <f t="shared" si="20"/>
        <v>0</v>
      </c>
      <c r="BO23" s="35">
        <f t="shared" si="20"/>
        <v>274</v>
      </c>
      <c r="BP23" s="35"/>
      <c r="BQ23" s="35">
        <f t="shared" si="20"/>
        <v>0</v>
      </c>
      <c r="BR23" s="35">
        <f t="shared" si="20"/>
        <v>0</v>
      </c>
      <c r="BS23" s="35"/>
      <c r="BT23" s="35">
        <f t="shared" si="20"/>
        <v>0</v>
      </c>
      <c r="BU23" s="35">
        <f t="shared" si="20"/>
        <v>212</v>
      </c>
      <c r="BV23" s="35"/>
      <c r="BW23" s="35">
        <f t="shared" si="20"/>
        <v>0</v>
      </c>
      <c r="BX23" s="35">
        <f t="shared" si="20"/>
        <v>55</v>
      </c>
      <c r="BY23" s="35"/>
    </row>
    <row r="24" spans="1:77" hidden="1" x14ac:dyDescent="0.25">
      <c r="A24" s="8"/>
      <c r="B24" s="7" t="s">
        <v>1183</v>
      </c>
      <c r="C24" s="6"/>
      <c r="D24" s="6" t="s">
        <v>950</v>
      </c>
      <c r="E24" s="35"/>
      <c r="F24" s="35">
        <v>5114</v>
      </c>
      <c r="G24" s="35">
        <v>5114</v>
      </c>
      <c r="H24" s="35">
        <v>5114</v>
      </c>
      <c r="J24">
        <f t="shared" si="19"/>
        <v>0</v>
      </c>
      <c r="K24">
        <f t="shared" si="19"/>
        <v>5114</v>
      </c>
      <c r="AB24">
        <v>60</v>
      </c>
      <c r="AH24">
        <v>3</v>
      </c>
      <c r="AN24">
        <v>304</v>
      </c>
      <c r="AT24">
        <v>223</v>
      </c>
      <c r="AZ24">
        <v>154</v>
      </c>
      <c r="BC24">
        <v>3436</v>
      </c>
      <c r="BF24">
        <v>43</v>
      </c>
      <c r="BI24">
        <v>43</v>
      </c>
      <c r="BL24">
        <v>307</v>
      </c>
      <c r="BO24">
        <v>274</v>
      </c>
      <c r="BU24">
        <v>212</v>
      </c>
      <c r="BX24">
        <v>55</v>
      </c>
    </row>
    <row r="25" spans="1:77" hidden="1" x14ac:dyDescent="0.25">
      <c r="A25" s="8"/>
      <c r="B25" s="7" t="s">
        <v>1185</v>
      </c>
      <c r="C25" s="6"/>
      <c r="D25" s="6" t="s">
        <v>950</v>
      </c>
      <c r="E25" s="35"/>
      <c r="F25" s="35"/>
      <c r="G25" s="35"/>
      <c r="H25" s="35"/>
      <c r="J25">
        <f t="shared" si="19"/>
        <v>0</v>
      </c>
      <c r="K25">
        <f t="shared" si="19"/>
        <v>0</v>
      </c>
    </row>
    <row r="26" spans="1:77" hidden="1" x14ac:dyDescent="0.25">
      <c r="A26" s="8"/>
      <c r="B26" s="7" t="s">
        <v>1184</v>
      </c>
      <c r="C26" s="6"/>
      <c r="D26" s="6"/>
      <c r="E26" s="35">
        <f>E27+E28</f>
        <v>0</v>
      </c>
      <c r="F26" s="35">
        <f>F27+F28</f>
        <v>0</v>
      </c>
      <c r="G26" s="35">
        <f>G27+G28</f>
        <v>0</v>
      </c>
      <c r="H26" s="35">
        <f>H27+H28</f>
        <v>0</v>
      </c>
      <c r="J26">
        <f t="shared" si="19"/>
        <v>0</v>
      </c>
      <c r="K26">
        <f t="shared" si="19"/>
        <v>0</v>
      </c>
      <c r="L26" s="35">
        <f>L27+L28</f>
        <v>0</v>
      </c>
      <c r="M26" s="35">
        <f>M27+M28</f>
        <v>0</v>
      </c>
      <c r="N26" s="35"/>
      <c r="O26" s="35">
        <f t="shared" ref="O26:BX26" si="21">O27+O28</f>
        <v>0</v>
      </c>
      <c r="P26" s="35">
        <f t="shared" si="21"/>
        <v>0</v>
      </c>
      <c r="Q26" s="35"/>
      <c r="R26" s="35">
        <f t="shared" si="21"/>
        <v>0</v>
      </c>
      <c r="S26" s="35">
        <f t="shared" si="21"/>
        <v>0</v>
      </c>
      <c r="T26" s="35"/>
      <c r="U26" s="35">
        <f t="shared" si="21"/>
        <v>0</v>
      </c>
      <c r="V26" s="35">
        <f t="shared" si="21"/>
        <v>0</v>
      </c>
      <c r="W26" s="35"/>
      <c r="X26" s="35">
        <f t="shared" si="21"/>
        <v>0</v>
      </c>
      <c r="Y26" s="35">
        <f t="shared" si="21"/>
        <v>0</v>
      </c>
      <c r="Z26" s="35"/>
      <c r="AA26" s="35">
        <f t="shared" si="21"/>
        <v>0</v>
      </c>
      <c r="AB26" s="35">
        <f t="shared" si="21"/>
        <v>0</v>
      </c>
      <c r="AC26" s="35"/>
      <c r="AD26" s="35">
        <f t="shared" si="21"/>
        <v>0</v>
      </c>
      <c r="AE26" s="35">
        <f t="shared" si="21"/>
        <v>0</v>
      </c>
      <c r="AF26" s="35"/>
      <c r="AG26" s="35">
        <f t="shared" si="21"/>
        <v>0</v>
      </c>
      <c r="AH26" s="35">
        <f t="shared" si="21"/>
        <v>0</v>
      </c>
      <c r="AI26" s="35"/>
      <c r="AJ26" s="35">
        <f t="shared" si="21"/>
        <v>0</v>
      </c>
      <c r="AK26" s="35">
        <f t="shared" si="21"/>
        <v>0</v>
      </c>
      <c r="AL26" s="35"/>
      <c r="AM26" s="35">
        <f t="shared" si="21"/>
        <v>0</v>
      </c>
      <c r="AN26" s="35">
        <f t="shared" si="21"/>
        <v>0</v>
      </c>
      <c r="AO26" s="35"/>
      <c r="AP26" s="35">
        <f t="shared" si="21"/>
        <v>0</v>
      </c>
      <c r="AQ26" s="35">
        <f t="shared" si="21"/>
        <v>0</v>
      </c>
      <c r="AR26" s="35"/>
      <c r="AS26" s="35">
        <f t="shared" si="21"/>
        <v>0</v>
      </c>
      <c r="AT26" s="35">
        <f t="shared" si="21"/>
        <v>0</v>
      </c>
      <c r="AU26" s="35"/>
      <c r="AV26" s="35">
        <f t="shared" si="21"/>
        <v>0</v>
      </c>
      <c r="AW26" s="35">
        <f t="shared" si="21"/>
        <v>0</v>
      </c>
      <c r="AX26" s="35"/>
      <c r="AY26" s="35">
        <f t="shared" si="21"/>
        <v>0</v>
      </c>
      <c r="AZ26" s="35">
        <f t="shared" si="21"/>
        <v>0</v>
      </c>
      <c r="BA26" s="35"/>
      <c r="BB26" s="35">
        <f t="shared" si="21"/>
        <v>0</v>
      </c>
      <c r="BC26" s="35">
        <f t="shared" si="21"/>
        <v>0</v>
      </c>
      <c r="BD26" s="35"/>
      <c r="BE26" s="35">
        <f t="shared" si="21"/>
        <v>0</v>
      </c>
      <c r="BF26" s="35">
        <f t="shared" si="21"/>
        <v>0</v>
      </c>
      <c r="BG26" s="35"/>
      <c r="BH26" s="35">
        <f t="shared" si="21"/>
        <v>0</v>
      </c>
      <c r="BI26" s="35">
        <f t="shared" si="21"/>
        <v>0</v>
      </c>
      <c r="BJ26" s="35"/>
      <c r="BK26" s="35">
        <f t="shared" si="21"/>
        <v>0</v>
      </c>
      <c r="BL26" s="35">
        <f t="shared" si="21"/>
        <v>0</v>
      </c>
      <c r="BM26" s="35"/>
      <c r="BN26" s="35">
        <f t="shared" si="21"/>
        <v>0</v>
      </c>
      <c r="BO26" s="35">
        <f t="shared" si="21"/>
        <v>0</v>
      </c>
      <c r="BP26" s="35"/>
      <c r="BQ26" s="35">
        <f t="shared" si="21"/>
        <v>0</v>
      </c>
      <c r="BR26" s="35">
        <f t="shared" si="21"/>
        <v>0</v>
      </c>
      <c r="BS26" s="35"/>
      <c r="BT26" s="35">
        <f t="shared" si="21"/>
        <v>0</v>
      </c>
      <c r="BU26" s="35">
        <f t="shared" si="21"/>
        <v>0</v>
      </c>
      <c r="BV26" s="35"/>
      <c r="BW26" s="35">
        <f t="shared" si="21"/>
        <v>0</v>
      </c>
      <c r="BX26" s="35">
        <f t="shared" si="21"/>
        <v>0</v>
      </c>
      <c r="BY26" s="35"/>
    </row>
    <row r="27" spans="1:77" hidden="1" x14ac:dyDescent="0.25">
      <c r="A27" s="8"/>
      <c r="B27" s="7" t="s">
        <v>1183</v>
      </c>
      <c r="C27" s="6"/>
      <c r="D27" s="6" t="s">
        <v>950</v>
      </c>
      <c r="E27" s="35"/>
      <c r="F27" s="35"/>
      <c r="G27" s="35"/>
      <c r="H27" s="35"/>
      <c r="J27">
        <f t="shared" si="19"/>
        <v>0</v>
      </c>
      <c r="K27">
        <f t="shared" si="19"/>
        <v>0</v>
      </c>
    </row>
    <row r="28" spans="1:77" hidden="1" x14ac:dyDescent="0.25">
      <c r="A28" s="8"/>
      <c r="B28" s="7" t="s">
        <v>1185</v>
      </c>
      <c r="C28" s="6"/>
      <c r="D28" s="6" t="s">
        <v>950</v>
      </c>
      <c r="E28" s="35"/>
      <c r="F28" s="35"/>
      <c r="G28" s="35"/>
      <c r="H28" s="35"/>
      <c r="J28">
        <f t="shared" si="19"/>
        <v>0</v>
      </c>
      <c r="K28">
        <f t="shared" si="19"/>
        <v>0</v>
      </c>
    </row>
  </sheetData>
  <mergeCells count="24">
    <mergeCell ref="BN6:BO6"/>
    <mergeCell ref="BQ6:BR6"/>
    <mergeCell ref="BT6:BU6"/>
    <mergeCell ref="BW6:BX6"/>
    <mergeCell ref="AY6:AZ6"/>
    <mergeCell ref="BB6:BC6"/>
    <mergeCell ref="BE6:BF6"/>
    <mergeCell ref="BH6:BI6"/>
    <mergeCell ref="BK6:BL6"/>
    <mergeCell ref="AJ6:AK6"/>
    <mergeCell ref="AM6:AN6"/>
    <mergeCell ref="AP6:AQ6"/>
    <mergeCell ref="AS6:AT6"/>
    <mergeCell ref="AV6:AW6"/>
    <mergeCell ref="U6:V6"/>
    <mergeCell ref="X6:Y6"/>
    <mergeCell ref="AA6:AB6"/>
    <mergeCell ref="AD6:AE6"/>
    <mergeCell ref="AG6:AH6"/>
    <mergeCell ref="L6:M6"/>
    <mergeCell ref="O6:P6"/>
    <mergeCell ref="R6:S6"/>
    <mergeCell ref="A5:H5"/>
    <mergeCell ref="A6:H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00B0F0"/>
  </sheetPr>
  <dimension ref="A3:CT1673"/>
  <sheetViews>
    <sheetView view="pageBreakPreview" zoomScale="70" zoomScaleSheetLayoutView="70" workbookViewId="0">
      <pane xSplit="3" ySplit="8" topLeftCell="D291" activePane="bottomRight" state="frozen"/>
      <selection pane="topRight" activeCell="D1" sqref="D1"/>
      <selection pane="bottomLeft" activeCell="A9" sqref="A9"/>
      <selection pane="bottomRight" activeCell="N341" sqref="N341"/>
    </sheetView>
  </sheetViews>
  <sheetFormatPr defaultRowHeight="15" x14ac:dyDescent="0.25"/>
  <cols>
    <col min="1" max="1" width="9.140625" style="267"/>
    <col min="2" max="2" width="75.140625" style="267" customWidth="1"/>
    <col min="3" max="3" width="32.7109375" style="267" customWidth="1"/>
    <col min="4" max="4" width="14.42578125" style="267" bestFit="1" customWidth="1"/>
    <col min="5" max="5" width="12.5703125" style="267" customWidth="1"/>
    <col min="6" max="6" width="12" style="267" customWidth="1"/>
    <col min="7" max="14" width="11.85546875" style="267" customWidth="1"/>
    <col min="15" max="15" width="41.85546875" style="267" customWidth="1"/>
    <col min="16" max="16" width="9.140625" style="267"/>
    <col min="17" max="17" width="11.42578125" style="267" bestFit="1" customWidth="1"/>
    <col min="18" max="18" width="11.7109375" style="267" bestFit="1" customWidth="1"/>
    <col min="19" max="19" width="9.140625" style="267"/>
    <col min="20" max="20" width="10.42578125" style="267" bestFit="1" customWidth="1"/>
    <col min="21" max="24" width="9.140625" style="267"/>
    <col min="25" max="26" width="10.42578125" style="267" bestFit="1" customWidth="1"/>
    <col min="27" max="27" width="9.140625" style="267"/>
    <col min="28" max="29" width="10.42578125" style="267" bestFit="1" customWidth="1"/>
    <col min="30" max="30" width="9.140625" style="267"/>
    <col min="31" max="32" width="10.42578125" style="267" bestFit="1" customWidth="1"/>
    <col min="33" max="33" width="9.140625" style="267"/>
    <col min="34" max="35" width="10.42578125" style="267" bestFit="1" customWidth="1"/>
    <col min="36" max="36" width="9.140625" style="267"/>
    <col min="37" max="38" width="10.42578125" style="267" bestFit="1" customWidth="1"/>
    <col min="39" max="39" width="9.140625" style="267"/>
    <col min="40" max="41" width="10.42578125" style="267" bestFit="1" customWidth="1"/>
    <col min="42" max="42" width="9.140625" style="267"/>
    <col min="43" max="44" width="10.42578125" style="267" bestFit="1" customWidth="1"/>
    <col min="45" max="45" width="9.140625" style="267"/>
    <col min="46" max="47" width="10.42578125" style="267" bestFit="1" customWidth="1"/>
    <col min="48" max="51" width="9.140625" style="267"/>
    <col min="52" max="53" width="10.42578125" style="267" bestFit="1" customWidth="1"/>
    <col min="54" max="54" width="9.140625" style="267"/>
    <col min="55" max="56" width="10.42578125" style="267" bestFit="1" customWidth="1"/>
    <col min="57" max="57" width="9.140625" style="267"/>
    <col min="58" max="59" width="10.42578125" style="267" bestFit="1" customWidth="1"/>
    <col min="60" max="60" width="9.140625" style="267"/>
    <col min="61" max="62" width="10.42578125" style="267" bestFit="1" customWidth="1"/>
    <col min="63" max="69" width="9.140625" style="267"/>
    <col min="70" max="71" width="10.42578125" style="267" bestFit="1" customWidth="1"/>
    <col min="72" max="72" width="9.140625" style="267"/>
    <col min="73" max="74" width="10.42578125" style="267" bestFit="1" customWidth="1"/>
    <col min="75" max="79" width="9.140625" style="267"/>
    <col min="80" max="80" width="10.42578125" style="267" bestFit="1" customWidth="1"/>
    <col min="81" max="81" width="9.140625" style="267"/>
    <col min="82" max="83" width="10.42578125" style="267" bestFit="1" customWidth="1"/>
    <col min="84" max="84" width="9.140625" style="267"/>
    <col min="85" max="86" width="10.42578125" style="267" bestFit="1" customWidth="1"/>
    <col min="87" max="16384" width="9.140625" style="267"/>
  </cols>
  <sheetData>
    <row r="3" spans="1:90" ht="18.75" x14ac:dyDescent="0.3">
      <c r="A3" s="408" t="s">
        <v>0</v>
      </c>
      <c r="B3" s="408"/>
      <c r="C3" s="408"/>
      <c r="D3" s="408"/>
      <c r="E3" s="408"/>
      <c r="F3" s="408"/>
      <c r="G3" s="408"/>
      <c r="H3" s="408"/>
      <c r="I3" s="408"/>
      <c r="J3" s="408"/>
      <c r="K3" s="408"/>
      <c r="L3" s="268"/>
      <c r="M3" s="268"/>
      <c r="N3" s="385"/>
      <c r="O3" s="266"/>
    </row>
    <row r="4" spans="1:90" ht="18.75" x14ac:dyDescent="0.3">
      <c r="A4" s="408" t="s">
        <v>1</v>
      </c>
      <c r="B4" s="408"/>
      <c r="C4" s="408"/>
      <c r="D4" s="408"/>
      <c r="E4" s="408"/>
      <c r="F4" s="408"/>
      <c r="G4" s="408"/>
      <c r="H4" s="408"/>
      <c r="I4" s="408"/>
      <c r="J4" s="408"/>
      <c r="K4" s="408"/>
      <c r="L4" s="268"/>
      <c r="M4" s="268"/>
      <c r="N4" s="385"/>
      <c r="O4" s="268"/>
    </row>
    <row r="5" spans="1:90" x14ac:dyDescent="0.25">
      <c r="A5" s="269"/>
      <c r="B5" s="269"/>
      <c r="C5" s="269"/>
      <c r="D5" s="269"/>
      <c r="E5" s="269"/>
      <c r="F5" s="269"/>
      <c r="G5" s="269"/>
      <c r="H5" s="269"/>
      <c r="I5" s="269"/>
      <c r="J5" s="269"/>
      <c r="K5" s="269"/>
      <c r="L5" s="269"/>
      <c r="M5" s="269"/>
      <c r="N5" s="386"/>
      <c r="O5" s="269"/>
    </row>
    <row r="6" spans="1:90" ht="45" x14ac:dyDescent="0.25">
      <c r="A6" s="270" t="s">
        <v>6</v>
      </c>
      <c r="B6" s="270" t="s">
        <v>375</v>
      </c>
      <c r="C6" s="271" t="s">
        <v>9</v>
      </c>
      <c r="D6" s="271" t="s">
        <v>10</v>
      </c>
      <c r="E6" s="271" t="s">
        <v>1401</v>
      </c>
      <c r="F6" s="271" t="s">
        <v>1406</v>
      </c>
      <c r="G6" s="271" t="s">
        <v>1446</v>
      </c>
      <c r="H6" s="271" t="s">
        <v>1486</v>
      </c>
      <c r="I6" s="271" t="s">
        <v>1599</v>
      </c>
      <c r="J6" s="271" t="s">
        <v>2384</v>
      </c>
      <c r="K6" s="271" t="s">
        <v>2723</v>
      </c>
      <c r="L6" s="271" t="s">
        <v>2845</v>
      </c>
      <c r="M6" s="271" t="s">
        <v>3005</v>
      </c>
      <c r="N6" s="271" t="s">
        <v>3012</v>
      </c>
      <c r="O6" s="272" t="s">
        <v>13</v>
      </c>
    </row>
    <row r="7" spans="1:90" x14ac:dyDescent="0.25">
      <c r="A7" s="409" t="s">
        <v>3</v>
      </c>
      <c r="B7" s="410"/>
      <c r="C7" s="410"/>
      <c r="D7" s="410"/>
      <c r="E7" s="410"/>
      <c r="F7" s="410"/>
      <c r="G7" s="410"/>
      <c r="H7" s="410"/>
      <c r="I7" s="410"/>
      <c r="J7" s="410"/>
      <c r="K7" s="410"/>
      <c r="L7" s="411"/>
      <c r="M7" s="375"/>
      <c r="N7" s="375"/>
    </row>
    <row r="8" spans="1:90" x14ac:dyDescent="0.25">
      <c r="A8" s="412" t="s">
        <v>121</v>
      </c>
      <c r="B8" s="413"/>
      <c r="C8" s="413"/>
      <c r="D8" s="413"/>
      <c r="E8" s="413"/>
      <c r="F8" s="413"/>
      <c r="G8" s="413"/>
      <c r="H8" s="413"/>
      <c r="I8" s="413"/>
      <c r="J8" s="413"/>
      <c r="K8" s="413"/>
      <c r="L8" s="414"/>
      <c r="M8" s="375"/>
      <c r="N8" s="375"/>
      <c r="S8" s="406" t="s">
        <v>1421</v>
      </c>
      <c r="T8" s="406"/>
      <c r="U8" s="273"/>
      <c r="V8" s="406" t="s">
        <v>1422</v>
      </c>
      <c r="W8" s="406"/>
      <c r="X8" s="273"/>
      <c r="Y8" s="406" t="s">
        <v>1423</v>
      </c>
      <c r="Z8" s="406"/>
      <c r="AA8" s="273"/>
      <c r="AB8" s="406" t="s">
        <v>1424</v>
      </c>
      <c r="AC8" s="406"/>
      <c r="AD8" s="273"/>
      <c r="AE8" s="406" t="s">
        <v>1425</v>
      </c>
      <c r="AF8" s="406"/>
      <c r="AG8" s="273"/>
      <c r="AH8" s="406" t="s">
        <v>1426</v>
      </c>
      <c r="AI8" s="406"/>
      <c r="AJ8" s="273"/>
      <c r="AK8" s="406" t="s">
        <v>1427</v>
      </c>
      <c r="AL8" s="406"/>
      <c r="AM8" s="273"/>
      <c r="AN8" s="406" t="s">
        <v>1428</v>
      </c>
      <c r="AO8" s="406"/>
      <c r="AP8" s="273"/>
      <c r="AQ8" s="406" t="s">
        <v>1429</v>
      </c>
      <c r="AR8" s="406"/>
      <c r="AS8" s="273"/>
      <c r="AT8" s="406" t="s">
        <v>1430</v>
      </c>
      <c r="AU8" s="406"/>
      <c r="AV8" s="273"/>
      <c r="AW8" s="406" t="s">
        <v>1431</v>
      </c>
      <c r="AX8" s="406"/>
      <c r="AY8" s="273"/>
      <c r="AZ8" s="406" t="s">
        <v>1432</v>
      </c>
      <c r="BA8" s="406"/>
      <c r="BB8" s="273"/>
      <c r="BC8" s="406" t="s">
        <v>1433</v>
      </c>
      <c r="BD8" s="406"/>
      <c r="BE8" s="273"/>
      <c r="BF8" s="406" t="s">
        <v>1434</v>
      </c>
      <c r="BG8" s="406"/>
      <c r="BH8" s="273"/>
      <c r="BI8" s="406" t="s">
        <v>1435</v>
      </c>
      <c r="BJ8" s="406"/>
      <c r="BK8" s="273"/>
      <c r="BL8" s="406" t="s">
        <v>1436</v>
      </c>
      <c r="BM8" s="406"/>
      <c r="BN8" s="273"/>
      <c r="BO8" s="406" t="s">
        <v>1437</v>
      </c>
      <c r="BP8" s="406"/>
      <c r="BQ8" s="273"/>
      <c r="BR8" s="406" t="s">
        <v>1438</v>
      </c>
      <c r="BS8" s="406"/>
      <c r="BT8" s="273"/>
      <c r="BU8" s="406" t="s">
        <v>1439</v>
      </c>
      <c r="BV8" s="406"/>
      <c r="BW8" s="273"/>
      <c r="BX8" s="406" t="s">
        <v>1440</v>
      </c>
      <c r="BY8" s="406"/>
      <c r="BZ8" s="273"/>
      <c r="CA8" s="406" t="s">
        <v>1441</v>
      </c>
      <c r="CB8" s="406"/>
      <c r="CC8" s="273"/>
      <c r="CD8" s="406" t="s">
        <v>1442</v>
      </c>
      <c r="CE8" s="406"/>
      <c r="CF8" s="273"/>
      <c r="CG8" s="406" t="s">
        <v>2435</v>
      </c>
      <c r="CH8" s="406"/>
      <c r="CI8" s="273"/>
      <c r="CJ8" s="406" t="s">
        <v>2436</v>
      </c>
      <c r="CK8" s="406"/>
    </row>
    <row r="9" spans="1:90" ht="60" x14ac:dyDescent="0.25">
      <c r="A9" s="105" t="s">
        <v>123</v>
      </c>
      <c r="B9" s="290" t="s">
        <v>122</v>
      </c>
      <c r="C9" s="16"/>
      <c r="D9" s="107"/>
      <c r="E9" s="107"/>
      <c r="F9" s="107"/>
      <c r="G9" s="107"/>
      <c r="H9" s="107"/>
      <c r="I9" s="107"/>
      <c r="J9" s="107"/>
      <c r="K9" s="107"/>
      <c r="L9" s="107"/>
      <c r="M9" s="107"/>
      <c r="N9" s="107"/>
      <c r="S9" s="278">
        <v>2017</v>
      </c>
      <c r="T9" s="278">
        <v>2018</v>
      </c>
      <c r="U9" s="278" t="s">
        <v>1443</v>
      </c>
      <c r="V9" s="278">
        <v>2017</v>
      </c>
      <c r="W9" s="278">
        <v>2018</v>
      </c>
      <c r="X9" s="278" t="s">
        <v>1443</v>
      </c>
      <c r="Y9" s="278">
        <v>2017</v>
      </c>
      <c r="Z9" s="278">
        <v>2018</v>
      </c>
      <c r="AA9" s="278" t="s">
        <v>1443</v>
      </c>
      <c r="AB9" s="278">
        <v>2017</v>
      </c>
      <c r="AC9" s="278">
        <v>2018</v>
      </c>
      <c r="AD9" s="278" t="s">
        <v>1443</v>
      </c>
      <c r="AE9" s="278">
        <v>2017</v>
      </c>
      <c r="AF9" s="278">
        <v>2018</v>
      </c>
      <c r="AG9" s="278" t="s">
        <v>1443</v>
      </c>
      <c r="AH9" s="278">
        <v>2017</v>
      </c>
      <c r="AI9" s="278">
        <v>2018</v>
      </c>
      <c r="AJ9" s="278" t="s">
        <v>1443</v>
      </c>
      <c r="AK9" s="278">
        <v>2017</v>
      </c>
      <c r="AL9" s="278">
        <v>2018</v>
      </c>
      <c r="AM9" s="278" t="s">
        <v>1443</v>
      </c>
      <c r="AN9" s="278">
        <v>2017</v>
      </c>
      <c r="AO9" s="278">
        <v>2018</v>
      </c>
      <c r="AP9" s="278" t="s">
        <v>1443</v>
      </c>
      <c r="AQ9" s="278">
        <v>2017</v>
      </c>
      <c r="AR9" s="278">
        <v>2018</v>
      </c>
      <c r="AS9" s="278" t="s">
        <v>1443</v>
      </c>
      <c r="AT9" s="278">
        <v>2017</v>
      </c>
      <c r="AU9" s="278">
        <v>2018</v>
      </c>
      <c r="AV9" s="278" t="s">
        <v>1443</v>
      </c>
      <c r="AW9" s="278">
        <v>2017</v>
      </c>
      <c r="AX9" s="278">
        <v>2018</v>
      </c>
      <c r="AY9" s="278" t="s">
        <v>1443</v>
      </c>
      <c r="AZ9" s="278">
        <v>2017</v>
      </c>
      <c r="BA9" s="278">
        <v>2018</v>
      </c>
      <c r="BB9" s="278" t="s">
        <v>1443</v>
      </c>
      <c r="BC9" s="278">
        <v>2017</v>
      </c>
      <c r="BD9" s="278">
        <v>2018</v>
      </c>
      <c r="BE9" s="278" t="s">
        <v>1443</v>
      </c>
      <c r="BF9" s="278">
        <v>2017</v>
      </c>
      <c r="BG9" s="278">
        <v>2018</v>
      </c>
      <c r="BH9" s="278" t="s">
        <v>1443</v>
      </c>
      <c r="BI9" s="278">
        <v>2017</v>
      </c>
      <c r="BJ9" s="278">
        <v>2018</v>
      </c>
      <c r="BK9" s="278" t="s">
        <v>1443</v>
      </c>
      <c r="BL9" s="278">
        <v>2017</v>
      </c>
      <c r="BM9" s="278">
        <v>2018</v>
      </c>
      <c r="BN9" s="278" t="s">
        <v>1443</v>
      </c>
      <c r="BO9" s="278">
        <v>2017</v>
      </c>
      <c r="BP9" s="278">
        <v>2018</v>
      </c>
      <c r="BQ9" s="278" t="s">
        <v>1443</v>
      </c>
      <c r="BR9" s="278">
        <v>2017</v>
      </c>
      <c r="BS9" s="278">
        <v>2018</v>
      </c>
      <c r="BT9" s="278" t="s">
        <v>1443</v>
      </c>
      <c r="BU9" s="278">
        <v>2017</v>
      </c>
      <c r="BV9" s="278">
        <v>2018</v>
      </c>
      <c r="BW9" s="278" t="s">
        <v>1443</v>
      </c>
      <c r="BX9" s="278">
        <v>2017</v>
      </c>
      <c r="BY9" s="278">
        <v>2018</v>
      </c>
      <c r="BZ9" s="278" t="s">
        <v>1443</v>
      </c>
      <c r="CA9" s="278">
        <v>2017</v>
      </c>
      <c r="CB9" s="278">
        <v>2018</v>
      </c>
      <c r="CC9" s="278" t="s">
        <v>1443</v>
      </c>
      <c r="CD9" s="278">
        <v>2017</v>
      </c>
      <c r="CE9" s="278">
        <v>2018</v>
      </c>
      <c r="CF9" s="278" t="s">
        <v>1443</v>
      </c>
      <c r="CG9" s="278">
        <v>2017</v>
      </c>
      <c r="CH9" s="278">
        <v>2018</v>
      </c>
      <c r="CI9" s="278" t="s">
        <v>1443</v>
      </c>
      <c r="CJ9" s="278">
        <v>2017</v>
      </c>
      <c r="CK9" s="278">
        <v>2018</v>
      </c>
      <c r="CL9" s="278" t="s">
        <v>1443</v>
      </c>
    </row>
    <row r="10" spans="1:90" ht="60" x14ac:dyDescent="0.25">
      <c r="A10" s="95" t="s">
        <v>124</v>
      </c>
      <c r="B10" s="300" t="s">
        <v>1647</v>
      </c>
      <c r="C10" s="16"/>
      <c r="D10" s="95" t="s">
        <v>8</v>
      </c>
      <c r="E10" s="279">
        <f>(E11+E12+E14+E15)/E19*100</f>
        <v>89.781056776154216</v>
      </c>
      <c r="F10" s="279">
        <f>(F11+F12+F14+F15+F13)/F19*100</f>
        <v>91.394405196042271</v>
      </c>
      <c r="G10" s="279">
        <f>(G11+G12+G14+G15+G13)/G19*100</f>
        <v>91.345015982408015</v>
      </c>
      <c r="H10" s="279">
        <f t="shared" ref="H10:M10" si="0">(H11+H12+H14+H15+H13+H16+H17+H18)/H19*100</f>
        <v>93.900220664990016</v>
      </c>
      <c r="I10" s="279">
        <f t="shared" si="0"/>
        <v>92.984120262544991</v>
      </c>
      <c r="J10" s="279">
        <f t="shared" si="0"/>
        <v>92.911257644155782</v>
      </c>
      <c r="K10" s="279">
        <f t="shared" si="0"/>
        <v>88.148277545964532</v>
      </c>
      <c r="L10" s="279">
        <f t="shared" si="0"/>
        <v>99.61840628507295</v>
      </c>
      <c r="M10" s="279">
        <f t="shared" si="0"/>
        <v>95.958279009126471</v>
      </c>
      <c r="N10" s="279">
        <f>(N11+N12+N14+N15+N13+N16+N17+N18)/N19*100</f>
        <v>92.060131272496292</v>
      </c>
      <c r="O10" s="281" t="s">
        <v>23</v>
      </c>
      <c r="Q10" s="279">
        <f>(Q11+Q12+Q14+Q15+Q13+Q16+Q17+Q18)/Q19*100</f>
        <v>88.148277545964532</v>
      </c>
      <c r="R10" s="279">
        <f>(R11+R12+R14+R15+R13+R16+R17+R18)/R19*100</f>
        <v>89.72959238364453</v>
      </c>
      <c r="S10" s="279">
        <f>(S11+S12+S14+S15+S13+S16+S17+S18)/S19*100</f>
        <v>88.427701330927135</v>
      </c>
      <c r="T10" s="279">
        <f>(T11+T12+T14+T15+T13+T16+T17+T18)/T19*100</f>
        <v>91.112113692758854</v>
      </c>
      <c r="U10" s="296"/>
      <c r="V10" s="279">
        <f>(V11+V12+V14+V15+V13+V16+V17+V18)/V19*100</f>
        <v>94.611727416798729</v>
      </c>
      <c r="W10" s="279">
        <f>(W11+W12+W14+W15+W13+W16+W17+W18)/W19*100</f>
        <v>94.215530903328045</v>
      </c>
      <c r="X10" s="296"/>
      <c r="Y10" s="279">
        <f>(Y11+Y12+Y14+Y15+Y13+Y16+Y17+Y18)/Y19*100</f>
        <v>88.982880161127895</v>
      </c>
      <c r="Z10" s="279">
        <f>(Z11+Z12+Z14+Z15+Z13+Z16+Z17+Z18)/Z19*100</f>
        <v>87.492447129909365</v>
      </c>
      <c r="AA10" s="296"/>
      <c r="AB10" s="279">
        <f>(AB11+AB12+AB14+AB15+AB13+AB16+AB17+AB18)/AB19*100</f>
        <v>74.773722627737229</v>
      </c>
      <c r="AC10" s="279">
        <f>(AC11+AC12+AC14+AC15+AC13+AC16+AC17+AC18)/AC19*100</f>
        <v>74.65693430656934</v>
      </c>
      <c r="AD10" s="296"/>
      <c r="AE10" s="279">
        <f>(AE11+AE12+AE14+AE15+AE13+AE16+AE17+AE18)/AE19*100</f>
        <v>76.570289132602198</v>
      </c>
      <c r="AF10" s="279">
        <f>(AF11+AF12+AF14+AF15+AF13+AF16+AF17+AF18)/AF19*100</f>
        <v>75.952143569292119</v>
      </c>
      <c r="AG10" s="296"/>
      <c r="AH10" s="279">
        <f>(AH11+AH12+AH14+AH15+AH13+AH16+AH17+AH18)/AH19*100</f>
        <v>95.979359277574716</v>
      </c>
      <c r="AI10" s="279">
        <f>(AI11+AI12+AI14+AI15+AI13+AI16+AI17+AI18)/AI19*100</f>
        <v>95.420339711889909</v>
      </c>
      <c r="AJ10" s="296"/>
      <c r="AK10" s="279">
        <f>(AK11+AK12+AK14+AK15+AK13+AK16+AK17+AK18)/AK19*100</f>
        <v>85.66332830292221</v>
      </c>
      <c r="AL10" s="279">
        <f>(AL11+AL12+AL14+AL15+AL13+AL16+AL17+AL18)/AL19*100</f>
        <v>86.623679517080532</v>
      </c>
      <c r="AM10" s="296"/>
      <c r="AN10" s="279">
        <f>(AN11+AN12+AN14+AN15+AN13+AN16+AN17+AN18)/AN19*100</f>
        <v>78.083052749719414</v>
      </c>
      <c r="AO10" s="279">
        <f>(AO11+AO12+AO14+AO15+AO13+AO16+AO17+AO18)/AO19*100</f>
        <v>78.316498316498311</v>
      </c>
      <c r="AP10" s="296"/>
      <c r="AQ10" s="279">
        <f>(AQ11+AQ12+AQ14+AQ15+AQ13+AQ16+AQ17+AQ18)/AQ19*100</f>
        <v>76.758300606926099</v>
      </c>
      <c r="AR10" s="279">
        <f>(AR11+AR12+AR14+AR15+AR13+AR16+AR17+AR18)/AR19*100</f>
        <v>77.008211353088186</v>
      </c>
      <c r="AS10" s="296"/>
      <c r="AT10" s="279">
        <f>(AT11+AT12+AT14+AT15+AT13+AT16+AT17+AT18)/AT19*100</f>
        <v>101.5315705822858</v>
      </c>
      <c r="AU10" s="279">
        <f>(AU11+AU12+AU14+AU15+AU13+AU16+AU17+AU18)/AU19*100</f>
        <v>105.09319462505418</v>
      </c>
      <c r="AV10" s="296"/>
      <c r="AW10" s="279">
        <f>(AW11+AW12+AW14+AW15+AW13+AW16+AW17+AW18)/AW19*100</f>
        <v>76.362318840579718</v>
      </c>
      <c r="AX10" s="279">
        <f>(AX11+AX12+AX14+AX15+AX13+AX16+AX17+AX18)/AX19*100</f>
        <v>77.623188405797109</v>
      </c>
      <c r="AY10" s="296"/>
      <c r="AZ10" s="279">
        <f>(AZ11+AZ12+AZ14+AZ15+AZ13+AZ16+AZ17+AZ18)/AZ19*100</f>
        <v>86.19671744007556</v>
      </c>
      <c r="BA10" s="279">
        <f>(BA11+BA12+BA14+BA15+BA13+BA16+BA17+BA18)/BA19*100</f>
        <v>85.559097886409248</v>
      </c>
      <c r="BB10" s="296"/>
      <c r="BC10" s="279">
        <f>(BC11+BC12+BC14+BC15+BC13+BC16+BC17+BC18)/BC19*100</f>
        <v>79.05813257925935</v>
      </c>
      <c r="BD10" s="279">
        <f>(BD11+BD12+BD14+BD15+BD13+BD16+BD17+BD18)/BD19*100</f>
        <v>80.559029854804493</v>
      </c>
      <c r="BE10" s="296"/>
      <c r="BF10" s="279">
        <f>(BF11+BF12+BF14+BF15+BF13+BF16+BF17+BF18)/BF19*100</f>
        <v>84.328210703167457</v>
      </c>
      <c r="BG10" s="279">
        <f>(BG11+BG12+BG14+BG15+BG13+BG16+BG17+BG18)/BG19*100</f>
        <v>86.749518209220739</v>
      </c>
      <c r="BH10" s="296"/>
      <c r="BI10" s="279">
        <f>(BI11+BI12+BI14+BI15+BI13+BI16+BI17+BI18)/BI19*100</f>
        <v>96.964865326575932</v>
      </c>
      <c r="BJ10" s="279">
        <f>(BJ11+BJ12+BJ14+BJ15+BJ13+BJ16+BJ17+BJ18)/BJ19*100</f>
        <v>101.44259058899456</v>
      </c>
      <c r="BK10" s="296"/>
      <c r="BL10" s="279">
        <f>(BL11+BL12+BL14+BL15+BL13+BL16+BL17+BL18)/BL19*100</f>
        <v>76.672126672126666</v>
      </c>
      <c r="BM10" s="279">
        <f>(BM11+BM12+BM14+BM15+BM13+BM16+BM17+BM18)/BM19*100</f>
        <v>76.303576303576307</v>
      </c>
      <c r="BN10" s="296"/>
      <c r="BO10" s="279">
        <f>(BO11+BO12+BO14+BO15+BO13+BO16+BO17+BO18)/BO19*100</f>
        <v>78.351126927639385</v>
      </c>
      <c r="BP10" s="279">
        <f>(BP11+BP12+BP14+BP15+BP13+BP16+BP17+BP18)/BP19*100</f>
        <v>78.870106761565836</v>
      </c>
      <c r="BQ10" s="296"/>
      <c r="BR10" s="279">
        <f>(BR11+BR12+BR14+BR15+BR13+BR16+BR17+BR18)/BR19*100</f>
        <v>85.121511196009763</v>
      </c>
      <c r="BS10" s="279">
        <f>(BS11+BS12+BS14+BS15+BS13+BS16+BS17+BS18)/BS19*100</f>
        <v>86.055396370582613</v>
      </c>
      <c r="BT10" s="296"/>
      <c r="BU10" s="279">
        <f>(BU11+BU12+BU14+BU15+BU13+BU16+BU17+BU18)/BU19*100</f>
        <v>77.123617123617123</v>
      </c>
      <c r="BV10" s="279">
        <f>(BV11+BV12+BV14+BV15+BV13+BV16+BV17+BV18)/BV19*100</f>
        <v>77.902837902837902</v>
      </c>
      <c r="BW10" s="296"/>
      <c r="BX10" s="279">
        <f>(BX11+BX12+BX14+BX15+BX13+BX16+BX17+BX18)/BX19*100</f>
        <v>72.467709041468382</v>
      </c>
      <c r="BY10" s="279">
        <f>(BY11+BY12+BY14+BY15+BY13+BY16+BY17+BY18)/BY19*100</f>
        <v>74.711080897348751</v>
      </c>
      <c r="BZ10" s="296"/>
      <c r="CA10" s="279">
        <f>(CA11+CA12+CA14+CA15+CA13+CA16+CA17+CA18)/CA19*100</f>
        <v>92.409775044505579</v>
      </c>
      <c r="CB10" s="279">
        <f>(CB11+CB12+CB14+CB15+CB13+CB16+CB17+CB18)/CB19*100</f>
        <v>94.432756109402817</v>
      </c>
      <c r="CC10" s="296"/>
      <c r="CD10" s="279">
        <f>(CD11+CD12+CD14+CD15+CD13+CD16+CD17+CD18)/CD19*100</f>
        <v>87.797619047619051</v>
      </c>
      <c r="CE10" s="279">
        <f>(CE11+CE12+CE14+CE15+CE13+CE16+CE17+CE18)/CE19*100</f>
        <v>89.550264550264544</v>
      </c>
      <c r="CF10" s="296"/>
      <c r="CG10" s="279" t="e">
        <f>(CG11+CG12+CG14+CG15+CG13+CG16+CG17+CG18)/CG19*100</f>
        <v>#DIV/0!</v>
      </c>
      <c r="CH10" s="279" t="e">
        <f>(CH11+CH12+CH14+CH15+CH13+CH16+CH17+CH18)/CH19*100</f>
        <v>#DIV/0!</v>
      </c>
      <c r="CI10" s="296"/>
      <c r="CJ10" s="279" t="e">
        <f>(CJ11+CJ12+CJ14+CJ15+CJ13+CJ16+CJ17+CJ18)/CJ19*100</f>
        <v>#DIV/0!</v>
      </c>
      <c r="CK10" s="279" t="e">
        <f>(CK11+CK12+CK14+CK15+CK13+CK16+CK17+CK18)/CK19*100</f>
        <v>#DIV/0!</v>
      </c>
    </row>
    <row r="11" spans="1:90" ht="60" x14ac:dyDescent="0.25">
      <c r="A11" s="107"/>
      <c r="B11" s="16" t="s">
        <v>125</v>
      </c>
      <c r="C11" s="95" t="s">
        <v>126</v>
      </c>
      <c r="D11" s="95" t="s">
        <v>950</v>
      </c>
      <c r="E11" s="282">
        <f>177793+820</f>
        <v>178613</v>
      </c>
      <c r="F11" s="282">
        <f>182020+864</f>
        <v>182884</v>
      </c>
      <c r="G11" s="282">
        <f>187760+940</f>
        <v>188700</v>
      </c>
      <c r="H11" s="282"/>
      <c r="I11" s="282"/>
      <c r="J11" s="282"/>
      <c r="K11" s="282"/>
      <c r="L11" s="282"/>
      <c r="M11" s="282"/>
      <c r="N11" s="282"/>
      <c r="O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row>
    <row r="12" spans="1:90" ht="30" x14ac:dyDescent="0.25">
      <c r="A12" s="107"/>
      <c r="B12" s="16" t="s">
        <v>127</v>
      </c>
      <c r="C12" s="95" t="s">
        <v>128</v>
      </c>
      <c r="D12" s="95" t="s">
        <v>950</v>
      </c>
      <c r="E12" s="282">
        <v>735</v>
      </c>
      <c r="F12" s="282">
        <v>566</v>
      </c>
      <c r="G12" s="282">
        <v>439</v>
      </c>
      <c r="H12" s="282"/>
      <c r="I12" s="282"/>
      <c r="J12" s="282"/>
      <c r="K12" s="282"/>
      <c r="L12" s="282"/>
      <c r="M12" s="282"/>
      <c r="N12" s="282"/>
      <c r="O12" s="28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row>
    <row r="13" spans="1:90" x14ac:dyDescent="0.25">
      <c r="A13" s="107"/>
      <c r="B13" s="16"/>
      <c r="C13" s="95" t="s">
        <v>1485</v>
      </c>
      <c r="D13" s="95" t="s">
        <v>950</v>
      </c>
      <c r="E13" s="282">
        <v>2328</v>
      </c>
      <c r="F13" s="282">
        <v>2362</v>
      </c>
      <c r="G13" s="282">
        <v>2174</v>
      </c>
      <c r="H13" s="282"/>
      <c r="I13" s="282"/>
      <c r="J13" s="282"/>
      <c r="K13" s="282"/>
      <c r="L13" s="282"/>
      <c r="M13" s="282"/>
      <c r="N13" s="282"/>
      <c r="O13" s="28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row>
    <row r="14" spans="1:90" ht="45" x14ac:dyDescent="0.25">
      <c r="A14" s="107"/>
      <c r="B14" s="16" t="s">
        <v>129</v>
      </c>
      <c r="C14" s="95" t="s">
        <v>130</v>
      </c>
      <c r="D14" s="95" t="s">
        <v>950</v>
      </c>
      <c r="E14" s="282">
        <f>702+2802</f>
        <v>3504</v>
      </c>
      <c r="F14" s="282">
        <v>3445</v>
      </c>
      <c r="G14" s="282">
        <v>3427</v>
      </c>
      <c r="H14" s="282"/>
      <c r="I14" s="282"/>
      <c r="J14" s="282"/>
      <c r="K14" s="282"/>
      <c r="L14" s="282"/>
      <c r="M14" s="282"/>
      <c r="N14" s="282"/>
      <c r="O14" s="286"/>
      <c r="Q14" s="286"/>
      <c r="R14" s="286"/>
    </row>
    <row r="15" spans="1:90" ht="60" x14ac:dyDescent="0.25">
      <c r="A15" s="107"/>
      <c r="B15" s="16" t="s">
        <v>131</v>
      </c>
      <c r="C15" s="95" t="s">
        <v>132</v>
      </c>
      <c r="D15" s="95" t="s">
        <v>950</v>
      </c>
      <c r="E15" s="282">
        <f>675+162+4152+13+38</f>
        <v>5040</v>
      </c>
      <c r="F15" s="282">
        <f>217+6225+34</f>
        <v>6476</v>
      </c>
      <c r="G15" s="282">
        <f>6668+2+56</f>
        <v>6726</v>
      </c>
      <c r="H15" s="282">
        <f>17+10426+687+29-644</f>
        <v>10515</v>
      </c>
      <c r="I15" s="282">
        <f>9715+422</f>
        <v>10137</v>
      </c>
      <c r="J15" s="282">
        <v>10182</v>
      </c>
      <c r="K15" s="282">
        <v>676</v>
      </c>
      <c r="L15" s="282"/>
      <c r="M15" s="282"/>
      <c r="N15" s="282"/>
      <c r="O15" s="286"/>
      <c r="Q15" s="286">
        <f t="shared" ref="Q15:R19" si="1">S15+V15+Y15+AB15+AE15+AH15+AK15+AN15+AQ15+AT15+AW15+AZ15+BC15+BF15+BI15+BL15+BO15+BR15+BU15+BX15+CA15+CD15+CG15+CJ15</f>
        <v>676</v>
      </c>
      <c r="R15" s="286">
        <f t="shared" si="1"/>
        <v>0</v>
      </c>
      <c r="S15" s="286">
        <v>0</v>
      </c>
      <c r="T15" s="286">
        <v>0</v>
      </c>
      <c r="U15" s="286"/>
      <c r="V15" s="286">
        <v>0</v>
      </c>
      <c r="W15" s="286">
        <v>0</v>
      </c>
      <c r="X15" s="286"/>
      <c r="Y15" s="286">
        <v>0</v>
      </c>
      <c r="Z15" s="286">
        <v>0</v>
      </c>
      <c r="AA15" s="286"/>
      <c r="AB15" s="286">
        <v>0</v>
      </c>
      <c r="AC15" s="286">
        <v>0</v>
      </c>
      <c r="AD15" s="286"/>
      <c r="AE15" s="286">
        <v>0</v>
      </c>
      <c r="AF15" s="286">
        <v>0</v>
      </c>
      <c r="AG15" s="286"/>
      <c r="AH15" s="286">
        <v>0</v>
      </c>
      <c r="AI15" s="286">
        <v>0</v>
      </c>
      <c r="AJ15" s="286"/>
      <c r="AK15" s="286">
        <v>0</v>
      </c>
      <c r="AL15" s="286">
        <v>0</v>
      </c>
      <c r="AM15" s="286"/>
      <c r="AN15" s="286">
        <v>0</v>
      </c>
      <c r="AO15" s="286">
        <v>0</v>
      </c>
      <c r="AP15" s="286"/>
      <c r="AQ15" s="286">
        <v>0</v>
      </c>
      <c r="AR15" s="286">
        <v>0</v>
      </c>
      <c r="AS15" s="286"/>
      <c r="AT15" s="286">
        <v>0</v>
      </c>
      <c r="AU15" s="286">
        <v>0</v>
      </c>
      <c r="AV15" s="286"/>
      <c r="AW15" s="286">
        <v>0</v>
      </c>
      <c r="AX15" s="286">
        <v>0</v>
      </c>
      <c r="AY15" s="286"/>
      <c r="AZ15" s="286">
        <v>0</v>
      </c>
      <c r="BA15" s="286">
        <v>0</v>
      </c>
      <c r="BB15" s="286"/>
      <c r="BC15" s="286">
        <v>0</v>
      </c>
      <c r="BD15" s="286">
        <v>0</v>
      </c>
      <c r="BE15" s="286"/>
      <c r="BF15" s="286">
        <v>0</v>
      </c>
      <c r="BG15" s="286">
        <v>0</v>
      </c>
      <c r="BH15" s="286"/>
      <c r="BI15" s="286">
        <v>0</v>
      </c>
      <c r="BJ15" s="286">
        <v>0</v>
      </c>
      <c r="BK15" s="286"/>
      <c r="BL15" s="286">
        <v>0</v>
      </c>
      <c r="BM15" s="286">
        <v>0</v>
      </c>
      <c r="BN15" s="286"/>
      <c r="BO15" s="286">
        <v>0</v>
      </c>
      <c r="BP15" s="286">
        <v>0</v>
      </c>
      <c r="BQ15" s="286"/>
      <c r="BR15" s="286">
        <v>0</v>
      </c>
      <c r="BS15" s="286">
        <v>0</v>
      </c>
      <c r="BT15" s="286"/>
      <c r="BU15" s="286">
        <v>0</v>
      </c>
      <c r="BV15" s="286">
        <v>0</v>
      </c>
      <c r="BW15" s="286"/>
      <c r="BX15" s="286">
        <v>0</v>
      </c>
      <c r="BY15" s="286">
        <v>0</v>
      </c>
      <c r="BZ15" s="286"/>
      <c r="CA15" s="286">
        <v>0</v>
      </c>
      <c r="CB15" s="286">
        <v>0</v>
      </c>
      <c r="CC15" s="286"/>
      <c r="CD15" s="286">
        <v>0</v>
      </c>
      <c r="CE15" s="286">
        <v>0</v>
      </c>
      <c r="CF15" s="286"/>
      <c r="CG15" s="286">
        <v>676</v>
      </c>
      <c r="CH15" s="286">
        <v>0</v>
      </c>
      <c r="CI15" s="286"/>
      <c r="CJ15" s="286">
        <v>0</v>
      </c>
      <c r="CK15" s="286">
        <v>0</v>
      </c>
    </row>
    <row r="16" spans="1:90" ht="30" x14ac:dyDescent="0.25">
      <c r="A16" s="107"/>
      <c r="B16" s="312"/>
      <c r="C16" s="312" t="s">
        <v>1489</v>
      </c>
      <c r="D16" s="95"/>
      <c r="E16" s="282"/>
      <c r="F16" s="282"/>
      <c r="G16" s="282"/>
      <c r="H16" s="282">
        <v>199088</v>
      </c>
      <c r="I16" s="282">
        <v>205587</v>
      </c>
      <c r="J16" s="282">
        <v>210827</v>
      </c>
      <c r="K16" s="282">
        <v>217041</v>
      </c>
      <c r="L16" s="282">
        <v>4438</v>
      </c>
      <c r="M16" s="282">
        <v>4416</v>
      </c>
      <c r="N16" s="282">
        <v>4348</v>
      </c>
      <c r="O16" s="286"/>
      <c r="P16" s="286"/>
      <c r="Q16" s="286">
        <f>S16+V16+Y16+AB16+AE16+AH16+AK16+AN16+AQ16+AT16+AW16+AZ16+BC16+BF16+BI16+BL16+BO16+BR16+BU16+BX16+CA16+CD16+CG16+CJ16</f>
        <v>217041</v>
      </c>
      <c r="R16" s="286">
        <f>T16+W16+Z16+AC16+AF16+AI16+AL16+AO16+AR16+AU16+AX16+BA16+BD16+BG16+BJ16+BM16+BP16+BS16+BV16+BY16+CB16+CE16+CH16+CK16</f>
        <v>221725</v>
      </c>
      <c r="S16" s="286">
        <v>3888</v>
      </c>
      <c r="T16" s="286">
        <v>3995</v>
      </c>
      <c r="U16" s="286"/>
      <c r="V16" s="286">
        <v>3561</v>
      </c>
      <c r="W16" s="286">
        <v>3554</v>
      </c>
      <c r="X16" s="286"/>
      <c r="Y16" s="286">
        <v>4418</v>
      </c>
      <c r="Z16" s="286">
        <v>4344</v>
      </c>
      <c r="AA16" s="286"/>
      <c r="AB16" s="286">
        <v>5122</v>
      </c>
      <c r="AC16" s="286">
        <v>5114</v>
      </c>
      <c r="AD16" s="286"/>
      <c r="AE16" s="286">
        <v>3757</v>
      </c>
      <c r="AF16" s="286">
        <v>3738</v>
      </c>
      <c r="AG16" s="286"/>
      <c r="AH16" s="286">
        <v>4464</v>
      </c>
      <c r="AI16" s="286">
        <v>4438</v>
      </c>
      <c r="AJ16" s="286"/>
      <c r="AK16" s="286">
        <v>6082</v>
      </c>
      <c r="AL16" s="286">
        <v>6153</v>
      </c>
      <c r="AM16" s="286"/>
      <c r="AN16" s="286">
        <v>17240</v>
      </c>
      <c r="AO16" s="286">
        <v>17295</v>
      </c>
      <c r="AP16" s="286"/>
      <c r="AQ16" s="286">
        <v>2144</v>
      </c>
      <c r="AR16" s="286">
        <v>2154</v>
      </c>
      <c r="AS16" s="286"/>
      <c r="AT16" s="286">
        <v>13883</v>
      </c>
      <c r="AU16" s="286">
        <v>14407</v>
      </c>
      <c r="AV16" s="286"/>
      <c r="AW16" s="286">
        <v>5196</v>
      </c>
      <c r="AX16" s="286">
        <v>5281</v>
      </c>
      <c r="AY16" s="286"/>
      <c r="AZ16" s="286">
        <v>7300</v>
      </c>
      <c r="BA16" s="286">
        <v>7246</v>
      </c>
      <c r="BB16" s="286"/>
      <c r="BC16" s="286">
        <v>14385</v>
      </c>
      <c r="BD16" s="286">
        <v>14670</v>
      </c>
      <c r="BE16" s="286"/>
      <c r="BF16" s="286">
        <v>34019</v>
      </c>
      <c r="BG16" s="286">
        <v>34985</v>
      </c>
      <c r="BH16" s="286"/>
      <c r="BI16" s="286">
        <v>50296</v>
      </c>
      <c r="BJ16" s="286">
        <v>52650</v>
      </c>
      <c r="BK16" s="286"/>
      <c r="BL16" s="286">
        <v>5617</v>
      </c>
      <c r="BM16" s="286">
        <v>5590</v>
      </c>
      <c r="BN16" s="286"/>
      <c r="BO16" s="286">
        <v>5276</v>
      </c>
      <c r="BP16" s="286">
        <v>5300</v>
      </c>
      <c r="BQ16" s="286"/>
      <c r="BR16" s="286">
        <v>8021</v>
      </c>
      <c r="BS16" s="286">
        <v>8109</v>
      </c>
      <c r="BT16" s="286"/>
      <c r="BU16" s="286">
        <v>7972</v>
      </c>
      <c r="BV16" s="286">
        <v>8054</v>
      </c>
      <c r="BW16" s="286"/>
      <c r="BX16" s="286">
        <v>2132</v>
      </c>
      <c r="BY16" s="286">
        <v>2198</v>
      </c>
      <c r="BZ16" s="286"/>
      <c r="CA16" s="286">
        <v>5700</v>
      </c>
      <c r="CB16" s="286">
        <v>5824</v>
      </c>
      <c r="CC16" s="286"/>
      <c r="CD16" s="286">
        <v>5310</v>
      </c>
      <c r="CE16" s="286">
        <v>5416</v>
      </c>
      <c r="CF16" s="286"/>
      <c r="CG16" s="286">
        <v>592</v>
      </c>
      <c r="CH16" s="286">
        <v>540</v>
      </c>
      <c r="CI16" s="286"/>
      <c r="CJ16" s="286">
        <v>666</v>
      </c>
      <c r="CK16" s="286">
        <v>670</v>
      </c>
    </row>
    <row r="17" spans="1:89" ht="30" x14ac:dyDescent="0.25">
      <c r="A17" s="107"/>
      <c r="B17" s="312"/>
      <c r="C17" s="312" t="s">
        <v>1490</v>
      </c>
      <c r="D17" s="95"/>
      <c r="E17" s="282"/>
      <c r="F17" s="282"/>
      <c r="G17" s="282"/>
      <c r="H17" s="282">
        <v>1648</v>
      </c>
      <c r="I17" s="282">
        <v>1681</v>
      </c>
      <c r="J17" s="282">
        <v>1891</v>
      </c>
      <c r="K17" s="282">
        <v>1950</v>
      </c>
      <c r="L17" s="282">
        <v>0</v>
      </c>
      <c r="M17" s="282">
        <v>0</v>
      </c>
      <c r="N17" s="282">
        <v>0</v>
      </c>
      <c r="O17" s="286"/>
      <c r="P17" s="286"/>
      <c r="Q17" s="286">
        <f>S17+V17+Y17+AB17+AE17+AH17+AK17+AN17+AQ17+AT17+AW17+AZ17+BC17+BF17+BI17+BL17+BO17+BR17+BU17+BX17+CA17+CD17+CG17+CJ17</f>
        <v>1950</v>
      </c>
      <c r="R17" s="286">
        <f t="shared" si="1"/>
        <v>1935</v>
      </c>
      <c r="S17" s="286">
        <v>32</v>
      </c>
      <c r="T17" s="286">
        <v>44</v>
      </c>
      <c r="U17" s="286"/>
      <c r="V17" s="286">
        <v>0</v>
      </c>
      <c r="W17" s="286">
        <v>0</v>
      </c>
      <c r="X17" s="286"/>
      <c r="Y17" s="286">
        <v>0</v>
      </c>
      <c r="Z17" s="286">
        <v>0</v>
      </c>
      <c r="AA17" s="286"/>
      <c r="AB17" s="286">
        <v>0</v>
      </c>
      <c r="AC17" s="286">
        <v>0</v>
      </c>
      <c r="AD17" s="286"/>
      <c r="AE17" s="286">
        <v>0</v>
      </c>
      <c r="AF17" s="286">
        <v>2</v>
      </c>
      <c r="AG17" s="286"/>
      <c r="AH17" s="286">
        <v>0</v>
      </c>
      <c r="AI17" s="286">
        <v>0</v>
      </c>
      <c r="AJ17" s="286"/>
      <c r="AK17" s="286">
        <v>155</v>
      </c>
      <c r="AL17" s="286">
        <v>154</v>
      </c>
      <c r="AM17" s="286"/>
      <c r="AN17" s="286">
        <v>38</v>
      </c>
      <c r="AO17" s="286">
        <v>29</v>
      </c>
      <c r="AP17" s="286"/>
      <c r="AQ17" s="286">
        <v>0</v>
      </c>
      <c r="AR17" s="286">
        <v>0</v>
      </c>
      <c r="AS17" s="286"/>
      <c r="AT17" s="286">
        <v>171</v>
      </c>
      <c r="AU17" s="286">
        <v>140</v>
      </c>
      <c r="AV17" s="286"/>
      <c r="AW17" s="286">
        <v>63</v>
      </c>
      <c r="AX17" s="286">
        <v>66</v>
      </c>
      <c r="AY17" s="286"/>
      <c r="AZ17" s="286">
        <v>0</v>
      </c>
      <c r="BA17" s="286">
        <v>0</v>
      </c>
      <c r="BB17" s="286"/>
      <c r="BC17" s="286">
        <v>153</v>
      </c>
      <c r="BD17" s="286">
        <v>144</v>
      </c>
      <c r="BE17" s="286"/>
      <c r="BF17" s="286">
        <v>112</v>
      </c>
      <c r="BG17" s="286">
        <v>119</v>
      </c>
      <c r="BH17" s="286"/>
      <c r="BI17" s="286">
        <v>788</v>
      </c>
      <c r="BJ17" s="286">
        <v>793</v>
      </c>
      <c r="BK17" s="286"/>
      <c r="BL17" s="286">
        <v>0</v>
      </c>
      <c r="BM17" s="286">
        <v>0</v>
      </c>
      <c r="BN17" s="286"/>
      <c r="BO17" s="286">
        <v>8</v>
      </c>
      <c r="BP17" s="286">
        <v>19</v>
      </c>
      <c r="BQ17" s="286"/>
      <c r="BR17" s="286">
        <v>0</v>
      </c>
      <c r="BS17" s="286">
        <v>0</v>
      </c>
      <c r="BT17" s="286"/>
      <c r="BU17" s="286">
        <v>0</v>
      </c>
      <c r="BV17" s="286">
        <v>0</v>
      </c>
      <c r="BW17" s="286"/>
      <c r="BX17" s="286">
        <v>0</v>
      </c>
      <c r="BY17" s="286">
        <v>0</v>
      </c>
      <c r="BZ17" s="286"/>
      <c r="CA17" s="286">
        <v>10</v>
      </c>
      <c r="CB17" s="286">
        <v>11</v>
      </c>
      <c r="CC17" s="286"/>
      <c r="CD17" s="286">
        <v>0</v>
      </c>
      <c r="CE17" s="286">
        <v>0</v>
      </c>
      <c r="CF17" s="286"/>
      <c r="CG17" s="286">
        <v>420</v>
      </c>
      <c r="CH17" s="286">
        <v>414</v>
      </c>
      <c r="CI17" s="286"/>
      <c r="CJ17" s="286">
        <v>0</v>
      </c>
      <c r="CK17" s="286">
        <v>0</v>
      </c>
    </row>
    <row r="18" spans="1:89" ht="30" x14ac:dyDescent="0.25">
      <c r="A18" s="107"/>
      <c r="B18" s="312"/>
      <c r="C18" s="312" t="s">
        <v>1491</v>
      </c>
      <c r="D18" s="95"/>
      <c r="E18" s="282"/>
      <c r="F18" s="282"/>
      <c r="G18" s="282"/>
      <c r="H18" s="282">
        <v>1941</v>
      </c>
      <c r="I18" s="282">
        <v>2177</v>
      </c>
      <c r="J18" s="282">
        <v>2263</v>
      </c>
      <c r="K18" s="282">
        <v>2360</v>
      </c>
      <c r="L18" s="282">
        <v>0</v>
      </c>
      <c r="M18" s="282">
        <v>0</v>
      </c>
      <c r="N18" s="282">
        <v>0</v>
      </c>
      <c r="O18" s="286"/>
      <c r="P18" s="286"/>
      <c r="Q18" s="286">
        <f>S18+V18+Y18+AB18+AE18+AH18+AK18+AN18+AQ18+AT18+AW18+AZ18+BC18+BF18+BI18+BL18+BO18+BR18+BU18+BX18+CA18+CD18+CG18+CJ18</f>
        <v>2360</v>
      </c>
      <c r="R18" s="286">
        <f t="shared" si="1"/>
        <v>2350</v>
      </c>
      <c r="S18" s="286">
        <v>0</v>
      </c>
      <c r="T18" s="286">
        <v>0</v>
      </c>
      <c r="U18" s="286"/>
      <c r="V18" s="286">
        <v>21</v>
      </c>
      <c r="W18" s="286">
        <v>13</v>
      </c>
      <c r="X18" s="286"/>
      <c r="Y18" s="286">
        <v>0</v>
      </c>
      <c r="Z18" s="286">
        <v>0</v>
      </c>
      <c r="AA18" s="286"/>
      <c r="AB18" s="286">
        <v>0</v>
      </c>
      <c r="AC18" s="286">
        <v>0</v>
      </c>
      <c r="AD18" s="286"/>
      <c r="AE18" s="286">
        <v>83</v>
      </c>
      <c r="AF18" s="286">
        <v>69</v>
      </c>
      <c r="AG18" s="286"/>
      <c r="AH18" s="286">
        <v>0</v>
      </c>
      <c r="AI18" s="286">
        <v>0</v>
      </c>
      <c r="AJ18" s="286"/>
      <c r="AK18" s="286">
        <v>7</v>
      </c>
      <c r="AL18" s="286">
        <v>7</v>
      </c>
      <c r="AM18" s="286"/>
      <c r="AN18" s="286">
        <v>115</v>
      </c>
      <c r="AO18" s="286">
        <v>121</v>
      </c>
      <c r="AP18" s="286"/>
      <c r="AQ18" s="286">
        <v>6</v>
      </c>
      <c r="AR18" s="286">
        <v>3</v>
      </c>
      <c r="AS18" s="286"/>
      <c r="AT18" s="286">
        <v>0</v>
      </c>
      <c r="AU18" s="286">
        <v>0</v>
      </c>
      <c r="AV18" s="286"/>
      <c r="AW18" s="286">
        <v>10</v>
      </c>
      <c r="AX18" s="286">
        <v>9</v>
      </c>
      <c r="AY18" s="286"/>
      <c r="AZ18" s="286">
        <v>0</v>
      </c>
      <c r="BA18" s="286">
        <v>0</v>
      </c>
      <c r="BB18" s="286"/>
      <c r="BC18" s="286">
        <v>0</v>
      </c>
      <c r="BD18" s="286">
        <v>0</v>
      </c>
      <c r="BE18" s="286"/>
      <c r="BF18" s="286">
        <v>0</v>
      </c>
      <c r="BG18" s="286">
        <v>7</v>
      </c>
      <c r="BH18" s="286"/>
      <c r="BI18" s="286">
        <v>0</v>
      </c>
      <c r="BJ18" s="286">
        <v>0</v>
      </c>
      <c r="BK18" s="286"/>
      <c r="BL18" s="286">
        <v>0</v>
      </c>
      <c r="BM18" s="286">
        <v>0</v>
      </c>
      <c r="BN18" s="286"/>
      <c r="BO18" s="286">
        <v>0</v>
      </c>
      <c r="BP18" s="286">
        <v>0</v>
      </c>
      <c r="BQ18" s="286"/>
      <c r="BR18" s="286">
        <v>0</v>
      </c>
      <c r="BS18" s="286">
        <v>0</v>
      </c>
      <c r="BT18" s="286"/>
      <c r="BU18" s="286">
        <v>45</v>
      </c>
      <c r="BV18" s="286">
        <v>44</v>
      </c>
      <c r="BW18" s="286"/>
      <c r="BX18" s="286">
        <v>0</v>
      </c>
      <c r="BY18" s="286">
        <v>0</v>
      </c>
      <c r="BZ18" s="286"/>
      <c r="CA18" s="286">
        <v>0</v>
      </c>
      <c r="CB18" s="286">
        <v>0</v>
      </c>
      <c r="CC18" s="286"/>
      <c r="CD18" s="286">
        <v>0</v>
      </c>
      <c r="CE18" s="286">
        <v>0</v>
      </c>
      <c r="CF18" s="286"/>
      <c r="CG18" s="286">
        <v>2073</v>
      </c>
      <c r="CH18" s="286">
        <v>2077</v>
      </c>
      <c r="CI18" s="286"/>
      <c r="CJ18" s="286">
        <v>0</v>
      </c>
      <c r="CK18" s="286">
        <v>0</v>
      </c>
    </row>
    <row r="19" spans="1:89" ht="30" x14ac:dyDescent="0.25">
      <c r="A19" s="107"/>
      <c r="B19" s="16" t="s">
        <v>133</v>
      </c>
      <c r="C19" s="95" t="s">
        <v>134</v>
      </c>
      <c r="D19" s="95" t="s">
        <v>950</v>
      </c>
      <c r="E19" s="282">
        <v>209278</v>
      </c>
      <c r="F19" s="282">
        <v>214163</v>
      </c>
      <c r="G19" s="282">
        <v>220555</v>
      </c>
      <c r="H19" s="282">
        <v>227041</v>
      </c>
      <c r="I19" s="282">
        <v>236150</v>
      </c>
      <c r="J19" s="282">
        <v>242342</v>
      </c>
      <c r="K19" s="282">
        <v>251879</v>
      </c>
      <c r="L19" s="282">
        <v>4455</v>
      </c>
      <c r="M19" s="282">
        <v>4602</v>
      </c>
      <c r="N19" s="103">
        <v>4723</v>
      </c>
      <c r="P19" s="286"/>
      <c r="Q19" s="286">
        <f>S19+V19+Y19+AB19+AE19+AH19+AK19+AN19+AQ19+AT19+AW19+AZ19+BC19+BF19+BI19+BL19+BO19+BR19+BU19+BX19+CA19+CD19+CG19+CJ19</f>
        <v>251879</v>
      </c>
      <c r="R19" s="286">
        <f t="shared" si="1"/>
        <v>251879</v>
      </c>
      <c r="S19" s="286">
        <v>4433</v>
      </c>
      <c r="T19" s="286">
        <v>4433</v>
      </c>
      <c r="U19" s="286"/>
      <c r="V19" s="286">
        <v>3786</v>
      </c>
      <c r="W19" s="286">
        <v>3786</v>
      </c>
      <c r="X19" s="286"/>
      <c r="Y19" s="286">
        <v>4965</v>
      </c>
      <c r="Z19" s="286">
        <v>4965</v>
      </c>
      <c r="AA19" s="286"/>
      <c r="AB19" s="286">
        <v>6850</v>
      </c>
      <c r="AC19" s="286">
        <v>6850</v>
      </c>
      <c r="AD19" s="286"/>
      <c r="AE19" s="286">
        <v>5015</v>
      </c>
      <c r="AF19" s="286">
        <v>5015</v>
      </c>
      <c r="AG19" s="286"/>
      <c r="AH19" s="286">
        <v>4651</v>
      </c>
      <c r="AI19" s="286">
        <v>4651</v>
      </c>
      <c r="AJ19" s="286"/>
      <c r="AK19" s="286">
        <v>7289</v>
      </c>
      <c r="AL19" s="286">
        <v>7289</v>
      </c>
      <c r="AM19" s="286"/>
      <c r="AN19" s="286">
        <v>22275</v>
      </c>
      <c r="AO19" s="286">
        <v>22275</v>
      </c>
      <c r="AP19" s="286"/>
      <c r="AQ19" s="286">
        <v>2801</v>
      </c>
      <c r="AR19" s="286">
        <v>2801</v>
      </c>
      <c r="AS19" s="286"/>
      <c r="AT19" s="286">
        <v>13842</v>
      </c>
      <c r="AU19" s="286">
        <v>13842</v>
      </c>
      <c r="AV19" s="286"/>
      <c r="AW19" s="286">
        <v>6900</v>
      </c>
      <c r="AX19" s="286">
        <v>6900</v>
      </c>
      <c r="AY19" s="286"/>
      <c r="AZ19" s="286">
        <v>8469</v>
      </c>
      <c r="BA19" s="286">
        <v>8469</v>
      </c>
      <c r="BB19" s="286"/>
      <c r="BC19" s="286">
        <v>18389</v>
      </c>
      <c r="BD19" s="286">
        <v>18389</v>
      </c>
      <c r="BE19" s="286"/>
      <c r="BF19" s="286">
        <v>40474</v>
      </c>
      <c r="BG19" s="286">
        <v>40474</v>
      </c>
      <c r="BH19" s="286"/>
      <c r="BI19" s="286">
        <v>52683</v>
      </c>
      <c r="BJ19" s="286">
        <v>52683</v>
      </c>
      <c r="BK19" s="286"/>
      <c r="BL19" s="286">
        <v>7326</v>
      </c>
      <c r="BM19" s="286">
        <v>7326</v>
      </c>
      <c r="BN19" s="286"/>
      <c r="BO19" s="286">
        <v>6744</v>
      </c>
      <c r="BP19" s="286">
        <v>6744</v>
      </c>
      <c r="BQ19" s="286"/>
      <c r="BR19" s="286">
        <v>9423</v>
      </c>
      <c r="BS19" s="286">
        <v>9423</v>
      </c>
      <c r="BT19" s="286"/>
      <c r="BU19" s="286">
        <v>10395</v>
      </c>
      <c r="BV19" s="286">
        <v>10395</v>
      </c>
      <c r="BW19" s="286"/>
      <c r="BX19" s="286">
        <v>2942</v>
      </c>
      <c r="BY19" s="286">
        <v>2942</v>
      </c>
      <c r="BZ19" s="286"/>
      <c r="CA19" s="286">
        <v>6179</v>
      </c>
      <c r="CB19" s="286">
        <v>6179</v>
      </c>
      <c r="CC19" s="286"/>
      <c r="CD19" s="286">
        <v>6048</v>
      </c>
      <c r="CE19" s="286">
        <v>6048</v>
      </c>
      <c r="CF19" s="286"/>
      <c r="CG19" s="286">
        <v>0</v>
      </c>
      <c r="CH19" s="286">
        <v>0</v>
      </c>
      <c r="CI19" s="286"/>
      <c r="CJ19" s="286">
        <v>0</v>
      </c>
      <c r="CK19" s="286">
        <v>0</v>
      </c>
    </row>
    <row r="20" spans="1:89" ht="90" x14ac:dyDescent="0.25">
      <c r="A20" s="95" t="s">
        <v>136</v>
      </c>
      <c r="B20" s="96" t="s">
        <v>1648</v>
      </c>
      <c r="C20" s="107"/>
      <c r="D20" s="95"/>
      <c r="E20" s="279"/>
      <c r="F20" s="279"/>
      <c r="G20" s="279"/>
      <c r="H20" s="279"/>
      <c r="I20" s="279"/>
      <c r="J20" s="279"/>
      <c r="K20" s="279"/>
      <c r="L20" s="279"/>
      <c r="M20" s="279"/>
      <c r="N20" s="279"/>
      <c r="O20" s="281" t="s">
        <v>140</v>
      </c>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row>
    <row r="21" spans="1:89" x14ac:dyDescent="0.25">
      <c r="A21" s="95"/>
      <c r="B21" s="96" t="s">
        <v>1182</v>
      </c>
      <c r="C21" s="16"/>
      <c r="D21" s="95" t="s">
        <v>8</v>
      </c>
      <c r="E21" s="279">
        <f t="shared" ref="E21:H22" si="2">E24/E33*100</f>
        <v>32.983729852514429</v>
      </c>
      <c r="F21" s="279">
        <f t="shared" si="2"/>
        <v>43.420453944235753</v>
      </c>
      <c r="G21" s="279">
        <f t="shared" si="2"/>
        <v>52.607485307763689</v>
      </c>
      <c r="H21" s="279">
        <f t="shared" si="2"/>
        <v>63.241585036080139</v>
      </c>
      <c r="I21" s="279">
        <f t="shared" ref="I21:K22" si="3">I24/I33*100</f>
        <v>72.052920196382786</v>
      </c>
      <c r="J21" s="279">
        <f t="shared" si="3"/>
        <v>80.971290531500998</v>
      </c>
      <c r="K21" s="279">
        <f t="shared" si="3"/>
        <v>81.054144793345912</v>
      </c>
      <c r="L21" s="279">
        <f t="shared" ref="L21:M22" si="4">L24/L33*100</f>
        <v>100</v>
      </c>
      <c r="M21" s="279">
        <f t="shared" si="4"/>
        <v>100</v>
      </c>
      <c r="N21" s="279">
        <f t="shared" ref="N21" si="5">N24/N33*100</f>
        <v>100</v>
      </c>
      <c r="O21" s="313"/>
      <c r="Q21" s="279">
        <f t="shared" ref="Q21:T22" si="6">Q24/Q33*100</f>
        <v>81.054144793345912</v>
      </c>
      <c r="R21" s="279">
        <f t="shared" si="6"/>
        <v>90.256799960430058</v>
      </c>
      <c r="S21" s="279">
        <f t="shared" si="6"/>
        <v>81.468172484599592</v>
      </c>
      <c r="T21" s="279">
        <f t="shared" si="6"/>
        <v>90.573566084788027</v>
      </c>
      <c r="V21" s="279">
        <f>V24/V33*100</f>
        <v>80.676733780760628</v>
      </c>
      <c r="W21" s="279">
        <f>W24/W33*100</f>
        <v>90.937149270482607</v>
      </c>
      <c r="Y21" s="279">
        <f>Y24/Y33*100</f>
        <v>81.575373472159356</v>
      </c>
      <c r="Z21" s="279">
        <f>Z24/Z33*100</f>
        <v>91.574585635359114</v>
      </c>
      <c r="AB21" s="279">
        <f>AB24/AB33*100</f>
        <v>80.320187426786418</v>
      </c>
      <c r="AC21" s="279">
        <f>AC24/AC33*100</f>
        <v>89.597184200234651</v>
      </c>
      <c r="AE21" s="279">
        <f>AE24/AE33*100</f>
        <v>80.010520778537611</v>
      </c>
      <c r="AF21" s="279">
        <f>AF24/AF33*100</f>
        <v>89.777542372881356</v>
      </c>
      <c r="AH21" s="279">
        <f>AH24/AH33*100</f>
        <v>81.102186523873272</v>
      </c>
      <c r="AI21" s="279">
        <f>AI24/AI33*100</f>
        <v>89.943883277216614</v>
      </c>
      <c r="AK21" s="279">
        <f>AK24/AK33*100</f>
        <v>80.281690140845072</v>
      </c>
      <c r="AL21" s="279">
        <f>AL24/AL33*100</f>
        <v>90.65178715833737</v>
      </c>
      <c r="AN21" s="279">
        <f>AN24/AN33*100</f>
        <v>80.701856148491885</v>
      </c>
      <c r="AO21" s="279">
        <f>AO24/AO33*100</f>
        <v>90.690951141948545</v>
      </c>
      <c r="AQ21" s="279">
        <f>AQ24/AQ33*100</f>
        <v>82.089552238805979</v>
      </c>
      <c r="AR21" s="279">
        <f>AR24/AR33*100</f>
        <v>91.225626740947078</v>
      </c>
      <c r="AT21" s="279">
        <f>AT24/AT33*100</f>
        <v>82.102231821454282</v>
      </c>
      <c r="AU21" s="279">
        <f>AU24/AU33*100</f>
        <v>90.692024710210319</v>
      </c>
      <c r="AW21" s="279">
        <f>AW24/AW33*100</f>
        <v>81.543494996150883</v>
      </c>
      <c r="AX21" s="279">
        <f>AX24/AX33*100</f>
        <v>91.138042037492895</v>
      </c>
      <c r="AZ21" s="279">
        <f>AZ24/AZ33*100</f>
        <v>81.31506849315069</v>
      </c>
      <c r="BA21" s="279">
        <f>BA24/BA33*100</f>
        <v>90.712117030085565</v>
      </c>
      <c r="BC21" s="279">
        <f>BC24/BC33*100</f>
        <v>82.085505735140771</v>
      </c>
      <c r="BD21" s="279">
        <f>BD24/BD33*100</f>
        <v>91.063394683026587</v>
      </c>
      <c r="BF21" s="279">
        <f>BF24/BF33*100</f>
        <v>81.226390231046295</v>
      </c>
      <c r="BG21" s="279">
        <f>BG24/BG33*100</f>
        <v>90.421106615761587</v>
      </c>
      <c r="BI21" s="279">
        <f>BI24/BI33*100</f>
        <v>81.296438636945936</v>
      </c>
      <c r="BJ21" s="279">
        <f>BJ24/BJ33*100</f>
        <v>89.851769536473739</v>
      </c>
      <c r="BL21" s="279">
        <f>BL24/BL33*100</f>
        <v>81.306747374043084</v>
      </c>
      <c r="BM21" s="279">
        <f>BM24/BM33*100</f>
        <v>90.178890876565305</v>
      </c>
      <c r="BO21" s="279">
        <f>BO24/BO33*100</f>
        <v>80.799848369977255</v>
      </c>
      <c r="BP21" s="279">
        <f>BP24/BP33*100</f>
        <v>90.622641509433961</v>
      </c>
      <c r="BR21" s="279">
        <f>BR24/BR33*100</f>
        <v>80.201969829198347</v>
      </c>
      <c r="BS21" s="279">
        <f>BS24/BS33*100</f>
        <v>90.393390060426682</v>
      </c>
      <c r="BU21" s="279">
        <f>BU24/BU33*100</f>
        <v>80.080280983442037</v>
      </c>
      <c r="BV21" s="279">
        <f>BV24/BV33*100</f>
        <v>89.222746461385654</v>
      </c>
      <c r="BX21" s="279">
        <f>BX24/BX33*100</f>
        <v>84.146341463414629</v>
      </c>
      <c r="BY21" s="279">
        <f>BY24/BY33*100</f>
        <v>92.356687898089177</v>
      </c>
      <c r="CA21" s="279">
        <f>CA24/CA33*100</f>
        <v>81.192982456140356</v>
      </c>
      <c r="CB21" s="279">
        <f>CB24/CB33*100</f>
        <v>90.71085164835165</v>
      </c>
      <c r="CD21" s="279">
        <f>CD24/CD33*100</f>
        <v>81.506591337099806</v>
      </c>
      <c r="CE21" s="279">
        <f>CE24/CE33*100</f>
        <v>90.398818316100432</v>
      </c>
      <c r="CG21" s="279">
        <f>CG24/CG33*100</f>
        <v>35.304054054054049</v>
      </c>
      <c r="CH21" s="279">
        <f>CH24/CH33*100</f>
        <v>43.703703703703702</v>
      </c>
      <c r="CJ21" s="279">
        <f>CJ24/CJ33*100</f>
        <v>71.021021021021028</v>
      </c>
      <c r="CK21" s="279">
        <f>CK24/CK33*100</f>
        <v>86.71641791044776</v>
      </c>
    </row>
    <row r="22" spans="1:89" x14ac:dyDescent="0.25">
      <c r="A22" s="95"/>
      <c r="B22" s="96" t="s">
        <v>1183</v>
      </c>
      <c r="C22" s="16"/>
      <c r="D22" s="95" t="s">
        <v>8</v>
      </c>
      <c r="E22" s="279">
        <f t="shared" si="2"/>
        <v>33.01984685479831</v>
      </c>
      <c r="F22" s="279">
        <f t="shared" si="2"/>
        <v>43.470096269206024</v>
      </c>
      <c r="G22" s="279">
        <f t="shared" si="2"/>
        <v>53.530035774339524</v>
      </c>
      <c r="H22" s="279">
        <f t="shared" si="2"/>
        <v>63.329471846497739</v>
      </c>
      <c r="I22" s="279">
        <f t="shared" si="3"/>
        <v>72.090134564853898</v>
      </c>
      <c r="J22" s="279">
        <f t="shared" si="3"/>
        <v>80.985353548353885</v>
      </c>
      <c r="K22" s="279">
        <f t="shared" si="3"/>
        <v>81.073894476372914</v>
      </c>
      <c r="L22" s="279">
        <f t="shared" ref="L22" si="7">L25/L34*100</f>
        <v>100</v>
      </c>
      <c r="M22" s="279">
        <f t="shared" si="4"/>
        <v>100</v>
      </c>
      <c r="N22" s="279">
        <f t="shared" ref="N22" si="8">N25/N34*100</f>
        <v>100</v>
      </c>
      <c r="O22" s="281"/>
      <c r="Q22" s="279">
        <f t="shared" si="6"/>
        <v>81.073894476372914</v>
      </c>
      <c r="R22" s="279">
        <f t="shared" si="6"/>
        <v>90.20505799989283</v>
      </c>
      <c r="S22" s="279">
        <f t="shared" si="6"/>
        <v>81.565944507791713</v>
      </c>
      <c r="T22" s="279">
        <f t="shared" si="6"/>
        <v>90.21106259097526</v>
      </c>
      <c r="V22" s="279">
        <f>V25/V34*100</f>
        <v>81.429897864438246</v>
      </c>
      <c r="W22" s="279">
        <f>W25/W34*100</f>
        <v>91.007532956685495</v>
      </c>
      <c r="Y22" s="279">
        <f>Y25/Y34*100</f>
        <v>81.655405405405403</v>
      </c>
      <c r="Z22" s="279">
        <f>Z25/Z34*100</f>
        <v>91.293956981905083</v>
      </c>
      <c r="AB22" s="279">
        <f>AB25/AB34*100</f>
        <v>81.271477663230243</v>
      </c>
      <c r="AC22" s="279">
        <f>AC25/AC34*100</f>
        <v>90.061266167460857</v>
      </c>
      <c r="AE22" s="279">
        <f>AE25/AE34*100</f>
        <v>79.497167138810198</v>
      </c>
      <c r="AF22" s="279">
        <f>AF25/AF34*100</f>
        <v>89.329162321863052</v>
      </c>
      <c r="AH22" s="279">
        <f>AH25/AH34*100</f>
        <v>81.502197363164214</v>
      </c>
      <c r="AI22" s="279">
        <f>AI25/AI34*100</f>
        <v>90.221327967806843</v>
      </c>
      <c r="AK22" s="279">
        <f>AK25/AK34*100</f>
        <v>80.295735900962868</v>
      </c>
      <c r="AL22" s="279">
        <f>AL25/AL34*100</f>
        <v>90.585241730279904</v>
      </c>
      <c r="AN22" s="279">
        <f>AN25/AN34*100</f>
        <v>80.074456383788814</v>
      </c>
      <c r="AO22" s="279">
        <f>AO25/AO34*100</f>
        <v>90.00757002271007</v>
      </c>
      <c r="AQ22" s="279" t="e">
        <f>AQ25/AQ34*100</f>
        <v>#DIV/0!</v>
      </c>
      <c r="AR22" s="279" t="e">
        <f>AR25/AR34*100</f>
        <v>#DIV/0!</v>
      </c>
      <c r="AT22" s="279">
        <f>AT25/AT34*100</f>
        <v>82.102231821454282</v>
      </c>
      <c r="AU22" s="279">
        <f>AU25/AU34*100</f>
        <v>90.692024710210319</v>
      </c>
      <c r="AW22" s="279">
        <f>AW25/AW34*100</f>
        <v>81.543494996150883</v>
      </c>
      <c r="AX22" s="279">
        <f>AX25/AX34*100</f>
        <v>91.138042037492895</v>
      </c>
      <c r="AZ22" s="279">
        <f>AZ25/AZ34*100</f>
        <v>81.31506849315069</v>
      </c>
      <c r="BA22" s="279">
        <f>BA25/BA34*100</f>
        <v>90.712117030085565</v>
      </c>
      <c r="BC22" s="279">
        <f>BC25/BC34*100</f>
        <v>82.085505735140771</v>
      </c>
      <c r="BD22" s="279">
        <f>BD25/BD34*100</f>
        <v>91.063394683026587</v>
      </c>
      <c r="BF22" s="279">
        <f>BF25/BF34*100</f>
        <v>81.226390231046295</v>
      </c>
      <c r="BG22" s="279">
        <f>BG25/BG34*100</f>
        <v>90.421106615761587</v>
      </c>
      <c r="BI22" s="279">
        <f>BI25/BI34*100</f>
        <v>81.296438636945936</v>
      </c>
      <c r="BJ22" s="279">
        <f>BJ25/BJ34*100</f>
        <v>89.851769536473739</v>
      </c>
      <c r="BL22" s="279">
        <f>BL25/BL34*100</f>
        <v>81.306747374043084</v>
      </c>
      <c r="BM22" s="279">
        <f>BM25/BM34*100</f>
        <v>90.178890876565305</v>
      </c>
      <c r="BO22" s="279">
        <f>BO25/BO34*100</f>
        <v>80.799848369977255</v>
      </c>
      <c r="BP22" s="279">
        <f>BP25/BP34*100</f>
        <v>90.622641509433961</v>
      </c>
      <c r="BR22" s="279">
        <f>BR25/BR34*100</f>
        <v>80.201969829198347</v>
      </c>
      <c r="BS22" s="279">
        <f>BS25/BS34*100</f>
        <v>90.393390060426682</v>
      </c>
      <c r="BU22" s="279">
        <f>BU25/BU34*100</f>
        <v>80.080280983442037</v>
      </c>
      <c r="BV22" s="279">
        <f>BV25/BV34*100</f>
        <v>89.222746461385654</v>
      </c>
      <c r="BX22" s="279">
        <f>BX25/BX34*100</f>
        <v>84.146341463414629</v>
      </c>
      <c r="BY22" s="279">
        <f>BY25/BY34*100</f>
        <v>92.356687898089177</v>
      </c>
      <c r="CA22" s="279">
        <f>CA25/CA34*100</f>
        <v>81.192982456140356</v>
      </c>
      <c r="CB22" s="279">
        <f>CB25/CB34*100</f>
        <v>90.71085164835165</v>
      </c>
      <c r="CD22" s="279">
        <f>CD25/CD34*100</f>
        <v>81.506591337099806</v>
      </c>
      <c r="CE22" s="279">
        <f>CE25/CE34*100</f>
        <v>90.398818316100432</v>
      </c>
      <c r="CG22" s="279">
        <f>CG25/CG34*100</f>
        <v>35.146443514644346</v>
      </c>
      <c r="CH22" s="279">
        <f>CH25/CH34*100</f>
        <v>39.952153110047846</v>
      </c>
      <c r="CJ22" s="279">
        <f>CJ25/CJ34*100</f>
        <v>71.021021021021028</v>
      </c>
      <c r="CK22" s="279">
        <f>CK25/CK34*100</f>
        <v>86.71641791044776</v>
      </c>
    </row>
    <row r="23" spans="1:89" x14ac:dyDescent="0.25">
      <c r="A23" s="95"/>
      <c r="B23" s="96" t="s">
        <v>1185</v>
      </c>
      <c r="C23" s="16"/>
      <c r="D23" s="95" t="s">
        <v>8</v>
      </c>
      <c r="E23" s="279">
        <f t="shared" ref="E23:K23" si="9">E29/E38*100</f>
        <v>32.612954573282721</v>
      </c>
      <c r="F23" s="279">
        <f t="shared" si="9"/>
        <v>42.900503854792696</v>
      </c>
      <c r="G23" s="279">
        <f t="shared" si="9"/>
        <v>42.851175557942476</v>
      </c>
      <c r="H23" s="279">
        <f t="shared" si="9"/>
        <v>62.287435049598486</v>
      </c>
      <c r="I23" s="279">
        <f t="shared" si="9"/>
        <v>71.643707681531637</v>
      </c>
      <c r="J23" s="279">
        <f t="shared" si="9"/>
        <v>80.81328088847755</v>
      </c>
      <c r="K23" s="279">
        <f t="shared" si="9"/>
        <v>80.825088236995896</v>
      </c>
      <c r="L23" s="279">
        <f t="shared" ref="L23:M23" si="10">L29/L38*100</f>
        <v>100</v>
      </c>
      <c r="M23" s="279">
        <f t="shared" si="10"/>
        <v>100</v>
      </c>
      <c r="N23" s="279">
        <f t="shared" ref="N23" si="11">N29/N38*100</f>
        <v>100</v>
      </c>
      <c r="O23" s="281"/>
      <c r="Q23" s="279">
        <f>Q29/Q38*100</f>
        <v>80.825088236995896</v>
      </c>
      <c r="R23" s="279">
        <f>R29/R38*100</f>
        <v>90.876721923885128</v>
      </c>
      <c r="S23" s="279">
        <f>S29/S38*100</f>
        <v>81.264822134387344</v>
      </c>
      <c r="T23" s="279">
        <f>T29/T38*100</f>
        <v>91.362916006339148</v>
      </c>
      <c r="U23" s="286"/>
      <c r="V23" s="279">
        <f>V29/V38*100</f>
        <v>79.53586497890295</v>
      </c>
      <c r="W23" s="279">
        <f>W29/W38*100</f>
        <v>90.833333333333329</v>
      </c>
      <c r="X23" s="286"/>
      <c r="Y23" s="279">
        <f>Y29/Y38*100</f>
        <v>81.412894375857334</v>
      </c>
      <c r="Z23" s="279">
        <f>Z29/Z38*100</f>
        <v>92.155477031802121</v>
      </c>
      <c r="AA23" s="286"/>
      <c r="AB23" s="279">
        <f>AB29/AB38*100</f>
        <v>79.068716094032553</v>
      </c>
      <c r="AC23" s="279">
        <f>AC29/AC38*100</f>
        <v>88.970588235294116</v>
      </c>
      <c r="AD23" s="286"/>
      <c r="AE23" s="279">
        <f>AE29/AE38*100</f>
        <v>81.492842535787318</v>
      </c>
      <c r="AF23" s="279">
        <f>AF29/AF38*100</f>
        <v>91.212458286985537</v>
      </c>
      <c r="AG23" s="286"/>
      <c r="AH23" s="279">
        <f>AH29/AH38*100</f>
        <v>80.596260737746334</v>
      </c>
      <c r="AI23" s="279">
        <f>AI29/AI38*100</f>
        <v>89.593908629441614</v>
      </c>
      <c r="AJ23" s="286"/>
      <c r="AK23" s="279">
        <f>AK29/AK38*100</f>
        <v>80</v>
      </c>
      <c r="AL23" s="279">
        <f>AL29/AL38*100</f>
        <v>92.013888888888886</v>
      </c>
      <c r="AM23" s="286"/>
      <c r="AN23" s="279">
        <f>AN29/AN38*100</f>
        <v>82.069728832318759</v>
      </c>
      <c r="AO23" s="279">
        <f>AO29/AO38*100</f>
        <v>92.193858675545698</v>
      </c>
      <c r="AP23" s="286"/>
      <c r="AQ23" s="279">
        <f>AQ29/AQ38*100</f>
        <v>82.089552238805979</v>
      </c>
      <c r="AR23" s="279">
        <f>AR29/AR38*100</f>
        <v>91.225626740947078</v>
      </c>
      <c r="AS23" s="286"/>
      <c r="AT23" s="279" t="e">
        <f>AT29/AT38*100</f>
        <v>#DIV/0!</v>
      </c>
      <c r="AU23" s="279" t="e">
        <f>AU29/AU38*100</f>
        <v>#DIV/0!</v>
      </c>
      <c r="AV23" s="286"/>
      <c r="AW23" s="279" t="e">
        <f>AW29/AW38*100</f>
        <v>#DIV/0!</v>
      </c>
      <c r="AX23" s="279" t="e">
        <f>AX29/AX38*100</f>
        <v>#DIV/0!</v>
      </c>
      <c r="AY23" s="286"/>
      <c r="AZ23" s="279" t="e">
        <f>AZ29/AZ38*100</f>
        <v>#DIV/0!</v>
      </c>
      <c r="BA23" s="279" t="e">
        <f>BA29/BA38*100</f>
        <v>#DIV/0!</v>
      </c>
      <c r="BB23" s="286"/>
      <c r="BC23" s="279" t="e">
        <f>BC29/BC38*100</f>
        <v>#DIV/0!</v>
      </c>
      <c r="BD23" s="279" t="e">
        <f>BD29/BD38*100</f>
        <v>#DIV/0!</v>
      </c>
      <c r="BE23" s="286"/>
      <c r="BF23" s="279" t="e">
        <f>BF29/BF38*100</f>
        <v>#DIV/0!</v>
      </c>
      <c r="BG23" s="279" t="e">
        <f>BG29/BG38*100</f>
        <v>#DIV/0!</v>
      </c>
      <c r="BH23" s="286"/>
      <c r="BI23" s="279" t="e">
        <f>BI29/BI38*100</f>
        <v>#DIV/0!</v>
      </c>
      <c r="BJ23" s="279" t="e">
        <f>BJ29/BJ38*100</f>
        <v>#DIV/0!</v>
      </c>
      <c r="BK23" s="286"/>
      <c r="BL23" s="279" t="e">
        <f>BL29/BL38*100</f>
        <v>#DIV/0!</v>
      </c>
      <c r="BM23" s="279" t="e">
        <f>BM29/BM38*100</f>
        <v>#DIV/0!</v>
      </c>
      <c r="BN23" s="286"/>
      <c r="BO23" s="279" t="e">
        <f>BO29/BO38*100</f>
        <v>#DIV/0!</v>
      </c>
      <c r="BP23" s="279" t="e">
        <f>BP29/BP38*100</f>
        <v>#DIV/0!</v>
      </c>
      <c r="BQ23" s="286"/>
      <c r="BR23" s="279" t="e">
        <f>BR29/BR38*100</f>
        <v>#DIV/0!</v>
      </c>
      <c r="BS23" s="279" t="e">
        <f>BS29/BS38*100</f>
        <v>#DIV/0!</v>
      </c>
      <c r="BT23" s="286"/>
      <c r="BU23" s="279" t="e">
        <f>BU29/BU38*100</f>
        <v>#DIV/0!</v>
      </c>
      <c r="BV23" s="279" t="e">
        <f>BV29/BV38*100</f>
        <v>#DIV/0!</v>
      </c>
      <c r="BW23" s="286"/>
      <c r="BX23" s="279" t="e">
        <f>BX29/BX38*100</f>
        <v>#DIV/0!</v>
      </c>
      <c r="BY23" s="279" t="e">
        <f>BY29/BY38*100</f>
        <v>#DIV/0!</v>
      </c>
      <c r="BZ23" s="286"/>
      <c r="CA23" s="279" t="e">
        <f>CA29/CA38*100</f>
        <v>#DIV/0!</v>
      </c>
      <c r="CB23" s="279" t="e">
        <f>CB29/CB38*100</f>
        <v>#DIV/0!</v>
      </c>
      <c r="CC23" s="286"/>
      <c r="CD23" s="279" t="e">
        <f>CD29/CD38*100</f>
        <v>#DIV/0!</v>
      </c>
      <c r="CE23" s="279" t="e">
        <f>CE29/CE38*100</f>
        <v>#DIV/0!</v>
      </c>
      <c r="CF23" s="286"/>
      <c r="CG23" s="279">
        <f>CG29/CG38*100</f>
        <v>35.964912280701753</v>
      </c>
      <c r="CH23" s="279">
        <f>CH29/CH38*100</f>
        <v>56.557377049180324</v>
      </c>
      <c r="CI23" s="286"/>
      <c r="CJ23" s="279" t="e">
        <f>CJ29/CJ38*100</f>
        <v>#DIV/0!</v>
      </c>
      <c r="CK23" s="279" t="e">
        <f>CK29/CK38*100</f>
        <v>#DIV/0!</v>
      </c>
    </row>
    <row r="24" spans="1:89" ht="105" x14ac:dyDescent="0.25">
      <c r="A24" s="107"/>
      <c r="B24" s="16" t="s">
        <v>137</v>
      </c>
      <c r="C24" s="95"/>
      <c r="D24" s="95" t="s">
        <v>950</v>
      </c>
      <c r="E24" s="282">
        <f t="shared" ref="E24:J24" si="12">E25+E29</f>
        <v>60696</v>
      </c>
      <c r="F24" s="282">
        <f t="shared" si="12"/>
        <v>82069</v>
      </c>
      <c r="G24" s="282">
        <f t="shared" si="12"/>
        <v>102048</v>
      </c>
      <c r="H24" s="282">
        <f t="shared" si="12"/>
        <v>126991</v>
      </c>
      <c r="I24" s="282">
        <f t="shared" si="12"/>
        <v>148081</v>
      </c>
      <c r="J24" s="282">
        <f t="shared" si="12"/>
        <v>171281</v>
      </c>
      <c r="K24" s="282">
        <f>K25+K29</f>
        <v>176480</v>
      </c>
      <c r="L24" s="282">
        <f>L25+L29</f>
        <v>4438</v>
      </c>
      <c r="M24" s="282">
        <v>4416</v>
      </c>
      <c r="N24" s="282">
        <v>4348</v>
      </c>
      <c r="Q24" s="282">
        <f>Q25+Q29</f>
        <v>176480</v>
      </c>
      <c r="R24" s="282">
        <f>R25+R29</f>
        <v>200723</v>
      </c>
      <c r="S24" s="282">
        <f>S25+S29</f>
        <v>3174</v>
      </c>
      <c r="T24" s="282">
        <f>T25+T29</f>
        <v>3632</v>
      </c>
      <c r="V24" s="282">
        <f>V25+V29</f>
        <v>2885</v>
      </c>
      <c r="W24" s="282">
        <f>W25+W29</f>
        <v>3241</v>
      </c>
      <c r="Y24" s="282">
        <f>Y25+Y29</f>
        <v>3604</v>
      </c>
      <c r="Z24" s="282">
        <f>Z25+Z29</f>
        <v>3978</v>
      </c>
      <c r="AB24" s="282">
        <f>AB25+AB29</f>
        <v>4114</v>
      </c>
      <c r="AC24" s="282">
        <f>AC25+AC29</f>
        <v>4582</v>
      </c>
      <c r="AE24" s="282">
        <f>AE25+AE29</f>
        <v>3042</v>
      </c>
      <c r="AF24" s="282">
        <f>AF25+AF29</f>
        <v>3390</v>
      </c>
      <c r="AH24" s="282">
        <f>AH25+AH29</f>
        <v>3635</v>
      </c>
      <c r="AI24" s="282">
        <f>AI25+AI29</f>
        <v>4007</v>
      </c>
      <c r="AK24" s="282">
        <f>AK25+AK29</f>
        <v>4902</v>
      </c>
      <c r="AL24" s="282">
        <f>AL25+AL29</f>
        <v>5605</v>
      </c>
      <c r="AN24" s="282">
        <f>AN25+AN29</f>
        <v>13913</v>
      </c>
      <c r="AO24" s="282">
        <f>AO25+AO29</f>
        <v>15685</v>
      </c>
      <c r="AQ24" s="282">
        <f>AQ25+AQ29</f>
        <v>1760</v>
      </c>
      <c r="AR24" s="282">
        <f>AR25+AR29</f>
        <v>1965</v>
      </c>
      <c r="AT24" s="282">
        <f>AT25+AT29</f>
        <v>11404</v>
      </c>
      <c r="AU24" s="282">
        <f>AU25+AU29</f>
        <v>13066</v>
      </c>
      <c r="AW24" s="282">
        <f>AW25+AW29</f>
        <v>4237</v>
      </c>
      <c r="AX24" s="282">
        <f>AX25+AX29</f>
        <v>4813</v>
      </c>
      <c r="AZ24" s="282">
        <f>AZ25+AZ29</f>
        <v>5936</v>
      </c>
      <c r="BA24" s="282">
        <f>BA25+BA29</f>
        <v>6573</v>
      </c>
      <c r="BC24" s="282">
        <f>BC25+BC29</f>
        <v>11808</v>
      </c>
      <c r="BD24" s="282">
        <f>BD25+BD29</f>
        <v>13359</v>
      </c>
      <c r="BF24" s="282">
        <f>BF25+BF29</f>
        <v>27738</v>
      </c>
      <c r="BG24" s="282">
        <f>BG25+BG29</f>
        <v>31736</v>
      </c>
      <c r="BI24" s="282">
        <f>BI25+BI29</f>
        <v>41249</v>
      </c>
      <c r="BJ24" s="282">
        <f>BJ25+BJ29</f>
        <v>47705</v>
      </c>
      <c r="BL24" s="282">
        <f>BL25+BL29</f>
        <v>4567</v>
      </c>
      <c r="BM24" s="282">
        <f>BM25+BM29</f>
        <v>5041</v>
      </c>
      <c r="BO24" s="282">
        <f>BO25+BO29</f>
        <v>4263</v>
      </c>
      <c r="BP24" s="282">
        <f>BP25+BP29</f>
        <v>4803</v>
      </c>
      <c r="BR24" s="282">
        <f>BR25+BR29</f>
        <v>6433</v>
      </c>
      <c r="BS24" s="282">
        <f>BS25+BS29</f>
        <v>7330</v>
      </c>
      <c r="BU24" s="282">
        <f>BU25+BU29</f>
        <v>6384</v>
      </c>
      <c r="BV24" s="282">
        <f>BV25+BV29</f>
        <v>7186</v>
      </c>
      <c r="BX24" s="282">
        <f>BX25+BX29</f>
        <v>1794</v>
      </c>
      <c r="BY24" s="282">
        <f>BY25+BY29</f>
        <v>2030</v>
      </c>
      <c r="CA24" s="282">
        <f>CA25+CA29</f>
        <v>4628</v>
      </c>
      <c r="CB24" s="282">
        <f>CB25+CB29</f>
        <v>5283</v>
      </c>
      <c r="CD24" s="282">
        <f>CD25+CD29</f>
        <v>4328</v>
      </c>
      <c r="CE24" s="282">
        <f>CE25+CE29</f>
        <v>4896</v>
      </c>
      <c r="CG24" s="282">
        <f>CG25+CG29</f>
        <v>209</v>
      </c>
      <c r="CH24" s="282">
        <f>CH25+CH29</f>
        <v>236</v>
      </c>
      <c r="CJ24" s="282">
        <f>CJ25+CJ29</f>
        <v>473</v>
      </c>
      <c r="CK24" s="282">
        <f>CK25+CK29</f>
        <v>581</v>
      </c>
    </row>
    <row r="25" spans="1:89" x14ac:dyDescent="0.25">
      <c r="A25" s="107"/>
      <c r="B25" s="96" t="s">
        <v>1183</v>
      </c>
      <c r="C25" s="95"/>
      <c r="D25" s="95" t="s">
        <v>950</v>
      </c>
      <c r="E25" s="282">
        <v>55369</v>
      </c>
      <c r="F25" s="282">
        <v>75002</v>
      </c>
      <c r="G25" s="282">
        <v>94867</v>
      </c>
      <c r="H25" s="282">
        <f>SUM(H26:H28)</f>
        <v>116442</v>
      </c>
      <c r="I25" s="282">
        <f>SUM(I26:I28)</f>
        <v>135807</v>
      </c>
      <c r="J25" s="282">
        <f>SUM(J26:J28)</f>
        <v>157310</v>
      </c>
      <c r="K25" s="282">
        <f>SUM(K26:K28)</f>
        <v>162511</v>
      </c>
      <c r="L25" s="282">
        <f>SUM(L26:L28)</f>
        <v>2474</v>
      </c>
      <c r="M25" s="282">
        <f t="shared" ref="M25:N25" si="13">SUM(M26:M28)</f>
        <v>2475</v>
      </c>
      <c r="N25" s="282">
        <f t="shared" si="13"/>
        <v>2472</v>
      </c>
      <c r="Q25" s="282">
        <f>SUM(Q26:Q28)</f>
        <v>162511</v>
      </c>
      <c r="R25" s="282">
        <f>SUM(R26:R28)</f>
        <v>185154</v>
      </c>
      <c r="S25" s="282">
        <f>SUM(S26:S28)</f>
        <v>2146</v>
      </c>
      <c r="T25" s="282">
        <f>SUM(T26:T28)</f>
        <v>2479</v>
      </c>
      <c r="V25" s="282">
        <f>SUM(V26:V28)</f>
        <v>1754</v>
      </c>
      <c r="W25" s="282">
        <f>SUM(W26:W28)</f>
        <v>1933</v>
      </c>
      <c r="Y25" s="282">
        <f>SUM(Y26:Y28)</f>
        <v>2417</v>
      </c>
      <c r="Z25" s="282">
        <f>SUM(Z26:Z28)</f>
        <v>2674</v>
      </c>
      <c r="AB25" s="282">
        <f>SUM(AB26:AB28)</f>
        <v>2365</v>
      </c>
      <c r="AC25" s="282">
        <f>SUM(AC26:AC28)</f>
        <v>2646</v>
      </c>
      <c r="AE25" s="282">
        <f>SUM(AE26:AE28)</f>
        <v>2245</v>
      </c>
      <c r="AF25" s="282">
        <f>SUM(AF26:AF28)</f>
        <v>2570</v>
      </c>
      <c r="AH25" s="282">
        <f>SUM(AH26:AH28)</f>
        <v>2040</v>
      </c>
      <c r="AI25" s="282">
        <f>SUM(AI26:AI28)</f>
        <v>2242</v>
      </c>
      <c r="AK25" s="282">
        <f>SUM(AK26:AK28)</f>
        <v>4670</v>
      </c>
      <c r="AL25" s="282">
        <f>SUM(AL26:AL28)</f>
        <v>5340</v>
      </c>
      <c r="AN25" s="282">
        <f>SUM(AN26:AN28)</f>
        <v>9464</v>
      </c>
      <c r="AO25" s="282">
        <f>SUM(AO26:AO28)</f>
        <v>10701</v>
      </c>
      <c r="AQ25" s="282">
        <f>SUM(AQ26:AQ28)</f>
        <v>0</v>
      </c>
      <c r="AR25" s="282">
        <f>SUM(AR26:AR28)</f>
        <v>0</v>
      </c>
      <c r="AT25" s="282">
        <f>SUM(AT26:AT28)</f>
        <v>11404</v>
      </c>
      <c r="AU25" s="282">
        <f>SUM(AU26:AU28)</f>
        <v>13066</v>
      </c>
      <c r="AW25" s="282">
        <f>SUM(AW26:AW28)</f>
        <v>4237</v>
      </c>
      <c r="AX25" s="282">
        <f>SUM(AX26:AX28)</f>
        <v>4813</v>
      </c>
      <c r="AZ25" s="282">
        <f>SUM(AZ26:AZ28)</f>
        <v>5936</v>
      </c>
      <c r="BA25" s="282">
        <f>SUM(BA26:BA28)</f>
        <v>6573</v>
      </c>
      <c r="BC25" s="282">
        <f>SUM(BC26:BC28)</f>
        <v>11808</v>
      </c>
      <c r="BD25" s="282">
        <f>SUM(BD26:BD28)</f>
        <v>13359</v>
      </c>
      <c r="BF25" s="282">
        <f>SUM(BF26:BF28)</f>
        <v>27738</v>
      </c>
      <c r="BG25" s="282">
        <f>SUM(BG26:BG28)</f>
        <v>31736</v>
      </c>
      <c r="BI25" s="282">
        <f>SUM(BI26:BI28)</f>
        <v>41249</v>
      </c>
      <c r="BJ25" s="282">
        <f>SUM(BJ26:BJ28)</f>
        <v>47705</v>
      </c>
      <c r="BL25" s="282">
        <f>SUM(BL26:BL28)</f>
        <v>4567</v>
      </c>
      <c r="BM25" s="282">
        <f>SUM(BM26:BM28)</f>
        <v>5041</v>
      </c>
      <c r="BO25" s="282">
        <f>SUM(BO26:BO28)</f>
        <v>4263</v>
      </c>
      <c r="BP25" s="282">
        <f>SUM(BP26:BP28)</f>
        <v>4803</v>
      </c>
      <c r="BR25" s="282">
        <f>SUM(BR26:BR28)</f>
        <v>6433</v>
      </c>
      <c r="BS25" s="282">
        <f>SUM(BS26:BS28)</f>
        <v>7330</v>
      </c>
      <c r="BU25" s="282">
        <f>SUM(BU26:BU28)</f>
        <v>6384</v>
      </c>
      <c r="BV25" s="282">
        <f>SUM(BV26:BV28)</f>
        <v>7186</v>
      </c>
      <c r="BX25" s="282">
        <f>SUM(BX26:BX28)</f>
        <v>1794</v>
      </c>
      <c r="BY25" s="282">
        <f>SUM(BY26:BY28)</f>
        <v>2030</v>
      </c>
      <c r="CA25" s="282">
        <f>SUM(CA26:CA28)</f>
        <v>4628</v>
      </c>
      <c r="CB25" s="282">
        <f>SUM(CB26:CB28)</f>
        <v>5283</v>
      </c>
      <c r="CD25" s="282">
        <f>SUM(CD26:CD28)</f>
        <v>4328</v>
      </c>
      <c r="CE25" s="282">
        <f>SUM(CE26:CE28)</f>
        <v>4896</v>
      </c>
      <c r="CG25" s="282">
        <f>SUM(CG26:CG28)</f>
        <v>168</v>
      </c>
      <c r="CH25" s="282">
        <f>SUM(CH26:CH28)</f>
        <v>167</v>
      </c>
      <c r="CJ25" s="282">
        <f>SUM(CJ26:CJ28)</f>
        <v>473</v>
      </c>
      <c r="CK25" s="282">
        <f>SUM(CK26:CK28)</f>
        <v>581</v>
      </c>
    </row>
    <row r="26" spans="1:89" ht="30" x14ac:dyDescent="0.25">
      <c r="A26" s="107"/>
      <c r="B26" s="312"/>
      <c r="C26" s="312" t="s">
        <v>2871</v>
      </c>
      <c r="D26" s="95"/>
      <c r="E26" s="282"/>
      <c r="F26" s="282"/>
      <c r="G26" s="282"/>
      <c r="H26" s="282">
        <v>114156</v>
      </c>
      <c r="I26" s="282">
        <v>135782</v>
      </c>
      <c r="J26" s="282">
        <v>157245</v>
      </c>
      <c r="K26" s="282">
        <v>162454</v>
      </c>
      <c r="L26" s="282">
        <v>2474</v>
      </c>
      <c r="M26" s="282">
        <v>2475</v>
      </c>
      <c r="N26" s="282">
        <v>2472</v>
      </c>
      <c r="O26" s="286"/>
      <c r="P26" s="314"/>
      <c r="Q26" s="286">
        <f t="shared" ref="Q26:R28" si="14">S26+V26+Y26+AB26+AE26+AH26+AK26+AN26+AQ26+AT26+AW26+AZ26+BC26+BF26+BI26+BL26+BO26+BR26+BU26+BX26+CA26+CD26+CG26+CJ26</f>
        <v>162454</v>
      </c>
      <c r="R26" s="286">
        <f t="shared" si="14"/>
        <v>185035</v>
      </c>
      <c r="S26" s="286">
        <v>2146</v>
      </c>
      <c r="T26" s="286">
        <v>2479</v>
      </c>
      <c r="U26" s="286"/>
      <c r="V26" s="286">
        <v>1754</v>
      </c>
      <c r="W26" s="286">
        <v>1932</v>
      </c>
      <c r="X26" s="286"/>
      <c r="Y26" s="286">
        <v>2417</v>
      </c>
      <c r="Z26" s="286">
        <v>2674</v>
      </c>
      <c r="AA26" s="286"/>
      <c r="AB26" s="286">
        <v>2365</v>
      </c>
      <c r="AC26" s="286">
        <v>2646</v>
      </c>
      <c r="AD26" s="286"/>
      <c r="AE26" s="286">
        <v>2245</v>
      </c>
      <c r="AF26" s="286">
        <v>2570</v>
      </c>
      <c r="AG26" s="286"/>
      <c r="AH26" s="286">
        <v>2040</v>
      </c>
      <c r="AI26" s="286">
        <v>2239</v>
      </c>
      <c r="AJ26" s="286"/>
      <c r="AK26" s="286">
        <v>4670</v>
      </c>
      <c r="AL26" s="286">
        <v>5339</v>
      </c>
      <c r="AM26" s="286"/>
      <c r="AN26" s="286">
        <v>9464</v>
      </c>
      <c r="AO26" s="286">
        <v>10701</v>
      </c>
      <c r="AP26" s="286"/>
      <c r="AQ26" s="286">
        <v>0</v>
      </c>
      <c r="AR26" s="286">
        <v>0</v>
      </c>
      <c r="AS26" s="286"/>
      <c r="AT26" s="286">
        <v>11404</v>
      </c>
      <c r="AU26" s="286">
        <v>13066</v>
      </c>
      <c r="AV26" s="286"/>
      <c r="AW26" s="286">
        <v>4237</v>
      </c>
      <c r="AX26" s="286">
        <v>4813</v>
      </c>
      <c r="AY26" s="286"/>
      <c r="AZ26" s="286">
        <v>5936</v>
      </c>
      <c r="BA26" s="286">
        <v>6573</v>
      </c>
      <c r="BB26" s="286"/>
      <c r="BC26" s="286">
        <v>11808</v>
      </c>
      <c r="BD26" s="286">
        <v>13359</v>
      </c>
      <c r="BE26" s="286"/>
      <c r="BF26" s="286">
        <v>27694</v>
      </c>
      <c r="BG26" s="286">
        <v>31678</v>
      </c>
      <c r="BH26" s="286"/>
      <c r="BI26" s="286">
        <v>41236</v>
      </c>
      <c r="BJ26" s="286">
        <v>47649</v>
      </c>
      <c r="BK26" s="286"/>
      <c r="BL26" s="286">
        <v>4567</v>
      </c>
      <c r="BM26" s="286">
        <v>5041</v>
      </c>
      <c r="BN26" s="286"/>
      <c r="BO26" s="286">
        <v>4263</v>
      </c>
      <c r="BP26" s="286">
        <v>4803</v>
      </c>
      <c r="BQ26" s="286"/>
      <c r="BR26" s="286">
        <v>6433</v>
      </c>
      <c r="BS26" s="286">
        <v>7330</v>
      </c>
      <c r="BT26" s="286"/>
      <c r="BU26" s="286">
        <v>6384</v>
      </c>
      <c r="BV26" s="286">
        <v>7186</v>
      </c>
      <c r="BW26" s="286"/>
      <c r="BX26" s="286">
        <v>1794</v>
      </c>
      <c r="BY26" s="286">
        <v>2030</v>
      </c>
      <c r="BZ26" s="286"/>
      <c r="CA26" s="286">
        <v>4628</v>
      </c>
      <c r="CB26" s="286">
        <v>5283</v>
      </c>
      <c r="CC26" s="286"/>
      <c r="CD26" s="286">
        <v>4328</v>
      </c>
      <c r="CE26" s="286">
        <v>4896</v>
      </c>
      <c r="CF26" s="286"/>
      <c r="CG26" s="286">
        <v>168</v>
      </c>
      <c r="CH26" s="286">
        <v>167</v>
      </c>
      <c r="CI26" s="286"/>
      <c r="CJ26" s="286">
        <v>473</v>
      </c>
      <c r="CK26" s="286">
        <v>581</v>
      </c>
    </row>
    <row r="27" spans="1:89" ht="30" x14ac:dyDescent="0.25">
      <c r="A27" s="107"/>
      <c r="B27" s="312"/>
      <c r="C27" s="312" t="s">
        <v>2872</v>
      </c>
      <c r="D27" s="95"/>
      <c r="E27" s="282"/>
      <c r="F27" s="282"/>
      <c r="G27" s="282"/>
      <c r="H27" s="282">
        <v>1185</v>
      </c>
      <c r="I27" s="282">
        <v>25</v>
      </c>
      <c r="J27" s="282">
        <v>65</v>
      </c>
      <c r="K27" s="282">
        <v>57</v>
      </c>
      <c r="L27" s="282">
        <v>0</v>
      </c>
      <c r="M27" s="282">
        <v>0</v>
      </c>
      <c r="N27" s="282">
        <v>0</v>
      </c>
      <c r="O27" s="286"/>
      <c r="P27" s="314"/>
      <c r="Q27" s="286">
        <f t="shared" si="14"/>
        <v>57</v>
      </c>
      <c r="R27" s="286">
        <f t="shared" si="14"/>
        <v>96</v>
      </c>
      <c r="S27" s="286">
        <v>0</v>
      </c>
      <c r="T27" s="286">
        <v>0</v>
      </c>
      <c r="U27" s="286"/>
      <c r="V27" s="286">
        <v>0</v>
      </c>
      <c r="W27" s="286">
        <v>1</v>
      </c>
      <c r="X27" s="286"/>
      <c r="Y27" s="286">
        <v>0</v>
      </c>
      <c r="Z27" s="286">
        <v>0</v>
      </c>
      <c r="AA27" s="286"/>
      <c r="AB27" s="286">
        <v>0</v>
      </c>
      <c r="AC27" s="286">
        <v>0</v>
      </c>
      <c r="AD27" s="286"/>
      <c r="AE27" s="286">
        <v>0</v>
      </c>
      <c r="AF27" s="286">
        <v>0</v>
      </c>
      <c r="AG27" s="286"/>
      <c r="AH27" s="286">
        <v>0</v>
      </c>
      <c r="AI27" s="286">
        <v>3</v>
      </c>
      <c r="AJ27" s="286"/>
      <c r="AK27" s="286">
        <v>0</v>
      </c>
      <c r="AL27" s="286">
        <v>0</v>
      </c>
      <c r="AM27" s="286"/>
      <c r="AN27" s="286">
        <v>0</v>
      </c>
      <c r="AO27" s="286">
        <v>0</v>
      </c>
      <c r="AP27" s="286"/>
      <c r="AQ27" s="286">
        <v>0</v>
      </c>
      <c r="AR27" s="286">
        <v>0</v>
      </c>
      <c r="AS27" s="286"/>
      <c r="AT27" s="286">
        <v>0</v>
      </c>
      <c r="AU27" s="286">
        <v>0</v>
      </c>
      <c r="AV27" s="286"/>
      <c r="AW27" s="286">
        <v>0</v>
      </c>
      <c r="AX27" s="286">
        <v>0</v>
      </c>
      <c r="AY27" s="286"/>
      <c r="AZ27" s="286">
        <v>0</v>
      </c>
      <c r="BA27" s="286">
        <v>0</v>
      </c>
      <c r="BB27" s="286"/>
      <c r="BC27" s="286">
        <v>0</v>
      </c>
      <c r="BD27" s="286">
        <v>0</v>
      </c>
      <c r="BE27" s="286"/>
      <c r="BF27" s="286">
        <v>44</v>
      </c>
      <c r="BG27" s="286">
        <v>58</v>
      </c>
      <c r="BH27" s="286"/>
      <c r="BI27" s="286">
        <v>13</v>
      </c>
      <c r="BJ27" s="286">
        <v>34</v>
      </c>
      <c r="BK27" s="286"/>
      <c r="BL27" s="286">
        <v>0</v>
      </c>
      <c r="BM27" s="286">
        <v>0</v>
      </c>
      <c r="BN27" s="286"/>
      <c r="BO27" s="286">
        <v>0</v>
      </c>
      <c r="BP27" s="286">
        <v>0</v>
      </c>
      <c r="BQ27" s="286"/>
      <c r="BR27" s="286">
        <v>0</v>
      </c>
      <c r="BS27" s="286">
        <v>0</v>
      </c>
      <c r="BT27" s="286"/>
      <c r="BU27" s="286">
        <v>0</v>
      </c>
      <c r="BV27" s="286">
        <v>0</v>
      </c>
      <c r="BW27" s="286"/>
      <c r="BX27" s="286">
        <v>0</v>
      </c>
      <c r="BY27" s="286">
        <v>0</v>
      </c>
      <c r="BZ27" s="286"/>
      <c r="CA27" s="286">
        <v>0</v>
      </c>
      <c r="CB27" s="286">
        <v>0</v>
      </c>
      <c r="CC27" s="286"/>
      <c r="CD27" s="286">
        <v>0</v>
      </c>
      <c r="CE27" s="286">
        <v>0</v>
      </c>
      <c r="CF27" s="286"/>
      <c r="CG27" s="286">
        <v>0</v>
      </c>
      <c r="CH27" s="286">
        <v>0</v>
      </c>
      <c r="CI27" s="286"/>
      <c r="CJ27" s="286">
        <v>0</v>
      </c>
      <c r="CK27" s="286">
        <v>0</v>
      </c>
    </row>
    <row r="28" spans="1:89" ht="30" x14ac:dyDescent="0.25">
      <c r="A28" s="107"/>
      <c r="B28" s="312"/>
      <c r="C28" s="312" t="s">
        <v>2873</v>
      </c>
      <c r="D28" s="95"/>
      <c r="E28" s="282"/>
      <c r="F28" s="282"/>
      <c r="G28" s="282"/>
      <c r="H28" s="282">
        <v>1101</v>
      </c>
      <c r="I28" s="282">
        <v>0</v>
      </c>
      <c r="J28" s="282">
        <v>0</v>
      </c>
      <c r="K28" s="282">
        <v>0</v>
      </c>
      <c r="L28" s="282">
        <v>0</v>
      </c>
      <c r="M28" s="282">
        <v>0</v>
      </c>
      <c r="N28" s="282">
        <v>0</v>
      </c>
      <c r="O28" s="286"/>
      <c r="P28" s="314"/>
      <c r="Q28" s="286">
        <f t="shared" si="14"/>
        <v>0</v>
      </c>
      <c r="R28" s="286">
        <f t="shared" si="14"/>
        <v>23</v>
      </c>
      <c r="S28" s="286">
        <v>0</v>
      </c>
      <c r="T28" s="286">
        <v>0</v>
      </c>
      <c r="U28" s="286"/>
      <c r="V28" s="286">
        <v>0</v>
      </c>
      <c r="W28" s="286">
        <v>0</v>
      </c>
      <c r="X28" s="286"/>
      <c r="Y28" s="286">
        <v>0</v>
      </c>
      <c r="Z28" s="286">
        <v>0</v>
      </c>
      <c r="AA28" s="286"/>
      <c r="AB28" s="286">
        <v>0</v>
      </c>
      <c r="AC28" s="286">
        <v>0</v>
      </c>
      <c r="AD28" s="286"/>
      <c r="AE28" s="286">
        <v>0</v>
      </c>
      <c r="AF28" s="286">
        <v>0</v>
      </c>
      <c r="AG28" s="286"/>
      <c r="AH28" s="286">
        <v>0</v>
      </c>
      <c r="AI28" s="286">
        <v>0</v>
      </c>
      <c r="AJ28" s="286"/>
      <c r="AK28" s="286">
        <v>0</v>
      </c>
      <c r="AL28" s="286">
        <v>1</v>
      </c>
      <c r="AM28" s="286"/>
      <c r="AN28" s="286">
        <v>0</v>
      </c>
      <c r="AO28" s="286">
        <v>0</v>
      </c>
      <c r="AP28" s="286"/>
      <c r="AQ28" s="286">
        <v>0</v>
      </c>
      <c r="AR28" s="286">
        <v>0</v>
      </c>
      <c r="AS28" s="286"/>
      <c r="AT28" s="286">
        <v>0</v>
      </c>
      <c r="AU28" s="286">
        <v>0</v>
      </c>
      <c r="AV28" s="286"/>
      <c r="AW28" s="286">
        <v>0</v>
      </c>
      <c r="AX28" s="286">
        <v>0</v>
      </c>
      <c r="AY28" s="286"/>
      <c r="AZ28" s="286">
        <v>0</v>
      </c>
      <c r="BA28" s="286">
        <v>0</v>
      </c>
      <c r="BB28" s="286"/>
      <c r="BC28" s="286">
        <v>0</v>
      </c>
      <c r="BD28" s="286">
        <v>0</v>
      </c>
      <c r="BE28" s="286"/>
      <c r="BF28" s="286">
        <v>0</v>
      </c>
      <c r="BG28" s="286">
        <v>0</v>
      </c>
      <c r="BH28" s="286"/>
      <c r="BI28" s="286">
        <v>0</v>
      </c>
      <c r="BJ28" s="286">
        <v>22</v>
      </c>
      <c r="BK28" s="286"/>
      <c r="BL28" s="286">
        <v>0</v>
      </c>
      <c r="BM28" s="286">
        <v>0</v>
      </c>
      <c r="BN28" s="286"/>
      <c r="BO28" s="286">
        <v>0</v>
      </c>
      <c r="BP28" s="286">
        <v>0</v>
      </c>
      <c r="BQ28" s="286"/>
      <c r="BR28" s="286">
        <v>0</v>
      </c>
      <c r="BS28" s="286">
        <v>0</v>
      </c>
      <c r="BT28" s="286"/>
      <c r="BU28" s="286">
        <v>0</v>
      </c>
      <c r="BV28" s="286">
        <v>0</v>
      </c>
      <c r="BW28" s="286"/>
      <c r="BX28" s="286">
        <v>0</v>
      </c>
      <c r="BY28" s="286">
        <v>0</v>
      </c>
      <c r="BZ28" s="286"/>
      <c r="CA28" s="286">
        <v>0</v>
      </c>
      <c r="CB28" s="286">
        <v>0</v>
      </c>
      <c r="CC28" s="286"/>
      <c r="CD28" s="286">
        <v>0</v>
      </c>
      <c r="CE28" s="286">
        <v>0</v>
      </c>
      <c r="CF28" s="286"/>
      <c r="CG28" s="286">
        <v>0</v>
      </c>
      <c r="CH28" s="286">
        <v>0</v>
      </c>
      <c r="CI28" s="286"/>
      <c r="CJ28" s="286">
        <v>0</v>
      </c>
      <c r="CK28" s="286">
        <v>0</v>
      </c>
    </row>
    <row r="29" spans="1:89" x14ac:dyDescent="0.25">
      <c r="A29" s="107"/>
      <c r="B29" s="96" t="s">
        <v>1185</v>
      </c>
      <c r="C29" s="95"/>
      <c r="D29" s="95" t="s">
        <v>950</v>
      </c>
      <c r="E29" s="282">
        <v>5327</v>
      </c>
      <c r="F29" s="282">
        <v>7067</v>
      </c>
      <c r="G29" s="282">
        <v>7181</v>
      </c>
      <c r="H29" s="282">
        <f>SUM(H30:H32)</f>
        <v>10549</v>
      </c>
      <c r="I29" s="282">
        <f>SUM(I30:I32)</f>
        <v>12274</v>
      </c>
      <c r="J29" s="282">
        <f>SUM(J30:J32)</f>
        <v>13971</v>
      </c>
      <c r="K29" s="282">
        <f>SUM(K30:K32)</f>
        <v>13969</v>
      </c>
      <c r="L29" s="282">
        <f>SUM(L30:L32)</f>
        <v>1964</v>
      </c>
      <c r="M29" s="282">
        <f t="shared" ref="M29:N29" si="15">SUM(M30:M32)</f>
        <v>1941</v>
      </c>
      <c r="N29" s="282">
        <f t="shared" si="15"/>
        <v>1876</v>
      </c>
      <c r="Q29" s="282">
        <f>SUM(Q30:Q32)</f>
        <v>13969</v>
      </c>
      <c r="R29" s="282">
        <f>SUM(R30:R32)</f>
        <v>15569</v>
      </c>
      <c r="S29" s="282">
        <f>SUM(S30:S32)</f>
        <v>1028</v>
      </c>
      <c r="T29" s="282">
        <f>SUM(T30:T32)</f>
        <v>1153</v>
      </c>
      <c r="U29" s="286"/>
      <c r="V29" s="282">
        <f>SUM(V30:V32)</f>
        <v>1131</v>
      </c>
      <c r="W29" s="282">
        <f>SUM(W30:W32)</f>
        <v>1308</v>
      </c>
      <c r="X29" s="286"/>
      <c r="Y29" s="282">
        <f>SUM(Y30:Y32)</f>
        <v>1187</v>
      </c>
      <c r="Z29" s="282">
        <f>SUM(Z30:Z32)</f>
        <v>1304</v>
      </c>
      <c r="AA29" s="286"/>
      <c r="AB29" s="282">
        <f>SUM(AB30:AB32)</f>
        <v>1749</v>
      </c>
      <c r="AC29" s="282">
        <f>SUM(AC30:AC32)</f>
        <v>1936</v>
      </c>
      <c r="AD29" s="286"/>
      <c r="AE29" s="282">
        <f>SUM(AE30:AE32)</f>
        <v>797</v>
      </c>
      <c r="AF29" s="282">
        <f>SUM(AF30:AF32)</f>
        <v>820</v>
      </c>
      <c r="AG29" s="286"/>
      <c r="AH29" s="282">
        <f>SUM(AH30:AH32)</f>
        <v>1595</v>
      </c>
      <c r="AI29" s="282">
        <f>SUM(AI30:AI32)</f>
        <v>1765</v>
      </c>
      <c r="AJ29" s="286"/>
      <c r="AK29" s="282">
        <f>SUM(AK30:AK32)</f>
        <v>232</v>
      </c>
      <c r="AL29" s="282">
        <f>SUM(AL30:AL32)</f>
        <v>265</v>
      </c>
      <c r="AM29" s="286"/>
      <c r="AN29" s="282">
        <f>SUM(AN30:AN32)</f>
        <v>4449</v>
      </c>
      <c r="AO29" s="282">
        <f>SUM(AO30:AO32)</f>
        <v>4984</v>
      </c>
      <c r="AP29" s="286"/>
      <c r="AQ29" s="282">
        <f>SUM(AQ30:AQ32)</f>
        <v>1760</v>
      </c>
      <c r="AR29" s="282">
        <f>SUM(AR30:AR32)</f>
        <v>1965</v>
      </c>
      <c r="AS29" s="286"/>
      <c r="AT29" s="282">
        <f>SUM(AT30:AT32)</f>
        <v>0</v>
      </c>
      <c r="AU29" s="282">
        <f>SUM(AU30:AU32)</f>
        <v>0</v>
      </c>
      <c r="AV29" s="286"/>
      <c r="AW29" s="282">
        <f>SUM(AW30:AW32)</f>
        <v>0</v>
      </c>
      <c r="AX29" s="282">
        <f>SUM(AX30:AX32)</f>
        <v>0</v>
      </c>
      <c r="AY29" s="286"/>
      <c r="AZ29" s="282">
        <f>SUM(AZ30:AZ32)</f>
        <v>0</v>
      </c>
      <c r="BA29" s="282">
        <f>SUM(BA30:BA32)</f>
        <v>0</v>
      </c>
      <c r="BB29" s="286"/>
      <c r="BC29" s="282">
        <f>SUM(BC30:BC32)</f>
        <v>0</v>
      </c>
      <c r="BD29" s="282">
        <f>SUM(BD30:BD32)</f>
        <v>0</v>
      </c>
      <c r="BE29" s="286"/>
      <c r="BF29" s="282">
        <f>SUM(BF30:BF32)</f>
        <v>0</v>
      </c>
      <c r="BG29" s="282">
        <f>SUM(BG30:BG32)</f>
        <v>0</v>
      </c>
      <c r="BH29" s="286"/>
      <c r="BI29" s="282">
        <f>SUM(BI30:BI32)</f>
        <v>0</v>
      </c>
      <c r="BJ29" s="282">
        <f>SUM(BJ30:BJ32)</f>
        <v>0</v>
      </c>
      <c r="BK29" s="286"/>
      <c r="BL29" s="282">
        <f>SUM(BL30:BL32)</f>
        <v>0</v>
      </c>
      <c r="BM29" s="282">
        <f>SUM(BM30:BM32)</f>
        <v>0</v>
      </c>
      <c r="BN29" s="286"/>
      <c r="BO29" s="282">
        <f>SUM(BO30:BO32)</f>
        <v>0</v>
      </c>
      <c r="BP29" s="282">
        <f>SUM(BP30:BP32)</f>
        <v>0</v>
      </c>
      <c r="BQ29" s="286"/>
      <c r="BR29" s="282">
        <f>SUM(BR30:BR32)</f>
        <v>0</v>
      </c>
      <c r="BS29" s="282">
        <f>SUM(BS30:BS32)</f>
        <v>0</v>
      </c>
      <c r="BT29" s="286"/>
      <c r="BU29" s="282">
        <f>SUM(BU30:BU32)</f>
        <v>0</v>
      </c>
      <c r="BV29" s="282">
        <f>SUM(BV30:BV32)</f>
        <v>0</v>
      </c>
      <c r="BW29" s="286"/>
      <c r="BX29" s="282">
        <f>SUM(BX30:BX32)</f>
        <v>0</v>
      </c>
      <c r="BY29" s="282">
        <f>SUM(BY30:BY32)</f>
        <v>0</v>
      </c>
      <c r="BZ29" s="286"/>
      <c r="CA29" s="282">
        <f>SUM(CA30:CA32)</f>
        <v>0</v>
      </c>
      <c r="CB29" s="282">
        <f>SUM(CB30:CB32)</f>
        <v>0</v>
      </c>
      <c r="CC29" s="286"/>
      <c r="CD29" s="282">
        <f>SUM(CD30:CD32)</f>
        <v>0</v>
      </c>
      <c r="CE29" s="282">
        <f>SUM(CE30:CE32)</f>
        <v>0</v>
      </c>
      <c r="CF29" s="286"/>
      <c r="CG29" s="282">
        <f>SUM(CG30:CG32)</f>
        <v>41</v>
      </c>
      <c r="CH29" s="282">
        <f>SUM(CH30:CH32)</f>
        <v>69</v>
      </c>
      <c r="CI29" s="286"/>
      <c r="CJ29" s="282">
        <f>SUM(CJ30:CJ32)</f>
        <v>0</v>
      </c>
      <c r="CK29" s="282">
        <f>SUM(CK30:CK32)</f>
        <v>0</v>
      </c>
    </row>
    <row r="30" spans="1:89" ht="30" x14ac:dyDescent="0.25">
      <c r="A30" s="107"/>
      <c r="B30" s="312"/>
      <c r="C30" s="312" t="s">
        <v>2871</v>
      </c>
      <c r="D30" s="95"/>
      <c r="E30" s="282"/>
      <c r="F30" s="282"/>
      <c r="G30" s="282"/>
      <c r="H30" s="282">
        <v>10485</v>
      </c>
      <c r="I30" s="282">
        <v>12272</v>
      </c>
      <c r="J30" s="282">
        <v>13970</v>
      </c>
      <c r="K30" s="282">
        <v>13967</v>
      </c>
      <c r="L30" s="282">
        <v>1964</v>
      </c>
      <c r="M30" s="282">
        <v>1941</v>
      </c>
      <c r="N30" s="282">
        <v>1876</v>
      </c>
      <c r="P30" s="314"/>
      <c r="Q30" s="286">
        <f t="shared" ref="Q30:R32" si="16">S30+V30+Y30+AB30+AE30+AH30+AK30+AN30+AQ30+AT30+AW30+AZ30+BC30+BF30+BI30+BL30+BO30+BR30+BU30+BX30+CA30+CD30+CG30+CJ30</f>
        <v>13967</v>
      </c>
      <c r="R30" s="286">
        <f t="shared" si="16"/>
        <v>15567</v>
      </c>
      <c r="S30" s="286">
        <v>1028</v>
      </c>
      <c r="T30" s="286">
        <v>1153</v>
      </c>
      <c r="U30" s="286"/>
      <c r="V30" s="286">
        <v>1130</v>
      </c>
      <c r="W30" s="286">
        <v>1308</v>
      </c>
      <c r="X30" s="286"/>
      <c r="Y30" s="286">
        <v>1187</v>
      </c>
      <c r="Z30" s="286">
        <v>1304</v>
      </c>
      <c r="AA30" s="286"/>
      <c r="AB30" s="286">
        <v>1749</v>
      </c>
      <c r="AC30" s="286">
        <v>1936</v>
      </c>
      <c r="AD30" s="286"/>
      <c r="AE30" s="286">
        <v>797</v>
      </c>
      <c r="AF30" s="286">
        <v>820</v>
      </c>
      <c r="AG30" s="286"/>
      <c r="AH30" s="286">
        <v>1595</v>
      </c>
      <c r="AI30" s="286">
        <v>1763</v>
      </c>
      <c r="AJ30" s="286"/>
      <c r="AK30" s="286">
        <v>231</v>
      </c>
      <c r="AL30" s="286">
        <v>265</v>
      </c>
      <c r="AM30" s="286"/>
      <c r="AN30" s="286">
        <v>4449</v>
      </c>
      <c r="AO30" s="286">
        <v>4984</v>
      </c>
      <c r="AP30" s="286"/>
      <c r="AQ30" s="286">
        <v>1760</v>
      </c>
      <c r="AR30" s="286">
        <v>1965</v>
      </c>
      <c r="AS30" s="286"/>
      <c r="AT30" s="286">
        <v>0</v>
      </c>
      <c r="AU30" s="286">
        <v>0</v>
      </c>
      <c r="AV30" s="286"/>
      <c r="AW30" s="286">
        <v>0</v>
      </c>
      <c r="AX30" s="286">
        <v>0</v>
      </c>
      <c r="AY30" s="286"/>
      <c r="AZ30" s="286">
        <v>0</v>
      </c>
      <c r="BA30" s="286">
        <v>0</v>
      </c>
      <c r="BB30" s="286"/>
      <c r="BC30" s="286">
        <v>0</v>
      </c>
      <c r="BD30" s="286">
        <v>0</v>
      </c>
      <c r="BE30" s="286"/>
      <c r="BF30" s="286">
        <v>0</v>
      </c>
      <c r="BG30" s="286">
        <v>0</v>
      </c>
      <c r="BH30" s="286"/>
      <c r="BI30" s="286">
        <v>0</v>
      </c>
      <c r="BJ30" s="286">
        <v>0</v>
      </c>
      <c r="BK30" s="286"/>
      <c r="BL30" s="286">
        <v>0</v>
      </c>
      <c r="BM30" s="286">
        <v>0</v>
      </c>
      <c r="BN30" s="286"/>
      <c r="BO30" s="286">
        <v>0</v>
      </c>
      <c r="BP30" s="286">
        <v>0</v>
      </c>
      <c r="BQ30" s="286"/>
      <c r="BR30" s="286">
        <v>0</v>
      </c>
      <c r="BS30" s="286">
        <v>0</v>
      </c>
      <c r="BT30" s="286"/>
      <c r="BU30" s="286">
        <v>0</v>
      </c>
      <c r="BV30" s="286">
        <v>0</v>
      </c>
      <c r="BW30" s="286"/>
      <c r="BX30" s="286">
        <v>0</v>
      </c>
      <c r="BY30" s="286">
        <v>0</v>
      </c>
      <c r="BZ30" s="286"/>
      <c r="CA30" s="286">
        <v>0</v>
      </c>
      <c r="CB30" s="286">
        <v>0</v>
      </c>
      <c r="CC30" s="286"/>
      <c r="CD30" s="302">
        <v>0</v>
      </c>
      <c r="CE30" s="286">
        <v>0</v>
      </c>
      <c r="CF30" s="286"/>
      <c r="CG30" s="302">
        <v>41</v>
      </c>
      <c r="CH30" s="286">
        <v>69</v>
      </c>
      <c r="CI30" s="286"/>
      <c r="CJ30" s="286">
        <v>0</v>
      </c>
      <c r="CK30" s="286">
        <v>0</v>
      </c>
    </row>
    <row r="31" spans="1:89" ht="30" x14ac:dyDescent="0.25">
      <c r="A31" s="107"/>
      <c r="B31" s="312"/>
      <c r="C31" s="312" t="s">
        <v>2872</v>
      </c>
      <c r="D31" s="95"/>
      <c r="E31" s="282"/>
      <c r="F31" s="282"/>
      <c r="G31" s="282"/>
      <c r="H31" s="282">
        <v>0</v>
      </c>
      <c r="I31" s="282">
        <v>2</v>
      </c>
      <c r="J31" s="282">
        <v>1</v>
      </c>
      <c r="K31" s="282">
        <v>1</v>
      </c>
      <c r="L31" s="282">
        <v>0</v>
      </c>
      <c r="M31" s="282">
        <v>0</v>
      </c>
      <c r="N31" s="282">
        <v>0</v>
      </c>
      <c r="P31" s="314"/>
      <c r="Q31" s="286">
        <f t="shared" si="16"/>
        <v>1</v>
      </c>
      <c r="R31" s="286">
        <f t="shared" si="16"/>
        <v>2</v>
      </c>
      <c r="S31" s="286">
        <v>0</v>
      </c>
      <c r="T31" s="286">
        <v>0</v>
      </c>
      <c r="U31" s="286"/>
      <c r="V31" s="286">
        <v>1</v>
      </c>
      <c r="W31" s="286">
        <v>0</v>
      </c>
      <c r="X31" s="286"/>
      <c r="Y31" s="286">
        <v>0</v>
      </c>
      <c r="Z31" s="286">
        <v>0</v>
      </c>
      <c r="AA31" s="286"/>
      <c r="AB31" s="286">
        <v>0</v>
      </c>
      <c r="AC31" s="286">
        <v>0</v>
      </c>
      <c r="AD31" s="286"/>
      <c r="AE31" s="286">
        <v>0</v>
      </c>
      <c r="AF31" s="286">
        <v>0</v>
      </c>
      <c r="AG31" s="286"/>
      <c r="AH31" s="286">
        <v>0</v>
      </c>
      <c r="AI31" s="286">
        <v>2</v>
      </c>
      <c r="AJ31" s="286"/>
      <c r="AK31" s="286">
        <v>0</v>
      </c>
      <c r="AL31" s="286">
        <v>0</v>
      </c>
      <c r="AM31" s="286"/>
      <c r="AN31" s="286">
        <v>0</v>
      </c>
      <c r="AO31" s="286">
        <v>0</v>
      </c>
      <c r="AP31" s="286"/>
      <c r="AQ31" s="286">
        <v>0</v>
      </c>
      <c r="AR31" s="286">
        <v>0</v>
      </c>
      <c r="AS31" s="286"/>
      <c r="AT31" s="286">
        <v>0</v>
      </c>
      <c r="AU31" s="286">
        <v>0</v>
      </c>
      <c r="AV31" s="286"/>
      <c r="AW31" s="286">
        <v>0</v>
      </c>
      <c r="AX31" s="286">
        <v>0</v>
      </c>
      <c r="AY31" s="286"/>
      <c r="AZ31" s="286">
        <v>0</v>
      </c>
      <c r="BA31" s="286">
        <v>0</v>
      </c>
      <c r="BB31" s="286"/>
      <c r="BC31" s="286">
        <v>0</v>
      </c>
      <c r="BD31" s="286">
        <v>0</v>
      </c>
      <c r="BE31" s="286"/>
      <c r="BF31" s="286">
        <v>0</v>
      </c>
      <c r="BG31" s="286">
        <v>0</v>
      </c>
      <c r="BH31" s="286"/>
      <c r="BI31" s="286">
        <v>0</v>
      </c>
      <c r="BJ31" s="286">
        <v>0</v>
      </c>
      <c r="BK31" s="286"/>
      <c r="BL31" s="286">
        <v>0</v>
      </c>
      <c r="BM31" s="286">
        <v>0</v>
      </c>
      <c r="BN31" s="286"/>
      <c r="BO31" s="286">
        <v>0</v>
      </c>
      <c r="BP31" s="286">
        <v>0</v>
      </c>
      <c r="BQ31" s="286"/>
      <c r="BR31" s="286">
        <v>0</v>
      </c>
      <c r="BS31" s="286">
        <v>0</v>
      </c>
      <c r="BT31" s="286"/>
      <c r="BU31" s="286">
        <v>0</v>
      </c>
      <c r="BV31" s="286">
        <v>0</v>
      </c>
      <c r="BW31" s="286"/>
      <c r="BX31" s="286">
        <v>0</v>
      </c>
      <c r="BY31" s="286">
        <v>0</v>
      </c>
      <c r="BZ31" s="286"/>
      <c r="CA31" s="286">
        <v>0</v>
      </c>
      <c r="CB31" s="286">
        <v>0</v>
      </c>
      <c r="CC31" s="286"/>
      <c r="CD31" s="302">
        <v>0</v>
      </c>
      <c r="CE31" s="286">
        <v>0</v>
      </c>
      <c r="CF31" s="286"/>
      <c r="CG31" s="302">
        <v>0</v>
      </c>
      <c r="CH31" s="286">
        <v>0</v>
      </c>
      <c r="CI31" s="286"/>
      <c r="CJ31" s="286">
        <v>0</v>
      </c>
      <c r="CK31" s="286">
        <v>0</v>
      </c>
    </row>
    <row r="32" spans="1:89" ht="30" x14ac:dyDescent="0.25">
      <c r="A32" s="107"/>
      <c r="B32" s="312"/>
      <c r="C32" s="312" t="s">
        <v>2873</v>
      </c>
      <c r="D32" s="95"/>
      <c r="E32" s="282"/>
      <c r="F32" s="282"/>
      <c r="G32" s="282"/>
      <c r="H32" s="282">
        <v>64</v>
      </c>
      <c r="I32" s="282">
        <v>0</v>
      </c>
      <c r="J32" s="282">
        <v>0</v>
      </c>
      <c r="K32" s="282">
        <v>1</v>
      </c>
      <c r="L32" s="282">
        <v>0</v>
      </c>
      <c r="M32" s="282">
        <v>0</v>
      </c>
      <c r="N32" s="282">
        <v>0</v>
      </c>
      <c r="P32" s="314"/>
      <c r="Q32" s="286">
        <f t="shared" si="16"/>
        <v>1</v>
      </c>
      <c r="R32" s="286">
        <f t="shared" si="16"/>
        <v>0</v>
      </c>
      <c r="S32" s="286">
        <v>0</v>
      </c>
      <c r="T32" s="286">
        <v>0</v>
      </c>
      <c r="U32" s="286"/>
      <c r="V32" s="286">
        <v>0</v>
      </c>
      <c r="W32" s="286">
        <v>0</v>
      </c>
      <c r="X32" s="286"/>
      <c r="Y32" s="286">
        <v>0</v>
      </c>
      <c r="Z32" s="286">
        <v>0</v>
      </c>
      <c r="AA32" s="286"/>
      <c r="AB32" s="286">
        <v>0</v>
      </c>
      <c r="AC32" s="286">
        <v>0</v>
      </c>
      <c r="AD32" s="286"/>
      <c r="AE32" s="286">
        <v>0</v>
      </c>
      <c r="AF32" s="286">
        <v>0</v>
      </c>
      <c r="AG32" s="286"/>
      <c r="AH32" s="286">
        <v>0</v>
      </c>
      <c r="AI32" s="286">
        <v>0</v>
      </c>
      <c r="AJ32" s="286"/>
      <c r="AK32" s="286">
        <v>1</v>
      </c>
      <c r="AL32" s="286">
        <v>0</v>
      </c>
      <c r="AM32" s="286"/>
      <c r="AN32" s="286">
        <v>0</v>
      </c>
      <c r="AO32" s="286">
        <v>0</v>
      </c>
      <c r="AP32" s="286"/>
      <c r="AQ32" s="286">
        <v>0</v>
      </c>
      <c r="AR32" s="286">
        <v>0</v>
      </c>
      <c r="AS32" s="286"/>
      <c r="AT32" s="286">
        <v>0</v>
      </c>
      <c r="AU32" s="286">
        <v>0</v>
      </c>
      <c r="AV32" s="286"/>
      <c r="AW32" s="286">
        <v>0</v>
      </c>
      <c r="AX32" s="286">
        <v>0</v>
      </c>
      <c r="AY32" s="286"/>
      <c r="AZ32" s="286">
        <v>0</v>
      </c>
      <c r="BA32" s="286">
        <v>0</v>
      </c>
      <c r="BB32" s="286"/>
      <c r="BC32" s="286">
        <v>0</v>
      </c>
      <c r="BD32" s="286">
        <v>0</v>
      </c>
      <c r="BE32" s="286"/>
      <c r="BF32" s="286">
        <v>0</v>
      </c>
      <c r="BG32" s="286">
        <v>0</v>
      </c>
      <c r="BH32" s="286"/>
      <c r="BI32" s="286">
        <v>0</v>
      </c>
      <c r="BJ32" s="286">
        <v>0</v>
      </c>
      <c r="BK32" s="286"/>
      <c r="BL32" s="286">
        <v>0</v>
      </c>
      <c r="BM32" s="286">
        <v>0</v>
      </c>
      <c r="BN32" s="286"/>
      <c r="BO32" s="286">
        <v>0</v>
      </c>
      <c r="BP32" s="286">
        <v>0</v>
      </c>
      <c r="BQ32" s="286"/>
      <c r="BR32" s="286">
        <v>0</v>
      </c>
      <c r="BS32" s="286">
        <v>0</v>
      </c>
      <c r="BT32" s="286"/>
      <c r="BU32" s="286">
        <v>0</v>
      </c>
      <c r="BV32" s="286">
        <v>0</v>
      </c>
      <c r="BW32" s="286"/>
      <c r="BX32" s="286">
        <v>0</v>
      </c>
      <c r="BY32" s="286">
        <v>0</v>
      </c>
      <c r="BZ32" s="286"/>
      <c r="CA32" s="286">
        <v>0</v>
      </c>
      <c r="CB32" s="286">
        <v>0</v>
      </c>
      <c r="CC32" s="286"/>
      <c r="CD32" s="286">
        <v>0</v>
      </c>
      <c r="CE32" s="286">
        <v>0</v>
      </c>
      <c r="CF32" s="302"/>
      <c r="CG32" s="302">
        <v>0</v>
      </c>
      <c r="CH32" s="286">
        <v>0</v>
      </c>
      <c r="CI32" s="286"/>
      <c r="CJ32" s="286">
        <v>0</v>
      </c>
      <c r="CK32" s="286">
        <v>0</v>
      </c>
    </row>
    <row r="33" spans="1:89" ht="60" x14ac:dyDescent="0.25">
      <c r="A33" s="107"/>
      <c r="B33" s="16" t="s">
        <v>139</v>
      </c>
      <c r="C33" s="95" t="s">
        <v>126</v>
      </c>
      <c r="D33" s="95" t="s">
        <v>950</v>
      </c>
      <c r="E33" s="282">
        <f t="shared" ref="E33:J33" si="17">E34+E38</f>
        <v>184018</v>
      </c>
      <c r="F33" s="282">
        <f t="shared" si="17"/>
        <v>189010</v>
      </c>
      <c r="G33" s="282">
        <f t="shared" si="17"/>
        <v>193980</v>
      </c>
      <c r="H33" s="282">
        <f t="shared" si="17"/>
        <v>200803</v>
      </c>
      <c r="I33" s="282">
        <f>I34+I38</f>
        <v>205517</v>
      </c>
      <c r="J33" s="282">
        <f t="shared" si="17"/>
        <v>211533</v>
      </c>
      <c r="K33" s="282">
        <f>K34+K38</f>
        <v>217731</v>
      </c>
      <c r="L33" s="282">
        <f>L34+L38</f>
        <v>4438</v>
      </c>
      <c r="M33" s="282">
        <f>M34+M38</f>
        <v>4416</v>
      </c>
      <c r="N33" s="282">
        <f>N34+N38</f>
        <v>4348</v>
      </c>
      <c r="O33" s="286"/>
      <c r="Q33" s="282">
        <f>Q34+Q38</f>
        <v>217731</v>
      </c>
      <c r="R33" s="282">
        <f>R34+R38</f>
        <v>222391</v>
      </c>
      <c r="S33" s="282">
        <f>S34+S38</f>
        <v>3896</v>
      </c>
      <c r="T33" s="282">
        <f>T34+T38</f>
        <v>4010</v>
      </c>
      <c r="U33" s="286"/>
      <c r="V33" s="282">
        <f>V34+V38</f>
        <v>3576</v>
      </c>
      <c r="W33" s="282">
        <f>W34+W38</f>
        <v>3564</v>
      </c>
      <c r="X33" s="286"/>
      <c r="Y33" s="282">
        <f>Y34+Y38</f>
        <v>4418</v>
      </c>
      <c r="Z33" s="282">
        <f>Z34+Z38</f>
        <v>4344</v>
      </c>
      <c r="AA33" s="286"/>
      <c r="AB33" s="282">
        <f>AB34+AB38</f>
        <v>5122</v>
      </c>
      <c r="AC33" s="282">
        <f>AC34+AC38</f>
        <v>5114</v>
      </c>
      <c r="AD33" s="286"/>
      <c r="AE33" s="282">
        <f>AE34+AE38</f>
        <v>3802</v>
      </c>
      <c r="AF33" s="282">
        <f>AF34+AF38</f>
        <v>3776</v>
      </c>
      <c r="AG33" s="286"/>
      <c r="AH33" s="282">
        <f>AH34+AH38</f>
        <v>4482</v>
      </c>
      <c r="AI33" s="282">
        <f>AI34+AI38</f>
        <v>4455</v>
      </c>
      <c r="AJ33" s="286"/>
      <c r="AK33" s="282">
        <f>AK34+AK38</f>
        <v>6106</v>
      </c>
      <c r="AL33" s="282">
        <f>AL34+AL38</f>
        <v>6183</v>
      </c>
      <c r="AM33" s="286"/>
      <c r="AN33" s="282">
        <f>AN34+AN38</f>
        <v>17240</v>
      </c>
      <c r="AO33" s="282">
        <f>AO34+AO38</f>
        <v>17295</v>
      </c>
      <c r="AP33" s="286"/>
      <c r="AQ33" s="282">
        <f>AQ34+AQ38</f>
        <v>2144</v>
      </c>
      <c r="AR33" s="282">
        <f>AR34+AR38</f>
        <v>2154</v>
      </c>
      <c r="AS33" s="286"/>
      <c r="AT33" s="282">
        <f>AT34+AT38</f>
        <v>13890</v>
      </c>
      <c r="AU33" s="282">
        <f>AU34+AU38</f>
        <v>14407</v>
      </c>
      <c r="AV33" s="286"/>
      <c r="AW33" s="282">
        <f>AW34+AW38</f>
        <v>5196</v>
      </c>
      <c r="AX33" s="282">
        <f>AX34+AX38</f>
        <v>5281</v>
      </c>
      <c r="AY33" s="286"/>
      <c r="AZ33" s="282">
        <f>AZ34+AZ38</f>
        <v>7300</v>
      </c>
      <c r="BA33" s="282">
        <f>BA34+BA38</f>
        <v>7246</v>
      </c>
      <c r="BB33" s="286"/>
      <c r="BC33" s="282">
        <f>BC34+BC38</f>
        <v>14385</v>
      </c>
      <c r="BD33" s="282">
        <f>BD34+BD38</f>
        <v>14670</v>
      </c>
      <c r="BE33" s="286"/>
      <c r="BF33" s="282">
        <f>BF34+BF38</f>
        <v>34149</v>
      </c>
      <c r="BG33" s="282">
        <f>BG34+BG38</f>
        <v>35098</v>
      </c>
      <c r="BH33" s="286"/>
      <c r="BI33" s="282">
        <f>BI34+BI38</f>
        <v>50739</v>
      </c>
      <c r="BJ33" s="282">
        <f>BJ34+BJ38</f>
        <v>53093</v>
      </c>
      <c r="BK33" s="286"/>
      <c r="BL33" s="282">
        <f>BL34+BL38</f>
        <v>5617</v>
      </c>
      <c r="BM33" s="282">
        <f>BM34+BM38</f>
        <v>5590</v>
      </c>
      <c r="BN33" s="286"/>
      <c r="BO33" s="282">
        <f>BO34+BO38</f>
        <v>5276</v>
      </c>
      <c r="BP33" s="282">
        <f>BP34+BP38</f>
        <v>5300</v>
      </c>
      <c r="BQ33" s="286"/>
      <c r="BR33" s="282">
        <f>BR34+BR38</f>
        <v>8021</v>
      </c>
      <c r="BS33" s="282">
        <f>BS34+BS38</f>
        <v>8109</v>
      </c>
      <c r="BT33" s="286"/>
      <c r="BU33" s="282">
        <f>BU34+BU38</f>
        <v>7972</v>
      </c>
      <c r="BV33" s="282">
        <f>BV34+BV38</f>
        <v>8054</v>
      </c>
      <c r="BW33" s="286"/>
      <c r="BX33" s="282">
        <f>BX34+BX38</f>
        <v>2132</v>
      </c>
      <c r="BY33" s="282">
        <f>BY34+BY38</f>
        <v>2198</v>
      </c>
      <c r="BZ33" s="286"/>
      <c r="CA33" s="282">
        <f>CA34+CA38</f>
        <v>5700</v>
      </c>
      <c r="CB33" s="282">
        <f>CB34+CB38</f>
        <v>5824</v>
      </c>
      <c r="CC33" s="286"/>
      <c r="CD33" s="282">
        <f>CD34+CD38</f>
        <v>5310</v>
      </c>
      <c r="CE33" s="282">
        <f>CE34+CE38</f>
        <v>5416</v>
      </c>
      <c r="CF33" s="286"/>
      <c r="CG33" s="282">
        <f>CG34+CG38</f>
        <v>592</v>
      </c>
      <c r="CH33" s="282">
        <f>CH34+CH38</f>
        <v>540</v>
      </c>
      <c r="CI33" s="286"/>
      <c r="CJ33" s="282">
        <f>CJ34+CJ38</f>
        <v>666</v>
      </c>
      <c r="CK33" s="282">
        <f>CK34+CK38</f>
        <v>670</v>
      </c>
    </row>
    <row r="34" spans="1:89" x14ac:dyDescent="0.25">
      <c r="A34" s="107"/>
      <c r="B34" s="96" t="s">
        <v>1183</v>
      </c>
      <c r="C34" s="95"/>
      <c r="D34" s="95" t="s">
        <v>950</v>
      </c>
      <c r="E34" s="282">
        <v>167684</v>
      </c>
      <c r="F34" s="282">
        <v>172537</v>
      </c>
      <c r="G34" s="282">
        <v>177222</v>
      </c>
      <c r="H34" s="282">
        <f>SUM(H35:H37)</f>
        <v>183867</v>
      </c>
      <c r="I34" s="282">
        <f>SUM(I35:I37)</f>
        <v>188385</v>
      </c>
      <c r="J34" s="282">
        <f>SUM(J35:J37)</f>
        <v>194245</v>
      </c>
      <c r="K34" s="282">
        <f>SUM(K35:K37)</f>
        <v>200448</v>
      </c>
      <c r="L34" s="282">
        <f>SUM(L35:L37)</f>
        <v>2474</v>
      </c>
      <c r="M34" s="282">
        <f t="shared" ref="M34:N34" si="18">SUM(M35:M37)</f>
        <v>2475</v>
      </c>
      <c r="N34" s="282">
        <f t="shared" si="18"/>
        <v>2472</v>
      </c>
      <c r="Q34" s="282">
        <f>SUM(Q35:Q37)</f>
        <v>200448</v>
      </c>
      <c r="R34" s="282">
        <f>SUM(R35:R37)</f>
        <v>205259</v>
      </c>
      <c r="S34" s="282">
        <f>SUM(S35:S37)</f>
        <v>2631</v>
      </c>
      <c r="T34" s="282">
        <f>SUM(T35:T37)</f>
        <v>2748</v>
      </c>
      <c r="U34" s="286"/>
      <c r="V34" s="282">
        <f>SUM(V35:V37)</f>
        <v>2154</v>
      </c>
      <c r="W34" s="282">
        <f>SUM(W35:W37)</f>
        <v>2124</v>
      </c>
      <c r="X34" s="286"/>
      <c r="Y34" s="282">
        <f>SUM(Y35:Y37)</f>
        <v>2960</v>
      </c>
      <c r="Z34" s="282">
        <f>SUM(Z35:Z37)</f>
        <v>2929</v>
      </c>
      <c r="AA34" s="286"/>
      <c r="AB34" s="282">
        <f>SUM(AB35:AB37)</f>
        <v>2910</v>
      </c>
      <c r="AC34" s="282">
        <f>SUM(AC35:AC37)</f>
        <v>2938</v>
      </c>
      <c r="AD34" s="286"/>
      <c r="AE34" s="282">
        <f>SUM(AE35:AE37)</f>
        <v>2824</v>
      </c>
      <c r="AF34" s="282">
        <f>SUM(AF35:AF37)</f>
        <v>2877</v>
      </c>
      <c r="AG34" s="286"/>
      <c r="AH34" s="282">
        <f>SUM(AH35:AH37)</f>
        <v>2503</v>
      </c>
      <c r="AI34" s="282">
        <f>SUM(AI35:AI37)</f>
        <v>2485</v>
      </c>
      <c r="AJ34" s="286"/>
      <c r="AK34" s="282">
        <f>SUM(AK35:AK37)</f>
        <v>5816</v>
      </c>
      <c r="AL34" s="282">
        <f>SUM(AL35:AL37)</f>
        <v>5895</v>
      </c>
      <c r="AM34" s="286"/>
      <c r="AN34" s="282">
        <f>SUM(AN35:AN37)</f>
        <v>11819</v>
      </c>
      <c r="AO34" s="282">
        <f>SUM(AO35:AO37)</f>
        <v>11889</v>
      </c>
      <c r="AP34" s="286"/>
      <c r="AQ34" s="282">
        <f>SUM(AQ35:AQ37)</f>
        <v>0</v>
      </c>
      <c r="AR34" s="282">
        <f>SUM(AR35:AR37)</f>
        <v>0</v>
      </c>
      <c r="AS34" s="286"/>
      <c r="AT34" s="282">
        <f>SUM(AT35:AT37)</f>
        <v>13890</v>
      </c>
      <c r="AU34" s="282">
        <f>SUM(AU35:AU37)</f>
        <v>14407</v>
      </c>
      <c r="AV34" s="286"/>
      <c r="AW34" s="282">
        <f>SUM(AW35:AW37)</f>
        <v>5196</v>
      </c>
      <c r="AX34" s="282">
        <f>SUM(AX35:AX37)</f>
        <v>5281</v>
      </c>
      <c r="AY34" s="286"/>
      <c r="AZ34" s="282">
        <f>SUM(AZ35:AZ37)</f>
        <v>7300</v>
      </c>
      <c r="BA34" s="282">
        <f>SUM(BA35:BA37)</f>
        <v>7246</v>
      </c>
      <c r="BB34" s="286"/>
      <c r="BC34" s="282">
        <f>SUM(BC35:BC37)</f>
        <v>14385</v>
      </c>
      <c r="BD34" s="282">
        <f>SUM(BD35:BD37)</f>
        <v>14670</v>
      </c>
      <c r="BE34" s="286"/>
      <c r="BF34" s="282">
        <f>SUM(BF35:BF37)</f>
        <v>34149</v>
      </c>
      <c r="BG34" s="282">
        <f>SUM(BG35:BG37)</f>
        <v>35098</v>
      </c>
      <c r="BH34" s="286"/>
      <c r="BI34" s="282">
        <f>SUM(BI35:BI37)</f>
        <v>50739</v>
      </c>
      <c r="BJ34" s="282">
        <f>SUM(BJ35:BJ37)</f>
        <v>53093</v>
      </c>
      <c r="BK34" s="286"/>
      <c r="BL34" s="282">
        <f>SUM(BL35:BL37)</f>
        <v>5617</v>
      </c>
      <c r="BM34" s="282">
        <f>SUM(BM35:BM37)</f>
        <v>5590</v>
      </c>
      <c r="BN34" s="286"/>
      <c r="BO34" s="282">
        <f>SUM(BO35:BO37)</f>
        <v>5276</v>
      </c>
      <c r="BP34" s="282">
        <f>SUM(BP35:BP37)</f>
        <v>5300</v>
      </c>
      <c r="BQ34" s="286"/>
      <c r="BR34" s="282">
        <f>SUM(BR35:BR37)</f>
        <v>8021</v>
      </c>
      <c r="BS34" s="282">
        <f>SUM(BS35:BS37)</f>
        <v>8109</v>
      </c>
      <c r="BT34" s="286"/>
      <c r="BU34" s="282">
        <f>SUM(BU35:BU37)</f>
        <v>7972</v>
      </c>
      <c r="BV34" s="282">
        <f>SUM(BV35:BV37)</f>
        <v>8054</v>
      </c>
      <c r="BW34" s="286"/>
      <c r="BX34" s="282">
        <f>SUM(BX35:BX37)</f>
        <v>2132</v>
      </c>
      <c r="BY34" s="282">
        <f>SUM(BY35:BY37)</f>
        <v>2198</v>
      </c>
      <c r="BZ34" s="286"/>
      <c r="CA34" s="282">
        <f>SUM(CA35:CA37)</f>
        <v>5700</v>
      </c>
      <c r="CB34" s="282">
        <f>SUM(CB35:CB37)</f>
        <v>5824</v>
      </c>
      <c r="CC34" s="286"/>
      <c r="CD34" s="282">
        <f>SUM(CD35:CD37)</f>
        <v>5310</v>
      </c>
      <c r="CE34" s="282">
        <f>SUM(CE35:CE37)</f>
        <v>5416</v>
      </c>
      <c r="CF34" s="286"/>
      <c r="CG34" s="282">
        <f>SUM(CG35:CG37)</f>
        <v>478</v>
      </c>
      <c r="CH34" s="282">
        <f>SUM(CH35:CH37)</f>
        <v>418</v>
      </c>
      <c r="CI34" s="286"/>
      <c r="CJ34" s="282">
        <f>SUM(CJ35:CJ37)</f>
        <v>666</v>
      </c>
      <c r="CK34" s="282">
        <f>SUM(CK35:CK37)</f>
        <v>670</v>
      </c>
    </row>
    <row r="35" spans="1:89" ht="30" x14ac:dyDescent="0.25">
      <c r="A35" s="107"/>
      <c r="B35" s="312"/>
      <c r="C35" s="312" t="s">
        <v>1489</v>
      </c>
      <c r="D35" s="95"/>
      <c r="E35" s="282"/>
      <c r="F35" s="282"/>
      <c r="G35" s="282"/>
      <c r="H35" s="282">
        <v>180412</v>
      </c>
      <c r="I35" s="282">
        <v>187583</v>
      </c>
      <c r="J35" s="282">
        <v>193546</v>
      </c>
      <c r="K35" s="282">
        <v>199765</v>
      </c>
      <c r="L35" s="282">
        <v>2474</v>
      </c>
      <c r="M35" s="282">
        <v>2475</v>
      </c>
      <c r="N35" s="282">
        <v>2472</v>
      </c>
      <c r="O35" s="286"/>
      <c r="P35" s="283"/>
      <c r="Q35" s="286">
        <f t="shared" ref="Q35:R37" si="19">S35+V35+Y35+AB35+AE35+AH35+AK35+AN35+AQ35+AT35+AW35+AZ35+BC35+BF35+BI35+BL35+BO35+BR35+BU35+BX35+CA35+CD35+CG35+CJ35</f>
        <v>199765</v>
      </c>
      <c r="R35" s="286">
        <f t="shared" si="19"/>
        <v>204600</v>
      </c>
      <c r="S35" s="302">
        <v>2623</v>
      </c>
      <c r="T35" s="286">
        <v>2733</v>
      </c>
      <c r="U35" s="286"/>
      <c r="V35" s="302">
        <v>2144</v>
      </c>
      <c r="W35" s="286">
        <v>2114</v>
      </c>
      <c r="X35" s="286"/>
      <c r="Y35" s="302">
        <v>2960</v>
      </c>
      <c r="Z35" s="286">
        <v>2929</v>
      </c>
      <c r="AA35" s="286"/>
      <c r="AB35" s="302">
        <v>2910</v>
      </c>
      <c r="AC35" s="286">
        <v>2938</v>
      </c>
      <c r="AD35" s="286"/>
      <c r="AE35" s="302">
        <v>2779</v>
      </c>
      <c r="AF35" s="286">
        <v>2839</v>
      </c>
      <c r="AG35" s="286"/>
      <c r="AH35" s="302">
        <v>2486</v>
      </c>
      <c r="AI35" s="286">
        <v>2474</v>
      </c>
      <c r="AJ35" s="286"/>
      <c r="AK35" s="302">
        <v>5793</v>
      </c>
      <c r="AL35" s="286">
        <v>5866</v>
      </c>
      <c r="AM35" s="286"/>
      <c r="AN35" s="302">
        <v>11819</v>
      </c>
      <c r="AO35" s="286">
        <v>11889</v>
      </c>
      <c r="AP35" s="286"/>
      <c r="AQ35" s="302">
        <v>0</v>
      </c>
      <c r="AR35" s="286">
        <v>0</v>
      </c>
      <c r="AS35" s="286"/>
      <c r="AT35" s="286">
        <v>13883</v>
      </c>
      <c r="AU35" s="286">
        <v>14407</v>
      </c>
      <c r="AV35" s="286"/>
      <c r="AW35" s="286">
        <v>5196</v>
      </c>
      <c r="AX35" s="286">
        <v>5281</v>
      </c>
      <c r="AY35" s="286"/>
      <c r="AZ35" s="286">
        <v>7300</v>
      </c>
      <c r="BA35" s="286">
        <v>7246</v>
      </c>
      <c r="BB35" s="286"/>
      <c r="BC35" s="286">
        <v>14385</v>
      </c>
      <c r="BD35" s="286">
        <v>14670</v>
      </c>
      <c r="BE35" s="286"/>
      <c r="BF35" s="286">
        <v>34019</v>
      </c>
      <c r="BG35" s="286">
        <v>34985</v>
      </c>
      <c r="BH35" s="286"/>
      <c r="BI35" s="286">
        <v>50296</v>
      </c>
      <c r="BJ35" s="286">
        <v>52650</v>
      </c>
      <c r="BK35" s="286"/>
      <c r="BL35" s="286">
        <v>5617</v>
      </c>
      <c r="BM35" s="286">
        <v>5590</v>
      </c>
      <c r="BN35" s="286"/>
      <c r="BO35" s="286">
        <v>5276</v>
      </c>
      <c r="BP35" s="286">
        <v>5300</v>
      </c>
      <c r="BQ35" s="286"/>
      <c r="BR35" s="286">
        <v>8021</v>
      </c>
      <c r="BS35" s="286">
        <v>8109</v>
      </c>
      <c r="BT35" s="286"/>
      <c r="BU35" s="286">
        <v>7972</v>
      </c>
      <c r="BV35" s="286">
        <v>8054</v>
      </c>
      <c r="BW35" s="286"/>
      <c r="BX35" s="286">
        <v>2132</v>
      </c>
      <c r="BY35" s="286">
        <v>2198</v>
      </c>
      <c r="BZ35" s="286"/>
      <c r="CA35" s="286">
        <v>5700</v>
      </c>
      <c r="CB35" s="286">
        <v>5824</v>
      </c>
      <c r="CC35" s="286"/>
      <c r="CD35" s="286">
        <v>5310</v>
      </c>
      <c r="CE35" s="286">
        <v>5416</v>
      </c>
      <c r="CF35" s="286"/>
      <c r="CG35" s="286">
        <v>478</v>
      </c>
      <c r="CH35" s="286">
        <v>418</v>
      </c>
      <c r="CI35" s="286"/>
      <c r="CJ35" s="286">
        <v>666</v>
      </c>
      <c r="CK35" s="286">
        <v>670</v>
      </c>
    </row>
    <row r="36" spans="1:89" ht="30" x14ac:dyDescent="0.25">
      <c r="A36" s="107"/>
      <c r="B36" s="312"/>
      <c r="C36" s="312" t="s">
        <v>2740</v>
      </c>
      <c r="D36" s="95"/>
      <c r="E36" s="282"/>
      <c r="F36" s="282"/>
      <c r="G36" s="282"/>
      <c r="H36" s="282">
        <v>1648</v>
      </c>
      <c r="I36" s="282">
        <v>573</v>
      </c>
      <c r="J36" s="282">
        <v>448</v>
      </c>
      <c r="K36" s="282">
        <v>432</v>
      </c>
      <c r="L36" s="282">
        <v>0</v>
      </c>
      <c r="M36" s="282">
        <v>0</v>
      </c>
      <c r="N36" s="282">
        <v>0</v>
      </c>
      <c r="O36" s="286"/>
      <c r="P36" s="283"/>
      <c r="Q36" s="286">
        <f t="shared" si="19"/>
        <v>432</v>
      </c>
      <c r="R36" s="286">
        <f t="shared" si="19"/>
        <v>452</v>
      </c>
      <c r="S36" s="302">
        <v>8</v>
      </c>
      <c r="T36" s="286">
        <v>15</v>
      </c>
      <c r="U36" s="286"/>
      <c r="V36" s="302">
        <v>10</v>
      </c>
      <c r="W36" s="286">
        <v>10</v>
      </c>
      <c r="X36" s="286"/>
      <c r="Y36" s="302">
        <v>0</v>
      </c>
      <c r="Z36" s="286">
        <v>0</v>
      </c>
      <c r="AA36" s="286"/>
      <c r="AB36" s="302">
        <v>0</v>
      </c>
      <c r="AC36" s="286">
        <v>0</v>
      </c>
      <c r="AD36" s="286"/>
      <c r="AE36" s="302">
        <v>45</v>
      </c>
      <c r="AF36" s="286">
        <v>38</v>
      </c>
      <c r="AG36" s="286"/>
      <c r="AH36" s="302">
        <v>0</v>
      </c>
      <c r="AI36" s="286">
        <v>11</v>
      </c>
      <c r="AJ36" s="286"/>
      <c r="AK36" s="302">
        <v>23</v>
      </c>
      <c r="AL36" s="286">
        <v>28</v>
      </c>
      <c r="AM36" s="286"/>
      <c r="AN36" s="302">
        <v>0</v>
      </c>
      <c r="AO36" s="286">
        <v>0</v>
      </c>
      <c r="AP36" s="286"/>
      <c r="AQ36" s="302">
        <v>0</v>
      </c>
      <c r="AR36" s="286">
        <v>0</v>
      </c>
      <c r="AS36" s="286"/>
      <c r="AT36" s="286">
        <v>0</v>
      </c>
      <c r="AU36" s="286">
        <v>0</v>
      </c>
      <c r="AV36" s="286"/>
      <c r="AW36" s="286">
        <v>0</v>
      </c>
      <c r="AX36" s="286">
        <v>0</v>
      </c>
      <c r="AY36" s="286"/>
      <c r="AZ36" s="286">
        <v>0</v>
      </c>
      <c r="BA36" s="286">
        <v>0</v>
      </c>
      <c r="BB36" s="286"/>
      <c r="BC36" s="286">
        <v>0</v>
      </c>
      <c r="BD36" s="286">
        <v>0</v>
      </c>
      <c r="BE36" s="286"/>
      <c r="BF36" s="286">
        <v>130</v>
      </c>
      <c r="BG36" s="286">
        <v>113</v>
      </c>
      <c r="BH36" s="286"/>
      <c r="BI36" s="286">
        <v>216</v>
      </c>
      <c r="BJ36" s="286">
        <v>237</v>
      </c>
      <c r="BK36" s="286"/>
      <c r="BL36" s="286">
        <v>0</v>
      </c>
      <c r="BM36" s="286">
        <v>0</v>
      </c>
      <c r="BN36" s="286"/>
      <c r="BO36" s="286">
        <v>0</v>
      </c>
      <c r="BP36" s="286">
        <v>0</v>
      </c>
      <c r="BQ36" s="286"/>
      <c r="BR36" s="286">
        <v>0</v>
      </c>
      <c r="BS36" s="286">
        <v>0</v>
      </c>
      <c r="BT36" s="286"/>
      <c r="BU36" s="286">
        <v>0</v>
      </c>
      <c r="BV36" s="286">
        <v>0</v>
      </c>
      <c r="BW36" s="286"/>
      <c r="BX36" s="286">
        <v>0</v>
      </c>
      <c r="BY36" s="286">
        <v>0</v>
      </c>
      <c r="BZ36" s="286"/>
      <c r="CA36" s="286">
        <v>0</v>
      </c>
      <c r="CB36" s="286">
        <v>0</v>
      </c>
      <c r="CC36" s="286"/>
      <c r="CD36" s="286">
        <v>0</v>
      </c>
      <c r="CE36" s="286">
        <v>0</v>
      </c>
      <c r="CF36" s="286"/>
      <c r="CG36" s="286">
        <v>0</v>
      </c>
      <c r="CH36" s="286">
        <v>0</v>
      </c>
      <c r="CI36" s="286"/>
      <c r="CJ36" s="286">
        <v>0</v>
      </c>
      <c r="CK36" s="286">
        <v>0</v>
      </c>
    </row>
    <row r="37" spans="1:89" ht="30" x14ac:dyDescent="0.25">
      <c r="A37" s="107"/>
      <c r="B37" s="312"/>
      <c r="C37" s="312" t="s">
        <v>1491</v>
      </c>
      <c r="D37" s="95"/>
      <c r="E37" s="282"/>
      <c r="F37" s="282"/>
      <c r="G37" s="282"/>
      <c r="H37" s="282">
        <v>1807</v>
      </c>
      <c r="I37" s="282">
        <v>229</v>
      </c>
      <c r="J37" s="282">
        <v>251</v>
      </c>
      <c r="K37" s="282">
        <v>251</v>
      </c>
      <c r="L37" s="282">
        <v>0</v>
      </c>
      <c r="M37" s="282">
        <v>0</v>
      </c>
      <c r="N37" s="282">
        <v>0</v>
      </c>
      <c r="O37" s="286"/>
      <c r="P37" s="283"/>
      <c r="Q37" s="286">
        <f t="shared" si="19"/>
        <v>251</v>
      </c>
      <c r="R37" s="286">
        <f t="shared" si="19"/>
        <v>207</v>
      </c>
      <c r="S37" s="302">
        <v>0</v>
      </c>
      <c r="T37" s="286">
        <v>0</v>
      </c>
      <c r="U37" s="286"/>
      <c r="V37" s="302">
        <v>0</v>
      </c>
      <c r="W37" s="286">
        <v>0</v>
      </c>
      <c r="X37" s="286"/>
      <c r="Y37" s="302">
        <v>0</v>
      </c>
      <c r="Z37" s="286">
        <v>0</v>
      </c>
      <c r="AA37" s="286"/>
      <c r="AB37" s="302">
        <v>0</v>
      </c>
      <c r="AC37" s="286">
        <v>0</v>
      </c>
      <c r="AD37" s="286"/>
      <c r="AE37" s="302">
        <v>0</v>
      </c>
      <c r="AF37" s="286">
        <v>0</v>
      </c>
      <c r="AG37" s="286"/>
      <c r="AH37" s="302">
        <v>17</v>
      </c>
      <c r="AI37" s="286">
        <v>0</v>
      </c>
      <c r="AJ37" s="286"/>
      <c r="AK37" s="302">
        <v>0</v>
      </c>
      <c r="AL37" s="286">
        <v>1</v>
      </c>
      <c r="AM37" s="286"/>
      <c r="AN37" s="302">
        <v>0</v>
      </c>
      <c r="AO37" s="286">
        <v>0</v>
      </c>
      <c r="AP37" s="286"/>
      <c r="AQ37" s="302">
        <v>0</v>
      </c>
      <c r="AR37" s="286">
        <v>0</v>
      </c>
      <c r="AS37" s="286"/>
      <c r="AT37" s="286">
        <v>7</v>
      </c>
      <c r="AU37" s="286">
        <v>0</v>
      </c>
      <c r="AV37" s="286"/>
      <c r="AW37" s="286">
        <v>0</v>
      </c>
      <c r="AX37" s="286">
        <v>0</v>
      </c>
      <c r="AY37" s="286"/>
      <c r="AZ37" s="286">
        <v>0</v>
      </c>
      <c r="BA37" s="286">
        <v>0</v>
      </c>
      <c r="BB37" s="286"/>
      <c r="BC37" s="286">
        <v>0</v>
      </c>
      <c r="BD37" s="286">
        <v>0</v>
      </c>
      <c r="BE37" s="286"/>
      <c r="BF37" s="286">
        <v>0</v>
      </c>
      <c r="BG37" s="286">
        <v>0</v>
      </c>
      <c r="BH37" s="286"/>
      <c r="BI37" s="286">
        <v>227</v>
      </c>
      <c r="BJ37" s="286">
        <v>206</v>
      </c>
      <c r="BK37" s="286"/>
      <c r="BL37" s="286">
        <v>0</v>
      </c>
      <c r="BM37" s="286">
        <v>0</v>
      </c>
      <c r="BN37" s="286"/>
      <c r="BO37" s="286">
        <v>0</v>
      </c>
      <c r="BP37" s="286">
        <v>0</v>
      </c>
      <c r="BQ37" s="286"/>
      <c r="BR37" s="286">
        <v>0</v>
      </c>
      <c r="BS37" s="286">
        <v>0</v>
      </c>
      <c r="BT37" s="286"/>
      <c r="BU37" s="286">
        <v>0</v>
      </c>
      <c r="BV37" s="286">
        <v>0</v>
      </c>
      <c r="BW37" s="286"/>
      <c r="BX37" s="286">
        <v>0</v>
      </c>
      <c r="BY37" s="286">
        <v>0</v>
      </c>
      <c r="BZ37" s="286"/>
      <c r="CA37" s="286">
        <v>0</v>
      </c>
      <c r="CB37" s="286">
        <v>0</v>
      </c>
      <c r="CC37" s="286"/>
      <c r="CD37" s="286">
        <v>0</v>
      </c>
      <c r="CE37" s="286">
        <v>0</v>
      </c>
      <c r="CF37" s="286"/>
      <c r="CG37" s="286">
        <v>0</v>
      </c>
      <c r="CH37" s="286">
        <v>0</v>
      </c>
      <c r="CI37" s="286"/>
      <c r="CJ37" s="286">
        <v>0</v>
      </c>
      <c r="CK37" s="286">
        <v>0</v>
      </c>
    </row>
    <row r="38" spans="1:89" x14ac:dyDescent="0.25">
      <c r="A38" s="107"/>
      <c r="B38" s="96" t="s">
        <v>1185</v>
      </c>
      <c r="C38" s="95"/>
      <c r="D38" s="95" t="s">
        <v>950</v>
      </c>
      <c r="E38" s="282">
        <v>16334</v>
      </c>
      <c r="F38" s="282">
        <v>16473</v>
      </c>
      <c r="G38" s="282">
        <v>16758</v>
      </c>
      <c r="H38" s="282">
        <f>SUM(H39:H41)</f>
        <v>16936</v>
      </c>
      <c r="I38" s="282">
        <f>SUM(I39:I41)</f>
        <v>17132</v>
      </c>
      <c r="J38" s="282">
        <f>SUM(J39:J41)</f>
        <v>17288</v>
      </c>
      <c r="K38" s="282">
        <f>SUM(K39:K41)</f>
        <v>17283</v>
      </c>
      <c r="L38" s="282">
        <f>SUM(L39:L41)</f>
        <v>1964</v>
      </c>
      <c r="M38" s="282">
        <f t="shared" ref="M38:N38" si="20">SUM(M39:M41)</f>
        <v>1941</v>
      </c>
      <c r="N38" s="282">
        <f t="shared" si="20"/>
        <v>1876</v>
      </c>
      <c r="Q38" s="282">
        <f>SUM(Q39:Q41)</f>
        <v>17283</v>
      </c>
      <c r="R38" s="282">
        <f>SUM(R39:R41)</f>
        <v>17132</v>
      </c>
      <c r="S38" s="282">
        <f>SUM(S39:S41)</f>
        <v>1265</v>
      </c>
      <c r="T38" s="282">
        <f>SUM(T39:T41)</f>
        <v>1262</v>
      </c>
      <c r="U38" s="286"/>
      <c r="V38" s="282">
        <f>SUM(V39:V41)</f>
        <v>1422</v>
      </c>
      <c r="W38" s="282">
        <f>SUM(W39:W41)</f>
        <v>1440</v>
      </c>
      <c r="X38" s="286"/>
      <c r="Y38" s="282">
        <f>SUM(Y39:Y41)</f>
        <v>1458</v>
      </c>
      <c r="Z38" s="282">
        <f>SUM(Z39:Z41)</f>
        <v>1415</v>
      </c>
      <c r="AA38" s="286"/>
      <c r="AB38" s="282">
        <f>SUM(AB39:AB41)</f>
        <v>2212</v>
      </c>
      <c r="AC38" s="282">
        <f>SUM(AC39:AC41)</f>
        <v>2176</v>
      </c>
      <c r="AD38" s="286"/>
      <c r="AE38" s="282">
        <f>SUM(AE39:AE41)</f>
        <v>978</v>
      </c>
      <c r="AF38" s="282">
        <f>SUM(AF39:AF41)</f>
        <v>899</v>
      </c>
      <c r="AG38" s="286"/>
      <c r="AH38" s="282">
        <f>SUM(AH39:AH41)</f>
        <v>1979</v>
      </c>
      <c r="AI38" s="282">
        <f>SUM(AI39:AI41)</f>
        <v>1970</v>
      </c>
      <c r="AJ38" s="286"/>
      <c r="AK38" s="282">
        <f>SUM(AK39:AK41)</f>
        <v>290</v>
      </c>
      <c r="AL38" s="282">
        <f>SUM(AL39:AL41)</f>
        <v>288</v>
      </c>
      <c r="AM38" s="286"/>
      <c r="AN38" s="282">
        <f>SUM(AN39:AN41)</f>
        <v>5421</v>
      </c>
      <c r="AO38" s="282">
        <f>SUM(AO39:AO41)</f>
        <v>5406</v>
      </c>
      <c r="AP38" s="286"/>
      <c r="AQ38" s="282">
        <f>SUM(AQ39:AQ41)</f>
        <v>2144</v>
      </c>
      <c r="AR38" s="282">
        <f>SUM(AR39:AR41)</f>
        <v>2154</v>
      </c>
      <c r="AS38" s="286"/>
      <c r="AT38" s="282">
        <f>SUM(AT39:AT41)</f>
        <v>0</v>
      </c>
      <c r="AU38" s="282">
        <f>SUM(AU39:AU41)</f>
        <v>0</v>
      </c>
      <c r="AV38" s="286"/>
      <c r="AW38" s="282">
        <f>SUM(AW39:AW41)</f>
        <v>0</v>
      </c>
      <c r="AX38" s="282">
        <f>SUM(AX39:AX41)</f>
        <v>0</v>
      </c>
      <c r="AY38" s="286"/>
      <c r="AZ38" s="282">
        <f>SUM(AZ39:AZ41)</f>
        <v>0</v>
      </c>
      <c r="BA38" s="282">
        <f>SUM(BA39:BA41)</f>
        <v>0</v>
      </c>
      <c r="BB38" s="286"/>
      <c r="BC38" s="282">
        <f>SUM(BC39:BC41)</f>
        <v>0</v>
      </c>
      <c r="BD38" s="282">
        <f>SUM(BD39:BD41)</f>
        <v>0</v>
      </c>
      <c r="BE38" s="286"/>
      <c r="BF38" s="282">
        <f>SUM(BF39:BF41)</f>
        <v>0</v>
      </c>
      <c r="BG38" s="282">
        <f>SUM(BG39:BG41)</f>
        <v>0</v>
      </c>
      <c r="BH38" s="286"/>
      <c r="BI38" s="282">
        <f>SUM(BI39:BI41)</f>
        <v>0</v>
      </c>
      <c r="BJ38" s="282">
        <f>SUM(BJ39:BJ41)</f>
        <v>0</v>
      </c>
      <c r="BK38" s="286"/>
      <c r="BL38" s="282">
        <f>SUM(BL39:BL41)</f>
        <v>0</v>
      </c>
      <c r="BM38" s="282">
        <f>SUM(BM39:BM41)</f>
        <v>0</v>
      </c>
      <c r="BN38" s="286"/>
      <c r="BO38" s="282">
        <f>SUM(BO39:BO41)</f>
        <v>0</v>
      </c>
      <c r="BP38" s="282">
        <f>SUM(BP39:BP41)</f>
        <v>0</v>
      </c>
      <c r="BQ38" s="286"/>
      <c r="BR38" s="282">
        <f>SUM(BR39:BR41)</f>
        <v>0</v>
      </c>
      <c r="BS38" s="282">
        <f>SUM(BS39:BS41)</f>
        <v>0</v>
      </c>
      <c r="BT38" s="286"/>
      <c r="BU38" s="282">
        <f>SUM(BU39:BU41)</f>
        <v>0</v>
      </c>
      <c r="BV38" s="282">
        <f>SUM(BV39:BV41)</f>
        <v>0</v>
      </c>
      <c r="BW38" s="286"/>
      <c r="BX38" s="282">
        <f>SUM(BX39:BX41)</f>
        <v>0</v>
      </c>
      <c r="BY38" s="282">
        <f>SUM(BY39:BY41)</f>
        <v>0</v>
      </c>
      <c r="BZ38" s="286"/>
      <c r="CA38" s="282">
        <f>SUM(CA39:CA41)</f>
        <v>0</v>
      </c>
      <c r="CB38" s="282">
        <f>SUM(CB39:CB41)</f>
        <v>0</v>
      </c>
      <c r="CC38" s="286"/>
      <c r="CD38" s="282">
        <f>SUM(CD39:CD41)</f>
        <v>0</v>
      </c>
      <c r="CE38" s="282">
        <f>SUM(CE39:CE41)</f>
        <v>0</v>
      </c>
      <c r="CF38" s="286"/>
      <c r="CG38" s="282">
        <f>SUM(CG39:CG41)</f>
        <v>114</v>
      </c>
      <c r="CH38" s="282">
        <f>SUM(CH39:CH41)</f>
        <v>122</v>
      </c>
      <c r="CI38" s="286"/>
      <c r="CJ38" s="282">
        <f>SUM(CJ39:CJ41)</f>
        <v>0</v>
      </c>
      <c r="CK38" s="282">
        <f>SUM(CK39:CK41)</f>
        <v>0</v>
      </c>
    </row>
    <row r="39" spans="1:89" ht="30" x14ac:dyDescent="0.25">
      <c r="A39" s="107"/>
      <c r="B39" s="312"/>
      <c r="C39" s="312" t="s">
        <v>1489</v>
      </c>
      <c r="D39" s="95"/>
      <c r="E39" s="282"/>
      <c r="F39" s="282"/>
      <c r="G39" s="282"/>
      <c r="H39" s="282">
        <v>16802</v>
      </c>
      <c r="I39" s="282">
        <v>17106</v>
      </c>
      <c r="J39" s="282">
        <v>17281</v>
      </c>
      <c r="K39" s="282">
        <v>17276</v>
      </c>
      <c r="L39" s="282">
        <v>1964</v>
      </c>
      <c r="M39" s="282">
        <v>1941</v>
      </c>
      <c r="N39" s="282">
        <v>1876</v>
      </c>
      <c r="P39" s="283"/>
      <c r="Q39" s="286">
        <f t="shared" ref="Q39:R41" si="21">S39+V39+Y39+AB39+AE39+AH39+AK39+AN39+AQ39+AT39+AW39+AZ39+BC39+BF39+BI39+BL39+BO39+BR39+BU39+BX39+CA39+CD39+CG39+CJ39</f>
        <v>17276</v>
      </c>
      <c r="R39" s="286">
        <f t="shared" si="21"/>
        <v>17125</v>
      </c>
      <c r="S39" s="286">
        <v>1265</v>
      </c>
      <c r="T39" s="286">
        <v>1262</v>
      </c>
      <c r="U39" s="286"/>
      <c r="V39" s="286">
        <v>1417</v>
      </c>
      <c r="W39" s="286">
        <v>1440</v>
      </c>
      <c r="X39" s="286"/>
      <c r="Y39" s="286">
        <v>1458</v>
      </c>
      <c r="Z39" s="286">
        <v>1415</v>
      </c>
      <c r="AA39" s="286"/>
      <c r="AB39" s="286">
        <v>2212</v>
      </c>
      <c r="AC39" s="286">
        <v>2176</v>
      </c>
      <c r="AD39" s="286"/>
      <c r="AE39" s="286">
        <v>978</v>
      </c>
      <c r="AF39" s="286">
        <v>899</v>
      </c>
      <c r="AG39" s="286"/>
      <c r="AH39" s="286">
        <v>1978</v>
      </c>
      <c r="AI39" s="286">
        <v>1964</v>
      </c>
      <c r="AJ39" s="286"/>
      <c r="AK39" s="286">
        <v>289</v>
      </c>
      <c r="AL39" s="286">
        <v>287</v>
      </c>
      <c r="AM39" s="286"/>
      <c r="AN39" s="286">
        <v>5421</v>
      </c>
      <c r="AO39" s="286">
        <v>5406</v>
      </c>
      <c r="AP39" s="286"/>
      <c r="AQ39" s="286">
        <v>2144</v>
      </c>
      <c r="AR39" s="286">
        <v>2154</v>
      </c>
      <c r="AS39" s="286"/>
      <c r="AT39" s="286">
        <v>0</v>
      </c>
      <c r="AU39" s="286">
        <v>0</v>
      </c>
      <c r="AV39" s="286"/>
      <c r="AW39" s="286">
        <v>0</v>
      </c>
      <c r="AX39" s="286">
        <v>0</v>
      </c>
      <c r="AY39" s="286"/>
      <c r="AZ39" s="286">
        <v>0</v>
      </c>
      <c r="BA39" s="286">
        <v>0</v>
      </c>
      <c r="BB39" s="286"/>
      <c r="BC39" s="286">
        <v>0</v>
      </c>
      <c r="BD39" s="286">
        <v>0</v>
      </c>
      <c r="BE39" s="286"/>
      <c r="BF39" s="286">
        <v>0</v>
      </c>
      <c r="BG39" s="286">
        <v>0</v>
      </c>
      <c r="BH39" s="286"/>
      <c r="BI39" s="286">
        <v>0</v>
      </c>
      <c r="BJ39" s="286">
        <v>0</v>
      </c>
      <c r="BK39" s="286"/>
      <c r="BL39" s="286">
        <v>0</v>
      </c>
      <c r="BM39" s="286">
        <v>0</v>
      </c>
      <c r="BN39" s="286"/>
      <c r="BO39" s="286">
        <v>0</v>
      </c>
      <c r="BP39" s="286">
        <v>0</v>
      </c>
      <c r="BQ39" s="286"/>
      <c r="BR39" s="286">
        <v>0</v>
      </c>
      <c r="BS39" s="286">
        <v>0</v>
      </c>
      <c r="BT39" s="286"/>
      <c r="BU39" s="286">
        <v>0</v>
      </c>
      <c r="BV39" s="286">
        <v>0</v>
      </c>
      <c r="BW39" s="286"/>
      <c r="BX39" s="286">
        <v>0</v>
      </c>
      <c r="BY39" s="286">
        <v>0</v>
      </c>
      <c r="BZ39" s="286"/>
      <c r="CA39" s="286">
        <v>0</v>
      </c>
      <c r="CB39" s="286">
        <v>0</v>
      </c>
      <c r="CC39" s="286"/>
      <c r="CD39" s="286">
        <v>0</v>
      </c>
      <c r="CE39" s="286">
        <v>0</v>
      </c>
      <c r="CF39" s="286"/>
      <c r="CG39" s="286">
        <v>114</v>
      </c>
      <c r="CH39" s="286">
        <v>122</v>
      </c>
      <c r="CI39" s="286"/>
      <c r="CJ39" s="286">
        <v>0</v>
      </c>
      <c r="CK39" s="286">
        <v>0</v>
      </c>
    </row>
    <row r="40" spans="1:89" ht="30" x14ac:dyDescent="0.25">
      <c r="A40" s="107"/>
      <c r="B40" s="312"/>
      <c r="C40" s="312" t="s">
        <v>1490</v>
      </c>
      <c r="D40" s="95"/>
      <c r="E40" s="282"/>
      <c r="F40" s="282"/>
      <c r="G40" s="282"/>
      <c r="H40" s="282">
        <v>0</v>
      </c>
      <c r="I40" s="282">
        <v>26</v>
      </c>
      <c r="J40" s="282">
        <v>7</v>
      </c>
      <c r="K40" s="282">
        <v>6</v>
      </c>
      <c r="L40" s="282">
        <v>0</v>
      </c>
      <c r="M40" s="282">
        <v>0</v>
      </c>
      <c r="N40" s="282">
        <v>0</v>
      </c>
      <c r="P40" s="283"/>
      <c r="Q40" s="286">
        <f t="shared" si="21"/>
        <v>6</v>
      </c>
      <c r="R40" s="286">
        <f t="shared" si="21"/>
        <v>6</v>
      </c>
      <c r="S40" s="286">
        <v>0</v>
      </c>
      <c r="T40" s="286">
        <v>0</v>
      </c>
      <c r="U40" s="286"/>
      <c r="V40" s="286">
        <v>5</v>
      </c>
      <c r="W40" s="286">
        <v>0</v>
      </c>
      <c r="X40" s="286"/>
      <c r="Y40" s="286">
        <v>0</v>
      </c>
      <c r="Z40" s="286">
        <v>0</v>
      </c>
      <c r="AA40" s="286"/>
      <c r="AB40" s="286">
        <v>0</v>
      </c>
      <c r="AC40" s="286">
        <v>0</v>
      </c>
      <c r="AD40" s="286"/>
      <c r="AE40" s="286">
        <v>0</v>
      </c>
      <c r="AF40" s="286">
        <v>0</v>
      </c>
      <c r="AG40" s="286"/>
      <c r="AH40" s="286">
        <v>1</v>
      </c>
      <c r="AI40" s="286">
        <v>6</v>
      </c>
      <c r="AJ40" s="286"/>
      <c r="AK40" s="286">
        <v>0</v>
      </c>
      <c r="AL40" s="286">
        <v>0</v>
      </c>
      <c r="AM40" s="286"/>
      <c r="AN40" s="286">
        <v>0</v>
      </c>
      <c r="AO40" s="286">
        <v>0</v>
      </c>
      <c r="AP40" s="286"/>
      <c r="AQ40" s="286">
        <v>0</v>
      </c>
      <c r="AR40" s="286">
        <v>0</v>
      </c>
      <c r="AS40" s="286"/>
      <c r="AT40" s="286">
        <v>0</v>
      </c>
      <c r="AU40" s="286">
        <v>0</v>
      </c>
      <c r="AV40" s="286"/>
      <c r="AW40" s="286">
        <v>0</v>
      </c>
      <c r="AX40" s="286">
        <v>0</v>
      </c>
      <c r="AY40" s="286"/>
      <c r="AZ40" s="286">
        <v>0</v>
      </c>
      <c r="BA40" s="286">
        <v>0</v>
      </c>
      <c r="BB40" s="286"/>
      <c r="BC40" s="286">
        <v>0</v>
      </c>
      <c r="BD40" s="286">
        <v>0</v>
      </c>
      <c r="BE40" s="286"/>
      <c r="BF40" s="286">
        <v>0</v>
      </c>
      <c r="BG40" s="286">
        <v>0</v>
      </c>
      <c r="BH40" s="286"/>
      <c r="BI40" s="286">
        <v>0</v>
      </c>
      <c r="BJ40" s="286">
        <v>0</v>
      </c>
      <c r="BK40" s="286"/>
      <c r="BL40" s="286">
        <v>0</v>
      </c>
      <c r="BM40" s="286">
        <v>0</v>
      </c>
      <c r="BN40" s="286"/>
      <c r="BO40" s="286">
        <v>0</v>
      </c>
      <c r="BP40" s="286">
        <v>0</v>
      </c>
      <c r="BQ40" s="286"/>
      <c r="BR40" s="286">
        <v>0</v>
      </c>
      <c r="BS40" s="286">
        <v>0</v>
      </c>
      <c r="BT40" s="286"/>
      <c r="BU40" s="286">
        <v>0</v>
      </c>
      <c r="BV40" s="286">
        <v>0</v>
      </c>
      <c r="BW40" s="286"/>
      <c r="BX40" s="286">
        <v>0</v>
      </c>
      <c r="BY40" s="286">
        <v>0</v>
      </c>
      <c r="BZ40" s="286"/>
      <c r="CA40" s="286">
        <v>0</v>
      </c>
      <c r="CB40" s="286">
        <v>0</v>
      </c>
      <c r="CC40" s="286"/>
      <c r="CD40" s="286">
        <v>0</v>
      </c>
      <c r="CE40" s="286">
        <v>0</v>
      </c>
      <c r="CF40" s="286"/>
      <c r="CG40" s="286">
        <v>0</v>
      </c>
      <c r="CH40" s="286">
        <v>0</v>
      </c>
      <c r="CI40" s="286"/>
      <c r="CJ40" s="286">
        <v>0</v>
      </c>
      <c r="CK40" s="286">
        <v>0</v>
      </c>
    </row>
    <row r="41" spans="1:89" ht="30" x14ac:dyDescent="0.25">
      <c r="A41" s="107"/>
      <c r="B41" s="312"/>
      <c r="C41" s="312" t="s">
        <v>1491</v>
      </c>
      <c r="D41" s="95"/>
      <c r="E41" s="282"/>
      <c r="F41" s="282"/>
      <c r="G41" s="282"/>
      <c r="H41" s="282">
        <v>134</v>
      </c>
      <c r="I41" s="282">
        <v>0</v>
      </c>
      <c r="J41" s="282">
        <v>0</v>
      </c>
      <c r="K41" s="282">
        <v>1</v>
      </c>
      <c r="L41" s="282">
        <v>0</v>
      </c>
      <c r="M41" s="282">
        <v>0</v>
      </c>
      <c r="N41" s="282">
        <v>0</v>
      </c>
      <c r="P41" s="283"/>
      <c r="Q41" s="286">
        <f t="shared" si="21"/>
        <v>1</v>
      </c>
      <c r="R41" s="286">
        <f t="shared" si="21"/>
        <v>1</v>
      </c>
      <c r="S41" s="286">
        <v>0</v>
      </c>
      <c r="T41" s="286">
        <v>0</v>
      </c>
      <c r="U41" s="286"/>
      <c r="V41" s="286">
        <v>0</v>
      </c>
      <c r="W41" s="286">
        <v>0</v>
      </c>
      <c r="X41" s="286"/>
      <c r="Y41" s="286">
        <v>0</v>
      </c>
      <c r="Z41" s="286">
        <v>0</v>
      </c>
      <c r="AA41" s="286"/>
      <c r="AB41" s="286">
        <v>0</v>
      </c>
      <c r="AC41" s="286">
        <v>0</v>
      </c>
      <c r="AD41" s="286"/>
      <c r="AE41" s="286">
        <v>0</v>
      </c>
      <c r="AF41" s="286">
        <v>0</v>
      </c>
      <c r="AG41" s="286"/>
      <c r="AH41" s="286">
        <v>0</v>
      </c>
      <c r="AI41" s="286">
        <v>0</v>
      </c>
      <c r="AJ41" s="286"/>
      <c r="AK41" s="286">
        <v>1</v>
      </c>
      <c r="AL41" s="286">
        <v>1</v>
      </c>
      <c r="AM41" s="286"/>
      <c r="AN41" s="286">
        <v>0</v>
      </c>
      <c r="AO41" s="286">
        <v>0</v>
      </c>
      <c r="AP41" s="286"/>
      <c r="AQ41" s="286">
        <v>0</v>
      </c>
      <c r="AR41" s="286">
        <v>0</v>
      </c>
      <c r="AS41" s="286"/>
      <c r="AT41" s="286">
        <v>0</v>
      </c>
      <c r="AU41" s="286">
        <v>0</v>
      </c>
      <c r="AV41" s="286"/>
      <c r="AW41" s="286">
        <v>0</v>
      </c>
      <c r="AX41" s="286">
        <v>0</v>
      </c>
      <c r="AY41" s="286"/>
      <c r="AZ41" s="286">
        <v>0</v>
      </c>
      <c r="BA41" s="286">
        <v>0</v>
      </c>
      <c r="BB41" s="286"/>
      <c r="BC41" s="286">
        <v>0</v>
      </c>
      <c r="BD41" s="286">
        <v>0</v>
      </c>
      <c r="BE41" s="286"/>
      <c r="BF41" s="286">
        <v>0</v>
      </c>
      <c r="BG41" s="286">
        <v>0</v>
      </c>
      <c r="BH41" s="286"/>
      <c r="BI41" s="286">
        <v>0</v>
      </c>
      <c r="BJ41" s="286">
        <v>0</v>
      </c>
      <c r="BK41" s="286"/>
      <c r="BL41" s="286">
        <v>0</v>
      </c>
      <c r="BM41" s="286">
        <v>0</v>
      </c>
      <c r="BN41" s="286"/>
      <c r="BO41" s="286">
        <v>0</v>
      </c>
      <c r="BP41" s="286">
        <v>0</v>
      </c>
      <c r="BQ41" s="286"/>
      <c r="BR41" s="286">
        <v>0</v>
      </c>
      <c r="BS41" s="286">
        <v>0</v>
      </c>
      <c r="BT41" s="286"/>
      <c r="BU41" s="286">
        <v>0</v>
      </c>
      <c r="BV41" s="286">
        <v>0</v>
      </c>
      <c r="BW41" s="286"/>
      <c r="BX41" s="286">
        <v>0</v>
      </c>
      <c r="BY41" s="286">
        <v>0</v>
      </c>
      <c r="BZ41" s="286"/>
      <c r="CA41" s="286">
        <v>0</v>
      </c>
      <c r="CB41" s="286">
        <v>0</v>
      </c>
      <c r="CC41" s="286"/>
      <c r="CD41" s="286">
        <v>0</v>
      </c>
      <c r="CE41" s="286">
        <v>0</v>
      </c>
      <c r="CF41" s="286"/>
      <c r="CG41" s="286">
        <v>0</v>
      </c>
      <c r="CH41" s="286">
        <v>0</v>
      </c>
      <c r="CI41" s="286"/>
      <c r="CJ41" s="286">
        <v>0</v>
      </c>
      <c r="CK41" s="286">
        <v>0</v>
      </c>
    </row>
    <row r="42" spans="1:89" x14ac:dyDescent="0.25">
      <c r="A42" s="95"/>
      <c r="B42" s="96" t="s">
        <v>1184</v>
      </c>
      <c r="C42" s="16"/>
      <c r="D42" s="95" t="s">
        <v>8</v>
      </c>
      <c r="E42" s="279">
        <f t="shared" ref="E42:K43" si="22">E45/E54*100</f>
        <v>38.175270108043222</v>
      </c>
      <c r="F42" s="279">
        <f t="shared" si="22"/>
        <v>48.018120045300108</v>
      </c>
      <c r="G42" s="279">
        <f t="shared" si="22"/>
        <v>58.544303797468359</v>
      </c>
      <c r="H42" s="279">
        <f t="shared" si="22"/>
        <v>69.20289855072464</v>
      </c>
      <c r="I42" s="279">
        <f t="shared" si="22"/>
        <v>75.946547884187083</v>
      </c>
      <c r="J42" s="279">
        <f t="shared" si="22"/>
        <v>83.888292158968852</v>
      </c>
      <c r="K42" s="279">
        <f>K45/K54*100</f>
        <v>81.437768240343345</v>
      </c>
      <c r="L42" s="279" t="e">
        <f t="shared" ref="L42:M43" si="23">L45/L54*100</f>
        <v>#DIV/0!</v>
      </c>
      <c r="M42" s="279" t="e">
        <f t="shared" si="23"/>
        <v>#DIV/0!</v>
      </c>
      <c r="N42" s="279" t="e">
        <f t="shared" ref="N42" si="24">N45/N54*100</f>
        <v>#DIV/0!</v>
      </c>
      <c r="O42" s="281"/>
      <c r="Q42" s="279">
        <f t="shared" ref="Q42:T43" si="25">Q45/Q54*100</f>
        <v>81.437768240343345</v>
      </c>
      <c r="R42" s="279">
        <f t="shared" si="25"/>
        <v>90.543478260869563</v>
      </c>
      <c r="S42" s="279" t="e">
        <f t="shared" si="25"/>
        <v>#DIV/0!</v>
      </c>
      <c r="T42" s="279" t="e">
        <f t="shared" si="25"/>
        <v>#DIV/0!</v>
      </c>
      <c r="V42" s="279" t="e">
        <f>V45/V54*100</f>
        <v>#DIV/0!</v>
      </c>
      <c r="W42" s="279" t="e">
        <f>W45/W54*100</f>
        <v>#DIV/0!</v>
      </c>
      <c r="Y42" s="279" t="e">
        <f>Y45/Y54*100</f>
        <v>#DIV/0!</v>
      </c>
      <c r="Z42" s="279" t="e">
        <f>Z45/Z54*100</f>
        <v>#DIV/0!</v>
      </c>
      <c r="AB42" s="279" t="e">
        <f>AB45/AB54*100</f>
        <v>#DIV/0!</v>
      </c>
      <c r="AC42" s="279" t="e">
        <f>AC45/AC54*100</f>
        <v>#DIV/0!</v>
      </c>
      <c r="AE42" s="279" t="e">
        <f>AE45/AE54*100</f>
        <v>#DIV/0!</v>
      </c>
      <c r="AF42" s="279" t="e">
        <f>AF45/AF54*100</f>
        <v>#DIV/0!</v>
      </c>
      <c r="AH42" s="279" t="e">
        <f>AH45/AH54*100</f>
        <v>#DIV/0!</v>
      </c>
      <c r="AI42" s="279" t="e">
        <f>AI45/AI54*100</f>
        <v>#DIV/0!</v>
      </c>
      <c r="AK42" s="279" t="e">
        <f>AK45/AK54*100</f>
        <v>#DIV/0!</v>
      </c>
      <c r="AL42" s="279" t="e">
        <f>AL45/AL54*100</f>
        <v>#DIV/0!</v>
      </c>
      <c r="AN42" s="279" t="e">
        <f>AN45/AN54*100</f>
        <v>#DIV/0!</v>
      </c>
      <c r="AO42" s="279" t="e">
        <f>AO45/AO54*100</f>
        <v>#DIV/0!</v>
      </c>
      <c r="AQ42" s="279" t="e">
        <f>AQ45/AQ54*100</f>
        <v>#DIV/0!</v>
      </c>
      <c r="AR42" s="279" t="e">
        <f>AR45/AR54*100</f>
        <v>#DIV/0!</v>
      </c>
      <c r="AT42" s="279" t="e">
        <f>AT45/AT54*100</f>
        <v>#DIV/0!</v>
      </c>
      <c r="AU42" s="279" t="e">
        <f>AU45/AU54*100</f>
        <v>#DIV/0!</v>
      </c>
      <c r="AW42" s="279" t="e">
        <f>AW45/AW54*100</f>
        <v>#DIV/0!</v>
      </c>
      <c r="AX42" s="279" t="e">
        <f>AX45/AX54*100</f>
        <v>#DIV/0!</v>
      </c>
      <c r="AZ42" s="279" t="e">
        <f>AZ45/AZ54*100</f>
        <v>#DIV/0!</v>
      </c>
      <c r="BA42" s="279" t="e">
        <f>BA45/BA54*100</f>
        <v>#DIV/0!</v>
      </c>
      <c r="BC42" s="279">
        <f>BC45/BC54*100</f>
        <v>78.074866310160431</v>
      </c>
      <c r="BD42" s="279">
        <f>BD45/BD54*100</f>
        <v>87.7659574468085</v>
      </c>
      <c r="BF42" s="279">
        <f>BF45/BF54*100</f>
        <v>87.434554973821989</v>
      </c>
      <c r="BG42" s="279">
        <f>BG45/BG54*100</f>
        <v>96.132596685082873</v>
      </c>
      <c r="BI42" s="279">
        <f>BI45/BI54*100</f>
        <v>79.587155963302749</v>
      </c>
      <c r="BJ42" s="279">
        <f>BJ45/BJ54*100</f>
        <v>90.094339622641513</v>
      </c>
      <c r="BL42" s="279" t="e">
        <f>BL45/BL54*100</f>
        <v>#DIV/0!</v>
      </c>
      <c r="BM42" s="279" t="e">
        <f>BM45/BM54*100</f>
        <v>#DIV/0!</v>
      </c>
      <c r="BO42" s="279" t="e">
        <f>BO45/BO54*100</f>
        <v>#DIV/0!</v>
      </c>
      <c r="BP42" s="279" t="e">
        <f>BP45/BP54*100</f>
        <v>#DIV/0!</v>
      </c>
      <c r="BR42" s="279" t="e">
        <f>BR45/BR54*100</f>
        <v>#DIV/0!</v>
      </c>
      <c r="BS42" s="279" t="e">
        <f>BS45/BS54*100</f>
        <v>#DIV/0!</v>
      </c>
      <c r="BU42" s="279" t="e">
        <f>BU45/BU54*100</f>
        <v>#DIV/0!</v>
      </c>
      <c r="BV42" s="279" t="e">
        <f>BV45/BV54*100</f>
        <v>#DIV/0!</v>
      </c>
      <c r="BX42" s="279" t="e">
        <f>BX45/BX54*100</f>
        <v>#DIV/0!</v>
      </c>
      <c r="BY42" s="279" t="e">
        <f>BY45/BY54*100</f>
        <v>#DIV/0!</v>
      </c>
      <c r="CA42" s="279" t="e">
        <f>CA45/CA54*100</f>
        <v>#DIV/0!</v>
      </c>
      <c r="CB42" s="279" t="e">
        <f>CB45/CB54*100</f>
        <v>#DIV/0!</v>
      </c>
      <c r="CD42" s="279">
        <f>CD45/CD54*100</f>
        <v>83.898305084745758</v>
      </c>
      <c r="CE42" s="279">
        <f>CE45/CE54*100</f>
        <v>88.188976377952756</v>
      </c>
      <c r="CG42" s="279" t="e">
        <f>CG45/CG54*100</f>
        <v>#DIV/0!</v>
      </c>
      <c r="CH42" s="279" t="e">
        <f>CH45/CH54*100</f>
        <v>#DIV/0!</v>
      </c>
      <c r="CJ42" s="279" t="e">
        <f>CJ45/CJ54*100</f>
        <v>#DIV/0!</v>
      </c>
      <c r="CK42" s="279" t="e">
        <f>CK45/CK54*100</f>
        <v>#DIV/0!</v>
      </c>
    </row>
    <row r="43" spans="1:89" x14ac:dyDescent="0.25">
      <c r="A43" s="95"/>
      <c r="B43" s="96" t="s">
        <v>1183</v>
      </c>
      <c r="C43" s="16"/>
      <c r="D43" s="95" t="s">
        <v>8</v>
      </c>
      <c r="E43" s="279">
        <f t="shared" si="22"/>
        <v>38.175270108043222</v>
      </c>
      <c r="F43" s="279">
        <f t="shared" si="22"/>
        <v>48.018120045300108</v>
      </c>
      <c r="G43" s="279">
        <f t="shared" si="22"/>
        <v>58.544303797468359</v>
      </c>
      <c r="H43" s="279">
        <f t="shared" si="22"/>
        <v>69.20289855072464</v>
      </c>
      <c r="I43" s="279">
        <f t="shared" si="22"/>
        <v>75.946547884187083</v>
      </c>
      <c r="J43" s="279">
        <f t="shared" si="22"/>
        <v>83.888292158968852</v>
      </c>
      <c r="K43" s="279">
        <f t="shared" si="22"/>
        <v>81.437768240343345</v>
      </c>
      <c r="L43" s="279" t="e">
        <f t="shared" ref="L43" si="26">L46/L55*100</f>
        <v>#DIV/0!</v>
      </c>
      <c r="M43" s="279" t="e">
        <f t="shared" si="23"/>
        <v>#DIV/0!</v>
      </c>
      <c r="N43" s="279" t="e">
        <f t="shared" ref="N43" si="27">N46/N55*100</f>
        <v>#DIV/0!</v>
      </c>
      <c r="O43" s="281"/>
      <c r="Q43" s="279">
        <f t="shared" si="25"/>
        <v>81.437768240343345</v>
      </c>
      <c r="R43" s="279">
        <f t="shared" si="25"/>
        <v>90.543478260869563</v>
      </c>
      <c r="S43" s="279" t="e">
        <f t="shared" si="25"/>
        <v>#DIV/0!</v>
      </c>
      <c r="T43" s="279" t="e">
        <f t="shared" si="25"/>
        <v>#DIV/0!</v>
      </c>
      <c r="V43" s="279" t="e">
        <f>V46/V55*100</f>
        <v>#DIV/0!</v>
      </c>
      <c r="W43" s="279" t="e">
        <f>W46/W55*100</f>
        <v>#DIV/0!</v>
      </c>
      <c r="Y43" s="279" t="e">
        <f>Y46/Y55*100</f>
        <v>#DIV/0!</v>
      </c>
      <c r="Z43" s="279" t="e">
        <f>Z46/Z55*100</f>
        <v>#DIV/0!</v>
      </c>
      <c r="AB43" s="279" t="e">
        <f>AB46/AB55*100</f>
        <v>#DIV/0!</v>
      </c>
      <c r="AC43" s="279" t="e">
        <f>AC46/AC55*100</f>
        <v>#DIV/0!</v>
      </c>
      <c r="AE43" s="279" t="e">
        <f>AE46/AE55*100</f>
        <v>#DIV/0!</v>
      </c>
      <c r="AF43" s="279" t="e">
        <f>AF46/AF55*100</f>
        <v>#DIV/0!</v>
      </c>
      <c r="AH43" s="279" t="e">
        <f>AH46/AH55*100</f>
        <v>#DIV/0!</v>
      </c>
      <c r="AI43" s="279" t="e">
        <f>AI46/AI55*100</f>
        <v>#DIV/0!</v>
      </c>
      <c r="AK43" s="279" t="e">
        <f>AK46/AK55*100</f>
        <v>#DIV/0!</v>
      </c>
      <c r="AL43" s="279" t="e">
        <f>AL46/AL55*100</f>
        <v>#DIV/0!</v>
      </c>
      <c r="AN43" s="279" t="e">
        <f>AN46/AN55*100</f>
        <v>#DIV/0!</v>
      </c>
      <c r="AO43" s="279" t="e">
        <f>AO46/AO55*100</f>
        <v>#DIV/0!</v>
      </c>
      <c r="AQ43" s="279" t="e">
        <f>AQ46/AQ55*100</f>
        <v>#DIV/0!</v>
      </c>
      <c r="AR43" s="279" t="e">
        <f>AR46/AR55*100</f>
        <v>#DIV/0!</v>
      </c>
      <c r="AT43" s="279" t="e">
        <f>AT46/AT55*100</f>
        <v>#DIV/0!</v>
      </c>
      <c r="AU43" s="279" t="e">
        <f>AU46/AU55*100</f>
        <v>#DIV/0!</v>
      </c>
      <c r="AW43" s="279" t="e">
        <f>AW46/AW55*100</f>
        <v>#DIV/0!</v>
      </c>
      <c r="AX43" s="279" t="e">
        <f>AX46/AX55*100</f>
        <v>#DIV/0!</v>
      </c>
      <c r="AZ43" s="279" t="e">
        <f>AZ46/AZ55*100</f>
        <v>#DIV/0!</v>
      </c>
      <c r="BA43" s="279" t="e">
        <f>BA46/BA55*100</f>
        <v>#DIV/0!</v>
      </c>
      <c r="BC43" s="279">
        <f>BC46/BC55*100</f>
        <v>78.074866310160431</v>
      </c>
      <c r="BD43" s="279">
        <f>BD46/BD55*100</f>
        <v>87.7659574468085</v>
      </c>
      <c r="BF43" s="279">
        <f>BF46/BF55*100</f>
        <v>87.434554973821989</v>
      </c>
      <c r="BG43" s="279">
        <f>BG46/BG55*100</f>
        <v>96.132596685082873</v>
      </c>
      <c r="BI43" s="279">
        <f>BI46/BI55*100</f>
        <v>79.587155963302749</v>
      </c>
      <c r="BJ43" s="279">
        <f>BJ46/BJ55*100</f>
        <v>90.094339622641513</v>
      </c>
      <c r="BL43" s="279" t="e">
        <f>BL46/BL55*100</f>
        <v>#DIV/0!</v>
      </c>
      <c r="BM43" s="279" t="e">
        <f>BM46/BM55*100</f>
        <v>#DIV/0!</v>
      </c>
      <c r="BO43" s="279" t="e">
        <f>BO46/BO55*100</f>
        <v>#DIV/0!</v>
      </c>
      <c r="BP43" s="279" t="e">
        <f>BP46/BP55*100</f>
        <v>#DIV/0!</v>
      </c>
      <c r="BR43" s="279" t="e">
        <f>BR46/BR55*100</f>
        <v>#DIV/0!</v>
      </c>
      <c r="BS43" s="279" t="e">
        <f>BS46/BS55*100</f>
        <v>#DIV/0!</v>
      </c>
      <c r="BU43" s="279" t="e">
        <f>BU46/BU55*100</f>
        <v>#DIV/0!</v>
      </c>
      <c r="BV43" s="279" t="e">
        <f>BV46/BV55*100</f>
        <v>#DIV/0!</v>
      </c>
      <c r="BX43" s="279" t="e">
        <f>BX46/BX55*100</f>
        <v>#DIV/0!</v>
      </c>
      <c r="BY43" s="279" t="e">
        <f>BY46/BY55*100</f>
        <v>#DIV/0!</v>
      </c>
      <c r="CA43" s="279" t="e">
        <f>CA46/CA55*100</f>
        <v>#DIV/0!</v>
      </c>
      <c r="CB43" s="279" t="e">
        <f>CB46/CB55*100</f>
        <v>#DIV/0!</v>
      </c>
      <c r="CD43" s="279">
        <f>CD46/CD55*100</f>
        <v>83.898305084745758</v>
      </c>
      <c r="CE43" s="279">
        <f>CE46/CE55*100</f>
        <v>88.188976377952756</v>
      </c>
      <c r="CG43" s="279" t="e">
        <f>CG46/CG55*100</f>
        <v>#DIV/0!</v>
      </c>
      <c r="CH43" s="279" t="e">
        <f>CH46/CH55*100</f>
        <v>#DIV/0!</v>
      </c>
      <c r="CJ43" s="279" t="e">
        <f>CJ46/CJ55*100</f>
        <v>#DIV/0!</v>
      </c>
      <c r="CK43" s="279" t="e">
        <f>CK46/CK55*100</f>
        <v>#DIV/0!</v>
      </c>
    </row>
    <row r="44" spans="1:89" x14ac:dyDescent="0.25">
      <c r="A44" s="95"/>
      <c r="B44" s="96" t="s">
        <v>1185</v>
      </c>
      <c r="C44" s="16"/>
      <c r="D44" s="95" t="s">
        <v>8</v>
      </c>
      <c r="E44" s="279" t="e">
        <f t="shared" ref="E44:J44" si="28">E50/E59*100</f>
        <v>#DIV/0!</v>
      </c>
      <c r="F44" s="279" t="e">
        <f t="shared" si="28"/>
        <v>#DIV/0!</v>
      </c>
      <c r="G44" s="279" t="e">
        <f t="shared" si="28"/>
        <v>#DIV/0!</v>
      </c>
      <c r="H44" s="279" t="e">
        <f t="shared" si="28"/>
        <v>#DIV/0!</v>
      </c>
      <c r="I44" s="279" t="e">
        <f t="shared" si="28"/>
        <v>#DIV/0!</v>
      </c>
      <c r="J44" s="279" t="e">
        <f t="shared" si="28"/>
        <v>#DIV/0!</v>
      </c>
      <c r="K44" s="279" t="e">
        <f>K50/K59*100</f>
        <v>#DIV/0!</v>
      </c>
      <c r="L44" s="279" t="e">
        <f>L50/L59*100</f>
        <v>#DIV/0!</v>
      </c>
      <c r="M44" s="279" t="e">
        <f>M50/M59*100</f>
        <v>#DIV/0!</v>
      </c>
      <c r="N44" s="279" t="e">
        <f>N50/N59*100</f>
        <v>#DIV/0!</v>
      </c>
      <c r="O44" s="281"/>
      <c r="Q44" s="279" t="e">
        <f>Q50/Q59*100</f>
        <v>#DIV/0!</v>
      </c>
      <c r="R44" s="279" t="e">
        <f>R50/R59*100</f>
        <v>#DIV/0!</v>
      </c>
      <c r="S44" s="279" t="e">
        <f>S50/S59*100</f>
        <v>#DIV/0!</v>
      </c>
      <c r="T44" s="279" t="e">
        <f>T50/T59*100</f>
        <v>#DIV/0!</v>
      </c>
      <c r="V44" s="279" t="e">
        <f>V50/V59*100</f>
        <v>#DIV/0!</v>
      </c>
      <c r="W44" s="279" t="e">
        <f>W50/W59*100</f>
        <v>#DIV/0!</v>
      </c>
      <c r="Y44" s="279" t="e">
        <f>Y50/Y59*100</f>
        <v>#DIV/0!</v>
      </c>
      <c r="Z44" s="279" t="e">
        <f>Z50/Z59*100</f>
        <v>#DIV/0!</v>
      </c>
      <c r="AB44" s="279" t="e">
        <f>AB50/AB59*100</f>
        <v>#DIV/0!</v>
      </c>
      <c r="AC44" s="279" t="e">
        <f>AC50/AC59*100</f>
        <v>#DIV/0!</v>
      </c>
      <c r="AE44" s="279" t="e">
        <f>AE50/AE59*100</f>
        <v>#DIV/0!</v>
      </c>
      <c r="AF44" s="279" t="e">
        <f>AF50/AF59*100</f>
        <v>#DIV/0!</v>
      </c>
      <c r="AH44" s="279" t="e">
        <f>AH50/AH59*100</f>
        <v>#DIV/0!</v>
      </c>
      <c r="AI44" s="279" t="e">
        <f>AI50/AI59*100</f>
        <v>#DIV/0!</v>
      </c>
      <c r="AK44" s="279" t="e">
        <f>AK50/AK59*100</f>
        <v>#DIV/0!</v>
      </c>
      <c r="AL44" s="279" t="e">
        <f>AL50/AL59*100</f>
        <v>#DIV/0!</v>
      </c>
      <c r="AN44" s="279" t="e">
        <f>AN50/AN59*100</f>
        <v>#DIV/0!</v>
      </c>
      <c r="AO44" s="279" t="e">
        <f>AO50/AO59*100</f>
        <v>#DIV/0!</v>
      </c>
      <c r="AQ44" s="279" t="e">
        <f>AQ50/AQ59*100</f>
        <v>#DIV/0!</v>
      </c>
      <c r="AR44" s="279" t="e">
        <f>AR50/AR59*100</f>
        <v>#DIV/0!</v>
      </c>
      <c r="AT44" s="279" t="e">
        <f>AT50/AT59*100</f>
        <v>#DIV/0!</v>
      </c>
      <c r="AU44" s="279" t="e">
        <f>AU50/AU59*100</f>
        <v>#DIV/0!</v>
      </c>
      <c r="AW44" s="279" t="e">
        <f>AW50/AW59*100</f>
        <v>#DIV/0!</v>
      </c>
      <c r="AX44" s="279" t="e">
        <f>AX50/AX59*100</f>
        <v>#DIV/0!</v>
      </c>
      <c r="AZ44" s="279" t="e">
        <f>AZ50/AZ59*100</f>
        <v>#DIV/0!</v>
      </c>
      <c r="BA44" s="279" t="e">
        <f>BA50/BA59*100</f>
        <v>#DIV/0!</v>
      </c>
      <c r="BC44" s="279" t="e">
        <f>BC50/BC59*100</f>
        <v>#DIV/0!</v>
      </c>
      <c r="BD44" s="279" t="e">
        <f>BD50/BD59*100</f>
        <v>#DIV/0!</v>
      </c>
      <c r="BF44" s="279" t="e">
        <f>BF50/BF59*100</f>
        <v>#DIV/0!</v>
      </c>
      <c r="BG44" s="279" t="e">
        <f>BG50/BG59*100</f>
        <v>#DIV/0!</v>
      </c>
      <c r="BI44" s="279" t="e">
        <f>BI50/BI59*100</f>
        <v>#DIV/0!</v>
      </c>
      <c r="BJ44" s="279" t="e">
        <f>BJ50/BJ59*100</f>
        <v>#DIV/0!</v>
      </c>
      <c r="BL44" s="279" t="e">
        <f>BL50/BL59*100</f>
        <v>#DIV/0!</v>
      </c>
      <c r="BM44" s="279" t="e">
        <f>BM50/BM59*100</f>
        <v>#DIV/0!</v>
      </c>
      <c r="BO44" s="279" t="e">
        <f>BO50/BO59*100</f>
        <v>#DIV/0!</v>
      </c>
      <c r="BP44" s="279" t="e">
        <f>BP50/BP59*100</f>
        <v>#DIV/0!</v>
      </c>
      <c r="BR44" s="279" t="e">
        <f>BR50/BR59*100</f>
        <v>#DIV/0!</v>
      </c>
      <c r="BS44" s="279" t="e">
        <f>BS50/BS59*100</f>
        <v>#DIV/0!</v>
      </c>
      <c r="BU44" s="279" t="e">
        <f>BU50/BU59*100</f>
        <v>#DIV/0!</v>
      </c>
      <c r="BV44" s="279" t="e">
        <f>BV50/BV59*100</f>
        <v>#DIV/0!</v>
      </c>
      <c r="BX44" s="279" t="e">
        <f>BX50/BX59*100</f>
        <v>#DIV/0!</v>
      </c>
      <c r="BY44" s="279" t="e">
        <f>BY50/BY59*100</f>
        <v>#DIV/0!</v>
      </c>
      <c r="CA44" s="279" t="e">
        <f>CA50/CA59*100</f>
        <v>#DIV/0!</v>
      </c>
      <c r="CB44" s="279" t="e">
        <f>CB50/CB59*100</f>
        <v>#DIV/0!</v>
      </c>
      <c r="CD44" s="279" t="e">
        <f>CD50/CD59*100</f>
        <v>#DIV/0!</v>
      </c>
      <c r="CE44" s="279" t="e">
        <f>CE50/CE59*100</f>
        <v>#DIV/0!</v>
      </c>
      <c r="CG44" s="279" t="e">
        <f>CG50/CG59*100</f>
        <v>#DIV/0!</v>
      </c>
      <c r="CH44" s="279" t="e">
        <f>CH50/CH59*100</f>
        <v>#DIV/0!</v>
      </c>
      <c r="CJ44" s="279" t="e">
        <f>CJ50/CJ59*100</f>
        <v>#DIV/0!</v>
      </c>
      <c r="CK44" s="279" t="e">
        <f>CK50/CK59*100</f>
        <v>#DIV/0!</v>
      </c>
    </row>
    <row r="45" spans="1:89" ht="105" x14ac:dyDescent="0.25">
      <c r="A45" s="107"/>
      <c r="B45" s="16" t="s">
        <v>137</v>
      </c>
      <c r="C45" s="95" t="s">
        <v>138</v>
      </c>
      <c r="D45" s="95" t="s">
        <v>950</v>
      </c>
      <c r="E45" s="282">
        <f t="shared" ref="E45:J45" si="29">E46+E50</f>
        <v>318</v>
      </c>
      <c r="F45" s="282">
        <f t="shared" si="29"/>
        <v>424</v>
      </c>
      <c r="G45" s="282">
        <f t="shared" si="29"/>
        <v>555</v>
      </c>
      <c r="H45" s="282">
        <f t="shared" si="29"/>
        <v>573</v>
      </c>
      <c r="I45" s="282">
        <f t="shared" si="29"/>
        <v>682</v>
      </c>
      <c r="J45" s="282">
        <f t="shared" si="29"/>
        <v>781</v>
      </c>
      <c r="K45" s="282">
        <f>K46+K50</f>
        <v>759</v>
      </c>
      <c r="L45" s="282">
        <f>L46+L50</f>
        <v>0</v>
      </c>
      <c r="M45" s="282">
        <f>M46+M50</f>
        <v>0</v>
      </c>
      <c r="N45" s="282">
        <f>N46+N50</f>
        <v>0</v>
      </c>
      <c r="Q45" s="282">
        <f t="shared" ref="Q45:CD45" si="30">Q46+Q50</f>
        <v>759</v>
      </c>
      <c r="R45" s="282">
        <f t="shared" si="30"/>
        <v>833</v>
      </c>
      <c r="S45" s="282">
        <f t="shared" si="30"/>
        <v>0</v>
      </c>
      <c r="T45" s="282">
        <f t="shared" si="30"/>
        <v>0</v>
      </c>
      <c r="V45" s="282">
        <f t="shared" si="30"/>
        <v>0</v>
      </c>
      <c r="W45" s="282">
        <f t="shared" si="30"/>
        <v>0</v>
      </c>
      <c r="Y45" s="282">
        <f t="shared" si="30"/>
        <v>0</v>
      </c>
      <c r="Z45" s="282">
        <f t="shared" si="30"/>
        <v>0</v>
      </c>
      <c r="AB45" s="282">
        <f t="shared" si="30"/>
        <v>0</v>
      </c>
      <c r="AC45" s="282">
        <f t="shared" si="30"/>
        <v>0</v>
      </c>
      <c r="AE45" s="282">
        <f t="shared" si="30"/>
        <v>0</v>
      </c>
      <c r="AF45" s="282">
        <f t="shared" si="30"/>
        <v>0</v>
      </c>
      <c r="AH45" s="282">
        <f t="shared" si="30"/>
        <v>0</v>
      </c>
      <c r="AI45" s="282">
        <f t="shared" si="30"/>
        <v>0</v>
      </c>
      <c r="AK45" s="282">
        <f t="shared" si="30"/>
        <v>0</v>
      </c>
      <c r="AL45" s="282">
        <f t="shared" si="30"/>
        <v>0</v>
      </c>
      <c r="AN45" s="282">
        <f t="shared" si="30"/>
        <v>0</v>
      </c>
      <c r="AO45" s="282">
        <f t="shared" si="30"/>
        <v>0</v>
      </c>
      <c r="AQ45" s="282">
        <f t="shared" si="30"/>
        <v>0</v>
      </c>
      <c r="AR45" s="282">
        <f t="shared" si="30"/>
        <v>0</v>
      </c>
      <c r="AT45" s="282">
        <f t="shared" si="30"/>
        <v>0</v>
      </c>
      <c r="AU45" s="282">
        <f t="shared" si="30"/>
        <v>0</v>
      </c>
      <c r="AW45" s="282">
        <f t="shared" si="30"/>
        <v>0</v>
      </c>
      <c r="AX45" s="282">
        <f t="shared" si="30"/>
        <v>0</v>
      </c>
      <c r="AZ45" s="282">
        <f t="shared" si="30"/>
        <v>0</v>
      </c>
      <c r="BA45" s="282">
        <f t="shared" si="30"/>
        <v>0</v>
      </c>
      <c r="BC45" s="282">
        <f t="shared" si="30"/>
        <v>146</v>
      </c>
      <c r="BD45" s="282">
        <f t="shared" si="30"/>
        <v>165</v>
      </c>
      <c r="BF45" s="282">
        <f t="shared" si="30"/>
        <v>167</v>
      </c>
      <c r="BG45" s="282">
        <f t="shared" si="30"/>
        <v>174</v>
      </c>
      <c r="BI45" s="282">
        <f t="shared" si="30"/>
        <v>347</v>
      </c>
      <c r="BJ45" s="282">
        <f t="shared" si="30"/>
        <v>382</v>
      </c>
      <c r="BL45" s="282">
        <f t="shared" si="30"/>
        <v>0</v>
      </c>
      <c r="BM45" s="282">
        <f t="shared" si="30"/>
        <v>0</v>
      </c>
      <c r="BO45" s="282">
        <f t="shared" si="30"/>
        <v>0</v>
      </c>
      <c r="BP45" s="282">
        <f t="shared" si="30"/>
        <v>0</v>
      </c>
      <c r="BR45" s="282">
        <f t="shared" si="30"/>
        <v>0</v>
      </c>
      <c r="BS45" s="282">
        <f t="shared" si="30"/>
        <v>0</v>
      </c>
      <c r="BU45" s="282">
        <f t="shared" si="30"/>
        <v>0</v>
      </c>
      <c r="BV45" s="282">
        <f t="shared" si="30"/>
        <v>0</v>
      </c>
      <c r="BX45" s="282">
        <f t="shared" si="30"/>
        <v>0</v>
      </c>
      <c r="BY45" s="282">
        <f t="shared" si="30"/>
        <v>0</v>
      </c>
      <c r="CA45" s="282">
        <f t="shared" si="30"/>
        <v>0</v>
      </c>
      <c r="CB45" s="282">
        <f t="shared" si="30"/>
        <v>0</v>
      </c>
      <c r="CD45" s="282">
        <f t="shared" si="30"/>
        <v>99</v>
      </c>
      <c r="CE45" s="282">
        <f t="shared" ref="CE45:CK45" si="31">CE46+CE50</f>
        <v>112</v>
      </c>
      <c r="CG45" s="282">
        <f t="shared" si="31"/>
        <v>0</v>
      </c>
      <c r="CH45" s="282">
        <f t="shared" si="31"/>
        <v>0</v>
      </c>
      <c r="CJ45" s="282">
        <f t="shared" si="31"/>
        <v>0</v>
      </c>
      <c r="CK45" s="282">
        <f t="shared" si="31"/>
        <v>0</v>
      </c>
    </row>
    <row r="46" spans="1:89" x14ac:dyDescent="0.25">
      <c r="A46" s="95"/>
      <c r="B46" s="96" t="s">
        <v>1183</v>
      </c>
      <c r="C46" s="16"/>
      <c r="D46" s="95" t="s">
        <v>950</v>
      </c>
      <c r="E46" s="282">
        <v>318</v>
      </c>
      <c r="F46" s="282">
        <v>424</v>
      </c>
      <c r="G46" s="282">
        <v>555</v>
      </c>
      <c r="H46" s="291">
        <f>H47+H48+H49</f>
        <v>573</v>
      </c>
      <c r="I46" s="291">
        <f>I47+I48+I49</f>
        <v>682</v>
      </c>
      <c r="J46" s="291">
        <f>J47+J48+J49</f>
        <v>781</v>
      </c>
      <c r="K46" s="291">
        <f>K47+K48+K49</f>
        <v>759</v>
      </c>
      <c r="L46" s="291">
        <f>L47+L48+L49</f>
        <v>0</v>
      </c>
      <c r="M46" s="291">
        <f t="shared" ref="M46:N46" si="32">M47+M48+M49</f>
        <v>0</v>
      </c>
      <c r="N46" s="291">
        <f t="shared" si="32"/>
        <v>0</v>
      </c>
      <c r="O46" s="281"/>
      <c r="Q46" s="291">
        <f>Q47+Q48+Q49</f>
        <v>759</v>
      </c>
      <c r="R46" s="291">
        <f>R47+R48+R49</f>
        <v>833</v>
      </c>
      <c r="S46" s="291">
        <f>S47+S48+S49</f>
        <v>0</v>
      </c>
      <c r="T46" s="291">
        <f>T47+T48+T49</f>
        <v>0</v>
      </c>
      <c r="V46" s="291">
        <f>V47+V48+V49</f>
        <v>0</v>
      </c>
      <c r="W46" s="291">
        <f>W47+W48+W49</f>
        <v>0</v>
      </c>
      <c r="Y46" s="291">
        <f>Y47+Y48+Y49</f>
        <v>0</v>
      </c>
      <c r="Z46" s="291">
        <f>Z47+Z48+Z49</f>
        <v>0</v>
      </c>
      <c r="AB46" s="291">
        <f>AB47+AB48+AB49</f>
        <v>0</v>
      </c>
      <c r="AC46" s="291">
        <f>AC47+AC48+AC49</f>
        <v>0</v>
      </c>
      <c r="AE46" s="291">
        <f>AE47+AE48+AE49</f>
        <v>0</v>
      </c>
      <c r="AF46" s="291">
        <f>AF47+AF48+AF49</f>
        <v>0</v>
      </c>
      <c r="AH46" s="291">
        <f>AH47+AH48+AH49</f>
        <v>0</v>
      </c>
      <c r="AI46" s="291">
        <f>AI47+AI48+AI49</f>
        <v>0</v>
      </c>
      <c r="AK46" s="291">
        <f>AK47+AK48+AK49</f>
        <v>0</v>
      </c>
      <c r="AL46" s="291">
        <f>AL47+AL48+AL49</f>
        <v>0</v>
      </c>
      <c r="AN46" s="291">
        <f>AN47+AN48+AN49</f>
        <v>0</v>
      </c>
      <c r="AO46" s="291">
        <f>AO47+AO48+AO49</f>
        <v>0</v>
      </c>
      <c r="AQ46" s="291">
        <f>AQ47+AQ48+AQ49</f>
        <v>0</v>
      </c>
      <c r="AR46" s="291">
        <f>AR47+AR48+AR49</f>
        <v>0</v>
      </c>
      <c r="AT46" s="291">
        <f>AT47+AT48+AT49</f>
        <v>0</v>
      </c>
      <c r="AU46" s="291">
        <f>AU47+AU48+AU49</f>
        <v>0</v>
      </c>
      <c r="AW46" s="291">
        <f>AW47+AW48+AW49</f>
        <v>0</v>
      </c>
      <c r="AX46" s="291">
        <f>AX47+AX48+AX49</f>
        <v>0</v>
      </c>
      <c r="AZ46" s="291">
        <f>AZ47+AZ48+AZ49</f>
        <v>0</v>
      </c>
      <c r="BA46" s="291">
        <f>BA47+BA48+BA49</f>
        <v>0</v>
      </c>
      <c r="BC46" s="291">
        <f>BC47+BC48+BC49</f>
        <v>146</v>
      </c>
      <c r="BD46" s="291">
        <f>BD47+BD48+BD49</f>
        <v>165</v>
      </c>
      <c r="BF46" s="291">
        <f>BF47+BF48+BF49</f>
        <v>167</v>
      </c>
      <c r="BG46" s="291">
        <f>BG47+BG48+BG49</f>
        <v>174</v>
      </c>
      <c r="BI46" s="291">
        <f>BI47+BI48+BI49</f>
        <v>347</v>
      </c>
      <c r="BJ46" s="291">
        <f>BJ47+BJ48+BJ49</f>
        <v>382</v>
      </c>
      <c r="BL46" s="291">
        <f>BL47+BL48+BL49</f>
        <v>0</v>
      </c>
      <c r="BM46" s="291">
        <f>BM47+BM48+BM49</f>
        <v>0</v>
      </c>
      <c r="BO46" s="291">
        <f>BO47+BO48+BO49</f>
        <v>0</v>
      </c>
      <c r="BP46" s="291">
        <f>BP47+BP48+BP49</f>
        <v>0</v>
      </c>
      <c r="BR46" s="291">
        <f>BR47+BR48+BR49</f>
        <v>0</v>
      </c>
      <c r="BS46" s="291">
        <f>BS47+BS48+BS49</f>
        <v>0</v>
      </c>
      <c r="BU46" s="291">
        <f>BU47+BU48+BU49</f>
        <v>0</v>
      </c>
      <c r="BV46" s="291">
        <f>BV47+BV48+BV49</f>
        <v>0</v>
      </c>
      <c r="BX46" s="291">
        <f>BX47+BX48+BX49</f>
        <v>0</v>
      </c>
      <c r="BY46" s="291">
        <f>BY47+BY48+BY49</f>
        <v>0</v>
      </c>
      <c r="CA46" s="291">
        <f>CA47+CA48+CA49</f>
        <v>0</v>
      </c>
      <c r="CB46" s="291">
        <f>CB47+CB48+CB49</f>
        <v>0</v>
      </c>
      <c r="CD46" s="291">
        <f>CD47+CD48+CD49</f>
        <v>99</v>
      </c>
      <c r="CE46" s="291">
        <f>CE47+CE48+CE49</f>
        <v>112</v>
      </c>
      <c r="CG46" s="291">
        <f>CG47+CG48+CG49</f>
        <v>0</v>
      </c>
      <c r="CH46" s="291">
        <f>CH47+CH48+CH49</f>
        <v>0</v>
      </c>
      <c r="CJ46" s="291">
        <f>CJ47+CJ48+CJ49</f>
        <v>0</v>
      </c>
      <c r="CK46" s="291">
        <f>CK47+CK48+CK49</f>
        <v>0</v>
      </c>
    </row>
    <row r="47" spans="1:89" ht="30" x14ac:dyDescent="0.25">
      <c r="A47" s="95"/>
      <c r="B47" s="312"/>
      <c r="C47" s="312" t="s">
        <v>2871</v>
      </c>
      <c r="D47" s="95"/>
      <c r="E47" s="282"/>
      <c r="F47" s="282"/>
      <c r="G47" s="282"/>
      <c r="H47" s="282">
        <v>573</v>
      </c>
      <c r="I47" s="282">
        <v>682</v>
      </c>
      <c r="J47" s="282">
        <v>781</v>
      </c>
      <c r="K47" s="282">
        <v>759</v>
      </c>
      <c r="L47" s="282">
        <v>0</v>
      </c>
      <c r="M47" s="282">
        <v>0</v>
      </c>
      <c r="N47" s="282">
        <v>0</v>
      </c>
      <c r="O47" s="281"/>
      <c r="Q47" s="283">
        <f t="shared" ref="Q47:R49" si="33">S47+V47+Y47+AB47+AE47+AH47+AK47+AN47+AQ47+AT47+AW47+AZ47+BC47+BF47+BI47+BL47+BO47+BR47+BU47+BX47+CA47+CD47+CG47+CJ47</f>
        <v>759</v>
      </c>
      <c r="R47" s="283">
        <f t="shared" si="33"/>
        <v>833</v>
      </c>
      <c r="S47" s="267">
        <v>0</v>
      </c>
      <c r="T47" s="267">
        <v>0</v>
      </c>
      <c r="V47" s="267">
        <v>0</v>
      </c>
      <c r="W47" s="267">
        <v>0</v>
      </c>
      <c r="Y47" s="267">
        <v>0</v>
      </c>
      <c r="Z47" s="267">
        <v>0</v>
      </c>
      <c r="AB47" s="267">
        <v>0</v>
      </c>
      <c r="AC47" s="267">
        <v>0</v>
      </c>
      <c r="AE47" s="267">
        <v>0</v>
      </c>
      <c r="AF47" s="267">
        <v>0</v>
      </c>
      <c r="AH47" s="267">
        <v>0</v>
      </c>
      <c r="AI47" s="267">
        <v>0</v>
      </c>
      <c r="AK47" s="267">
        <v>0</v>
      </c>
      <c r="AL47" s="267">
        <v>0</v>
      </c>
      <c r="AN47" s="267">
        <v>0</v>
      </c>
      <c r="AO47" s="267">
        <v>0</v>
      </c>
      <c r="AQ47" s="267">
        <v>0</v>
      </c>
      <c r="AR47" s="267">
        <v>0</v>
      </c>
      <c r="AT47" s="267">
        <v>0</v>
      </c>
      <c r="AU47" s="267">
        <v>0</v>
      </c>
      <c r="AW47" s="267">
        <v>0</v>
      </c>
      <c r="AX47" s="267">
        <v>0</v>
      </c>
      <c r="AZ47" s="267">
        <v>0</v>
      </c>
      <c r="BA47" s="267">
        <v>0</v>
      </c>
      <c r="BC47" s="267">
        <v>146</v>
      </c>
      <c r="BD47" s="267">
        <v>165</v>
      </c>
      <c r="BF47" s="267">
        <v>167</v>
      </c>
      <c r="BG47" s="267">
        <v>174</v>
      </c>
      <c r="BI47" s="267">
        <v>347</v>
      </c>
      <c r="BJ47" s="267">
        <v>382</v>
      </c>
      <c r="BL47" s="267">
        <v>0</v>
      </c>
      <c r="BM47" s="267">
        <v>0</v>
      </c>
      <c r="BO47" s="267">
        <v>0</v>
      </c>
      <c r="BP47" s="267">
        <v>0</v>
      </c>
      <c r="BR47" s="267">
        <v>0</v>
      </c>
      <c r="BS47" s="267">
        <v>0</v>
      </c>
      <c r="BU47" s="267">
        <v>0</v>
      </c>
      <c r="BV47" s="267">
        <v>0</v>
      </c>
      <c r="BX47" s="267">
        <v>0</v>
      </c>
      <c r="BY47" s="267">
        <v>0</v>
      </c>
      <c r="CA47" s="267">
        <v>0</v>
      </c>
      <c r="CB47" s="267">
        <v>0</v>
      </c>
      <c r="CD47" s="267">
        <v>99</v>
      </c>
      <c r="CE47" s="267">
        <v>112</v>
      </c>
      <c r="CG47" s="267">
        <v>0</v>
      </c>
      <c r="CH47" s="267">
        <v>0</v>
      </c>
      <c r="CJ47" s="267">
        <v>0</v>
      </c>
      <c r="CK47" s="267">
        <v>0</v>
      </c>
    </row>
    <row r="48" spans="1:89" ht="30" x14ac:dyDescent="0.25">
      <c r="A48" s="95"/>
      <c r="B48" s="312"/>
      <c r="C48" s="312" t="s">
        <v>2872</v>
      </c>
      <c r="D48" s="95"/>
      <c r="E48" s="282"/>
      <c r="F48" s="282"/>
      <c r="G48" s="282"/>
      <c r="H48" s="282">
        <v>0</v>
      </c>
      <c r="I48" s="282">
        <v>0</v>
      </c>
      <c r="J48" s="282">
        <v>0</v>
      </c>
      <c r="K48" s="282">
        <v>0</v>
      </c>
      <c r="L48" s="282">
        <v>0</v>
      </c>
      <c r="M48" s="282">
        <v>0</v>
      </c>
      <c r="N48" s="282">
        <v>0</v>
      </c>
      <c r="O48" s="281"/>
      <c r="Q48" s="283">
        <f t="shared" si="33"/>
        <v>0</v>
      </c>
      <c r="R48" s="283">
        <f t="shared" si="33"/>
        <v>0</v>
      </c>
      <c r="S48" s="267">
        <v>0</v>
      </c>
      <c r="T48" s="267">
        <v>0</v>
      </c>
      <c r="V48" s="267">
        <v>0</v>
      </c>
      <c r="W48" s="267">
        <v>0</v>
      </c>
      <c r="Y48" s="267">
        <v>0</v>
      </c>
      <c r="Z48" s="267">
        <v>0</v>
      </c>
      <c r="AB48" s="267">
        <v>0</v>
      </c>
      <c r="AC48" s="267">
        <v>0</v>
      </c>
      <c r="AE48" s="267">
        <v>0</v>
      </c>
      <c r="AF48" s="267">
        <v>0</v>
      </c>
      <c r="AH48" s="267">
        <v>0</v>
      </c>
      <c r="AI48" s="267">
        <v>0</v>
      </c>
      <c r="AK48" s="267">
        <v>0</v>
      </c>
      <c r="AL48" s="267">
        <v>0</v>
      </c>
      <c r="AN48" s="267">
        <v>0</v>
      </c>
      <c r="AO48" s="267">
        <v>0</v>
      </c>
      <c r="AQ48" s="267">
        <v>0</v>
      </c>
      <c r="AR48" s="267">
        <v>0</v>
      </c>
      <c r="AT48" s="267">
        <v>0</v>
      </c>
      <c r="AU48" s="267">
        <v>0</v>
      </c>
      <c r="AW48" s="267">
        <v>0</v>
      </c>
      <c r="AX48" s="267">
        <v>0</v>
      </c>
      <c r="AZ48" s="267">
        <v>0</v>
      </c>
      <c r="BA48" s="267">
        <v>0</v>
      </c>
      <c r="BC48" s="267">
        <v>0</v>
      </c>
      <c r="BD48" s="267">
        <v>0</v>
      </c>
      <c r="BF48" s="267">
        <v>0</v>
      </c>
      <c r="BG48" s="267">
        <v>0</v>
      </c>
      <c r="BI48" s="267">
        <v>0</v>
      </c>
      <c r="BJ48" s="267">
        <v>0</v>
      </c>
      <c r="BL48" s="267">
        <v>0</v>
      </c>
      <c r="BM48" s="267">
        <v>0</v>
      </c>
      <c r="BO48" s="267">
        <v>0</v>
      </c>
      <c r="BP48" s="267">
        <v>0</v>
      </c>
      <c r="BR48" s="267">
        <v>0</v>
      </c>
      <c r="BS48" s="267">
        <v>0</v>
      </c>
      <c r="BU48" s="267">
        <v>0</v>
      </c>
      <c r="BV48" s="267">
        <v>0</v>
      </c>
      <c r="BX48" s="267">
        <v>0</v>
      </c>
      <c r="BY48" s="267">
        <v>0</v>
      </c>
      <c r="CA48" s="267">
        <v>0</v>
      </c>
      <c r="CB48" s="267">
        <v>0</v>
      </c>
      <c r="CD48" s="267">
        <v>0</v>
      </c>
      <c r="CE48" s="267">
        <v>0</v>
      </c>
      <c r="CG48" s="267">
        <v>0</v>
      </c>
      <c r="CH48" s="267">
        <v>0</v>
      </c>
      <c r="CJ48" s="267">
        <v>0</v>
      </c>
      <c r="CK48" s="267">
        <v>0</v>
      </c>
    </row>
    <row r="49" spans="1:89" ht="30" x14ac:dyDescent="0.25">
      <c r="A49" s="95"/>
      <c r="B49" s="312"/>
      <c r="C49" s="312" t="s">
        <v>2873</v>
      </c>
      <c r="D49" s="95"/>
      <c r="E49" s="282"/>
      <c r="F49" s="282"/>
      <c r="G49" s="282"/>
      <c r="H49" s="282">
        <v>0</v>
      </c>
      <c r="I49" s="282">
        <v>0</v>
      </c>
      <c r="J49" s="282">
        <v>0</v>
      </c>
      <c r="K49" s="282">
        <v>0</v>
      </c>
      <c r="L49" s="282">
        <v>0</v>
      </c>
      <c r="M49" s="282">
        <v>0</v>
      </c>
      <c r="N49" s="282">
        <v>0</v>
      </c>
      <c r="O49" s="281"/>
      <c r="Q49" s="283">
        <f t="shared" si="33"/>
        <v>0</v>
      </c>
      <c r="R49" s="283">
        <f t="shared" si="33"/>
        <v>0</v>
      </c>
      <c r="S49" s="267">
        <v>0</v>
      </c>
      <c r="T49" s="267">
        <v>0</v>
      </c>
      <c r="V49" s="267">
        <v>0</v>
      </c>
      <c r="W49" s="267">
        <v>0</v>
      </c>
      <c r="Y49" s="267">
        <v>0</v>
      </c>
      <c r="Z49" s="267">
        <v>0</v>
      </c>
      <c r="AB49" s="267">
        <v>0</v>
      </c>
      <c r="AC49" s="267">
        <v>0</v>
      </c>
      <c r="AE49" s="267">
        <v>0</v>
      </c>
      <c r="AF49" s="267">
        <v>0</v>
      </c>
      <c r="AH49" s="267">
        <v>0</v>
      </c>
      <c r="AI49" s="267">
        <v>0</v>
      </c>
      <c r="AK49" s="267">
        <v>0</v>
      </c>
      <c r="AL49" s="267">
        <v>0</v>
      </c>
      <c r="AN49" s="267">
        <v>0</v>
      </c>
      <c r="AO49" s="267">
        <v>0</v>
      </c>
      <c r="AQ49" s="267">
        <v>0</v>
      </c>
      <c r="AR49" s="267">
        <v>0</v>
      </c>
      <c r="AT49" s="267">
        <v>0</v>
      </c>
      <c r="AU49" s="267">
        <v>0</v>
      </c>
      <c r="AW49" s="267">
        <v>0</v>
      </c>
      <c r="AX49" s="267">
        <v>0</v>
      </c>
      <c r="AZ49" s="267">
        <v>0</v>
      </c>
      <c r="BA49" s="267">
        <v>0</v>
      </c>
      <c r="BC49" s="267">
        <v>0</v>
      </c>
      <c r="BD49" s="267">
        <v>0</v>
      </c>
      <c r="BF49" s="267">
        <v>0</v>
      </c>
      <c r="BG49" s="267">
        <v>0</v>
      </c>
      <c r="BI49" s="267">
        <v>0</v>
      </c>
      <c r="BJ49" s="267">
        <v>0</v>
      </c>
      <c r="BL49" s="267">
        <v>0</v>
      </c>
      <c r="BM49" s="267">
        <v>0</v>
      </c>
      <c r="BO49" s="267">
        <v>0</v>
      </c>
      <c r="BP49" s="267">
        <v>0</v>
      </c>
      <c r="BR49" s="267">
        <v>0</v>
      </c>
      <c r="BS49" s="267">
        <v>0</v>
      </c>
      <c r="BU49" s="267">
        <v>0</v>
      </c>
      <c r="BV49" s="267">
        <v>0</v>
      </c>
      <c r="BX49" s="267">
        <v>0</v>
      </c>
      <c r="BY49" s="267">
        <v>0</v>
      </c>
      <c r="CA49" s="267">
        <v>0</v>
      </c>
      <c r="CB49" s="267">
        <v>0</v>
      </c>
      <c r="CD49" s="267">
        <v>0</v>
      </c>
      <c r="CE49" s="267">
        <v>0</v>
      </c>
      <c r="CG49" s="267">
        <v>0</v>
      </c>
      <c r="CH49" s="267">
        <v>0</v>
      </c>
      <c r="CJ49" s="267">
        <v>0</v>
      </c>
      <c r="CK49" s="267">
        <v>0</v>
      </c>
    </row>
    <row r="50" spans="1:89" x14ac:dyDescent="0.25">
      <c r="A50" s="95"/>
      <c r="B50" s="96" t="s">
        <v>1185</v>
      </c>
      <c r="C50" s="95"/>
      <c r="D50" s="95" t="s">
        <v>950</v>
      </c>
      <c r="E50" s="291">
        <v>0</v>
      </c>
      <c r="F50" s="291">
        <v>0</v>
      </c>
      <c r="G50" s="291">
        <v>0</v>
      </c>
      <c r="H50" s="291">
        <f>H51+H52+H53</f>
        <v>0</v>
      </c>
      <c r="I50" s="291">
        <f>I51+I52+I53</f>
        <v>0</v>
      </c>
      <c r="J50" s="291">
        <f>J51+J52+J53</f>
        <v>0</v>
      </c>
      <c r="K50" s="291">
        <f>K51+K52+K53</f>
        <v>0</v>
      </c>
      <c r="L50" s="291">
        <f>L51+L52+L53</f>
        <v>0</v>
      </c>
      <c r="M50" s="291">
        <v>0</v>
      </c>
      <c r="N50" s="291">
        <v>0</v>
      </c>
      <c r="O50" s="281"/>
      <c r="Q50" s="291">
        <f>Q51+Q52+Q53</f>
        <v>0</v>
      </c>
      <c r="R50" s="291">
        <f>R51+R52+R53</f>
        <v>0</v>
      </c>
      <c r="S50" s="291">
        <f>S51+S52+S53</f>
        <v>0</v>
      </c>
      <c r="T50" s="291">
        <f>T51+T52+T53</f>
        <v>0</v>
      </c>
      <c r="V50" s="291">
        <f>V51+V52+V53</f>
        <v>0</v>
      </c>
      <c r="W50" s="291">
        <f>W51+W52+W53</f>
        <v>0</v>
      </c>
      <c r="Y50" s="291">
        <f>Y51+Y52+Y53</f>
        <v>0</v>
      </c>
      <c r="Z50" s="291">
        <f>Z51+Z52+Z53</f>
        <v>0</v>
      </c>
      <c r="AB50" s="291">
        <f>AB51+AB52+AB53</f>
        <v>0</v>
      </c>
      <c r="AC50" s="291">
        <f>AC51+AC52+AC53</f>
        <v>0</v>
      </c>
      <c r="AE50" s="291">
        <f>AE51+AE52+AE53</f>
        <v>0</v>
      </c>
      <c r="AF50" s="291">
        <f>AF51+AF52+AF53</f>
        <v>0</v>
      </c>
      <c r="AH50" s="291">
        <f>AH51+AH52+AH53</f>
        <v>0</v>
      </c>
      <c r="AI50" s="291">
        <f>AI51+AI52+AI53</f>
        <v>0</v>
      </c>
      <c r="AK50" s="291">
        <f>AK51+AK52+AK53</f>
        <v>0</v>
      </c>
      <c r="AL50" s="291">
        <f>AL51+AL52+AL53</f>
        <v>0</v>
      </c>
      <c r="AN50" s="291">
        <f>AN51+AN52+AN53</f>
        <v>0</v>
      </c>
      <c r="AO50" s="291">
        <f>AO51+AO52+AO53</f>
        <v>0</v>
      </c>
      <c r="AQ50" s="291">
        <f>AQ51+AQ52+AQ53</f>
        <v>0</v>
      </c>
      <c r="AR50" s="291">
        <f>AR51+AR52+AR53</f>
        <v>0</v>
      </c>
      <c r="AT50" s="291">
        <f>AT51+AT52+AT53</f>
        <v>0</v>
      </c>
      <c r="AU50" s="291">
        <f>AU51+AU52+AU53</f>
        <v>0</v>
      </c>
      <c r="AW50" s="291">
        <f>AW51+AW52+AW53</f>
        <v>0</v>
      </c>
      <c r="AX50" s="291">
        <f>AX51+AX52+AX53</f>
        <v>0</v>
      </c>
      <c r="AZ50" s="291">
        <f>AZ51+AZ52+AZ53</f>
        <v>0</v>
      </c>
      <c r="BA50" s="291">
        <f>BA51+BA52+BA53</f>
        <v>0</v>
      </c>
      <c r="BC50" s="291">
        <f>BC51+BC52+BC53</f>
        <v>0</v>
      </c>
      <c r="BD50" s="291">
        <f>BD51+BD52+BD53</f>
        <v>0</v>
      </c>
      <c r="BF50" s="291">
        <f>BF51+BF52+BF53</f>
        <v>0</v>
      </c>
      <c r="BG50" s="291">
        <f>BG51+BG52+BG53</f>
        <v>0</v>
      </c>
      <c r="BI50" s="291">
        <f>BI51+BI52+BI53</f>
        <v>0</v>
      </c>
      <c r="BJ50" s="291">
        <f>BJ51+BJ52+BJ53</f>
        <v>0</v>
      </c>
      <c r="BL50" s="291">
        <f>BL51+BL52+BL53</f>
        <v>0</v>
      </c>
      <c r="BM50" s="291">
        <f>BM51+BM52+BM53</f>
        <v>0</v>
      </c>
      <c r="BO50" s="291">
        <f>BO51+BO52+BO53</f>
        <v>0</v>
      </c>
      <c r="BP50" s="291">
        <f>BP51+BP52+BP53</f>
        <v>0</v>
      </c>
      <c r="BR50" s="291">
        <f>BR51+BR52+BR53</f>
        <v>0</v>
      </c>
      <c r="BS50" s="291">
        <f>BS51+BS52+BS53</f>
        <v>0</v>
      </c>
      <c r="BU50" s="291">
        <f>BU51+BU52+BU53</f>
        <v>0</v>
      </c>
      <c r="BV50" s="291">
        <f>BV51+BV52+BV53</f>
        <v>0</v>
      </c>
      <c r="BX50" s="291">
        <f>BX51+BX52+BX53</f>
        <v>0</v>
      </c>
      <c r="BY50" s="291">
        <f>BY51+BY52+BY53</f>
        <v>0</v>
      </c>
      <c r="CA50" s="291">
        <f>CA51+CA52+CA53</f>
        <v>0</v>
      </c>
      <c r="CB50" s="291">
        <f>CB51+CB52+CB53</f>
        <v>0</v>
      </c>
      <c r="CD50" s="291">
        <f>CD51+CD52+CD53</f>
        <v>0</v>
      </c>
      <c r="CE50" s="291">
        <f>CE51+CE52+CE53</f>
        <v>0</v>
      </c>
      <c r="CG50" s="291">
        <f>CG51+CG52+CG53</f>
        <v>0</v>
      </c>
      <c r="CH50" s="291">
        <f>CH51+CH52+CH53</f>
        <v>0</v>
      </c>
      <c r="CJ50" s="291">
        <f>CJ51+CJ52+CJ53</f>
        <v>0</v>
      </c>
      <c r="CK50" s="291">
        <f>CK51+CK52+CK53</f>
        <v>0</v>
      </c>
    </row>
    <row r="51" spans="1:89" ht="30" x14ac:dyDescent="0.25">
      <c r="A51" s="95"/>
      <c r="B51" s="312"/>
      <c r="C51" s="312" t="s">
        <v>2871</v>
      </c>
      <c r="D51" s="95"/>
      <c r="E51" s="291"/>
      <c r="F51" s="291"/>
      <c r="G51" s="291"/>
      <c r="H51" s="291">
        <v>0</v>
      </c>
      <c r="I51" s="291">
        <v>0</v>
      </c>
      <c r="J51" s="291">
        <v>0</v>
      </c>
      <c r="K51" s="291">
        <v>0</v>
      </c>
      <c r="L51" s="291">
        <v>0</v>
      </c>
      <c r="M51" s="291">
        <v>0</v>
      </c>
      <c r="N51" s="291">
        <v>0</v>
      </c>
      <c r="O51" s="281"/>
      <c r="Q51" s="283">
        <f t="shared" ref="Q51:R53" si="34">S51+V51+Y51+AB51+AE51+AH51+AK51+AN51+AQ51+AT51+AW51+AZ51+BC51+BF51+BI51+BL51+BO51+BR51+BU51+BX51+CA51+CD51+CG51+CJ51</f>
        <v>0</v>
      </c>
      <c r="R51" s="283">
        <f t="shared" si="34"/>
        <v>0</v>
      </c>
      <c r="S51" s="267">
        <v>0</v>
      </c>
      <c r="T51" s="267">
        <v>0</v>
      </c>
      <c r="V51" s="267">
        <v>0</v>
      </c>
      <c r="W51" s="267">
        <v>0</v>
      </c>
      <c r="Y51" s="267">
        <v>0</v>
      </c>
      <c r="Z51" s="267">
        <v>0</v>
      </c>
      <c r="AB51" s="267">
        <v>0</v>
      </c>
      <c r="AC51" s="267">
        <v>0</v>
      </c>
      <c r="AE51" s="267">
        <v>0</v>
      </c>
      <c r="AF51" s="267">
        <v>0</v>
      </c>
      <c r="AH51" s="267">
        <v>0</v>
      </c>
      <c r="AI51" s="267">
        <v>0</v>
      </c>
      <c r="AK51" s="267">
        <v>0</v>
      </c>
      <c r="AL51" s="267">
        <v>0</v>
      </c>
      <c r="AN51" s="267">
        <v>0</v>
      </c>
      <c r="AO51" s="267">
        <v>0</v>
      </c>
      <c r="AQ51" s="267">
        <v>0</v>
      </c>
      <c r="AR51" s="267">
        <v>0</v>
      </c>
      <c r="AT51" s="267">
        <v>0</v>
      </c>
      <c r="AU51" s="267">
        <v>0</v>
      </c>
      <c r="AW51" s="267">
        <v>0</v>
      </c>
      <c r="AX51" s="267">
        <v>0</v>
      </c>
      <c r="AZ51" s="267">
        <v>0</v>
      </c>
      <c r="BA51" s="267">
        <v>0</v>
      </c>
      <c r="BC51" s="267">
        <v>0</v>
      </c>
      <c r="BD51" s="267">
        <v>0</v>
      </c>
      <c r="BF51" s="267">
        <v>0</v>
      </c>
      <c r="BG51" s="267">
        <v>0</v>
      </c>
      <c r="BI51" s="267">
        <v>0</v>
      </c>
      <c r="BJ51" s="267">
        <v>0</v>
      </c>
      <c r="BL51" s="267">
        <v>0</v>
      </c>
      <c r="BM51" s="267">
        <v>0</v>
      </c>
      <c r="BO51" s="267">
        <v>0</v>
      </c>
      <c r="BP51" s="267">
        <v>0</v>
      </c>
      <c r="BR51" s="267">
        <v>0</v>
      </c>
      <c r="BS51" s="267">
        <v>0</v>
      </c>
      <c r="BU51" s="267">
        <v>0</v>
      </c>
      <c r="BV51" s="267">
        <v>0</v>
      </c>
      <c r="BX51" s="267">
        <v>0</v>
      </c>
      <c r="BY51" s="267">
        <v>0</v>
      </c>
      <c r="CA51" s="267">
        <v>0</v>
      </c>
      <c r="CB51" s="267">
        <v>0</v>
      </c>
      <c r="CD51" s="267">
        <v>0</v>
      </c>
      <c r="CE51" s="267">
        <v>0</v>
      </c>
      <c r="CG51" s="267">
        <v>0</v>
      </c>
      <c r="CH51" s="267">
        <v>0</v>
      </c>
      <c r="CJ51" s="267">
        <v>0</v>
      </c>
      <c r="CK51" s="267">
        <v>0</v>
      </c>
    </row>
    <row r="52" spans="1:89" ht="30" x14ac:dyDescent="0.25">
      <c r="A52" s="95"/>
      <c r="B52" s="312"/>
      <c r="C52" s="312" t="s">
        <v>2872</v>
      </c>
      <c r="D52" s="95"/>
      <c r="E52" s="291"/>
      <c r="F52" s="291"/>
      <c r="G52" s="291"/>
      <c r="H52" s="291">
        <v>0</v>
      </c>
      <c r="I52" s="291">
        <v>0</v>
      </c>
      <c r="J52" s="291">
        <v>0</v>
      </c>
      <c r="K52" s="291">
        <v>0</v>
      </c>
      <c r="L52" s="291">
        <v>0</v>
      </c>
      <c r="M52" s="291">
        <v>0</v>
      </c>
      <c r="N52" s="291">
        <v>0</v>
      </c>
      <c r="O52" s="281"/>
      <c r="Q52" s="283">
        <f t="shared" si="34"/>
        <v>0</v>
      </c>
      <c r="R52" s="283">
        <f t="shared" si="34"/>
        <v>0</v>
      </c>
      <c r="S52" s="267">
        <v>0</v>
      </c>
      <c r="T52" s="267">
        <v>0</v>
      </c>
      <c r="V52" s="267">
        <v>0</v>
      </c>
      <c r="W52" s="267">
        <v>0</v>
      </c>
      <c r="Y52" s="267">
        <v>0</v>
      </c>
      <c r="Z52" s="267">
        <v>0</v>
      </c>
      <c r="AB52" s="267">
        <v>0</v>
      </c>
      <c r="AC52" s="267">
        <v>0</v>
      </c>
      <c r="AE52" s="267">
        <v>0</v>
      </c>
      <c r="AF52" s="267">
        <v>0</v>
      </c>
      <c r="AH52" s="267">
        <v>0</v>
      </c>
      <c r="AI52" s="267">
        <v>0</v>
      </c>
      <c r="AK52" s="267">
        <v>0</v>
      </c>
      <c r="AL52" s="267">
        <v>0</v>
      </c>
      <c r="AN52" s="267">
        <v>0</v>
      </c>
      <c r="AO52" s="267">
        <v>0</v>
      </c>
      <c r="AQ52" s="267">
        <v>0</v>
      </c>
      <c r="AR52" s="267">
        <v>0</v>
      </c>
      <c r="AT52" s="267">
        <v>0</v>
      </c>
      <c r="AU52" s="267">
        <v>0</v>
      </c>
      <c r="AW52" s="267">
        <v>0</v>
      </c>
      <c r="AX52" s="267">
        <v>0</v>
      </c>
      <c r="AZ52" s="267">
        <v>0</v>
      </c>
      <c r="BA52" s="267">
        <v>0</v>
      </c>
      <c r="BC52" s="267">
        <v>0</v>
      </c>
      <c r="BD52" s="267">
        <v>0</v>
      </c>
      <c r="BF52" s="267">
        <v>0</v>
      </c>
      <c r="BG52" s="267">
        <v>0</v>
      </c>
      <c r="BI52" s="267">
        <v>0</v>
      </c>
      <c r="BJ52" s="267">
        <v>0</v>
      </c>
      <c r="BL52" s="267">
        <v>0</v>
      </c>
      <c r="BM52" s="267">
        <v>0</v>
      </c>
      <c r="BO52" s="267">
        <v>0</v>
      </c>
      <c r="BP52" s="267">
        <v>0</v>
      </c>
      <c r="BR52" s="267">
        <v>0</v>
      </c>
      <c r="BS52" s="267">
        <v>0</v>
      </c>
      <c r="BU52" s="267">
        <v>0</v>
      </c>
      <c r="BV52" s="267">
        <v>0</v>
      </c>
      <c r="BX52" s="267">
        <v>0</v>
      </c>
      <c r="BY52" s="267">
        <v>0</v>
      </c>
      <c r="CA52" s="267">
        <v>0</v>
      </c>
      <c r="CB52" s="267">
        <v>0</v>
      </c>
      <c r="CD52" s="267">
        <v>0</v>
      </c>
      <c r="CE52" s="267">
        <v>0</v>
      </c>
      <c r="CG52" s="267">
        <v>0</v>
      </c>
      <c r="CH52" s="267">
        <v>0</v>
      </c>
      <c r="CJ52" s="267">
        <v>0</v>
      </c>
      <c r="CK52" s="267">
        <v>0</v>
      </c>
    </row>
    <row r="53" spans="1:89" ht="30" x14ac:dyDescent="0.25">
      <c r="A53" s="95"/>
      <c r="B53" s="312"/>
      <c r="C53" s="312" t="s">
        <v>2873</v>
      </c>
      <c r="D53" s="95"/>
      <c r="E53" s="291"/>
      <c r="F53" s="291"/>
      <c r="G53" s="291"/>
      <c r="H53" s="291">
        <v>0</v>
      </c>
      <c r="I53" s="291">
        <v>0</v>
      </c>
      <c r="J53" s="291">
        <v>0</v>
      </c>
      <c r="K53" s="291">
        <v>0</v>
      </c>
      <c r="L53" s="291">
        <v>0</v>
      </c>
      <c r="M53" s="291">
        <v>0</v>
      </c>
      <c r="N53" s="291">
        <v>0</v>
      </c>
      <c r="O53" s="281"/>
      <c r="Q53" s="283">
        <f t="shared" si="34"/>
        <v>0</v>
      </c>
      <c r="R53" s="283">
        <f t="shared" si="34"/>
        <v>0</v>
      </c>
      <c r="S53" s="267">
        <v>0</v>
      </c>
      <c r="T53" s="267">
        <v>0</v>
      </c>
      <c r="V53" s="267">
        <v>0</v>
      </c>
      <c r="W53" s="267">
        <v>0</v>
      </c>
      <c r="Y53" s="267">
        <v>0</v>
      </c>
      <c r="Z53" s="267">
        <v>0</v>
      </c>
      <c r="AB53" s="267">
        <v>0</v>
      </c>
      <c r="AC53" s="267">
        <v>0</v>
      </c>
      <c r="AE53" s="267">
        <v>0</v>
      </c>
      <c r="AF53" s="267">
        <v>0</v>
      </c>
      <c r="AH53" s="267">
        <v>0</v>
      </c>
      <c r="AI53" s="267">
        <v>0</v>
      </c>
      <c r="AK53" s="267">
        <v>0</v>
      </c>
      <c r="AL53" s="267">
        <v>0</v>
      </c>
      <c r="AN53" s="267">
        <v>0</v>
      </c>
      <c r="AO53" s="267">
        <v>0</v>
      </c>
      <c r="AQ53" s="267">
        <v>0</v>
      </c>
      <c r="AR53" s="267">
        <v>0</v>
      </c>
      <c r="AT53" s="267">
        <v>0</v>
      </c>
      <c r="AU53" s="267">
        <v>0</v>
      </c>
      <c r="AW53" s="267">
        <v>0</v>
      </c>
      <c r="AX53" s="267">
        <v>0</v>
      </c>
      <c r="AZ53" s="267">
        <v>0</v>
      </c>
      <c r="BA53" s="267">
        <v>0</v>
      </c>
      <c r="BC53" s="267">
        <v>0</v>
      </c>
      <c r="BD53" s="267">
        <v>0</v>
      </c>
      <c r="BF53" s="267">
        <v>0</v>
      </c>
      <c r="BG53" s="267">
        <v>0</v>
      </c>
      <c r="BI53" s="267">
        <v>0</v>
      </c>
      <c r="BJ53" s="267">
        <v>0</v>
      </c>
      <c r="BL53" s="267">
        <v>0</v>
      </c>
      <c r="BM53" s="267">
        <v>0</v>
      </c>
      <c r="BO53" s="267">
        <v>0</v>
      </c>
      <c r="BP53" s="267">
        <v>0</v>
      </c>
      <c r="BR53" s="267">
        <v>0</v>
      </c>
      <c r="BS53" s="267">
        <v>0</v>
      </c>
      <c r="BU53" s="267">
        <v>0</v>
      </c>
      <c r="BV53" s="267">
        <v>0</v>
      </c>
      <c r="BX53" s="267">
        <v>0</v>
      </c>
      <c r="BY53" s="267">
        <v>0</v>
      </c>
      <c r="CA53" s="267">
        <v>0</v>
      </c>
      <c r="CB53" s="267">
        <v>0</v>
      </c>
      <c r="CD53" s="267">
        <v>0</v>
      </c>
      <c r="CE53" s="267">
        <v>0</v>
      </c>
      <c r="CG53" s="267">
        <v>0</v>
      </c>
      <c r="CH53" s="267">
        <v>0</v>
      </c>
      <c r="CJ53" s="267">
        <v>0</v>
      </c>
      <c r="CK53" s="267">
        <v>0</v>
      </c>
    </row>
    <row r="54" spans="1:89" ht="60" x14ac:dyDescent="0.25">
      <c r="A54" s="107"/>
      <c r="B54" s="16" t="s">
        <v>139</v>
      </c>
      <c r="C54" s="95" t="s">
        <v>126</v>
      </c>
      <c r="D54" s="95" t="s">
        <v>950</v>
      </c>
      <c r="E54" s="282">
        <f t="shared" ref="E54:J54" si="35">E55+E59</f>
        <v>833</v>
      </c>
      <c r="F54" s="282">
        <f t="shared" si="35"/>
        <v>883</v>
      </c>
      <c r="G54" s="282">
        <f t="shared" si="35"/>
        <v>948</v>
      </c>
      <c r="H54" s="282">
        <f t="shared" si="35"/>
        <v>828</v>
      </c>
      <c r="I54" s="282">
        <f t="shared" si="35"/>
        <v>898</v>
      </c>
      <c r="J54" s="282">
        <f t="shared" si="35"/>
        <v>931</v>
      </c>
      <c r="K54" s="282">
        <f>K55+K59</f>
        <v>932</v>
      </c>
      <c r="L54" s="282">
        <f>L55+L59</f>
        <v>0</v>
      </c>
      <c r="M54" s="282">
        <f>M55+M59</f>
        <v>0</v>
      </c>
      <c r="N54" s="282">
        <f>N55+N59</f>
        <v>0</v>
      </c>
      <c r="Q54" s="282">
        <f t="shared" ref="Q54:CD54" si="36">Q55+Q59</f>
        <v>932</v>
      </c>
      <c r="R54" s="282">
        <f t="shared" si="36"/>
        <v>920</v>
      </c>
      <c r="S54" s="282">
        <f t="shared" si="36"/>
        <v>0</v>
      </c>
      <c r="T54" s="282">
        <f t="shared" si="36"/>
        <v>0</v>
      </c>
      <c r="V54" s="282">
        <f t="shared" si="36"/>
        <v>0</v>
      </c>
      <c r="W54" s="282">
        <f t="shared" si="36"/>
        <v>0</v>
      </c>
      <c r="Y54" s="282">
        <f t="shared" si="36"/>
        <v>0</v>
      </c>
      <c r="Z54" s="282">
        <f t="shared" si="36"/>
        <v>0</v>
      </c>
      <c r="AB54" s="282">
        <f t="shared" si="36"/>
        <v>0</v>
      </c>
      <c r="AC54" s="282">
        <f t="shared" si="36"/>
        <v>0</v>
      </c>
      <c r="AE54" s="282">
        <f t="shared" si="36"/>
        <v>0</v>
      </c>
      <c r="AF54" s="282">
        <f t="shared" si="36"/>
        <v>0</v>
      </c>
      <c r="AH54" s="282">
        <f t="shared" si="36"/>
        <v>0</v>
      </c>
      <c r="AI54" s="282">
        <f t="shared" si="36"/>
        <v>0</v>
      </c>
      <c r="AK54" s="282">
        <f t="shared" si="36"/>
        <v>0</v>
      </c>
      <c r="AL54" s="282">
        <f t="shared" si="36"/>
        <v>0</v>
      </c>
      <c r="AN54" s="282">
        <f t="shared" si="36"/>
        <v>0</v>
      </c>
      <c r="AO54" s="282">
        <f t="shared" si="36"/>
        <v>0</v>
      </c>
      <c r="AQ54" s="282">
        <f t="shared" si="36"/>
        <v>0</v>
      </c>
      <c r="AR54" s="282">
        <f t="shared" si="36"/>
        <v>0</v>
      </c>
      <c r="AT54" s="282">
        <f t="shared" si="36"/>
        <v>0</v>
      </c>
      <c r="AU54" s="282">
        <f t="shared" si="36"/>
        <v>0</v>
      </c>
      <c r="AW54" s="282">
        <f t="shared" si="36"/>
        <v>0</v>
      </c>
      <c r="AX54" s="282">
        <f t="shared" si="36"/>
        <v>0</v>
      </c>
      <c r="AZ54" s="282">
        <f t="shared" si="36"/>
        <v>0</v>
      </c>
      <c r="BA54" s="282">
        <f t="shared" si="36"/>
        <v>0</v>
      </c>
      <c r="BC54" s="282">
        <f t="shared" si="36"/>
        <v>187</v>
      </c>
      <c r="BD54" s="282">
        <f t="shared" si="36"/>
        <v>188</v>
      </c>
      <c r="BF54" s="282">
        <f t="shared" si="36"/>
        <v>191</v>
      </c>
      <c r="BG54" s="282">
        <f t="shared" si="36"/>
        <v>181</v>
      </c>
      <c r="BI54" s="282">
        <f t="shared" si="36"/>
        <v>436</v>
      </c>
      <c r="BJ54" s="282">
        <f t="shared" si="36"/>
        <v>424</v>
      </c>
      <c r="BL54" s="282">
        <f t="shared" si="36"/>
        <v>0</v>
      </c>
      <c r="BM54" s="282">
        <f t="shared" si="36"/>
        <v>0</v>
      </c>
      <c r="BO54" s="282">
        <f t="shared" si="36"/>
        <v>0</v>
      </c>
      <c r="BP54" s="282">
        <f t="shared" si="36"/>
        <v>0</v>
      </c>
      <c r="BR54" s="282">
        <f t="shared" si="36"/>
        <v>0</v>
      </c>
      <c r="BS54" s="282">
        <f t="shared" si="36"/>
        <v>0</v>
      </c>
      <c r="BU54" s="282">
        <f t="shared" si="36"/>
        <v>0</v>
      </c>
      <c r="BV54" s="282">
        <f t="shared" si="36"/>
        <v>0</v>
      </c>
      <c r="BX54" s="282">
        <f t="shared" si="36"/>
        <v>0</v>
      </c>
      <c r="BY54" s="282">
        <f t="shared" si="36"/>
        <v>0</v>
      </c>
      <c r="CA54" s="282">
        <f t="shared" si="36"/>
        <v>0</v>
      </c>
      <c r="CB54" s="282">
        <f t="shared" si="36"/>
        <v>0</v>
      </c>
      <c r="CD54" s="282">
        <f t="shared" si="36"/>
        <v>118</v>
      </c>
      <c r="CE54" s="282">
        <f t="shared" ref="CE54:CK54" si="37">CE55+CE59</f>
        <v>127</v>
      </c>
      <c r="CG54" s="282">
        <f t="shared" si="37"/>
        <v>0</v>
      </c>
      <c r="CH54" s="282">
        <f t="shared" si="37"/>
        <v>0</v>
      </c>
      <c r="CJ54" s="282">
        <f t="shared" si="37"/>
        <v>0</v>
      </c>
      <c r="CK54" s="282">
        <f t="shared" si="37"/>
        <v>0</v>
      </c>
    </row>
    <row r="55" spans="1:89" x14ac:dyDescent="0.25">
      <c r="A55" s="95"/>
      <c r="B55" s="96" t="s">
        <v>1183</v>
      </c>
      <c r="C55" s="16"/>
      <c r="D55" s="95" t="s">
        <v>950</v>
      </c>
      <c r="E55" s="282">
        <v>833</v>
      </c>
      <c r="F55" s="282">
        <v>883</v>
      </c>
      <c r="G55" s="282">
        <v>948</v>
      </c>
      <c r="H55" s="282">
        <f>H56+H57+H58</f>
        <v>828</v>
      </c>
      <c r="I55" s="282">
        <f>I56+I57+I58</f>
        <v>898</v>
      </c>
      <c r="J55" s="282">
        <f>J56+J57+J58</f>
        <v>931</v>
      </c>
      <c r="K55" s="282">
        <f>K56+K57+K58</f>
        <v>932</v>
      </c>
      <c r="L55" s="282">
        <f>L56+L57+L58</f>
        <v>0</v>
      </c>
      <c r="M55" s="282">
        <f t="shared" ref="M55:N55" si="38">M56+M57+M58</f>
        <v>0</v>
      </c>
      <c r="N55" s="282">
        <f t="shared" si="38"/>
        <v>0</v>
      </c>
      <c r="O55" s="281"/>
      <c r="Q55" s="282">
        <f>Q56+Q57+Q58</f>
        <v>932</v>
      </c>
      <c r="R55" s="282">
        <f>R56+R57+R58</f>
        <v>920</v>
      </c>
      <c r="S55" s="282">
        <f>S56+S57+S58</f>
        <v>0</v>
      </c>
      <c r="T55" s="282">
        <f>T56+T57+T58</f>
        <v>0</v>
      </c>
      <c r="V55" s="282">
        <f>V56+V57+V58</f>
        <v>0</v>
      </c>
      <c r="W55" s="282">
        <f>W56+W57+W58</f>
        <v>0</v>
      </c>
      <c r="Y55" s="282">
        <f>Y56+Y57+Y58</f>
        <v>0</v>
      </c>
      <c r="Z55" s="282">
        <f>Z56+Z57+Z58</f>
        <v>0</v>
      </c>
      <c r="AB55" s="282">
        <f>AB56+AB57+AB58</f>
        <v>0</v>
      </c>
      <c r="AC55" s="282">
        <f>AC56+AC57+AC58</f>
        <v>0</v>
      </c>
      <c r="AE55" s="282">
        <f>AE56+AE57+AE58</f>
        <v>0</v>
      </c>
      <c r="AF55" s="282">
        <f>AF56+AF57+AF58</f>
        <v>0</v>
      </c>
      <c r="AH55" s="282">
        <f>AH56+AH57+AH58</f>
        <v>0</v>
      </c>
      <c r="AI55" s="282">
        <f>AI56+AI57+AI58</f>
        <v>0</v>
      </c>
      <c r="AK55" s="282">
        <f>AK56+AK57+AK58</f>
        <v>0</v>
      </c>
      <c r="AL55" s="282">
        <f>AL56+AL57+AL58</f>
        <v>0</v>
      </c>
      <c r="AN55" s="282">
        <f>AN56+AN57+AN58</f>
        <v>0</v>
      </c>
      <c r="AO55" s="282">
        <f>AO56+AO57+AO58</f>
        <v>0</v>
      </c>
      <c r="AQ55" s="282">
        <f>AQ56+AQ57+AQ58</f>
        <v>0</v>
      </c>
      <c r="AR55" s="282">
        <f>AR56+AR57+AR58</f>
        <v>0</v>
      </c>
      <c r="AT55" s="282">
        <f>AT56+AT57+AT58</f>
        <v>0</v>
      </c>
      <c r="AU55" s="282">
        <f>AU56+AU57+AU58</f>
        <v>0</v>
      </c>
      <c r="AW55" s="282">
        <f>AW56+AW57+AW58</f>
        <v>0</v>
      </c>
      <c r="AX55" s="282">
        <f>AX56+AX57+AX58</f>
        <v>0</v>
      </c>
      <c r="AZ55" s="282">
        <f>AZ56+AZ57+AZ58</f>
        <v>0</v>
      </c>
      <c r="BA55" s="282">
        <f>BA56+BA57+BA58</f>
        <v>0</v>
      </c>
      <c r="BC55" s="282">
        <f>BC56+BC57+BC58</f>
        <v>187</v>
      </c>
      <c r="BD55" s="282">
        <f>BD56+BD57+BD58</f>
        <v>188</v>
      </c>
      <c r="BF55" s="282">
        <f>BF56+BF57+BF58</f>
        <v>191</v>
      </c>
      <c r="BG55" s="282">
        <f>BG56+BG57+BG58</f>
        <v>181</v>
      </c>
      <c r="BI55" s="282">
        <f>BI56+BI57+BI58</f>
        <v>436</v>
      </c>
      <c r="BJ55" s="282">
        <f>BJ56+BJ57+BJ58</f>
        <v>424</v>
      </c>
      <c r="BL55" s="282">
        <f>BL56+BL57+BL58</f>
        <v>0</v>
      </c>
      <c r="BM55" s="282">
        <f>BM56+BM57+BM58</f>
        <v>0</v>
      </c>
      <c r="BO55" s="282">
        <f>BO56+BO57+BO58</f>
        <v>0</v>
      </c>
      <c r="BP55" s="282">
        <f>BP56+BP57+BP58</f>
        <v>0</v>
      </c>
      <c r="BR55" s="282">
        <f>BR56+BR57+BR58</f>
        <v>0</v>
      </c>
      <c r="BS55" s="282">
        <f>BS56+BS57+BS58</f>
        <v>0</v>
      </c>
      <c r="BU55" s="282">
        <f>BU56+BU57+BU58</f>
        <v>0</v>
      </c>
      <c r="BV55" s="282">
        <f>BV56+BV57+BV58</f>
        <v>0</v>
      </c>
      <c r="BX55" s="282">
        <f>BX56+BX57+BX58</f>
        <v>0</v>
      </c>
      <c r="BY55" s="282">
        <f>BY56+BY57+BY58</f>
        <v>0</v>
      </c>
      <c r="CA55" s="282">
        <f>CA56+CA57+CA58</f>
        <v>0</v>
      </c>
      <c r="CB55" s="282">
        <f>CB56+CB57+CB58</f>
        <v>0</v>
      </c>
      <c r="CD55" s="282">
        <f>CD56+CD57+CD58</f>
        <v>118</v>
      </c>
      <c r="CE55" s="282">
        <f>CE56+CE57+CE58</f>
        <v>127</v>
      </c>
      <c r="CG55" s="282">
        <f>CG56+CG57+CG58</f>
        <v>0</v>
      </c>
      <c r="CH55" s="282">
        <f>CH56+CH57+CH58</f>
        <v>0</v>
      </c>
      <c r="CJ55" s="282">
        <f>CJ56+CJ57+CJ58</f>
        <v>0</v>
      </c>
      <c r="CK55" s="282">
        <f>CK56+CK57+CK58</f>
        <v>0</v>
      </c>
    </row>
    <row r="56" spans="1:89" ht="30" x14ac:dyDescent="0.25">
      <c r="A56" s="95"/>
      <c r="B56" s="312"/>
      <c r="C56" s="312" t="s">
        <v>1489</v>
      </c>
      <c r="D56" s="95"/>
      <c r="E56" s="282"/>
      <c r="F56" s="282"/>
      <c r="G56" s="282"/>
      <c r="H56" s="282">
        <v>828</v>
      </c>
      <c r="I56" s="282">
        <v>898</v>
      </c>
      <c r="J56" s="282">
        <v>931</v>
      </c>
      <c r="K56" s="282">
        <v>932</v>
      </c>
      <c r="L56" s="282">
        <v>0</v>
      </c>
      <c r="M56" s="282">
        <v>0</v>
      </c>
      <c r="N56" s="282">
        <v>0</v>
      </c>
      <c r="O56" s="281"/>
      <c r="Q56" s="283">
        <f t="shared" ref="Q56:R58" si="39">S56+V56+Y56+AB56+AE56+AH56+AK56+AN56+AQ56+AT56+AW56+AZ56+BC56+BF56+BI56+BL56+BO56+BR56+BU56+BX56+CA56+CD56+CG56+CJ56</f>
        <v>932</v>
      </c>
      <c r="R56" s="283">
        <f t="shared" si="39"/>
        <v>920</v>
      </c>
      <c r="S56" s="267">
        <v>0</v>
      </c>
      <c r="T56" s="267">
        <v>0</v>
      </c>
      <c r="V56" s="267">
        <v>0</v>
      </c>
      <c r="W56" s="267">
        <v>0</v>
      </c>
      <c r="Y56" s="267">
        <v>0</v>
      </c>
      <c r="Z56" s="267">
        <v>0</v>
      </c>
      <c r="AB56" s="267">
        <v>0</v>
      </c>
      <c r="AC56" s="267">
        <v>0</v>
      </c>
      <c r="AE56" s="267">
        <v>0</v>
      </c>
      <c r="AF56" s="267">
        <v>0</v>
      </c>
      <c r="AH56" s="267">
        <v>0</v>
      </c>
      <c r="AI56" s="267">
        <v>0</v>
      </c>
      <c r="AK56" s="267">
        <v>0</v>
      </c>
      <c r="AL56" s="267">
        <v>0</v>
      </c>
      <c r="AN56" s="267">
        <v>0</v>
      </c>
      <c r="AO56" s="267">
        <v>0</v>
      </c>
      <c r="AQ56" s="267">
        <v>0</v>
      </c>
      <c r="AR56" s="267">
        <v>0</v>
      </c>
      <c r="AT56" s="267">
        <v>0</v>
      </c>
      <c r="AU56" s="267">
        <v>0</v>
      </c>
      <c r="AW56" s="267">
        <v>0</v>
      </c>
      <c r="AX56" s="267">
        <v>0</v>
      </c>
      <c r="AZ56" s="267">
        <v>0</v>
      </c>
      <c r="BA56" s="267">
        <v>0</v>
      </c>
      <c r="BC56" s="267">
        <v>187</v>
      </c>
      <c r="BD56" s="267">
        <v>188</v>
      </c>
      <c r="BF56" s="267">
        <v>191</v>
      </c>
      <c r="BG56" s="267">
        <v>181</v>
      </c>
      <c r="BI56" s="267">
        <v>436</v>
      </c>
      <c r="BJ56" s="267">
        <v>424</v>
      </c>
      <c r="BL56" s="267">
        <v>0</v>
      </c>
      <c r="BM56" s="267">
        <v>0</v>
      </c>
      <c r="BO56" s="267">
        <v>0</v>
      </c>
      <c r="BP56" s="267">
        <v>0</v>
      </c>
      <c r="BR56" s="267">
        <v>0</v>
      </c>
      <c r="BS56" s="267">
        <v>0</v>
      </c>
      <c r="BU56" s="267">
        <v>0</v>
      </c>
      <c r="BV56" s="267">
        <v>0</v>
      </c>
      <c r="BX56" s="267">
        <v>0</v>
      </c>
      <c r="BY56" s="267">
        <v>0</v>
      </c>
      <c r="CA56" s="267">
        <v>0</v>
      </c>
      <c r="CB56" s="267">
        <v>0</v>
      </c>
      <c r="CD56" s="267">
        <v>118</v>
      </c>
      <c r="CE56" s="267">
        <v>127</v>
      </c>
      <c r="CG56" s="267">
        <v>0</v>
      </c>
      <c r="CH56" s="267">
        <v>0</v>
      </c>
      <c r="CJ56" s="267">
        <v>0</v>
      </c>
      <c r="CK56" s="267">
        <v>0</v>
      </c>
    </row>
    <row r="57" spans="1:89" ht="30" x14ac:dyDescent="0.25">
      <c r="A57" s="95"/>
      <c r="B57" s="312"/>
      <c r="C57" s="312" t="s">
        <v>1490</v>
      </c>
      <c r="D57" s="95"/>
      <c r="E57" s="282"/>
      <c r="F57" s="282"/>
      <c r="G57" s="282"/>
      <c r="H57" s="282">
        <v>0</v>
      </c>
      <c r="I57" s="282">
        <v>0</v>
      </c>
      <c r="J57" s="282">
        <v>0</v>
      </c>
      <c r="K57" s="282">
        <v>0</v>
      </c>
      <c r="L57" s="282">
        <v>0</v>
      </c>
      <c r="M57" s="282">
        <v>0</v>
      </c>
      <c r="N57" s="282">
        <v>0</v>
      </c>
      <c r="O57" s="281"/>
      <c r="Q57" s="283">
        <f t="shared" si="39"/>
        <v>0</v>
      </c>
      <c r="R57" s="283">
        <f t="shared" si="39"/>
        <v>0</v>
      </c>
      <c r="S57" s="267">
        <v>0</v>
      </c>
      <c r="T57" s="267">
        <v>0</v>
      </c>
      <c r="V57" s="267">
        <v>0</v>
      </c>
      <c r="W57" s="267">
        <v>0</v>
      </c>
      <c r="Y57" s="267">
        <v>0</v>
      </c>
      <c r="Z57" s="267">
        <v>0</v>
      </c>
      <c r="AB57" s="267">
        <v>0</v>
      </c>
      <c r="AC57" s="267">
        <v>0</v>
      </c>
      <c r="AE57" s="267">
        <v>0</v>
      </c>
      <c r="AF57" s="267">
        <v>0</v>
      </c>
      <c r="AH57" s="267">
        <v>0</v>
      </c>
      <c r="AI57" s="267">
        <v>0</v>
      </c>
      <c r="AK57" s="267">
        <v>0</v>
      </c>
      <c r="AL57" s="267">
        <v>0</v>
      </c>
      <c r="AN57" s="267">
        <v>0</v>
      </c>
      <c r="AO57" s="267">
        <v>0</v>
      </c>
      <c r="AQ57" s="267">
        <v>0</v>
      </c>
      <c r="AR57" s="267">
        <v>0</v>
      </c>
      <c r="AT57" s="267">
        <v>0</v>
      </c>
      <c r="AU57" s="267">
        <v>0</v>
      </c>
      <c r="AW57" s="267">
        <v>0</v>
      </c>
      <c r="AX57" s="267">
        <v>0</v>
      </c>
      <c r="AZ57" s="267">
        <v>0</v>
      </c>
      <c r="BA57" s="267">
        <v>0</v>
      </c>
      <c r="BC57" s="267">
        <v>0</v>
      </c>
      <c r="BD57" s="267">
        <v>0</v>
      </c>
      <c r="BF57" s="267">
        <v>0</v>
      </c>
      <c r="BG57" s="267">
        <v>0</v>
      </c>
      <c r="BI57" s="267">
        <v>0</v>
      </c>
      <c r="BJ57" s="267">
        <v>0</v>
      </c>
      <c r="BL57" s="267">
        <v>0</v>
      </c>
      <c r="BM57" s="267">
        <v>0</v>
      </c>
      <c r="BO57" s="267">
        <v>0</v>
      </c>
      <c r="BP57" s="267">
        <v>0</v>
      </c>
      <c r="BR57" s="267">
        <v>0</v>
      </c>
      <c r="BS57" s="267">
        <v>0</v>
      </c>
      <c r="BU57" s="267">
        <v>0</v>
      </c>
      <c r="BV57" s="267">
        <v>0</v>
      </c>
      <c r="BX57" s="267">
        <v>0</v>
      </c>
      <c r="BY57" s="267">
        <v>0</v>
      </c>
      <c r="CA57" s="267">
        <v>0</v>
      </c>
      <c r="CB57" s="267">
        <v>0</v>
      </c>
      <c r="CD57" s="267">
        <v>0</v>
      </c>
      <c r="CE57" s="267">
        <v>0</v>
      </c>
      <c r="CG57" s="267">
        <v>0</v>
      </c>
      <c r="CH57" s="267">
        <v>0</v>
      </c>
      <c r="CJ57" s="267">
        <v>0</v>
      </c>
      <c r="CK57" s="267">
        <v>0</v>
      </c>
    </row>
    <row r="58" spans="1:89" ht="30" x14ac:dyDescent="0.25">
      <c r="A58" s="95"/>
      <c r="B58" s="312"/>
      <c r="C58" s="312" t="s">
        <v>1491</v>
      </c>
      <c r="D58" s="95"/>
      <c r="E58" s="282"/>
      <c r="F58" s="282"/>
      <c r="G58" s="282"/>
      <c r="H58" s="282">
        <v>0</v>
      </c>
      <c r="I58" s="282">
        <v>0</v>
      </c>
      <c r="J58" s="282">
        <v>0</v>
      </c>
      <c r="K58" s="282">
        <v>0</v>
      </c>
      <c r="L58" s="282">
        <v>0</v>
      </c>
      <c r="M58" s="282">
        <v>0</v>
      </c>
      <c r="N58" s="282">
        <v>0</v>
      </c>
      <c r="O58" s="281"/>
      <c r="Q58" s="283">
        <f t="shared" si="39"/>
        <v>0</v>
      </c>
      <c r="R58" s="283">
        <f t="shared" si="39"/>
        <v>0</v>
      </c>
      <c r="S58" s="267">
        <v>0</v>
      </c>
      <c r="T58" s="267">
        <v>0</v>
      </c>
      <c r="V58" s="267">
        <v>0</v>
      </c>
      <c r="W58" s="267">
        <v>0</v>
      </c>
      <c r="Y58" s="267">
        <v>0</v>
      </c>
      <c r="Z58" s="267">
        <v>0</v>
      </c>
      <c r="AB58" s="267">
        <v>0</v>
      </c>
      <c r="AC58" s="267">
        <v>0</v>
      </c>
      <c r="AE58" s="267">
        <v>0</v>
      </c>
      <c r="AF58" s="267">
        <v>0</v>
      </c>
      <c r="AH58" s="267">
        <v>0</v>
      </c>
      <c r="AI58" s="267">
        <v>0</v>
      </c>
      <c r="AK58" s="267">
        <v>0</v>
      </c>
      <c r="AL58" s="267">
        <v>0</v>
      </c>
      <c r="AN58" s="267">
        <v>0</v>
      </c>
      <c r="AO58" s="267">
        <v>0</v>
      </c>
      <c r="AQ58" s="267">
        <v>0</v>
      </c>
      <c r="AR58" s="267">
        <v>0</v>
      </c>
      <c r="AT58" s="267">
        <v>0</v>
      </c>
      <c r="AU58" s="267">
        <v>0</v>
      </c>
      <c r="AW58" s="267">
        <v>0</v>
      </c>
      <c r="AX58" s="267">
        <v>0</v>
      </c>
      <c r="AZ58" s="267">
        <v>0</v>
      </c>
      <c r="BA58" s="267">
        <v>0</v>
      </c>
      <c r="BC58" s="267">
        <v>0</v>
      </c>
      <c r="BD58" s="267">
        <v>0</v>
      </c>
      <c r="BF58" s="267">
        <v>0</v>
      </c>
      <c r="BG58" s="267">
        <v>0</v>
      </c>
      <c r="BI58" s="267">
        <v>0</v>
      </c>
      <c r="BJ58" s="267">
        <v>0</v>
      </c>
      <c r="BL58" s="267">
        <v>0</v>
      </c>
      <c r="BM58" s="267">
        <v>0</v>
      </c>
      <c r="BO58" s="267">
        <v>0</v>
      </c>
      <c r="BP58" s="267">
        <v>0</v>
      </c>
      <c r="BR58" s="267">
        <v>0</v>
      </c>
      <c r="BS58" s="267">
        <v>0</v>
      </c>
      <c r="BU58" s="267">
        <v>0</v>
      </c>
      <c r="BV58" s="267">
        <v>0</v>
      </c>
      <c r="BX58" s="267">
        <v>0</v>
      </c>
      <c r="BY58" s="267">
        <v>0</v>
      </c>
      <c r="CA58" s="267">
        <v>0</v>
      </c>
      <c r="CB58" s="267">
        <v>0</v>
      </c>
      <c r="CD58" s="267">
        <v>0</v>
      </c>
      <c r="CE58" s="267">
        <v>0</v>
      </c>
      <c r="CG58" s="267">
        <v>0</v>
      </c>
      <c r="CH58" s="267">
        <v>0</v>
      </c>
      <c r="CJ58" s="267">
        <v>0</v>
      </c>
      <c r="CK58" s="267">
        <v>0</v>
      </c>
    </row>
    <row r="59" spans="1:89" x14ac:dyDescent="0.25">
      <c r="A59" s="95"/>
      <c r="B59" s="96" t="s">
        <v>1185</v>
      </c>
      <c r="C59" s="16"/>
      <c r="D59" s="95" t="s">
        <v>950</v>
      </c>
      <c r="E59" s="291">
        <v>0</v>
      </c>
      <c r="F59" s="291">
        <v>0</v>
      </c>
      <c r="G59" s="291">
        <v>0</v>
      </c>
      <c r="H59" s="282">
        <f>H60+H61+H62</f>
        <v>0</v>
      </c>
      <c r="I59" s="282">
        <f>I60+I61+I62</f>
        <v>0</v>
      </c>
      <c r="J59" s="282">
        <f>J60+J61+J62</f>
        <v>0</v>
      </c>
      <c r="K59" s="282">
        <f>K60+K61+K62</f>
        <v>0</v>
      </c>
      <c r="L59" s="282">
        <f>L60+L61+L62</f>
        <v>0</v>
      </c>
      <c r="M59" s="282">
        <f t="shared" ref="M59:N59" si="40">M60+M61+M62</f>
        <v>0</v>
      </c>
      <c r="N59" s="282">
        <f t="shared" si="40"/>
        <v>0</v>
      </c>
      <c r="O59" s="281"/>
      <c r="Q59" s="282">
        <f>Q60+Q61+Q62</f>
        <v>0</v>
      </c>
      <c r="R59" s="282">
        <f>R60+R61+R62</f>
        <v>0</v>
      </c>
      <c r="S59" s="282">
        <f>S60+S61+S62</f>
        <v>0</v>
      </c>
      <c r="T59" s="282">
        <f>T60+T61+T62</f>
        <v>0</v>
      </c>
      <c r="V59" s="282">
        <f>V60+V61+V62</f>
        <v>0</v>
      </c>
      <c r="W59" s="282">
        <f>W60+W61+W62</f>
        <v>0</v>
      </c>
      <c r="Y59" s="282">
        <f>Y60+Y61+Y62</f>
        <v>0</v>
      </c>
      <c r="Z59" s="282">
        <f>Z60+Z61+Z62</f>
        <v>0</v>
      </c>
      <c r="AB59" s="282">
        <f>AB60+AB61+AB62</f>
        <v>0</v>
      </c>
      <c r="AC59" s="282">
        <f>AC60+AC61+AC62</f>
        <v>0</v>
      </c>
      <c r="AE59" s="282">
        <f>AE60+AE61+AE62</f>
        <v>0</v>
      </c>
      <c r="AF59" s="282">
        <f>AF60+AF61+AF62</f>
        <v>0</v>
      </c>
      <c r="AH59" s="282">
        <f>AH60+AH61+AH62</f>
        <v>0</v>
      </c>
      <c r="AI59" s="282">
        <f>AI60+AI61+AI62</f>
        <v>0</v>
      </c>
      <c r="AK59" s="282">
        <f>AK60+AK61+AK62</f>
        <v>0</v>
      </c>
      <c r="AL59" s="282">
        <f>AL60+AL61+AL62</f>
        <v>0</v>
      </c>
      <c r="AN59" s="282">
        <f>AN60+AN61+AN62</f>
        <v>0</v>
      </c>
      <c r="AO59" s="282">
        <f>AO60+AO61+AO62</f>
        <v>0</v>
      </c>
      <c r="AQ59" s="282">
        <f>AQ60+AQ61+AQ62</f>
        <v>0</v>
      </c>
      <c r="AR59" s="282">
        <f>AR60+AR61+AR62</f>
        <v>0</v>
      </c>
      <c r="AT59" s="282">
        <f>AT60+AT61+AT62</f>
        <v>0</v>
      </c>
      <c r="AU59" s="282">
        <f>AU60+AU61+AU62</f>
        <v>0</v>
      </c>
      <c r="AW59" s="282">
        <f>AW60+AW61+AW62</f>
        <v>0</v>
      </c>
      <c r="AX59" s="282">
        <f>AX60+AX61+AX62</f>
        <v>0</v>
      </c>
      <c r="AZ59" s="282">
        <f>AZ60+AZ61+AZ62</f>
        <v>0</v>
      </c>
      <c r="BA59" s="282">
        <f>BA60+BA61+BA62</f>
        <v>0</v>
      </c>
      <c r="BC59" s="282">
        <f>BC60+BC61+BC62</f>
        <v>0</v>
      </c>
      <c r="BD59" s="282">
        <f>BD60+BD61+BD62</f>
        <v>0</v>
      </c>
      <c r="BF59" s="282">
        <f>BF60+BF61+BF62</f>
        <v>0</v>
      </c>
      <c r="BG59" s="282">
        <f>BG60+BG61+BG62</f>
        <v>0</v>
      </c>
      <c r="BI59" s="282">
        <f>BI60+BI61+BI62</f>
        <v>0</v>
      </c>
      <c r="BJ59" s="282">
        <f>BJ60+BJ61+BJ62</f>
        <v>0</v>
      </c>
      <c r="BL59" s="282">
        <f>BL60+BL61+BL62</f>
        <v>0</v>
      </c>
      <c r="BM59" s="282">
        <f>BM60+BM61+BM62</f>
        <v>0</v>
      </c>
      <c r="BO59" s="282">
        <f>BO60+BO61+BO62</f>
        <v>0</v>
      </c>
      <c r="BP59" s="282">
        <f>BP60+BP61+BP62</f>
        <v>0</v>
      </c>
      <c r="BR59" s="282">
        <f>BR60+BR61+BR62</f>
        <v>0</v>
      </c>
      <c r="BS59" s="282">
        <f>BS60+BS61+BS62</f>
        <v>0</v>
      </c>
      <c r="BU59" s="282">
        <f>BU60+BU61+BU62</f>
        <v>0</v>
      </c>
      <c r="BV59" s="282">
        <f>BV60+BV61+BV62</f>
        <v>0</v>
      </c>
      <c r="BX59" s="282">
        <f>BX60+BX61+BX62</f>
        <v>0</v>
      </c>
      <c r="BY59" s="282">
        <f>BY60+BY61+BY62</f>
        <v>0</v>
      </c>
      <c r="CA59" s="282">
        <f>CA60+CA61+CA62</f>
        <v>0</v>
      </c>
      <c r="CB59" s="282">
        <f>CB60+CB61+CB62</f>
        <v>0</v>
      </c>
      <c r="CD59" s="282">
        <f>CD60+CD61+CD62</f>
        <v>0</v>
      </c>
      <c r="CE59" s="282">
        <f>CE60+CE61+CE62</f>
        <v>0</v>
      </c>
      <c r="CG59" s="282">
        <f>CG60+CG61+CG62</f>
        <v>0</v>
      </c>
      <c r="CH59" s="282">
        <f>CH60+CH61+CH62</f>
        <v>0</v>
      </c>
      <c r="CJ59" s="282">
        <f>CJ60+CJ61+CJ62</f>
        <v>0</v>
      </c>
      <c r="CK59" s="282">
        <f>CK60+CK61+CK62</f>
        <v>0</v>
      </c>
    </row>
    <row r="60" spans="1:89" ht="30" x14ac:dyDescent="0.25">
      <c r="A60" s="95"/>
      <c r="B60" s="312"/>
      <c r="C60" s="312" t="s">
        <v>1489</v>
      </c>
      <c r="D60" s="95"/>
      <c r="E60" s="291"/>
      <c r="F60" s="291"/>
      <c r="G60" s="291"/>
      <c r="H60" s="291">
        <v>0</v>
      </c>
      <c r="I60" s="291">
        <v>0</v>
      </c>
      <c r="J60" s="291">
        <v>0</v>
      </c>
      <c r="K60" s="291">
        <v>0</v>
      </c>
      <c r="L60" s="291">
        <v>0</v>
      </c>
      <c r="M60" s="291">
        <v>0</v>
      </c>
      <c r="N60" s="291">
        <v>0</v>
      </c>
      <c r="O60" s="281"/>
      <c r="Q60" s="283">
        <f t="shared" ref="Q60:R62" si="41">S60+V60+Y60+AB60+AE60+AH60+AK60+AN60+AQ60+AT60+AW60+AZ60+BC60+BF60+BI60+BL60+BO60+BR60+BU60+BX60+CA60+CD60+CG60+CJ60</f>
        <v>0</v>
      </c>
      <c r="R60" s="283">
        <f t="shared" si="41"/>
        <v>0</v>
      </c>
      <c r="S60" s="267">
        <v>0</v>
      </c>
      <c r="T60" s="267">
        <v>0</v>
      </c>
      <c r="V60" s="267">
        <v>0</v>
      </c>
      <c r="W60" s="267">
        <v>0</v>
      </c>
      <c r="Y60" s="267">
        <v>0</v>
      </c>
      <c r="Z60" s="267">
        <v>0</v>
      </c>
      <c r="AB60" s="267">
        <v>0</v>
      </c>
      <c r="AC60" s="267">
        <v>0</v>
      </c>
      <c r="AE60" s="267">
        <v>0</v>
      </c>
      <c r="AF60" s="267">
        <v>0</v>
      </c>
      <c r="AH60" s="267">
        <v>0</v>
      </c>
      <c r="AI60" s="267">
        <v>0</v>
      </c>
      <c r="AK60" s="267">
        <v>0</v>
      </c>
      <c r="AL60" s="267">
        <v>0</v>
      </c>
      <c r="AN60" s="267">
        <v>0</v>
      </c>
      <c r="AO60" s="267">
        <v>0</v>
      </c>
      <c r="AQ60" s="267">
        <v>0</v>
      </c>
      <c r="AR60" s="267">
        <v>0</v>
      </c>
      <c r="AT60" s="267">
        <v>0</v>
      </c>
      <c r="AU60" s="267">
        <v>0</v>
      </c>
      <c r="AW60" s="267">
        <v>0</v>
      </c>
      <c r="AX60" s="267">
        <v>0</v>
      </c>
      <c r="AZ60" s="267">
        <v>0</v>
      </c>
      <c r="BA60" s="267">
        <v>0</v>
      </c>
      <c r="BC60" s="267">
        <v>0</v>
      </c>
      <c r="BD60" s="267">
        <v>0</v>
      </c>
      <c r="BF60" s="267">
        <v>0</v>
      </c>
      <c r="BG60" s="267">
        <v>0</v>
      </c>
      <c r="BI60" s="267">
        <v>0</v>
      </c>
      <c r="BJ60" s="267">
        <v>0</v>
      </c>
      <c r="BL60" s="267">
        <v>0</v>
      </c>
      <c r="BM60" s="267">
        <v>0</v>
      </c>
      <c r="BO60" s="267">
        <v>0</v>
      </c>
      <c r="BP60" s="267">
        <v>0</v>
      </c>
      <c r="BR60" s="267">
        <v>0</v>
      </c>
      <c r="BS60" s="267">
        <v>0</v>
      </c>
      <c r="BU60" s="267">
        <v>0</v>
      </c>
      <c r="BV60" s="267">
        <v>0</v>
      </c>
      <c r="BX60" s="267">
        <v>0</v>
      </c>
      <c r="BY60" s="267">
        <v>0</v>
      </c>
      <c r="CA60" s="267">
        <v>0</v>
      </c>
      <c r="CB60" s="267">
        <v>0</v>
      </c>
      <c r="CD60" s="267">
        <v>0</v>
      </c>
      <c r="CE60" s="267">
        <v>0</v>
      </c>
      <c r="CG60" s="267">
        <v>0</v>
      </c>
      <c r="CH60" s="267">
        <v>0</v>
      </c>
      <c r="CJ60" s="267">
        <v>0</v>
      </c>
      <c r="CK60" s="267">
        <v>0</v>
      </c>
    </row>
    <row r="61" spans="1:89" ht="30" x14ac:dyDescent="0.25">
      <c r="A61" s="95"/>
      <c r="B61" s="312"/>
      <c r="C61" s="312" t="s">
        <v>1490</v>
      </c>
      <c r="D61" s="95"/>
      <c r="E61" s="291"/>
      <c r="F61" s="291"/>
      <c r="G61" s="291"/>
      <c r="H61" s="291">
        <v>0</v>
      </c>
      <c r="I61" s="291">
        <v>0</v>
      </c>
      <c r="J61" s="291">
        <v>0</v>
      </c>
      <c r="K61" s="291">
        <v>0</v>
      </c>
      <c r="L61" s="291">
        <v>0</v>
      </c>
      <c r="M61" s="291">
        <v>0</v>
      </c>
      <c r="N61" s="291">
        <v>0</v>
      </c>
      <c r="O61" s="281"/>
      <c r="Q61" s="283">
        <f t="shared" si="41"/>
        <v>0</v>
      </c>
      <c r="R61" s="283">
        <f t="shared" si="41"/>
        <v>0</v>
      </c>
      <c r="S61" s="267">
        <v>0</v>
      </c>
      <c r="T61" s="267">
        <v>0</v>
      </c>
      <c r="V61" s="267">
        <v>0</v>
      </c>
      <c r="W61" s="267">
        <v>0</v>
      </c>
      <c r="Y61" s="267">
        <v>0</v>
      </c>
      <c r="Z61" s="267">
        <v>0</v>
      </c>
      <c r="AB61" s="267">
        <v>0</v>
      </c>
      <c r="AC61" s="267">
        <v>0</v>
      </c>
      <c r="AE61" s="267">
        <v>0</v>
      </c>
      <c r="AF61" s="267">
        <v>0</v>
      </c>
      <c r="AH61" s="267">
        <v>0</v>
      </c>
      <c r="AI61" s="267">
        <v>0</v>
      </c>
      <c r="AK61" s="267">
        <v>0</v>
      </c>
      <c r="AL61" s="267">
        <v>0</v>
      </c>
      <c r="AN61" s="267">
        <v>0</v>
      </c>
      <c r="AO61" s="267">
        <v>0</v>
      </c>
      <c r="AQ61" s="267">
        <v>0</v>
      </c>
      <c r="AR61" s="267">
        <v>0</v>
      </c>
      <c r="AT61" s="267">
        <v>0</v>
      </c>
      <c r="AU61" s="267">
        <v>0</v>
      </c>
      <c r="AW61" s="267">
        <v>0</v>
      </c>
      <c r="AX61" s="267">
        <v>0</v>
      </c>
      <c r="AZ61" s="267">
        <v>0</v>
      </c>
      <c r="BA61" s="267">
        <v>0</v>
      </c>
      <c r="BC61" s="267">
        <v>0</v>
      </c>
      <c r="BD61" s="267">
        <v>0</v>
      </c>
      <c r="BF61" s="267">
        <v>0</v>
      </c>
      <c r="BG61" s="267">
        <v>0</v>
      </c>
      <c r="BI61" s="267">
        <v>0</v>
      </c>
      <c r="BJ61" s="267">
        <v>0</v>
      </c>
      <c r="BL61" s="267">
        <v>0</v>
      </c>
      <c r="BM61" s="267">
        <v>0</v>
      </c>
      <c r="BO61" s="267">
        <v>0</v>
      </c>
      <c r="BP61" s="267">
        <v>0</v>
      </c>
      <c r="BR61" s="267">
        <v>0</v>
      </c>
      <c r="BS61" s="267">
        <v>0</v>
      </c>
      <c r="BU61" s="267">
        <v>0</v>
      </c>
      <c r="BV61" s="267">
        <v>0</v>
      </c>
      <c r="BX61" s="267">
        <v>0</v>
      </c>
      <c r="BY61" s="267">
        <v>0</v>
      </c>
      <c r="CA61" s="267">
        <v>0</v>
      </c>
      <c r="CB61" s="267">
        <v>0</v>
      </c>
      <c r="CD61" s="267">
        <v>0</v>
      </c>
      <c r="CE61" s="267">
        <v>0</v>
      </c>
      <c r="CG61" s="267">
        <v>0</v>
      </c>
      <c r="CH61" s="267">
        <v>0</v>
      </c>
      <c r="CJ61" s="267">
        <v>0</v>
      </c>
      <c r="CK61" s="267">
        <v>0</v>
      </c>
    </row>
    <row r="62" spans="1:89" ht="30" x14ac:dyDescent="0.25">
      <c r="A62" s="95"/>
      <c r="B62" s="312"/>
      <c r="C62" s="312" t="s">
        <v>1491</v>
      </c>
      <c r="D62" s="95"/>
      <c r="E62" s="291"/>
      <c r="F62" s="291"/>
      <c r="G62" s="291"/>
      <c r="H62" s="291">
        <v>0</v>
      </c>
      <c r="I62" s="291">
        <v>0</v>
      </c>
      <c r="J62" s="291">
        <v>0</v>
      </c>
      <c r="K62" s="291">
        <v>0</v>
      </c>
      <c r="L62" s="291">
        <v>0</v>
      </c>
      <c r="M62" s="291">
        <v>0</v>
      </c>
      <c r="N62" s="291">
        <v>0</v>
      </c>
      <c r="O62" s="281"/>
      <c r="Q62" s="283">
        <f t="shared" si="41"/>
        <v>0</v>
      </c>
      <c r="R62" s="283">
        <f t="shared" si="41"/>
        <v>0</v>
      </c>
      <c r="S62" s="267">
        <v>0</v>
      </c>
      <c r="T62" s="267">
        <v>0</v>
      </c>
      <c r="V62" s="267">
        <v>0</v>
      </c>
      <c r="W62" s="267">
        <v>0</v>
      </c>
      <c r="Y62" s="267">
        <v>0</v>
      </c>
      <c r="Z62" s="267">
        <v>0</v>
      </c>
      <c r="AB62" s="267">
        <v>0</v>
      </c>
      <c r="AC62" s="267">
        <v>0</v>
      </c>
      <c r="AE62" s="267">
        <v>0</v>
      </c>
      <c r="AF62" s="267">
        <v>0</v>
      </c>
      <c r="AH62" s="267">
        <v>0</v>
      </c>
      <c r="AI62" s="267">
        <v>0</v>
      </c>
      <c r="AK62" s="267">
        <v>0</v>
      </c>
      <c r="AL62" s="267">
        <v>0</v>
      </c>
      <c r="AN62" s="267">
        <v>0</v>
      </c>
      <c r="AO62" s="267">
        <v>0</v>
      </c>
      <c r="AQ62" s="267">
        <v>0</v>
      </c>
      <c r="AR62" s="267">
        <v>0</v>
      </c>
      <c r="AT62" s="267">
        <v>0</v>
      </c>
      <c r="AU62" s="267">
        <v>0</v>
      </c>
      <c r="AW62" s="267">
        <v>0</v>
      </c>
      <c r="AX62" s="267">
        <v>0</v>
      </c>
      <c r="AZ62" s="267">
        <v>0</v>
      </c>
      <c r="BA62" s="267">
        <v>0</v>
      </c>
      <c r="BC62" s="267">
        <v>0</v>
      </c>
      <c r="BD62" s="267">
        <v>0</v>
      </c>
      <c r="BF62" s="267">
        <v>0</v>
      </c>
      <c r="BG62" s="267">
        <v>0</v>
      </c>
      <c r="BI62" s="267">
        <v>0</v>
      </c>
      <c r="BJ62" s="267">
        <v>0</v>
      </c>
      <c r="BL62" s="267">
        <v>0</v>
      </c>
      <c r="BM62" s="267">
        <v>0</v>
      </c>
      <c r="BO62" s="267">
        <v>0</v>
      </c>
      <c r="BP62" s="267">
        <v>0</v>
      </c>
      <c r="BR62" s="267">
        <v>0</v>
      </c>
      <c r="BS62" s="267">
        <v>0</v>
      </c>
      <c r="BU62" s="267">
        <v>0</v>
      </c>
      <c r="BV62" s="267">
        <v>0</v>
      </c>
      <c r="BX62" s="267">
        <v>0</v>
      </c>
      <c r="BY62" s="267">
        <v>0</v>
      </c>
      <c r="CA62" s="267">
        <v>0</v>
      </c>
      <c r="CB62" s="267">
        <v>0</v>
      </c>
      <c r="CD62" s="267">
        <v>0</v>
      </c>
      <c r="CE62" s="267">
        <v>0</v>
      </c>
      <c r="CG62" s="267">
        <v>0</v>
      </c>
      <c r="CH62" s="267">
        <v>0</v>
      </c>
      <c r="CJ62" s="267">
        <v>0</v>
      </c>
      <c r="CK62" s="267">
        <v>0</v>
      </c>
    </row>
    <row r="63" spans="1:89" ht="60" x14ac:dyDescent="0.25">
      <c r="A63" s="95" t="s">
        <v>141</v>
      </c>
      <c r="B63" s="96" t="s">
        <v>1649</v>
      </c>
      <c r="C63" s="16"/>
      <c r="D63" s="95"/>
      <c r="E63" s="291"/>
      <c r="F63" s="291"/>
      <c r="G63" s="291"/>
      <c r="H63" s="291"/>
      <c r="I63" s="291"/>
      <c r="J63" s="291"/>
      <c r="K63" s="291"/>
      <c r="L63" s="291"/>
      <c r="M63" s="291"/>
      <c r="N63" s="291"/>
      <c r="O63" s="281"/>
    </row>
    <row r="64" spans="1:89" x14ac:dyDescent="0.25">
      <c r="A64" s="95"/>
      <c r="B64" s="96" t="s">
        <v>1182</v>
      </c>
      <c r="C64" s="16"/>
      <c r="D64" s="95" t="s">
        <v>8</v>
      </c>
      <c r="E64" s="291"/>
      <c r="F64" s="291"/>
      <c r="G64" s="291"/>
      <c r="H64" s="291"/>
      <c r="I64" s="279">
        <f t="shared" ref="I64:J66" si="42">I67/I70*100</f>
        <v>63.408491244902855</v>
      </c>
      <c r="J64" s="279">
        <f t="shared" si="42"/>
        <v>63.029567519858787</v>
      </c>
      <c r="K64" s="279">
        <f t="shared" ref="K64:M66" si="43">K67/K70*100</f>
        <v>62.18071519795658</v>
      </c>
      <c r="L64" s="279">
        <f t="shared" si="43"/>
        <v>59.168704156479215</v>
      </c>
      <c r="M64" s="279">
        <f t="shared" si="43"/>
        <v>59.047619047619051</v>
      </c>
      <c r="N64" s="279">
        <f t="shared" ref="N64" si="44">N67/N70*100</f>
        <v>57.242990654205606</v>
      </c>
      <c r="O64" s="281"/>
      <c r="Q64" s="279">
        <f t="shared" ref="Q64:T66" si="45">Q67/Q70*100</f>
        <v>62.18071519795658</v>
      </c>
      <c r="R64" s="279">
        <f t="shared" si="45"/>
        <v>57.850891068227348</v>
      </c>
      <c r="S64" s="279">
        <f t="shared" si="45"/>
        <v>56.862745098039213</v>
      </c>
      <c r="T64" s="279">
        <f t="shared" si="45"/>
        <v>54.111405835543771</v>
      </c>
      <c r="V64" s="279">
        <f t="shared" ref="V64:W66" si="46">V67/V70*100</f>
        <v>59.428571428571431</v>
      </c>
      <c r="W64" s="279">
        <f t="shared" si="46"/>
        <v>48.553054662379417</v>
      </c>
      <c r="Y64" s="279">
        <f t="shared" ref="Y64:Z66" si="47">Y67/Y70*100</f>
        <v>53.510895883777245</v>
      </c>
      <c r="Z64" s="279">
        <f t="shared" si="47"/>
        <v>46.666666666666664</v>
      </c>
      <c r="AB64" s="279">
        <f t="shared" ref="AB64:AC66" si="48">AB67/AB70*100</f>
        <v>57.114228456913828</v>
      </c>
      <c r="AC64" s="279">
        <f t="shared" si="48"/>
        <v>56.548856548856548</v>
      </c>
      <c r="AE64" s="279">
        <f t="shared" ref="AE64:AF66" si="49">AE67/AE70*100</f>
        <v>64.887640449438194</v>
      </c>
      <c r="AF64" s="279">
        <f t="shared" si="49"/>
        <v>55.218855218855225</v>
      </c>
      <c r="AH64" s="279">
        <f t="shared" ref="AH64:AI66" si="50">AH67/AH70*100</f>
        <v>55.80808080808081</v>
      </c>
      <c r="AI64" s="279">
        <f t="shared" si="50"/>
        <v>61.613691931540338</v>
      </c>
      <c r="AK64" s="279">
        <f t="shared" ref="AK64:AL66" si="51">AK67/AK70*100</f>
        <v>51.943462897526501</v>
      </c>
      <c r="AL64" s="279">
        <f t="shared" si="51"/>
        <v>47.21780604133545</v>
      </c>
      <c r="AN64" s="279">
        <f t="shared" ref="AN64:AO66" si="52">AN67/AN70*100</f>
        <v>57.37100737100738</v>
      </c>
      <c r="AO64" s="279">
        <f t="shared" si="52"/>
        <v>50.835475578406175</v>
      </c>
      <c r="AQ64" s="279">
        <f t="shared" ref="AQ64:AR66" si="53">AQ67/AQ70*100</f>
        <v>54.787234042553187</v>
      </c>
      <c r="AR64" s="279">
        <f t="shared" si="53"/>
        <v>50.753768844221106</v>
      </c>
      <c r="AT64" s="279">
        <f t="shared" ref="AT64:AU66" si="54">AT67/AT70*100</f>
        <v>70.345489443378113</v>
      </c>
      <c r="AU64" s="279">
        <f t="shared" si="54"/>
        <v>63.986013986013987</v>
      </c>
      <c r="AW64" s="279">
        <f t="shared" ref="AW64:AX66" si="55">AW67/AW70*100</f>
        <v>52.024291497975703</v>
      </c>
      <c r="AX64" s="279">
        <f t="shared" si="55"/>
        <v>47.109207708779444</v>
      </c>
      <c r="AZ64" s="279">
        <f t="shared" ref="AZ64:BA66" si="56">AZ67/AZ70*100</f>
        <v>54.468085106382979</v>
      </c>
      <c r="BA64" s="279">
        <f t="shared" si="56"/>
        <v>51.249999999999993</v>
      </c>
      <c r="BC64" s="279">
        <f t="shared" ref="BC64:BD66" si="57">BC67/BC70*100</f>
        <v>62.312811980033281</v>
      </c>
      <c r="BD64" s="279">
        <f t="shared" si="57"/>
        <v>54.632867132867133</v>
      </c>
      <c r="BF64" s="279">
        <f t="shared" ref="BF64:BG66" si="58">BF67/BF70*100</f>
        <v>62.040960451977398</v>
      </c>
      <c r="BG64" s="279">
        <f t="shared" si="58"/>
        <v>60.276280323450138</v>
      </c>
      <c r="BI64" s="279">
        <f t="shared" ref="BI64:BJ66" si="59">BI67/BI70*100</f>
        <v>67.208024838786713</v>
      </c>
      <c r="BJ64" s="279">
        <f t="shared" si="59"/>
        <v>63.327076489910837</v>
      </c>
      <c r="BL64" s="279">
        <f t="shared" ref="BL64:BM66" si="60">BL67/BL70*100</f>
        <v>62.708333333333336</v>
      </c>
      <c r="BM64" s="279">
        <f t="shared" si="60"/>
        <v>55.136268343815509</v>
      </c>
      <c r="BO64" s="279">
        <f t="shared" ref="BO64:BP66" si="61">BO67/BO70*100</f>
        <v>57.995735607675904</v>
      </c>
      <c r="BP64" s="279">
        <f t="shared" si="61"/>
        <v>48.879837067209778</v>
      </c>
      <c r="BR64" s="279">
        <f t="shared" ref="BR64:BS66" si="62">BR67/BR70*100</f>
        <v>57.47126436781609</v>
      </c>
      <c r="BS64" s="279">
        <f t="shared" si="62"/>
        <v>54.445964432284541</v>
      </c>
      <c r="BU64" s="279">
        <f t="shared" ref="BU64:BV66" si="63">BU67/BU70*100</f>
        <v>74.921135646687702</v>
      </c>
      <c r="BV64" s="279">
        <f t="shared" si="63"/>
        <v>61.593172119487903</v>
      </c>
      <c r="BX64" s="279">
        <f t="shared" ref="BX64:BY66" si="64">BX67/BX70*100</f>
        <v>44.811320754716981</v>
      </c>
      <c r="BY64" s="279">
        <f t="shared" si="64"/>
        <v>46.341463414634148</v>
      </c>
      <c r="CA64" s="279">
        <f t="shared" ref="CA64:CB66" si="65">CA67/CA70*100</f>
        <v>60.593220338983059</v>
      </c>
      <c r="CB64" s="279">
        <f t="shared" si="65"/>
        <v>56.972111553784863</v>
      </c>
      <c r="CD64" s="279">
        <f t="shared" ref="CD64:CE66" si="66">CD67/CD70*100</f>
        <v>57.446808510638306</v>
      </c>
      <c r="CE64" s="279">
        <f t="shared" si="66"/>
        <v>59.82905982905983</v>
      </c>
      <c r="CG64" s="279">
        <f t="shared" ref="CG64:CH66" si="67">CG67/CG70*100</f>
        <v>193.02325581395351</v>
      </c>
      <c r="CH64" s="279">
        <f t="shared" si="67"/>
        <v>253.44827586206895</v>
      </c>
      <c r="CJ64" s="279">
        <f t="shared" ref="CJ64:CK66" si="68">CJ67/CJ70*100</f>
        <v>50.458715596330272</v>
      </c>
      <c r="CK64" s="279">
        <f t="shared" si="68"/>
        <v>42.857142857142854</v>
      </c>
    </row>
    <row r="65" spans="1:89" x14ac:dyDescent="0.25">
      <c r="A65" s="95"/>
      <c r="B65" s="96" t="s">
        <v>1183</v>
      </c>
      <c r="C65" s="16"/>
      <c r="D65" s="95" t="s">
        <v>8</v>
      </c>
      <c r="E65" s="291"/>
      <c r="F65" s="291"/>
      <c r="G65" s="291"/>
      <c r="H65" s="291"/>
      <c r="I65" s="279">
        <f t="shared" si="42"/>
        <v>64.06332453825857</v>
      </c>
      <c r="J65" s="279">
        <f t="shared" si="42"/>
        <v>63.468880673898553</v>
      </c>
      <c r="K65" s="279">
        <f t="shared" si="43"/>
        <v>62.803422783631177</v>
      </c>
      <c r="L65" s="279">
        <f t="shared" si="43"/>
        <v>61.53846153846154</v>
      </c>
      <c r="M65" s="279">
        <f t="shared" si="43"/>
        <v>61.135371179039296</v>
      </c>
      <c r="N65" s="279">
        <f t="shared" ref="N65" si="69">N68/N71*100</f>
        <v>65.714285714285708</v>
      </c>
      <c r="O65" s="281"/>
      <c r="Q65" s="279">
        <f t="shared" si="45"/>
        <v>62.803422783631177</v>
      </c>
      <c r="R65" s="279">
        <f t="shared" si="45"/>
        <v>58.483941521814209</v>
      </c>
      <c r="S65" s="279">
        <f t="shared" si="45"/>
        <v>57.547169811320757</v>
      </c>
      <c r="T65" s="279">
        <f t="shared" si="45"/>
        <v>59.016393442622949</v>
      </c>
      <c r="V65" s="279">
        <f t="shared" si="46"/>
        <v>55.803571428571431</v>
      </c>
      <c r="W65" s="279">
        <f t="shared" si="46"/>
        <v>47.752808988764045</v>
      </c>
      <c r="Y65" s="279">
        <f t="shared" si="47"/>
        <v>54.416961130742045</v>
      </c>
      <c r="Z65" s="279">
        <f t="shared" si="47"/>
        <v>47.328244274809158</v>
      </c>
      <c r="AB65" s="279">
        <f t="shared" si="48"/>
        <v>58.237547892720308</v>
      </c>
      <c r="AC65" s="279">
        <f t="shared" si="48"/>
        <v>59.760956175298809</v>
      </c>
      <c r="AE65" s="279">
        <f t="shared" si="49"/>
        <v>68.8</v>
      </c>
      <c r="AF65" s="279">
        <f t="shared" si="49"/>
        <v>55.701754385964911</v>
      </c>
      <c r="AH65" s="279">
        <f t="shared" si="50"/>
        <v>59.047619047619051</v>
      </c>
      <c r="AI65" s="279">
        <f t="shared" si="50"/>
        <v>61.990950226244344</v>
      </c>
      <c r="AK65" s="279">
        <f t="shared" si="51"/>
        <v>51.636363636363633</v>
      </c>
      <c r="AL65" s="279">
        <f t="shared" si="51"/>
        <v>47.342192691029901</v>
      </c>
      <c r="AN65" s="279">
        <f t="shared" si="52"/>
        <v>58.818342151675488</v>
      </c>
      <c r="AO65" s="279">
        <f t="shared" si="52"/>
        <v>53.016453382084094</v>
      </c>
      <c r="AQ65" s="279" t="e">
        <f t="shared" si="53"/>
        <v>#DIV/0!</v>
      </c>
      <c r="AR65" s="279" t="e">
        <f t="shared" si="53"/>
        <v>#DIV/0!</v>
      </c>
      <c r="AT65" s="279">
        <f t="shared" si="54"/>
        <v>70.345489443378113</v>
      </c>
      <c r="AU65" s="279">
        <f t="shared" si="54"/>
        <v>63.986013986013987</v>
      </c>
      <c r="AW65" s="279">
        <f t="shared" si="55"/>
        <v>52.024291497975703</v>
      </c>
      <c r="AX65" s="279">
        <f t="shared" si="55"/>
        <v>47.109207708779444</v>
      </c>
      <c r="AZ65" s="279">
        <f t="shared" si="56"/>
        <v>54.468085106382979</v>
      </c>
      <c r="BA65" s="279">
        <f t="shared" si="56"/>
        <v>51.249999999999993</v>
      </c>
      <c r="BC65" s="279">
        <f t="shared" si="57"/>
        <v>62.312811980033281</v>
      </c>
      <c r="BD65" s="279">
        <f t="shared" si="57"/>
        <v>54.632867132867133</v>
      </c>
      <c r="BF65" s="279">
        <f t="shared" si="58"/>
        <v>62.040960451977398</v>
      </c>
      <c r="BG65" s="279">
        <f t="shared" si="58"/>
        <v>60.276280323450138</v>
      </c>
      <c r="BI65" s="279">
        <f t="shared" si="59"/>
        <v>67.208024838786713</v>
      </c>
      <c r="BJ65" s="279">
        <f t="shared" si="59"/>
        <v>63.327076489910837</v>
      </c>
      <c r="BL65" s="279">
        <f t="shared" si="60"/>
        <v>62.708333333333336</v>
      </c>
      <c r="BM65" s="279">
        <f t="shared" si="60"/>
        <v>55.136268343815509</v>
      </c>
      <c r="BO65" s="279">
        <f t="shared" si="61"/>
        <v>57.995735607675904</v>
      </c>
      <c r="BP65" s="279">
        <f t="shared" si="61"/>
        <v>48.879837067209778</v>
      </c>
      <c r="BR65" s="279">
        <f t="shared" si="62"/>
        <v>57.47126436781609</v>
      </c>
      <c r="BS65" s="279">
        <f t="shared" si="62"/>
        <v>54.445964432284541</v>
      </c>
      <c r="BU65" s="279">
        <f t="shared" si="63"/>
        <v>74.921135646687702</v>
      </c>
      <c r="BV65" s="279">
        <f t="shared" si="63"/>
        <v>61.593172119487903</v>
      </c>
      <c r="BX65" s="279">
        <f t="shared" si="64"/>
        <v>44.811320754716981</v>
      </c>
      <c r="BY65" s="279">
        <f t="shared" si="64"/>
        <v>46.341463414634148</v>
      </c>
      <c r="CA65" s="279">
        <f t="shared" si="65"/>
        <v>60.593220338983059</v>
      </c>
      <c r="CB65" s="279">
        <f t="shared" si="65"/>
        <v>56.972111553784863</v>
      </c>
      <c r="CD65" s="279">
        <f t="shared" si="66"/>
        <v>57.446808510638306</v>
      </c>
      <c r="CE65" s="279">
        <f t="shared" si="66"/>
        <v>59.82905982905983</v>
      </c>
      <c r="CG65" s="279">
        <f t="shared" si="67"/>
        <v>276.47058823529409</v>
      </c>
      <c r="CH65" s="279">
        <f t="shared" si="67"/>
        <v>337.14285714285717</v>
      </c>
      <c r="CJ65" s="279">
        <f t="shared" si="68"/>
        <v>50.458715596330272</v>
      </c>
      <c r="CK65" s="279">
        <f t="shared" si="68"/>
        <v>42.857142857142854</v>
      </c>
    </row>
    <row r="66" spans="1:89" x14ac:dyDescent="0.25">
      <c r="A66" s="95"/>
      <c r="B66" s="96" t="s">
        <v>1185</v>
      </c>
      <c r="C66" s="16"/>
      <c r="D66" s="95" t="s">
        <v>8</v>
      </c>
      <c r="E66" s="291"/>
      <c r="F66" s="291"/>
      <c r="G66" s="291"/>
      <c r="H66" s="291"/>
      <c r="I66" s="279">
        <f t="shared" si="42"/>
        <v>56.860158311345643</v>
      </c>
      <c r="J66" s="279">
        <f t="shared" si="42"/>
        <v>58.574062692071294</v>
      </c>
      <c r="K66" s="279">
        <f t="shared" si="43"/>
        <v>55.548667079975203</v>
      </c>
      <c r="L66" s="279">
        <f t="shared" si="43"/>
        <v>56.38297872340425</v>
      </c>
      <c r="M66" s="279">
        <f t="shared" si="43"/>
        <v>56.544502617801051</v>
      </c>
      <c r="N66" s="279">
        <f t="shared" ref="N66" si="70">N69/N72*100</f>
        <v>49.082568807339449</v>
      </c>
      <c r="O66" s="281"/>
      <c r="Q66" s="279">
        <f t="shared" si="45"/>
        <v>55.548667079975203</v>
      </c>
      <c r="R66" s="279">
        <f t="shared" si="45"/>
        <v>50.942211055276388</v>
      </c>
      <c r="S66" s="279">
        <f t="shared" si="45"/>
        <v>55.319148936170215</v>
      </c>
      <c r="T66" s="279">
        <f t="shared" si="45"/>
        <v>45.112781954887218</v>
      </c>
      <c r="V66" s="279">
        <f t="shared" si="46"/>
        <v>65.873015873015873</v>
      </c>
      <c r="W66" s="279">
        <f t="shared" si="46"/>
        <v>49.624060150375939</v>
      </c>
      <c r="Y66" s="279">
        <f t="shared" si="47"/>
        <v>51.538461538461533</v>
      </c>
      <c r="Z66" s="279">
        <f t="shared" si="47"/>
        <v>45.3125</v>
      </c>
      <c r="AB66" s="279">
        <f t="shared" si="48"/>
        <v>55.882352941176471</v>
      </c>
      <c r="AC66" s="279">
        <f t="shared" si="48"/>
        <v>53.04347826086957</v>
      </c>
      <c r="AE66" s="279">
        <f t="shared" si="49"/>
        <v>55.660377358490564</v>
      </c>
      <c r="AF66" s="279">
        <f t="shared" si="49"/>
        <v>53.623188405797109</v>
      </c>
      <c r="AH66" s="279">
        <f t="shared" si="50"/>
        <v>52.1505376344086</v>
      </c>
      <c r="AI66" s="279">
        <f t="shared" si="50"/>
        <v>61.170212765957444</v>
      </c>
      <c r="AK66" s="279">
        <f t="shared" si="51"/>
        <v>62.5</v>
      </c>
      <c r="AL66" s="279">
        <f t="shared" si="51"/>
        <v>44.444444444444443</v>
      </c>
      <c r="AN66" s="279">
        <f t="shared" si="52"/>
        <v>54.048582995951421</v>
      </c>
      <c r="AO66" s="279">
        <f t="shared" si="52"/>
        <v>45.670995670995673</v>
      </c>
      <c r="AQ66" s="279">
        <f t="shared" si="53"/>
        <v>54.787234042553187</v>
      </c>
      <c r="AR66" s="279">
        <f t="shared" si="53"/>
        <v>50.753768844221106</v>
      </c>
      <c r="AT66" s="279" t="e">
        <f t="shared" si="54"/>
        <v>#DIV/0!</v>
      </c>
      <c r="AU66" s="279" t="e">
        <f t="shared" si="54"/>
        <v>#DIV/0!</v>
      </c>
      <c r="AW66" s="279" t="e">
        <f t="shared" si="55"/>
        <v>#DIV/0!</v>
      </c>
      <c r="AX66" s="279" t="e">
        <f t="shared" si="55"/>
        <v>#DIV/0!</v>
      </c>
      <c r="AZ66" s="279" t="e">
        <f t="shared" si="56"/>
        <v>#DIV/0!</v>
      </c>
      <c r="BA66" s="279" t="e">
        <f t="shared" si="56"/>
        <v>#DIV/0!</v>
      </c>
      <c r="BC66" s="279" t="e">
        <f t="shared" si="57"/>
        <v>#DIV/0!</v>
      </c>
      <c r="BD66" s="279" t="e">
        <f t="shared" si="57"/>
        <v>#DIV/0!</v>
      </c>
      <c r="BF66" s="279" t="e">
        <f t="shared" si="58"/>
        <v>#DIV/0!</v>
      </c>
      <c r="BG66" s="279" t="e">
        <f t="shared" si="58"/>
        <v>#DIV/0!</v>
      </c>
      <c r="BI66" s="279" t="e">
        <f t="shared" si="59"/>
        <v>#DIV/0!</v>
      </c>
      <c r="BJ66" s="279" t="e">
        <f t="shared" si="59"/>
        <v>#DIV/0!</v>
      </c>
      <c r="BL66" s="279" t="e">
        <f t="shared" si="60"/>
        <v>#DIV/0!</v>
      </c>
      <c r="BM66" s="279" t="e">
        <f t="shared" si="60"/>
        <v>#DIV/0!</v>
      </c>
      <c r="BO66" s="279" t="e">
        <f t="shared" si="61"/>
        <v>#DIV/0!</v>
      </c>
      <c r="BP66" s="279" t="e">
        <f t="shared" si="61"/>
        <v>#DIV/0!</v>
      </c>
      <c r="BR66" s="279" t="e">
        <f t="shared" si="62"/>
        <v>#DIV/0!</v>
      </c>
      <c r="BS66" s="279" t="e">
        <f t="shared" si="62"/>
        <v>#DIV/0!</v>
      </c>
      <c r="BU66" s="279" t="e">
        <f t="shared" si="63"/>
        <v>#DIV/0!</v>
      </c>
      <c r="BV66" s="279" t="e">
        <f t="shared" si="63"/>
        <v>#DIV/0!</v>
      </c>
      <c r="BX66" s="279" t="e">
        <f t="shared" si="64"/>
        <v>#DIV/0!</v>
      </c>
      <c r="BY66" s="279" t="e">
        <f t="shared" si="64"/>
        <v>#DIV/0!</v>
      </c>
      <c r="CA66" s="279" t="e">
        <f t="shared" si="65"/>
        <v>#DIV/0!</v>
      </c>
      <c r="CB66" s="279" t="e">
        <f t="shared" si="65"/>
        <v>#DIV/0!</v>
      </c>
      <c r="CD66" s="279" t="e">
        <f t="shared" si="66"/>
        <v>#DIV/0!</v>
      </c>
      <c r="CE66" s="279" t="e">
        <f t="shared" si="66"/>
        <v>#DIV/0!</v>
      </c>
      <c r="CG66" s="279">
        <f t="shared" si="67"/>
        <v>71.428571428571431</v>
      </c>
      <c r="CH66" s="279">
        <f t="shared" si="67"/>
        <v>126.08695652173914</v>
      </c>
      <c r="CJ66" s="279" t="e">
        <f t="shared" si="68"/>
        <v>#DIV/0!</v>
      </c>
      <c r="CK66" s="279" t="e">
        <f t="shared" si="68"/>
        <v>#DIV/0!</v>
      </c>
    </row>
    <row r="67" spans="1:89" ht="30" x14ac:dyDescent="0.25">
      <c r="A67" s="95"/>
      <c r="B67" s="96" t="s">
        <v>1827</v>
      </c>
      <c r="C67" s="16"/>
      <c r="D67" s="95"/>
      <c r="E67" s="291"/>
      <c r="F67" s="291"/>
      <c r="G67" s="291"/>
      <c r="H67" s="291"/>
      <c r="I67" s="282">
        <f t="shared" ref="I67:N67" si="71">I68+I69</f>
        <v>10574</v>
      </c>
      <c r="J67" s="282">
        <f t="shared" si="71"/>
        <v>11426</v>
      </c>
      <c r="K67" s="282">
        <f t="shared" si="71"/>
        <v>11685</v>
      </c>
      <c r="L67" s="282">
        <f t="shared" si="71"/>
        <v>242</v>
      </c>
      <c r="M67" s="282">
        <f t="shared" si="71"/>
        <v>248</v>
      </c>
      <c r="N67" s="282">
        <f t="shared" si="71"/>
        <v>245</v>
      </c>
      <c r="O67" s="281"/>
      <c r="Q67" s="282">
        <f>Q68+Q69</f>
        <v>11685</v>
      </c>
      <c r="R67" s="282">
        <f>R68+R69</f>
        <v>10972</v>
      </c>
      <c r="S67" s="282">
        <f>S68+S69</f>
        <v>174</v>
      </c>
      <c r="T67" s="282">
        <f>T68+T69</f>
        <v>204</v>
      </c>
      <c r="V67" s="282">
        <f>V68+V69</f>
        <v>208</v>
      </c>
      <c r="W67" s="282">
        <f>W68+W69</f>
        <v>151</v>
      </c>
      <c r="Y67" s="282">
        <f>Y68+Y69</f>
        <v>221</v>
      </c>
      <c r="Z67" s="282">
        <f>Z68+Z69</f>
        <v>182</v>
      </c>
      <c r="AB67" s="282">
        <f>AB68+AB69</f>
        <v>285</v>
      </c>
      <c r="AC67" s="282">
        <f>AC68+AC69</f>
        <v>272</v>
      </c>
      <c r="AE67" s="282">
        <f>AE68+AE69</f>
        <v>231</v>
      </c>
      <c r="AF67" s="282">
        <f>AF68+AF69</f>
        <v>164</v>
      </c>
      <c r="AH67" s="282">
        <f>AH68+AH69</f>
        <v>221</v>
      </c>
      <c r="AI67" s="282">
        <f>AI68+AI69</f>
        <v>252</v>
      </c>
      <c r="AK67" s="282">
        <f>AK68+AK69</f>
        <v>294</v>
      </c>
      <c r="AL67" s="282">
        <f>AL68+AL69</f>
        <v>297</v>
      </c>
      <c r="AN67" s="282">
        <f>AN68+AN69</f>
        <v>934</v>
      </c>
      <c r="AO67" s="282">
        <f>AO68+AO69</f>
        <v>791</v>
      </c>
      <c r="AQ67" s="282">
        <f>AQ68+AQ69</f>
        <v>103</v>
      </c>
      <c r="AR67" s="282">
        <f>AR68+AR69</f>
        <v>101</v>
      </c>
      <c r="AT67" s="282">
        <f>AT68+AT69</f>
        <v>733</v>
      </c>
      <c r="AU67" s="282">
        <f>AU68+AU69</f>
        <v>732</v>
      </c>
      <c r="AW67" s="282">
        <f>AW68+AW69</f>
        <v>257</v>
      </c>
      <c r="AX67" s="282">
        <f>AX68+AX69</f>
        <v>220</v>
      </c>
      <c r="AZ67" s="282">
        <f>AZ68+AZ69</f>
        <v>384</v>
      </c>
      <c r="BA67" s="282">
        <f>BA68+BA69</f>
        <v>328</v>
      </c>
      <c r="BC67" s="282">
        <f>BC68+BC69</f>
        <v>749</v>
      </c>
      <c r="BD67" s="282">
        <f>BD68+BD69</f>
        <v>625</v>
      </c>
      <c r="BF67" s="282">
        <f>BF68+BF69</f>
        <v>1757</v>
      </c>
      <c r="BG67" s="282">
        <f>BG68+BG69</f>
        <v>1789</v>
      </c>
      <c r="BI67" s="282">
        <f>BI68+BI69</f>
        <v>2814</v>
      </c>
      <c r="BJ67" s="282">
        <f>BJ68+BJ69</f>
        <v>2699</v>
      </c>
      <c r="BL67" s="282">
        <f>BL68+BL69</f>
        <v>301</v>
      </c>
      <c r="BM67" s="282">
        <f>BM68+BM69</f>
        <v>263</v>
      </c>
      <c r="BO67" s="282">
        <f>BO68+BO69</f>
        <v>272</v>
      </c>
      <c r="BP67" s="282">
        <f>BP68+BP69</f>
        <v>240</v>
      </c>
      <c r="BR67" s="282">
        <f>BR68+BR69</f>
        <v>400</v>
      </c>
      <c r="BS67" s="282">
        <f>BS68+BS69</f>
        <v>398</v>
      </c>
      <c r="BU67" s="282">
        <f>BU68+BU69</f>
        <v>475</v>
      </c>
      <c r="BV67" s="282">
        <f>BV68+BV69</f>
        <v>433</v>
      </c>
      <c r="BX67" s="282">
        <f>BX68+BX69</f>
        <v>95</v>
      </c>
      <c r="BY67" s="282">
        <f>BY68+BY69</f>
        <v>76</v>
      </c>
      <c r="CA67" s="282">
        <f>CA68+CA69</f>
        <v>286</v>
      </c>
      <c r="CB67" s="282">
        <f>CB68+CB69</f>
        <v>286</v>
      </c>
      <c r="CD67" s="282">
        <f>CD68+CD69</f>
        <v>270</v>
      </c>
      <c r="CE67" s="282">
        <f>CE68+CE69</f>
        <v>280</v>
      </c>
      <c r="CG67" s="282">
        <f>CG68+CG69</f>
        <v>166</v>
      </c>
      <c r="CH67" s="282">
        <f>CH68+CH69</f>
        <v>147</v>
      </c>
      <c r="CJ67" s="282">
        <f>CJ68+CJ69</f>
        <v>55</v>
      </c>
      <c r="CK67" s="282">
        <f>CK68+CK69</f>
        <v>42</v>
      </c>
    </row>
    <row r="68" spans="1:89" ht="45" x14ac:dyDescent="0.25">
      <c r="A68" s="95"/>
      <c r="B68" s="96" t="s">
        <v>1183</v>
      </c>
      <c r="C68" s="312" t="s">
        <v>2386</v>
      </c>
      <c r="D68" s="95" t="s">
        <v>950</v>
      </c>
      <c r="E68" s="291"/>
      <c r="F68" s="291"/>
      <c r="G68" s="291"/>
      <c r="H68" s="291"/>
      <c r="I68" s="282">
        <v>9712</v>
      </c>
      <c r="J68" s="282">
        <v>10473</v>
      </c>
      <c r="K68" s="282">
        <v>10789</v>
      </c>
      <c r="L68" s="282">
        <v>136</v>
      </c>
      <c r="M68" s="282">
        <v>140</v>
      </c>
      <c r="N68" s="282">
        <v>138</v>
      </c>
      <c r="O68" s="315"/>
      <c r="P68" s="296"/>
      <c r="Q68" s="286">
        <f>S68+V68+Y68+AB68+AE68+AH68+AK68+AN68+AQ68+AT68+AW68+AZ68+BC68+BF68+BI68+BL68+BO68+BR68+BU68+BX68+CA68+CD68+CG68+CJ68</f>
        <v>10789</v>
      </c>
      <c r="R68" s="286">
        <f>T68+W68+Z68+AC68+AF68+AI68+AL68+AO68+AR68+AU68+AX68+BA68+BD68+BG68+BJ68+BM68+BP68+BS68+BV68+BY68+CB68+CE68+CH68+CK68</f>
        <v>10161</v>
      </c>
      <c r="S68" s="286">
        <v>122</v>
      </c>
      <c r="T68" s="286">
        <f>137+7</f>
        <v>144</v>
      </c>
      <c r="U68" s="286"/>
      <c r="V68" s="286">
        <v>125</v>
      </c>
      <c r="W68" s="286">
        <f>80+5</f>
        <v>85</v>
      </c>
      <c r="X68" s="286"/>
      <c r="Y68" s="286">
        <v>154</v>
      </c>
      <c r="Z68" s="286">
        <v>124</v>
      </c>
      <c r="AA68" s="286"/>
      <c r="AB68" s="286">
        <v>152</v>
      </c>
      <c r="AC68" s="286">
        <v>150</v>
      </c>
      <c r="AD68" s="286"/>
      <c r="AE68" s="286">
        <v>172</v>
      </c>
      <c r="AF68" s="286">
        <f>112+15</f>
        <v>127</v>
      </c>
      <c r="AG68" s="286"/>
      <c r="AH68" s="286">
        <v>124</v>
      </c>
      <c r="AI68" s="286">
        <f>135+2</f>
        <v>137</v>
      </c>
      <c r="AJ68" s="286"/>
      <c r="AK68" s="286">
        <v>284</v>
      </c>
      <c r="AL68" s="286">
        <f>271+14</f>
        <v>285</v>
      </c>
      <c r="AM68" s="286"/>
      <c r="AN68" s="286">
        <v>667</v>
      </c>
      <c r="AO68" s="286">
        <v>580</v>
      </c>
      <c r="AP68" s="286"/>
      <c r="AQ68" s="286">
        <v>0</v>
      </c>
      <c r="AR68" s="286">
        <v>0</v>
      </c>
      <c r="AS68" s="286"/>
      <c r="AT68" s="286">
        <v>733</v>
      </c>
      <c r="AU68" s="286">
        <v>732</v>
      </c>
      <c r="AV68" s="286"/>
      <c r="AW68" s="286">
        <v>257</v>
      </c>
      <c r="AX68" s="286">
        <v>220</v>
      </c>
      <c r="AY68" s="286"/>
      <c r="AZ68" s="286">
        <v>384</v>
      </c>
      <c r="BA68" s="286">
        <v>328</v>
      </c>
      <c r="BB68" s="286"/>
      <c r="BC68" s="286">
        <v>749</v>
      </c>
      <c r="BD68" s="286">
        <v>625</v>
      </c>
      <c r="BE68" s="286"/>
      <c r="BF68" s="286">
        <v>1757</v>
      </c>
      <c r="BG68" s="286">
        <f>1766+23</f>
        <v>1789</v>
      </c>
      <c r="BH68" s="286"/>
      <c r="BI68" s="286">
        <v>2814</v>
      </c>
      <c r="BJ68" s="286">
        <f>2502+99+100-2</f>
        <v>2699</v>
      </c>
      <c r="BK68" s="286"/>
      <c r="BL68" s="286">
        <v>301</v>
      </c>
      <c r="BM68" s="286">
        <v>263</v>
      </c>
      <c r="BN68" s="286"/>
      <c r="BO68" s="286">
        <v>272</v>
      </c>
      <c r="BP68" s="286">
        <v>240</v>
      </c>
      <c r="BQ68" s="286"/>
      <c r="BR68" s="286">
        <v>400</v>
      </c>
      <c r="BS68" s="286">
        <v>398</v>
      </c>
      <c r="BT68" s="286"/>
      <c r="BU68" s="286">
        <v>475</v>
      </c>
      <c r="BV68" s="286">
        <v>433</v>
      </c>
      <c r="BW68" s="286"/>
      <c r="BX68" s="286">
        <v>95</v>
      </c>
      <c r="BY68" s="286">
        <v>76</v>
      </c>
      <c r="BZ68" s="286"/>
      <c r="CA68" s="286">
        <v>286</v>
      </c>
      <c r="CB68" s="286">
        <v>286</v>
      </c>
      <c r="CC68" s="286"/>
      <c r="CD68" s="286">
        <v>270</v>
      </c>
      <c r="CE68" s="286">
        <v>280</v>
      </c>
      <c r="CF68" s="286"/>
      <c r="CG68" s="286">
        <v>141</v>
      </c>
      <c r="CH68" s="286">
        <f>124-6</f>
        <v>118</v>
      </c>
      <c r="CI68" s="286"/>
      <c r="CJ68" s="286">
        <v>55</v>
      </c>
      <c r="CK68" s="286">
        <v>42</v>
      </c>
    </row>
    <row r="69" spans="1:89" ht="45" x14ac:dyDescent="0.25">
      <c r="A69" s="95"/>
      <c r="B69" s="96" t="s">
        <v>1185</v>
      </c>
      <c r="C69" s="312" t="s">
        <v>2386</v>
      </c>
      <c r="D69" s="95" t="s">
        <v>950</v>
      </c>
      <c r="E69" s="291"/>
      <c r="F69" s="291"/>
      <c r="G69" s="291"/>
      <c r="H69" s="291"/>
      <c r="I69" s="291">
        <v>862</v>
      </c>
      <c r="J69" s="291">
        <v>953</v>
      </c>
      <c r="K69" s="291">
        <v>896</v>
      </c>
      <c r="L69" s="291">
        <v>106</v>
      </c>
      <c r="M69" s="291">
        <v>108</v>
      </c>
      <c r="N69" s="291">
        <v>107</v>
      </c>
      <c r="O69" s="281"/>
      <c r="P69" s="296"/>
      <c r="Q69" s="286">
        <f>S69+V69+Y69+AB69+AE69+AH69+AK69+AN69+AQ69+AT69+AW69+AZ69+BC69+BF69+BI69+BL69+BO69+BR69+BU69+BX69+CA69+CD69+CG69+CJ69</f>
        <v>896</v>
      </c>
      <c r="R69" s="286">
        <f>T69+W69+Z69+AC69+AF69+AI69+AL69+AO69+AR69+AU69+AX69+BA69+BD69+BG69+BJ69+BM69+BP69+BS69+BV69+BY69+CB69+CE69+CH69+CK69</f>
        <v>811</v>
      </c>
      <c r="S69" s="286">
        <v>52</v>
      </c>
      <c r="T69" s="286">
        <v>60</v>
      </c>
      <c r="U69" s="286"/>
      <c r="V69" s="286">
        <v>83</v>
      </c>
      <c r="W69" s="286">
        <v>66</v>
      </c>
      <c r="X69" s="286"/>
      <c r="Y69" s="286">
        <v>67</v>
      </c>
      <c r="Z69" s="286">
        <v>58</v>
      </c>
      <c r="AA69" s="286"/>
      <c r="AB69" s="286">
        <v>133</v>
      </c>
      <c r="AC69" s="286">
        <v>122</v>
      </c>
      <c r="AD69" s="286"/>
      <c r="AE69" s="286">
        <v>59</v>
      </c>
      <c r="AF69" s="286">
        <v>37</v>
      </c>
      <c r="AG69" s="286"/>
      <c r="AH69" s="286">
        <v>97</v>
      </c>
      <c r="AI69" s="286">
        <f>111+4</f>
        <v>115</v>
      </c>
      <c r="AJ69" s="286"/>
      <c r="AK69" s="286">
        <v>10</v>
      </c>
      <c r="AL69" s="286">
        <f>11+1</f>
        <v>12</v>
      </c>
      <c r="AM69" s="286"/>
      <c r="AN69" s="286">
        <v>267</v>
      </c>
      <c r="AO69" s="286">
        <v>211</v>
      </c>
      <c r="AP69" s="286"/>
      <c r="AQ69" s="286">
        <v>103</v>
      </c>
      <c r="AR69" s="286">
        <v>101</v>
      </c>
      <c r="AS69" s="286"/>
      <c r="AT69" s="286">
        <v>0</v>
      </c>
      <c r="AU69" s="286">
        <v>0</v>
      </c>
      <c r="AV69" s="286"/>
      <c r="AW69" s="286">
        <v>0</v>
      </c>
      <c r="AX69" s="286">
        <v>0</v>
      </c>
      <c r="AY69" s="286"/>
      <c r="AZ69" s="286">
        <v>0</v>
      </c>
      <c r="BA69" s="286">
        <v>0</v>
      </c>
      <c r="BB69" s="286"/>
      <c r="BC69" s="286">
        <v>0</v>
      </c>
      <c r="BD69" s="286">
        <v>0</v>
      </c>
      <c r="BE69" s="286"/>
      <c r="BF69" s="286">
        <v>0</v>
      </c>
      <c r="BG69" s="286">
        <v>0</v>
      </c>
      <c r="BH69" s="286"/>
      <c r="BI69" s="286">
        <v>0</v>
      </c>
      <c r="BJ69" s="286">
        <v>0</v>
      </c>
      <c r="BK69" s="286"/>
      <c r="BL69" s="286">
        <v>0</v>
      </c>
      <c r="BM69" s="286">
        <v>0</v>
      </c>
      <c r="BN69" s="286"/>
      <c r="BO69" s="286">
        <v>0</v>
      </c>
      <c r="BP69" s="286">
        <v>0</v>
      </c>
      <c r="BQ69" s="286"/>
      <c r="BR69" s="286">
        <v>0</v>
      </c>
      <c r="BS69" s="286">
        <v>0</v>
      </c>
      <c r="BT69" s="286"/>
      <c r="BU69" s="286">
        <v>0</v>
      </c>
      <c r="BV69" s="286">
        <v>0</v>
      </c>
      <c r="BW69" s="286"/>
      <c r="BX69" s="286">
        <v>0</v>
      </c>
      <c r="BY69" s="286">
        <v>0</v>
      </c>
      <c r="BZ69" s="286"/>
      <c r="CA69" s="286">
        <v>0</v>
      </c>
      <c r="CB69" s="286">
        <v>0</v>
      </c>
      <c r="CC69" s="286"/>
      <c r="CD69" s="286">
        <v>0</v>
      </c>
      <c r="CE69" s="286">
        <v>0</v>
      </c>
      <c r="CF69" s="286"/>
      <c r="CG69" s="286">
        <v>25</v>
      </c>
      <c r="CH69" s="286">
        <v>29</v>
      </c>
      <c r="CI69" s="286"/>
      <c r="CJ69" s="286">
        <v>0</v>
      </c>
      <c r="CK69" s="286">
        <v>0</v>
      </c>
    </row>
    <row r="70" spans="1:89" ht="30" x14ac:dyDescent="0.25">
      <c r="A70" s="95"/>
      <c r="B70" s="294" t="s">
        <v>1828</v>
      </c>
      <c r="C70" s="16"/>
      <c r="D70" s="95"/>
      <c r="E70" s="291"/>
      <c r="F70" s="291"/>
      <c r="G70" s="291"/>
      <c r="H70" s="291"/>
      <c r="I70" s="282">
        <f t="shared" ref="I70:N70" si="72">I71+I72</f>
        <v>16676</v>
      </c>
      <c r="J70" s="282">
        <f t="shared" si="72"/>
        <v>18128</v>
      </c>
      <c r="K70" s="282">
        <f t="shared" si="72"/>
        <v>18792</v>
      </c>
      <c r="L70" s="282">
        <f t="shared" si="72"/>
        <v>409</v>
      </c>
      <c r="M70" s="282">
        <f t="shared" si="72"/>
        <v>420</v>
      </c>
      <c r="N70" s="282">
        <f t="shared" si="72"/>
        <v>428</v>
      </c>
      <c r="O70" s="281"/>
      <c r="Q70" s="282">
        <f>Q71+Q72</f>
        <v>18792</v>
      </c>
      <c r="R70" s="282">
        <f>R71+R72</f>
        <v>18966</v>
      </c>
      <c r="S70" s="282">
        <f>S71+S72</f>
        <v>306</v>
      </c>
      <c r="T70" s="282">
        <f>T71+T72</f>
        <v>377</v>
      </c>
      <c r="U70" s="286"/>
      <c r="V70" s="282">
        <f>V71+V72</f>
        <v>350</v>
      </c>
      <c r="W70" s="282">
        <f>W71+W72</f>
        <v>311</v>
      </c>
      <c r="X70" s="286"/>
      <c r="Y70" s="282">
        <f>Y71+Y72</f>
        <v>413</v>
      </c>
      <c r="Z70" s="282">
        <f>Z71+Z72</f>
        <v>390</v>
      </c>
      <c r="AA70" s="286"/>
      <c r="AB70" s="282">
        <f>AB71+AB72</f>
        <v>499</v>
      </c>
      <c r="AC70" s="282">
        <f>AC71+AC72</f>
        <v>481</v>
      </c>
      <c r="AD70" s="286"/>
      <c r="AE70" s="282">
        <f>AE71+AE72</f>
        <v>356</v>
      </c>
      <c r="AF70" s="282">
        <f>AF71+AF72</f>
        <v>297</v>
      </c>
      <c r="AG70" s="286"/>
      <c r="AH70" s="282">
        <f>AH71+AH72</f>
        <v>396</v>
      </c>
      <c r="AI70" s="282">
        <f>AI71+AI72</f>
        <v>409</v>
      </c>
      <c r="AJ70" s="286"/>
      <c r="AK70" s="282">
        <f>AK71+AK72</f>
        <v>566</v>
      </c>
      <c r="AL70" s="282">
        <f>AL71+AL72</f>
        <v>629</v>
      </c>
      <c r="AM70" s="286"/>
      <c r="AN70" s="282">
        <f>AN71+AN72</f>
        <v>1628</v>
      </c>
      <c r="AO70" s="282">
        <f>AO71+AO72</f>
        <v>1556</v>
      </c>
      <c r="AP70" s="286"/>
      <c r="AQ70" s="282">
        <f>AQ71+AQ72</f>
        <v>188</v>
      </c>
      <c r="AR70" s="282">
        <f>AR71+AR72</f>
        <v>199</v>
      </c>
      <c r="AS70" s="286"/>
      <c r="AT70" s="282">
        <f>AT71+AT72</f>
        <v>1042</v>
      </c>
      <c r="AU70" s="282">
        <f>AU71+AU72</f>
        <v>1144</v>
      </c>
      <c r="AV70" s="286"/>
      <c r="AW70" s="282">
        <f>AW71+AW72</f>
        <v>494</v>
      </c>
      <c r="AX70" s="282">
        <f>AX71+AX72</f>
        <v>467</v>
      </c>
      <c r="AY70" s="286"/>
      <c r="AZ70" s="282">
        <f>AZ71+AZ72</f>
        <v>705</v>
      </c>
      <c r="BA70" s="282">
        <f>BA71+BA72</f>
        <v>640</v>
      </c>
      <c r="BB70" s="286"/>
      <c r="BC70" s="282">
        <f>BC71+BC72</f>
        <v>1202</v>
      </c>
      <c r="BD70" s="282">
        <f>BD71+BD72</f>
        <v>1144</v>
      </c>
      <c r="BE70" s="286"/>
      <c r="BF70" s="282">
        <f>BF71+BF72</f>
        <v>2832</v>
      </c>
      <c r="BG70" s="282">
        <f>BG71+BG72</f>
        <v>2968</v>
      </c>
      <c r="BH70" s="286"/>
      <c r="BI70" s="282">
        <f>BI71+BI72</f>
        <v>4187</v>
      </c>
      <c r="BJ70" s="282">
        <f>BJ71+BJ72</f>
        <v>4262</v>
      </c>
      <c r="BK70" s="286"/>
      <c r="BL70" s="282">
        <f>BL71+BL72</f>
        <v>480</v>
      </c>
      <c r="BM70" s="282">
        <f>BM71+BM72</f>
        <v>477</v>
      </c>
      <c r="BN70" s="286"/>
      <c r="BO70" s="282">
        <f>BO71+BO72</f>
        <v>469</v>
      </c>
      <c r="BP70" s="282">
        <f>BP71+BP72</f>
        <v>491</v>
      </c>
      <c r="BQ70" s="286"/>
      <c r="BR70" s="282">
        <f>BR71+BR72</f>
        <v>696</v>
      </c>
      <c r="BS70" s="282">
        <f>BS71+BS72</f>
        <v>731</v>
      </c>
      <c r="BT70" s="286"/>
      <c r="BU70" s="282">
        <f>BU71+BU72</f>
        <v>634</v>
      </c>
      <c r="BV70" s="282">
        <f>BV71+BV72</f>
        <v>703</v>
      </c>
      <c r="BW70" s="286"/>
      <c r="BX70" s="282">
        <f>BX71+BX72</f>
        <v>212</v>
      </c>
      <c r="BY70" s="282">
        <f>BY71+BY72</f>
        <v>164</v>
      </c>
      <c r="BZ70" s="286"/>
      <c r="CA70" s="282">
        <f>CA71+CA72</f>
        <v>472</v>
      </c>
      <c r="CB70" s="282">
        <f>CB71+CB72</f>
        <v>502</v>
      </c>
      <c r="CC70" s="286"/>
      <c r="CD70" s="282">
        <f>CD71+CD72</f>
        <v>470</v>
      </c>
      <c r="CE70" s="282">
        <f>CE71+CE72</f>
        <v>468</v>
      </c>
      <c r="CF70" s="286"/>
      <c r="CG70" s="282">
        <f>CG71+CG72</f>
        <v>86</v>
      </c>
      <c r="CH70" s="282">
        <f>CH71+CH72</f>
        <v>58</v>
      </c>
      <c r="CI70" s="286"/>
      <c r="CJ70" s="282">
        <f>CJ71+CJ72</f>
        <v>109</v>
      </c>
      <c r="CK70" s="282">
        <f>CK71+CK72</f>
        <v>98</v>
      </c>
    </row>
    <row r="71" spans="1:89" ht="30" x14ac:dyDescent="0.25">
      <c r="A71" s="95"/>
      <c r="B71" s="96" t="s">
        <v>1183</v>
      </c>
      <c r="C71" s="312" t="s">
        <v>2857</v>
      </c>
      <c r="D71" s="95" t="s">
        <v>950</v>
      </c>
      <c r="E71" s="291"/>
      <c r="F71" s="291"/>
      <c r="G71" s="291"/>
      <c r="H71" s="291"/>
      <c r="I71" s="282">
        <v>15160</v>
      </c>
      <c r="J71" s="282">
        <v>16501</v>
      </c>
      <c r="K71" s="282">
        <v>17179</v>
      </c>
      <c r="L71" s="282">
        <v>221</v>
      </c>
      <c r="M71" s="282">
        <v>229</v>
      </c>
      <c r="N71" s="282">
        <v>210</v>
      </c>
      <c r="O71" s="313"/>
      <c r="P71" s="296"/>
      <c r="Q71" s="286">
        <f>S71+V71+Y71+AB71+AE71+AH71+AK71+AN71+AQ71+AT71+AW71+AZ71+BC71+BF71+BI71+BL71+BO71+BR71+BU71+BX71+CA71+CD71+CG71+CJ71</f>
        <v>17179</v>
      </c>
      <c r="R71" s="286">
        <f>T71+W71+Z71+AC71+AF71+AI71+AL71+AO71+AR71+AU71+AX71+BA71+BD71+BG71+BJ71+BM71+BP71+BS71+BV71+BY71+CB71+CE71+CH71+CK71</f>
        <v>17374</v>
      </c>
      <c r="S71" s="286">
        <v>212</v>
      </c>
      <c r="T71" s="286">
        <v>244</v>
      </c>
      <c r="U71" s="286"/>
      <c r="V71" s="286">
        <v>224</v>
      </c>
      <c r="W71" s="286">
        <v>178</v>
      </c>
      <c r="X71" s="286"/>
      <c r="Y71" s="286">
        <v>283</v>
      </c>
      <c r="Z71" s="286">
        <v>262</v>
      </c>
      <c r="AA71" s="286"/>
      <c r="AB71" s="286">
        <v>261</v>
      </c>
      <c r="AC71" s="286">
        <v>251</v>
      </c>
      <c r="AD71" s="286"/>
      <c r="AE71" s="286">
        <v>250</v>
      </c>
      <c r="AF71" s="286">
        <v>228</v>
      </c>
      <c r="AG71" s="286"/>
      <c r="AH71" s="286">
        <v>210</v>
      </c>
      <c r="AI71" s="286">
        <v>221</v>
      </c>
      <c r="AJ71" s="286"/>
      <c r="AK71" s="286">
        <v>550</v>
      </c>
      <c r="AL71" s="286">
        <v>602</v>
      </c>
      <c r="AM71" s="286"/>
      <c r="AN71" s="286">
        <v>1134</v>
      </c>
      <c r="AO71" s="286">
        <v>1094</v>
      </c>
      <c r="AP71" s="286"/>
      <c r="AQ71" s="286">
        <v>0</v>
      </c>
      <c r="AR71" s="286">
        <v>0</v>
      </c>
      <c r="AS71" s="286"/>
      <c r="AT71" s="286">
        <v>1042</v>
      </c>
      <c r="AU71" s="286">
        <v>1144</v>
      </c>
      <c r="AV71" s="286"/>
      <c r="AW71" s="286">
        <v>494</v>
      </c>
      <c r="AX71" s="286">
        <v>467</v>
      </c>
      <c r="AY71" s="286"/>
      <c r="AZ71" s="286">
        <v>705</v>
      </c>
      <c r="BA71" s="286">
        <v>640</v>
      </c>
      <c r="BB71" s="286"/>
      <c r="BC71" s="286">
        <v>1202</v>
      </c>
      <c r="BD71" s="286">
        <v>1144</v>
      </c>
      <c r="BE71" s="286"/>
      <c r="BF71" s="286">
        <v>2832</v>
      </c>
      <c r="BG71" s="286">
        <v>2968</v>
      </c>
      <c r="BH71" s="286"/>
      <c r="BI71" s="286">
        <v>4187</v>
      </c>
      <c r="BJ71" s="286">
        <v>4262</v>
      </c>
      <c r="BK71" s="286"/>
      <c r="BL71" s="286">
        <v>480</v>
      </c>
      <c r="BM71" s="286">
        <v>477</v>
      </c>
      <c r="BN71" s="286"/>
      <c r="BO71" s="286">
        <v>469</v>
      </c>
      <c r="BP71" s="286">
        <v>491</v>
      </c>
      <c r="BQ71" s="286"/>
      <c r="BR71" s="286">
        <v>696</v>
      </c>
      <c r="BS71" s="286">
        <v>731</v>
      </c>
      <c r="BT71" s="286"/>
      <c r="BU71" s="286">
        <v>634</v>
      </c>
      <c r="BV71" s="286">
        <v>703</v>
      </c>
      <c r="BW71" s="286"/>
      <c r="BX71" s="286">
        <v>212</v>
      </c>
      <c r="BY71" s="286">
        <v>164</v>
      </c>
      <c r="BZ71" s="286"/>
      <c r="CA71" s="286">
        <v>472</v>
      </c>
      <c r="CB71" s="286">
        <v>502</v>
      </c>
      <c r="CC71" s="286"/>
      <c r="CD71" s="286">
        <v>470</v>
      </c>
      <c r="CE71" s="286">
        <v>468</v>
      </c>
      <c r="CF71" s="286"/>
      <c r="CG71" s="286">
        <v>51</v>
      </c>
      <c r="CH71" s="286">
        <v>35</v>
      </c>
      <c r="CI71" s="286"/>
      <c r="CJ71" s="286">
        <v>109</v>
      </c>
      <c r="CK71" s="286">
        <v>98</v>
      </c>
    </row>
    <row r="72" spans="1:89" ht="30" x14ac:dyDescent="0.25">
      <c r="A72" s="95"/>
      <c r="B72" s="96" t="s">
        <v>1185</v>
      </c>
      <c r="C72" s="312" t="s">
        <v>2857</v>
      </c>
      <c r="D72" s="95" t="s">
        <v>950</v>
      </c>
      <c r="E72" s="291"/>
      <c r="F72" s="291"/>
      <c r="G72" s="291"/>
      <c r="H72" s="291"/>
      <c r="I72" s="282">
        <f>1504+3+9</f>
        <v>1516</v>
      </c>
      <c r="J72" s="282">
        <v>1627</v>
      </c>
      <c r="K72" s="282">
        <v>1613</v>
      </c>
      <c r="L72" s="282">
        <v>188</v>
      </c>
      <c r="M72" s="282">
        <v>191</v>
      </c>
      <c r="N72" s="282">
        <v>218</v>
      </c>
      <c r="O72" s="281"/>
      <c r="P72" s="296"/>
      <c r="Q72" s="286">
        <f>S72+V72+Y72+AB72+AE72+AH72+AK72+AN72+AQ72+AT72+AW72+AZ72+BC72+BF72+BI72+BL72+BO72+BR72+BU72+BX72+CA72+CD72+CG72+CJ72</f>
        <v>1613</v>
      </c>
      <c r="R72" s="286">
        <f>T72+W72+Z72+AC72+AF72+AI72+AL72+AO72+AR72+AU72+AX72+BA72+BD72+BG72+BJ72+BM72+BP72+BS72+BV72+BY72+CB72+CE72+CH72+CK72</f>
        <v>1592</v>
      </c>
      <c r="S72" s="286">
        <v>94</v>
      </c>
      <c r="T72" s="286">
        <v>133</v>
      </c>
      <c r="U72" s="286"/>
      <c r="V72" s="286">
        <v>126</v>
      </c>
      <c r="W72" s="286">
        <v>133</v>
      </c>
      <c r="X72" s="286"/>
      <c r="Y72" s="286">
        <v>130</v>
      </c>
      <c r="Z72" s="302">
        <v>128</v>
      </c>
      <c r="AA72" s="286"/>
      <c r="AB72" s="286">
        <v>238</v>
      </c>
      <c r="AC72" s="302">
        <v>230</v>
      </c>
      <c r="AD72" s="286"/>
      <c r="AE72" s="286">
        <v>106</v>
      </c>
      <c r="AF72" s="286">
        <v>69</v>
      </c>
      <c r="AG72" s="286"/>
      <c r="AH72" s="286">
        <v>186</v>
      </c>
      <c r="AI72" s="286">
        <v>188</v>
      </c>
      <c r="AJ72" s="286"/>
      <c r="AK72" s="286">
        <v>16</v>
      </c>
      <c r="AL72" s="286">
        <v>27</v>
      </c>
      <c r="AM72" s="286"/>
      <c r="AN72" s="286">
        <v>494</v>
      </c>
      <c r="AO72" s="302">
        <v>462</v>
      </c>
      <c r="AP72" s="286"/>
      <c r="AQ72" s="286">
        <v>188</v>
      </c>
      <c r="AR72" s="302">
        <v>199</v>
      </c>
      <c r="AS72" s="286"/>
      <c r="AT72" s="286">
        <v>0</v>
      </c>
      <c r="AU72" s="302">
        <v>0</v>
      </c>
      <c r="AV72" s="286"/>
      <c r="AW72" s="286">
        <v>0</v>
      </c>
      <c r="AX72" s="302">
        <v>0</v>
      </c>
      <c r="AY72" s="286"/>
      <c r="AZ72" s="286">
        <v>0</v>
      </c>
      <c r="BA72" s="302">
        <v>0</v>
      </c>
      <c r="BB72" s="286"/>
      <c r="BC72" s="286">
        <v>0</v>
      </c>
      <c r="BD72" s="302">
        <v>0</v>
      </c>
      <c r="BE72" s="286"/>
      <c r="BF72" s="286">
        <v>0</v>
      </c>
      <c r="BG72" s="286">
        <v>0</v>
      </c>
      <c r="BH72" s="286"/>
      <c r="BI72" s="286">
        <v>0</v>
      </c>
      <c r="BJ72" s="286">
        <v>0</v>
      </c>
      <c r="BK72" s="286"/>
      <c r="BL72" s="286">
        <v>0</v>
      </c>
      <c r="BM72" s="302">
        <v>0</v>
      </c>
      <c r="BN72" s="286"/>
      <c r="BO72" s="286">
        <v>0</v>
      </c>
      <c r="BP72" s="302">
        <v>0</v>
      </c>
      <c r="BQ72" s="286"/>
      <c r="BR72" s="286">
        <v>0</v>
      </c>
      <c r="BS72" s="302">
        <v>0</v>
      </c>
      <c r="BT72" s="286"/>
      <c r="BU72" s="286">
        <v>0</v>
      </c>
      <c r="BV72" s="302">
        <v>0</v>
      </c>
      <c r="BW72" s="286"/>
      <c r="BX72" s="286">
        <v>0</v>
      </c>
      <c r="BY72" s="302">
        <v>0</v>
      </c>
      <c r="BZ72" s="286"/>
      <c r="CA72" s="286">
        <v>0</v>
      </c>
      <c r="CB72" s="302">
        <v>0</v>
      </c>
      <c r="CC72" s="286"/>
      <c r="CD72" s="286">
        <v>0</v>
      </c>
      <c r="CE72" s="302">
        <v>0</v>
      </c>
      <c r="CF72" s="286"/>
      <c r="CG72" s="286">
        <v>35</v>
      </c>
      <c r="CH72" s="286">
        <v>23</v>
      </c>
      <c r="CI72" s="286"/>
      <c r="CJ72" s="286">
        <v>0</v>
      </c>
      <c r="CK72" s="302">
        <v>0</v>
      </c>
    </row>
    <row r="73" spans="1:89" x14ac:dyDescent="0.25">
      <c r="A73" s="95"/>
      <c r="B73" s="96" t="s">
        <v>1184</v>
      </c>
      <c r="C73" s="16"/>
      <c r="D73" s="95" t="s">
        <v>8</v>
      </c>
      <c r="E73" s="291"/>
      <c r="F73" s="291"/>
      <c r="G73" s="291"/>
      <c r="H73" s="291"/>
      <c r="I73" s="279">
        <f t="shared" ref="I73:J75" si="73">I76/I79*100</f>
        <v>68.518518518518519</v>
      </c>
      <c r="J73" s="279">
        <f t="shared" si="73"/>
        <v>51.724137931034484</v>
      </c>
      <c r="K73" s="279">
        <f t="shared" ref="K73:M75" si="74">K76/K79*100</f>
        <v>63.855421686746979</v>
      </c>
      <c r="L73" s="279" t="e">
        <f t="shared" si="74"/>
        <v>#DIV/0!</v>
      </c>
      <c r="M73" s="279" t="e">
        <f t="shared" si="74"/>
        <v>#DIV/0!</v>
      </c>
      <c r="N73" s="279" t="e">
        <f t="shared" ref="N73" si="75">N76/N79*100</f>
        <v>#DIV/0!</v>
      </c>
      <c r="O73" s="281"/>
      <c r="Q73" s="279">
        <f t="shared" ref="Q73:T75" si="76">Q76/Q79*100</f>
        <v>63.855421686746979</v>
      </c>
      <c r="R73" s="279">
        <f t="shared" si="76"/>
        <v>46.590909090909086</v>
      </c>
      <c r="S73" s="279" t="e">
        <f t="shared" si="76"/>
        <v>#DIV/0!</v>
      </c>
      <c r="T73" s="279" t="e">
        <f t="shared" si="76"/>
        <v>#DIV/0!</v>
      </c>
      <c r="V73" s="279" t="e">
        <f t="shared" ref="V73:W75" si="77">V76/V79*100</f>
        <v>#DIV/0!</v>
      </c>
      <c r="W73" s="279" t="e">
        <f t="shared" si="77"/>
        <v>#DIV/0!</v>
      </c>
      <c r="Y73" s="279" t="e">
        <f t="shared" ref="Y73:Z75" si="78">Y76/Y79*100</f>
        <v>#DIV/0!</v>
      </c>
      <c r="Z73" s="279" t="e">
        <f t="shared" si="78"/>
        <v>#DIV/0!</v>
      </c>
      <c r="AB73" s="279" t="e">
        <f t="shared" ref="AB73:AC75" si="79">AB76/AB79*100</f>
        <v>#DIV/0!</v>
      </c>
      <c r="AC73" s="279" t="e">
        <f t="shared" si="79"/>
        <v>#DIV/0!</v>
      </c>
      <c r="AE73" s="279" t="e">
        <f t="shared" ref="AE73:AF75" si="80">AE76/AE79*100</f>
        <v>#DIV/0!</v>
      </c>
      <c r="AF73" s="279" t="e">
        <f t="shared" si="80"/>
        <v>#DIV/0!</v>
      </c>
      <c r="AH73" s="279" t="e">
        <f t="shared" ref="AH73:AI75" si="81">AH76/AH79*100</f>
        <v>#DIV/0!</v>
      </c>
      <c r="AI73" s="279" t="e">
        <f t="shared" si="81"/>
        <v>#DIV/0!</v>
      </c>
      <c r="AK73" s="279" t="e">
        <f t="shared" ref="AK73:AL75" si="82">AK76/AK79*100</f>
        <v>#DIV/0!</v>
      </c>
      <c r="AL73" s="279" t="e">
        <f t="shared" si="82"/>
        <v>#DIV/0!</v>
      </c>
      <c r="AN73" s="279" t="e">
        <f t="shared" ref="AN73:AO75" si="83">AN76/AN79*100</f>
        <v>#DIV/0!</v>
      </c>
      <c r="AO73" s="279" t="e">
        <f t="shared" si="83"/>
        <v>#DIV/0!</v>
      </c>
      <c r="AQ73" s="279" t="e">
        <f t="shared" ref="AQ73:AR75" si="84">AQ76/AQ79*100</f>
        <v>#DIV/0!</v>
      </c>
      <c r="AR73" s="279" t="e">
        <f t="shared" si="84"/>
        <v>#DIV/0!</v>
      </c>
      <c r="AT73" s="279" t="e">
        <f t="shared" ref="AT73:AU75" si="85">AT76/AT79*100</f>
        <v>#DIV/0!</v>
      </c>
      <c r="AU73" s="279" t="e">
        <f t="shared" si="85"/>
        <v>#DIV/0!</v>
      </c>
      <c r="AW73" s="279" t="e">
        <f t="shared" ref="AW73:AX75" si="86">AW76/AW79*100</f>
        <v>#DIV/0!</v>
      </c>
      <c r="AX73" s="279" t="e">
        <f t="shared" si="86"/>
        <v>#DIV/0!</v>
      </c>
      <c r="AZ73" s="279" t="e">
        <f t="shared" ref="AZ73:BA75" si="87">AZ76/AZ79*100</f>
        <v>#DIV/0!</v>
      </c>
      <c r="BA73" s="279" t="e">
        <f t="shared" si="87"/>
        <v>#DIV/0!</v>
      </c>
      <c r="BC73" s="279">
        <f t="shared" ref="BC73:BD75" si="88">BC76/BC79*100</f>
        <v>85.714285714285708</v>
      </c>
      <c r="BD73" s="279">
        <f t="shared" si="88"/>
        <v>55.000000000000007</v>
      </c>
      <c r="BF73" s="279">
        <f t="shared" ref="BF73:BG75" si="89">BF76/BF79*100</f>
        <v>66.666666666666657</v>
      </c>
      <c r="BG73" s="279">
        <f t="shared" si="89"/>
        <v>0</v>
      </c>
      <c r="BI73" s="279">
        <f t="shared" ref="BI73:BJ75" si="90">BI76/BI79*100</f>
        <v>51.162790697674424</v>
      </c>
      <c r="BJ73" s="279">
        <f t="shared" si="90"/>
        <v>54.54545454545454</v>
      </c>
      <c r="BL73" s="279" t="e">
        <f t="shared" ref="BL73:BM75" si="91">BL76/BL79*100</f>
        <v>#DIV/0!</v>
      </c>
      <c r="BM73" s="279" t="e">
        <f t="shared" si="91"/>
        <v>#DIV/0!</v>
      </c>
      <c r="BO73" s="279" t="e">
        <f t="shared" ref="BO73:BP75" si="92">BO76/BO79*100</f>
        <v>#DIV/0!</v>
      </c>
      <c r="BP73" s="279" t="e">
        <f t="shared" si="92"/>
        <v>#DIV/0!</v>
      </c>
      <c r="BR73" s="279" t="e">
        <f t="shared" ref="BR73:BS75" si="93">BR76/BR79*100</f>
        <v>#DIV/0!</v>
      </c>
      <c r="BS73" s="279" t="e">
        <f t="shared" si="93"/>
        <v>#DIV/0!</v>
      </c>
      <c r="BU73" s="279" t="e">
        <f t="shared" ref="BU73:BV75" si="94">BU76/BU79*100</f>
        <v>#DIV/0!</v>
      </c>
      <c r="BV73" s="279" t="e">
        <f t="shared" si="94"/>
        <v>#DIV/0!</v>
      </c>
      <c r="BX73" s="279" t="e">
        <f t="shared" ref="BX73:BY75" si="95">BX76/BX79*100</f>
        <v>#DIV/0!</v>
      </c>
      <c r="BY73" s="279" t="e">
        <f t="shared" si="95"/>
        <v>#DIV/0!</v>
      </c>
      <c r="CA73" s="279" t="e">
        <f t="shared" ref="CA73:CB75" si="96">CA76/CA79*100</f>
        <v>#DIV/0!</v>
      </c>
      <c r="CB73" s="279" t="e">
        <f t="shared" si="96"/>
        <v>#DIV/0!</v>
      </c>
      <c r="CD73" s="279">
        <f t="shared" ref="CD73:CE75" si="97">CD76/CD79*100</f>
        <v>81.818181818181827</v>
      </c>
      <c r="CE73" s="279">
        <f t="shared" si="97"/>
        <v>60</v>
      </c>
      <c r="CG73" s="279" t="e">
        <f t="shared" ref="CG73:CH75" si="98">CG76/CG79*100</f>
        <v>#DIV/0!</v>
      </c>
      <c r="CH73" s="279" t="e">
        <f t="shared" si="98"/>
        <v>#DIV/0!</v>
      </c>
      <c r="CJ73" s="279" t="e">
        <f t="shared" ref="CJ73:CK75" si="99">CJ76/CJ79*100</f>
        <v>#DIV/0!</v>
      </c>
      <c r="CK73" s="279" t="e">
        <f t="shared" si="99"/>
        <v>#DIV/0!</v>
      </c>
    </row>
    <row r="74" spans="1:89" x14ac:dyDescent="0.25">
      <c r="A74" s="95"/>
      <c r="B74" s="96" t="s">
        <v>1183</v>
      </c>
      <c r="C74" s="16"/>
      <c r="D74" s="95" t="s">
        <v>8</v>
      </c>
      <c r="E74" s="291"/>
      <c r="F74" s="291"/>
      <c r="G74" s="291"/>
      <c r="H74" s="291"/>
      <c r="I74" s="279">
        <f t="shared" si="73"/>
        <v>68.518518518518519</v>
      </c>
      <c r="J74" s="279">
        <f t="shared" si="73"/>
        <v>51.724137931034484</v>
      </c>
      <c r="K74" s="279">
        <f t="shared" si="74"/>
        <v>63.855421686746979</v>
      </c>
      <c r="L74" s="279" t="e">
        <f t="shared" si="74"/>
        <v>#DIV/0!</v>
      </c>
      <c r="M74" s="279" t="e">
        <f t="shared" si="74"/>
        <v>#DIV/0!</v>
      </c>
      <c r="N74" s="279" t="e">
        <f t="shared" ref="N74" si="100">N77/N80*100</f>
        <v>#DIV/0!</v>
      </c>
      <c r="O74" s="281"/>
      <c r="Q74" s="279">
        <f t="shared" si="76"/>
        <v>63.855421686746979</v>
      </c>
      <c r="R74" s="279">
        <f t="shared" si="76"/>
        <v>46.590909090909086</v>
      </c>
      <c r="S74" s="279" t="e">
        <f t="shared" si="76"/>
        <v>#DIV/0!</v>
      </c>
      <c r="T74" s="279" t="e">
        <f t="shared" si="76"/>
        <v>#DIV/0!</v>
      </c>
      <c r="V74" s="279" t="e">
        <f t="shared" si="77"/>
        <v>#DIV/0!</v>
      </c>
      <c r="W74" s="279" t="e">
        <f t="shared" si="77"/>
        <v>#DIV/0!</v>
      </c>
      <c r="Y74" s="279" t="e">
        <f t="shared" si="78"/>
        <v>#DIV/0!</v>
      </c>
      <c r="Z74" s="279" t="e">
        <f t="shared" si="78"/>
        <v>#DIV/0!</v>
      </c>
      <c r="AB74" s="279" t="e">
        <f t="shared" si="79"/>
        <v>#DIV/0!</v>
      </c>
      <c r="AC74" s="279" t="e">
        <f t="shared" si="79"/>
        <v>#DIV/0!</v>
      </c>
      <c r="AE74" s="279" t="e">
        <f t="shared" si="80"/>
        <v>#DIV/0!</v>
      </c>
      <c r="AF74" s="279" t="e">
        <f t="shared" si="80"/>
        <v>#DIV/0!</v>
      </c>
      <c r="AH74" s="279" t="e">
        <f t="shared" si="81"/>
        <v>#DIV/0!</v>
      </c>
      <c r="AI74" s="279" t="e">
        <f t="shared" si="81"/>
        <v>#DIV/0!</v>
      </c>
      <c r="AK74" s="279" t="e">
        <f t="shared" si="82"/>
        <v>#DIV/0!</v>
      </c>
      <c r="AL74" s="279" t="e">
        <f t="shared" si="82"/>
        <v>#DIV/0!</v>
      </c>
      <c r="AN74" s="279" t="e">
        <f t="shared" si="83"/>
        <v>#DIV/0!</v>
      </c>
      <c r="AO74" s="279" t="e">
        <f t="shared" si="83"/>
        <v>#DIV/0!</v>
      </c>
      <c r="AQ74" s="279" t="e">
        <f t="shared" si="84"/>
        <v>#DIV/0!</v>
      </c>
      <c r="AR74" s="279" t="e">
        <f t="shared" si="84"/>
        <v>#DIV/0!</v>
      </c>
      <c r="AT74" s="279" t="e">
        <f t="shared" si="85"/>
        <v>#DIV/0!</v>
      </c>
      <c r="AU74" s="279" t="e">
        <f t="shared" si="85"/>
        <v>#DIV/0!</v>
      </c>
      <c r="AW74" s="279" t="e">
        <f t="shared" si="86"/>
        <v>#DIV/0!</v>
      </c>
      <c r="AX74" s="279" t="e">
        <f t="shared" si="86"/>
        <v>#DIV/0!</v>
      </c>
      <c r="AZ74" s="279" t="e">
        <f t="shared" si="87"/>
        <v>#DIV/0!</v>
      </c>
      <c r="BA74" s="279" t="e">
        <f t="shared" si="87"/>
        <v>#DIV/0!</v>
      </c>
      <c r="BC74" s="279">
        <f t="shared" si="88"/>
        <v>85.714285714285708</v>
      </c>
      <c r="BD74" s="279">
        <f t="shared" si="88"/>
        <v>55.000000000000007</v>
      </c>
      <c r="BF74" s="279">
        <f t="shared" si="89"/>
        <v>66.666666666666657</v>
      </c>
      <c r="BG74" s="279">
        <f t="shared" si="89"/>
        <v>0</v>
      </c>
      <c r="BI74" s="279">
        <f t="shared" si="90"/>
        <v>51.162790697674424</v>
      </c>
      <c r="BJ74" s="279">
        <f t="shared" si="90"/>
        <v>54.54545454545454</v>
      </c>
      <c r="BL74" s="279" t="e">
        <f t="shared" si="91"/>
        <v>#DIV/0!</v>
      </c>
      <c r="BM74" s="279" t="e">
        <f t="shared" si="91"/>
        <v>#DIV/0!</v>
      </c>
      <c r="BO74" s="279" t="e">
        <f t="shared" si="92"/>
        <v>#DIV/0!</v>
      </c>
      <c r="BP74" s="279" t="e">
        <f t="shared" si="92"/>
        <v>#DIV/0!</v>
      </c>
      <c r="BR74" s="279" t="e">
        <f t="shared" si="93"/>
        <v>#DIV/0!</v>
      </c>
      <c r="BS74" s="279" t="e">
        <f t="shared" si="93"/>
        <v>#DIV/0!</v>
      </c>
      <c r="BU74" s="279" t="e">
        <f t="shared" si="94"/>
        <v>#DIV/0!</v>
      </c>
      <c r="BV74" s="279" t="e">
        <f t="shared" si="94"/>
        <v>#DIV/0!</v>
      </c>
      <c r="BX74" s="279" t="e">
        <f t="shared" si="95"/>
        <v>#DIV/0!</v>
      </c>
      <c r="BY74" s="279" t="e">
        <f t="shared" si="95"/>
        <v>#DIV/0!</v>
      </c>
      <c r="CA74" s="279" t="e">
        <f t="shared" si="96"/>
        <v>#DIV/0!</v>
      </c>
      <c r="CB74" s="279" t="e">
        <f t="shared" si="96"/>
        <v>#DIV/0!</v>
      </c>
      <c r="CD74" s="279">
        <f t="shared" si="97"/>
        <v>81.818181818181827</v>
      </c>
      <c r="CE74" s="279">
        <f t="shared" si="97"/>
        <v>60</v>
      </c>
      <c r="CG74" s="279" t="e">
        <f t="shared" si="98"/>
        <v>#DIV/0!</v>
      </c>
      <c r="CH74" s="279" t="e">
        <f t="shared" si="98"/>
        <v>#DIV/0!</v>
      </c>
      <c r="CJ74" s="279" t="e">
        <f t="shared" si="99"/>
        <v>#DIV/0!</v>
      </c>
      <c r="CK74" s="279" t="e">
        <f t="shared" si="99"/>
        <v>#DIV/0!</v>
      </c>
    </row>
    <row r="75" spans="1:89" x14ac:dyDescent="0.25">
      <c r="A75" s="95"/>
      <c r="B75" s="96" t="s">
        <v>1185</v>
      </c>
      <c r="C75" s="16"/>
      <c r="D75" s="95" t="s">
        <v>8</v>
      </c>
      <c r="E75" s="291"/>
      <c r="F75" s="291"/>
      <c r="G75" s="291"/>
      <c r="H75" s="291"/>
      <c r="I75" s="279" t="e">
        <f t="shared" si="73"/>
        <v>#DIV/0!</v>
      </c>
      <c r="J75" s="279" t="e">
        <f t="shared" si="73"/>
        <v>#DIV/0!</v>
      </c>
      <c r="K75" s="279" t="e">
        <f t="shared" si="74"/>
        <v>#DIV/0!</v>
      </c>
      <c r="L75" s="279" t="e">
        <f t="shared" si="74"/>
        <v>#DIV/0!</v>
      </c>
      <c r="M75" s="279" t="e">
        <f t="shared" si="74"/>
        <v>#DIV/0!</v>
      </c>
      <c r="N75" s="279" t="e">
        <f t="shared" ref="N75" si="101">N78/N81*100</f>
        <v>#DIV/0!</v>
      </c>
      <c r="O75" s="281"/>
      <c r="Q75" s="279" t="e">
        <f t="shared" si="76"/>
        <v>#DIV/0!</v>
      </c>
      <c r="R75" s="279" t="e">
        <f t="shared" si="76"/>
        <v>#DIV/0!</v>
      </c>
      <c r="S75" s="279" t="e">
        <f t="shared" si="76"/>
        <v>#DIV/0!</v>
      </c>
      <c r="T75" s="279" t="e">
        <f t="shared" si="76"/>
        <v>#DIV/0!</v>
      </c>
      <c r="V75" s="279" t="e">
        <f t="shared" si="77"/>
        <v>#DIV/0!</v>
      </c>
      <c r="W75" s="279" t="e">
        <f t="shared" si="77"/>
        <v>#DIV/0!</v>
      </c>
      <c r="Y75" s="279" t="e">
        <f t="shared" si="78"/>
        <v>#DIV/0!</v>
      </c>
      <c r="Z75" s="279" t="e">
        <f t="shared" si="78"/>
        <v>#DIV/0!</v>
      </c>
      <c r="AB75" s="279" t="e">
        <f t="shared" si="79"/>
        <v>#DIV/0!</v>
      </c>
      <c r="AC75" s="279" t="e">
        <f t="shared" si="79"/>
        <v>#DIV/0!</v>
      </c>
      <c r="AE75" s="279" t="e">
        <f t="shared" si="80"/>
        <v>#DIV/0!</v>
      </c>
      <c r="AF75" s="279" t="e">
        <f t="shared" si="80"/>
        <v>#DIV/0!</v>
      </c>
      <c r="AH75" s="279" t="e">
        <f t="shared" si="81"/>
        <v>#DIV/0!</v>
      </c>
      <c r="AI75" s="279" t="e">
        <f t="shared" si="81"/>
        <v>#DIV/0!</v>
      </c>
      <c r="AK75" s="279" t="e">
        <f t="shared" si="82"/>
        <v>#DIV/0!</v>
      </c>
      <c r="AL75" s="279" t="e">
        <f t="shared" si="82"/>
        <v>#DIV/0!</v>
      </c>
      <c r="AN75" s="279" t="e">
        <f t="shared" si="83"/>
        <v>#DIV/0!</v>
      </c>
      <c r="AO75" s="279" t="e">
        <f t="shared" si="83"/>
        <v>#DIV/0!</v>
      </c>
      <c r="AQ75" s="279" t="e">
        <f t="shared" si="84"/>
        <v>#DIV/0!</v>
      </c>
      <c r="AR75" s="279" t="e">
        <f t="shared" si="84"/>
        <v>#DIV/0!</v>
      </c>
      <c r="AT75" s="279" t="e">
        <f t="shared" si="85"/>
        <v>#DIV/0!</v>
      </c>
      <c r="AU75" s="279" t="e">
        <f t="shared" si="85"/>
        <v>#DIV/0!</v>
      </c>
      <c r="AW75" s="279" t="e">
        <f t="shared" si="86"/>
        <v>#DIV/0!</v>
      </c>
      <c r="AX75" s="279" t="e">
        <f t="shared" si="86"/>
        <v>#DIV/0!</v>
      </c>
      <c r="AZ75" s="279" t="e">
        <f t="shared" si="87"/>
        <v>#DIV/0!</v>
      </c>
      <c r="BA75" s="279" t="e">
        <f t="shared" si="87"/>
        <v>#DIV/0!</v>
      </c>
      <c r="BC75" s="279" t="e">
        <f t="shared" si="88"/>
        <v>#DIV/0!</v>
      </c>
      <c r="BD75" s="279" t="e">
        <f t="shared" si="88"/>
        <v>#DIV/0!</v>
      </c>
      <c r="BF75" s="279" t="e">
        <f t="shared" si="89"/>
        <v>#DIV/0!</v>
      </c>
      <c r="BG75" s="279" t="e">
        <f t="shared" si="89"/>
        <v>#DIV/0!</v>
      </c>
      <c r="BI75" s="279" t="e">
        <f t="shared" si="90"/>
        <v>#DIV/0!</v>
      </c>
      <c r="BJ75" s="279" t="e">
        <f t="shared" si="90"/>
        <v>#DIV/0!</v>
      </c>
      <c r="BL75" s="279" t="e">
        <f t="shared" si="91"/>
        <v>#DIV/0!</v>
      </c>
      <c r="BM75" s="279" t="e">
        <f t="shared" si="91"/>
        <v>#DIV/0!</v>
      </c>
      <c r="BO75" s="279" t="e">
        <f t="shared" si="92"/>
        <v>#DIV/0!</v>
      </c>
      <c r="BP75" s="279" t="e">
        <f t="shared" si="92"/>
        <v>#DIV/0!</v>
      </c>
      <c r="BR75" s="279" t="e">
        <f t="shared" si="93"/>
        <v>#DIV/0!</v>
      </c>
      <c r="BS75" s="279" t="e">
        <f t="shared" si="93"/>
        <v>#DIV/0!</v>
      </c>
      <c r="BU75" s="279" t="e">
        <f t="shared" si="94"/>
        <v>#DIV/0!</v>
      </c>
      <c r="BV75" s="279" t="e">
        <f t="shared" si="94"/>
        <v>#DIV/0!</v>
      </c>
      <c r="BX75" s="279" t="e">
        <f t="shared" si="95"/>
        <v>#DIV/0!</v>
      </c>
      <c r="BY75" s="279" t="e">
        <f t="shared" si="95"/>
        <v>#DIV/0!</v>
      </c>
      <c r="CA75" s="279" t="e">
        <f t="shared" si="96"/>
        <v>#DIV/0!</v>
      </c>
      <c r="CB75" s="279" t="e">
        <f t="shared" si="96"/>
        <v>#DIV/0!</v>
      </c>
      <c r="CD75" s="279" t="e">
        <f t="shared" si="97"/>
        <v>#DIV/0!</v>
      </c>
      <c r="CE75" s="279" t="e">
        <f t="shared" si="97"/>
        <v>#DIV/0!</v>
      </c>
      <c r="CG75" s="279" t="e">
        <f t="shared" si="98"/>
        <v>#DIV/0!</v>
      </c>
      <c r="CH75" s="279" t="e">
        <f t="shared" si="98"/>
        <v>#DIV/0!</v>
      </c>
      <c r="CJ75" s="279" t="e">
        <f t="shared" si="99"/>
        <v>#DIV/0!</v>
      </c>
      <c r="CK75" s="279" t="e">
        <f t="shared" si="99"/>
        <v>#DIV/0!</v>
      </c>
    </row>
    <row r="76" spans="1:89" ht="30" x14ac:dyDescent="0.25">
      <c r="A76" s="95"/>
      <c r="B76" s="96" t="s">
        <v>1827</v>
      </c>
      <c r="C76" s="16"/>
      <c r="D76" s="95"/>
      <c r="E76" s="291"/>
      <c r="F76" s="291"/>
      <c r="G76" s="291"/>
      <c r="H76" s="291"/>
      <c r="I76" s="291">
        <f t="shared" ref="I76:N76" si="102">I77+I78</f>
        <v>37</v>
      </c>
      <c r="J76" s="291">
        <f t="shared" si="102"/>
        <v>30</v>
      </c>
      <c r="K76" s="291">
        <f t="shared" si="102"/>
        <v>53</v>
      </c>
      <c r="L76" s="291">
        <f t="shared" si="102"/>
        <v>0</v>
      </c>
      <c r="M76" s="291">
        <f t="shared" si="102"/>
        <v>0</v>
      </c>
      <c r="N76" s="291">
        <f t="shared" si="102"/>
        <v>0</v>
      </c>
      <c r="O76" s="281"/>
      <c r="Q76" s="291">
        <f>Q77+Q78</f>
        <v>53</v>
      </c>
      <c r="R76" s="291">
        <f>R77+R78</f>
        <v>41</v>
      </c>
      <c r="S76" s="291">
        <f>S77+S78</f>
        <v>0</v>
      </c>
      <c r="T76" s="291">
        <f>T77+T78</f>
        <v>0</v>
      </c>
      <c r="V76" s="291">
        <f>V77+V78</f>
        <v>0</v>
      </c>
      <c r="W76" s="291">
        <f>W77+W78</f>
        <v>0</v>
      </c>
      <c r="Y76" s="291">
        <f>Y77+Y78</f>
        <v>0</v>
      </c>
      <c r="Z76" s="291">
        <f>Z77+Z78</f>
        <v>0</v>
      </c>
      <c r="AB76" s="291">
        <f>AB77+AB78</f>
        <v>0</v>
      </c>
      <c r="AC76" s="291">
        <f>AC77+AC78</f>
        <v>0</v>
      </c>
      <c r="AE76" s="291">
        <f>AE77+AE78</f>
        <v>0</v>
      </c>
      <c r="AF76" s="291">
        <f>AF77+AF78</f>
        <v>0</v>
      </c>
      <c r="AH76" s="291">
        <f>AH77+AH78</f>
        <v>0</v>
      </c>
      <c r="AI76" s="291">
        <f>AI77+AI78</f>
        <v>0</v>
      </c>
      <c r="AK76" s="291">
        <f>AK77+AK78</f>
        <v>0</v>
      </c>
      <c r="AL76" s="291">
        <f>AL77+AL78</f>
        <v>0</v>
      </c>
      <c r="AN76" s="291">
        <f>AN77+AN78</f>
        <v>0</v>
      </c>
      <c r="AO76" s="291">
        <f>AO77+AO78</f>
        <v>0</v>
      </c>
      <c r="AQ76" s="291">
        <f>AQ77+AQ78</f>
        <v>0</v>
      </c>
      <c r="AR76" s="291">
        <f>AR77+AR78</f>
        <v>0</v>
      </c>
      <c r="AT76" s="291">
        <f>AT77+AT78</f>
        <v>0</v>
      </c>
      <c r="AU76" s="291">
        <f>AU77+AU78</f>
        <v>0</v>
      </c>
      <c r="AW76" s="291">
        <f>AW77+AW78</f>
        <v>0</v>
      </c>
      <c r="AX76" s="291">
        <f>AX77+AX78</f>
        <v>0</v>
      </c>
      <c r="AZ76" s="291">
        <f>AZ77+AZ78</f>
        <v>0</v>
      </c>
      <c r="BA76" s="291">
        <f>BA77+BA78</f>
        <v>0</v>
      </c>
      <c r="BC76" s="291">
        <f>BC77+BC78</f>
        <v>12</v>
      </c>
      <c r="BD76" s="291">
        <f>BD77+BD78</f>
        <v>11</v>
      </c>
      <c r="BF76" s="291">
        <f>BF77+BF78</f>
        <v>10</v>
      </c>
      <c r="BG76" s="291">
        <f>BG77+BG78</f>
        <v>0</v>
      </c>
      <c r="BI76" s="291">
        <f>BI77+BI78</f>
        <v>22</v>
      </c>
      <c r="BJ76" s="291">
        <f>BJ77+BJ78</f>
        <v>24</v>
      </c>
      <c r="BL76" s="291">
        <f>BL77+BL78</f>
        <v>0</v>
      </c>
      <c r="BM76" s="291">
        <f>BM77+BM78</f>
        <v>0</v>
      </c>
      <c r="BO76" s="291">
        <f>BO77+BO78</f>
        <v>0</v>
      </c>
      <c r="BP76" s="291">
        <f>BP77+BP78</f>
        <v>0</v>
      </c>
      <c r="BR76" s="291">
        <f>BR77+BR78</f>
        <v>0</v>
      </c>
      <c r="BS76" s="291">
        <f>BS77+BS78</f>
        <v>0</v>
      </c>
      <c r="BU76" s="291">
        <f>BU77+BU78</f>
        <v>0</v>
      </c>
      <c r="BV76" s="291">
        <f>BV77+BV78</f>
        <v>0</v>
      </c>
      <c r="BX76" s="291">
        <f>BX77+BX78</f>
        <v>0</v>
      </c>
      <c r="BY76" s="291">
        <f>BY77+BY78</f>
        <v>0</v>
      </c>
      <c r="CA76" s="291">
        <f>CA77+CA78</f>
        <v>0</v>
      </c>
      <c r="CB76" s="291">
        <f>CB77+CB78</f>
        <v>0</v>
      </c>
      <c r="CD76" s="291">
        <f>CD77+CD78</f>
        <v>9</v>
      </c>
      <c r="CE76" s="291">
        <f>CE77+CE78</f>
        <v>6</v>
      </c>
      <c r="CG76" s="291">
        <f>CG77+CG78</f>
        <v>0</v>
      </c>
      <c r="CH76" s="291">
        <f>CH77+CH78</f>
        <v>0</v>
      </c>
      <c r="CJ76" s="291">
        <f>CJ77+CJ78</f>
        <v>0</v>
      </c>
      <c r="CK76" s="291">
        <f>CK77+CK78</f>
        <v>0</v>
      </c>
    </row>
    <row r="77" spans="1:89" ht="45" x14ac:dyDescent="0.25">
      <c r="A77" s="95"/>
      <c r="B77" s="96" t="s">
        <v>1183</v>
      </c>
      <c r="C77" s="312" t="s">
        <v>2386</v>
      </c>
      <c r="D77" s="95" t="s">
        <v>950</v>
      </c>
      <c r="E77" s="291"/>
      <c r="F77" s="291"/>
      <c r="G77" s="291"/>
      <c r="H77" s="291"/>
      <c r="I77" s="291">
        <v>37</v>
      </c>
      <c r="J77" s="291">
        <v>30</v>
      </c>
      <c r="K77" s="291">
        <v>53</v>
      </c>
      <c r="L77" s="291">
        <v>0</v>
      </c>
      <c r="M77" s="291">
        <v>0</v>
      </c>
      <c r="N77" s="291">
        <v>0</v>
      </c>
      <c r="O77" s="281"/>
      <c r="Q77" s="283">
        <f>S77+V77+Y77+AB77+AE77+AH77+AK77+AN77+AQ77+AT77+AW77+AZ77+BC77+BF77+BI77+BL77+BO77+BR77+BU77+BX77+CA77+CD77+CG77+CJ77</f>
        <v>53</v>
      </c>
      <c r="R77" s="283">
        <f>T77+W77+Z77+AC77+AF77+AI77+AL77+AO77+AR77+AU77+AX77+BA77+BD77+BG77+BJ77+BM77+BP77+BS77+BV77+BY77+CB77+CE77+CH77+CK77</f>
        <v>41</v>
      </c>
      <c r="S77" s="267">
        <v>0</v>
      </c>
      <c r="T77" s="267">
        <v>0</v>
      </c>
      <c r="V77" s="267">
        <v>0</v>
      </c>
      <c r="W77" s="267">
        <v>0</v>
      </c>
      <c r="Y77" s="267">
        <v>0</v>
      </c>
      <c r="Z77" s="267">
        <v>0</v>
      </c>
      <c r="AB77" s="267">
        <v>0</v>
      </c>
      <c r="AC77" s="267">
        <v>0</v>
      </c>
      <c r="AE77" s="267">
        <v>0</v>
      </c>
      <c r="AF77" s="267">
        <v>0</v>
      </c>
      <c r="AH77" s="267">
        <v>0</v>
      </c>
      <c r="AI77" s="267">
        <v>0</v>
      </c>
      <c r="AK77" s="267">
        <v>0</v>
      </c>
      <c r="AL77" s="267">
        <v>0</v>
      </c>
      <c r="AN77" s="267">
        <v>0</v>
      </c>
      <c r="AO77" s="267">
        <v>0</v>
      </c>
      <c r="AQ77" s="267">
        <v>0</v>
      </c>
      <c r="AR77" s="267">
        <v>0</v>
      </c>
      <c r="AT77" s="267">
        <v>0</v>
      </c>
      <c r="AU77" s="267">
        <v>0</v>
      </c>
      <c r="AW77" s="267">
        <v>0</v>
      </c>
      <c r="AX77" s="267">
        <v>0</v>
      </c>
      <c r="AZ77" s="267">
        <v>0</v>
      </c>
      <c r="BA77" s="267">
        <v>0</v>
      </c>
      <c r="BC77" s="267">
        <v>12</v>
      </c>
      <c r="BD77" s="267">
        <v>11</v>
      </c>
      <c r="BF77" s="267">
        <v>10</v>
      </c>
      <c r="BG77" s="267">
        <v>0</v>
      </c>
      <c r="BI77" s="267">
        <v>22</v>
      </c>
      <c r="BJ77" s="267">
        <v>24</v>
      </c>
      <c r="BL77" s="267">
        <v>0</v>
      </c>
      <c r="BM77" s="267">
        <v>0</v>
      </c>
      <c r="BO77" s="267">
        <v>0</v>
      </c>
      <c r="BP77" s="267">
        <v>0</v>
      </c>
      <c r="BR77" s="267">
        <v>0</v>
      </c>
      <c r="BS77" s="267">
        <v>0</v>
      </c>
      <c r="BU77" s="267">
        <v>0</v>
      </c>
      <c r="BV77" s="267">
        <v>0</v>
      </c>
      <c r="BX77" s="267">
        <v>0</v>
      </c>
      <c r="BY77" s="267">
        <v>0</v>
      </c>
      <c r="CA77" s="267">
        <v>0</v>
      </c>
      <c r="CB77" s="267">
        <v>0</v>
      </c>
      <c r="CD77" s="267">
        <v>9</v>
      </c>
      <c r="CE77" s="267">
        <v>6</v>
      </c>
      <c r="CG77" s="267">
        <v>0</v>
      </c>
      <c r="CH77" s="267">
        <v>0</v>
      </c>
      <c r="CJ77" s="267">
        <v>0</v>
      </c>
      <c r="CK77" s="267">
        <v>0</v>
      </c>
    </row>
    <row r="78" spans="1:89" ht="45" x14ac:dyDescent="0.25">
      <c r="A78" s="95"/>
      <c r="B78" s="96" t="s">
        <v>1185</v>
      </c>
      <c r="C78" s="312" t="s">
        <v>2386</v>
      </c>
      <c r="D78" s="95" t="s">
        <v>950</v>
      </c>
      <c r="E78" s="291"/>
      <c r="F78" s="291"/>
      <c r="G78" s="291"/>
      <c r="H78" s="291"/>
      <c r="I78" s="291">
        <v>0</v>
      </c>
      <c r="J78" s="291">
        <v>0</v>
      </c>
      <c r="K78" s="291">
        <v>0</v>
      </c>
      <c r="L78" s="291">
        <v>0</v>
      </c>
      <c r="M78" s="291">
        <v>0</v>
      </c>
      <c r="N78" s="291">
        <v>0</v>
      </c>
      <c r="O78" s="281"/>
      <c r="Q78" s="283">
        <f>S78+V78+Y78+AB78+AE78+AH78+AK78+AN78+AQ78+AT78+AW78+AZ78+BC78+BF78+BI78+BL78+BO78+BR78+BU78+BX78+CA78+CD78+CG78+CJ78</f>
        <v>0</v>
      </c>
      <c r="R78" s="283">
        <f>T78+W78+Z78+AC78+AF78+AI78+AL78+AO78+AR78+AU78+AX78+BA78+BD78+BG78+BJ78+BM78+BP78+BS78+BV78+BY78+CB78+CE78+CH78+CK78</f>
        <v>0</v>
      </c>
      <c r="S78" s="267">
        <v>0</v>
      </c>
      <c r="T78" s="267">
        <v>0</v>
      </c>
      <c r="V78" s="267">
        <v>0</v>
      </c>
      <c r="W78" s="267">
        <v>0</v>
      </c>
      <c r="Y78" s="267">
        <v>0</v>
      </c>
      <c r="Z78" s="267">
        <v>0</v>
      </c>
      <c r="AB78" s="267">
        <v>0</v>
      </c>
      <c r="AC78" s="267">
        <v>0</v>
      </c>
      <c r="AE78" s="267">
        <v>0</v>
      </c>
      <c r="AF78" s="267">
        <v>0</v>
      </c>
      <c r="AH78" s="267">
        <v>0</v>
      </c>
      <c r="AI78" s="267">
        <v>0</v>
      </c>
      <c r="AK78" s="267">
        <v>0</v>
      </c>
      <c r="AL78" s="267">
        <v>0</v>
      </c>
      <c r="AN78" s="267">
        <v>0</v>
      </c>
      <c r="AO78" s="267">
        <v>0</v>
      </c>
      <c r="AQ78" s="267">
        <v>0</v>
      </c>
      <c r="AR78" s="267">
        <v>0</v>
      </c>
      <c r="AT78" s="267">
        <v>0</v>
      </c>
      <c r="AU78" s="267">
        <v>0</v>
      </c>
      <c r="AW78" s="267">
        <v>0</v>
      </c>
      <c r="AX78" s="267">
        <v>0</v>
      </c>
      <c r="AZ78" s="267">
        <v>0</v>
      </c>
      <c r="BA78" s="267">
        <v>0</v>
      </c>
      <c r="BC78" s="267">
        <v>0</v>
      </c>
      <c r="BD78" s="267">
        <v>0</v>
      </c>
      <c r="BF78" s="267">
        <v>0</v>
      </c>
      <c r="BG78" s="267">
        <v>0</v>
      </c>
      <c r="BI78" s="267">
        <v>0</v>
      </c>
      <c r="BJ78" s="267">
        <v>0</v>
      </c>
      <c r="BL78" s="267">
        <v>0</v>
      </c>
      <c r="BM78" s="267">
        <v>0</v>
      </c>
      <c r="BO78" s="267">
        <v>0</v>
      </c>
      <c r="BP78" s="267">
        <v>0</v>
      </c>
      <c r="BR78" s="267">
        <v>0</v>
      </c>
      <c r="BS78" s="267">
        <v>0</v>
      </c>
      <c r="BU78" s="267">
        <v>0</v>
      </c>
      <c r="BV78" s="267">
        <v>0</v>
      </c>
      <c r="BX78" s="267">
        <v>0</v>
      </c>
      <c r="BY78" s="267">
        <v>0</v>
      </c>
      <c r="CA78" s="267">
        <v>0</v>
      </c>
      <c r="CB78" s="267">
        <v>0</v>
      </c>
      <c r="CD78" s="267">
        <v>0</v>
      </c>
      <c r="CE78" s="267">
        <v>0</v>
      </c>
      <c r="CG78" s="267">
        <v>0</v>
      </c>
      <c r="CH78" s="267">
        <v>0</v>
      </c>
      <c r="CJ78" s="267">
        <v>0</v>
      </c>
      <c r="CK78" s="267">
        <v>0</v>
      </c>
    </row>
    <row r="79" spans="1:89" ht="30" x14ac:dyDescent="0.25">
      <c r="A79" s="95"/>
      <c r="B79" s="294" t="s">
        <v>1828</v>
      </c>
      <c r="C79" s="16"/>
      <c r="D79" s="95"/>
      <c r="E79" s="291"/>
      <c r="F79" s="291"/>
      <c r="G79" s="291"/>
      <c r="H79" s="291"/>
      <c r="I79" s="291">
        <f t="shared" ref="I79:N79" si="103">I80+I81</f>
        <v>54</v>
      </c>
      <c r="J79" s="291">
        <f t="shared" si="103"/>
        <v>58</v>
      </c>
      <c r="K79" s="291">
        <f t="shared" si="103"/>
        <v>83</v>
      </c>
      <c r="L79" s="291">
        <f t="shared" si="103"/>
        <v>0</v>
      </c>
      <c r="M79" s="291">
        <f t="shared" si="103"/>
        <v>0</v>
      </c>
      <c r="N79" s="291">
        <f t="shared" si="103"/>
        <v>0</v>
      </c>
      <c r="O79" s="281"/>
      <c r="Q79" s="291">
        <f>Q80+Q81</f>
        <v>83</v>
      </c>
      <c r="R79" s="291">
        <f>R80+R81</f>
        <v>88</v>
      </c>
      <c r="S79" s="291">
        <f>S80+S81</f>
        <v>0</v>
      </c>
      <c r="T79" s="291">
        <f>T80+T81</f>
        <v>0</v>
      </c>
      <c r="V79" s="291">
        <f>V80+V81</f>
        <v>0</v>
      </c>
      <c r="W79" s="291">
        <f>W80+W81</f>
        <v>0</v>
      </c>
      <c r="Y79" s="291">
        <f>Y80+Y81</f>
        <v>0</v>
      </c>
      <c r="Z79" s="291">
        <f>Z80+Z81</f>
        <v>0</v>
      </c>
      <c r="AB79" s="291">
        <f>AB80+AB81</f>
        <v>0</v>
      </c>
      <c r="AC79" s="291">
        <f>AC80+AC81</f>
        <v>0</v>
      </c>
      <c r="AE79" s="291">
        <f>AE80+AE81</f>
        <v>0</v>
      </c>
      <c r="AF79" s="291">
        <f>AF80+AF81</f>
        <v>0</v>
      </c>
      <c r="AH79" s="291">
        <f>AH80+AH81</f>
        <v>0</v>
      </c>
      <c r="AI79" s="291">
        <f>AI80+AI81</f>
        <v>0</v>
      </c>
      <c r="AK79" s="291">
        <f>AK80+AK81</f>
        <v>0</v>
      </c>
      <c r="AL79" s="291">
        <f>AL80+AL81</f>
        <v>0</v>
      </c>
      <c r="AN79" s="291">
        <f>AN80+AN81</f>
        <v>0</v>
      </c>
      <c r="AO79" s="291">
        <f>AO80+AO81</f>
        <v>0</v>
      </c>
      <c r="AQ79" s="291">
        <f>AQ80+AQ81</f>
        <v>0</v>
      </c>
      <c r="AR79" s="291">
        <f>AR80+AR81</f>
        <v>0</v>
      </c>
      <c r="AT79" s="291">
        <f>AT80+AT81</f>
        <v>0</v>
      </c>
      <c r="AU79" s="291">
        <f>AU80+AU81</f>
        <v>0</v>
      </c>
      <c r="AW79" s="291">
        <f>AW80+AW81</f>
        <v>0</v>
      </c>
      <c r="AX79" s="291">
        <f>AX80+AX81</f>
        <v>0</v>
      </c>
      <c r="AZ79" s="291">
        <f>AZ80+AZ81</f>
        <v>0</v>
      </c>
      <c r="BA79" s="291">
        <f>BA80+BA81</f>
        <v>0</v>
      </c>
      <c r="BC79" s="291">
        <f>BC80+BC81</f>
        <v>14</v>
      </c>
      <c r="BD79" s="291">
        <f>BD80+BD81</f>
        <v>20</v>
      </c>
      <c r="BF79" s="291">
        <f>BF80+BF81</f>
        <v>15</v>
      </c>
      <c r="BG79" s="291">
        <f>BG80+BG81</f>
        <v>14</v>
      </c>
      <c r="BI79" s="291">
        <f>BI80+BI81</f>
        <v>43</v>
      </c>
      <c r="BJ79" s="291">
        <f>BJ80+BJ81</f>
        <v>44</v>
      </c>
      <c r="BL79" s="291">
        <f>BL80+BL81</f>
        <v>0</v>
      </c>
      <c r="BM79" s="291">
        <f>BM80+BM81</f>
        <v>0</v>
      </c>
      <c r="BO79" s="291">
        <f>BO80+BO81</f>
        <v>0</v>
      </c>
      <c r="BP79" s="291">
        <f>BP80+BP81</f>
        <v>0</v>
      </c>
      <c r="BR79" s="291">
        <f>BR80+BR81</f>
        <v>0</v>
      </c>
      <c r="BS79" s="291">
        <f>BS80+BS81</f>
        <v>0</v>
      </c>
      <c r="BU79" s="291">
        <f>BU80+BU81</f>
        <v>0</v>
      </c>
      <c r="BV79" s="291">
        <f>BV80+BV81</f>
        <v>0</v>
      </c>
      <c r="BX79" s="291">
        <f>BX80+BX81</f>
        <v>0</v>
      </c>
      <c r="BY79" s="291">
        <f>BY80+BY81</f>
        <v>0</v>
      </c>
      <c r="CA79" s="291">
        <f>CA80+CA81</f>
        <v>0</v>
      </c>
      <c r="CB79" s="291">
        <f>CB80+CB81</f>
        <v>0</v>
      </c>
      <c r="CD79" s="291">
        <f>CD80+CD81</f>
        <v>11</v>
      </c>
      <c r="CE79" s="291">
        <f>CE80+CE81</f>
        <v>10</v>
      </c>
      <c r="CG79" s="291">
        <f>CG80+CG81</f>
        <v>0</v>
      </c>
      <c r="CH79" s="291">
        <f>CH80+CH81</f>
        <v>0</v>
      </c>
      <c r="CJ79" s="291">
        <f>CJ80+CJ81</f>
        <v>0</v>
      </c>
      <c r="CK79" s="291">
        <f>CK80+CK81</f>
        <v>0</v>
      </c>
    </row>
    <row r="80" spans="1:89" ht="30" x14ac:dyDescent="0.25">
      <c r="A80" s="95"/>
      <c r="B80" s="96" t="s">
        <v>1183</v>
      </c>
      <c r="C80" s="312" t="s">
        <v>2857</v>
      </c>
      <c r="D80" s="95" t="s">
        <v>950</v>
      </c>
      <c r="E80" s="291"/>
      <c r="F80" s="291"/>
      <c r="G80" s="291"/>
      <c r="H80" s="291"/>
      <c r="I80" s="291">
        <v>54</v>
      </c>
      <c r="J80" s="291">
        <v>58</v>
      </c>
      <c r="K80" s="291">
        <v>83</v>
      </c>
      <c r="L80" s="291">
        <v>0</v>
      </c>
      <c r="M80" s="291">
        <v>0</v>
      </c>
      <c r="N80" s="291">
        <v>0</v>
      </c>
      <c r="O80" s="281"/>
      <c r="Q80" s="283">
        <f>S80+V80+Y80+AB80+AE80+AH80+AK80+AN80+AQ80+AT80+AW80+AZ80+BC80+BF80+BI80+BL80+BO80+BR80+BU80+BX80+CA80+CD80+CG80+CJ80</f>
        <v>83</v>
      </c>
      <c r="R80" s="283">
        <f>T80+W80+Z80+AC80+AF80+AI80+AL80+AO80+AR80+AU80+AX80+BA80+BD80+BG80+BJ80+BM80+BP80+BS80+BV80+BY80+CB80+CE80+CH80+CK80</f>
        <v>88</v>
      </c>
      <c r="S80" s="267">
        <v>0</v>
      </c>
      <c r="T80" s="267">
        <v>0</v>
      </c>
      <c r="V80" s="267">
        <v>0</v>
      </c>
      <c r="W80" s="267">
        <v>0</v>
      </c>
      <c r="Y80" s="267">
        <v>0</v>
      </c>
      <c r="Z80" s="267">
        <v>0</v>
      </c>
      <c r="AB80" s="267">
        <v>0</v>
      </c>
      <c r="AC80" s="267">
        <v>0</v>
      </c>
      <c r="AE80" s="267">
        <v>0</v>
      </c>
      <c r="AF80" s="267">
        <v>0</v>
      </c>
      <c r="AH80" s="267">
        <v>0</v>
      </c>
      <c r="AI80" s="267">
        <v>0</v>
      </c>
      <c r="AK80" s="267">
        <v>0</v>
      </c>
      <c r="AL80" s="267">
        <v>0</v>
      </c>
      <c r="AN80" s="267">
        <v>0</v>
      </c>
      <c r="AO80" s="267">
        <v>0</v>
      </c>
      <c r="AQ80" s="267">
        <v>0</v>
      </c>
      <c r="AR80" s="267">
        <v>0</v>
      </c>
      <c r="AT80" s="267">
        <v>0</v>
      </c>
      <c r="AU80" s="267">
        <v>0</v>
      </c>
      <c r="AW80" s="267">
        <v>0</v>
      </c>
      <c r="AX80" s="267">
        <v>0</v>
      </c>
      <c r="AZ80" s="267">
        <v>0</v>
      </c>
      <c r="BA80" s="267">
        <v>0</v>
      </c>
      <c r="BC80" s="267">
        <v>14</v>
      </c>
      <c r="BD80" s="267">
        <v>20</v>
      </c>
      <c r="BF80" s="267">
        <v>15</v>
      </c>
      <c r="BG80" s="267">
        <v>14</v>
      </c>
      <c r="BI80" s="267">
        <v>43</v>
      </c>
      <c r="BJ80" s="267">
        <v>44</v>
      </c>
      <c r="BL80" s="267">
        <v>0</v>
      </c>
      <c r="BM80" s="267">
        <v>0</v>
      </c>
      <c r="BO80" s="267">
        <v>0</v>
      </c>
      <c r="BP80" s="267">
        <v>0</v>
      </c>
      <c r="BR80" s="267">
        <v>0</v>
      </c>
      <c r="BS80" s="267">
        <v>0</v>
      </c>
      <c r="BU80" s="267">
        <v>0</v>
      </c>
      <c r="BV80" s="267">
        <v>0</v>
      </c>
      <c r="BX80" s="267">
        <v>0</v>
      </c>
      <c r="BY80" s="267">
        <v>0</v>
      </c>
      <c r="CA80" s="267">
        <v>0</v>
      </c>
      <c r="CB80" s="267">
        <v>0</v>
      </c>
      <c r="CD80" s="267">
        <v>11</v>
      </c>
      <c r="CE80" s="267">
        <v>10</v>
      </c>
      <c r="CG80" s="267">
        <v>0</v>
      </c>
      <c r="CH80" s="267">
        <v>0</v>
      </c>
      <c r="CJ80" s="267">
        <v>0</v>
      </c>
      <c r="CK80" s="267">
        <v>0</v>
      </c>
    </row>
    <row r="81" spans="1:89" ht="30" x14ac:dyDescent="0.25">
      <c r="A81" s="95"/>
      <c r="B81" s="96" t="s">
        <v>1185</v>
      </c>
      <c r="C81" s="312" t="s">
        <v>2857</v>
      </c>
      <c r="D81" s="95" t="s">
        <v>950</v>
      </c>
      <c r="E81" s="291"/>
      <c r="F81" s="291"/>
      <c r="G81" s="291"/>
      <c r="H81" s="291"/>
      <c r="I81" s="291">
        <v>0</v>
      </c>
      <c r="J81" s="291">
        <v>0</v>
      </c>
      <c r="K81" s="291">
        <v>0</v>
      </c>
      <c r="L81" s="291">
        <v>0</v>
      </c>
      <c r="M81" s="291">
        <v>0</v>
      </c>
      <c r="N81" s="291">
        <v>0</v>
      </c>
      <c r="O81" s="281"/>
      <c r="Q81" s="283">
        <f>S81+V81+Y81+AB81+AE81+AH81+AK81+AN81+AQ81+AT81+AW81+AZ81+BC81+BF81+BI81+BL81+BO81+BR81+BU81+BX81+CA81+CD81+CG81+CJ81</f>
        <v>0</v>
      </c>
      <c r="R81" s="283">
        <f>T81+W81+Z81+AC81+AF81+AI81+AL81+AO81+AR81+AU81+AX81+BA81+BD81+BG81+BJ81+BM81+BP81+BS81+BV81+BY81+CB81+CE81+CH81+CK81</f>
        <v>0</v>
      </c>
      <c r="S81" s="267">
        <v>0</v>
      </c>
      <c r="T81" s="267">
        <v>0</v>
      </c>
      <c r="V81" s="267">
        <v>0</v>
      </c>
      <c r="W81" s="267">
        <v>0</v>
      </c>
      <c r="Y81" s="267">
        <v>0</v>
      </c>
      <c r="Z81" s="267">
        <v>0</v>
      </c>
      <c r="AB81" s="267">
        <v>0</v>
      </c>
      <c r="AC81" s="267">
        <v>0</v>
      </c>
      <c r="AE81" s="267">
        <v>0</v>
      </c>
      <c r="AF81" s="267">
        <v>0</v>
      </c>
      <c r="AH81" s="267">
        <v>0</v>
      </c>
      <c r="AI81" s="267">
        <v>0</v>
      </c>
      <c r="AK81" s="267">
        <v>0</v>
      </c>
      <c r="AL81" s="267">
        <v>0</v>
      </c>
      <c r="AN81" s="267">
        <v>0</v>
      </c>
      <c r="AO81" s="267">
        <v>0</v>
      </c>
      <c r="AQ81" s="267">
        <v>0</v>
      </c>
      <c r="AR81" s="267">
        <v>0</v>
      </c>
      <c r="AT81" s="267">
        <v>0</v>
      </c>
      <c r="AU81" s="267">
        <v>0</v>
      </c>
      <c r="AW81" s="267">
        <v>0</v>
      </c>
      <c r="AX81" s="267">
        <v>0</v>
      </c>
      <c r="AZ81" s="267">
        <v>0</v>
      </c>
      <c r="BA81" s="267">
        <v>0</v>
      </c>
      <c r="BC81" s="267">
        <v>0</v>
      </c>
      <c r="BD81" s="304">
        <v>0</v>
      </c>
      <c r="BF81" s="267">
        <v>0</v>
      </c>
      <c r="BG81" s="304">
        <v>0</v>
      </c>
      <c r="BI81" s="267">
        <v>0</v>
      </c>
      <c r="BJ81" s="304">
        <v>0</v>
      </c>
      <c r="BL81" s="267">
        <v>0</v>
      </c>
      <c r="BM81" s="267">
        <v>0</v>
      </c>
      <c r="BO81" s="267">
        <v>0</v>
      </c>
      <c r="BP81" s="267">
        <v>0</v>
      </c>
      <c r="BR81" s="267">
        <v>0</v>
      </c>
      <c r="BS81" s="267">
        <v>0</v>
      </c>
      <c r="BU81" s="267">
        <v>0</v>
      </c>
      <c r="BV81" s="267">
        <v>0</v>
      </c>
      <c r="BX81" s="267">
        <v>0</v>
      </c>
      <c r="BY81" s="267">
        <v>0</v>
      </c>
      <c r="CA81" s="267">
        <v>0</v>
      </c>
      <c r="CB81" s="267">
        <v>0</v>
      </c>
      <c r="CD81" s="267">
        <v>0</v>
      </c>
      <c r="CE81" s="304">
        <v>0</v>
      </c>
      <c r="CG81" s="267">
        <v>0</v>
      </c>
      <c r="CH81" s="267">
        <v>0</v>
      </c>
      <c r="CJ81" s="267">
        <v>0</v>
      </c>
      <c r="CK81" s="267">
        <v>0</v>
      </c>
    </row>
    <row r="82" spans="1:89" x14ac:dyDescent="0.25">
      <c r="A82" s="95" t="s">
        <v>1655</v>
      </c>
      <c r="B82" s="96" t="s">
        <v>1650</v>
      </c>
      <c r="C82" s="16"/>
      <c r="D82" s="95"/>
      <c r="E82" s="291"/>
      <c r="F82" s="291"/>
      <c r="G82" s="291"/>
      <c r="H82" s="291"/>
      <c r="I82" s="291"/>
      <c r="J82" s="291"/>
      <c r="K82" s="291"/>
      <c r="L82" s="291"/>
      <c r="M82" s="291"/>
      <c r="N82" s="291"/>
      <c r="O82" s="281"/>
    </row>
    <row r="83" spans="1:89" x14ac:dyDescent="0.25">
      <c r="A83" s="95"/>
      <c r="B83" s="96" t="s">
        <v>1182</v>
      </c>
      <c r="C83" s="16"/>
      <c r="D83" s="95"/>
      <c r="E83" s="291"/>
      <c r="F83" s="291"/>
      <c r="G83" s="291"/>
      <c r="H83" s="291"/>
      <c r="I83" s="291"/>
      <c r="J83" s="291"/>
      <c r="K83" s="291"/>
      <c r="L83" s="291"/>
      <c r="M83" s="291"/>
      <c r="N83" s="291"/>
      <c r="O83" s="281"/>
    </row>
    <row r="84" spans="1:89" x14ac:dyDescent="0.25">
      <c r="A84" s="95"/>
      <c r="B84" s="96" t="s">
        <v>2394</v>
      </c>
      <c r="C84" s="16"/>
      <c r="D84" s="95"/>
      <c r="E84" s="291"/>
      <c r="F84" s="291"/>
      <c r="G84" s="291"/>
      <c r="H84" s="291"/>
      <c r="I84" s="291"/>
      <c r="J84" s="291"/>
      <c r="K84" s="291"/>
      <c r="L84" s="291"/>
      <c r="M84" s="291"/>
      <c r="N84" s="291"/>
      <c r="O84" s="281"/>
    </row>
    <row r="85" spans="1:89" x14ac:dyDescent="0.25">
      <c r="A85" s="95"/>
      <c r="B85" s="96" t="s">
        <v>1651</v>
      </c>
      <c r="C85" s="16"/>
      <c r="D85" s="95" t="s">
        <v>950</v>
      </c>
      <c r="E85" s="291"/>
      <c r="F85" s="291"/>
      <c r="G85" s="291"/>
      <c r="H85" s="291"/>
      <c r="I85" s="279">
        <f t="shared" ref="I85:K87" si="104">(I98+I105+I101+I108)/(I113+I120+I116+I123)</f>
        <v>23.181187355435622</v>
      </c>
      <c r="J85" s="279">
        <f t="shared" si="104"/>
        <v>23.448440643863179</v>
      </c>
      <c r="K85" s="279">
        <f t="shared" si="104"/>
        <v>23.681415929203538</v>
      </c>
      <c r="L85" s="279">
        <f t="shared" ref="L85:M87" si="105">(L98+L105+L101+L108)/(L113+L120+L116+L123)</f>
        <v>14.467213114754099</v>
      </c>
      <c r="M85" s="279">
        <f t="shared" si="105"/>
        <v>14.139344262295081</v>
      </c>
      <c r="N85" s="279">
        <f t="shared" ref="N85" si="106">(N98+N105+N101+N108)/(N113+N120+N116+N123)</f>
        <v>14.376068376068377</v>
      </c>
      <c r="O85" s="281"/>
      <c r="Q85" s="279">
        <f t="shared" ref="Q85:T87" si="107">(Q98+Q105+Q101+Q108)/(Q113+Q120+Q116+Q123)</f>
        <v>23.681415929203538</v>
      </c>
      <c r="R85" s="279">
        <f t="shared" si="107"/>
        <v>23.943044110518663</v>
      </c>
      <c r="S85" s="279">
        <f t="shared" si="107"/>
        <v>21.443037974683545</v>
      </c>
      <c r="T85" s="279">
        <f t="shared" si="107"/>
        <v>21.192771084337348</v>
      </c>
      <c r="V85" s="279">
        <f t="shared" ref="V85:W87" si="108">(V98+V105+V101+V108)/(V113+V120+V116+V123)</f>
        <v>16.184782608695652</v>
      </c>
      <c r="W85" s="279">
        <f t="shared" si="108"/>
        <v>16.147368421052633</v>
      </c>
      <c r="Y85" s="279">
        <f t="shared" ref="Y85:Z87" si="109">(Y98+Y105+Y101+Y108)/(Y113+Y120+Y116+Y123)</f>
        <v>18.096153846153847</v>
      </c>
      <c r="Z85" s="279">
        <f t="shared" si="109"/>
        <v>17.456310679611651</v>
      </c>
      <c r="AB85" s="279">
        <f t="shared" ref="AB85:AC87" si="110">(AB98+AB105+AB101+AB108)/(AB113+AB120+AB116+AB123)</f>
        <v>19.711711711711711</v>
      </c>
      <c r="AC85" s="279">
        <f t="shared" si="110"/>
        <v>19.263636363636362</v>
      </c>
      <c r="AE85" s="279">
        <f t="shared" ref="AE85:AF87" si="111">(AE98+AE105+AE101+AE108)/(AE113+AE120+AE116+AE123)</f>
        <v>16.978723404255319</v>
      </c>
      <c r="AF85" s="279">
        <f t="shared" si="111"/>
        <v>16.806451612903224</v>
      </c>
      <c r="AH85" s="279">
        <f t="shared" ref="AH85:AI87" si="112">(AH98+AH105+AH101+AH108)/(AH113+AH120+AH116+AH123)</f>
        <v>14.5</v>
      </c>
      <c r="AI85" s="279">
        <f t="shared" si="112"/>
        <v>14.557377049180328</v>
      </c>
      <c r="AK85" s="279">
        <f t="shared" ref="AK85:AL87" si="113">(AK98+AK105+AK101+AK108)/(AK113+AK120+AK116+AK123)</f>
        <v>23.131578947368421</v>
      </c>
      <c r="AL85" s="279">
        <f t="shared" si="113"/>
        <v>24.258928571428573</v>
      </c>
      <c r="AN85" s="279">
        <f t="shared" ref="AN85:AO87" si="114">(AN98+AN105+AN101+AN108)/(AN113+AN120+AN116+AN123)</f>
        <v>22.525525525525527</v>
      </c>
      <c r="AO85" s="279">
        <f t="shared" si="114"/>
        <v>22.838323353293415</v>
      </c>
      <c r="AQ85" s="279">
        <f t="shared" ref="AQ85:AR87" si="115">(AQ98+AQ105+AQ101+AQ108)/(AQ113+AQ120+AQ116+AQ123)</f>
        <v>9.2079207920792072</v>
      </c>
      <c r="AR85" s="279">
        <f t="shared" si="115"/>
        <v>9.0297029702970288</v>
      </c>
      <c r="AT85" s="279">
        <f t="shared" ref="AT85:AU87" si="116">(AT98+AT105+AT101+AT108)/(AT113+AT120+AT116+AT123)</f>
        <v>27.863829787234042</v>
      </c>
      <c r="AU85" s="279">
        <f t="shared" si="116"/>
        <v>27.732510288065843</v>
      </c>
      <c r="AW85" s="279">
        <f t="shared" ref="AW85:AX87" si="117">(AW98+AW105+AW101+AW108)/(AW113+AW120+AW116+AW123)</f>
        <v>22.317307692307693</v>
      </c>
      <c r="AX85" s="279">
        <f t="shared" si="117"/>
        <v>22.922330097087379</v>
      </c>
      <c r="AZ85" s="279">
        <f t="shared" ref="AZ85:BA87" si="118">(AZ98+AZ105+AZ101+AZ108)/(AZ113+AZ120+AZ116+AZ123)</f>
        <v>25.032520325203251</v>
      </c>
      <c r="BA85" s="279">
        <f t="shared" si="118"/>
        <v>25.233333333333334</v>
      </c>
      <c r="BC85" s="279">
        <f t="shared" ref="BC85:BD87" si="119">(BC98+BC105+BC101+BC108)/(BC113+BC120+BC116+BC123)</f>
        <v>25.949612403100776</v>
      </c>
      <c r="BD85" s="279">
        <f t="shared" si="119"/>
        <v>25.865384615384617</v>
      </c>
      <c r="BF85" s="279">
        <f t="shared" ref="BF85:BG87" si="120">(BF98+BF105+BF101+BF108)/(BF113+BF120+BF116+BF123)</f>
        <v>26.604609929078013</v>
      </c>
      <c r="BG85" s="279">
        <f t="shared" si="120"/>
        <v>27.022491349480969</v>
      </c>
      <c r="BI85" s="279">
        <f t="shared" ref="BI85:BJ87" si="121">(BI98+BI105+BI101+BI108)/(BI113+BI120+BI116+BI123)</f>
        <v>26.047565118912797</v>
      </c>
      <c r="BJ85" s="279">
        <f t="shared" si="121"/>
        <v>26.47717391304348</v>
      </c>
      <c r="BL85" s="279">
        <f t="shared" ref="BL85:BM87" si="122">(BL98+BL105+BL101+BL108)/(BL113+BL120+BL116+BL123)</f>
        <v>26.695652173913043</v>
      </c>
      <c r="BM85" s="279">
        <f t="shared" si="122"/>
        <v>26.074468085106382</v>
      </c>
      <c r="BO85" s="279">
        <f t="shared" ref="BO85:BP87" si="123">(BO98+BO105+BO101+BO108)/(BO113+BO120+BO116+BO123)</f>
        <v>25.758620689655171</v>
      </c>
      <c r="BP85" s="279">
        <f t="shared" si="123"/>
        <v>25.74712643678161</v>
      </c>
      <c r="BR85" s="279">
        <f t="shared" ref="BR85:BS87" si="124">(BR98+BR105+BR101+BR108)/(BR113+BR120+BR116+BR123)</f>
        <v>25.5</v>
      </c>
      <c r="BS85" s="279">
        <f t="shared" si="124"/>
        <v>25.818840579710145</v>
      </c>
      <c r="BU85" s="279">
        <f t="shared" ref="BU85:BV87" si="125">(BU98+BU105+BU101+BU108)/(BU113+BU120+BU116+BU123)</f>
        <v>26.738461538461539</v>
      </c>
      <c r="BV85" s="279">
        <f t="shared" si="125"/>
        <v>26.664122137404579</v>
      </c>
      <c r="BX85" s="279">
        <f t="shared" ref="BX85:BY87" si="126">(BX98+BX105+BX101+BX108)/(BX113+BX120+BX116+BX123)</f>
        <v>24.45</v>
      </c>
      <c r="BY85" s="279">
        <f t="shared" si="126"/>
        <v>24.774999999999999</v>
      </c>
      <c r="CA85" s="279">
        <f t="shared" ref="CA85:CB87" si="127">(CA98+CA105+CA101+CA108)/(CA113+CA120+CA116+CA123)</f>
        <v>26.484210526315788</v>
      </c>
      <c r="CB85" s="279">
        <f t="shared" si="127"/>
        <v>27.063157894736843</v>
      </c>
      <c r="CD85" s="279">
        <f t="shared" ref="CD85:CE87" si="128">(CD98+CD105+CD101+CD108)/(CD113+CD120+CD116+CD123)</f>
        <v>23.65625</v>
      </c>
      <c r="CE85" s="279">
        <f t="shared" si="128"/>
        <v>24.252631578947369</v>
      </c>
      <c r="CG85" s="279">
        <f t="shared" ref="CG85:CH87" si="129">(CG98+CG105+CG101+CG108)/(CG113+CG120+CG116+CG123)</f>
        <v>7.406779661016949</v>
      </c>
      <c r="CH85" s="279">
        <f t="shared" si="129"/>
        <v>6.9464285714285712</v>
      </c>
      <c r="CJ85" s="279">
        <f t="shared" ref="CJ85:CK87" si="130">(CJ98+CJ105+CJ101+CJ108)/(CJ113+CJ120+CJ116+CJ123)</f>
        <v>8.4166666666666661</v>
      </c>
      <c r="CK85" s="279">
        <f t="shared" si="130"/>
        <v>11.538461538461538</v>
      </c>
    </row>
    <row r="86" spans="1:89" x14ac:dyDescent="0.25">
      <c r="A86" s="95"/>
      <c r="B86" s="96" t="s">
        <v>1652</v>
      </c>
      <c r="C86" s="16"/>
      <c r="D86" s="95" t="s">
        <v>950</v>
      </c>
      <c r="E86" s="291"/>
      <c r="F86" s="291"/>
      <c r="G86" s="291"/>
      <c r="H86" s="291"/>
      <c r="I86" s="279">
        <f t="shared" si="104"/>
        <v>22.609932385171369</v>
      </c>
      <c r="J86" s="279">
        <f t="shared" si="104"/>
        <v>22.775449101796408</v>
      </c>
      <c r="K86" s="279">
        <f t="shared" si="104"/>
        <v>22.982284805814217</v>
      </c>
      <c r="L86" s="279">
        <f t="shared" ref="L86" si="131">(L99+L106+L102+L109)/(L114+L121+L117+L124)</f>
        <v>14.075949367088608</v>
      </c>
      <c r="M86" s="279">
        <f t="shared" si="105"/>
        <v>14.403846153846153</v>
      </c>
      <c r="N86" s="279">
        <f t="shared" ref="N86" si="132">(N99+N106+N102+N109)/(N114+N121+N117+N124)</f>
        <v>14.171974522292993</v>
      </c>
      <c r="O86" s="281"/>
      <c r="Q86" s="279">
        <f t="shared" si="107"/>
        <v>22.982284805814217</v>
      </c>
      <c r="R86" s="279">
        <f t="shared" si="107"/>
        <v>23.14865166035213</v>
      </c>
      <c r="S86" s="279">
        <f t="shared" si="107"/>
        <v>21.269662921348313</v>
      </c>
      <c r="T86" s="279">
        <f t="shared" si="107"/>
        <v>21.065934065934066</v>
      </c>
      <c r="V86" s="279">
        <f t="shared" si="108"/>
        <v>18</v>
      </c>
      <c r="W86" s="279">
        <f t="shared" si="108"/>
        <v>17.78125</v>
      </c>
      <c r="Y86" s="279">
        <f t="shared" si="109"/>
        <v>16.5390625</v>
      </c>
      <c r="Z86" s="279">
        <f t="shared" si="109"/>
        <v>17.165354330708663</v>
      </c>
      <c r="AB86" s="279">
        <f t="shared" si="110"/>
        <v>19.483870967741936</v>
      </c>
      <c r="AC86" s="279">
        <f t="shared" si="110"/>
        <v>19.704000000000001</v>
      </c>
      <c r="AE86" s="279">
        <f t="shared" si="111"/>
        <v>15.642857142857142</v>
      </c>
      <c r="AF86" s="279">
        <f t="shared" si="111"/>
        <v>15.904347826086957</v>
      </c>
      <c r="AH86" s="279">
        <f t="shared" si="112"/>
        <v>13.819875776397515</v>
      </c>
      <c r="AI86" s="279">
        <f t="shared" si="112"/>
        <v>13.857142857142858</v>
      </c>
      <c r="AK86" s="279">
        <f t="shared" si="113"/>
        <v>22.887218045112782</v>
      </c>
      <c r="AL86" s="279">
        <f t="shared" si="113"/>
        <v>22.872180451127818</v>
      </c>
      <c r="AN86" s="279">
        <f t="shared" si="114"/>
        <v>22.441340782122904</v>
      </c>
      <c r="AO86" s="279">
        <f t="shared" si="114"/>
        <v>22.58659217877095</v>
      </c>
      <c r="AQ86" s="279">
        <f t="shared" si="115"/>
        <v>8.8632478632478637</v>
      </c>
      <c r="AR86" s="279">
        <f t="shared" si="115"/>
        <v>8.5609756097560972</v>
      </c>
      <c r="AT86" s="279">
        <f t="shared" si="116"/>
        <v>26.808695652173913</v>
      </c>
      <c r="AU86" s="279">
        <f t="shared" si="116"/>
        <v>27.05857740585774</v>
      </c>
      <c r="AW86" s="279">
        <f t="shared" si="117"/>
        <v>22.925233644859812</v>
      </c>
      <c r="AX86" s="279">
        <f t="shared" si="117"/>
        <v>23.100917431192659</v>
      </c>
      <c r="AZ86" s="279">
        <f t="shared" si="118"/>
        <v>24.020547945205479</v>
      </c>
      <c r="BA86" s="279">
        <f t="shared" si="118"/>
        <v>23.952702702702702</v>
      </c>
      <c r="BC86" s="279">
        <f t="shared" si="119"/>
        <v>25.74</v>
      </c>
      <c r="BD86" s="279">
        <f t="shared" si="119"/>
        <v>26.069230769230771</v>
      </c>
      <c r="BF86" s="279">
        <f t="shared" si="120"/>
        <v>26.036065573770493</v>
      </c>
      <c r="BG86" s="279">
        <f t="shared" si="120"/>
        <v>25.853503184713375</v>
      </c>
      <c r="BI86" s="279">
        <f t="shared" si="121"/>
        <v>25.495060373216244</v>
      </c>
      <c r="BJ86" s="279">
        <f t="shared" si="121"/>
        <v>25.928034371643395</v>
      </c>
      <c r="BL86" s="279">
        <f t="shared" si="122"/>
        <v>23.1875</v>
      </c>
      <c r="BM86" s="279">
        <f t="shared" si="122"/>
        <v>22.920353982300885</v>
      </c>
      <c r="BO86" s="279">
        <f t="shared" si="123"/>
        <v>24.240384615384617</v>
      </c>
      <c r="BP86" s="279">
        <f t="shared" si="123"/>
        <v>23.907407407407408</v>
      </c>
      <c r="BR86" s="279">
        <f t="shared" si="124"/>
        <v>25.36986301369863</v>
      </c>
      <c r="BS86" s="279">
        <f t="shared" si="124"/>
        <v>25.625850340136054</v>
      </c>
      <c r="BU86" s="279">
        <f t="shared" si="125"/>
        <v>24.924137931034483</v>
      </c>
      <c r="BV86" s="279">
        <f t="shared" si="125"/>
        <v>25.825174825174827</v>
      </c>
      <c r="BX86" s="279">
        <f t="shared" si="126"/>
        <v>24.524999999999999</v>
      </c>
      <c r="BY86" s="279">
        <f t="shared" si="126"/>
        <v>24.162790697674417</v>
      </c>
      <c r="CA86" s="279">
        <f t="shared" si="127"/>
        <v>24.672897196261683</v>
      </c>
      <c r="CB86" s="279">
        <f t="shared" si="127"/>
        <v>25.44859813084112</v>
      </c>
      <c r="CD86" s="279">
        <f t="shared" si="128"/>
        <v>23.481481481481481</v>
      </c>
      <c r="CE86" s="279">
        <f t="shared" si="128"/>
        <v>23.142857142857142</v>
      </c>
      <c r="CG86" s="279">
        <f t="shared" si="129"/>
        <v>6.2857142857142856</v>
      </c>
      <c r="CH86" s="279">
        <f t="shared" si="129"/>
        <v>6.3414634146341466</v>
      </c>
      <c r="CJ86" s="279">
        <f t="shared" si="130"/>
        <v>15.607142857142858</v>
      </c>
      <c r="CK86" s="279">
        <f t="shared" si="130"/>
        <v>14.862068965517242</v>
      </c>
    </row>
    <row r="87" spans="1:89" x14ac:dyDescent="0.25">
      <c r="A87" s="95"/>
      <c r="B87" s="96" t="s">
        <v>1653</v>
      </c>
      <c r="C87" s="16"/>
      <c r="D87" s="95" t="s">
        <v>950</v>
      </c>
      <c r="E87" s="291"/>
      <c r="F87" s="291"/>
      <c r="G87" s="291"/>
      <c r="H87" s="291"/>
      <c r="I87" s="279">
        <f t="shared" si="104"/>
        <v>19.946215139442231</v>
      </c>
      <c r="J87" s="279">
        <f t="shared" si="104"/>
        <v>20.721789883268482</v>
      </c>
      <c r="K87" s="279">
        <f t="shared" si="104"/>
        <v>20.782363977485929</v>
      </c>
      <c r="L87" s="279">
        <f t="shared" ref="L87" si="133">(L100+L107+L103+L110)/(L115+L122+L118+L125)</f>
        <v>12.054054054054054</v>
      </c>
      <c r="M87" s="279">
        <f t="shared" si="105"/>
        <v>12</v>
      </c>
      <c r="N87" s="279">
        <f t="shared" ref="N87" si="134">(N100+N107+N103+N110)/(N115+N122+N118+N125)</f>
        <v>11.307692307692308</v>
      </c>
      <c r="O87" s="281"/>
      <c r="Q87" s="279">
        <f t="shared" si="107"/>
        <v>20.782363977485929</v>
      </c>
      <c r="R87" s="279">
        <f t="shared" si="107"/>
        <v>20.637142857142859</v>
      </c>
      <c r="S87" s="279">
        <f t="shared" si="107"/>
        <v>13.64</v>
      </c>
      <c r="T87" s="279">
        <f t="shared" si="107"/>
        <v>14</v>
      </c>
      <c r="V87" s="279">
        <f t="shared" si="108"/>
        <v>12.566666666666666</v>
      </c>
      <c r="W87" s="279">
        <f t="shared" si="108"/>
        <v>11.962962962962964</v>
      </c>
      <c r="Y87" s="279">
        <f t="shared" si="109"/>
        <v>11.971428571428572</v>
      </c>
      <c r="Z87" s="279">
        <f t="shared" si="109"/>
        <v>10.764705882352942</v>
      </c>
      <c r="AB87" s="279">
        <f t="shared" si="110"/>
        <v>15.235294117647058</v>
      </c>
      <c r="AC87" s="279">
        <f t="shared" si="110"/>
        <v>14.777777777777779</v>
      </c>
      <c r="AE87" s="279">
        <f t="shared" si="111"/>
        <v>10.318181818181818</v>
      </c>
      <c r="AF87" s="279">
        <f t="shared" si="111"/>
        <v>9.1904761904761898</v>
      </c>
      <c r="AH87" s="279">
        <f t="shared" si="112"/>
        <v>10</v>
      </c>
      <c r="AI87" s="279">
        <f t="shared" si="112"/>
        <v>11.2</v>
      </c>
      <c r="AK87" s="279">
        <f t="shared" si="113"/>
        <v>17.058823529411764</v>
      </c>
      <c r="AL87" s="279">
        <f t="shared" si="113"/>
        <v>16.055555555555557</v>
      </c>
      <c r="AN87" s="279">
        <f t="shared" si="114"/>
        <v>21</v>
      </c>
      <c r="AO87" s="279">
        <f t="shared" si="114"/>
        <v>20.125</v>
      </c>
      <c r="AQ87" s="279">
        <f t="shared" si="115"/>
        <v>5.3636363636363633</v>
      </c>
      <c r="AR87" s="279">
        <f t="shared" si="115"/>
        <v>5.4</v>
      </c>
      <c r="AT87" s="279">
        <f t="shared" si="116"/>
        <v>24.944444444444443</v>
      </c>
      <c r="AU87" s="279">
        <f t="shared" si="116"/>
        <v>26.82</v>
      </c>
      <c r="AW87" s="279">
        <f t="shared" si="117"/>
        <v>23.095238095238095</v>
      </c>
      <c r="AX87" s="279">
        <f t="shared" si="117"/>
        <v>22.285714285714285</v>
      </c>
      <c r="AZ87" s="279">
        <f t="shared" si="118"/>
        <v>24.620689655172413</v>
      </c>
      <c r="BA87" s="279">
        <f t="shared" si="118"/>
        <v>24.035714285714285</v>
      </c>
      <c r="BC87" s="279">
        <f t="shared" si="119"/>
        <v>24.701754385964911</v>
      </c>
      <c r="BD87" s="279">
        <f t="shared" si="119"/>
        <v>23.836363636363636</v>
      </c>
      <c r="BF87" s="279">
        <f t="shared" si="120"/>
        <v>25.368421052631579</v>
      </c>
      <c r="BG87" s="279">
        <f t="shared" si="120"/>
        <v>25.089552238805972</v>
      </c>
      <c r="BI87" s="279">
        <f t="shared" si="121"/>
        <v>24.887323943661972</v>
      </c>
      <c r="BJ87" s="279">
        <f t="shared" si="121"/>
        <v>25.177570093457945</v>
      </c>
      <c r="BL87" s="279">
        <f t="shared" si="122"/>
        <v>24.521739130434781</v>
      </c>
      <c r="BM87" s="279">
        <f t="shared" si="122"/>
        <v>23.869565217391305</v>
      </c>
      <c r="BO87" s="279">
        <f t="shared" si="123"/>
        <v>24.857142857142858</v>
      </c>
      <c r="BP87" s="279">
        <f t="shared" si="123"/>
        <v>24.85</v>
      </c>
      <c r="BR87" s="279">
        <f t="shared" si="124"/>
        <v>24.970588235294116</v>
      </c>
      <c r="BS87" s="279">
        <f t="shared" si="124"/>
        <v>25.129032258064516</v>
      </c>
      <c r="BU87" s="279">
        <f t="shared" si="125"/>
        <v>23.837837837837839</v>
      </c>
      <c r="BV87" s="279">
        <f t="shared" si="125"/>
        <v>24.111111111111111</v>
      </c>
      <c r="BX87" s="279">
        <f t="shared" si="126"/>
        <v>21.625</v>
      </c>
      <c r="BY87" s="279">
        <f t="shared" si="126"/>
        <v>21</v>
      </c>
      <c r="CA87" s="279">
        <f t="shared" si="127"/>
        <v>21.307692307692307</v>
      </c>
      <c r="CB87" s="279">
        <f t="shared" si="127"/>
        <v>22.541666666666668</v>
      </c>
      <c r="CD87" s="279">
        <f t="shared" si="128"/>
        <v>22.863636363636363</v>
      </c>
      <c r="CE87" s="279">
        <f t="shared" si="128"/>
        <v>22.608695652173914</v>
      </c>
      <c r="CG87" s="279">
        <f t="shared" si="129"/>
        <v>15.086956521739131</v>
      </c>
      <c r="CH87" s="279">
        <f t="shared" si="129"/>
        <v>14.523809523809524</v>
      </c>
      <c r="CJ87" s="279">
        <f t="shared" si="130"/>
        <v>23</v>
      </c>
      <c r="CK87" s="279">
        <f t="shared" si="130"/>
        <v>17.8</v>
      </c>
    </row>
    <row r="88" spans="1:89" x14ac:dyDescent="0.25">
      <c r="A88" s="95"/>
      <c r="B88" s="96" t="s">
        <v>1183</v>
      </c>
      <c r="C88" s="16"/>
      <c r="D88" s="95"/>
      <c r="E88" s="291"/>
      <c r="F88" s="291"/>
      <c r="G88" s="291"/>
      <c r="H88" s="291"/>
      <c r="I88" s="291"/>
      <c r="J88" s="291"/>
      <c r="K88" s="291"/>
      <c r="L88" s="291"/>
      <c r="M88" s="291"/>
      <c r="N88" s="291"/>
      <c r="O88" s="281"/>
      <c r="Q88" s="291"/>
      <c r="R88" s="291"/>
      <c r="S88" s="291"/>
      <c r="T88" s="291"/>
      <c r="V88" s="291"/>
      <c r="W88" s="291"/>
      <c r="Y88" s="291"/>
      <c r="Z88" s="291"/>
      <c r="AB88" s="291"/>
      <c r="AC88" s="291"/>
      <c r="AE88" s="291"/>
      <c r="AF88" s="291"/>
      <c r="AH88" s="291"/>
      <c r="AI88" s="291"/>
      <c r="AK88" s="291"/>
      <c r="AL88" s="291"/>
      <c r="AN88" s="291"/>
      <c r="AO88" s="291"/>
      <c r="AQ88" s="291"/>
      <c r="AR88" s="291"/>
      <c r="AT88" s="291"/>
      <c r="AU88" s="291"/>
      <c r="AW88" s="291"/>
      <c r="AX88" s="291"/>
      <c r="AZ88" s="291"/>
      <c r="BA88" s="291"/>
      <c r="BC88" s="291"/>
      <c r="BD88" s="291"/>
      <c r="BF88" s="291"/>
      <c r="BG88" s="291"/>
      <c r="BI88" s="291"/>
      <c r="BJ88" s="291"/>
      <c r="BL88" s="291"/>
      <c r="BM88" s="291"/>
      <c r="BO88" s="291"/>
      <c r="BP88" s="291"/>
      <c r="BR88" s="291"/>
      <c r="BS88" s="291"/>
      <c r="BU88" s="291"/>
      <c r="BV88" s="291"/>
      <c r="BX88" s="291"/>
      <c r="BY88" s="291"/>
      <c r="CA88" s="291"/>
      <c r="CB88" s="291"/>
      <c r="CD88" s="291"/>
      <c r="CE88" s="291"/>
      <c r="CG88" s="291"/>
      <c r="CH88" s="291"/>
      <c r="CJ88" s="291"/>
      <c r="CK88" s="291"/>
    </row>
    <row r="89" spans="1:89" x14ac:dyDescent="0.25">
      <c r="A89" s="95"/>
      <c r="B89" s="96" t="s">
        <v>1651</v>
      </c>
      <c r="C89" s="16"/>
      <c r="D89" s="95" t="s">
        <v>950</v>
      </c>
      <c r="E89" s="291"/>
      <c r="F89" s="291"/>
      <c r="G89" s="291"/>
      <c r="H89" s="291"/>
      <c r="I89" s="279">
        <f t="shared" ref="I89:J91" si="135">(I98+I101)/(I113+I116)</f>
        <v>24.723017292784736</v>
      </c>
      <c r="J89" s="279">
        <f t="shared" si="135"/>
        <v>24.995055264688773</v>
      </c>
      <c r="K89" s="279">
        <f t="shared" ref="K89:M91" si="136">(K98+K101)/(K113+K116)</f>
        <v>25.198302687411598</v>
      </c>
      <c r="L89" s="279">
        <f t="shared" si="136"/>
        <v>20.122448979591837</v>
      </c>
      <c r="M89" s="279">
        <f t="shared" si="136"/>
        <v>19.156862745098039</v>
      </c>
      <c r="N89" s="279">
        <f t="shared" ref="N89" si="137">(N98+N101)/(N113+N116)</f>
        <v>19.775510204081634</v>
      </c>
      <c r="O89" s="281"/>
      <c r="Q89" s="279">
        <f t="shared" ref="Q89:T91" si="138">(Q98+Q101)/(Q113+Q116)</f>
        <v>25.198302687411598</v>
      </c>
      <c r="R89" s="279">
        <f t="shared" si="138"/>
        <v>25.474680022259321</v>
      </c>
      <c r="S89" s="279">
        <f t="shared" si="138"/>
        <v>25.108695652173914</v>
      </c>
      <c r="T89" s="279">
        <f t="shared" si="138"/>
        <v>24.836734693877553</v>
      </c>
      <c r="V89" s="279">
        <f t="shared" ref="V89:W91" si="139">(V98+V101)/(V113+V116)</f>
        <v>23.631578947368421</v>
      </c>
      <c r="W89" s="279">
        <f t="shared" si="139"/>
        <v>24.054054054054053</v>
      </c>
      <c r="Y89" s="279">
        <f t="shared" ref="Y89:Z91" si="140">(Y98+Y101)/(Y113+Y116)</f>
        <v>22.428571428571427</v>
      </c>
      <c r="Z89" s="279">
        <f t="shared" si="140"/>
        <v>21.535714285714285</v>
      </c>
      <c r="AB89" s="279">
        <f t="shared" ref="AB89:AC91" si="141">(AB98+AB101)/(AB113+AB116)</f>
        <v>26.163265306122447</v>
      </c>
      <c r="AC89" s="279">
        <f t="shared" si="141"/>
        <v>25.916666666666668</v>
      </c>
      <c r="AE89" s="279">
        <f t="shared" ref="AE89:AF91" si="142">(AE98+AE101)/(AE113+AE116)</f>
        <v>24.24</v>
      </c>
      <c r="AF89" s="279">
        <f t="shared" si="142"/>
        <v>22.314814814814813</v>
      </c>
      <c r="AH89" s="279">
        <f t="shared" ref="AH89:AI91" si="143">(AH98+AH101)/(AH113+AH116)</f>
        <v>20.01923076923077</v>
      </c>
      <c r="AI89" s="279">
        <f t="shared" si="143"/>
        <v>20.244897959183675</v>
      </c>
      <c r="AK89" s="279">
        <f t="shared" ref="AK89:AL91" si="144">(AK98+AK101)/(AK113+AK116)</f>
        <v>23.055045871559631</v>
      </c>
      <c r="AL89" s="279">
        <f t="shared" si="144"/>
        <v>24.271028037383179</v>
      </c>
      <c r="AN89" s="279">
        <f t="shared" ref="AN89:AO91" si="145">(AN98+AN101)/(AN113+AN116)</f>
        <v>23.199095022624434</v>
      </c>
      <c r="AO89" s="279">
        <f t="shared" si="145"/>
        <v>23.628959276018101</v>
      </c>
      <c r="AQ89" s="279" t="e">
        <f t="shared" ref="AQ89:AR91" si="146">(AQ98+AQ101)/(AQ113+AQ116)</f>
        <v>#DIV/0!</v>
      </c>
      <c r="AR89" s="279" t="e">
        <f t="shared" si="146"/>
        <v>#DIV/0!</v>
      </c>
      <c r="AT89" s="279">
        <f t="shared" ref="AT89:AU91" si="147">(AT98+AT101)/(AT113+AT116)</f>
        <v>27.863829787234042</v>
      </c>
      <c r="AU89" s="279">
        <f t="shared" si="147"/>
        <v>27.732510288065843</v>
      </c>
      <c r="AW89" s="279">
        <f t="shared" ref="AW89:AX91" si="148">(AW98+AW101)/(AW113+AW116)</f>
        <v>22.317307692307693</v>
      </c>
      <c r="AX89" s="279">
        <f t="shared" si="148"/>
        <v>22.922330097087379</v>
      </c>
      <c r="AZ89" s="279">
        <f t="shared" ref="AZ89:BA91" si="149">(AZ98+AZ101)/(AZ113+AZ116)</f>
        <v>25.032520325203251</v>
      </c>
      <c r="BA89" s="279">
        <f t="shared" si="149"/>
        <v>25.233333333333334</v>
      </c>
      <c r="BC89" s="279">
        <f t="shared" ref="BC89:BD91" si="150">(BC98+BC101)/(BC113+BC116)</f>
        <v>25.949612403100776</v>
      </c>
      <c r="BD89" s="279">
        <f t="shared" si="150"/>
        <v>25.865384615384617</v>
      </c>
      <c r="BF89" s="279">
        <f t="shared" ref="BF89:BG91" si="151">(BF98+BF101)/(BF113+BF116)</f>
        <v>26.604609929078013</v>
      </c>
      <c r="BG89" s="279">
        <f t="shared" si="151"/>
        <v>27.022491349480969</v>
      </c>
      <c r="BI89" s="279">
        <f t="shared" ref="BI89:BJ91" si="152">(BI98+BI101)/(BI113+BI116)</f>
        <v>26.047565118912797</v>
      </c>
      <c r="BJ89" s="279">
        <f t="shared" si="152"/>
        <v>26.47717391304348</v>
      </c>
      <c r="BL89" s="279">
        <f t="shared" ref="BL89:BM91" si="153">(BL98+BL101)/(BL113+BL116)</f>
        <v>26.695652173913043</v>
      </c>
      <c r="BM89" s="279">
        <f t="shared" si="153"/>
        <v>26.074468085106382</v>
      </c>
      <c r="BO89" s="279">
        <f t="shared" ref="BO89:BP91" si="154">(BO98+BO101)/(BO113+BO116)</f>
        <v>25.758620689655171</v>
      </c>
      <c r="BP89" s="279">
        <f t="shared" si="154"/>
        <v>25.74712643678161</v>
      </c>
      <c r="BR89" s="279">
        <f t="shared" ref="BR89:BS91" si="155">(BR98+BR101)/(BR113+BR116)</f>
        <v>25.5</v>
      </c>
      <c r="BS89" s="279">
        <f t="shared" si="155"/>
        <v>25.818840579710145</v>
      </c>
      <c r="BU89" s="279">
        <f t="shared" ref="BU89:BV91" si="156">(BU98+BU101)/(BU113+BU116)</f>
        <v>26.738461538461539</v>
      </c>
      <c r="BV89" s="279">
        <f t="shared" si="156"/>
        <v>26.664122137404579</v>
      </c>
      <c r="BX89" s="279">
        <f t="shared" ref="BX89:BY91" si="157">(BX98+BX101)/(BX113+BX116)</f>
        <v>24.45</v>
      </c>
      <c r="BY89" s="279">
        <f t="shared" si="157"/>
        <v>24.774999999999999</v>
      </c>
      <c r="CA89" s="279">
        <f t="shared" ref="CA89:CB91" si="158">(CA98+CA101)/(CA113+CA116)</f>
        <v>26.484210526315788</v>
      </c>
      <c r="CB89" s="279">
        <f t="shared" si="158"/>
        <v>27.063157894736843</v>
      </c>
      <c r="CD89" s="279">
        <f t="shared" ref="CD89:CE91" si="159">(CD98+CD101)/(CD113+CD116)</f>
        <v>23.65625</v>
      </c>
      <c r="CE89" s="279">
        <f t="shared" si="159"/>
        <v>24.252631578947369</v>
      </c>
      <c r="CG89" s="279">
        <f t="shared" ref="CG89:CH91" si="160">(CG98+CG101)/(CG113+CG116)</f>
        <v>7.406779661016949</v>
      </c>
      <c r="CH89" s="279">
        <f t="shared" si="160"/>
        <v>6.9464285714285712</v>
      </c>
      <c r="CJ89" s="279">
        <f t="shared" ref="CJ89:CK91" si="161">(CJ98+CJ101)/(CJ113+CJ116)</f>
        <v>8.4166666666666661</v>
      </c>
      <c r="CK89" s="279">
        <f t="shared" si="161"/>
        <v>11.538461538461538</v>
      </c>
    </row>
    <row r="90" spans="1:89" x14ac:dyDescent="0.25">
      <c r="A90" s="95"/>
      <c r="B90" s="96" t="s">
        <v>1652</v>
      </c>
      <c r="C90" s="16"/>
      <c r="D90" s="95" t="s">
        <v>950</v>
      </c>
      <c r="E90" s="291"/>
      <c r="F90" s="291"/>
      <c r="G90" s="291"/>
      <c r="H90" s="291"/>
      <c r="I90" s="279">
        <f t="shared" si="135"/>
        <v>24.190125477359519</v>
      </c>
      <c r="J90" s="279">
        <f t="shared" si="135"/>
        <v>24.260042849491164</v>
      </c>
      <c r="K90" s="279">
        <f t="shared" si="136"/>
        <v>24.520073956682513</v>
      </c>
      <c r="L90" s="279">
        <f t="shared" si="136"/>
        <v>20.716666666666665</v>
      </c>
      <c r="M90" s="279">
        <f t="shared" si="136"/>
        <v>20.508196721311474</v>
      </c>
      <c r="N90" s="279">
        <f t="shared" ref="N90" si="162">(N99+N102)/(N114+N117)</f>
        <v>20.483870967741936</v>
      </c>
      <c r="O90" s="281"/>
      <c r="Q90" s="279">
        <f t="shared" si="138"/>
        <v>24.520073956682513</v>
      </c>
      <c r="R90" s="279">
        <f t="shared" si="138"/>
        <v>24.689842336521064</v>
      </c>
      <c r="S90" s="279">
        <f t="shared" si="138"/>
        <v>24.384615384615383</v>
      </c>
      <c r="T90" s="279">
        <f t="shared" si="138"/>
        <v>23.745454545454546</v>
      </c>
      <c r="V90" s="279">
        <f t="shared" si="139"/>
        <v>22.042553191489361</v>
      </c>
      <c r="W90" s="279">
        <f t="shared" si="139"/>
        <v>21.285714285714285</v>
      </c>
      <c r="Y90" s="279">
        <f t="shared" si="140"/>
        <v>20.342857142857142</v>
      </c>
      <c r="Z90" s="279">
        <f t="shared" si="140"/>
        <v>21.588235294117649</v>
      </c>
      <c r="AB90" s="279">
        <f t="shared" si="141"/>
        <v>26.313725490196077</v>
      </c>
      <c r="AC90" s="279">
        <f t="shared" si="141"/>
        <v>25.962962962962962</v>
      </c>
      <c r="AE90" s="279">
        <f t="shared" si="142"/>
        <v>22.963636363636365</v>
      </c>
      <c r="AF90" s="279">
        <f t="shared" si="142"/>
        <v>22.377049180327869</v>
      </c>
      <c r="AH90" s="279">
        <f t="shared" si="143"/>
        <v>19.428571428571427</v>
      </c>
      <c r="AI90" s="279">
        <f t="shared" si="143"/>
        <v>20.161290322580644</v>
      </c>
      <c r="AK90" s="279">
        <f t="shared" si="144"/>
        <v>22.8503937007874</v>
      </c>
      <c r="AL90" s="279">
        <f t="shared" si="144"/>
        <v>22.811023622047244</v>
      </c>
      <c r="AN90" s="279">
        <f t="shared" si="145"/>
        <v>22.92050209205021</v>
      </c>
      <c r="AO90" s="279">
        <f t="shared" si="145"/>
        <v>23.02510460251046</v>
      </c>
      <c r="AQ90" s="279" t="e">
        <f t="shared" si="146"/>
        <v>#DIV/0!</v>
      </c>
      <c r="AR90" s="279" t="e">
        <f t="shared" si="146"/>
        <v>#DIV/0!</v>
      </c>
      <c r="AT90" s="279">
        <f t="shared" si="147"/>
        <v>26.808695652173913</v>
      </c>
      <c r="AU90" s="279">
        <f t="shared" si="147"/>
        <v>27.05857740585774</v>
      </c>
      <c r="AW90" s="279">
        <f t="shared" si="148"/>
        <v>22.925233644859812</v>
      </c>
      <c r="AX90" s="279">
        <f t="shared" si="148"/>
        <v>23.100917431192659</v>
      </c>
      <c r="AZ90" s="279">
        <f t="shared" si="149"/>
        <v>24.020547945205479</v>
      </c>
      <c r="BA90" s="279">
        <f t="shared" si="149"/>
        <v>23.952702702702702</v>
      </c>
      <c r="BC90" s="279">
        <f t="shared" si="150"/>
        <v>25.74</v>
      </c>
      <c r="BD90" s="279">
        <f t="shared" si="150"/>
        <v>26.069230769230771</v>
      </c>
      <c r="BF90" s="279">
        <f t="shared" si="151"/>
        <v>26.036065573770493</v>
      </c>
      <c r="BG90" s="279">
        <f t="shared" si="151"/>
        <v>25.853503184713375</v>
      </c>
      <c r="BI90" s="279">
        <f t="shared" si="152"/>
        <v>25.495060373216244</v>
      </c>
      <c r="BJ90" s="279">
        <f t="shared" si="152"/>
        <v>25.928034371643395</v>
      </c>
      <c r="BL90" s="279">
        <f t="shared" si="153"/>
        <v>23.1875</v>
      </c>
      <c r="BM90" s="279">
        <f t="shared" si="153"/>
        <v>22.920353982300885</v>
      </c>
      <c r="BO90" s="279">
        <f t="shared" si="154"/>
        <v>24.240384615384617</v>
      </c>
      <c r="BP90" s="279">
        <f t="shared" si="154"/>
        <v>23.907407407407408</v>
      </c>
      <c r="BR90" s="279">
        <f t="shared" si="155"/>
        <v>25.36986301369863</v>
      </c>
      <c r="BS90" s="279">
        <f t="shared" si="155"/>
        <v>25.625850340136054</v>
      </c>
      <c r="BU90" s="279">
        <f t="shared" si="156"/>
        <v>24.924137931034483</v>
      </c>
      <c r="BV90" s="279">
        <f t="shared" si="156"/>
        <v>25.825174825174827</v>
      </c>
      <c r="BX90" s="279">
        <f t="shared" si="157"/>
        <v>24.524999999999999</v>
      </c>
      <c r="BY90" s="279">
        <f t="shared" si="157"/>
        <v>24.162790697674417</v>
      </c>
      <c r="CA90" s="279">
        <f t="shared" si="158"/>
        <v>24.672897196261683</v>
      </c>
      <c r="CB90" s="279">
        <f t="shared" si="158"/>
        <v>25.44859813084112</v>
      </c>
      <c r="CD90" s="279">
        <f t="shared" si="159"/>
        <v>23.481481481481481</v>
      </c>
      <c r="CE90" s="279">
        <f t="shared" si="159"/>
        <v>23.142857142857142</v>
      </c>
      <c r="CG90" s="279">
        <f t="shared" si="160"/>
        <v>5.1842105263157894</v>
      </c>
      <c r="CH90" s="279">
        <f t="shared" si="160"/>
        <v>5.1621621621621623</v>
      </c>
      <c r="CJ90" s="279">
        <f t="shared" si="161"/>
        <v>15.607142857142858</v>
      </c>
      <c r="CK90" s="279">
        <f t="shared" si="161"/>
        <v>14.862068965517242</v>
      </c>
    </row>
    <row r="91" spans="1:89" x14ac:dyDescent="0.25">
      <c r="A91" s="95"/>
      <c r="B91" s="96" t="s">
        <v>1653</v>
      </c>
      <c r="C91" s="16"/>
      <c r="D91" s="95" t="s">
        <v>950</v>
      </c>
      <c r="E91" s="291"/>
      <c r="F91" s="291"/>
      <c r="G91" s="291"/>
      <c r="H91" s="291"/>
      <c r="I91" s="279">
        <f t="shared" si="135"/>
        <v>22.655214723926381</v>
      </c>
      <c r="J91" s="279">
        <f t="shared" si="135"/>
        <v>23.214201183431953</v>
      </c>
      <c r="K91" s="279">
        <f t="shared" si="136"/>
        <v>23.277272727272727</v>
      </c>
      <c r="L91" s="279">
        <f t="shared" si="136"/>
        <v>18.615384615384617</v>
      </c>
      <c r="M91" s="279">
        <f t="shared" si="136"/>
        <v>17.642857142857142</v>
      </c>
      <c r="N91" s="279">
        <f t="shared" ref="N91" si="163">(N100+N103)/(N115+N118)</f>
        <v>15.533333333333333</v>
      </c>
      <c r="O91" s="281"/>
      <c r="Q91" s="279">
        <f t="shared" si="138"/>
        <v>23.277272727272727</v>
      </c>
      <c r="R91" s="279">
        <f t="shared" si="138"/>
        <v>23.19031141868512</v>
      </c>
      <c r="S91" s="279">
        <f t="shared" si="138"/>
        <v>20</v>
      </c>
      <c r="T91" s="279">
        <f t="shared" si="138"/>
        <v>17.933333333333334</v>
      </c>
      <c r="V91" s="279">
        <f t="shared" si="139"/>
        <v>18.333333333333332</v>
      </c>
      <c r="W91" s="279">
        <f t="shared" si="139"/>
        <v>17.363636363636363</v>
      </c>
      <c r="Y91" s="279">
        <f t="shared" si="140"/>
        <v>18.666666666666668</v>
      </c>
      <c r="Z91" s="279">
        <f t="shared" si="140"/>
        <v>18.214285714285715</v>
      </c>
      <c r="AB91" s="279">
        <f t="shared" si="141"/>
        <v>22</v>
      </c>
      <c r="AC91" s="279">
        <f t="shared" si="141"/>
        <v>22.46153846153846</v>
      </c>
      <c r="AE91" s="279">
        <f t="shared" si="142"/>
        <v>14.541666666666666</v>
      </c>
      <c r="AF91" s="279">
        <f t="shared" si="142"/>
        <v>12.791666666666666</v>
      </c>
      <c r="AH91" s="279">
        <f t="shared" si="143"/>
        <v>14.875</v>
      </c>
      <c r="AI91" s="279">
        <f t="shared" si="143"/>
        <v>16.2</v>
      </c>
      <c r="AK91" s="279">
        <f t="shared" si="144"/>
        <v>17.375</v>
      </c>
      <c r="AL91" s="279">
        <f t="shared" si="144"/>
        <v>16.818181818181817</v>
      </c>
      <c r="AN91" s="279">
        <f t="shared" si="145"/>
        <v>22.672727272727272</v>
      </c>
      <c r="AO91" s="279">
        <f t="shared" si="145"/>
        <v>22.415094339622641</v>
      </c>
      <c r="AQ91" s="279" t="e">
        <f t="shared" si="146"/>
        <v>#DIV/0!</v>
      </c>
      <c r="AR91" s="279" t="e">
        <f t="shared" si="146"/>
        <v>#DIV/0!</v>
      </c>
      <c r="AT91" s="279">
        <f t="shared" si="147"/>
        <v>24.944444444444443</v>
      </c>
      <c r="AU91" s="279">
        <f t="shared" si="147"/>
        <v>26.82</v>
      </c>
      <c r="AW91" s="279">
        <f t="shared" si="148"/>
        <v>23.095238095238095</v>
      </c>
      <c r="AX91" s="279">
        <f t="shared" si="148"/>
        <v>22.285714285714285</v>
      </c>
      <c r="AZ91" s="279">
        <f t="shared" si="149"/>
        <v>24.620689655172413</v>
      </c>
      <c r="BA91" s="279">
        <f t="shared" si="149"/>
        <v>24.035714285714285</v>
      </c>
      <c r="BC91" s="279">
        <f t="shared" si="150"/>
        <v>24.701754385964911</v>
      </c>
      <c r="BD91" s="279">
        <f t="shared" si="150"/>
        <v>23.836363636363636</v>
      </c>
      <c r="BF91" s="279">
        <f t="shared" si="151"/>
        <v>25.368421052631579</v>
      </c>
      <c r="BG91" s="279">
        <f t="shared" si="151"/>
        <v>25.089552238805972</v>
      </c>
      <c r="BI91" s="279">
        <f t="shared" si="152"/>
        <v>24.887323943661972</v>
      </c>
      <c r="BJ91" s="279">
        <f t="shared" si="152"/>
        <v>25.177570093457945</v>
      </c>
      <c r="BL91" s="279">
        <f t="shared" si="153"/>
        <v>24.521739130434781</v>
      </c>
      <c r="BM91" s="279">
        <f t="shared" si="153"/>
        <v>23.869565217391305</v>
      </c>
      <c r="BO91" s="279">
        <f t="shared" si="154"/>
        <v>24.857142857142858</v>
      </c>
      <c r="BP91" s="279">
        <f t="shared" si="154"/>
        <v>24.85</v>
      </c>
      <c r="BR91" s="279">
        <f t="shared" si="155"/>
        <v>24.970588235294116</v>
      </c>
      <c r="BS91" s="279">
        <f t="shared" si="155"/>
        <v>25.129032258064516</v>
      </c>
      <c r="BU91" s="279">
        <f t="shared" si="156"/>
        <v>23.837837837837839</v>
      </c>
      <c r="BV91" s="279">
        <f t="shared" si="156"/>
        <v>24.111111111111111</v>
      </c>
      <c r="BX91" s="279">
        <f t="shared" si="157"/>
        <v>21.625</v>
      </c>
      <c r="BY91" s="279">
        <f t="shared" si="157"/>
        <v>21</v>
      </c>
      <c r="CA91" s="279">
        <f t="shared" si="158"/>
        <v>21.307692307692307</v>
      </c>
      <c r="CB91" s="279">
        <f t="shared" si="158"/>
        <v>22.541666666666668</v>
      </c>
      <c r="CD91" s="279">
        <f t="shared" si="159"/>
        <v>22.863636363636363</v>
      </c>
      <c r="CE91" s="279">
        <f t="shared" si="159"/>
        <v>22.608695652173914</v>
      </c>
      <c r="CG91" s="279">
        <f t="shared" si="160"/>
        <v>15.789473684210526</v>
      </c>
      <c r="CH91" s="279">
        <f t="shared" si="160"/>
        <v>14.823529411764707</v>
      </c>
      <c r="CJ91" s="279">
        <f t="shared" si="161"/>
        <v>23</v>
      </c>
      <c r="CK91" s="279">
        <f t="shared" si="161"/>
        <v>17.8</v>
      </c>
    </row>
    <row r="92" spans="1:89" x14ac:dyDescent="0.25">
      <c r="A92" s="95"/>
      <c r="B92" s="96" t="s">
        <v>1185</v>
      </c>
      <c r="C92" s="16"/>
      <c r="D92" s="95"/>
      <c r="E92" s="291"/>
      <c r="F92" s="291"/>
      <c r="G92" s="291"/>
      <c r="H92" s="291"/>
      <c r="I92" s="279"/>
      <c r="J92" s="279"/>
      <c r="K92" s="279"/>
      <c r="L92" s="279"/>
      <c r="M92" s="279"/>
      <c r="N92" s="279"/>
      <c r="O92" s="281"/>
      <c r="Q92" s="279"/>
      <c r="R92" s="279"/>
      <c r="S92" s="279"/>
      <c r="T92" s="279"/>
      <c r="V92" s="279"/>
      <c r="W92" s="279"/>
      <c r="Y92" s="279"/>
      <c r="Z92" s="279"/>
      <c r="AB92" s="279"/>
      <c r="AC92" s="279"/>
      <c r="AE92" s="279"/>
      <c r="AF92" s="279"/>
      <c r="AH92" s="279"/>
      <c r="AI92" s="279"/>
      <c r="AK92" s="279"/>
      <c r="AL92" s="279"/>
      <c r="AN92" s="279"/>
      <c r="AO92" s="279"/>
      <c r="AQ92" s="279"/>
      <c r="AR92" s="279"/>
      <c r="AT92" s="279"/>
      <c r="AU92" s="279"/>
      <c r="AW92" s="279"/>
      <c r="AX92" s="279"/>
      <c r="AZ92" s="279"/>
      <c r="BA92" s="279"/>
      <c r="BC92" s="279"/>
      <c r="BD92" s="279"/>
      <c r="BF92" s="279"/>
      <c r="BG92" s="279"/>
      <c r="BI92" s="279"/>
      <c r="BJ92" s="279"/>
      <c r="BL92" s="279"/>
      <c r="BM92" s="279"/>
      <c r="BO92" s="279"/>
      <c r="BP92" s="279"/>
      <c r="BR92" s="279"/>
      <c r="BS92" s="279"/>
      <c r="BU92" s="279"/>
      <c r="BV92" s="279"/>
      <c r="BX92" s="279"/>
      <c r="BY92" s="279"/>
      <c r="CA92" s="279"/>
      <c r="CB92" s="279"/>
      <c r="CD92" s="279"/>
      <c r="CE92" s="279"/>
      <c r="CG92" s="279"/>
      <c r="CH92" s="279"/>
      <c r="CJ92" s="279"/>
      <c r="CK92" s="279"/>
    </row>
    <row r="93" spans="1:89" x14ac:dyDescent="0.25">
      <c r="A93" s="95"/>
      <c r="B93" s="96" t="s">
        <v>1651</v>
      </c>
      <c r="C93" s="16"/>
      <c r="D93" s="95" t="s">
        <v>950</v>
      </c>
      <c r="E93" s="291"/>
      <c r="F93" s="291"/>
      <c r="G93" s="291"/>
      <c r="H93" s="291"/>
      <c r="I93" s="279">
        <f t="shared" ref="I93:J95" si="164">(I105+I108)/(I120+I123)</f>
        <v>13.551210428305401</v>
      </c>
      <c r="J93" s="279">
        <f t="shared" si="164"/>
        <v>13.565055762081784</v>
      </c>
      <c r="K93" s="279">
        <f t="shared" ref="K93:M95" si="165">(K105+K108)/(K120+K123)</f>
        <v>13.621013133208255</v>
      </c>
      <c r="L93" s="279">
        <f t="shared" si="165"/>
        <v>10.671232876712329</v>
      </c>
      <c r="M93" s="279">
        <f t="shared" si="165"/>
        <v>10.535211267605634</v>
      </c>
      <c r="N93" s="279">
        <f t="shared" ref="N93" si="166">(N105+N108)/(N120+N123)</f>
        <v>10.485294117647058</v>
      </c>
      <c r="O93" s="281"/>
      <c r="Q93" s="279">
        <f t="shared" ref="Q93:T95" si="167">(Q105+Q108)/(Q120+Q123)</f>
        <v>13.621013133208255</v>
      </c>
      <c r="R93" s="279">
        <f t="shared" si="167"/>
        <v>13.595864661654135</v>
      </c>
      <c r="S93" s="279">
        <f t="shared" si="167"/>
        <v>16.333333333333332</v>
      </c>
      <c r="T93" s="279">
        <f t="shared" si="167"/>
        <v>15.941176470588236</v>
      </c>
      <c r="V93" s="279">
        <f t="shared" ref="V93:W95" si="168">(V105+V108)/(V120+V123)</f>
        <v>10.944444444444445</v>
      </c>
      <c r="W93" s="279">
        <f t="shared" si="168"/>
        <v>11.103448275862069</v>
      </c>
      <c r="Y93" s="279">
        <f t="shared" ref="Y93:Z95" si="169">(Y105+Y108)/(Y120+Y123)</f>
        <v>13.041666666666666</v>
      </c>
      <c r="Z93" s="279">
        <f t="shared" si="169"/>
        <v>12.595744680851064</v>
      </c>
      <c r="AB93" s="279">
        <f t="shared" ref="AB93:AC95" si="170">(AB105+AB108)/(AB120+AB123)</f>
        <v>14.612903225806452</v>
      </c>
      <c r="AC93" s="279">
        <f t="shared" si="170"/>
        <v>14.112903225806452</v>
      </c>
      <c r="AE93" s="279">
        <f t="shared" ref="AE93:AF95" si="171">(AE105+AE108)/(AE120+AE123)</f>
        <v>8.7272727272727266</v>
      </c>
      <c r="AF93" s="279">
        <f t="shared" si="171"/>
        <v>9.1794871794871788</v>
      </c>
      <c r="AH93" s="279">
        <f t="shared" ref="AH93:AI95" si="172">(AH105+AH108)/(AH120+AH123)</f>
        <v>10.621621621621621</v>
      </c>
      <c r="AI93" s="279">
        <f t="shared" si="172"/>
        <v>10.739726027397261</v>
      </c>
      <c r="AK93" s="279">
        <f t="shared" ref="AK93:AL95" si="173">(AK105+AK108)/(AK120+AK123)</f>
        <v>24.8</v>
      </c>
      <c r="AL93" s="279">
        <f t="shared" si="173"/>
        <v>24</v>
      </c>
      <c r="AN93" s="279">
        <f t="shared" ref="AN93:AO95" si="174">(AN105+AN108)/(AN120+AN123)</f>
        <v>21.196428571428573</v>
      </c>
      <c r="AO93" s="279">
        <f t="shared" si="174"/>
        <v>21.292035398230087</v>
      </c>
      <c r="AQ93" s="279">
        <f t="shared" ref="AQ93:AR95" si="175">(AQ105+AQ108)/(AQ120+AQ123)</f>
        <v>9.2079207920792072</v>
      </c>
      <c r="AR93" s="279">
        <f t="shared" si="175"/>
        <v>9.0297029702970288</v>
      </c>
      <c r="AT93" s="279" t="e">
        <f t="shared" ref="AT93:AU95" si="176">(AT105+AT108)/(AT120+AT123)</f>
        <v>#DIV/0!</v>
      </c>
      <c r="AU93" s="279" t="e">
        <f t="shared" si="176"/>
        <v>#DIV/0!</v>
      </c>
      <c r="AW93" s="279" t="e">
        <f t="shared" ref="AW93:AX95" si="177">(AW105+AW108)/(AW120+AW123)</f>
        <v>#DIV/0!</v>
      </c>
      <c r="AX93" s="279" t="e">
        <f t="shared" si="177"/>
        <v>#DIV/0!</v>
      </c>
      <c r="AZ93" s="279" t="e">
        <f t="shared" ref="AZ93:BA95" si="178">(AZ105+AZ108)/(AZ120+AZ123)</f>
        <v>#DIV/0!</v>
      </c>
      <c r="BA93" s="279" t="e">
        <f t="shared" si="178"/>
        <v>#DIV/0!</v>
      </c>
      <c r="BC93" s="279" t="e">
        <f t="shared" ref="BC93:BD95" si="179">(BC105+BC108)/(BC120+BC123)</f>
        <v>#DIV/0!</v>
      </c>
      <c r="BD93" s="279" t="e">
        <f t="shared" si="179"/>
        <v>#DIV/0!</v>
      </c>
      <c r="BF93" s="279" t="e">
        <f t="shared" ref="BF93:BG95" si="180">(BF105+BF108)/(BF120+BF123)</f>
        <v>#DIV/0!</v>
      </c>
      <c r="BG93" s="279" t="e">
        <f t="shared" si="180"/>
        <v>#DIV/0!</v>
      </c>
      <c r="BI93" s="279" t="e">
        <f t="shared" ref="BI93:BJ95" si="181">(BI105+BI108)/(BI120+BI123)</f>
        <v>#DIV/0!</v>
      </c>
      <c r="BJ93" s="279" t="e">
        <f t="shared" si="181"/>
        <v>#DIV/0!</v>
      </c>
      <c r="BL93" s="279" t="e">
        <f t="shared" ref="BL93:BM95" si="182">(BL105+BL108)/(BL120+BL123)</f>
        <v>#DIV/0!</v>
      </c>
      <c r="BM93" s="279" t="e">
        <f t="shared" si="182"/>
        <v>#DIV/0!</v>
      </c>
      <c r="BO93" s="279" t="e">
        <f t="shared" ref="BO93:BP95" si="183">(BO105+BO108)/(BO120+BO123)</f>
        <v>#DIV/0!</v>
      </c>
      <c r="BP93" s="279" t="e">
        <f t="shared" si="183"/>
        <v>#DIV/0!</v>
      </c>
      <c r="BR93" s="279" t="e">
        <f t="shared" ref="BR93:BS95" si="184">(BR105+BR108)/(BR120+BR123)</f>
        <v>#DIV/0!</v>
      </c>
      <c r="BS93" s="279" t="e">
        <f t="shared" si="184"/>
        <v>#DIV/0!</v>
      </c>
      <c r="BU93" s="279" t="e">
        <f t="shared" ref="BU93:BV95" si="185">(BU105+BU108)/(BU120+BU123)</f>
        <v>#DIV/0!</v>
      </c>
      <c r="BV93" s="279" t="e">
        <f t="shared" si="185"/>
        <v>#DIV/0!</v>
      </c>
      <c r="BX93" s="279" t="e">
        <f t="shared" ref="BX93:BY95" si="186">(BX105+BX108)/(BX120+BX123)</f>
        <v>#DIV/0!</v>
      </c>
      <c r="BY93" s="279" t="e">
        <f t="shared" si="186"/>
        <v>#DIV/0!</v>
      </c>
      <c r="CA93" s="279" t="e">
        <f t="shared" ref="CA93:CB95" si="187">(CA105+CA108)/(CA120+CA123)</f>
        <v>#DIV/0!</v>
      </c>
      <c r="CB93" s="279" t="e">
        <f t="shared" si="187"/>
        <v>#DIV/0!</v>
      </c>
      <c r="CD93" s="279" t="e">
        <f t="shared" ref="CD93:CE95" si="188">(CD105+CD108)/(CD120+CD123)</f>
        <v>#DIV/0!</v>
      </c>
      <c r="CE93" s="279" t="e">
        <f t="shared" si="188"/>
        <v>#DIV/0!</v>
      </c>
      <c r="CG93" s="279" t="e">
        <f t="shared" ref="CG93:CH95" si="189">(CG105+CG108)/(CG120+CG123)</f>
        <v>#DIV/0!</v>
      </c>
      <c r="CH93" s="279" t="e">
        <f t="shared" si="189"/>
        <v>#DIV/0!</v>
      </c>
      <c r="CJ93" s="279" t="e">
        <f t="shared" ref="CJ93:CK95" si="190">(CJ105+CJ108)/(CJ120+CJ123)</f>
        <v>#DIV/0!</v>
      </c>
      <c r="CK93" s="279" t="e">
        <f t="shared" si="190"/>
        <v>#DIV/0!</v>
      </c>
    </row>
    <row r="94" spans="1:89" x14ac:dyDescent="0.25">
      <c r="A94" s="95"/>
      <c r="B94" s="96" t="s">
        <v>1652</v>
      </c>
      <c r="C94" s="16"/>
      <c r="D94" s="95" t="s">
        <v>950</v>
      </c>
      <c r="E94" s="291"/>
      <c r="F94" s="291"/>
      <c r="G94" s="291"/>
      <c r="H94" s="291"/>
      <c r="I94" s="279">
        <f t="shared" si="164"/>
        <v>13.31139646869984</v>
      </c>
      <c r="J94" s="279">
        <f t="shared" si="164"/>
        <v>13.657894736842104</v>
      </c>
      <c r="K94" s="279">
        <f t="shared" si="165"/>
        <v>13.546191247974068</v>
      </c>
      <c r="L94" s="279">
        <f t="shared" si="165"/>
        <v>10.010204081632653</v>
      </c>
      <c r="M94" s="279">
        <f t="shared" si="165"/>
        <v>10.48421052631579</v>
      </c>
      <c r="N94" s="279">
        <f t="shared" ref="N94" si="191">(N106+N109)/(N121+N124)</f>
        <v>10.052631578947368</v>
      </c>
      <c r="O94" s="281"/>
      <c r="Q94" s="279">
        <f t="shared" si="167"/>
        <v>13.546191247974068</v>
      </c>
      <c r="R94" s="279">
        <f t="shared" si="167"/>
        <v>13.5</v>
      </c>
      <c r="S94" s="279">
        <f t="shared" si="167"/>
        <v>16.891891891891891</v>
      </c>
      <c r="T94" s="279">
        <f t="shared" si="167"/>
        <v>16.972222222222221</v>
      </c>
      <c r="V94" s="279">
        <f t="shared" si="168"/>
        <v>14.041666666666666</v>
      </c>
      <c r="W94" s="279">
        <f t="shared" si="168"/>
        <v>14.127659574468085</v>
      </c>
      <c r="Y94" s="279">
        <f t="shared" si="169"/>
        <v>11.948275862068966</v>
      </c>
      <c r="Z94" s="279">
        <f t="shared" si="169"/>
        <v>12.067796610169491</v>
      </c>
      <c r="AB94" s="279">
        <f t="shared" si="170"/>
        <v>14.712328767123287</v>
      </c>
      <c r="AC94" s="279">
        <f t="shared" si="170"/>
        <v>14.943661971830986</v>
      </c>
      <c r="AE94" s="279">
        <f t="shared" si="171"/>
        <v>8.5789473684210531</v>
      </c>
      <c r="AF94" s="279">
        <f t="shared" si="171"/>
        <v>8.5925925925925934</v>
      </c>
      <c r="AH94" s="279">
        <f t="shared" si="172"/>
        <v>10.214285714285714</v>
      </c>
      <c r="AI94" s="279">
        <f t="shared" si="172"/>
        <v>9.9090909090909083</v>
      </c>
      <c r="AK94" s="279">
        <f t="shared" si="173"/>
        <v>23.666666666666668</v>
      </c>
      <c r="AL94" s="279">
        <f t="shared" si="173"/>
        <v>24.166666666666668</v>
      </c>
      <c r="AN94" s="279">
        <f t="shared" si="174"/>
        <v>21.478991596638654</v>
      </c>
      <c r="AO94" s="279">
        <f t="shared" si="174"/>
        <v>21.705882352941178</v>
      </c>
      <c r="AQ94" s="279">
        <f t="shared" si="175"/>
        <v>8.8632478632478637</v>
      </c>
      <c r="AR94" s="279">
        <f t="shared" si="175"/>
        <v>8.5609756097560972</v>
      </c>
      <c r="AT94" s="279" t="e">
        <f t="shared" si="176"/>
        <v>#DIV/0!</v>
      </c>
      <c r="AU94" s="279" t="e">
        <f t="shared" si="176"/>
        <v>#DIV/0!</v>
      </c>
      <c r="AW94" s="279" t="e">
        <f t="shared" si="177"/>
        <v>#DIV/0!</v>
      </c>
      <c r="AX94" s="279" t="e">
        <f t="shared" si="177"/>
        <v>#DIV/0!</v>
      </c>
      <c r="AZ94" s="279" t="e">
        <f t="shared" si="178"/>
        <v>#DIV/0!</v>
      </c>
      <c r="BA94" s="279" t="e">
        <f t="shared" si="178"/>
        <v>#DIV/0!</v>
      </c>
      <c r="BC94" s="279" t="e">
        <f t="shared" si="179"/>
        <v>#DIV/0!</v>
      </c>
      <c r="BD94" s="279" t="e">
        <f t="shared" si="179"/>
        <v>#DIV/0!</v>
      </c>
      <c r="BF94" s="279" t="e">
        <f t="shared" si="180"/>
        <v>#DIV/0!</v>
      </c>
      <c r="BG94" s="279" t="e">
        <f t="shared" si="180"/>
        <v>#DIV/0!</v>
      </c>
      <c r="BI94" s="279" t="e">
        <f t="shared" si="181"/>
        <v>#DIV/0!</v>
      </c>
      <c r="BJ94" s="279" t="e">
        <f t="shared" si="181"/>
        <v>#DIV/0!</v>
      </c>
      <c r="BL94" s="279" t="e">
        <f t="shared" si="182"/>
        <v>#DIV/0!</v>
      </c>
      <c r="BM94" s="279" t="e">
        <f t="shared" si="182"/>
        <v>#DIV/0!</v>
      </c>
      <c r="BO94" s="279" t="e">
        <f t="shared" si="183"/>
        <v>#DIV/0!</v>
      </c>
      <c r="BP94" s="279" t="e">
        <f t="shared" si="183"/>
        <v>#DIV/0!</v>
      </c>
      <c r="BR94" s="279" t="e">
        <f t="shared" si="184"/>
        <v>#DIV/0!</v>
      </c>
      <c r="BS94" s="279" t="e">
        <f t="shared" si="184"/>
        <v>#DIV/0!</v>
      </c>
      <c r="BU94" s="279" t="e">
        <f t="shared" si="185"/>
        <v>#DIV/0!</v>
      </c>
      <c r="BV94" s="279" t="e">
        <f t="shared" si="185"/>
        <v>#DIV/0!</v>
      </c>
      <c r="BX94" s="279" t="e">
        <f t="shared" si="186"/>
        <v>#DIV/0!</v>
      </c>
      <c r="BY94" s="279" t="e">
        <f t="shared" si="186"/>
        <v>#DIV/0!</v>
      </c>
      <c r="CA94" s="279" t="e">
        <f t="shared" si="187"/>
        <v>#DIV/0!</v>
      </c>
      <c r="CB94" s="279" t="e">
        <f t="shared" si="187"/>
        <v>#DIV/0!</v>
      </c>
      <c r="CD94" s="279" t="e">
        <f t="shared" si="188"/>
        <v>#DIV/0!</v>
      </c>
      <c r="CE94" s="279" t="e">
        <f t="shared" si="188"/>
        <v>#DIV/0!</v>
      </c>
      <c r="CG94" s="279">
        <f t="shared" si="189"/>
        <v>16.75</v>
      </c>
      <c r="CH94" s="279">
        <f t="shared" si="189"/>
        <v>17.25</v>
      </c>
      <c r="CJ94" s="279" t="e">
        <f t="shared" si="190"/>
        <v>#DIV/0!</v>
      </c>
      <c r="CK94" s="279" t="e">
        <f t="shared" si="190"/>
        <v>#DIV/0!</v>
      </c>
    </row>
    <row r="95" spans="1:89" x14ac:dyDescent="0.25">
      <c r="A95" s="95"/>
      <c r="B95" s="96" t="s">
        <v>1653</v>
      </c>
      <c r="C95" s="16"/>
      <c r="D95" s="95" t="s">
        <v>950</v>
      </c>
      <c r="E95" s="291"/>
      <c r="F95" s="291"/>
      <c r="G95" s="291"/>
      <c r="H95" s="291"/>
      <c r="I95" s="279">
        <f t="shared" si="164"/>
        <v>8.2645502645502642</v>
      </c>
      <c r="J95" s="279">
        <f t="shared" si="164"/>
        <v>9.2131147540983598</v>
      </c>
      <c r="K95" s="279">
        <f t="shared" si="165"/>
        <v>8.978494623655914</v>
      </c>
      <c r="L95" s="279">
        <f t="shared" si="165"/>
        <v>8.5</v>
      </c>
      <c r="M95" s="279">
        <f t="shared" si="165"/>
        <v>8.5652173913043477</v>
      </c>
      <c r="N95" s="279">
        <f t="shared" ref="N95" si="192">(N107+N110)/(N122+N125)</f>
        <v>8.6666666666666661</v>
      </c>
      <c r="O95" s="281"/>
      <c r="Q95" s="279">
        <f t="shared" si="167"/>
        <v>8.978494623655914</v>
      </c>
      <c r="R95" s="279">
        <f t="shared" si="167"/>
        <v>8.5409836065573774</v>
      </c>
      <c r="S95" s="279">
        <f t="shared" si="167"/>
        <v>7.7692307692307692</v>
      </c>
      <c r="T95" s="279">
        <f t="shared" si="167"/>
        <v>9.0833333333333339</v>
      </c>
      <c r="V95" s="279">
        <f t="shared" si="168"/>
        <v>8.7222222222222214</v>
      </c>
      <c r="W95" s="279">
        <f t="shared" si="168"/>
        <v>8.25</v>
      </c>
      <c r="Y95" s="279">
        <f t="shared" si="169"/>
        <v>6.95</v>
      </c>
      <c r="Z95" s="279">
        <f t="shared" si="169"/>
        <v>5.55</v>
      </c>
      <c r="AB95" s="279">
        <f t="shared" si="170"/>
        <v>11.047619047619047</v>
      </c>
      <c r="AC95" s="279">
        <f t="shared" si="170"/>
        <v>10.434782608695652</v>
      </c>
      <c r="AE95" s="279">
        <f t="shared" si="171"/>
        <v>5.25</v>
      </c>
      <c r="AF95" s="279">
        <f t="shared" si="171"/>
        <v>4.3888888888888893</v>
      </c>
      <c r="AH95" s="279">
        <f t="shared" si="172"/>
        <v>7.1111111111111107</v>
      </c>
      <c r="AI95" s="279">
        <f t="shared" si="172"/>
        <v>8.1999999999999993</v>
      </c>
      <c r="AK95" s="279">
        <f t="shared" si="173"/>
        <v>12</v>
      </c>
      <c r="AL95" s="279">
        <f t="shared" si="173"/>
        <v>7.666666666666667</v>
      </c>
      <c r="AN95" s="279">
        <f t="shared" si="174"/>
        <v>17.714285714285715</v>
      </c>
      <c r="AO95" s="279">
        <f t="shared" si="174"/>
        <v>15.62962962962963</v>
      </c>
      <c r="AQ95" s="279">
        <f t="shared" si="175"/>
        <v>5.3636363636363633</v>
      </c>
      <c r="AR95" s="279">
        <f t="shared" si="175"/>
        <v>5.4</v>
      </c>
      <c r="AT95" s="279" t="e">
        <f t="shared" si="176"/>
        <v>#DIV/0!</v>
      </c>
      <c r="AU95" s="279" t="e">
        <f t="shared" si="176"/>
        <v>#DIV/0!</v>
      </c>
      <c r="AW95" s="279" t="e">
        <f t="shared" si="177"/>
        <v>#DIV/0!</v>
      </c>
      <c r="AX95" s="279" t="e">
        <f t="shared" si="177"/>
        <v>#DIV/0!</v>
      </c>
      <c r="AZ95" s="279" t="e">
        <f t="shared" si="178"/>
        <v>#DIV/0!</v>
      </c>
      <c r="BA95" s="279" t="e">
        <f t="shared" si="178"/>
        <v>#DIV/0!</v>
      </c>
      <c r="BC95" s="279" t="e">
        <f t="shared" si="179"/>
        <v>#DIV/0!</v>
      </c>
      <c r="BD95" s="279" t="e">
        <f t="shared" si="179"/>
        <v>#DIV/0!</v>
      </c>
      <c r="BF95" s="279" t="e">
        <f t="shared" si="180"/>
        <v>#DIV/0!</v>
      </c>
      <c r="BG95" s="279" t="e">
        <f t="shared" si="180"/>
        <v>#DIV/0!</v>
      </c>
      <c r="BI95" s="279" t="e">
        <f t="shared" si="181"/>
        <v>#DIV/0!</v>
      </c>
      <c r="BJ95" s="279" t="e">
        <f t="shared" si="181"/>
        <v>#DIV/0!</v>
      </c>
      <c r="BL95" s="279" t="e">
        <f t="shared" si="182"/>
        <v>#DIV/0!</v>
      </c>
      <c r="BM95" s="279" t="e">
        <f t="shared" si="182"/>
        <v>#DIV/0!</v>
      </c>
      <c r="BO95" s="279" t="e">
        <f t="shared" si="183"/>
        <v>#DIV/0!</v>
      </c>
      <c r="BP95" s="279" t="e">
        <f t="shared" si="183"/>
        <v>#DIV/0!</v>
      </c>
      <c r="BR95" s="279" t="e">
        <f t="shared" si="184"/>
        <v>#DIV/0!</v>
      </c>
      <c r="BS95" s="279" t="e">
        <f t="shared" si="184"/>
        <v>#DIV/0!</v>
      </c>
      <c r="BU95" s="279" t="e">
        <f t="shared" si="185"/>
        <v>#DIV/0!</v>
      </c>
      <c r="BV95" s="279" t="e">
        <f t="shared" si="185"/>
        <v>#DIV/0!</v>
      </c>
      <c r="BX95" s="279" t="e">
        <f t="shared" si="186"/>
        <v>#DIV/0!</v>
      </c>
      <c r="BY95" s="279" t="e">
        <f t="shared" si="186"/>
        <v>#DIV/0!</v>
      </c>
      <c r="CA95" s="279" t="e">
        <f t="shared" si="187"/>
        <v>#DIV/0!</v>
      </c>
      <c r="CB95" s="279" t="e">
        <f t="shared" si="187"/>
        <v>#DIV/0!</v>
      </c>
      <c r="CD95" s="279" t="e">
        <f t="shared" si="188"/>
        <v>#DIV/0!</v>
      </c>
      <c r="CE95" s="279" t="e">
        <f t="shared" si="188"/>
        <v>#DIV/0!</v>
      </c>
      <c r="CG95" s="279">
        <f t="shared" si="189"/>
        <v>11.75</v>
      </c>
      <c r="CH95" s="279">
        <f t="shared" si="189"/>
        <v>13.25</v>
      </c>
      <c r="CJ95" s="279" t="e">
        <f t="shared" si="190"/>
        <v>#DIV/0!</v>
      </c>
      <c r="CK95" s="279" t="e">
        <f t="shared" si="190"/>
        <v>#DIV/0!</v>
      </c>
    </row>
    <row r="96" spans="1:89" x14ac:dyDescent="0.25">
      <c r="A96" s="95"/>
      <c r="B96" s="294" t="s">
        <v>1829</v>
      </c>
      <c r="C96" s="16"/>
      <c r="D96" s="95"/>
      <c r="E96" s="291"/>
      <c r="F96" s="291"/>
      <c r="G96" s="291"/>
      <c r="H96" s="291"/>
      <c r="I96" s="291"/>
      <c r="J96" s="291"/>
      <c r="K96" s="291"/>
      <c r="L96" s="291"/>
      <c r="M96" s="291"/>
      <c r="N96" s="291"/>
      <c r="O96" s="281"/>
    </row>
    <row r="97" spans="1:89" x14ac:dyDescent="0.25">
      <c r="A97" s="95"/>
      <c r="B97" s="96" t="s">
        <v>1183</v>
      </c>
      <c r="C97" s="16"/>
      <c r="D97" s="95"/>
      <c r="E97" s="291"/>
      <c r="F97" s="291"/>
      <c r="G97" s="291"/>
      <c r="H97" s="291"/>
      <c r="I97" s="291"/>
      <c r="J97" s="291"/>
      <c r="K97" s="291"/>
      <c r="L97" s="291"/>
      <c r="M97" s="291"/>
      <c r="N97" s="291"/>
      <c r="O97" s="281"/>
    </row>
    <row r="98" spans="1:89" ht="30" x14ac:dyDescent="0.25">
      <c r="A98" s="95"/>
      <c r="B98" s="248" t="s">
        <v>1651</v>
      </c>
      <c r="C98" s="312" t="s">
        <v>2675</v>
      </c>
      <c r="D98" s="95" t="s">
        <v>950</v>
      </c>
      <c r="E98" s="291"/>
      <c r="F98" s="291"/>
      <c r="G98" s="291"/>
      <c r="H98" s="291"/>
      <c r="I98" s="282">
        <v>82075</v>
      </c>
      <c r="J98" s="282">
        <v>84981</v>
      </c>
      <c r="K98" s="282">
        <v>88063</v>
      </c>
      <c r="L98" s="282">
        <v>986</v>
      </c>
      <c r="M98" s="282">
        <v>977</v>
      </c>
      <c r="N98" s="282">
        <v>969</v>
      </c>
      <c r="O98" s="281"/>
      <c r="P98" s="295"/>
      <c r="Q98" s="316">
        <f t="shared" ref="Q98:Q103" si="193">S98+V98+Y98+AB98+AE98+AH98+AK98+AN98+AQ98+AT98+AW98+AZ98+BC98+BF98+BI98+BL98+BO98+BR98+BU98+BX98+CA98+CD98+CG98+CJ98</f>
        <v>88063</v>
      </c>
      <c r="R98" s="316">
        <f t="shared" ref="R98:R103" si="194">T98+W98+Z98+AC98+AF98+AI98+AL98+AO98+AR98+AU98+AX98+BA98+BD98+BG98+BJ98+BM98+BP98+BS98+BV98+BY98+CB98+CE98+CH98+CK98</f>
        <v>90499</v>
      </c>
      <c r="S98" s="316">
        <v>1133</v>
      </c>
      <c r="T98" s="316">
        <v>1183</v>
      </c>
      <c r="U98" s="316"/>
      <c r="V98" s="316">
        <v>898</v>
      </c>
      <c r="W98" s="316">
        <v>890</v>
      </c>
      <c r="X98" s="316"/>
      <c r="Y98" s="316">
        <v>1256</v>
      </c>
      <c r="Z98" s="316">
        <v>1206</v>
      </c>
      <c r="AA98" s="316"/>
      <c r="AB98" s="316">
        <v>1282</v>
      </c>
      <c r="AC98" s="316">
        <v>1244</v>
      </c>
      <c r="AD98" s="316"/>
      <c r="AE98" s="316">
        <v>1212</v>
      </c>
      <c r="AF98" s="316">
        <v>1205</v>
      </c>
      <c r="AG98" s="316"/>
      <c r="AH98" s="316">
        <v>1041</v>
      </c>
      <c r="AI98" s="316">
        <v>992</v>
      </c>
      <c r="AJ98" s="316"/>
      <c r="AK98" s="316">
        <v>2472</v>
      </c>
      <c r="AL98" s="316">
        <v>2552</v>
      </c>
      <c r="AM98" s="316"/>
      <c r="AN98" s="316">
        <v>5106</v>
      </c>
      <c r="AO98" s="316">
        <v>5210</v>
      </c>
      <c r="AP98" s="316"/>
      <c r="AQ98" s="316">
        <v>0</v>
      </c>
      <c r="AR98" s="316">
        <v>0</v>
      </c>
      <c r="AS98" s="316"/>
      <c r="AT98" s="316">
        <v>6473</v>
      </c>
      <c r="AU98" s="316">
        <v>6689</v>
      </c>
      <c r="AV98" s="316"/>
      <c r="AW98" s="316">
        <v>2284</v>
      </c>
      <c r="AX98" s="316">
        <v>2335</v>
      </c>
      <c r="AY98" s="316"/>
      <c r="AZ98" s="316">
        <v>3079</v>
      </c>
      <c r="BA98" s="316">
        <v>3028</v>
      </c>
      <c r="BB98" s="316"/>
      <c r="BC98" s="316">
        <v>6548</v>
      </c>
      <c r="BD98" s="316">
        <v>6590</v>
      </c>
      <c r="BE98" s="316"/>
      <c r="BF98" s="316">
        <v>14939</v>
      </c>
      <c r="BG98" s="316">
        <v>15553</v>
      </c>
      <c r="BH98" s="316"/>
      <c r="BI98" s="316">
        <v>22655</v>
      </c>
      <c r="BJ98" s="316">
        <v>23935</v>
      </c>
      <c r="BK98" s="316"/>
      <c r="BL98" s="316">
        <v>2456</v>
      </c>
      <c r="BM98" s="316">
        <v>2451</v>
      </c>
      <c r="BN98" s="316"/>
      <c r="BO98" s="316">
        <v>2241</v>
      </c>
      <c r="BP98" s="316">
        <v>2229</v>
      </c>
      <c r="BQ98" s="316"/>
      <c r="BR98" s="316">
        <v>3468</v>
      </c>
      <c r="BS98" s="316">
        <v>3563</v>
      </c>
      <c r="BT98" s="316"/>
      <c r="BU98" s="316">
        <v>3476</v>
      </c>
      <c r="BV98" s="316">
        <v>3493</v>
      </c>
      <c r="BW98" s="316"/>
      <c r="BX98" s="316">
        <v>978</v>
      </c>
      <c r="BY98" s="316">
        <v>991</v>
      </c>
      <c r="BZ98" s="316"/>
      <c r="CA98" s="316">
        <v>2506</v>
      </c>
      <c r="CB98" s="316">
        <v>2560</v>
      </c>
      <c r="CC98" s="316"/>
      <c r="CD98" s="316">
        <v>2271</v>
      </c>
      <c r="CE98" s="316">
        <v>2304</v>
      </c>
      <c r="CF98" s="316"/>
      <c r="CG98" s="316">
        <v>188</v>
      </c>
      <c r="CH98" s="316">
        <v>146</v>
      </c>
      <c r="CI98" s="316"/>
      <c r="CJ98" s="316">
        <v>101</v>
      </c>
      <c r="CK98" s="316">
        <v>150</v>
      </c>
    </row>
    <row r="99" spans="1:89" ht="30" x14ac:dyDescent="0.25">
      <c r="A99" s="95"/>
      <c r="B99" s="248" t="s">
        <v>1652</v>
      </c>
      <c r="C99" s="312" t="s">
        <v>2676</v>
      </c>
      <c r="D99" s="95" t="s">
        <v>950</v>
      </c>
      <c r="E99" s="291"/>
      <c r="F99" s="291"/>
      <c r="G99" s="291"/>
      <c r="H99" s="291"/>
      <c r="I99" s="282">
        <v>87854</v>
      </c>
      <c r="J99" s="282">
        <v>89652</v>
      </c>
      <c r="K99" s="282">
        <v>91905</v>
      </c>
      <c r="L99" s="282">
        <v>1243</v>
      </c>
      <c r="M99" s="282">
        <v>1251</v>
      </c>
      <c r="N99" s="282">
        <v>1270</v>
      </c>
      <c r="O99" s="281"/>
      <c r="P99" s="295"/>
      <c r="Q99" s="316">
        <f t="shared" si="193"/>
        <v>91905</v>
      </c>
      <c r="R99" s="316">
        <f t="shared" si="194"/>
        <v>94655</v>
      </c>
      <c r="S99" s="316">
        <v>1258</v>
      </c>
      <c r="T99" s="316">
        <v>1296</v>
      </c>
      <c r="U99" s="316"/>
      <c r="V99" s="316">
        <v>1036</v>
      </c>
      <c r="W99" s="316">
        <v>1043</v>
      </c>
      <c r="X99" s="316"/>
      <c r="Y99" s="316">
        <v>1424</v>
      </c>
      <c r="Z99" s="316">
        <v>1468</v>
      </c>
      <c r="AA99" s="316"/>
      <c r="AB99" s="316">
        <v>1342</v>
      </c>
      <c r="AC99" s="316">
        <v>1402</v>
      </c>
      <c r="AD99" s="316"/>
      <c r="AE99" s="316">
        <v>1263</v>
      </c>
      <c r="AF99" s="316">
        <v>1365</v>
      </c>
      <c r="AG99" s="316"/>
      <c r="AH99" s="316">
        <v>1224</v>
      </c>
      <c r="AI99" s="316">
        <v>1250</v>
      </c>
      <c r="AJ99" s="316"/>
      <c r="AK99" s="316">
        <v>2788</v>
      </c>
      <c r="AL99" s="316">
        <v>2788</v>
      </c>
      <c r="AM99" s="316"/>
      <c r="AN99" s="316">
        <v>5466</v>
      </c>
      <c r="AO99" s="316">
        <v>5491</v>
      </c>
      <c r="AP99" s="316"/>
      <c r="AQ99" s="316">
        <v>0</v>
      </c>
      <c r="AR99" s="316">
        <v>0</v>
      </c>
      <c r="AS99" s="316"/>
      <c r="AT99" s="316">
        <v>6070</v>
      </c>
      <c r="AU99" s="316">
        <v>6377</v>
      </c>
      <c r="AV99" s="316"/>
      <c r="AW99" s="316">
        <v>2427</v>
      </c>
      <c r="AX99" s="316">
        <v>2478</v>
      </c>
      <c r="AY99" s="316"/>
      <c r="AZ99" s="316">
        <v>3507</v>
      </c>
      <c r="BA99" s="316">
        <v>3545</v>
      </c>
      <c r="BB99" s="316"/>
      <c r="BC99" s="316">
        <v>6429</v>
      </c>
      <c r="BD99" s="316">
        <v>6769</v>
      </c>
      <c r="BE99" s="316"/>
      <c r="BF99" s="316">
        <v>15836</v>
      </c>
      <c r="BG99" s="316">
        <v>16183</v>
      </c>
      <c r="BH99" s="316"/>
      <c r="BI99" s="316">
        <v>22787</v>
      </c>
      <c r="BJ99" s="316">
        <v>23770</v>
      </c>
      <c r="BK99" s="316"/>
      <c r="BL99" s="316">
        <v>2597</v>
      </c>
      <c r="BM99" s="316">
        <v>2590</v>
      </c>
      <c r="BN99" s="316"/>
      <c r="BO99" s="316">
        <v>2513</v>
      </c>
      <c r="BP99" s="316">
        <v>2574</v>
      </c>
      <c r="BQ99" s="316"/>
      <c r="BR99" s="316">
        <v>3704</v>
      </c>
      <c r="BS99" s="316">
        <v>3767</v>
      </c>
      <c r="BT99" s="316"/>
      <c r="BU99" s="316">
        <v>3614</v>
      </c>
      <c r="BV99" s="316">
        <v>3693</v>
      </c>
      <c r="BW99" s="316"/>
      <c r="BX99" s="316">
        <v>981</v>
      </c>
      <c r="BY99" s="316">
        <v>1039</v>
      </c>
      <c r="BZ99" s="316"/>
      <c r="CA99" s="316">
        <v>2640</v>
      </c>
      <c r="CB99" s="316">
        <v>2723</v>
      </c>
      <c r="CC99" s="316"/>
      <c r="CD99" s="316">
        <v>2536</v>
      </c>
      <c r="CE99" s="316">
        <v>2592</v>
      </c>
      <c r="CF99" s="316"/>
      <c r="CG99" s="316">
        <v>26</v>
      </c>
      <c r="CH99" s="316">
        <v>21</v>
      </c>
      <c r="CI99" s="316"/>
      <c r="CJ99" s="316">
        <v>437</v>
      </c>
      <c r="CK99" s="316">
        <v>431</v>
      </c>
    </row>
    <row r="100" spans="1:89" ht="30" x14ac:dyDescent="0.25">
      <c r="A100" s="95"/>
      <c r="B100" s="248" t="s">
        <v>1653</v>
      </c>
      <c r="C100" s="312" t="s">
        <v>2677</v>
      </c>
      <c r="D100" s="95" t="s">
        <v>950</v>
      </c>
      <c r="E100" s="291"/>
      <c r="F100" s="291"/>
      <c r="G100" s="291"/>
      <c r="H100" s="291"/>
      <c r="I100" s="282">
        <v>18456</v>
      </c>
      <c r="J100" s="282">
        <v>19612</v>
      </c>
      <c r="K100" s="282">
        <v>20480</v>
      </c>
      <c r="L100" s="282">
        <v>242</v>
      </c>
      <c r="M100" s="282">
        <v>247</v>
      </c>
      <c r="N100" s="282">
        <v>233</v>
      </c>
      <c r="O100" s="281"/>
      <c r="P100" s="295"/>
      <c r="Q100" s="316">
        <f t="shared" si="193"/>
        <v>20480</v>
      </c>
      <c r="R100" s="316">
        <f t="shared" si="194"/>
        <v>20105</v>
      </c>
      <c r="S100" s="316">
        <v>240</v>
      </c>
      <c r="T100" s="316">
        <v>269</v>
      </c>
      <c r="U100" s="316"/>
      <c r="V100" s="316">
        <v>220</v>
      </c>
      <c r="W100" s="316">
        <v>191</v>
      </c>
      <c r="X100" s="316"/>
      <c r="Y100" s="316">
        <v>280</v>
      </c>
      <c r="Z100" s="316">
        <v>255</v>
      </c>
      <c r="AA100" s="316"/>
      <c r="AB100" s="316">
        <v>286</v>
      </c>
      <c r="AC100" s="316">
        <v>292</v>
      </c>
      <c r="AD100" s="316"/>
      <c r="AE100" s="316">
        <v>349</v>
      </c>
      <c r="AF100" s="316">
        <v>307</v>
      </c>
      <c r="AG100" s="316"/>
      <c r="AH100" s="316">
        <v>238</v>
      </c>
      <c r="AI100" s="316">
        <v>243</v>
      </c>
      <c r="AJ100" s="316"/>
      <c r="AK100" s="316">
        <v>556</v>
      </c>
      <c r="AL100" s="316">
        <v>555</v>
      </c>
      <c r="AM100" s="316"/>
      <c r="AN100" s="316">
        <v>1247</v>
      </c>
      <c r="AO100" s="316">
        <v>1188</v>
      </c>
      <c r="AP100" s="316"/>
      <c r="AQ100" s="316">
        <v>0</v>
      </c>
      <c r="AR100" s="316">
        <v>0</v>
      </c>
      <c r="AS100" s="316"/>
      <c r="AT100" s="316">
        <v>1347</v>
      </c>
      <c r="AU100" s="316">
        <v>1341</v>
      </c>
      <c r="AV100" s="316"/>
      <c r="AW100" s="316">
        <v>485</v>
      </c>
      <c r="AX100" s="316">
        <v>468</v>
      </c>
      <c r="AY100" s="316"/>
      <c r="AZ100" s="316">
        <v>714</v>
      </c>
      <c r="BA100" s="316">
        <v>673</v>
      </c>
      <c r="BB100" s="316"/>
      <c r="BC100" s="316">
        <v>1408</v>
      </c>
      <c r="BD100" s="316">
        <v>1311</v>
      </c>
      <c r="BE100" s="316"/>
      <c r="BF100" s="316">
        <v>3374</v>
      </c>
      <c r="BG100" s="316">
        <v>3362</v>
      </c>
      <c r="BH100" s="316"/>
      <c r="BI100" s="316">
        <v>5297</v>
      </c>
      <c r="BJ100" s="316">
        <v>5388</v>
      </c>
      <c r="BK100" s="316"/>
      <c r="BL100" s="316">
        <v>564</v>
      </c>
      <c r="BM100" s="316">
        <v>549</v>
      </c>
      <c r="BN100" s="316"/>
      <c r="BO100" s="316">
        <v>522</v>
      </c>
      <c r="BP100" s="316">
        <v>497</v>
      </c>
      <c r="BQ100" s="316"/>
      <c r="BR100" s="316">
        <v>849</v>
      </c>
      <c r="BS100" s="316">
        <v>779</v>
      </c>
      <c r="BT100" s="316"/>
      <c r="BU100" s="316">
        <v>882</v>
      </c>
      <c r="BV100" s="316">
        <v>868</v>
      </c>
      <c r="BW100" s="316"/>
      <c r="BX100" s="316">
        <v>173</v>
      </c>
      <c r="BY100" s="316">
        <v>168</v>
      </c>
      <c r="BZ100" s="316"/>
      <c r="CA100" s="316">
        <v>554</v>
      </c>
      <c r="CB100" s="316">
        <v>541</v>
      </c>
      <c r="CC100" s="316"/>
      <c r="CD100" s="316">
        <v>503</v>
      </c>
      <c r="CE100" s="316">
        <v>520</v>
      </c>
      <c r="CF100" s="316"/>
      <c r="CG100" s="316">
        <v>300</v>
      </c>
      <c r="CH100" s="316">
        <v>251</v>
      </c>
      <c r="CI100" s="316"/>
      <c r="CJ100" s="316">
        <v>92</v>
      </c>
      <c r="CK100" s="316">
        <v>89</v>
      </c>
    </row>
    <row r="101" spans="1:89" ht="30" x14ac:dyDescent="0.25">
      <c r="A101" s="95"/>
      <c r="B101" s="248" t="s">
        <v>1651</v>
      </c>
      <c r="C101" s="312" t="s">
        <v>2674</v>
      </c>
      <c r="D101" s="95" t="s">
        <v>950</v>
      </c>
      <c r="E101" s="291"/>
      <c r="F101" s="291"/>
      <c r="G101" s="291"/>
      <c r="H101" s="291"/>
      <c r="I101" s="282">
        <v>846</v>
      </c>
      <c r="J101" s="282">
        <v>952</v>
      </c>
      <c r="K101" s="282">
        <v>1013</v>
      </c>
      <c r="L101" s="282">
        <v>0</v>
      </c>
      <c r="M101" s="282">
        <v>0</v>
      </c>
      <c r="N101" s="282">
        <v>0</v>
      </c>
      <c r="O101" s="281"/>
      <c r="P101" s="295"/>
      <c r="Q101" s="316">
        <f t="shared" si="193"/>
        <v>1013</v>
      </c>
      <c r="R101" s="316">
        <f t="shared" si="194"/>
        <v>1057</v>
      </c>
      <c r="S101" s="316">
        <v>22</v>
      </c>
      <c r="T101" s="316">
        <v>34</v>
      </c>
      <c r="U101" s="316"/>
      <c r="V101" s="316">
        <v>0</v>
      </c>
      <c r="W101" s="316">
        <v>0</v>
      </c>
      <c r="X101" s="316"/>
      <c r="Y101" s="316">
        <v>0</v>
      </c>
      <c r="Z101" s="316">
        <v>0</v>
      </c>
      <c r="AA101" s="316"/>
      <c r="AB101" s="316">
        <v>0</v>
      </c>
      <c r="AC101" s="316">
        <v>0</v>
      </c>
      <c r="AD101" s="316"/>
      <c r="AE101" s="316">
        <v>0</v>
      </c>
      <c r="AF101" s="316">
        <v>0</v>
      </c>
      <c r="AG101" s="316"/>
      <c r="AH101" s="316">
        <v>0</v>
      </c>
      <c r="AI101" s="316">
        <v>0</v>
      </c>
      <c r="AJ101" s="316"/>
      <c r="AK101" s="316">
        <v>41</v>
      </c>
      <c r="AL101" s="316">
        <v>45</v>
      </c>
      <c r="AM101" s="316"/>
      <c r="AN101" s="316">
        <v>21</v>
      </c>
      <c r="AO101" s="316">
        <v>12</v>
      </c>
      <c r="AP101" s="316"/>
      <c r="AQ101" s="316">
        <v>0</v>
      </c>
      <c r="AR101" s="316">
        <v>0</v>
      </c>
      <c r="AS101" s="316"/>
      <c r="AT101" s="316">
        <v>75</v>
      </c>
      <c r="AU101" s="316">
        <v>50</v>
      </c>
      <c r="AV101" s="316"/>
      <c r="AW101" s="316">
        <v>37</v>
      </c>
      <c r="AX101" s="316">
        <v>26</v>
      </c>
      <c r="AY101" s="316"/>
      <c r="AZ101" s="316">
        <v>0</v>
      </c>
      <c r="BA101" s="316">
        <v>0</v>
      </c>
      <c r="BB101" s="316"/>
      <c r="BC101" s="316">
        <v>147</v>
      </c>
      <c r="BD101" s="316">
        <v>135</v>
      </c>
      <c r="BE101" s="316"/>
      <c r="BF101" s="316">
        <v>66</v>
      </c>
      <c r="BG101" s="316">
        <v>66</v>
      </c>
      <c r="BH101" s="316"/>
      <c r="BI101" s="316">
        <v>345</v>
      </c>
      <c r="BJ101" s="316">
        <v>424</v>
      </c>
      <c r="BK101" s="316"/>
      <c r="BL101" s="316">
        <v>0</v>
      </c>
      <c r="BM101" s="316">
        <v>0</v>
      </c>
      <c r="BN101" s="316"/>
      <c r="BO101" s="316">
        <v>0</v>
      </c>
      <c r="BP101" s="316">
        <v>11</v>
      </c>
      <c r="BQ101" s="316"/>
      <c r="BR101" s="316">
        <v>0</v>
      </c>
      <c r="BS101" s="316">
        <v>0</v>
      </c>
      <c r="BT101" s="316"/>
      <c r="BU101" s="316">
        <v>0</v>
      </c>
      <c r="BV101" s="316">
        <v>0</v>
      </c>
      <c r="BW101" s="316"/>
      <c r="BX101" s="316">
        <v>0</v>
      </c>
      <c r="BY101" s="316">
        <v>0</v>
      </c>
      <c r="BZ101" s="316"/>
      <c r="CA101" s="316">
        <v>10</v>
      </c>
      <c r="CB101" s="316">
        <v>11</v>
      </c>
      <c r="CC101" s="316"/>
      <c r="CD101" s="316">
        <v>0</v>
      </c>
      <c r="CE101" s="316">
        <v>0</v>
      </c>
      <c r="CF101" s="316"/>
      <c r="CG101" s="316">
        <v>249</v>
      </c>
      <c r="CH101" s="316">
        <v>243</v>
      </c>
      <c r="CI101" s="316"/>
      <c r="CJ101" s="316">
        <v>0</v>
      </c>
      <c r="CK101" s="316">
        <v>0</v>
      </c>
    </row>
    <row r="102" spans="1:89" ht="30" x14ac:dyDescent="0.25">
      <c r="A102" s="95"/>
      <c r="B102" s="248" t="s">
        <v>1652</v>
      </c>
      <c r="C102" s="312" t="s">
        <v>2725</v>
      </c>
      <c r="D102" s="95" t="s">
        <v>950</v>
      </c>
      <c r="E102" s="291"/>
      <c r="F102" s="291"/>
      <c r="G102" s="291"/>
      <c r="H102" s="291"/>
      <c r="I102" s="282">
        <v>827</v>
      </c>
      <c r="J102" s="282">
        <v>935</v>
      </c>
      <c r="K102" s="282">
        <v>928</v>
      </c>
      <c r="L102" s="282">
        <v>0</v>
      </c>
      <c r="M102" s="282">
        <v>0</v>
      </c>
      <c r="N102" s="282">
        <v>0</v>
      </c>
      <c r="O102" s="281"/>
      <c r="P102" s="295"/>
      <c r="Q102" s="316">
        <f t="shared" si="193"/>
        <v>928</v>
      </c>
      <c r="R102" s="316">
        <f t="shared" si="194"/>
        <v>870</v>
      </c>
      <c r="S102" s="316">
        <v>10</v>
      </c>
      <c r="T102" s="316">
        <v>10</v>
      </c>
      <c r="U102" s="316"/>
      <c r="V102" s="316">
        <v>0</v>
      </c>
      <c r="W102" s="316">
        <v>0</v>
      </c>
      <c r="X102" s="316"/>
      <c r="Y102" s="316">
        <v>0</v>
      </c>
      <c r="Z102" s="316">
        <v>0</v>
      </c>
      <c r="AA102" s="316"/>
      <c r="AB102" s="316">
        <v>0</v>
      </c>
      <c r="AC102" s="316">
        <v>0</v>
      </c>
      <c r="AD102" s="316"/>
      <c r="AE102" s="316">
        <v>0</v>
      </c>
      <c r="AF102" s="316">
        <v>0</v>
      </c>
      <c r="AG102" s="316"/>
      <c r="AH102" s="316">
        <v>0</v>
      </c>
      <c r="AI102" s="316">
        <v>0</v>
      </c>
      <c r="AJ102" s="316"/>
      <c r="AK102" s="316">
        <v>114</v>
      </c>
      <c r="AL102" s="316">
        <v>109</v>
      </c>
      <c r="AM102" s="316"/>
      <c r="AN102" s="316">
        <v>12</v>
      </c>
      <c r="AO102" s="316">
        <v>12</v>
      </c>
      <c r="AP102" s="316"/>
      <c r="AQ102" s="316">
        <v>0</v>
      </c>
      <c r="AR102" s="316">
        <v>0</v>
      </c>
      <c r="AS102" s="316"/>
      <c r="AT102" s="316">
        <v>96</v>
      </c>
      <c r="AU102" s="316">
        <v>90</v>
      </c>
      <c r="AV102" s="316"/>
      <c r="AW102" s="316">
        <v>26</v>
      </c>
      <c r="AX102" s="316">
        <v>40</v>
      </c>
      <c r="AY102" s="316"/>
      <c r="AZ102" s="316">
        <v>0</v>
      </c>
      <c r="BA102" s="316">
        <v>0</v>
      </c>
      <c r="BB102" s="316"/>
      <c r="BC102" s="316">
        <v>6</v>
      </c>
      <c r="BD102" s="316">
        <v>9</v>
      </c>
      <c r="BE102" s="316"/>
      <c r="BF102" s="316">
        <v>46</v>
      </c>
      <c r="BG102" s="316">
        <v>53</v>
      </c>
      <c r="BH102" s="316"/>
      <c r="BI102" s="316">
        <v>439</v>
      </c>
      <c r="BJ102" s="316">
        <v>369</v>
      </c>
      <c r="BK102" s="316"/>
      <c r="BL102" s="316">
        <v>0</v>
      </c>
      <c r="BM102" s="316">
        <v>0</v>
      </c>
      <c r="BN102" s="316"/>
      <c r="BO102" s="316">
        <v>8</v>
      </c>
      <c r="BP102" s="316">
        <v>8</v>
      </c>
      <c r="BQ102" s="316"/>
      <c r="BR102" s="316">
        <v>0</v>
      </c>
      <c r="BS102" s="316">
        <v>0</v>
      </c>
      <c r="BT102" s="316"/>
      <c r="BU102" s="316">
        <v>0</v>
      </c>
      <c r="BV102" s="316">
        <v>0</v>
      </c>
      <c r="BW102" s="316"/>
      <c r="BX102" s="316">
        <v>0</v>
      </c>
      <c r="BY102" s="316">
        <v>0</v>
      </c>
      <c r="BZ102" s="316"/>
      <c r="CA102" s="316">
        <v>0</v>
      </c>
      <c r="CB102" s="316">
        <v>0</v>
      </c>
      <c r="CC102" s="316"/>
      <c r="CD102" s="316">
        <v>0</v>
      </c>
      <c r="CE102" s="316">
        <v>0</v>
      </c>
      <c r="CF102" s="316"/>
      <c r="CG102" s="316">
        <v>171</v>
      </c>
      <c r="CH102" s="316">
        <v>170</v>
      </c>
      <c r="CI102" s="316"/>
      <c r="CJ102" s="316">
        <v>0</v>
      </c>
      <c r="CK102" s="316">
        <v>0</v>
      </c>
    </row>
    <row r="103" spans="1:89" ht="30" x14ac:dyDescent="0.25">
      <c r="A103" s="95"/>
      <c r="B103" s="248" t="s">
        <v>1653</v>
      </c>
      <c r="C103" s="312" t="s">
        <v>2726</v>
      </c>
      <c r="D103" s="95" t="s">
        <v>950</v>
      </c>
      <c r="E103" s="291"/>
      <c r="F103" s="291"/>
      <c r="G103" s="291"/>
      <c r="H103" s="291"/>
      <c r="I103" s="282">
        <v>8</v>
      </c>
      <c r="J103" s="282">
        <v>4</v>
      </c>
      <c r="K103" s="282">
        <v>4</v>
      </c>
      <c r="L103" s="282">
        <v>0</v>
      </c>
      <c r="M103" s="282">
        <v>0</v>
      </c>
      <c r="N103" s="282">
        <v>0</v>
      </c>
      <c r="O103" s="281"/>
      <c r="P103" s="295"/>
      <c r="Q103" s="316">
        <f t="shared" si="193"/>
        <v>4</v>
      </c>
      <c r="R103" s="316">
        <f t="shared" si="194"/>
        <v>1</v>
      </c>
      <c r="S103" s="316">
        <v>0</v>
      </c>
      <c r="T103" s="316">
        <v>0</v>
      </c>
      <c r="U103" s="316"/>
      <c r="V103" s="316">
        <v>0</v>
      </c>
      <c r="W103" s="316">
        <v>0</v>
      </c>
      <c r="X103" s="316"/>
      <c r="Y103" s="316">
        <v>0</v>
      </c>
      <c r="Z103" s="316">
        <v>0</v>
      </c>
      <c r="AA103" s="316"/>
      <c r="AB103" s="316">
        <v>0</v>
      </c>
      <c r="AC103" s="316">
        <v>0</v>
      </c>
      <c r="AD103" s="316"/>
      <c r="AE103" s="316">
        <v>0</v>
      </c>
      <c r="AF103" s="316">
        <v>0</v>
      </c>
      <c r="AG103" s="316"/>
      <c r="AH103" s="316">
        <v>0</v>
      </c>
      <c r="AI103" s="316">
        <v>0</v>
      </c>
      <c r="AJ103" s="316"/>
      <c r="AK103" s="316">
        <v>0</v>
      </c>
      <c r="AL103" s="316">
        <v>0</v>
      </c>
      <c r="AM103" s="316"/>
      <c r="AN103" s="316">
        <v>0</v>
      </c>
      <c r="AO103" s="316">
        <v>0</v>
      </c>
      <c r="AP103" s="316"/>
      <c r="AQ103" s="316">
        <v>0</v>
      </c>
      <c r="AR103" s="316">
        <v>0</v>
      </c>
      <c r="AS103" s="316"/>
      <c r="AT103" s="316">
        <v>0</v>
      </c>
      <c r="AU103" s="316">
        <v>0</v>
      </c>
      <c r="AV103" s="316"/>
      <c r="AW103" s="316">
        <v>0</v>
      </c>
      <c r="AX103" s="316">
        <v>0</v>
      </c>
      <c r="AY103" s="316"/>
      <c r="AZ103" s="316">
        <v>0</v>
      </c>
      <c r="BA103" s="316">
        <v>0</v>
      </c>
      <c r="BB103" s="316"/>
      <c r="BC103" s="316">
        <v>0</v>
      </c>
      <c r="BD103" s="316">
        <v>0</v>
      </c>
      <c r="BE103" s="316"/>
      <c r="BF103" s="316">
        <v>0</v>
      </c>
      <c r="BG103" s="316">
        <v>0</v>
      </c>
      <c r="BH103" s="316"/>
      <c r="BI103" s="316">
        <v>4</v>
      </c>
      <c r="BJ103" s="316">
        <v>0</v>
      </c>
      <c r="BK103" s="316"/>
      <c r="BL103" s="316">
        <v>0</v>
      </c>
      <c r="BM103" s="316">
        <v>0</v>
      </c>
      <c r="BN103" s="316"/>
      <c r="BO103" s="316">
        <v>0</v>
      </c>
      <c r="BP103" s="316">
        <v>0</v>
      </c>
      <c r="BQ103" s="316"/>
      <c r="BR103" s="316">
        <v>0</v>
      </c>
      <c r="BS103" s="316">
        <v>0</v>
      </c>
      <c r="BT103" s="316"/>
      <c r="BU103" s="316">
        <v>0</v>
      </c>
      <c r="BV103" s="316">
        <v>0</v>
      </c>
      <c r="BW103" s="316"/>
      <c r="BX103" s="316">
        <v>0</v>
      </c>
      <c r="BY103" s="316">
        <v>0</v>
      </c>
      <c r="BZ103" s="316"/>
      <c r="CA103" s="316">
        <v>0</v>
      </c>
      <c r="CB103" s="316">
        <v>0</v>
      </c>
      <c r="CC103" s="316"/>
      <c r="CD103" s="316">
        <v>0</v>
      </c>
      <c r="CE103" s="316">
        <v>0</v>
      </c>
      <c r="CF103" s="316"/>
      <c r="CG103" s="316">
        <v>0</v>
      </c>
      <c r="CH103" s="316">
        <v>1</v>
      </c>
      <c r="CI103" s="316"/>
      <c r="CJ103" s="316">
        <v>0</v>
      </c>
      <c r="CK103" s="316">
        <v>0</v>
      </c>
    </row>
    <row r="104" spans="1:89" x14ac:dyDescent="0.25">
      <c r="A104" s="95"/>
      <c r="B104" s="96" t="s">
        <v>1185</v>
      </c>
      <c r="C104" s="312"/>
      <c r="D104" s="95"/>
      <c r="E104" s="291"/>
      <c r="F104" s="291"/>
      <c r="G104" s="291"/>
      <c r="H104" s="291"/>
      <c r="I104" s="282"/>
      <c r="J104" s="291"/>
      <c r="K104" s="291"/>
      <c r="L104" s="291"/>
      <c r="M104" s="291"/>
      <c r="N104" s="291"/>
      <c r="O104" s="281"/>
      <c r="Q104" s="316"/>
      <c r="R104" s="316"/>
      <c r="S104" s="316"/>
      <c r="T104" s="316"/>
      <c r="U104" s="316"/>
      <c r="V104" s="316"/>
      <c r="W104" s="316"/>
      <c r="X104" s="316"/>
      <c r="Y104" s="316"/>
      <c r="Z104" s="316"/>
      <c r="AA104" s="316"/>
      <c r="AB104" s="316"/>
      <c r="AC104" s="316"/>
      <c r="AD104" s="316"/>
      <c r="AE104" s="316"/>
      <c r="AF104" s="316"/>
      <c r="AG104" s="316"/>
      <c r="AH104" s="316"/>
      <c r="AI104" s="316"/>
      <c r="AJ104" s="316"/>
      <c r="AK104" s="316"/>
      <c r="AL104" s="316"/>
      <c r="AM104" s="316"/>
      <c r="AN104" s="316"/>
      <c r="AO104" s="316"/>
      <c r="AP104" s="316"/>
      <c r="AQ104" s="316"/>
      <c r="AR104" s="316"/>
      <c r="AS104" s="316"/>
      <c r="AT104" s="316"/>
      <c r="AU104" s="316"/>
      <c r="AV104" s="316"/>
      <c r="AW104" s="316"/>
      <c r="AX104" s="316"/>
      <c r="AY104" s="316"/>
      <c r="AZ104" s="316"/>
      <c r="BA104" s="316"/>
      <c r="BB104" s="316"/>
      <c r="BC104" s="316"/>
      <c r="BD104" s="316"/>
      <c r="BE104" s="316"/>
      <c r="BF104" s="316"/>
      <c r="BG104" s="316"/>
      <c r="BH104" s="316"/>
      <c r="BI104" s="316"/>
      <c r="BJ104" s="316"/>
      <c r="BK104" s="316"/>
      <c r="BL104" s="316"/>
      <c r="BM104" s="316"/>
      <c r="BN104" s="316"/>
      <c r="BO104" s="316"/>
      <c r="BP104" s="316"/>
      <c r="BQ104" s="316"/>
      <c r="BR104" s="316"/>
      <c r="BS104" s="316"/>
      <c r="BT104" s="316"/>
      <c r="BU104" s="316"/>
      <c r="BV104" s="316"/>
      <c r="BW104" s="316"/>
      <c r="BX104" s="316"/>
      <c r="BY104" s="316"/>
      <c r="BZ104" s="316"/>
      <c r="CA104" s="316"/>
      <c r="CB104" s="316"/>
      <c r="CC104" s="316"/>
      <c r="CD104" s="316"/>
      <c r="CE104" s="316"/>
      <c r="CF104" s="316"/>
      <c r="CG104" s="316"/>
      <c r="CH104" s="316"/>
      <c r="CI104" s="316"/>
      <c r="CJ104" s="316"/>
      <c r="CK104" s="316"/>
    </row>
    <row r="105" spans="1:89" ht="30" x14ac:dyDescent="0.25">
      <c r="A105" s="95"/>
      <c r="B105" s="248" t="s">
        <v>1651</v>
      </c>
      <c r="C105" s="312" t="s">
        <v>2675</v>
      </c>
      <c r="D105" s="95" t="s">
        <v>950</v>
      </c>
      <c r="E105" s="291"/>
      <c r="F105" s="291"/>
      <c r="G105" s="291"/>
      <c r="H105" s="291"/>
      <c r="I105" s="282">
        <v>7277</v>
      </c>
      <c r="J105" s="282">
        <v>7298</v>
      </c>
      <c r="K105" s="282">
        <v>7255</v>
      </c>
      <c r="L105" s="282">
        <v>779</v>
      </c>
      <c r="M105" s="282">
        <v>748</v>
      </c>
      <c r="N105" s="282">
        <v>713</v>
      </c>
      <c r="O105" s="281"/>
      <c r="P105" s="295"/>
      <c r="Q105" s="316">
        <f t="shared" ref="Q105:Q110" si="195">S105+V105+Y105+AB105+AE105+AH105+AK105+AN105+AQ105+AT105+AW105+AZ105+BC105+BF105+BI105+BL105+BO105+BR105+BU105+BX105+CA105+CD105+CG105+CJ105</f>
        <v>7255</v>
      </c>
      <c r="R105" s="316">
        <f t="shared" ref="R105:R110" si="196">T105+W105+Z105+AC105+AF105+AI105+AL105+AO105+AR105+AU105+AX105+BA105+BD105+BG105+BJ105+BM105+BP105+BS105+BV105+BY105+CB105+CE105+CH105+CK105</f>
        <v>7228</v>
      </c>
      <c r="S105" s="316">
        <v>539</v>
      </c>
      <c r="T105" s="316">
        <v>542</v>
      </c>
      <c r="U105" s="316"/>
      <c r="V105" s="316">
        <v>591</v>
      </c>
      <c r="W105" s="316">
        <v>644</v>
      </c>
      <c r="X105" s="316"/>
      <c r="Y105" s="316">
        <v>626</v>
      </c>
      <c r="Z105" s="316">
        <v>592</v>
      </c>
      <c r="AA105" s="316"/>
      <c r="AB105" s="316">
        <v>906</v>
      </c>
      <c r="AC105" s="316">
        <v>875</v>
      </c>
      <c r="AD105" s="316"/>
      <c r="AE105" s="316">
        <v>384</v>
      </c>
      <c r="AF105" s="316">
        <v>358</v>
      </c>
      <c r="AG105" s="316"/>
      <c r="AH105" s="316">
        <v>786</v>
      </c>
      <c r="AI105" s="316">
        <v>784</v>
      </c>
      <c r="AJ105" s="316"/>
      <c r="AK105" s="316">
        <v>124</v>
      </c>
      <c r="AL105" s="316">
        <v>120</v>
      </c>
      <c r="AM105" s="316"/>
      <c r="AN105" s="316">
        <v>2369</v>
      </c>
      <c r="AO105" s="316">
        <v>2401</v>
      </c>
      <c r="AP105" s="316"/>
      <c r="AQ105" s="316">
        <v>930</v>
      </c>
      <c r="AR105" s="316">
        <v>912</v>
      </c>
      <c r="AS105" s="316"/>
      <c r="AT105" s="316">
        <v>0</v>
      </c>
      <c r="AU105" s="316">
        <v>0</v>
      </c>
      <c r="AV105" s="316"/>
      <c r="AW105" s="316">
        <v>0</v>
      </c>
      <c r="AX105" s="316">
        <v>0</v>
      </c>
      <c r="AY105" s="316"/>
      <c r="AZ105" s="316">
        <v>0</v>
      </c>
      <c r="BA105" s="316">
        <v>0</v>
      </c>
      <c r="BB105" s="316"/>
      <c r="BC105" s="316">
        <v>0</v>
      </c>
      <c r="BD105" s="316">
        <v>0</v>
      </c>
      <c r="BE105" s="316"/>
      <c r="BF105" s="316">
        <v>0</v>
      </c>
      <c r="BG105" s="316">
        <v>0</v>
      </c>
      <c r="BH105" s="316"/>
      <c r="BI105" s="316">
        <v>0</v>
      </c>
      <c r="BJ105" s="316">
        <v>0</v>
      </c>
      <c r="BK105" s="316"/>
      <c r="BL105" s="316">
        <v>0</v>
      </c>
      <c r="BM105" s="316">
        <v>0</v>
      </c>
      <c r="BN105" s="316"/>
      <c r="BO105" s="316">
        <v>0</v>
      </c>
      <c r="BP105" s="316">
        <v>0</v>
      </c>
      <c r="BQ105" s="316"/>
      <c r="BR105" s="316">
        <v>0</v>
      </c>
      <c r="BS105" s="316">
        <v>0</v>
      </c>
      <c r="BT105" s="316"/>
      <c r="BU105" s="316">
        <v>0</v>
      </c>
      <c r="BV105" s="316">
        <v>0</v>
      </c>
      <c r="BW105" s="316"/>
      <c r="BX105" s="316">
        <v>0</v>
      </c>
      <c r="BY105" s="316">
        <v>0</v>
      </c>
      <c r="BZ105" s="316"/>
      <c r="CA105" s="316">
        <v>0</v>
      </c>
      <c r="CB105" s="316">
        <v>0</v>
      </c>
      <c r="CC105" s="316"/>
      <c r="CD105" s="316">
        <v>0</v>
      </c>
      <c r="CE105" s="316">
        <v>0</v>
      </c>
      <c r="CF105" s="316"/>
      <c r="CG105" s="316">
        <v>0</v>
      </c>
      <c r="CH105" s="316">
        <v>0</v>
      </c>
      <c r="CI105" s="316"/>
      <c r="CJ105" s="316">
        <v>0</v>
      </c>
      <c r="CK105" s="316">
        <v>0</v>
      </c>
    </row>
    <row r="106" spans="1:89" ht="30" x14ac:dyDescent="0.25">
      <c r="A106" s="95"/>
      <c r="B106" s="248" t="s">
        <v>1652</v>
      </c>
      <c r="C106" s="312" t="s">
        <v>2676</v>
      </c>
      <c r="D106" s="95" t="s">
        <v>950</v>
      </c>
      <c r="E106" s="291"/>
      <c r="F106" s="291"/>
      <c r="G106" s="291"/>
      <c r="H106" s="291"/>
      <c r="I106" s="282">
        <v>8293</v>
      </c>
      <c r="J106" s="282">
        <v>8304</v>
      </c>
      <c r="K106" s="282">
        <v>8358</v>
      </c>
      <c r="L106" s="282">
        <v>981</v>
      </c>
      <c r="M106" s="282">
        <v>996</v>
      </c>
      <c r="N106" s="282">
        <v>955</v>
      </c>
      <c r="O106" s="281"/>
      <c r="P106" s="295"/>
      <c r="Q106" s="316">
        <f t="shared" si="195"/>
        <v>8358</v>
      </c>
      <c r="R106" s="316">
        <f t="shared" si="196"/>
        <v>8341</v>
      </c>
      <c r="S106" s="316">
        <v>625</v>
      </c>
      <c r="T106" s="316">
        <v>611</v>
      </c>
      <c r="U106" s="316"/>
      <c r="V106" s="316">
        <v>674</v>
      </c>
      <c r="W106" s="316">
        <v>664</v>
      </c>
      <c r="X106" s="316"/>
      <c r="Y106" s="316">
        <v>693</v>
      </c>
      <c r="Z106" s="316">
        <v>712</v>
      </c>
      <c r="AA106" s="316"/>
      <c r="AB106" s="316">
        <v>1074</v>
      </c>
      <c r="AC106" s="316">
        <v>1061</v>
      </c>
      <c r="AD106" s="316"/>
      <c r="AE106" s="316">
        <v>489</v>
      </c>
      <c r="AF106" s="316">
        <v>462</v>
      </c>
      <c r="AG106" s="316"/>
      <c r="AH106" s="316">
        <v>1001</v>
      </c>
      <c r="AI106" s="316">
        <v>981</v>
      </c>
      <c r="AJ106" s="316"/>
      <c r="AK106" s="316">
        <v>142</v>
      </c>
      <c r="AL106" s="316">
        <v>145</v>
      </c>
      <c r="AM106" s="316"/>
      <c r="AN106" s="316">
        <v>2556</v>
      </c>
      <c r="AO106" s="316">
        <v>2583</v>
      </c>
      <c r="AP106" s="316"/>
      <c r="AQ106" s="316">
        <v>1037</v>
      </c>
      <c r="AR106" s="316">
        <v>1053</v>
      </c>
      <c r="AS106" s="316"/>
      <c r="AT106" s="316">
        <v>0</v>
      </c>
      <c r="AU106" s="316">
        <v>0</v>
      </c>
      <c r="AV106" s="316"/>
      <c r="AW106" s="316">
        <v>0</v>
      </c>
      <c r="AX106" s="316">
        <v>0</v>
      </c>
      <c r="AY106" s="316"/>
      <c r="AZ106" s="316">
        <v>0</v>
      </c>
      <c r="BA106" s="316">
        <v>0</v>
      </c>
      <c r="BB106" s="316"/>
      <c r="BC106" s="316">
        <v>0</v>
      </c>
      <c r="BD106" s="316">
        <v>0</v>
      </c>
      <c r="BE106" s="316"/>
      <c r="BF106" s="316">
        <v>0</v>
      </c>
      <c r="BG106" s="316">
        <v>0</v>
      </c>
      <c r="BH106" s="316"/>
      <c r="BI106" s="316">
        <v>0</v>
      </c>
      <c r="BJ106" s="316">
        <v>0</v>
      </c>
      <c r="BK106" s="316"/>
      <c r="BL106" s="316">
        <v>0</v>
      </c>
      <c r="BM106" s="316">
        <v>0</v>
      </c>
      <c r="BN106" s="316"/>
      <c r="BO106" s="316">
        <v>0</v>
      </c>
      <c r="BP106" s="316">
        <v>0</v>
      </c>
      <c r="BQ106" s="316"/>
      <c r="BR106" s="316">
        <v>0</v>
      </c>
      <c r="BS106" s="316">
        <v>0</v>
      </c>
      <c r="BT106" s="316"/>
      <c r="BU106" s="316">
        <v>0</v>
      </c>
      <c r="BV106" s="316">
        <v>0</v>
      </c>
      <c r="BW106" s="316"/>
      <c r="BX106" s="316">
        <v>0</v>
      </c>
      <c r="BY106" s="316">
        <v>0</v>
      </c>
      <c r="BZ106" s="316"/>
      <c r="CA106" s="316">
        <v>0</v>
      </c>
      <c r="CB106" s="316">
        <v>0</v>
      </c>
      <c r="CC106" s="316"/>
      <c r="CD106" s="316">
        <v>0</v>
      </c>
      <c r="CE106" s="316">
        <v>0</v>
      </c>
      <c r="CF106" s="316"/>
      <c r="CG106" s="316">
        <v>67</v>
      </c>
      <c r="CH106" s="316">
        <v>69</v>
      </c>
      <c r="CI106" s="316"/>
      <c r="CJ106" s="316">
        <v>0</v>
      </c>
      <c r="CK106" s="316">
        <v>0</v>
      </c>
    </row>
    <row r="107" spans="1:89" ht="30" x14ac:dyDescent="0.25">
      <c r="A107" s="95"/>
      <c r="B107" s="248" t="s">
        <v>1653</v>
      </c>
      <c r="C107" s="312" t="s">
        <v>2677</v>
      </c>
      <c r="D107" s="95" t="s">
        <v>950</v>
      </c>
      <c r="E107" s="291"/>
      <c r="F107" s="291"/>
      <c r="G107" s="291"/>
      <c r="H107" s="291"/>
      <c r="I107" s="282">
        <v>1562</v>
      </c>
      <c r="J107" s="282">
        <v>1686</v>
      </c>
      <c r="K107" s="282">
        <v>1670</v>
      </c>
      <c r="L107" s="282">
        <v>204</v>
      </c>
      <c r="M107" s="282">
        <v>197</v>
      </c>
      <c r="N107" s="282">
        <v>208</v>
      </c>
      <c r="O107" s="281"/>
      <c r="P107" s="295"/>
      <c r="Q107" s="316">
        <f t="shared" si="195"/>
        <v>1670</v>
      </c>
      <c r="R107" s="316">
        <f t="shared" si="196"/>
        <v>1563</v>
      </c>
      <c r="S107" s="316">
        <v>101</v>
      </c>
      <c r="T107" s="316">
        <v>109</v>
      </c>
      <c r="U107" s="316"/>
      <c r="V107" s="316">
        <v>157</v>
      </c>
      <c r="W107" s="316">
        <v>132</v>
      </c>
      <c r="X107" s="316"/>
      <c r="Y107" s="316">
        <v>139</v>
      </c>
      <c r="Z107" s="316">
        <v>111</v>
      </c>
      <c r="AA107" s="316"/>
      <c r="AB107" s="316">
        <v>232</v>
      </c>
      <c r="AC107" s="316">
        <v>240</v>
      </c>
      <c r="AD107" s="316"/>
      <c r="AE107" s="316">
        <v>105</v>
      </c>
      <c r="AF107" s="316">
        <v>79</v>
      </c>
      <c r="AG107" s="316"/>
      <c r="AH107" s="316">
        <v>192</v>
      </c>
      <c r="AI107" s="316">
        <v>205</v>
      </c>
      <c r="AJ107" s="316"/>
      <c r="AK107" s="316">
        <v>24</v>
      </c>
      <c r="AL107" s="316">
        <v>23</v>
      </c>
      <c r="AM107" s="316"/>
      <c r="AN107" s="316">
        <v>496</v>
      </c>
      <c r="AO107" s="316">
        <v>422</v>
      </c>
      <c r="AP107" s="316"/>
      <c r="AQ107" s="316">
        <v>177</v>
      </c>
      <c r="AR107" s="316">
        <v>189</v>
      </c>
      <c r="AS107" s="316"/>
      <c r="AT107" s="316">
        <v>0</v>
      </c>
      <c r="AU107" s="316">
        <v>0</v>
      </c>
      <c r="AV107" s="316"/>
      <c r="AW107" s="316">
        <v>0</v>
      </c>
      <c r="AX107" s="316">
        <v>0</v>
      </c>
      <c r="AY107" s="316"/>
      <c r="AZ107" s="316">
        <v>0</v>
      </c>
      <c r="BA107" s="316">
        <v>0</v>
      </c>
      <c r="BB107" s="316"/>
      <c r="BC107" s="316">
        <v>0</v>
      </c>
      <c r="BD107" s="316">
        <v>0</v>
      </c>
      <c r="BE107" s="316"/>
      <c r="BF107" s="316">
        <v>0</v>
      </c>
      <c r="BG107" s="316">
        <v>0</v>
      </c>
      <c r="BH107" s="316"/>
      <c r="BI107" s="316">
        <v>0</v>
      </c>
      <c r="BJ107" s="316">
        <v>0</v>
      </c>
      <c r="BK107" s="316"/>
      <c r="BL107" s="316">
        <v>0</v>
      </c>
      <c r="BM107" s="316">
        <v>0</v>
      </c>
      <c r="BN107" s="316"/>
      <c r="BO107" s="316">
        <v>0</v>
      </c>
      <c r="BP107" s="316">
        <v>0</v>
      </c>
      <c r="BQ107" s="316"/>
      <c r="BR107" s="316">
        <v>0</v>
      </c>
      <c r="BS107" s="316">
        <v>0</v>
      </c>
      <c r="BT107" s="316"/>
      <c r="BU107" s="316">
        <v>0</v>
      </c>
      <c r="BV107" s="316">
        <v>0</v>
      </c>
      <c r="BW107" s="316"/>
      <c r="BX107" s="316">
        <v>0</v>
      </c>
      <c r="BY107" s="316">
        <v>0</v>
      </c>
      <c r="BZ107" s="316"/>
      <c r="CA107" s="316">
        <v>0</v>
      </c>
      <c r="CB107" s="316">
        <v>0</v>
      </c>
      <c r="CC107" s="316"/>
      <c r="CD107" s="316">
        <v>0</v>
      </c>
      <c r="CE107" s="316">
        <v>0</v>
      </c>
      <c r="CF107" s="316"/>
      <c r="CG107" s="316">
        <v>47</v>
      </c>
      <c r="CH107" s="316">
        <v>53</v>
      </c>
      <c r="CI107" s="316"/>
      <c r="CJ107" s="316">
        <v>0</v>
      </c>
      <c r="CK107" s="316">
        <v>0</v>
      </c>
    </row>
    <row r="108" spans="1:89" ht="30" x14ac:dyDescent="0.25">
      <c r="A108" s="95"/>
      <c r="B108" s="248" t="s">
        <v>1651</v>
      </c>
      <c r="C108" s="312" t="s">
        <v>2674</v>
      </c>
      <c r="D108" s="95" t="s">
        <v>950</v>
      </c>
      <c r="E108" s="291"/>
      <c r="F108" s="291"/>
      <c r="G108" s="291"/>
      <c r="H108" s="291"/>
      <c r="I108" s="282">
        <v>0</v>
      </c>
      <c r="J108" s="282">
        <v>0</v>
      </c>
      <c r="K108" s="282">
        <v>5</v>
      </c>
      <c r="L108" s="282">
        <v>0</v>
      </c>
      <c r="M108" s="282">
        <v>0</v>
      </c>
      <c r="N108" s="282">
        <v>0</v>
      </c>
      <c r="O108" s="281"/>
      <c r="P108" s="295"/>
      <c r="Q108" s="316">
        <f t="shared" si="195"/>
        <v>5</v>
      </c>
      <c r="R108" s="316">
        <f t="shared" si="196"/>
        <v>5</v>
      </c>
      <c r="S108" s="316">
        <v>0</v>
      </c>
      <c r="T108" s="316">
        <v>0</v>
      </c>
      <c r="U108" s="316"/>
      <c r="V108" s="316">
        <v>0</v>
      </c>
      <c r="W108" s="316">
        <v>0</v>
      </c>
      <c r="X108" s="316"/>
      <c r="Y108" s="316">
        <v>0</v>
      </c>
      <c r="Z108" s="316">
        <v>0</v>
      </c>
      <c r="AA108" s="316"/>
      <c r="AB108" s="316">
        <v>0</v>
      </c>
      <c r="AC108" s="316">
        <v>0</v>
      </c>
      <c r="AD108" s="316"/>
      <c r="AE108" s="316">
        <v>0</v>
      </c>
      <c r="AF108" s="316">
        <v>0</v>
      </c>
      <c r="AG108" s="316"/>
      <c r="AH108" s="316">
        <v>0</v>
      </c>
      <c r="AI108" s="316">
        <v>0</v>
      </c>
      <c r="AJ108" s="316"/>
      <c r="AK108" s="316">
        <v>0</v>
      </c>
      <c r="AL108" s="316">
        <v>0</v>
      </c>
      <c r="AM108" s="316"/>
      <c r="AN108" s="316">
        <v>5</v>
      </c>
      <c r="AO108" s="316">
        <v>5</v>
      </c>
      <c r="AP108" s="316"/>
      <c r="AQ108" s="316">
        <v>0</v>
      </c>
      <c r="AR108" s="316">
        <v>0</v>
      </c>
      <c r="AS108" s="316"/>
      <c r="AT108" s="316">
        <v>0</v>
      </c>
      <c r="AU108" s="316">
        <v>0</v>
      </c>
      <c r="AV108" s="316"/>
      <c r="AW108" s="316">
        <v>0</v>
      </c>
      <c r="AX108" s="316">
        <v>0</v>
      </c>
      <c r="AY108" s="316"/>
      <c r="AZ108" s="316">
        <v>0</v>
      </c>
      <c r="BA108" s="316">
        <v>0</v>
      </c>
      <c r="BB108" s="316"/>
      <c r="BC108" s="316">
        <v>0</v>
      </c>
      <c r="BD108" s="316">
        <v>0</v>
      </c>
      <c r="BE108" s="316"/>
      <c r="BF108" s="316">
        <v>0</v>
      </c>
      <c r="BG108" s="316">
        <v>0</v>
      </c>
      <c r="BH108" s="316"/>
      <c r="BI108" s="316">
        <v>0</v>
      </c>
      <c r="BJ108" s="316">
        <v>0</v>
      </c>
      <c r="BK108" s="316"/>
      <c r="BL108" s="316">
        <v>0</v>
      </c>
      <c r="BM108" s="316">
        <v>0</v>
      </c>
      <c r="BN108" s="316"/>
      <c r="BO108" s="316">
        <v>0</v>
      </c>
      <c r="BP108" s="316">
        <v>0</v>
      </c>
      <c r="BQ108" s="316"/>
      <c r="BR108" s="316">
        <v>0</v>
      </c>
      <c r="BS108" s="316">
        <v>0</v>
      </c>
      <c r="BT108" s="316"/>
      <c r="BU108" s="316">
        <v>0</v>
      </c>
      <c r="BV108" s="316">
        <v>0</v>
      </c>
      <c r="BW108" s="316"/>
      <c r="BX108" s="316">
        <v>0</v>
      </c>
      <c r="BY108" s="316">
        <v>0</v>
      </c>
      <c r="BZ108" s="316"/>
      <c r="CA108" s="316">
        <v>0</v>
      </c>
      <c r="CB108" s="316">
        <v>0</v>
      </c>
      <c r="CC108" s="316"/>
      <c r="CD108" s="316">
        <v>0</v>
      </c>
      <c r="CE108" s="316">
        <v>0</v>
      </c>
      <c r="CF108" s="316"/>
      <c r="CG108" s="316">
        <v>0</v>
      </c>
      <c r="CH108" s="316">
        <v>0</v>
      </c>
      <c r="CI108" s="316"/>
      <c r="CJ108" s="316">
        <v>0</v>
      </c>
      <c r="CK108" s="316">
        <v>0</v>
      </c>
    </row>
    <row r="109" spans="1:89" ht="30" x14ac:dyDescent="0.25">
      <c r="A109" s="95"/>
      <c r="B109" s="248" t="s">
        <v>1652</v>
      </c>
      <c r="C109" s="312" t="s">
        <v>2725</v>
      </c>
      <c r="D109" s="95" t="s">
        <v>950</v>
      </c>
      <c r="E109" s="291"/>
      <c r="F109" s="291"/>
      <c r="G109" s="291"/>
      <c r="H109" s="291"/>
      <c r="I109" s="282">
        <v>0</v>
      </c>
      <c r="J109" s="282">
        <v>0</v>
      </c>
      <c r="K109" s="282">
        <v>0</v>
      </c>
      <c r="L109" s="282">
        <v>0</v>
      </c>
      <c r="M109" s="282">
        <v>0</v>
      </c>
      <c r="N109" s="282">
        <v>0</v>
      </c>
      <c r="O109" s="281"/>
      <c r="P109" s="295"/>
      <c r="Q109" s="316">
        <f t="shared" si="195"/>
        <v>0</v>
      </c>
      <c r="R109" s="316">
        <f t="shared" si="196"/>
        <v>2</v>
      </c>
      <c r="S109" s="316">
        <v>0</v>
      </c>
      <c r="T109" s="316">
        <v>0</v>
      </c>
      <c r="U109" s="316"/>
      <c r="V109" s="316">
        <v>0</v>
      </c>
      <c r="W109" s="316">
        <v>0</v>
      </c>
      <c r="X109" s="316"/>
      <c r="Y109" s="316">
        <v>0</v>
      </c>
      <c r="Z109" s="316">
        <v>0</v>
      </c>
      <c r="AA109" s="316"/>
      <c r="AB109" s="316">
        <v>0</v>
      </c>
      <c r="AC109" s="316">
        <v>0</v>
      </c>
      <c r="AD109" s="316"/>
      <c r="AE109" s="316">
        <v>0</v>
      </c>
      <c r="AF109" s="316">
        <v>2</v>
      </c>
      <c r="AG109" s="316"/>
      <c r="AH109" s="316">
        <v>0</v>
      </c>
      <c r="AI109" s="316">
        <v>0</v>
      </c>
      <c r="AJ109" s="316"/>
      <c r="AK109" s="316">
        <v>0</v>
      </c>
      <c r="AL109" s="316">
        <v>0</v>
      </c>
      <c r="AM109" s="316"/>
      <c r="AN109" s="316">
        <v>0</v>
      </c>
      <c r="AO109" s="316">
        <v>0</v>
      </c>
      <c r="AP109" s="316"/>
      <c r="AQ109" s="316">
        <v>0</v>
      </c>
      <c r="AR109" s="316">
        <v>0</v>
      </c>
      <c r="AS109" s="316"/>
      <c r="AT109" s="316">
        <v>0</v>
      </c>
      <c r="AU109" s="316">
        <v>0</v>
      </c>
      <c r="AV109" s="316"/>
      <c r="AW109" s="316">
        <v>0</v>
      </c>
      <c r="AX109" s="316">
        <v>0</v>
      </c>
      <c r="AY109" s="316"/>
      <c r="AZ109" s="316">
        <v>0</v>
      </c>
      <c r="BA109" s="316">
        <v>0</v>
      </c>
      <c r="BB109" s="316"/>
      <c r="BC109" s="316">
        <v>0</v>
      </c>
      <c r="BD109" s="316">
        <v>0</v>
      </c>
      <c r="BE109" s="316"/>
      <c r="BF109" s="316">
        <v>0</v>
      </c>
      <c r="BG109" s="316">
        <v>0</v>
      </c>
      <c r="BH109" s="316"/>
      <c r="BI109" s="316">
        <v>0</v>
      </c>
      <c r="BJ109" s="316">
        <v>0</v>
      </c>
      <c r="BK109" s="316"/>
      <c r="BL109" s="316">
        <v>0</v>
      </c>
      <c r="BM109" s="316">
        <v>0</v>
      </c>
      <c r="BN109" s="316"/>
      <c r="BO109" s="316">
        <v>0</v>
      </c>
      <c r="BP109" s="316">
        <v>0</v>
      </c>
      <c r="BQ109" s="316"/>
      <c r="BR109" s="316">
        <v>0</v>
      </c>
      <c r="BS109" s="316">
        <v>0</v>
      </c>
      <c r="BT109" s="316"/>
      <c r="BU109" s="316">
        <v>0</v>
      </c>
      <c r="BV109" s="316">
        <v>0</v>
      </c>
      <c r="BW109" s="316"/>
      <c r="BX109" s="316">
        <v>0</v>
      </c>
      <c r="BY109" s="316">
        <v>0</v>
      </c>
      <c r="BZ109" s="316"/>
      <c r="CA109" s="316">
        <v>0</v>
      </c>
      <c r="CB109" s="316">
        <v>0</v>
      </c>
      <c r="CC109" s="316"/>
      <c r="CD109" s="316">
        <v>0</v>
      </c>
      <c r="CE109" s="316">
        <v>0</v>
      </c>
      <c r="CF109" s="316"/>
      <c r="CG109" s="316">
        <v>0</v>
      </c>
      <c r="CH109" s="316">
        <v>0</v>
      </c>
      <c r="CI109" s="316"/>
      <c r="CJ109" s="316">
        <v>0</v>
      </c>
      <c r="CK109" s="316">
        <v>0</v>
      </c>
    </row>
    <row r="110" spans="1:89" ht="30" x14ac:dyDescent="0.25">
      <c r="A110" s="95"/>
      <c r="B110" s="248" t="s">
        <v>1653</v>
      </c>
      <c r="C110" s="312" t="s">
        <v>2726</v>
      </c>
      <c r="D110" s="95" t="s">
        <v>950</v>
      </c>
      <c r="E110" s="291"/>
      <c r="F110" s="291"/>
      <c r="G110" s="291"/>
      <c r="H110" s="291"/>
      <c r="I110" s="282">
        <v>0</v>
      </c>
      <c r="J110" s="282">
        <v>0</v>
      </c>
      <c r="K110" s="282">
        <v>0</v>
      </c>
      <c r="L110" s="282">
        <v>0</v>
      </c>
      <c r="M110" s="282">
        <v>0</v>
      </c>
      <c r="N110" s="282">
        <v>0</v>
      </c>
      <c r="O110" s="281"/>
      <c r="P110" s="295"/>
      <c r="Q110" s="316">
        <f t="shared" si="195"/>
        <v>0</v>
      </c>
      <c r="R110" s="316">
        <f t="shared" si="196"/>
        <v>0</v>
      </c>
      <c r="S110" s="316">
        <v>0</v>
      </c>
      <c r="T110" s="316">
        <v>0</v>
      </c>
      <c r="U110" s="316"/>
      <c r="V110" s="316">
        <v>0</v>
      </c>
      <c r="W110" s="316">
        <v>0</v>
      </c>
      <c r="X110" s="316"/>
      <c r="Y110" s="316">
        <v>0</v>
      </c>
      <c r="Z110" s="316">
        <v>0</v>
      </c>
      <c r="AA110" s="316"/>
      <c r="AB110" s="316">
        <v>0</v>
      </c>
      <c r="AC110" s="316">
        <v>0</v>
      </c>
      <c r="AD110" s="316"/>
      <c r="AE110" s="316">
        <v>0</v>
      </c>
      <c r="AF110" s="316">
        <v>0</v>
      </c>
      <c r="AG110" s="316"/>
      <c r="AH110" s="316">
        <v>0</v>
      </c>
      <c r="AI110" s="316">
        <v>0</v>
      </c>
      <c r="AJ110" s="316"/>
      <c r="AK110" s="316">
        <v>0</v>
      </c>
      <c r="AL110" s="316">
        <v>0</v>
      </c>
      <c r="AM110" s="316"/>
      <c r="AN110" s="316">
        <v>0</v>
      </c>
      <c r="AO110" s="316">
        <v>0</v>
      </c>
      <c r="AP110" s="316"/>
      <c r="AQ110" s="316">
        <v>0</v>
      </c>
      <c r="AR110" s="316">
        <v>0</v>
      </c>
      <c r="AS110" s="316"/>
      <c r="AT110" s="316">
        <v>0</v>
      </c>
      <c r="AU110" s="316">
        <v>0</v>
      </c>
      <c r="AV110" s="316"/>
      <c r="AW110" s="316">
        <v>0</v>
      </c>
      <c r="AX110" s="316">
        <v>0</v>
      </c>
      <c r="AY110" s="316"/>
      <c r="AZ110" s="316">
        <v>0</v>
      </c>
      <c r="BA110" s="316">
        <v>0</v>
      </c>
      <c r="BB110" s="316"/>
      <c r="BC110" s="316">
        <v>0</v>
      </c>
      <c r="BD110" s="316">
        <v>0</v>
      </c>
      <c r="BE110" s="316"/>
      <c r="BF110" s="316">
        <v>0</v>
      </c>
      <c r="BG110" s="316">
        <v>0</v>
      </c>
      <c r="BH110" s="316"/>
      <c r="BI110" s="316">
        <v>0</v>
      </c>
      <c r="BJ110" s="316">
        <v>0</v>
      </c>
      <c r="BK110" s="316"/>
      <c r="BL110" s="316">
        <v>0</v>
      </c>
      <c r="BM110" s="316">
        <v>0</v>
      </c>
      <c r="BN110" s="316"/>
      <c r="BO110" s="316">
        <v>0</v>
      </c>
      <c r="BP110" s="316">
        <v>0</v>
      </c>
      <c r="BQ110" s="316"/>
      <c r="BR110" s="316">
        <v>0</v>
      </c>
      <c r="BS110" s="316">
        <v>0</v>
      </c>
      <c r="BT110" s="316"/>
      <c r="BU110" s="316">
        <v>0</v>
      </c>
      <c r="BV110" s="316">
        <v>0</v>
      </c>
      <c r="BW110" s="316"/>
      <c r="BX110" s="316">
        <v>0</v>
      </c>
      <c r="BY110" s="316">
        <v>0</v>
      </c>
      <c r="BZ110" s="316"/>
      <c r="CA110" s="316">
        <v>0</v>
      </c>
      <c r="CB110" s="316">
        <v>0</v>
      </c>
      <c r="CC110" s="316"/>
      <c r="CD110" s="316">
        <v>0</v>
      </c>
      <c r="CE110" s="316">
        <v>0</v>
      </c>
      <c r="CF110" s="316"/>
      <c r="CG110" s="316">
        <v>0</v>
      </c>
      <c r="CH110" s="316">
        <v>0</v>
      </c>
      <c r="CI110" s="316"/>
      <c r="CJ110" s="316">
        <v>0</v>
      </c>
      <c r="CK110" s="316">
        <v>0</v>
      </c>
    </row>
    <row r="111" spans="1:89" x14ac:dyDescent="0.25">
      <c r="A111" s="95"/>
      <c r="B111" s="294" t="s">
        <v>1830</v>
      </c>
      <c r="C111" s="16"/>
      <c r="D111" s="95"/>
      <c r="E111" s="291"/>
      <c r="F111" s="291"/>
      <c r="G111" s="291"/>
      <c r="H111" s="291"/>
      <c r="I111" s="282"/>
      <c r="J111" s="291"/>
      <c r="K111" s="291"/>
      <c r="L111" s="291"/>
      <c r="M111" s="291"/>
      <c r="N111" s="291"/>
      <c r="O111" s="281"/>
      <c r="Q111" s="316"/>
      <c r="R111" s="316"/>
      <c r="S111" s="316"/>
      <c r="T111" s="316"/>
      <c r="U111" s="316"/>
      <c r="V111" s="316"/>
      <c r="W111" s="316"/>
      <c r="X111" s="316"/>
      <c r="Y111" s="316"/>
      <c r="Z111" s="316"/>
      <c r="AA111" s="316"/>
      <c r="AB111" s="316"/>
      <c r="AC111" s="316"/>
      <c r="AD111" s="316"/>
      <c r="AE111" s="316"/>
      <c r="AF111" s="316"/>
      <c r="AG111" s="316"/>
      <c r="AH111" s="316"/>
      <c r="AI111" s="316"/>
      <c r="AJ111" s="316"/>
      <c r="AK111" s="316"/>
      <c r="AL111" s="316"/>
      <c r="AM111" s="316"/>
      <c r="AN111" s="316"/>
      <c r="AO111" s="316"/>
      <c r="AP111" s="316"/>
      <c r="AQ111" s="316"/>
      <c r="AR111" s="316"/>
      <c r="AS111" s="316"/>
      <c r="AT111" s="316"/>
      <c r="AU111" s="316"/>
      <c r="AV111" s="316"/>
      <c r="AW111" s="316"/>
      <c r="AX111" s="316"/>
      <c r="AY111" s="316"/>
      <c r="AZ111" s="316"/>
      <c r="BA111" s="316"/>
      <c r="BB111" s="316"/>
      <c r="BC111" s="316"/>
      <c r="BD111" s="316"/>
      <c r="BE111" s="316"/>
      <c r="BF111" s="316"/>
      <c r="BG111" s="316"/>
      <c r="BH111" s="316"/>
      <c r="BI111" s="316"/>
      <c r="BJ111" s="316"/>
      <c r="BK111" s="316"/>
      <c r="BL111" s="316"/>
      <c r="BM111" s="316"/>
      <c r="BN111" s="316"/>
      <c r="BO111" s="316"/>
      <c r="BP111" s="316"/>
      <c r="BQ111" s="316"/>
      <c r="BR111" s="316"/>
      <c r="BS111" s="316"/>
      <c r="BT111" s="316"/>
      <c r="BU111" s="316"/>
      <c r="BV111" s="316"/>
      <c r="BW111" s="316"/>
      <c r="BX111" s="316"/>
      <c r="BY111" s="316"/>
      <c r="BZ111" s="316"/>
      <c r="CA111" s="316"/>
      <c r="CB111" s="316"/>
      <c r="CC111" s="316"/>
      <c r="CD111" s="316"/>
      <c r="CE111" s="316"/>
      <c r="CF111" s="316"/>
      <c r="CG111" s="316"/>
      <c r="CH111" s="316"/>
      <c r="CI111" s="316"/>
      <c r="CJ111" s="316"/>
      <c r="CK111" s="316"/>
    </row>
    <row r="112" spans="1:89" x14ac:dyDescent="0.25">
      <c r="A112" s="95"/>
      <c r="B112" s="96" t="s">
        <v>1183</v>
      </c>
      <c r="C112" s="16"/>
      <c r="D112" s="95"/>
      <c r="E112" s="291"/>
      <c r="F112" s="291"/>
      <c r="G112" s="291"/>
      <c r="H112" s="291"/>
      <c r="I112" s="282"/>
      <c r="J112" s="291"/>
      <c r="K112" s="291"/>
      <c r="L112" s="291"/>
      <c r="M112" s="291"/>
      <c r="N112" s="291"/>
      <c r="O112" s="281"/>
      <c r="Q112" s="316"/>
      <c r="R112" s="316"/>
      <c r="S112" s="316"/>
      <c r="T112" s="316"/>
      <c r="U112" s="316"/>
      <c r="V112" s="316"/>
      <c r="W112" s="316"/>
      <c r="X112" s="316"/>
      <c r="Y112" s="316"/>
      <c r="Z112" s="316"/>
      <c r="AA112" s="316"/>
      <c r="AB112" s="316"/>
      <c r="AC112" s="316"/>
      <c r="AD112" s="316"/>
      <c r="AE112" s="316"/>
      <c r="AF112" s="316"/>
      <c r="AG112" s="316"/>
      <c r="AH112" s="316"/>
      <c r="AI112" s="316"/>
      <c r="AJ112" s="316"/>
      <c r="AK112" s="316"/>
      <c r="AL112" s="316"/>
      <c r="AM112" s="316"/>
      <c r="AN112" s="316"/>
      <c r="AO112" s="316"/>
      <c r="AP112" s="316"/>
      <c r="AQ112" s="316"/>
      <c r="AR112" s="316"/>
      <c r="AS112" s="316"/>
      <c r="AT112" s="316"/>
      <c r="AU112" s="316"/>
      <c r="AV112" s="316"/>
      <c r="AW112" s="316"/>
      <c r="AX112" s="316"/>
      <c r="AY112" s="316"/>
      <c r="AZ112" s="316"/>
      <c r="BA112" s="316"/>
      <c r="BB112" s="316"/>
      <c r="BC112" s="316"/>
      <c r="BD112" s="316"/>
      <c r="BE112" s="316"/>
      <c r="BF112" s="316"/>
      <c r="BG112" s="316"/>
      <c r="BH112" s="316"/>
      <c r="BI112" s="316"/>
      <c r="BJ112" s="316"/>
      <c r="BK112" s="316"/>
      <c r="BL112" s="316"/>
      <c r="BM112" s="316"/>
      <c r="BN112" s="316"/>
      <c r="BO112" s="316"/>
      <c r="BP112" s="316"/>
      <c r="BQ112" s="316"/>
      <c r="BR112" s="316"/>
      <c r="BS112" s="316"/>
      <c r="BT112" s="316"/>
      <c r="BU112" s="316"/>
      <c r="BV112" s="316"/>
      <c r="BW112" s="316"/>
      <c r="BX112" s="316"/>
      <c r="BY112" s="316"/>
      <c r="BZ112" s="316"/>
      <c r="CA112" s="316"/>
      <c r="CB112" s="316"/>
      <c r="CC112" s="316"/>
      <c r="CD112" s="316"/>
      <c r="CE112" s="316"/>
      <c r="CF112" s="316"/>
      <c r="CG112" s="316"/>
      <c r="CH112" s="316"/>
      <c r="CI112" s="316"/>
      <c r="CJ112" s="316"/>
      <c r="CK112" s="316"/>
    </row>
    <row r="113" spans="1:89" ht="30" x14ac:dyDescent="0.25">
      <c r="A113" s="95"/>
      <c r="B113" s="248" t="s">
        <v>1651</v>
      </c>
      <c r="C113" s="312" t="s">
        <v>2678</v>
      </c>
      <c r="D113" s="95" t="s">
        <v>1763</v>
      </c>
      <c r="E113" s="291"/>
      <c r="F113" s="291"/>
      <c r="G113" s="291"/>
      <c r="H113" s="291"/>
      <c r="I113" s="282">
        <v>3263</v>
      </c>
      <c r="J113" s="282">
        <v>3338</v>
      </c>
      <c r="K113" s="282">
        <v>3411</v>
      </c>
      <c r="L113" s="282">
        <v>49</v>
      </c>
      <c r="M113" s="282">
        <v>51</v>
      </c>
      <c r="N113" s="282">
        <v>49</v>
      </c>
      <c r="O113" s="281"/>
      <c r="P113" s="295"/>
      <c r="Q113" s="316">
        <f t="shared" ref="Q113:Q118" si="197">S113+V113+Y113+AB113+AE113+AH113+AK113+AN113+AQ113+AT113+AW113+AZ113+BC113+BF113+BI113+BL113+BO113+BR113+BU113+BX113+CA113+CD113+CG113+CJ113</f>
        <v>3411</v>
      </c>
      <c r="R113" s="316">
        <f t="shared" ref="R113:R118" si="198">T113+W113+Z113+AC113+AF113+AI113+AL113+AO113+AR113+AU113+AX113+BA113+BD113+BG113+BJ113+BM113+BP113+BS113+BV113+BY113+CB113+CE113+CH113+CK113</f>
        <v>3467</v>
      </c>
      <c r="S113" s="316">
        <v>44</v>
      </c>
      <c r="T113" s="316">
        <v>46</v>
      </c>
      <c r="U113" s="316"/>
      <c r="V113" s="316">
        <v>38</v>
      </c>
      <c r="W113" s="316">
        <v>37</v>
      </c>
      <c r="X113" s="316"/>
      <c r="Y113" s="316">
        <v>56</v>
      </c>
      <c r="Z113" s="316">
        <v>56</v>
      </c>
      <c r="AA113" s="316"/>
      <c r="AB113" s="316">
        <v>49</v>
      </c>
      <c r="AC113" s="316">
        <v>48</v>
      </c>
      <c r="AD113" s="316"/>
      <c r="AE113" s="316">
        <v>50</v>
      </c>
      <c r="AF113" s="316">
        <v>54</v>
      </c>
      <c r="AG113" s="316"/>
      <c r="AH113" s="316">
        <v>52</v>
      </c>
      <c r="AI113" s="316">
        <v>49</v>
      </c>
      <c r="AJ113" s="316"/>
      <c r="AK113" s="316">
        <v>103</v>
      </c>
      <c r="AL113" s="316">
        <v>102</v>
      </c>
      <c r="AM113" s="316"/>
      <c r="AN113" s="316">
        <v>219</v>
      </c>
      <c r="AO113" s="316">
        <v>220</v>
      </c>
      <c r="AP113" s="316"/>
      <c r="AQ113" s="316">
        <v>0</v>
      </c>
      <c r="AR113" s="316">
        <v>0</v>
      </c>
      <c r="AS113" s="316"/>
      <c r="AT113" s="316">
        <v>228</v>
      </c>
      <c r="AU113" s="316">
        <v>237</v>
      </c>
      <c r="AV113" s="316"/>
      <c r="AW113" s="316">
        <v>100</v>
      </c>
      <c r="AX113" s="316">
        <v>100</v>
      </c>
      <c r="AY113" s="316"/>
      <c r="AZ113" s="316">
        <v>123</v>
      </c>
      <c r="BA113" s="316">
        <v>120</v>
      </c>
      <c r="BB113" s="316"/>
      <c r="BC113" s="316">
        <v>243</v>
      </c>
      <c r="BD113" s="316">
        <v>246</v>
      </c>
      <c r="BE113" s="316"/>
      <c r="BF113" s="316">
        <v>558</v>
      </c>
      <c r="BG113" s="316">
        <v>572</v>
      </c>
      <c r="BH113" s="316"/>
      <c r="BI113" s="316">
        <v>851</v>
      </c>
      <c r="BJ113" s="316">
        <v>879</v>
      </c>
      <c r="BK113" s="316"/>
      <c r="BL113" s="316">
        <v>92</v>
      </c>
      <c r="BM113" s="316">
        <v>94</v>
      </c>
      <c r="BN113" s="316"/>
      <c r="BO113" s="316">
        <v>87</v>
      </c>
      <c r="BP113" s="316">
        <v>86</v>
      </c>
      <c r="BQ113" s="316"/>
      <c r="BR113" s="316">
        <v>136</v>
      </c>
      <c r="BS113" s="316">
        <v>138</v>
      </c>
      <c r="BT113" s="316"/>
      <c r="BU113" s="316">
        <v>130</v>
      </c>
      <c r="BV113" s="316">
        <v>131</v>
      </c>
      <c r="BW113" s="316"/>
      <c r="BX113" s="316">
        <v>40</v>
      </c>
      <c r="BY113" s="316">
        <v>40</v>
      </c>
      <c r="BZ113" s="316"/>
      <c r="CA113" s="316">
        <v>94</v>
      </c>
      <c r="CB113" s="316">
        <v>94</v>
      </c>
      <c r="CC113" s="316"/>
      <c r="CD113" s="316">
        <v>96</v>
      </c>
      <c r="CE113" s="316">
        <v>95</v>
      </c>
      <c r="CF113" s="316"/>
      <c r="CG113" s="316">
        <v>10</v>
      </c>
      <c r="CH113" s="316">
        <v>10</v>
      </c>
      <c r="CI113" s="316"/>
      <c r="CJ113" s="316">
        <v>12</v>
      </c>
      <c r="CK113" s="316">
        <v>13</v>
      </c>
    </row>
    <row r="114" spans="1:89" ht="30" x14ac:dyDescent="0.25">
      <c r="A114" s="95"/>
      <c r="B114" s="248" t="s">
        <v>1652</v>
      </c>
      <c r="C114" s="312" t="s">
        <v>2679</v>
      </c>
      <c r="D114" s="95" t="s">
        <v>1763</v>
      </c>
      <c r="E114" s="291"/>
      <c r="F114" s="291"/>
      <c r="G114" s="291"/>
      <c r="H114" s="291"/>
      <c r="I114" s="282">
        <v>3582</v>
      </c>
      <c r="J114" s="282">
        <v>3636</v>
      </c>
      <c r="K114" s="282">
        <v>3686</v>
      </c>
      <c r="L114" s="282">
        <v>60</v>
      </c>
      <c r="M114" s="282">
        <v>61</v>
      </c>
      <c r="N114" s="282">
        <v>62</v>
      </c>
      <c r="O114" s="281"/>
      <c r="P114" s="295"/>
      <c r="Q114" s="316">
        <f t="shared" si="197"/>
        <v>3686</v>
      </c>
      <c r="R114" s="316">
        <f t="shared" si="198"/>
        <v>3769</v>
      </c>
      <c r="S114" s="316">
        <v>51</v>
      </c>
      <c r="T114" s="316">
        <v>54</v>
      </c>
      <c r="U114" s="316"/>
      <c r="V114" s="316">
        <v>47</v>
      </c>
      <c r="W114" s="316">
        <v>49</v>
      </c>
      <c r="X114" s="316"/>
      <c r="Y114" s="316">
        <v>70</v>
      </c>
      <c r="Z114" s="316">
        <v>68</v>
      </c>
      <c r="AA114" s="316"/>
      <c r="AB114" s="316">
        <v>51</v>
      </c>
      <c r="AC114" s="316">
        <v>54</v>
      </c>
      <c r="AD114" s="316"/>
      <c r="AE114" s="316">
        <v>55</v>
      </c>
      <c r="AF114" s="316">
        <v>61</v>
      </c>
      <c r="AG114" s="316"/>
      <c r="AH114" s="316">
        <v>63</v>
      </c>
      <c r="AI114" s="316">
        <v>62</v>
      </c>
      <c r="AJ114" s="316"/>
      <c r="AK114" s="316">
        <v>115</v>
      </c>
      <c r="AL114" s="316">
        <v>115</v>
      </c>
      <c r="AM114" s="316"/>
      <c r="AN114" s="316">
        <v>238</v>
      </c>
      <c r="AO114" s="316">
        <v>238</v>
      </c>
      <c r="AP114" s="316"/>
      <c r="AQ114" s="316">
        <v>0</v>
      </c>
      <c r="AR114" s="316">
        <v>0</v>
      </c>
      <c r="AS114" s="316"/>
      <c r="AT114" s="316">
        <v>224</v>
      </c>
      <c r="AU114" s="316">
        <v>233</v>
      </c>
      <c r="AV114" s="316"/>
      <c r="AW114" s="316">
        <v>104</v>
      </c>
      <c r="AX114" s="316">
        <v>105</v>
      </c>
      <c r="AY114" s="316"/>
      <c r="AZ114" s="316">
        <v>146</v>
      </c>
      <c r="BA114" s="316">
        <v>148</v>
      </c>
      <c r="BB114" s="316"/>
      <c r="BC114" s="316">
        <v>248</v>
      </c>
      <c r="BD114" s="316">
        <v>257</v>
      </c>
      <c r="BE114" s="316"/>
      <c r="BF114" s="316">
        <v>606</v>
      </c>
      <c r="BG114" s="316">
        <v>623</v>
      </c>
      <c r="BH114" s="316"/>
      <c r="BI114" s="316">
        <v>872</v>
      </c>
      <c r="BJ114" s="316">
        <v>897</v>
      </c>
      <c r="BK114" s="316"/>
      <c r="BL114" s="316">
        <v>112</v>
      </c>
      <c r="BM114" s="316">
        <v>113</v>
      </c>
      <c r="BN114" s="316"/>
      <c r="BO114" s="316">
        <v>103</v>
      </c>
      <c r="BP114" s="316">
        <v>107</v>
      </c>
      <c r="BQ114" s="316"/>
      <c r="BR114" s="316">
        <v>146</v>
      </c>
      <c r="BS114" s="316">
        <v>147</v>
      </c>
      <c r="BT114" s="316"/>
      <c r="BU114" s="316">
        <v>145</v>
      </c>
      <c r="BV114" s="316">
        <v>143</v>
      </c>
      <c r="BW114" s="316"/>
      <c r="BX114" s="316">
        <v>40</v>
      </c>
      <c r="BY114" s="316">
        <v>43</v>
      </c>
      <c r="BZ114" s="316"/>
      <c r="CA114" s="316">
        <v>107</v>
      </c>
      <c r="CB114" s="316">
        <v>107</v>
      </c>
      <c r="CC114" s="316"/>
      <c r="CD114" s="316">
        <v>108</v>
      </c>
      <c r="CE114" s="316">
        <v>112</v>
      </c>
      <c r="CF114" s="316"/>
      <c r="CG114" s="316">
        <v>7</v>
      </c>
      <c r="CH114" s="316">
        <v>4</v>
      </c>
      <c r="CI114" s="316"/>
      <c r="CJ114" s="316">
        <v>28</v>
      </c>
      <c r="CK114" s="316">
        <v>29</v>
      </c>
    </row>
    <row r="115" spans="1:89" ht="30" x14ac:dyDescent="0.25">
      <c r="A115" s="95"/>
      <c r="B115" s="248" t="s">
        <v>1653</v>
      </c>
      <c r="C115" s="312" t="s">
        <v>2680</v>
      </c>
      <c r="D115" s="95" t="s">
        <v>1763</v>
      </c>
      <c r="E115" s="291"/>
      <c r="F115" s="291"/>
      <c r="G115" s="291"/>
      <c r="H115" s="291"/>
      <c r="I115" s="282">
        <v>813</v>
      </c>
      <c r="J115" s="282">
        <v>844</v>
      </c>
      <c r="K115" s="282">
        <v>879</v>
      </c>
      <c r="L115" s="282">
        <v>13</v>
      </c>
      <c r="M115" s="282">
        <v>14</v>
      </c>
      <c r="N115" s="282">
        <v>15</v>
      </c>
      <c r="O115" s="281"/>
      <c r="P115" s="295"/>
      <c r="Q115" s="316">
        <f t="shared" si="197"/>
        <v>879</v>
      </c>
      <c r="R115" s="316">
        <f t="shared" si="198"/>
        <v>866</v>
      </c>
      <c r="S115" s="316">
        <v>12</v>
      </c>
      <c r="T115" s="316">
        <v>15</v>
      </c>
      <c r="U115" s="316"/>
      <c r="V115" s="316">
        <v>12</v>
      </c>
      <c r="W115" s="316">
        <v>11</v>
      </c>
      <c r="X115" s="316"/>
      <c r="Y115" s="316">
        <v>15</v>
      </c>
      <c r="Z115" s="316">
        <v>14</v>
      </c>
      <c r="AA115" s="316"/>
      <c r="AB115" s="316">
        <v>13</v>
      </c>
      <c r="AC115" s="316">
        <v>13</v>
      </c>
      <c r="AD115" s="316"/>
      <c r="AE115" s="316">
        <v>24</v>
      </c>
      <c r="AF115" s="316">
        <v>24</v>
      </c>
      <c r="AG115" s="316"/>
      <c r="AH115" s="316">
        <v>16</v>
      </c>
      <c r="AI115" s="316">
        <v>15</v>
      </c>
      <c r="AJ115" s="316"/>
      <c r="AK115" s="316">
        <v>32</v>
      </c>
      <c r="AL115" s="316">
        <v>33</v>
      </c>
      <c r="AM115" s="316"/>
      <c r="AN115" s="316">
        <v>55</v>
      </c>
      <c r="AO115" s="316">
        <v>53</v>
      </c>
      <c r="AP115" s="316"/>
      <c r="AQ115" s="316">
        <v>0</v>
      </c>
      <c r="AR115" s="316">
        <v>0</v>
      </c>
      <c r="AS115" s="316"/>
      <c r="AT115" s="316">
        <v>54</v>
      </c>
      <c r="AU115" s="316">
        <v>50</v>
      </c>
      <c r="AV115" s="316"/>
      <c r="AW115" s="316">
        <v>21</v>
      </c>
      <c r="AX115" s="316">
        <v>21</v>
      </c>
      <c r="AY115" s="316"/>
      <c r="AZ115" s="316">
        <v>29</v>
      </c>
      <c r="BA115" s="316">
        <v>28</v>
      </c>
      <c r="BB115" s="316"/>
      <c r="BC115" s="316">
        <v>57</v>
      </c>
      <c r="BD115" s="316">
        <v>55</v>
      </c>
      <c r="BE115" s="316"/>
      <c r="BF115" s="316">
        <v>133</v>
      </c>
      <c r="BG115" s="316">
        <v>134</v>
      </c>
      <c r="BH115" s="316"/>
      <c r="BI115" s="316">
        <v>212</v>
      </c>
      <c r="BJ115" s="316">
        <v>214</v>
      </c>
      <c r="BK115" s="316"/>
      <c r="BL115" s="316">
        <v>23</v>
      </c>
      <c r="BM115" s="316">
        <v>23</v>
      </c>
      <c r="BN115" s="316"/>
      <c r="BO115" s="316">
        <v>21</v>
      </c>
      <c r="BP115" s="316">
        <v>20</v>
      </c>
      <c r="BQ115" s="316"/>
      <c r="BR115" s="316">
        <v>34</v>
      </c>
      <c r="BS115" s="316">
        <v>31</v>
      </c>
      <c r="BT115" s="316"/>
      <c r="BU115" s="316">
        <v>37</v>
      </c>
      <c r="BV115" s="316">
        <v>36</v>
      </c>
      <c r="BW115" s="316"/>
      <c r="BX115" s="316">
        <v>8</v>
      </c>
      <c r="BY115" s="316">
        <v>8</v>
      </c>
      <c r="BZ115" s="316"/>
      <c r="CA115" s="316">
        <v>26</v>
      </c>
      <c r="CB115" s="316">
        <v>24</v>
      </c>
      <c r="CC115" s="316"/>
      <c r="CD115" s="316">
        <v>22</v>
      </c>
      <c r="CE115" s="316">
        <v>23</v>
      </c>
      <c r="CF115" s="316"/>
      <c r="CG115" s="316">
        <v>19</v>
      </c>
      <c r="CH115" s="316">
        <v>16</v>
      </c>
      <c r="CI115" s="316"/>
      <c r="CJ115" s="316">
        <v>4</v>
      </c>
      <c r="CK115" s="316">
        <v>5</v>
      </c>
    </row>
    <row r="116" spans="1:89" ht="30" x14ac:dyDescent="0.25">
      <c r="A116" s="95"/>
      <c r="B116" s="248" t="s">
        <v>1651</v>
      </c>
      <c r="C116" s="312" t="s">
        <v>2681</v>
      </c>
      <c r="D116" s="95" t="s">
        <v>1763</v>
      </c>
      <c r="E116" s="291"/>
      <c r="F116" s="291"/>
      <c r="G116" s="291"/>
      <c r="H116" s="291"/>
      <c r="I116" s="282">
        <v>91</v>
      </c>
      <c r="J116" s="282">
        <v>100</v>
      </c>
      <c r="K116" s="282">
        <v>124</v>
      </c>
      <c r="L116" s="282">
        <v>0</v>
      </c>
      <c r="M116" s="282">
        <v>0</v>
      </c>
      <c r="N116" s="282">
        <v>0</v>
      </c>
      <c r="O116" s="281"/>
      <c r="P116" s="295"/>
      <c r="Q116" s="316">
        <f t="shared" si="197"/>
        <v>124</v>
      </c>
      <c r="R116" s="316">
        <f t="shared" si="198"/>
        <v>127</v>
      </c>
      <c r="S116" s="316">
        <v>2</v>
      </c>
      <c r="T116" s="316">
        <v>3</v>
      </c>
      <c r="U116" s="316"/>
      <c r="V116" s="316">
        <v>0</v>
      </c>
      <c r="W116" s="316">
        <v>0</v>
      </c>
      <c r="X116" s="316"/>
      <c r="Y116" s="316">
        <v>0</v>
      </c>
      <c r="Z116" s="316">
        <v>0</v>
      </c>
      <c r="AA116" s="316"/>
      <c r="AB116" s="316">
        <v>0</v>
      </c>
      <c r="AC116" s="316">
        <v>0</v>
      </c>
      <c r="AD116" s="316"/>
      <c r="AE116" s="316">
        <v>0</v>
      </c>
      <c r="AF116" s="316">
        <v>0</v>
      </c>
      <c r="AG116" s="316"/>
      <c r="AH116" s="316">
        <v>0</v>
      </c>
      <c r="AI116" s="316">
        <v>0</v>
      </c>
      <c r="AJ116" s="316"/>
      <c r="AK116" s="316">
        <v>6</v>
      </c>
      <c r="AL116" s="316">
        <v>5</v>
      </c>
      <c r="AM116" s="316"/>
      <c r="AN116" s="316">
        <v>2</v>
      </c>
      <c r="AO116" s="316">
        <v>1</v>
      </c>
      <c r="AP116" s="316"/>
      <c r="AQ116" s="316">
        <v>0</v>
      </c>
      <c r="AR116" s="316">
        <v>0</v>
      </c>
      <c r="AS116" s="316"/>
      <c r="AT116" s="316">
        <v>7</v>
      </c>
      <c r="AU116" s="316">
        <v>6</v>
      </c>
      <c r="AV116" s="316"/>
      <c r="AW116" s="316">
        <v>4</v>
      </c>
      <c r="AX116" s="316">
        <v>3</v>
      </c>
      <c r="AY116" s="316"/>
      <c r="AZ116" s="316">
        <v>0</v>
      </c>
      <c r="BA116" s="316">
        <v>0</v>
      </c>
      <c r="BB116" s="316"/>
      <c r="BC116" s="316">
        <v>15</v>
      </c>
      <c r="BD116" s="316">
        <v>14</v>
      </c>
      <c r="BE116" s="316"/>
      <c r="BF116" s="316">
        <v>6</v>
      </c>
      <c r="BG116" s="316">
        <v>6</v>
      </c>
      <c r="BH116" s="316"/>
      <c r="BI116" s="316">
        <v>32</v>
      </c>
      <c r="BJ116" s="316">
        <v>41</v>
      </c>
      <c r="BK116" s="316"/>
      <c r="BL116" s="316">
        <v>0</v>
      </c>
      <c r="BM116" s="316">
        <v>0</v>
      </c>
      <c r="BN116" s="316"/>
      <c r="BO116" s="316">
        <v>0</v>
      </c>
      <c r="BP116" s="316">
        <v>1</v>
      </c>
      <c r="BQ116" s="316"/>
      <c r="BR116" s="316">
        <v>0</v>
      </c>
      <c r="BS116" s="316">
        <v>0</v>
      </c>
      <c r="BT116" s="316"/>
      <c r="BU116" s="316">
        <v>0</v>
      </c>
      <c r="BV116" s="316">
        <v>0</v>
      </c>
      <c r="BW116" s="316"/>
      <c r="BX116" s="316">
        <v>0</v>
      </c>
      <c r="BY116" s="316">
        <v>0</v>
      </c>
      <c r="BZ116" s="316"/>
      <c r="CA116" s="316">
        <v>1</v>
      </c>
      <c r="CB116" s="316">
        <v>1</v>
      </c>
      <c r="CC116" s="316"/>
      <c r="CD116" s="316">
        <v>0</v>
      </c>
      <c r="CE116" s="316">
        <v>0</v>
      </c>
      <c r="CF116" s="316"/>
      <c r="CG116" s="316">
        <v>49</v>
      </c>
      <c r="CH116" s="316">
        <v>46</v>
      </c>
      <c r="CI116" s="316"/>
      <c r="CJ116" s="316">
        <v>0</v>
      </c>
      <c r="CK116" s="316">
        <v>0</v>
      </c>
    </row>
    <row r="117" spans="1:89" ht="30" x14ac:dyDescent="0.25">
      <c r="A117" s="95"/>
      <c r="B117" s="248" t="s">
        <v>1652</v>
      </c>
      <c r="C117" s="312" t="s">
        <v>2742</v>
      </c>
      <c r="D117" s="95" t="s">
        <v>1763</v>
      </c>
      <c r="E117" s="291"/>
      <c r="F117" s="291"/>
      <c r="G117" s="291"/>
      <c r="H117" s="291"/>
      <c r="I117" s="282">
        <v>84</v>
      </c>
      <c r="J117" s="282">
        <v>98</v>
      </c>
      <c r="K117" s="282">
        <v>100</v>
      </c>
      <c r="L117" s="282">
        <v>0</v>
      </c>
      <c r="M117" s="282">
        <v>0</v>
      </c>
      <c r="N117" s="282">
        <v>0</v>
      </c>
      <c r="O117" s="281"/>
      <c r="P117" s="295"/>
      <c r="Q117" s="316">
        <f t="shared" si="197"/>
        <v>100</v>
      </c>
      <c r="R117" s="316">
        <f t="shared" si="198"/>
        <v>100</v>
      </c>
      <c r="S117" s="316">
        <v>1</v>
      </c>
      <c r="T117" s="316">
        <v>1</v>
      </c>
      <c r="U117" s="316"/>
      <c r="V117" s="316">
        <v>0</v>
      </c>
      <c r="W117" s="316">
        <v>0</v>
      </c>
      <c r="X117" s="316"/>
      <c r="Y117" s="316">
        <v>0</v>
      </c>
      <c r="Z117" s="316">
        <v>0</v>
      </c>
      <c r="AA117" s="316"/>
      <c r="AB117" s="316">
        <v>0</v>
      </c>
      <c r="AC117" s="316">
        <v>0</v>
      </c>
      <c r="AD117" s="316"/>
      <c r="AE117" s="316">
        <v>0</v>
      </c>
      <c r="AF117" s="316">
        <v>0</v>
      </c>
      <c r="AG117" s="316"/>
      <c r="AH117" s="316">
        <v>0</v>
      </c>
      <c r="AI117" s="316">
        <v>0</v>
      </c>
      <c r="AJ117" s="316"/>
      <c r="AK117" s="316">
        <v>12</v>
      </c>
      <c r="AL117" s="316">
        <v>12</v>
      </c>
      <c r="AM117" s="316"/>
      <c r="AN117" s="316">
        <v>1</v>
      </c>
      <c r="AO117" s="316">
        <v>1</v>
      </c>
      <c r="AP117" s="316"/>
      <c r="AQ117" s="316">
        <v>0</v>
      </c>
      <c r="AR117" s="316">
        <v>0</v>
      </c>
      <c r="AS117" s="316"/>
      <c r="AT117" s="316">
        <v>6</v>
      </c>
      <c r="AU117" s="316">
        <v>6</v>
      </c>
      <c r="AV117" s="316"/>
      <c r="AW117" s="316">
        <v>3</v>
      </c>
      <c r="AX117" s="316">
        <v>4</v>
      </c>
      <c r="AY117" s="316"/>
      <c r="AZ117" s="316">
        <v>0</v>
      </c>
      <c r="BA117" s="316">
        <v>0</v>
      </c>
      <c r="BB117" s="316"/>
      <c r="BC117" s="316">
        <v>2</v>
      </c>
      <c r="BD117" s="316">
        <v>3</v>
      </c>
      <c r="BE117" s="316"/>
      <c r="BF117" s="316">
        <v>4</v>
      </c>
      <c r="BG117" s="316">
        <v>5</v>
      </c>
      <c r="BH117" s="316"/>
      <c r="BI117" s="316">
        <v>39</v>
      </c>
      <c r="BJ117" s="316">
        <v>34</v>
      </c>
      <c r="BK117" s="316"/>
      <c r="BL117" s="316">
        <v>0</v>
      </c>
      <c r="BM117" s="316">
        <v>0</v>
      </c>
      <c r="BN117" s="316"/>
      <c r="BO117" s="316">
        <v>1</v>
      </c>
      <c r="BP117" s="316">
        <v>1</v>
      </c>
      <c r="BQ117" s="316"/>
      <c r="BR117" s="316">
        <v>0</v>
      </c>
      <c r="BS117" s="316">
        <v>0</v>
      </c>
      <c r="BT117" s="316"/>
      <c r="BU117" s="316">
        <v>0</v>
      </c>
      <c r="BV117" s="316">
        <v>0</v>
      </c>
      <c r="BW117" s="316"/>
      <c r="BX117" s="316">
        <v>0</v>
      </c>
      <c r="BY117" s="316">
        <v>0</v>
      </c>
      <c r="BZ117" s="316"/>
      <c r="CA117" s="316">
        <v>0</v>
      </c>
      <c r="CB117" s="316">
        <v>0</v>
      </c>
      <c r="CC117" s="316"/>
      <c r="CD117" s="316">
        <v>0</v>
      </c>
      <c r="CE117" s="316">
        <v>0</v>
      </c>
      <c r="CF117" s="316"/>
      <c r="CG117" s="316">
        <v>31</v>
      </c>
      <c r="CH117" s="316">
        <v>33</v>
      </c>
      <c r="CI117" s="316"/>
      <c r="CJ117" s="316">
        <v>0</v>
      </c>
      <c r="CK117" s="316">
        <v>0</v>
      </c>
    </row>
    <row r="118" spans="1:89" ht="30" x14ac:dyDescent="0.25">
      <c r="A118" s="95"/>
      <c r="B118" s="248" t="s">
        <v>1653</v>
      </c>
      <c r="C118" s="312" t="s">
        <v>2743</v>
      </c>
      <c r="D118" s="95" t="s">
        <v>1763</v>
      </c>
      <c r="E118" s="291"/>
      <c r="F118" s="291"/>
      <c r="G118" s="291"/>
      <c r="H118" s="291"/>
      <c r="I118" s="282">
        <v>2</v>
      </c>
      <c r="J118" s="282">
        <v>1</v>
      </c>
      <c r="K118" s="282">
        <v>1</v>
      </c>
      <c r="L118" s="282">
        <v>0</v>
      </c>
      <c r="M118" s="282">
        <v>0</v>
      </c>
      <c r="N118" s="282">
        <v>0</v>
      </c>
      <c r="O118" s="281"/>
      <c r="P118" s="295"/>
      <c r="Q118" s="316">
        <f t="shared" si="197"/>
        <v>1</v>
      </c>
      <c r="R118" s="316">
        <f t="shared" si="198"/>
        <v>1</v>
      </c>
      <c r="S118" s="316">
        <v>0</v>
      </c>
      <c r="T118" s="316">
        <v>0</v>
      </c>
      <c r="U118" s="316"/>
      <c r="V118" s="316">
        <v>0</v>
      </c>
      <c r="W118" s="316">
        <v>0</v>
      </c>
      <c r="X118" s="316"/>
      <c r="Y118" s="316">
        <v>0</v>
      </c>
      <c r="Z118" s="316">
        <v>0</v>
      </c>
      <c r="AA118" s="316"/>
      <c r="AB118" s="316">
        <v>0</v>
      </c>
      <c r="AC118" s="316">
        <v>0</v>
      </c>
      <c r="AD118" s="316"/>
      <c r="AE118" s="316">
        <v>0</v>
      </c>
      <c r="AF118" s="316">
        <v>0</v>
      </c>
      <c r="AG118" s="316"/>
      <c r="AH118" s="316">
        <v>0</v>
      </c>
      <c r="AI118" s="316">
        <v>0</v>
      </c>
      <c r="AJ118" s="316"/>
      <c r="AK118" s="316">
        <v>0</v>
      </c>
      <c r="AL118" s="316">
        <v>0</v>
      </c>
      <c r="AM118" s="316"/>
      <c r="AN118" s="316">
        <v>0</v>
      </c>
      <c r="AO118" s="316">
        <v>0</v>
      </c>
      <c r="AP118" s="316"/>
      <c r="AQ118" s="316">
        <v>0</v>
      </c>
      <c r="AR118" s="316">
        <v>0</v>
      </c>
      <c r="AS118" s="316"/>
      <c r="AT118" s="316">
        <v>0</v>
      </c>
      <c r="AU118" s="316">
        <v>0</v>
      </c>
      <c r="AV118" s="316"/>
      <c r="AW118" s="316">
        <v>0</v>
      </c>
      <c r="AX118" s="316">
        <v>0</v>
      </c>
      <c r="AY118" s="316"/>
      <c r="AZ118" s="316">
        <v>0</v>
      </c>
      <c r="BA118" s="316">
        <v>0</v>
      </c>
      <c r="BB118" s="316"/>
      <c r="BC118" s="316">
        <v>0</v>
      </c>
      <c r="BD118" s="316">
        <v>0</v>
      </c>
      <c r="BE118" s="316"/>
      <c r="BF118" s="316">
        <v>0</v>
      </c>
      <c r="BG118" s="316">
        <v>0</v>
      </c>
      <c r="BH118" s="316"/>
      <c r="BI118" s="316">
        <v>1</v>
      </c>
      <c r="BJ118" s="316">
        <v>0</v>
      </c>
      <c r="BK118" s="316"/>
      <c r="BL118" s="316">
        <v>0</v>
      </c>
      <c r="BM118" s="316">
        <v>0</v>
      </c>
      <c r="BN118" s="316"/>
      <c r="BO118" s="316">
        <v>0</v>
      </c>
      <c r="BP118" s="316">
        <v>0</v>
      </c>
      <c r="BQ118" s="316"/>
      <c r="BR118" s="316">
        <v>0</v>
      </c>
      <c r="BS118" s="316">
        <v>0</v>
      </c>
      <c r="BT118" s="316"/>
      <c r="BU118" s="316">
        <v>0</v>
      </c>
      <c r="BV118" s="316">
        <v>0</v>
      </c>
      <c r="BW118" s="316"/>
      <c r="BX118" s="316">
        <v>0</v>
      </c>
      <c r="BY118" s="316">
        <v>0</v>
      </c>
      <c r="BZ118" s="316"/>
      <c r="CA118" s="316">
        <v>0</v>
      </c>
      <c r="CB118" s="316">
        <v>0</v>
      </c>
      <c r="CC118" s="316"/>
      <c r="CD118" s="316">
        <v>0</v>
      </c>
      <c r="CE118" s="316">
        <v>0</v>
      </c>
      <c r="CF118" s="316"/>
      <c r="CG118" s="316">
        <v>0</v>
      </c>
      <c r="CH118" s="316">
        <v>1</v>
      </c>
      <c r="CI118" s="316"/>
      <c r="CJ118" s="316">
        <v>0</v>
      </c>
      <c r="CK118" s="316">
        <v>0</v>
      </c>
    </row>
    <row r="119" spans="1:89" x14ac:dyDescent="0.25">
      <c r="A119" s="95"/>
      <c r="B119" s="96" t="s">
        <v>1185</v>
      </c>
      <c r="C119" s="16"/>
      <c r="D119" s="95"/>
      <c r="E119" s="291"/>
      <c r="F119" s="291"/>
      <c r="G119" s="291"/>
      <c r="H119" s="291"/>
      <c r="I119" s="282"/>
      <c r="J119" s="291"/>
      <c r="K119" s="291"/>
      <c r="L119" s="291"/>
      <c r="M119" s="291"/>
      <c r="N119" s="291"/>
      <c r="O119" s="281"/>
      <c r="Q119" s="316"/>
      <c r="R119" s="316"/>
      <c r="S119" s="316"/>
      <c r="T119" s="316"/>
      <c r="U119" s="316"/>
      <c r="V119" s="316"/>
      <c r="W119" s="316"/>
      <c r="X119" s="316"/>
      <c r="Y119" s="316"/>
      <c r="Z119" s="316"/>
      <c r="AA119" s="316"/>
      <c r="AB119" s="316"/>
      <c r="AC119" s="316"/>
      <c r="AD119" s="316"/>
      <c r="AE119" s="316"/>
      <c r="AF119" s="316"/>
      <c r="AG119" s="316"/>
      <c r="AH119" s="316"/>
      <c r="AI119" s="316"/>
      <c r="AJ119" s="316"/>
      <c r="AK119" s="316"/>
      <c r="AL119" s="316"/>
      <c r="AM119" s="316"/>
      <c r="AN119" s="316"/>
      <c r="AO119" s="316"/>
      <c r="AP119" s="316"/>
      <c r="AQ119" s="316"/>
      <c r="AR119" s="316"/>
      <c r="AS119" s="316"/>
      <c r="AT119" s="316"/>
      <c r="AU119" s="316"/>
      <c r="AV119" s="316"/>
      <c r="AW119" s="316"/>
      <c r="AX119" s="316"/>
      <c r="AY119" s="316"/>
      <c r="AZ119" s="316"/>
      <c r="BA119" s="316"/>
      <c r="BB119" s="316"/>
      <c r="BC119" s="316"/>
      <c r="BD119" s="316"/>
      <c r="BE119" s="316"/>
      <c r="BF119" s="316"/>
      <c r="BG119" s="316"/>
      <c r="BH119" s="316"/>
      <c r="BI119" s="316"/>
      <c r="BJ119" s="316"/>
      <c r="BK119" s="316"/>
      <c r="BL119" s="316"/>
      <c r="BM119" s="316"/>
      <c r="BN119" s="316"/>
      <c r="BO119" s="316"/>
      <c r="BP119" s="316"/>
      <c r="BQ119" s="316"/>
      <c r="BR119" s="316"/>
      <c r="BS119" s="316"/>
      <c r="BT119" s="316"/>
      <c r="BU119" s="316"/>
      <c r="BV119" s="316"/>
      <c r="BW119" s="316"/>
      <c r="BX119" s="316"/>
      <c r="BY119" s="316"/>
      <c r="BZ119" s="316"/>
      <c r="CA119" s="316"/>
      <c r="CB119" s="316"/>
      <c r="CC119" s="316"/>
      <c r="CD119" s="316"/>
      <c r="CE119" s="316"/>
      <c r="CF119" s="316"/>
      <c r="CG119" s="316"/>
      <c r="CH119" s="316"/>
      <c r="CI119" s="316"/>
      <c r="CJ119" s="316"/>
      <c r="CK119" s="316"/>
    </row>
    <row r="120" spans="1:89" ht="30" x14ac:dyDescent="0.25">
      <c r="A120" s="95"/>
      <c r="B120" s="248" t="s">
        <v>1651</v>
      </c>
      <c r="C120" s="312" t="s">
        <v>2678</v>
      </c>
      <c r="D120" s="95" t="s">
        <v>1763</v>
      </c>
      <c r="E120" s="291"/>
      <c r="F120" s="291"/>
      <c r="G120" s="291"/>
      <c r="H120" s="291"/>
      <c r="I120" s="282">
        <v>537</v>
      </c>
      <c r="J120" s="282">
        <v>538</v>
      </c>
      <c r="K120" s="282">
        <v>532</v>
      </c>
      <c r="L120" s="282">
        <v>73</v>
      </c>
      <c r="M120" s="282">
        <v>71</v>
      </c>
      <c r="N120" s="282">
        <v>68</v>
      </c>
      <c r="O120" s="281"/>
      <c r="P120" s="295"/>
      <c r="Q120" s="316">
        <f t="shared" ref="Q120:Q125" si="199">S120+V120+Y120+AB120+AE120+AH120+AK120+AN120+AQ120+AT120+AW120+AZ120+BC120+BF120+BI120+BL120+BO120+BR120+BU120+BX120+CA120+CD120+CG120+CJ120</f>
        <v>532</v>
      </c>
      <c r="R120" s="316">
        <f t="shared" ref="R120:R125" si="200">T120+W120+Z120+AC120+AF120+AI120+AL120+AO120+AR120+AU120+AX120+BA120+BD120+BG120+BJ120+BM120+BP120+BS120+BV120+BY120+CB120+CE120+CH120+CK120</f>
        <v>531</v>
      </c>
      <c r="S120" s="316">
        <v>33</v>
      </c>
      <c r="T120" s="316">
        <v>34</v>
      </c>
      <c r="U120" s="316"/>
      <c r="V120" s="316">
        <v>54</v>
      </c>
      <c r="W120" s="316">
        <v>58</v>
      </c>
      <c r="X120" s="316"/>
      <c r="Y120" s="316">
        <v>48</v>
      </c>
      <c r="Z120" s="316">
        <v>47</v>
      </c>
      <c r="AA120" s="316"/>
      <c r="AB120" s="316">
        <v>62</v>
      </c>
      <c r="AC120" s="316">
        <v>62</v>
      </c>
      <c r="AD120" s="316"/>
      <c r="AE120" s="316">
        <v>44</v>
      </c>
      <c r="AF120" s="316">
        <v>39</v>
      </c>
      <c r="AG120" s="316"/>
      <c r="AH120" s="316">
        <v>74</v>
      </c>
      <c r="AI120" s="316">
        <v>73</v>
      </c>
      <c r="AJ120" s="316"/>
      <c r="AK120" s="316">
        <v>5</v>
      </c>
      <c r="AL120" s="316">
        <v>5</v>
      </c>
      <c r="AM120" s="316"/>
      <c r="AN120" s="316">
        <v>111</v>
      </c>
      <c r="AO120" s="316">
        <v>112</v>
      </c>
      <c r="AP120" s="316"/>
      <c r="AQ120" s="316">
        <v>101</v>
      </c>
      <c r="AR120" s="316">
        <v>101</v>
      </c>
      <c r="AS120" s="316"/>
      <c r="AT120" s="316">
        <v>0</v>
      </c>
      <c r="AU120" s="316">
        <v>0</v>
      </c>
      <c r="AV120" s="316"/>
      <c r="AW120" s="316">
        <v>0</v>
      </c>
      <c r="AX120" s="316">
        <v>0</v>
      </c>
      <c r="AY120" s="316"/>
      <c r="AZ120" s="316">
        <v>0</v>
      </c>
      <c r="BA120" s="316">
        <v>0</v>
      </c>
      <c r="BB120" s="316"/>
      <c r="BC120" s="316">
        <v>0</v>
      </c>
      <c r="BD120" s="316">
        <v>0</v>
      </c>
      <c r="BE120" s="316"/>
      <c r="BF120" s="316">
        <v>0</v>
      </c>
      <c r="BG120" s="316">
        <v>0</v>
      </c>
      <c r="BH120" s="316"/>
      <c r="BI120" s="316">
        <v>0</v>
      </c>
      <c r="BJ120" s="316">
        <v>0</v>
      </c>
      <c r="BK120" s="316"/>
      <c r="BL120" s="316">
        <v>0</v>
      </c>
      <c r="BM120" s="316">
        <v>0</v>
      </c>
      <c r="BN120" s="316"/>
      <c r="BO120" s="316">
        <v>0</v>
      </c>
      <c r="BP120" s="316">
        <v>0</v>
      </c>
      <c r="BQ120" s="316"/>
      <c r="BR120" s="316">
        <v>0</v>
      </c>
      <c r="BS120" s="316">
        <v>0</v>
      </c>
      <c r="BT120" s="316"/>
      <c r="BU120" s="316">
        <v>0</v>
      </c>
      <c r="BV120" s="316">
        <v>0</v>
      </c>
      <c r="BW120" s="316"/>
      <c r="BX120" s="316">
        <v>0</v>
      </c>
      <c r="BY120" s="316">
        <v>0</v>
      </c>
      <c r="BZ120" s="316"/>
      <c r="CA120" s="316">
        <v>0</v>
      </c>
      <c r="CB120" s="316">
        <v>0</v>
      </c>
      <c r="CC120" s="316"/>
      <c r="CD120" s="316">
        <v>0</v>
      </c>
      <c r="CE120" s="316">
        <v>0</v>
      </c>
      <c r="CF120" s="316"/>
      <c r="CG120" s="316">
        <v>0</v>
      </c>
      <c r="CH120" s="316">
        <v>0</v>
      </c>
      <c r="CI120" s="316"/>
      <c r="CJ120" s="316">
        <v>0</v>
      </c>
      <c r="CK120" s="316">
        <v>0</v>
      </c>
    </row>
    <row r="121" spans="1:89" ht="30" x14ac:dyDescent="0.25">
      <c r="A121" s="95"/>
      <c r="B121" s="248" t="s">
        <v>1652</v>
      </c>
      <c r="C121" s="312" t="s">
        <v>2679</v>
      </c>
      <c r="D121" s="95" t="s">
        <v>1763</v>
      </c>
      <c r="E121" s="291"/>
      <c r="F121" s="291"/>
      <c r="G121" s="291"/>
      <c r="H121" s="291"/>
      <c r="I121" s="282">
        <v>623</v>
      </c>
      <c r="J121" s="282">
        <v>608</v>
      </c>
      <c r="K121" s="282">
        <v>617</v>
      </c>
      <c r="L121" s="282">
        <v>98</v>
      </c>
      <c r="M121" s="282">
        <v>95</v>
      </c>
      <c r="N121" s="282">
        <v>95</v>
      </c>
      <c r="O121" s="281"/>
      <c r="P121" s="295"/>
      <c r="Q121" s="316">
        <f t="shared" si="199"/>
        <v>617</v>
      </c>
      <c r="R121" s="316">
        <f t="shared" si="200"/>
        <v>616</v>
      </c>
      <c r="S121" s="316">
        <v>37</v>
      </c>
      <c r="T121" s="316">
        <v>36</v>
      </c>
      <c r="U121" s="316"/>
      <c r="V121" s="316">
        <v>48</v>
      </c>
      <c r="W121" s="316">
        <v>47</v>
      </c>
      <c r="X121" s="316"/>
      <c r="Y121" s="316">
        <v>58</v>
      </c>
      <c r="Z121" s="316">
        <v>59</v>
      </c>
      <c r="AA121" s="316"/>
      <c r="AB121" s="316">
        <v>73</v>
      </c>
      <c r="AC121" s="316">
        <v>71</v>
      </c>
      <c r="AD121" s="316"/>
      <c r="AE121" s="316">
        <v>57</v>
      </c>
      <c r="AF121" s="316">
        <v>52</v>
      </c>
      <c r="AG121" s="316"/>
      <c r="AH121" s="316">
        <v>98</v>
      </c>
      <c r="AI121" s="316">
        <v>99</v>
      </c>
      <c r="AJ121" s="316"/>
      <c r="AK121" s="316">
        <v>6</v>
      </c>
      <c r="AL121" s="316">
        <v>6</v>
      </c>
      <c r="AM121" s="316"/>
      <c r="AN121" s="316">
        <v>119</v>
      </c>
      <c r="AO121" s="316">
        <v>119</v>
      </c>
      <c r="AP121" s="316"/>
      <c r="AQ121" s="316">
        <v>117</v>
      </c>
      <c r="AR121" s="316">
        <v>123</v>
      </c>
      <c r="AS121" s="316"/>
      <c r="AT121" s="316">
        <v>0</v>
      </c>
      <c r="AU121" s="316">
        <v>0</v>
      </c>
      <c r="AV121" s="316"/>
      <c r="AW121" s="316">
        <v>0</v>
      </c>
      <c r="AX121" s="316">
        <v>0</v>
      </c>
      <c r="AY121" s="316"/>
      <c r="AZ121" s="316">
        <v>0</v>
      </c>
      <c r="BA121" s="316">
        <v>0</v>
      </c>
      <c r="BB121" s="316"/>
      <c r="BC121" s="316">
        <v>0</v>
      </c>
      <c r="BD121" s="316">
        <v>0</v>
      </c>
      <c r="BE121" s="316"/>
      <c r="BF121" s="316">
        <v>0</v>
      </c>
      <c r="BG121" s="316">
        <v>0</v>
      </c>
      <c r="BH121" s="316"/>
      <c r="BI121" s="316">
        <v>0</v>
      </c>
      <c r="BJ121" s="316">
        <v>0</v>
      </c>
      <c r="BK121" s="316"/>
      <c r="BL121" s="316">
        <v>0</v>
      </c>
      <c r="BM121" s="316">
        <v>0</v>
      </c>
      <c r="BN121" s="316"/>
      <c r="BO121" s="316">
        <v>0</v>
      </c>
      <c r="BP121" s="316">
        <v>0</v>
      </c>
      <c r="BQ121" s="316"/>
      <c r="BR121" s="316">
        <v>0</v>
      </c>
      <c r="BS121" s="316">
        <v>0</v>
      </c>
      <c r="BT121" s="316"/>
      <c r="BU121" s="316">
        <v>0</v>
      </c>
      <c r="BV121" s="316">
        <v>0</v>
      </c>
      <c r="BW121" s="316"/>
      <c r="BX121" s="316">
        <v>0</v>
      </c>
      <c r="BY121" s="316">
        <v>0</v>
      </c>
      <c r="BZ121" s="316"/>
      <c r="CA121" s="316">
        <v>0</v>
      </c>
      <c r="CB121" s="316">
        <v>0</v>
      </c>
      <c r="CC121" s="316"/>
      <c r="CD121" s="316">
        <v>0</v>
      </c>
      <c r="CE121" s="316">
        <v>0</v>
      </c>
      <c r="CF121" s="316"/>
      <c r="CG121" s="316">
        <v>4</v>
      </c>
      <c r="CH121" s="316">
        <v>4</v>
      </c>
      <c r="CI121" s="316"/>
      <c r="CJ121" s="316">
        <v>0</v>
      </c>
      <c r="CK121" s="316">
        <v>0</v>
      </c>
    </row>
    <row r="122" spans="1:89" ht="30" x14ac:dyDescent="0.25">
      <c r="A122" s="95"/>
      <c r="B122" s="248" t="s">
        <v>1653</v>
      </c>
      <c r="C122" s="312" t="s">
        <v>2680</v>
      </c>
      <c r="D122" s="95" t="s">
        <v>1763</v>
      </c>
      <c r="E122" s="291"/>
      <c r="F122" s="291"/>
      <c r="G122" s="291"/>
      <c r="H122" s="291"/>
      <c r="I122" s="282">
        <v>189</v>
      </c>
      <c r="J122" s="282">
        <v>183</v>
      </c>
      <c r="K122" s="282">
        <v>186</v>
      </c>
      <c r="L122" s="282">
        <v>24</v>
      </c>
      <c r="M122" s="282">
        <v>23</v>
      </c>
      <c r="N122" s="282">
        <v>24</v>
      </c>
      <c r="O122" s="281"/>
      <c r="P122" s="295"/>
      <c r="Q122" s="316">
        <f t="shared" si="199"/>
        <v>186</v>
      </c>
      <c r="R122" s="316">
        <f t="shared" si="200"/>
        <v>183</v>
      </c>
      <c r="S122" s="316">
        <v>13</v>
      </c>
      <c r="T122" s="316">
        <v>12</v>
      </c>
      <c r="U122" s="316"/>
      <c r="V122" s="316">
        <v>18</v>
      </c>
      <c r="W122" s="316">
        <v>16</v>
      </c>
      <c r="X122" s="316"/>
      <c r="Y122" s="316">
        <v>20</v>
      </c>
      <c r="Z122" s="316">
        <v>20</v>
      </c>
      <c r="AA122" s="316"/>
      <c r="AB122" s="316">
        <v>21</v>
      </c>
      <c r="AC122" s="316">
        <v>23</v>
      </c>
      <c r="AD122" s="316"/>
      <c r="AE122" s="316">
        <v>20</v>
      </c>
      <c r="AF122" s="316">
        <v>18</v>
      </c>
      <c r="AG122" s="316"/>
      <c r="AH122" s="316">
        <v>27</v>
      </c>
      <c r="AI122" s="316">
        <v>25</v>
      </c>
      <c r="AJ122" s="316"/>
      <c r="AK122" s="316">
        <v>2</v>
      </c>
      <c r="AL122" s="316">
        <v>3</v>
      </c>
      <c r="AM122" s="316"/>
      <c r="AN122" s="316">
        <v>28</v>
      </c>
      <c r="AO122" s="316">
        <v>27</v>
      </c>
      <c r="AP122" s="316"/>
      <c r="AQ122" s="316">
        <v>33</v>
      </c>
      <c r="AR122" s="316">
        <v>35</v>
      </c>
      <c r="AS122" s="316"/>
      <c r="AT122" s="316">
        <v>0</v>
      </c>
      <c r="AU122" s="316">
        <v>0</v>
      </c>
      <c r="AV122" s="316"/>
      <c r="AW122" s="316">
        <v>0</v>
      </c>
      <c r="AX122" s="316">
        <v>0</v>
      </c>
      <c r="AY122" s="316"/>
      <c r="AZ122" s="316">
        <v>0</v>
      </c>
      <c r="BA122" s="316">
        <v>0</v>
      </c>
      <c r="BB122" s="316"/>
      <c r="BC122" s="316">
        <v>0</v>
      </c>
      <c r="BD122" s="316">
        <v>0</v>
      </c>
      <c r="BE122" s="316"/>
      <c r="BF122" s="316">
        <v>0</v>
      </c>
      <c r="BG122" s="316">
        <v>0</v>
      </c>
      <c r="BH122" s="316"/>
      <c r="BI122" s="316">
        <v>0</v>
      </c>
      <c r="BJ122" s="316">
        <v>0</v>
      </c>
      <c r="BK122" s="316"/>
      <c r="BL122" s="316">
        <v>0</v>
      </c>
      <c r="BM122" s="316">
        <v>0</v>
      </c>
      <c r="BN122" s="316"/>
      <c r="BO122" s="316">
        <v>0</v>
      </c>
      <c r="BP122" s="316">
        <v>0</v>
      </c>
      <c r="BQ122" s="316"/>
      <c r="BR122" s="316">
        <v>0</v>
      </c>
      <c r="BS122" s="316">
        <v>0</v>
      </c>
      <c r="BT122" s="316"/>
      <c r="BU122" s="316">
        <v>0</v>
      </c>
      <c r="BV122" s="316">
        <v>0</v>
      </c>
      <c r="BW122" s="316"/>
      <c r="BX122" s="316">
        <v>0</v>
      </c>
      <c r="BY122" s="316">
        <v>0</v>
      </c>
      <c r="BZ122" s="316"/>
      <c r="CA122" s="316">
        <v>0</v>
      </c>
      <c r="CB122" s="316">
        <v>0</v>
      </c>
      <c r="CC122" s="316"/>
      <c r="CD122" s="316">
        <v>0</v>
      </c>
      <c r="CE122" s="316">
        <v>0</v>
      </c>
      <c r="CF122" s="316"/>
      <c r="CG122" s="316">
        <v>4</v>
      </c>
      <c r="CH122" s="316">
        <v>4</v>
      </c>
      <c r="CI122" s="316"/>
      <c r="CJ122" s="316">
        <v>0</v>
      </c>
      <c r="CK122" s="316">
        <v>0</v>
      </c>
    </row>
    <row r="123" spans="1:89" ht="30" x14ac:dyDescent="0.25">
      <c r="A123" s="95"/>
      <c r="B123" s="248" t="s">
        <v>1651</v>
      </c>
      <c r="C123" s="312" t="s">
        <v>2681</v>
      </c>
      <c r="D123" s="95" t="s">
        <v>1763</v>
      </c>
      <c r="E123" s="291"/>
      <c r="F123" s="291"/>
      <c r="G123" s="291"/>
      <c r="H123" s="291"/>
      <c r="I123" s="282">
        <v>0</v>
      </c>
      <c r="J123" s="282">
        <v>0</v>
      </c>
      <c r="K123" s="282">
        <v>1</v>
      </c>
      <c r="L123" s="282">
        <v>0</v>
      </c>
      <c r="M123" s="282">
        <v>0</v>
      </c>
      <c r="N123" s="282">
        <v>0</v>
      </c>
      <c r="O123" s="281"/>
      <c r="P123" s="295"/>
      <c r="Q123" s="316">
        <f t="shared" si="199"/>
        <v>1</v>
      </c>
      <c r="R123" s="316">
        <f t="shared" si="200"/>
        <v>1</v>
      </c>
      <c r="S123" s="316">
        <v>0</v>
      </c>
      <c r="T123" s="316">
        <v>0</v>
      </c>
      <c r="U123" s="316"/>
      <c r="V123" s="316">
        <v>0</v>
      </c>
      <c r="W123" s="316">
        <v>0</v>
      </c>
      <c r="X123" s="316"/>
      <c r="Y123" s="316">
        <v>0</v>
      </c>
      <c r="Z123" s="316">
        <v>0</v>
      </c>
      <c r="AA123" s="316"/>
      <c r="AB123" s="316">
        <v>0</v>
      </c>
      <c r="AC123" s="316">
        <v>0</v>
      </c>
      <c r="AD123" s="316"/>
      <c r="AE123" s="316">
        <v>0</v>
      </c>
      <c r="AF123" s="316">
        <v>0</v>
      </c>
      <c r="AG123" s="316"/>
      <c r="AH123" s="316">
        <v>0</v>
      </c>
      <c r="AI123" s="316">
        <v>0</v>
      </c>
      <c r="AJ123" s="316"/>
      <c r="AK123" s="316">
        <v>0</v>
      </c>
      <c r="AL123" s="316">
        <v>0</v>
      </c>
      <c r="AM123" s="316"/>
      <c r="AN123" s="316">
        <v>1</v>
      </c>
      <c r="AO123" s="316">
        <v>1</v>
      </c>
      <c r="AP123" s="316"/>
      <c r="AQ123" s="316">
        <v>0</v>
      </c>
      <c r="AR123" s="316">
        <v>0</v>
      </c>
      <c r="AS123" s="316"/>
      <c r="AT123" s="316">
        <v>0</v>
      </c>
      <c r="AU123" s="316">
        <v>0</v>
      </c>
      <c r="AV123" s="316"/>
      <c r="AW123" s="316">
        <v>0</v>
      </c>
      <c r="AX123" s="316">
        <v>0</v>
      </c>
      <c r="AY123" s="316"/>
      <c r="AZ123" s="316">
        <v>0</v>
      </c>
      <c r="BA123" s="316">
        <v>0</v>
      </c>
      <c r="BB123" s="316"/>
      <c r="BC123" s="316">
        <v>0</v>
      </c>
      <c r="BD123" s="316">
        <v>0</v>
      </c>
      <c r="BE123" s="316"/>
      <c r="BF123" s="316">
        <v>0</v>
      </c>
      <c r="BG123" s="316">
        <v>0</v>
      </c>
      <c r="BH123" s="316"/>
      <c r="BI123" s="316">
        <v>0</v>
      </c>
      <c r="BJ123" s="316">
        <v>0</v>
      </c>
      <c r="BK123" s="316"/>
      <c r="BL123" s="316">
        <v>0</v>
      </c>
      <c r="BM123" s="316">
        <v>0</v>
      </c>
      <c r="BN123" s="316"/>
      <c r="BO123" s="316">
        <v>0</v>
      </c>
      <c r="BP123" s="316">
        <v>0</v>
      </c>
      <c r="BQ123" s="316"/>
      <c r="BR123" s="316">
        <v>0</v>
      </c>
      <c r="BS123" s="316">
        <v>0</v>
      </c>
      <c r="BT123" s="316"/>
      <c r="BU123" s="316">
        <v>0</v>
      </c>
      <c r="BV123" s="316">
        <v>0</v>
      </c>
      <c r="BW123" s="316"/>
      <c r="BX123" s="316">
        <v>0</v>
      </c>
      <c r="BY123" s="316">
        <v>0</v>
      </c>
      <c r="BZ123" s="316"/>
      <c r="CA123" s="316">
        <v>0</v>
      </c>
      <c r="CB123" s="316">
        <v>0</v>
      </c>
      <c r="CC123" s="316"/>
      <c r="CD123" s="316">
        <v>0</v>
      </c>
      <c r="CE123" s="316">
        <v>0</v>
      </c>
      <c r="CF123" s="316"/>
      <c r="CG123" s="316">
        <v>0</v>
      </c>
      <c r="CH123" s="316">
        <v>0</v>
      </c>
      <c r="CI123" s="316"/>
      <c r="CJ123" s="316">
        <v>0</v>
      </c>
      <c r="CK123" s="316">
        <v>0</v>
      </c>
    </row>
    <row r="124" spans="1:89" ht="30" x14ac:dyDescent="0.25">
      <c r="A124" s="95"/>
      <c r="B124" s="248" t="s">
        <v>1652</v>
      </c>
      <c r="C124" s="312" t="s">
        <v>2742</v>
      </c>
      <c r="D124" s="95" t="s">
        <v>1763</v>
      </c>
      <c r="E124" s="291"/>
      <c r="F124" s="291"/>
      <c r="G124" s="291"/>
      <c r="H124" s="291"/>
      <c r="I124" s="282">
        <v>0</v>
      </c>
      <c r="J124" s="282">
        <v>0</v>
      </c>
      <c r="K124" s="282">
        <v>0</v>
      </c>
      <c r="L124" s="282">
        <v>0</v>
      </c>
      <c r="M124" s="282">
        <v>0</v>
      </c>
      <c r="N124" s="282">
        <v>0</v>
      </c>
      <c r="O124" s="281"/>
      <c r="P124" s="295"/>
      <c r="Q124" s="316">
        <f t="shared" si="199"/>
        <v>0</v>
      </c>
      <c r="R124" s="316">
        <f t="shared" si="200"/>
        <v>2</v>
      </c>
      <c r="S124" s="316">
        <v>0</v>
      </c>
      <c r="T124" s="316">
        <v>0</v>
      </c>
      <c r="U124" s="316"/>
      <c r="V124" s="316">
        <v>0</v>
      </c>
      <c r="W124" s="316">
        <v>0</v>
      </c>
      <c r="X124" s="316"/>
      <c r="Y124" s="316">
        <v>0</v>
      </c>
      <c r="Z124" s="316">
        <v>0</v>
      </c>
      <c r="AA124" s="316"/>
      <c r="AB124" s="316">
        <v>0</v>
      </c>
      <c r="AC124" s="316">
        <v>0</v>
      </c>
      <c r="AD124" s="316"/>
      <c r="AE124" s="316">
        <v>0</v>
      </c>
      <c r="AF124" s="316">
        <v>2</v>
      </c>
      <c r="AG124" s="316"/>
      <c r="AH124" s="316">
        <v>0</v>
      </c>
      <c r="AI124" s="316">
        <v>0</v>
      </c>
      <c r="AJ124" s="316"/>
      <c r="AK124" s="316">
        <v>0</v>
      </c>
      <c r="AL124" s="316">
        <v>0</v>
      </c>
      <c r="AM124" s="316"/>
      <c r="AN124" s="316">
        <v>0</v>
      </c>
      <c r="AO124" s="316">
        <v>0</v>
      </c>
      <c r="AP124" s="316"/>
      <c r="AQ124" s="316">
        <v>0</v>
      </c>
      <c r="AR124" s="316">
        <v>0</v>
      </c>
      <c r="AS124" s="316"/>
      <c r="AT124" s="316">
        <v>0</v>
      </c>
      <c r="AU124" s="316">
        <v>0</v>
      </c>
      <c r="AV124" s="316"/>
      <c r="AW124" s="316">
        <v>0</v>
      </c>
      <c r="AX124" s="316">
        <v>0</v>
      </c>
      <c r="AY124" s="316"/>
      <c r="AZ124" s="316">
        <v>0</v>
      </c>
      <c r="BA124" s="316">
        <v>0</v>
      </c>
      <c r="BB124" s="316"/>
      <c r="BC124" s="316">
        <v>0</v>
      </c>
      <c r="BD124" s="316">
        <v>0</v>
      </c>
      <c r="BE124" s="316"/>
      <c r="BF124" s="316">
        <v>0</v>
      </c>
      <c r="BG124" s="316">
        <v>0</v>
      </c>
      <c r="BH124" s="316"/>
      <c r="BI124" s="316">
        <v>0</v>
      </c>
      <c r="BJ124" s="316">
        <v>0</v>
      </c>
      <c r="BK124" s="316"/>
      <c r="BL124" s="316">
        <v>0</v>
      </c>
      <c r="BM124" s="316">
        <v>0</v>
      </c>
      <c r="BN124" s="316"/>
      <c r="BO124" s="316">
        <v>0</v>
      </c>
      <c r="BP124" s="316">
        <v>0</v>
      </c>
      <c r="BQ124" s="316"/>
      <c r="BR124" s="316">
        <v>0</v>
      </c>
      <c r="BS124" s="316">
        <v>0</v>
      </c>
      <c r="BT124" s="316"/>
      <c r="BU124" s="316">
        <v>0</v>
      </c>
      <c r="BV124" s="316">
        <v>0</v>
      </c>
      <c r="BW124" s="316"/>
      <c r="BX124" s="316">
        <v>0</v>
      </c>
      <c r="BY124" s="316">
        <v>0</v>
      </c>
      <c r="BZ124" s="316"/>
      <c r="CA124" s="316">
        <v>0</v>
      </c>
      <c r="CB124" s="316">
        <v>0</v>
      </c>
      <c r="CC124" s="316"/>
      <c r="CD124" s="316">
        <v>0</v>
      </c>
      <c r="CE124" s="316">
        <v>0</v>
      </c>
      <c r="CF124" s="316"/>
      <c r="CG124" s="316">
        <v>0</v>
      </c>
      <c r="CH124" s="316">
        <v>0</v>
      </c>
      <c r="CI124" s="316"/>
      <c r="CJ124" s="316">
        <v>0</v>
      </c>
      <c r="CK124" s="316">
        <v>0</v>
      </c>
    </row>
    <row r="125" spans="1:89" ht="30" x14ac:dyDescent="0.25">
      <c r="A125" s="95"/>
      <c r="B125" s="248" t="s">
        <v>1653</v>
      </c>
      <c r="C125" s="312" t="s">
        <v>2743</v>
      </c>
      <c r="D125" s="95" t="s">
        <v>1763</v>
      </c>
      <c r="E125" s="291"/>
      <c r="F125" s="291"/>
      <c r="G125" s="291"/>
      <c r="H125" s="291"/>
      <c r="I125" s="282">
        <v>0</v>
      </c>
      <c r="J125" s="282">
        <v>0</v>
      </c>
      <c r="K125" s="282">
        <v>0</v>
      </c>
      <c r="L125" s="282">
        <v>0</v>
      </c>
      <c r="M125" s="282">
        <v>0</v>
      </c>
      <c r="N125" s="282">
        <v>0</v>
      </c>
      <c r="O125" s="281"/>
      <c r="P125" s="295"/>
      <c r="Q125" s="316">
        <f t="shared" si="199"/>
        <v>0</v>
      </c>
      <c r="R125" s="316">
        <f t="shared" si="200"/>
        <v>0</v>
      </c>
      <c r="S125" s="316">
        <v>0</v>
      </c>
      <c r="T125" s="316">
        <v>0</v>
      </c>
      <c r="U125" s="316"/>
      <c r="V125" s="316">
        <v>0</v>
      </c>
      <c r="W125" s="316">
        <v>0</v>
      </c>
      <c r="X125" s="316"/>
      <c r="Y125" s="316">
        <v>0</v>
      </c>
      <c r="Z125" s="316">
        <v>0</v>
      </c>
      <c r="AA125" s="316"/>
      <c r="AB125" s="316">
        <v>0</v>
      </c>
      <c r="AC125" s="316">
        <v>0</v>
      </c>
      <c r="AD125" s="316"/>
      <c r="AE125" s="316">
        <v>0</v>
      </c>
      <c r="AF125" s="316">
        <v>0</v>
      </c>
      <c r="AG125" s="316"/>
      <c r="AH125" s="316">
        <v>0</v>
      </c>
      <c r="AI125" s="316">
        <v>0</v>
      </c>
      <c r="AJ125" s="316"/>
      <c r="AK125" s="316">
        <v>0</v>
      </c>
      <c r="AL125" s="316">
        <v>0</v>
      </c>
      <c r="AM125" s="316"/>
      <c r="AN125" s="316">
        <v>0</v>
      </c>
      <c r="AO125" s="316">
        <v>0</v>
      </c>
      <c r="AP125" s="316"/>
      <c r="AQ125" s="316">
        <v>0</v>
      </c>
      <c r="AR125" s="316">
        <v>0</v>
      </c>
      <c r="AS125" s="316"/>
      <c r="AT125" s="316">
        <v>0</v>
      </c>
      <c r="AU125" s="316">
        <v>0</v>
      </c>
      <c r="AV125" s="316"/>
      <c r="AW125" s="316">
        <v>0</v>
      </c>
      <c r="AX125" s="316">
        <v>0</v>
      </c>
      <c r="AY125" s="316"/>
      <c r="AZ125" s="316">
        <v>0</v>
      </c>
      <c r="BA125" s="316">
        <v>0</v>
      </c>
      <c r="BB125" s="316"/>
      <c r="BC125" s="316">
        <v>0</v>
      </c>
      <c r="BD125" s="316">
        <v>0</v>
      </c>
      <c r="BE125" s="316"/>
      <c r="BF125" s="316">
        <v>0</v>
      </c>
      <c r="BG125" s="316">
        <v>0</v>
      </c>
      <c r="BH125" s="316"/>
      <c r="BI125" s="316">
        <v>0</v>
      </c>
      <c r="BJ125" s="316">
        <v>0</v>
      </c>
      <c r="BK125" s="316"/>
      <c r="BL125" s="316">
        <v>0</v>
      </c>
      <c r="BM125" s="316">
        <v>0</v>
      </c>
      <c r="BN125" s="316"/>
      <c r="BO125" s="316">
        <v>0</v>
      </c>
      <c r="BP125" s="316">
        <v>0</v>
      </c>
      <c r="BQ125" s="316"/>
      <c r="BR125" s="316">
        <v>0</v>
      </c>
      <c r="BS125" s="316">
        <v>0</v>
      </c>
      <c r="BT125" s="316"/>
      <c r="BU125" s="316">
        <v>0</v>
      </c>
      <c r="BV125" s="316">
        <v>0</v>
      </c>
      <c r="BW125" s="316"/>
      <c r="BX125" s="316">
        <v>0</v>
      </c>
      <c r="BY125" s="316">
        <v>0</v>
      </c>
      <c r="BZ125" s="316"/>
      <c r="CA125" s="316">
        <v>0</v>
      </c>
      <c r="CB125" s="316">
        <v>0</v>
      </c>
      <c r="CC125" s="316"/>
      <c r="CD125" s="316">
        <v>0</v>
      </c>
      <c r="CE125" s="316">
        <v>0</v>
      </c>
      <c r="CF125" s="316"/>
      <c r="CG125" s="316">
        <v>0</v>
      </c>
      <c r="CH125" s="316">
        <v>0</v>
      </c>
      <c r="CI125" s="316"/>
      <c r="CJ125" s="316">
        <v>0</v>
      </c>
      <c r="CK125" s="316">
        <v>0</v>
      </c>
    </row>
    <row r="126" spans="1:89" x14ac:dyDescent="0.25">
      <c r="A126" s="95"/>
      <c r="B126" s="96" t="s">
        <v>1184</v>
      </c>
      <c r="C126" s="16"/>
      <c r="D126" s="95"/>
      <c r="E126" s="291"/>
      <c r="F126" s="291"/>
      <c r="G126" s="291"/>
      <c r="H126" s="291"/>
      <c r="I126" s="291"/>
      <c r="J126" s="291"/>
      <c r="K126" s="291"/>
      <c r="L126" s="291"/>
      <c r="M126" s="291"/>
      <c r="N126" s="291"/>
      <c r="O126" s="281"/>
    </row>
    <row r="127" spans="1:89" x14ac:dyDescent="0.25">
      <c r="A127" s="95"/>
      <c r="B127" s="96" t="s">
        <v>2394</v>
      </c>
      <c r="C127" s="16"/>
      <c r="D127" s="95"/>
      <c r="E127" s="291"/>
      <c r="F127" s="291"/>
      <c r="G127" s="291"/>
      <c r="H127" s="291"/>
      <c r="I127" s="291"/>
      <c r="J127" s="291"/>
      <c r="K127" s="291"/>
      <c r="L127" s="291"/>
      <c r="M127" s="291"/>
      <c r="N127" s="291"/>
      <c r="O127" s="281"/>
    </row>
    <row r="128" spans="1:89" x14ac:dyDescent="0.25">
      <c r="A128" s="95"/>
      <c r="B128" s="96" t="s">
        <v>1651</v>
      </c>
      <c r="C128" s="16"/>
      <c r="D128" s="95" t="s">
        <v>950</v>
      </c>
      <c r="E128" s="291"/>
      <c r="F128" s="291"/>
      <c r="G128" s="291"/>
      <c r="H128" s="291"/>
      <c r="I128" s="279">
        <f t="shared" ref="I128:J130" si="201">(I141+I145)/(I150+I154)</f>
        <v>20.19047619047619</v>
      </c>
      <c r="J128" s="279">
        <f t="shared" si="201"/>
        <v>18.454545454545453</v>
      </c>
      <c r="K128" s="279">
        <f t="shared" ref="K128:M130" si="202">(K141+K145)/(K150+K154)</f>
        <v>19.600000000000001</v>
      </c>
      <c r="L128" s="279" t="e">
        <f t="shared" si="202"/>
        <v>#DIV/0!</v>
      </c>
      <c r="M128" s="279" t="e">
        <f t="shared" si="202"/>
        <v>#DIV/0!</v>
      </c>
      <c r="N128" s="279" t="e">
        <f t="shared" ref="N128" si="203">(N141+N145)/(N150+N154)</f>
        <v>#DIV/0!</v>
      </c>
      <c r="O128" s="281"/>
      <c r="Q128" s="279">
        <f t="shared" ref="Q128:T130" si="204">(Q141+Q145)/(Q150+Q154)</f>
        <v>19.600000000000001</v>
      </c>
      <c r="R128" s="279">
        <f t="shared" si="204"/>
        <v>19.399999999999999</v>
      </c>
      <c r="S128" s="279" t="e">
        <f t="shared" si="204"/>
        <v>#DIV/0!</v>
      </c>
      <c r="T128" s="279" t="e">
        <f t="shared" si="204"/>
        <v>#DIV/0!</v>
      </c>
      <c r="V128" s="279" t="e">
        <f t="shared" ref="V128:W130" si="205">(V141+V145)/(V150+V154)</f>
        <v>#DIV/0!</v>
      </c>
      <c r="W128" s="279" t="e">
        <f t="shared" si="205"/>
        <v>#DIV/0!</v>
      </c>
      <c r="Y128" s="279" t="e">
        <f t="shared" ref="Y128:Z130" si="206">(Y141+Y145)/(Y150+Y154)</f>
        <v>#DIV/0!</v>
      </c>
      <c r="Z128" s="279" t="e">
        <f t="shared" si="206"/>
        <v>#DIV/0!</v>
      </c>
      <c r="AB128" s="279" t="e">
        <f t="shared" ref="AB128:AC130" si="207">(AB141+AB145)/(AB150+AB154)</f>
        <v>#DIV/0!</v>
      </c>
      <c r="AC128" s="279" t="e">
        <f t="shared" si="207"/>
        <v>#DIV/0!</v>
      </c>
      <c r="AE128" s="279" t="e">
        <f t="shared" ref="AE128:AF130" si="208">(AE141+AE145)/(AE150+AE154)</f>
        <v>#DIV/0!</v>
      </c>
      <c r="AF128" s="279" t="e">
        <f t="shared" si="208"/>
        <v>#DIV/0!</v>
      </c>
      <c r="AH128" s="279" t="e">
        <f t="shared" ref="AH128:AI130" si="209">(AH141+AH145)/(AH150+AH154)</f>
        <v>#DIV/0!</v>
      </c>
      <c r="AI128" s="279" t="e">
        <f t="shared" si="209"/>
        <v>#DIV/0!</v>
      </c>
      <c r="AK128" s="279" t="e">
        <f t="shared" ref="AK128:AL130" si="210">(AK141+AK145)/(AK150+AK154)</f>
        <v>#DIV/0!</v>
      </c>
      <c r="AL128" s="279" t="e">
        <f t="shared" si="210"/>
        <v>#DIV/0!</v>
      </c>
      <c r="AN128" s="279" t="e">
        <f t="shared" ref="AN128:AO130" si="211">(AN141+AN145)/(AN150+AN154)</f>
        <v>#DIV/0!</v>
      </c>
      <c r="AO128" s="279" t="e">
        <f t="shared" si="211"/>
        <v>#DIV/0!</v>
      </c>
      <c r="AQ128" s="279" t="e">
        <f t="shared" ref="AQ128:AR130" si="212">(AQ141+AQ145)/(AQ150+AQ154)</f>
        <v>#DIV/0!</v>
      </c>
      <c r="AR128" s="279" t="e">
        <f t="shared" si="212"/>
        <v>#DIV/0!</v>
      </c>
      <c r="AT128" s="279" t="e">
        <f t="shared" ref="AT128:AU130" si="213">(AT141+AT145)/(AT150+AT154)</f>
        <v>#DIV/0!</v>
      </c>
      <c r="AU128" s="279" t="e">
        <f t="shared" si="213"/>
        <v>#DIV/0!</v>
      </c>
      <c r="AW128" s="279" t="e">
        <f t="shared" ref="AW128:AX130" si="214">(AW141+AW145)/(AW150+AW154)</f>
        <v>#DIV/0!</v>
      </c>
      <c r="AX128" s="279" t="e">
        <f t="shared" si="214"/>
        <v>#DIV/0!</v>
      </c>
      <c r="AZ128" s="279" t="e">
        <f t="shared" ref="AZ128:BA130" si="215">(AZ141+AZ145)/(AZ150+AZ154)</f>
        <v>#DIV/0!</v>
      </c>
      <c r="BA128" s="279" t="e">
        <f t="shared" si="215"/>
        <v>#DIV/0!</v>
      </c>
      <c r="BC128" s="279">
        <f t="shared" ref="BC128:BD130" si="216">(BC141+BC145)/(BC150+BC154)</f>
        <v>17</v>
      </c>
      <c r="BD128" s="279">
        <f t="shared" si="216"/>
        <v>17</v>
      </c>
      <c r="BF128" s="279">
        <f t="shared" ref="BF128:BG130" si="217">(BF141+BF145)/(BF150+BF154)</f>
        <v>24.25</v>
      </c>
      <c r="BG128" s="279">
        <f t="shared" si="217"/>
        <v>22</v>
      </c>
      <c r="BI128" s="279">
        <f t="shared" ref="BI128:BJ130" si="218">(BI141+BI145)/(BI150+BI154)</f>
        <v>21.375</v>
      </c>
      <c r="BJ128" s="279">
        <f t="shared" si="218"/>
        <v>22.5</v>
      </c>
      <c r="BL128" s="279" t="e">
        <f t="shared" ref="BL128:BM130" si="219">(BL141+BL145)/(BL150+BL154)</f>
        <v>#DIV/0!</v>
      </c>
      <c r="BM128" s="279" t="e">
        <f t="shared" si="219"/>
        <v>#DIV/0!</v>
      </c>
      <c r="BO128" s="279" t="e">
        <f t="shared" ref="BO128:BP130" si="220">(BO141+BO145)/(BO150+BO154)</f>
        <v>#DIV/0!</v>
      </c>
      <c r="BP128" s="279" t="e">
        <f t="shared" si="220"/>
        <v>#DIV/0!</v>
      </c>
      <c r="BR128" s="279" t="e">
        <f t="shared" ref="BR128:BS130" si="221">(BR141+BR145)/(BR150+BR154)</f>
        <v>#DIV/0!</v>
      </c>
      <c r="BS128" s="279" t="e">
        <f t="shared" si="221"/>
        <v>#DIV/0!</v>
      </c>
      <c r="BU128" s="279" t="e">
        <f t="shared" ref="BU128:BV130" si="222">(BU141+BU145)/(BU150+BU154)</f>
        <v>#DIV/0!</v>
      </c>
      <c r="BV128" s="279" t="e">
        <f t="shared" si="222"/>
        <v>#DIV/0!</v>
      </c>
      <c r="BX128" s="279" t="e">
        <f t="shared" ref="BX128:BY130" si="223">(BX141+BX145)/(BX150+BX154)</f>
        <v>#DIV/0!</v>
      </c>
      <c r="BY128" s="279" t="e">
        <f t="shared" si="223"/>
        <v>#DIV/0!</v>
      </c>
      <c r="CA128" s="279" t="e">
        <f t="shared" ref="CA128:CB130" si="224">(CA141+CA145)/(CA150+CA154)</f>
        <v>#DIV/0!</v>
      </c>
      <c r="CB128" s="279" t="e">
        <f t="shared" si="224"/>
        <v>#DIV/0!</v>
      </c>
      <c r="CD128" s="279">
        <f t="shared" ref="CD128:CE130" si="225">(CD141+CD145)/(CD150+CD154)</f>
        <v>14</v>
      </c>
      <c r="CE128" s="279">
        <f t="shared" si="225"/>
        <v>13</v>
      </c>
      <c r="CG128" s="279" t="e">
        <f t="shared" ref="CG128:CH130" si="226">(CG141+CG145)/(CG150+CG154)</f>
        <v>#DIV/0!</v>
      </c>
      <c r="CH128" s="279" t="e">
        <f t="shared" si="226"/>
        <v>#DIV/0!</v>
      </c>
      <c r="CJ128" s="279" t="e">
        <f t="shared" ref="CJ128:CK130" si="227">(CJ141+CJ145)/(CJ150+CJ154)</f>
        <v>#DIV/0!</v>
      </c>
      <c r="CK128" s="279" t="e">
        <f t="shared" si="227"/>
        <v>#DIV/0!</v>
      </c>
    </row>
    <row r="129" spans="1:89" x14ac:dyDescent="0.25">
      <c r="A129" s="95"/>
      <c r="B129" s="96" t="s">
        <v>1652</v>
      </c>
      <c r="C129" s="16"/>
      <c r="D129" s="95" t="s">
        <v>950</v>
      </c>
      <c r="E129" s="291"/>
      <c r="F129" s="291"/>
      <c r="G129" s="291"/>
      <c r="H129" s="291"/>
      <c r="I129" s="279">
        <f t="shared" si="201"/>
        <v>17.652173913043477</v>
      </c>
      <c r="J129" s="279">
        <f t="shared" si="201"/>
        <v>18.399999999999999</v>
      </c>
      <c r="K129" s="279">
        <f t="shared" si="202"/>
        <v>18.239999999999998</v>
      </c>
      <c r="L129" s="279" t="e">
        <f t="shared" si="202"/>
        <v>#DIV/0!</v>
      </c>
      <c r="M129" s="279" t="e">
        <f t="shared" si="202"/>
        <v>#DIV/0!</v>
      </c>
      <c r="N129" s="279" t="e">
        <f t="shared" ref="N129" si="228">(N142+N146)/(N151+N155)</f>
        <v>#DIV/0!</v>
      </c>
      <c r="O129" s="281"/>
      <c r="Q129" s="279">
        <f t="shared" si="204"/>
        <v>18.239999999999998</v>
      </c>
      <c r="R129" s="279">
        <f t="shared" si="204"/>
        <v>17.8</v>
      </c>
      <c r="S129" s="279" t="e">
        <f t="shared" si="204"/>
        <v>#DIV/0!</v>
      </c>
      <c r="T129" s="279" t="e">
        <f t="shared" si="204"/>
        <v>#DIV/0!</v>
      </c>
      <c r="V129" s="279" t="e">
        <f t="shared" si="205"/>
        <v>#DIV/0!</v>
      </c>
      <c r="W129" s="279" t="e">
        <f t="shared" si="205"/>
        <v>#DIV/0!</v>
      </c>
      <c r="Y129" s="279" t="e">
        <f t="shared" si="206"/>
        <v>#DIV/0!</v>
      </c>
      <c r="Z129" s="279" t="e">
        <f t="shared" si="206"/>
        <v>#DIV/0!</v>
      </c>
      <c r="AB129" s="279" t="e">
        <f t="shared" si="207"/>
        <v>#DIV/0!</v>
      </c>
      <c r="AC129" s="279" t="e">
        <f t="shared" si="207"/>
        <v>#DIV/0!</v>
      </c>
      <c r="AE129" s="279" t="e">
        <f t="shared" si="208"/>
        <v>#DIV/0!</v>
      </c>
      <c r="AF129" s="279" t="e">
        <f t="shared" si="208"/>
        <v>#DIV/0!</v>
      </c>
      <c r="AH129" s="279" t="e">
        <f t="shared" si="209"/>
        <v>#DIV/0!</v>
      </c>
      <c r="AI129" s="279" t="e">
        <f t="shared" si="209"/>
        <v>#DIV/0!</v>
      </c>
      <c r="AK129" s="279" t="e">
        <f t="shared" si="210"/>
        <v>#DIV/0!</v>
      </c>
      <c r="AL129" s="279" t="e">
        <f t="shared" si="210"/>
        <v>#DIV/0!</v>
      </c>
      <c r="AN129" s="279" t="e">
        <f t="shared" si="211"/>
        <v>#DIV/0!</v>
      </c>
      <c r="AO129" s="279" t="e">
        <f t="shared" si="211"/>
        <v>#DIV/0!</v>
      </c>
      <c r="AQ129" s="279" t="e">
        <f t="shared" si="212"/>
        <v>#DIV/0!</v>
      </c>
      <c r="AR129" s="279" t="e">
        <f t="shared" si="212"/>
        <v>#DIV/0!</v>
      </c>
      <c r="AT129" s="279" t="e">
        <f t="shared" si="213"/>
        <v>#DIV/0!</v>
      </c>
      <c r="AU129" s="279" t="e">
        <f t="shared" si="213"/>
        <v>#DIV/0!</v>
      </c>
      <c r="AW129" s="279" t="e">
        <f t="shared" si="214"/>
        <v>#DIV/0!</v>
      </c>
      <c r="AX129" s="279" t="e">
        <f t="shared" si="214"/>
        <v>#DIV/0!</v>
      </c>
      <c r="AZ129" s="279" t="e">
        <f t="shared" si="215"/>
        <v>#DIV/0!</v>
      </c>
      <c r="BA129" s="279" t="e">
        <f t="shared" si="215"/>
        <v>#DIV/0!</v>
      </c>
      <c r="BC129" s="279">
        <f t="shared" si="216"/>
        <v>19.8</v>
      </c>
      <c r="BD129" s="279">
        <f t="shared" si="216"/>
        <v>19.399999999999999</v>
      </c>
      <c r="BF129" s="279">
        <f t="shared" si="217"/>
        <v>16.8</v>
      </c>
      <c r="BG129" s="279">
        <f t="shared" si="217"/>
        <v>17.2</v>
      </c>
      <c r="BI129" s="279">
        <f t="shared" si="218"/>
        <v>22</v>
      </c>
      <c r="BJ129" s="279">
        <f t="shared" si="218"/>
        <v>20.2</v>
      </c>
      <c r="BL129" s="279" t="e">
        <f t="shared" si="219"/>
        <v>#DIV/0!</v>
      </c>
      <c r="BM129" s="279" t="e">
        <f t="shared" si="219"/>
        <v>#DIV/0!</v>
      </c>
      <c r="BO129" s="279" t="e">
        <f t="shared" si="220"/>
        <v>#DIV/0!</v>
      </c>
      <c r="BP129" s="279" t="e">
        <f t="shared" si="220"/>
        <v>#DIV/0!</v>
      </c>
      <c r="BR129" s="279" t="e">
        <f t="shared" si="221"/>
        <v>#DIV/0!</v>
      </c>
      <c r="BS129" s="279" t="e">
        <f t="shared" si="221"/>
        <v>#DIV/0!</v>
      </c>
      <c r="BU129" s="279" t="e">
        <f t="shared" si="222"/>
        <v>#DIV/0!</v>
      </c>
      <c r="BV129" s="279" t="e">
        <f t="shared" si="222"/>
        <v>#DIV/0!</v>
      </c>
      <c r="BX129" s="279" t="e">
        <f t="shared" si="223"/>
        <v>#DIV/0!</v>
      </c>
      <c r="BY129" s="279" t="e">
        <f t="shared" si="223"/>
        <v>#DIV/0!</v>
      </c>
      <c r="CA129" s="279" t="e">
        <f t="shared" si="224"/>
        <v>#DIV/0!</v>
      </c>
      <c r="CB129" s="279" t="e">
        <f t="shared" si="224"/>
        <v>#DIV/0!</v>
      </c>
      <c r="CD129" s="279">
        <f t="shared" si="225"/>
        <v>10.6</v>
      </c>
      <c r="CE129" s="279">
        <f t="shared" si="225"/>
        <v>12</v>
      </c>
      <c r="CG129" s="279" t="e">
        <f t="shared" si="226"/>
        <v>#DIV/0!</v>
      </c>
      <c r="CH129" s="279" t="e">
        <f t="shared" si="226"/>
        <v>#DIV/0!</v>
      </c>
      <c r="CJ129" s="279" t="e">
        <f t="shared" si="227"/>
        <v>#DIV/0!</v>
      </c>
      <c r="CK129" s="279" t="e">
        <f t="shared" si="227"/>
        <v>#DIV/0!</v>
      </c>
    </row>
    <row r="130" spans="1:89" x14ac:dyDescent="0.25">
      <c r="A130" s="95"/>
      <c r="B130" s="96" t="s">
        <v>1653</v>
      </c>
      <c r="C130" s="16"/>
      <c r="D130" s="95" t="s">
        <v>950</v>
      </c>
      <c r="E130" s="291"/>
      <c r="F130" s="291"/>
      <c r="G130" s="291"/>
      <c r="H130" s="291"/>
      <c r="I130" s="279">
        <f t="shared" si="201"/>
        <v>13.6</v>
      </c>
      <c r="J130" s="279">
        <f t="shared" si="201"/>
        <v>13</v>
      </c>
      <c r="K130" s="279">
        <f t="shared" si="202"/>
        <v>14</v>
      </c>
      <c r="L130" s="279" t="e">
        <f t="shared" si="202"/>
        <v>#DIV/0!</v>
      </c>
      <c r="M130" s="279" t="e">
        <f t="shared" si="202"/>
        <v>#DIV/0!</v>
      </c>
      <c r="N130" s="279" t="e">
        <f t="shared" ref="N130" si="229">(N143+N147)/(N152+N156)</f>
        <v>#DIV/0!</v>
      </c>
      <c r="O130" s="281"/>
      <c r="Q130" s="279">
        <f t="shared" si="204"/>
        <v>14</v>
      </c>
      <c r="R130" s="279">
        <f t="shared" si="204"/>
        <v>12.428571428571429</v>
      </c>
      <c r="S130" s="279" t="e">
        <f t="shared" si="204"/>
        <v>#DIV/0!</v>
      </c>
      <c r="T130" s="279" t="e">
        <f t="shared" si="204"/>
        <v>#DIV/0!</v>
      </c>
      <c r="V130" s="279" t="e">
        <f t="shared" si="205"/>
        <v>#DIV/0!</v>
      </c>
      <c r="W130" s="279" t="e">
        <f t="shared" si="205"/>
        <v>#DIV/0!</v>
      </c>
      <c r="Y130" s="279" t="e">
        <f t="shared" si="206"/>
        <v>#DIV/0!</v>
      </c>
      <c r="Z130" s="279" t="e">
        <f t="shared" si="206"/>
        <v>#DIV/0!</v>
      </c>
      <c r="AB130" s="279" t="e">
        <f t="shared" si="207"/>
        <v>#DIV/0!</v>
      </c>
      <c r="AC130" s="279" t="e">
        <f t="shared" si="207"/>
        <v>#DIV/0!</v>
      </c>
      <c r="AE130" s="279" t="e">
        <f t="shared" si="208"/>
        <v>#DIV/0!</v>
      </c>
      <c r="AF130" s="279" t="e">
        <f t="shared" si="208"/>
        <v>#DIV/0!</v>
      </c>
      <c r="AH130" s="279" t="e">
        <f t="shared" si="209"/>
        <v>#DIV/0!</v>
      </c>
      <c r="AI130" s="279" t="e">
        <f t="shared" si="209"/>
        <v>#DIV/0!</v>
      </c>
      <c r="AK130" s="279" t="e">
        <f t="shared" si="210"/>
        <v>#DIV/0!</v>
      </c>
      <c r="AL130" s="279" t="e">
        <f t="shared" si="210"/>
        <v>#DIV/0!</v>
      </c>
      <c r="AN130" s="279" t="e">
        <f t="shared" si="211"/>
        <v>#DIV/0!</v>
      </c>
      <c r="AO130" s="279" t="e">
        <f t="shared" si="211"/>
        <v>#DIV/0!</v>
      </c>
      <c r="AQ130" s="279" t="e">
        <f t="shared" si="212"/>
        <v>#DIV/0!</v>
      </c>
      <c r="AR130" s="279" t="e">
        <f t="shared" si="212"/>
        <v>#DIV/0!</v>
      </c>
      <c r="AT130" s="279" t="e">
        <f t="shared" si="213"/>
        <v>#DIV/0!</v>
      </c>
      <c r="AU130" s="279" t="e">
        <f t="shared" si="213"/>
        <v>#DIV/0!</v>
      </c>
      <c r="AW130" s="279" t="e">
        <f t="shared" si="214"/>
        <v>#DIV/0!</v>
      </c>
      <c r="AX130" s="279" t="e">
        <f t="shared" si="214"/>
        <v>#DIV/0!</v>
      </c>
      <c r="AZ130" s="279" t="e">
        <f t="shared" si="215"/>
        <v>#DIV/0!</v>
      </c>
      <c r="BA130" s="279" t="e">
        <f t="shared" si="215"/>
        <v>#DIV/0!</v>
      </c>
      <c r="BC130" s="279">
        <f t="shared" si="216"/>
        <v>10</v>
      </c>
      <c r="BD130" s="279">
        <f t="shared" si="216"/>
        <v>11.5</v>
      </c>
      <c r="BF130" s="279">
        <f t="shared" si="217"/>
        <v>10</v>
      </c>
      <c r="BG130" s="279">
        <f t="shared" si="217"/>
        <v>7</v>
      </c>
      <c r="BI130" s="279">
        <f t="shared" si="218"/>
        <v>22.5</v>
      </c>
      <c r="BJ130" s="279">
        <f t="shared" si="218"/>
        <v>21</v>
      </c>
      <c r="BL130" s="279" t="e">
        <f t="shared" si="219"/>
        <v>#DIV/0!</v>
      </c>
      <c r="BM130" s="279" t="e">
        <f t="shared" si="219"/>
        <v>#DIV/0!</v>
      </c>
      <c r="BO130" s="279" t="e">
        <f t="shared" si="220"/>
        <v>#DIV/0!</v>
      </c>
      <c r="BP130" s="279" t="e">
        <f t="shared" si="220"/>
        <v>#DIV/0!</v>
      </c>
      <c r="BR130" s="279" t="e">
        <f t="shared" si="221"/>
        <v>#DIV/0!</v>
      </c>
      <c r="BS130" s="279" t="e">
        <f t="shared" si="221"/>
        <v>#DIV/0!</v>
      </c>
      <c r="BU130" s="279" t="e">
        <f t="shared" si="222"/>
        <v>#DIV/0!</v>
      </c>
      <c r="BV130" s="279" t="e">
        <f t="shared" si="222"/>
        <v>#DIV/0!</v>
      </c>
      <c r="BX130" s="279" t="e">
        <f t="shared" si="223"/>
        <v>#DIV/0!</v>
      </c>
      <c r="BY130" s="279" t="e">
        <f t="shared" si="223"/>
        <v>#DIV/0!</v>
      </c>
      <c r="CA130" s="279" t="e">
        <f t="shared" si="224"/>
        <v>#DIV/0!</v>
      </c>
      <c r="CB130" s="279" t="e">
        <f t="shared" si="224"/>
        <v>#DIV/0!</v>
      </c>
      <c r="CD130" s="279">
        <f t="shared" si="225"/>
        <v>9</v>
      </c>
      <c r="CE130" s="279">
        <f t="shared" si="225"/>
        <v>7.5</v>
      </c>
      <c r="CG130" s="279" t="e">
        <f t="shared" si="226"/>
        <v>#DIV/0!</v>
      </c>
      <c r="CH130" s="279" t="e">
        <f t="shared" si="226"/>
        <v>#DIV/0!</v>
      </c>
      <c r="CJ130" s="279" t="e">
        <f t="shared" si="227"/>
        <v>#DIV/0!</v>
      </c>
      <c r="CK130" s="279" t="e">
        <f t="shared" si="227"/>
        <v>#DIV/0!</v>
      </c>
    </row>
    <row r="131" spans="1:89" x14ac:dyDescent="0.25">
      <c r="A131" s="95"/>
      <c r="B131" s="96" t="s">
        <v>1183</v>
      </c>
      <c r="C131" s="16"/>
      <c r="D131" s="95"/>
      <c r="E131" s="291"/>
      <c r="F131" s="291"/>
      <c r="G131" s="291"/>
      <c r="H131" s="291"/>
      <c r="I131" s="291"/>
      <c r="J131" s="291"/>
      <c r="K131" s="291"/>
      <c r="L131" s="291"/>
      <c r="M131" s="291"/>
      <c r="N131" s="291"/>
      <c r="O131" s="281"/>
      <c r="Q131" s="291"/>
      <c r="R131" s="291"/>
      <c r="S131" s="291"/>
      <c r="T131" s="291"/>
      <c r="V131" s="291"/>
      <c r="W131" s="291"/>
      <c r="Y131" s="291"/>
      <c r="Z131" s="291"/>
      <c r="AB131" s="291"/>
      <c r="AC131" s="291"/>
      <c r="AE131" s="291"/>
      <c r="AF131" s="291"/>
      <c r="AH131" s="291"/>
      <c r="AI131" s="291"/>
      <c r="AK131" s="291"/>
      <c r="AL131" s="291"/>
      <c r="AN131" s="291"/>
      <c r="AO131" s="291"/>
      <c r="AQ131" s="291"/>
      <c r="AR131" s="291"/>
      <c r="AT131" s="291"/>
      <c r="AU131" s="291"/>
      <c r="AW131" s="291"/>
      <c r="AX131" s="291"/>
      <c r="AZ131" s="291"/>
      <c r="BA131" s="291"/>
      <c r="BC131" s="291"/>
      <c r="BD131" s="291"/>
      <c r="BF131" s="291"/>
      <c r="BG131" s="291"/>
      <c r="BI131" s="291"/>
      <c r="BJ131" s="291"/>
      <c r="BL131" s="291"/>
      <c r="BM131" s="291"/>
      <c r="BO131" s="291"/>
      <c r="BP131" s="291"/>
      <c r="BR131" s="291"/>
      <c r="BS131" s="291"/>
      <c r="BU131" s="291"/>
      <c r="BV131" s="291"/>
      <c r="BX131" s="291"/>
      <c r="BY131" s="291"/>
      <c r="CA131" s="291"/>
      <c r="CB131" s="291"/>
      <c r="CD131" s="291"/>
      <c r="CE131" s="291"/>
      <c r="CG131" s="291"/>
      <c r="CH131" s="291"/>
      <c r="CJ131" s="291"/>
      <c r="CK131" s="291"/>
    </row>
    <row r="132" spans="1:89" x14ac:dyDescent="0.25">
      <c r="A132" s="95"/>
      <c r="B132" s="96" t="s">
        <v>1651</v>
      </c>
      <c r="C132" s="16"/>
      <c r="D132" s="95" t="s">
        <v>950</v>
      </c>
      <c r="E132" s="291"/>
      <c r="F132" s="291"/>
      <c r="G132" s="291"/>
      <c r="H132" s="291"/>
      <c r="I132" s="279">
        <f t="shared" ref="I132:J134" si="230">I141/I150</f>
        <v>20.19047619047619</v>
      </c>
      <c r="J132" s="279">
        <f t="shared" si="230"/>
        <v>18.454545454545453</v>
      </c>
      <c r="K132" s="279">
        <f t="shared" ref="K132:M134" si="231">K141/K150</f>
        <v>19.600000000000001</v>
      </c>
      <c r="L132" s="279" t="e">
        <f t="shared" si="231"/>
        <v>#DIV/0!</v>
      </c>
      <c r="M132" s="279" t="e">
        <f t="shared" si="231"/>
        <v>#DIV/0!</v>
      </c>
      <c r="N132" s="279" t="e">
        <f t="shared" ref="N132" si="232">N141/N150</f>
        <v>#DIV/0!</v>
      </c>
      <c r="O132" s="281"/>
      <c r="Q132" s="279">
        <f t="shared" ref="Q132:T134" si="233">Q141/Q150</f>
        <v>19.600000000000001</v>
      </c>
      <c r="R132" s="279">
        <f t="shared" si="233"/>
        <v>19.399999999999999</v>
      </c>
      <c r="S132" s="279" t="e">
        <f t="shared" si="233"/>
        <v>#DIV/0!</v>
      </c>
      <c r="T132" s="279" t="e">
        <f t="shared" si="233"/>
        <v>#DIV/0!</v>
      </c>
      <c r="V132" s="279" t="e">
        <f t="shared" ref="V132:W134" si="234">V141/V150</f>
        <v>#DIV/0!</v>
      </c>
      <c r="W132" s="279" t="e">
        <f t="shared" si="234"/>
        <v>#DIV/0!</v>
      </c>
      <c r="Y132" s="279" t="e">
        <f t="shared" ref="Y132:Z134" si="235">Y141/Y150</f>
        <v>#DIV/0!</v>
      </c>
      <c r="Z132" s="279" t="e">
        <f t="shared" si="235"/>
        <v>#DIV/0!</v>
      </c>
      <c r="AB132" s="279" t="e">
        <f t="shared" ref="AB132:AC134" si="236">AB141/AB150</f>
        <v>#DIV/0!</v>
      </c>
      <c r="AC132" s="279" t="e">
        <f t="shared" si="236"/>
        <v>#DIV/0!</v>
      </c>
      <c r="AE132" s="279" t="e">
        <f t="shared" ref="AE132:AF134" si="237">AE141/AE150</f>
        <v>#DIV/0!</v>
      </c>
      <c r="AF132" s="279" t="e">
        <f t="shared" si="237"/>
        <v>#DIV/0!</v>
      </c>
      <c r="AH132" s="279" t="e">
        <f t="shared" ref="AH132:AI134" si="238">AH141/AH150</f>
        <v>#DIV/0!</v>
      </c>
      <c r="AI132" s="279" t="e">
        <f t="shared" si="238"/>
        <v>#DIV/0!</v>
      </c>
      <c r="AK132" s="279" t="e">
        <f t="shared" ref="AK132:AL134" si="239">AK141/AK150</f>
        <v>#DIV/0!</v>
      </c>
      <c r="AL132" s="279" t="e">
        <f t="shared" si="239"/>
        <v>#DIV/0!</v>
      </c>
      <c r="AN132" s="279" t="e">
        <f t="shared" ref="AN132:AO134" si="240">AN141/AN150</f>
        <v>#DIV/0!</v>
      </c>
      <c r="AO132" s="279" t="e">
        <f t="shared" si="240"/>
        <v>#DIV/0!</v>
      </c>
      <c r="AQ132" s="279" t="e">
        <f t="shared" ref="AQ132:AR134" si="241">AQ141/AQ150</f>
        <v>#DIV/0!</v>
      </c>
      <c r="AR132" s="279" t="e">
        <f t="shared" si="241"/>
        <v>#DIV/0!</v>
      </c>
      <c r="AT132" s="279" t="e">
        <f t="shared" ref="AT132:AU134" si="242">AT141/AT150</f>
        <v>#DIV/0!</v>
      </c>
      <c r="AU132" s="279" t="e">
        <f t="shared" si="242"/>
        <v>#DIV/0!</v>
      </c>
      <c r="AW132" s="279" t="e">
        <f t="shared" ref="AW132:AX134" si="243">AW141/AW150</f>
        <v>#DIV/0!</v>
      </c>
      <c r="AX132" s="279" t="e">
        <f t="shared" si="243"/>
        <v>#DIV/0!</v>
      </c>
      <c r="AZ132" s="279" t="e">
        <f t="shared" ref="AZ132:BA134" si="244">AZ141/AZ150</f>
        <v>#DIV/0!</v>
      </c>
      <c r="BA132" s="279" t="e">
        <f t="shared" si="244"/>
        <v>#DIV/0!</v>
      </c>
      <c r="BC132" s="279">
        <f t="shared" ref="BC132:BD134" si="245">BC141/BC150</f>
        <v>17</v>
      </c>
      <c r="BD132" s="279">
        <f t="shared" si="245"/>
        <v>17</v>
      </c>
      <c r="BF132" s="279">
        <f t="shared" ref="BF132:BG134" si="246">BF141/BF150</f>
        <v>24.25</v>
      </c>
      <c r="BG132" s="279">
        <f t="shared" si="246"/>
        <v>22</v>
      </c>
      <c r="BI132" s="279">
        <f t="shared" ref="BI132:BJ134" si="247">BI141/BI150</f>
        <v>21.375</v>
      </c>
      <c r="BJ132" s="279">
        <f t="shared" si="247"/>
        <v>22.5</v>
      </c>
      <c r="BL132" s="279" t="e">
        <f t="shared" ref="BL132:BM134" si="248">BL141/BL150</f>
        <v>#DIV/0!</v>
      </c>
      <c r="BM132" s="279" t="e">
        <f t="shared" si="248"/>
        <v>#DIV/0!</v>
      </c>
      <c r="BO132" s="279" t="e">
        <f t="shared" ref="BO132:BP134" si="249">BO141/BO150</f>
        <v>#DIV/0!</v>
      </c>
      <c r="BP132" s="279" t="e">
        <f t="shared" si="249"/>
        <v>#DIV/0!</v>
      </c>
      <c r="BR132" s="279" t="e">
        <f t="shared" ref="BR132:BS134" si="250">BR141/BR150</f>
        <v>#DIV/0!</v>
      </c>
      <c r="BS132" s="279" t="e">
        <f t="shared" si="250"/>
        <v>#DIV/0!</v>
      </c>
      <c r="BU132" s="279" t="e">
        <f t="shared" ref="BU132:BV134" si="251">BU141/BU150</f>
        <v>#DIV/0!</v>
      </c>
      <c r="BV132" s="279" t="e">
        <f t="shared" si="251"/>
        <v>#DIV/0!</v>
      </c>
      <c r="BX132" s="279" t="e">
        <f t="shared" ref="BX132:BY134" si="252">BX141/BX150</f>
        <v>#DIV/0!</v>
      </c>
      <c r="BY132" s="279" t="e">
        <f t="shared" si="252"/>
        <v>#DIV/0!</v>
      </c>
      <c r="CA132" s="279" t="e">
        <f t="shared" ref="CA132:CB134" si="253">CA141/CA150</f>
        <v>#DIV/0!</v>
      </c>
      <c r="CB132" s="279" t="e">
        <f t="shared" si="253"/>
        <v>#DIV/0!</v>
      </c>
      <c r="CD132" s="279">
        <f t="shared" ref="CD132:CE134" si="254">CD141/CD150</f>
        <v>14</v>
      </c>
      <c r="CE132" s="279">
        <f t="shared" si="254"/>
        <v>13</v>
      </c>
      <c r="CG132" s="279" t="e">
        <f t="shared" ref="CG132:CH134" si="255">CG141/CG150</f>
        <v>#DIV/0!</v>
      </c>
      <c r="CH132" s="279" t="e">
        <f t="shared" si="255"/>
        <v>#DIV/0!</v>
      </c>
      <c r="CJ132" s="279" t="e">
        <f t="shared" ref="CJ132:CK134" si="256">CJ141/CJ150</f>
        <v>#DIV/0!</v>
      </c>
      <c r="CK132" s="279" t="e">
        <f t="shared" si="256"/>
        <v>#DIV/0!</v>
      </c>
    </row>
    <row r="133" spans="1:89" x14ac:dyDescent="0.25">
      <c r="A133" s="95"/>
      <c r="B133" s="96" t="s">
        <v>1652</v>
      </c>
      <c r="C133" s="16"/>
      <c r="D133" s="95" t="s">
        <v>950</v>
      </c>
      <c r="E133" s="291"/>
      <c r="F133" s="291"/>
      <c r="G133" s="291"/>
      <c r="H133" s="291"/>
      <c r="I133" s="279">
        <f t="shared" si="230"/>
        <v>17.652173913043477</v>
      </c>
      <c r="J133" s="279">
        <f t="shared" si="230"/>
        <v>18.399999999999999</v>
      </c>
      <c r="K133" s="279">
        <f t="shared" si="231"/>
        <v>18.239999999999998</v>
      </c>
      <c r="L133" s="279" t="e">
        <f t="shared" si="231"/>
        <v>#DIV/0!</v>
      </c>
      <c r="M133" s="279" t="e">
        <f t="shared" si="231"/>
        <v>#DIV/0!</v>
      </c>
      <c r="N133" s="279" t="e">
        <f t="shared" ref="N133" si="257">N142/N151</f>
        <v>#DIV/0!</v>
      </c>
      <c r="O133" s="281"/>
      <c r="Q133" s="279">
        <f t="shared" si="233"/>
        <v>18.239999999999998</v>
      </c>
      <c r="R133" s="279">
        <f t="shared" si="233"/>
        <v>17.8</v>
      </c>
      <c r="S133" s="279" t="e">
        <f t="shared" si="233"/>
        <v>#DIV/0!</v>
      </c>
      <c r="T133" s="279" t="e">
        <f t="shared" si="233"/>
        <v>#DIV/0!</v>
      </c>
      <c r="V133" s="279" t="e">
        <f t="shared" si="234"/>
        <v>#DIV/0!</v>
      </c>
      <c r="W133" s="279" t="e">
        <f t="shared" si="234"/>
        <v>#DIV/0!</v>
      </c>
      <c r="Y133" s="279" t="e">
        <f t="shared" si="235"/>
        <v>#DIV/0!</v>
      </c>
      <c r="Z133" s="279" t="e">
        <f t="shared" si="235"/>
        <v>#DIV/0!</v>
      </c>
      <c r="AB133" s="279" t="e">
        <f t="shared" si="236"/>
        <v>#DIV/0!</v>
      </c>
      <c r="AC133" s="279" t="e">
        <f t="shared" si="236"/>
        <v>#DIV/0!</v>
      </c>
      <c r="AE133" s="279" t="e">
        <f t="shared" si="237"/>
        <v>#DIV/0!</v>
      </c>
      <c r="AF133" s="279" t="e">
        <f t="shared" si="237"/>
        <v>#DIV/0!</v>
      </c>
      <c r="AH133" s="279" t="e">
        <f t="shared" si="238"/>
        <v>#DIV/0!</v>
      </c>
      <c r="AI133" s="279" t="e">
        <f t="shared" si="238"/>
        <v>#DIV/0!</v>
      </c>
      <c r="AK133" s="279" t="e">
        <f t="shared" si="239"/>
        <v>#DIV/0!</v>
      </c>
      <c r="AL133" s="279" t="e">
        <f t="shared" si="239"/>
        <v>#DIV/0!</v>
      </c>
      <c r="AN133" s="279" t="e">
        <f t="shared" si="240"/>
        <v>#DIV/0!</v>
      </c>
      <c r="AO133" s="279" t="e">
        <f t="shared" si="240"/>
        <v>#DIV/0!</v>
      </c>
      <c r="AQ133" s="279" t="e">
        <f t="shared" si="241"/>
        <v>#DIV/0!</v>
      </c>
      <c r="AR133" s="279" t="e">
        <f t="shared" si="241"/>
        <v>#DIV/0!</v>
      </c>
      <c r="AT133" s="279" t="e">
        <f t="shared" si="242"/>
        <v>#DIV/0!</v>
      </c>
      <c r="AU133" s="279" t="e">
        <f t="shared" si="242"/>
        <v>#DIV/0!</v>
      </c>
      <c r="AW133" s="279" t="e">
        <f t="shared" si="243"/>
        <v>#DIV/0!</v>
      </c>
      <c r="AX133" s="279" t="e">
        <f t="shared" si="243"/>
        <v>#DIV/0!</v>
      </c>
      <c r="AZ133" s="279" t="e">
        <f t="shared" si="244"/>
        <v>#DIV/0!</v>
      </c>
      <c r="BA133" s="279" t="e">
        <f t="shared" si="244"/>
        <v>#DIV/0!</v>
      </c>
      <c r="BC133" s="279">
        <f t="shared" si="245"/>
        <v>19.8</v>
      </c>
      <c r="BD133" s="279">
        <f t="shared" si="245"/>
        <v>19.399999999999999</v>
      </c>
      <c r="BF133" s="279">
        <f t="shared" si="246"/>
        <v>16.8</v>
      </c>
      <c r="BG133" s="279">
        <f t="shared" si="246"/>
        <v>17.2</v>
      </c>
      <c r="BI133" s="279">
        <f t="shared" si="247"/>
        <v>22</v>
      </c>
      <c r="BJ133" s="279">
        <f t="shared" si="247"/>
        <v>20.2</v>
      </c>
      <c r="BL133" s="279" t="e">
        <f t="shared" si="248"/>
        <v>#DIV/0!</v>
      </c>
      <c r="BM133" s="279" t="e">
        <f t="shared" si="248"/>
        <v>#DIV/0!</v>
      </c>
      <c r="BO133" s="279" t="e">
        <f t="shared" si="249"/>
        <v>#DIV/0!</v>
      </c>
      <c r="BP133" s="279" t="e">
        <f t="shared" si="249"/>
        <v>#DIV/0!</v>
      </c>
      <c r="BR133" s="279" t="e">
        <f t="shared" si="250"/>
        <v>#DIV/0!</v>
      </c>
      <c r="BS133" s="279" t="e">
        <f t="shared" si="250"/>
        <v>#DIV/0!</v>
      </c>
      <c r="BU133" s="279" t="e">
        <f t="shared" si="251"/>
        <v>#DIV/0!</v>
      </c>
      <c r="BV133" s="279" t="e">
        <f t="shared" si="251"/>
        <v>#DIV/0!</v>
      </c>
      <c r="BX133" s="279" t="e">
        <f t="shared" si="252"/>
        <v>#DIV/0!</v>
      </c>
      <c r="BY133" s="279" t="e">
        <f t="shared" si="252"/>
        <v>#DIV/0!</v>
      </c>
      <c r="CA133" s="279" t="e">
        <f t="shared" si="253"/>
        <v>#DIV/0!</v>
      </c>
      <c r="CB133" s="279" t="e">
        <f t="shared" si="253"/>
        <v>#DIV/0!</v>
      </c>
      <c r="CD133" s="279">
        <f t="shared" si="254"/>
        <v>10.6</v>
      </c>
      <c r="CE133" s="279">
        <f t="shared" si="254"/>
        <v>12</v>
      </c>
      <c r="CG133" s="279" t="e">
        <f t="shared" si="255"/>
        <v>#DIV/0!</v>
      </c>
      <c r="CH133" s="279" t="e">
        <f t="shared" si="255"/>
        <v>#DIV/0!</v>
      </c>
      <c r="CJ133" s="279" t="e">
        <f t="shared" si="256"/>
        <v>#DIV/0!</v>
      </c>
      <c r="CK133" s="279" t="e">
        <f t="shared" si="256"/>
        <v>#DIV/0!</v>
      </c>
    </row>
    <row r="134" spans="1:89" x14ac:dyDescent="0.25">
      <c r="A134" s="95"/>
      <c r="B134" s="96" t="s">
        <v>1653</v>
      </c>
      <c r="C134" s="16"/>
      <c r="D134" s="95" t="s">
        <v>950</v>
      </c>
      <c r="E134" s="291"/>
      <c r="F134" s="291"/>
      <c r="G134" s="291"/>
      <c r="H134" s="291"/>
      <c r="I134" s="279">
        <f t="shared" si="230"/>
        <v>13.6</v>
      </c>
      <c r="J134" s="279">
        <f t="shared" si="230"/>
        <v>13</v>
      </c>
      <c r="K134" s="279">
        <f t="shared" si="231"/>
        <v>14</v>
      </c>
      <c r="L134" s="279" t="e">
        <f t="shared" si="231"/>
        <v>#DIV/0!</v>
      </c>
      <c r="M134" s="279" t="e">
        <f t="shared" si="231"/>
        <v>#DIV/0!</v>
      </c>
      <c r="N134" s="279" t="e">
        <f t="shared" ref="N134" si="258">N143/N152</f>
        <v>#DIV/0!</v>
      </c>
      <c r="O134" s="281"/>
      <c r="Q134" s="279">
        <f t="shared" si="233"/>
        <v>14</v>
      </c>
      <c r="R134" s="279">
        <f t="shared" si="233"/>
        <v>12.428571428571429</v>
      </c>
      <c r="S134" s="279" t="e">
        <f t="shared" si="233"/>
        <v>#DIV/0!</v>
      </c>
      <c r="T134" s="279" t="e">
        <f t="shared" si="233"/>
        <v>#DIV/0!</v>
      </c>
      <c r="V134" s="279" t="e">
        <f t="shared" si="234"/>
        <v>#DIV/0!</v>
      </c>
      <c r="W134" s="279" t="e">
        <f t="shared" si="234"/>
        <v>#DIV/0!</v>
      </c>
      <c r="Y134" s="279" t="e">
        <f t="shared" si="235"/>
        <v>#DIV/0!</v>
      </c>
      <c r="Z134" s="279" t="e">
        <f t="shared" si="235"/>
        <v>#DIV/0!</v>
      </c>
      <c r="AB134" s="279" t="e">
        <f t="shared" si="236"/>
        <v>#DIV/0!</v>
      </c>
      <c r="AC134" s="279" t="e">
        <f t="shared" si="236"/>
        <v>#DIV/0!</v>
      </c>
      <c r="AE134" s="279" t="e">
        <f t="shared" si="237"/>
        <v>#DIV/0!</v>
      </c>
      <c r="AF134" s="279" t="e">
        <f t="shared" si="237"/>
        <v>#DIV/0!</v>
      </c>
      <c r="AH134" s="279" t="e">
        <f t="shared" si="238"/>
        <v>#DIV/0!</v>
      </c>
      <c r="AI134" s="279" t="e">
        <f t="shared" si="238"/>
        <v>#DIV/0!</v>
      </c>
      <c r="AK134" s="279" t="e">
        <f t="shared" si="239"/>
        <v>#DIV/0!</v>
      </c>
      <c r="AL134" s="279" t="e">
        <f t="shared" si="239"/>
        <v>#DIV/0!</v>
      </c>
      <c r="AN134" s="279" t="e">
        <f t="shared" si="240"/>
        <v>#DIV/0!</v>
      </c>
      <c r="AO134" s="279" t="e">
        <f t="shared" si="240"/>
        <v>#DIV/0!</v>
      </c>
      <c r="AQ134" s="279" t="e">
        <f t="shared" si="241"/>
        <v>#DIV/0!</v>
      </c>
      <c r="AR134" s="279" t="e">
        <f t="shared" si="241"/>
        <v>#DIV/0!</v>
      </c>
      <c r="AT134" s="279" t="e">
        <f t="shared" si="242"/>
        <v>#DIV/0!</v>
      </c>
      <c r="AU134" s="279" t="e">
        <f t="shared" si="242"/>
        <v>#DIV/0!</v>
      </c>
      <c r="AW134" s="279" t="e">
        <f t="shared" si="243"/>
        <v>#DIV/0!</v>
      </c>
      <c r="AX134" s="279" t="e">
        <f t="shared" si="243"/>
        <v>#DIV/0!</v>
      </c>
      <c r="AZ134" s="279" t="e">
        <f t="shared" si="244"/>
        <v>#DIV/0!</v>
      </c>
      <c r="BA134" s="279" t="e">
        <f t="shared" si="244"/>
        <v>#DIV/0!</v>
      </c>
      <c r="BC134" s="279">
        <f t="shared" si="245"/>
        <v>10</v>
      </c>
      <c r="BD134" s="279">
        <f t="shared" si="245"/>
        <v>11.5</v>
      </c>
      <c r="BF134" s="279">
        <f t="shared" si="246"/>
        <v>10</v>
      </c>
      <c r="BG134" s="279">
        <f t="shared" si="246"/>
        <v>7</v>
      </c>
      <c r="BI134" s="279">
        <f t="shared" si="247"/>
        <v>22.5</v>
      </c>
      <c r="BJ134" s="279">
        <f t="shared" si="247"/>
        <v>21</v>
      </c>
      <c r="BL134" s="279" t="e">
        <f t="shared" si="248"/>
        <v>#DIV/0!</v>
      </c>
      <c r="BM134" s="279" t="e">
        <f t="shared" si="248"/>
        <v>#DIV/0!</v>
      </c>
      <c r="BO134" s="279" t="e">
        <f t="shared" si="249"/>
        <v>#DIV/0!</v>
      </c>
      <c r="BP134" s="279" t="e">
        <f t="shared" si="249"/>
        <v>#DIV/0!</v>
      </c>
      <c r="BR134" s="279" t="e">
        <f t="shared" si="250"/>
        <v>#DIV/0!</v>
      </c>
      <c r="BS134" s="279" t="e">
        <f t="shared" si="250"/>
        <v>#DIV/0!</v>
      </c>
      <c r="BU134" s="279" t="e">
        <f t="shared" si="251"/>
        <v>#DIV/0!</v>
      </c>
      <c r="BV134" s="279" t="e">
        <f t="shared" si="251"/>
        <v>#DIV/0!</v>
      </c>
      <c r="BX134" s="279" t="e">
        <f t="shared" si="252"/>
        <v>#DIV/0!</v>
      </c>
      <c r="BY134" s="279" t="e">
        <f t="shared" si="252"/>
        <v>#DIV/0!</v>
      </c>
      <c r="CA134" s="279" t="e">
        <f t="shared" si="253"/>
        <v>#DIV/0!</v>
      </c>
      <c r="CB134" s="279" t="e">
        <f t="shared" si="253"/>
        <v>#DIV/0!</v>
      </c>
      <c r="CD134" s="279">
        <f t="shared" si="254"/>
        <v>9</v>
      </c>
      <c r="CE134" s="279">
        <f t="shared" si="254"/>
        <v>7.5</v>
      </c>
      <c r="CG134" s="279" t="e">
        <f t="shared" si="255"/>
        <v>#DIV/0!</v>
      </c>
      <c r="CH134" s="279" t="e">
        <f t="shared" si="255"/>
        <v>#DIV/0!</v>
      </c>
      <c r="CJ134" s="279" t="e">
        <f t="shared" si="256"/>
        <v>#DIV/0!</v>
      </c>
      <c r="CK134" s="279" t="e">
        <f t="shared" si="256"/>
        <v>#DIV/0!</v>
      </c>
    </row>
    <row r="135" spans="1:89" x14ac:dyDescent="0.25">
      <c r="A135" s="95"/>
      <c r="B135" s="96" t="s">
        <v>1185</v>
      </c>
      <c r="C135" s="16"/>
      <c r="D135" s="95"/>
      <c r="E135" s="291"/>
      <c r="F135" s="291"/>
      <c r="G135" s="291"/>
      <c r="H135" s="291"/>
      <c r="I135" s="279"/>
      <c r="J135" s="279"/>
      <c r="K135" s="279"/>
      <c r="L135" s="279"/>
      <c r="M135" s="279"/>
      <c r="N135" s="279"/>
      <c r="O135" s="281"/>
      <c r="Q135" s="279"/>
      <c r="R135" s="279"/>
      <c r="S135" s="279"/>
      <c r="T135" s="279"/>
      <c r="V135" s="279"/>
      <c r="W135" s="279"/>
      <c r="Y135" s="279"/>
      <c r="Z135" s="279"/>
      <c r="AB135" s="279"/>
      <c r="AC135" s="279"/>
      <c r="AE135" s="279"/>
      <c r="AF135" s="279"/>
      <c r="AH135" s="279"/>
      <c r="AI135" s="279"/>
      <c r="AK135" s="279"/>
      <c r="AL135" s="279"/>
      <c r="AN135" s="279"/>
      <c r="AO135" s="279"/>
      <c r="AQ135" s="279"/>
      <c r="AR135" s="279"/>
      <c r="AT135" s="279"/>
      <c r="AU135" s="279"/>
      <c r="AW135" s="279"/>
      <c r="AX135" s="279"/>
      <c r="AZ135" s="279"/>
      <c r="BA135" s="279"/>
      <c r="BC135" s="279"/>
      <c r="BD135" s="279"/>
      <c r="BF135" s="279"/>
      <c r="BG135" s="279"/>
      <c r="BI135" s="279"/>
      <c r="BJ135" s="279"/>
      <c r="BL135" s="279"/>
      <c r="BM135" s="279"/>
      <c r="BO135" s="279"/>
      <c r="BP135" s="279"/>
      <c r="BR135" s="279"/>
      <c r="BS135" s="279"/>
      <c r="BU135" s="279"/>
      <c r="BV135" s="279"/>
      <c r="BX135" s="279"/>
      <c r="BY135" s="279"/>
      <c r="CA135" s="279"/>
      <c r="CB135" s="279"/>
      <c r="CD135" s="279"/>
      <c r="CE135" s="279"/>
      <c r="CG135" s="279"/>
      <c r="CH135" s="279"/>
      <c r="CJ135" s="279"/>
      <c r="CK135" s="279"/>
    </row>
    <row r="136" spans="1:89" x14ac:dyDescent="0.25">
      <c r="A136" s="95"/>
      <c r="B136" s="96" t="s">
        <v>1651</v>
      </c>
      <c r="C136" s="16"/>
      <c r="D136" s="95" t="s">
        <v>950</v>
      </c>
      <c r="E136" s="291"/>
      <c r="F136" s="291"/>
      <c r="G136" s="291"/>
      <c r="H136" s="291"/>
      <c r="I136" s="279" t="e">
        <f t="shared" ref="I136:K138" si="259">I145/I154</f>
        <v>#DIV/0!</v>
      </c>
      <c r="J136" s="279" t="e">
        <f t="shared" si="259"/>
        <v>#DIV/0!</v>
      </c>
      <c r="K136" s="279" t="e">
        <f t="shared" si="259"/>
        <v>#DIV/0!</v>
      </c>
      <c r="L136" s="279" t="e">
        <f t="shared" ref="L136:M138" si="260">L145/L154</f>
        <v>#DIV/0!</v>
      </c>
      <c r="M136" s="279" t="e">
        <f t="shared" si="260"/>
        <v>#DIV/0!</v>
      </c>
      <c r="N136" s="279" t="e">
        <f t="shared" ref="N136" si="261">N145/N154</f>
        <v>#DIV/0!</v>
      </c>
      <c r="O136" s="281"/>
      <c r="Q136" s="279" t="e">
        <f t="shared" ref="Q136:T138" si="262">Q145/Q154</f>
        <v>#DIV/0!</v>
      </c>
      <c r="R136" s="279" t="e">
        <f t="shared" si="262"/>
        <v>#DIV/0!</v>
      </c>
      <c r="S136" s="279" t="e">
        <f t="shared" si="262"/>
        <v>#DIV/0!</v>
      </c>
      <c r="T136" s="279" t="e">
        <f t="shared" si="262"/>
        <v>#DIV/0!</v>
      </c>
      <c r="V136" s="279" t="e">
        <f t="shared" ref="V136:W138" si="263">V145/V154</f>
        <v>#DIV/0!</v>
      </c>
      <c r="W136" s="279" t="e">
        <f t="shared" si="263"/>
        <v>#DIV/0!</v>
      </c>
      <c r="Y136" s="279" t="e">
        <f t="shared" ref="Y136:Z138" si="264">Y145/Y154</f>
        <v>#DIV/0!</v>
      </c>
      <c r="Z136" s="279" t="e">
        <f t="shared" si="264"/>
        <v>#DIV/0!</v>
      </c>
      <c r="AB136" s="279" t="e">
        <f t="shared" ref="AB136:AC138" si="265">AB145/AB154</f>
        <v>#DIV/0!</v>
      </c>
      <c r="AC136" s="279" t="e">
        <f t="shared" si="265"/>
        <v>#DIV/0!</v>
      </c>
      <c r="AE136" s="279" t="e">
        <f t="shared" ref="AE136:AF138" si="266">AE145/AE154</f>
        <v>#DIV/0!</v>
      </c>
      <c r="AF136" s="279" t="e">
        <f t="shared" si="266"/>
        <v>#DIV/0!</v>
      </c>
      <c r="AH136" s="279" t="e">
        <f t="shared" ref="AH136:AI138" si="267">AH145/AH154</f>
        <v>#DIV/0!</v>
      </c>
      <c r="AI136" s="279" t="e">
        <f t="shared" si="267"/>
        <v>#DIV/0!</v>
      </c>
      <c r="AK136" s="279" t="e">
        <f t="shared" ref="AK136:AL138" si="268">AK145/AK154</f>
        <v>#DIV/0!</v>
      </c>
      <c r="AL136" s="279" t="e">
        <f t="shared" si="268"/>
        <v>#DIV/0!</v>
      </c>
      <c r="AN136" s="279" t="e">
        <f t="shared" ref="AN136:AO138" si="269">AN145/AN154</f>
        <v>#DIV/0!</v>
      </c>
      <c r="AO136" s="279" t="e">
        <f t="shared" si="269"/>
        <v>#DIV/0!</v>
      </c>
      <c r="AQ136" s="279" t="e">
        <f t="shared" ref="AQ136:AR138" si="270">AQ145/AQ154</f>
        <v>#DIV/0!</v>
      </c>
      <c r="AR136" s="279" t="e">
        <f t="shared" si="270"/>
        <v>#DIV/0!</v>
      </c>
      <c r="AT136" s="279" t="e">
        <f t="shared" ref="AT136:AU138" si="271">AT145/AT154</f>
        <v>#DIV/0!</v>
      </c>
      <c r="AU136" s="279" t="e">
        <f t="shared" si="271"/>
        <v>#DIV/0!</v>
      </c>
      <c r="AW136" s="279" t="e">
        <f t="shared" ref="AW136:AX138" si="272">AW145/AW154</f>
        <v>#DIV/0!</v>
      </c>
      <c r="AX136" s="279" t="e">
        <f t="shared" si="272"/>
        <v>#DIV/0!</v>
      </c>
      <c r="AZ136" s="279" t="e">
        <f t="shared" ref="AZ136:BA138" si="273">AZ145/AZ154</f>
        <v>#DIV/0!</v>
      </c>
      <c r="BA136" s="279" t="e">
        <f t="shared" si="273"/>
        <v>#DIV/0!</v>
      </c>
      <c r="BC136" s="279" t="e">
        <f t="shared" ref="BC136:BD138" si="274">BC145/BC154</f>
        <v>#DIV/0!</v>
      </c>
      <c r="BD136" s="279" t="e">
        <f t="shared" si="274"/>
        <v>#DIV/0!</v>
      </c>
      <c r="BF136" s="279" t="e">
        <f t="shared" ref="BF136:BG138" si="275">BF145/BF154</f>
        <v>#DIV/0!</v>
      </c>
      <c r="BG136" s="279" t="e">
        <f t="shared" si="275"/>
        <v>#DIV/0!</v>
      </c>
      <c r="BI136" s="279" t="e">
        <f t="shared" ref="BI136:BJ138" si="276">BI145/BI154</f>
        <v>#DIV/0!</v>
      </c>
      <c r="BJ136" s="279" t="e">
        <f t="shared" si="276"/>
        <v>#DIV/0!</v>
      </c>
      <c r="BL136" s="279" t="e">
        <f t="shared" ref="BL136:BM138" si="277">BL145/BL154</f>
        <v>#DIV/0!</v>
      </c>
      <c r="BM136" s="279" t="e">
        <f t="shared" si="277"/>
        <v>#DIV/0!</v>
      </c>
      <c r="BO136" s="279" t="e">
        <f t="shared" ref="BO136:BP138" si="278">BO145/BO154</f>
        <v>#DIV/0!</v>
      </c>
      <c r="BP136" s="279" t="e">
        <f t="shared" si="278"/>
        <v>#DIV/0!</v>
      </c>
      <c r="BR136" s="279" t="e">
        <f t="shared" ref="BR136:BS138" si="279">BR145/BR154</f>
        <v>#DIV/0!</v>
      </c>
      <c r="BS136" s="279" t="e">
        <f t="shared" si="279"/>
        <v>#DIV/0!</v>
      </c>
      <c r="BU136" s="279" t="e">
        <f t="shared" ref="BU136:BV138" si="280">BU145/BU154</f>
        <v>#DIV/0!</v>
      </c>
      <c r="BV136" s="279" t="e">
        <f t="shared" si="280"/>
        <v>#DIV/0!</v>
      </c>
      <c r="BX136" s="279" t="e">
        <f t="shared" ref="BX136:BY138" si="281">BX145/BX154</f>
        <v>#DIV/0!</v>
      </c>
      <c r="BY136" s="279" t="e">
        <f t="shared" si="281"/>
        <v>#DIV/0!</v>
      </c>
      <c r="CA136" s="279" t="e">
        <f t="shared" ref="CA136:CB138" si="282">CA145/CA154</f>
        <v>#DIV/0!</v>
      </c>
      <c r="CB136" s="279" t="e">
        <f t="shared" si="282"/>
        <v>#DIV/0!</v>
      </c>
      <c r="CD136" s="279" t="e">
        <f t="shared" ref="CD136:CE138" si="283">CD145/CD154</f>
        <v>#DIV/0!</v>
      </c>
      <c r="CE136" s="279" t="e">
        <f t="shared" si="283"/>
        <v>#DIV/0!</v>
      </c>
      <c r="CG136" s="279" t="e">
        <f t="shared" ref="CG136:CH138" si="284">CG145/CG154</f>
        <v>#DIV/0!</v>
      </c>
      <c r="CH136" s="279" t="e">
        <f t="shared" si="284"/>
        <v>#DIV/0!</v>
      </c>
      <c r="CJ136" s="279" t="e">
        <f t="shared" ref="CJ136:CK138" si="285">CJ145/CJ154</f>
        <v>#DIV/0!</v>
      </c>
      <c r="CK136" s="279" t="e">
        <f t="shared" si="285"/>
        <v>#DIV/0!</v>
      </c>
    </row>
    <row r="137" spans="1:89" x14ac:dyDescent="0.25">
      <c r="A137" s="95"/>
      <c r="B137" s="96" t="s">
        <v>1652</v>
      </c>
      <c r="C137" s="16"/>
      <c r="D137" s="95" t="s">
        <v>950</v>
      </c>
      <c r="E137" s="291"/>
      <c r="F137" s="291"/>
      <c r="G137" s="291"/>
      <c r="H137" s="291"/>
      <c r="I137" s="279" t="e">
        <f t="shared" si="259"/>
        <v>#DIV/0!</v>
      </c>
      <c r="J137" s="279" t="e">
        <f t="shared" si="259"/>
        <v>#DIV/0!</v>
      </c>
      <c r="K137" s="279" t="e">
        <f t="shared" si="259"/>
        <v>#DIV/0!</v>
      </c>
      <c r="L137" s="279" t="e">
        <f t="shared" ref="L137" si="286">L146/L155</f>
        <v>#DIV/0!</v>
      </c>
      <c r="M137" s="279" t="e">
        <f t="shared" si="260"/>
        <v>#DIV/0!</v>
      </c>
      <c r="N137" s="279" t="e">
        <f t="shared" ref="N137" si="287">N146/N155</f>
        <v>#DIV/0!</v>
      </c>
      <c r="O137" s="281"/>
      <c r="Q137" s="279" t="e">
        <f t="shared" si="262"/>
        <v>#DIV/0!</v>
      </c>
      <c r="R137" s="279" t="e">
        <f t="shared" si="262"/>
        <v>#DIV/0!</v>
      </c>
      <c r="S137" s="279" t="e">
        <f t="shared" si="262"/>
        <v>#DIV/0!</v>
      </c>
      <c r="T137" s="279" t="e">
        <f t="shared" si="262"/>
        <v>#DIV/0!</v>
      </c>
      <c r="V137" s="279" t="e">
        <f t="shared" si="263"/>
        <v>#DIV/0!</v>
      </c>
      <c r="W137" s="279" t="e">
        <f t="shared" si="263"/>
        <v>#DIV/0!</v>
      </c>
      <c r="Y137" s="279" t="e">
        <f t="shared" si="264"/>
        <v>#DIV/0!</v>
      </c>
      <c r="Z137" s="279" t="e">
        <f t="shared" si="264"/>
        <v>#DIV/0!</v>
      </c>
      <c r="AB137" s="279" t="e">
        <f t="shared" si="265"/>
        <v>#DIV/0!</v>
      </c>
      <c r="AC137" s="279" t="e">
        <f t="shared" si="265"/>
        <v>#DIV/0!</v>
      </c>
      <c r="AE137" s="279" t="e">
        <f t="shared" si="266"/>
        <v>#DIV/0!</v>
      </c>
      <c r="AF137" s="279" t="e">
        <f t="shared" si="266"/>
        <v>#DIV/0!</v>
      </c>
      <c r="AH137" s="279" t="e">
        <f t="shared" si="267"/>
        <v>#DIV/0!</v>
      </c>
      <c r="AI137" s="279" t="e">
        <f t="shared" si="267"/>
        <v>#DIV/0!</v>
      </c>
      <c r="AK137" s="279" t="e">
        <f t="shared" si="268"/>
        <v>#DIV/0!</v>
      </c>
      <c r="AL137" s="279" t="e">
        <f t="shared" si="268"/>
        <v>#DIV/0!</v>
      </c>
      <c r="AN137" s="279" t="e">
        <f t="shared" si="269"/>
        <v>#DIV/0!</v>
      </c>
      <c r="AO137" s="279" t="e">
        <f t="shared" si="269"/>
        <v>#DIV/0!</v>
      </c>
      <c r="AQ137" s="279" t="e">
        <f t="shared" si="270"/>
        <v>#DIV/0!</v>
      </c>
      <c r="AR137" s="279" t="e">
        <f t="shared" si="270"/>
        <v>#DIV/0!</v>
      </c>
      <c r="AT137" s="279" t="e">
        <f t="shared" si="271"/>
        <v>#DIV/0!</v>
      </c>
      <c r="AU137" s="279" t="e">
        <f t="shared" si="271"/>
        <v>#DIV/0!</v>
      </c>
      <c r="AW137" s="279" t="e">
        <f t="shared" si="272"/>
        <v>#DIV/0!</v>
      </c>
      <c r="AX137" s="279" t="e">
        <f t="shared" si="272"/>
        <v>#DIV/0!</v>
      </c>
      <c r="AZ137" s="279" t="e">
        <f t="shared" si="273"/>
        <v>#DIV/0!</v>
      </c>
      <c r="BA137" s="279" t="e">
        <f t="shared" si="273"/>
        <v>#DIV/0!</v>
      </c>
      <c r="BC137" s="279" t="e">
        <f t="shared" si="274"/>
        <v>#DIV/0!</v>
      </c>
      <c r="BD137" s="279" t="e">
        <f t="shared" si="274"/>
        <v>#DIV/0!</v>
      </c>
      <c r="BF137" s="279" t="e">
        <f t="shared" si="275"/>
        <v>#DIV/0!</v>
      </c>
      <c r="BG137" s="279" t="e">
        <f t="shared" si="275"/>
        <v>#DIV/0!</v>
      </c>
      <c r="BI137" s="279" t="e">
        <f t="shared" si="276"/>
        <v>#DIV/0!</v>
      </c>
      <c r="BJ137" s="279" t="e">
        <f t="shared" si="276"/>
        <v>#DIV/0!</v>
      </c>
      <c r="BL137" s="279" t="e">
        <f t="shared" si="277"/>
        <v>#DIV/0!</v>
      </c>
      <c r="BM137" s="279" t="e">
        <f t="shared" si="277"/>
        <v>#DIV/0!</v>
      </c>
      <c r="BO137" s="279" t="e">
        <f t="shared" si="278"/>
        <v>#DIV/0!</v>
      </c>
      <c r="BP137" s="279" t="e">
        <f t="shared" si="278"/>
        <v>#DIV/0!</v>
      </c>
      <c r="BR137" s="279" t="e">
        <f t="shared" si="279"/>
        <v>#DIV/0!</v>
      </c>
      <c r="BS137" s="279" t="e">
        <f t="shared" si="279"/>
        <v>#DIV/0!</v>
      </c>
      <c r="BU137" s="279" t="e">
        <f t="shared" si="280"/>
        <v>#DIV/0!</v>
      </c>
      <c r="BV137" s="279" t="e">
        <f t="shared" si="280"/>
        <v>#DIV/0!</v>
      </c>
      <c r="BX137" s="279" t="e">
        <f t="shared" si="281"/>
        <v>#DIV/0!</v>
      </c>
      <c r="BY137" s="279" t="e">
        <f t="shared" si="281"/>
        <v>#DIV/0!</v>
      </c>
      <c r="CA137" s="279" t="e">
        <f t="shared" si="282"/>
        <v>#DIV/0!</v>
      </c>
      <c r="CB137" s="279" t="e">
        <f t="shared" si="282"/>
        <v>#DIV/0!</v>
      </c>
      <c r="CD137" s="279" t="e">
        <f t="shared" si="283"/>
        <v>#DIV/0!</v>
      </c>
      <c r="CE137" s="279" t="e">
        <f t="shared" si="283"/>
        <v>#DIV/0!</v>
      </c>
      <c r="CG137" s="279" t="e">
        <f t="shared" si="284"/>
        <v>#DIV/0!</v>
      </c>
      <c r="CH137" s="279" t="e">
        <f t="shared" si="284"/>
        <v>#DIV/0!</v>
      </c>
      <c r="CJ137" s="279" t="e">
        <f t="shared" si="285"/>
        <v>#DIV/0!</v>
      </c>
      <c r="CK137" s="279" t="e">
        <f t="shared" si="285"/>
        <v>#DIV/0!</v>
      </c>
    </row>
    <row r="138" spans="1:89" x14ac:dyDescent="0.25">
      <c r="A138" s="95"/>
      <c r="B138" s="96" t="s">
        <v>1653</v>
      </c>
      <c r="C138" s="16"/>
      <c r="D138" s="95" t="s">
        <v>950</v>
      </c>
      <c r="E138" s="291"/>
      <c r="F138" s="291"/>
      <c r="G138" s="291"/>
      <c r="H138" s="291"/>
      <c r="I138" s="279" t="e">
        <f t="shared" si="259"/>
        <v>#DIV/0!</v>
      </c>
      <c r="J138" s="279" t="e">
        <f t="shared" si="259"/>
        <v>#DIV/0!</v>
      </c>
      <c r="K138" s="279" t="e">
        <f t="shared" si="259"/>
        <v>#DIV/0!</v>
      </c>
      <c r="L138" s="279" t="e">
        <f t="shared" ref="L138" si="288">L147/L156</f>
        <v>#DIV/0!</v>
      </c>
      <c r="M138" s="279" t="e">
        <f t="shared" si="260"/>
        <v>#DIV/0!</v>
      </c>
      <c r="N138" s="279" t="e">
        <f t="shared" ref="N138" si="289">N147/N156</f>
        <v>#DIV/0!</v>
      </c>
      <c r="O138" s="281"/>
      <c r="Q138" s="279" t="e">
        <f t="shared" si="262"/>
        <v>#DIV/0!</v>
      </c>
      <c r="R138" s="279" t="e">
        <f t="shared" si="262"/>
        <v>#DIV/0!</v>
      </c>
      <c r="S138" s="279" t="e">
        <f t="shared" si="262"/>
        <v>#DIV/0!</v>
      </c>
      <c r="T138" s="279" t="e">
        <f t="shared" si="262"/>
        <v>#DIV/0!</v>
      </c>
      <c r="V138" s="279" t="e">
        <f t="shared" si="263"/>
        <v>#DIV/0!</v>
      </c>
      <c r="W138" s="279" t="e">
        <f t="shared" si="263"/>
        <v>#DIV/0!</v>
      </c>
      <c r="Y138" s="279" t="e">
        <f t="shared" si="264"/>
        <v>#DIV/0!</v>
      </c>
      <c r="Z138" s="279" t="e">
        <f t="shared" si="264"/>
        <v>#DIV/0!</v>
      </c>
      <c r="AB138" s="279" t="e">
        <f t="shared" si="265"/>
        <v>#DIV/0!</v>
      </c>
      <c r="AC138" s="279" t="e">
        <f t="shared" si="265"/>
        <v>#DIV/0!</v>
      </c>
      <c r="AE138" s="279" t="e">
        <f t="shared" si="266"/>
        <v>#DIV/0!</v>
      </c>
      <c r="AF138" s="279" t="e">
        <f t="shared" si="266"/>
        <v>#DIV/0!</v>
      </c>
      <c r="AH138" s="279" t="e">
        <f t="shared" si="267"/>
        <v>#DIV/0!</v>
      </c>
      <c r="AI138" s="279" t="e">
        <f t="shared" si="267"/>
        <v>#DIV/0!</v>
      </c>
      <c r="AK138" s="279" t="e">
        <f t="shared" si="268"/>
        <v>#DIV/0!</v>
      </c>
      <c r="AL138" s="279" t="e">
        <f t="shared" si="268"/>
        <v>#DIV/0!</v>
      </c>
      <c r="AN138" s="279" t="e">
        <f t="shared" si="269"/>
        <v>#DIV/0!</v>
      </c>
      <c r="AO138" s="279" t="e">
        <f t="shared" si="269"/>
        <v>#DIV/0!</v>
      </c>
      <c r="AQ138" s="279" t="e">
        <f t="shared" si="270"/>
        <v>#DIV/0!</v>
      </c>
      <c r="AR138" s="279" t="e">
        <f t="shared" si="270"/>
        <v>#DIV/0!</v>
      </c>
      <c r="AT138" s="279" t="e">
        <f t="shared" si="271"/>
        <v>#DIV/0!</v>
      </c>
      <c r="AU138" s="279" t="e">
        <f t="shared" si="271"/>
        <v>#DIV/0!</v>
      </c>
      <c r="AW138" s="279" t="e">
        <f t="shared" si="272"/>
        <v>#DIV/0!</v>
      </c>
      <c r="AX138" s="279" t="e">
        <f t="shared" si="272"/>
        <v>#DIV/0!</v>
      </c>
      <c r="AZ138" s="279" t="e">
        <f t="shared" si="273"/>
        <v>#DIV/0!</v>
      </c>
      <c r="BA138" s="279" t="e">
        <f t="shared" si="273"/>
        <v>#DIV/0!</v>
      </c>
      <c r="BC138" s="279" t="e">
        <f t="shared" si="274"/>
        <v>#DIV/0!</v>
      </c>
      <c r="BD138" s="279" t="e">
        <f t="shared" si="274"/>
        <v>#DIV/0!</v>
      </c>
      <c r="BF138" s="279" t="e">
        <f t="shared" si="275"/>
        <v>#DIV/0!</v>
      </c>
      <c r="BG138" s="279" t="e">
        <f t="shared" si="275"/>
        <v>#DIV/0!</v>
      </c>
      <c r="BI138" s="279" t="e">
        <f t="shared" si="276"/>
        <v>#DIV/0!</v>
      </c>
      <c r="BJ138" s="279" t="e">
        <f t="shared" si="276"/>
        <v>#DIV/0!</v>
      </c>
      <c r="BL138" s="279" t="e">
        <f t="shared" si="277"/>
        <v>#DIV/0!</v>
      </c>
      <c r="BM138" s="279" t="e">
        <f t="shared" si="277"/>
        <v>#DIV/0!</v>
      </c>
      <c r="BO138" s="279" t="e">
        <f t="shared" si="278"/>
        <v>#DIV/0!</v>
      </c>
      <c r="BP138" s="279" t="e">
        <f t="shared" si="278"/>
        <v>#DIV/0!</v>
      </c>
      <c r="BR138" s="279" t="e">
        <f t="shared" si="279"/>
        <v>#DIV/0!</v>
      </c>
      <c r="BS138" s="279" t="e">
        <f t="shared" si="279"/>
        <v>#DIV/0!</v>
      </c>
      <c r="BU138" s="279" t="e">
        <f t="shared" si="280"/>
        <v>#DIV/0!</v>
      </c>
      <c r="BV138" s="279" t="e">
        <f t="shared" si="280"/>
        <v>#DIV/0!</v>
      </c>
      <c r="BX138" s="279" t="e">
        <f t="shared" si="281"/>
        <v>#DIV/0!</v>
      </c>
      <c r="BY138" s="279" t="e">
        <f t="shared" si="281"/>
        <v>#DIV/0!</v>
      </c>
      <c r="CA138" s="279" t="e">
        <f t="shared" si="282"/>
        <v>#DIV/0!</v>
      </c>
      <c r="CB138" s="279" t="e">
        <f t="shared" si="282"/>
        <v>#DIV/0!</v>
      </c>
      <c r="CD138" s="279" t="e">
        <f t="shared" si="283"/>
        <v>#DIV/0!</v>
      </c>
      <c r="CE138" s="279" t="e">
        <f t="shared" si="283"/>
        <v>#DIV/0!</v>
      </c>
      <c r="CG138" s="279" t="e">
        <f t="shared" si="284"/>
        <v>#DIV/0!</v>
      </c>
      <c r="CH138" s="279" t="e">
        <f t="shared" si="284"/>
        <v>#DIV/0!</v>
      </c>
      <c r="CJ138" s="279" t="e">
        <f t="shared" si="285"/>
        <v>#DIV/0!</v>
      </c>
      <c r="CK138" s="279" t="e">
        <f t="shared" si="285"/>
        <v>#DIV/0!</v>
      </c>
    </row>
    <row r="139" spans="1:89" x14ac:dyDescent="0.25">
      <c r="A139" s="95"/>
      <c r="B139" s="294" t="s">
        <v>1829</v>
      </c>
      <c r="C139" s="16"/>
      <c r="D139" s="95"/>
      <c r="E139" s="291"/>
      <c r="F139" s="291"/>
      <c r="G139" s="291"/>
      <c r="H139" s="291"/>
      <c r="I139" s="291"/>
      <c r="J139" s="291"/>
      <c r="K139" s="291"/>
      <c r="L139" s="291"/>
      <c r="M139" s="291"/>
      <c r="N139" s="291"/>
      <c r="O139" s="281"/>
    </row>
    <row r="140" spans="1:89" x14ac:dyDescent="0.25">
      <c r="A140" s="95"/>
      <c r="B140" s="96" t="s">
        <v>1183</v>
      </c>
      <c r="C140" s="16"/>
      <c r="D140" s="95"/>
      <c r="E140" s="291"/>
      <c r="F140" s="291"/>
      <c r="G140" s="291"/>
      <c r="H140" s="291"/>
      <c r="I140" s="291"/>
      <c r="J140" s="291"/>
      <c r="K140" s="291"/>
      <c r="L140" s="291"/>
      <c r="M140" s="291"/>
      <c r="N140" s="291"/>
      <c r="O140" s="281"/>
    </row>
    <row r="141" spans="1:89" ht="30" x14ac:dyDescent="0.25">
      <c r="A141" s="95"/>
      <c r="B141" s="248" t="s">
        <v>1651</v>
      </c>
      <c r="C141" s="312" t="s">
        <v>2675</v>
      </c>
      <c r="D141" s="95" t="s">
        <v>950</v>
      </c>
      <c r="E141" s="291"/>
      <c r="F141" s="291"/>
      <c r="G141" s="291"/>
      <c r="H141" s="291"/>
      <c r="I141" s="291">
        <v>424</v>
      </c>
      <c r="J141" s="291">
        <v>406</v>
      </c>
      <c r="K141" s="291">
        <v>392</v>
      </c>
      <c r="L141" s="291">
        <v>0</v>
      </c>
      <c r="M141" s="291">
        <v>0</v>
      </c>
      <c r="N141" s="291">
        <v>0</v>
      </c>
      <c r="O141" s="281"/>
      <c r="Q141" s="283">
        <f t="shared" ref="Q141:Q147" si="290">S141+V141+Y141+AB141+AE141+AH141+AK141+AN141+AQ141+AT141+AW141+AZ141+BC141+BF141+BI141+BL141+BO141+BR141+BU141+BX141+CA141+CD141+CG141+CJ141</f>
        <v>392</v>
      </c>
      <c r="R141" s="283">
        <f t="shared" ref="R141:R147" si="291">T141+W141+Z141+AC141+AF141+AI141+AL141+AO141+AR141+AU141+AX141+BA141+BD141+BG141+BJ141+BM141+BP141+BS141+BV141+BY141+CB141+CE141+CH141+CK141</f>
        <v>388</v>
      </c>
      <c r="S141" s="267">
        <v>0</v>
      </c>
      <c r="T141" s="267">
        <v>0</v>
      </c>
      <c r="V141" s="267">
        <v>0</v>
      </c>
      <c r="W141" s="267">
        <v>0</v>
      </c>
      <c r="Y141" s="267">
        <v>0</v>
      </c>
      <c r="Z141" s="267">
        <v>0</v>
      </c>
      <c r="AB141" s="267">
        <v>0</v>
      </c>
      <c r="AC141" s="267">
        <v>0</v>
      </c>
      <c r="AE141" s="267">
        <v>0</v>
      </c>
      <c r="AF141" s="267">
        <v>0</v>
      </c>
      <c r="AH141" s="267">
        <v>0</v>
      </c>
      <c r="AI141" s="267">
        <v>0</v>
      </c>
      <c r="AK141" s="267">
        <v>0</v>
      </c>
      <c r="AL141" s="267">
        <v>0</v>
      </c>
      <c r="AN141" s="267">
        <v>0</v>
      </c>
      <c r="AO141" s="267">
        <v>0</v>
      </c>
      <c r="AQ141" s="267">
        <v>0</v>
      </c>
      <c r="AR141" s="267">
        <v>0</v>
      </c>
      <c r="AT141" s="267">
        <v>0</v>
      </c>
      <c r="AU141" s="267">
        <v>0</v>
      </c>
      <c r="AW141" s="267">
        <v>0</v>
      </c>
      <c r="AX141" s="267">
        <v>0</v>
      </c>
      <c r="AZ141" s="267">
        <v>0</v>
      </c>
      <c r="BA141" s="267">
        <v>0</v>
      </c>
      <c r="BC141" s="267">
        <v>68</v>
      </c>
      <c r="BD141" s="267">
        <v>68</v>
      </c>
      <c r="BF141" s="267">
        <v>97</v>
      </c>
      <c r="BG141" s="267">
        <v>88</v>
      </c>
      <c r="BI141" s="267">
        <v>171</v>
      </c>
      <c r="BJ141" s="267">
        <v>180</v>
      </c>
      <c r="BL141" s="267">
        <v>0</v>
      </c>
      <c r="BM141" s="267">
        <v>0</v>
      </c>
      <c r="BO141" s="267">
        <v>0</v>
      </c>
      <c r="BP141" s="267">
        <v>0</v>
      </c>
      <c r="BR141" s="267">
        <v>0</v>
      </c>
      <c r="BS141" s="267">
        <v>0</v>
      </c>
      <c r="BU141" s="267">
        <v>0</v>
      </c>
      <c r="BV141" s="267">
        <v>0</v>
      </c>
      <c r="BX141" s="267">
        <v>0</v>
      </c>
      <c r="BY141" s="267">
        <v>0</v>
      </c>
      <c r="CA141" s="267">
        <v>0</v>
      </c>
      <c r="CB141" s="267">
        <v>0</v>
      </c>
      <c r="CD141" s="267">
        <v>56</v>
      </c>
      <c r="CE141" s="267">
        <v>52</v>
      </c>
      <c r="CG141" s="267">
        <v>0</v>
      </c>
      <c r="CH141" s="267">
        <v>0</v>
      </c>
      <c r="CJ141" s="267">
        <v>0</v>
      </c>
      <c r="CK141" s="267">
        <v>0</v>
      </c>
    </row>
    <row r="142" spans="1:89" ht="30" x14ac:dyDescent="0.25">
      <c r="A142" s="95"/>
      <c r="B142" s="248" t="s">
        <v>1652</v>
      </c>
      <c r="C142" s="312" t="s">
        <v>2676</v>
      </c>
      <c r="D142" s="95" t="s">
        <v>950</v>
      </c>
      <c r="E142" s="291"/>
      <c r="F142" s="291"/>
      <c r="G142" s="291"/>
      <c r="H142" s="291"/>
      <c r="I142" s="291">
        <v>406</v>
      </c>
      <c r="J142" s="291">
        <v>460</v>
      </c>
      <c r="K142" s="291">
        <v>456</v>
      </c>
      <c r="L142" s="291">
        <v>0</v>
      </c>
      <c r="M142" s="291">
        <v>0</v>
      </c>
      <c r="N142" s="291">
        <v>0</v>
      </c>
      <c r="O142" s="281"/>
      <c r="Q142" s="283">
        <f t="shared" si="290"/>
        <v>456</v>
      </c>
      <c r="R142" s="283">
        <f t="shared" si="291"/>
        <v>445</v>
      </c>
      <c r="S142" s="267">
        <v>0</v>
      </c>
      <c r="T142" s="267">
        <v>0</v>
      </c>
      <c r="V142" s="267">
        <v>0</v>
      </c>
      <c r="W142" s="267">
        <v>0</v>
      </c>
      <c r="Y142" s="267">
        <v>0</v>
      </c>
      <c r="Z142" s="267">
        <v>0</v>
      </c>
      <c r="AB142" s="267">
        <v>0</v>
      </c>
      <c r="AC142" s="267">
        <v>0</v>
      </c>
      <c r="AE142" s="267">
        <v>0</v>
      </c>
      <c r="AF142" s="267">
        <v>0</v>
      </c>
      <c r="AH142" s="267">
        <v>0</v>
      </c>
      <c r="AI142" s="267">
        <v>0</v>
      </c>
      <c r="AK142" s="267">
        <v>0</v>
      </c>
      <c r="AL142" s="267">
        <v>0</v>
      </c>
      <c r="AN142" s="267">
        <v>0</v>
      </c>
      <c r="AO142" s="267">
        <v>0</v>
      </c>
      <c r="AQ142" s="267">
        <v>0</v>
      </c>
      <c r="AR142" s="267">
        <v>0</v>
      </c>
      <c r="AT142" s="267">
        <v>0</v>
      </c>
      <c r="AU142" s="267">
        <v>0</v>
      </c>
      <c r="AW142" s="267">
        <v>0</v>
      </c>
      <c r="AX142" s="267">
        <v>0</v>
      </c>
      <c r="AZ142" s="267">
        <v>0</v>
      </c>
      <c r="BA142" s="267">
        <v>0</v>
      </c>
      <c r="BC142" s="267">
        <v>99</v>
      </c>
      <c r="BD142" s="267">
        <v>97</v>
      </c>
      <c r="BF142" s="267">
        <v>84</v>
      </c>
      <c r="BG142" s="267">
        <v>86</v>
      </c>
      <c r="BI142" s="267">
        <v>220</v>
      </c>
      <c r="BJ142" s="267">
        <v>202</v>
      </c>
      <c r="BL142" s="267">
        <v>0</v>
      </c>
      <c r="BM142" s="267">
        <v>0</v>
      </c>
      <c r="BO142" s="267">
        <v>0</v>
      </c>
      <c r="BP142" s="267">
        <v>0</v>
      </c>
      <c r="BR142" s="267">
        <v>0</v>
      </c>
      <c r="BS142" s="267">
        <v>0</v>
      </c>
      <c r="BU142" s="267">
        <v>0</v>
      </c>
      <c r="BV142" s="267">
        <v>0</v>
      </c>
      <c r="BX142" s="267">
        <v>0</v>
      </c>
      <c r="BY142" s="267">
        <v>0</v>
      </c>
      <c r="CA142" s="267">
        <v>0</v>
      </c>
      <c r="CB142" s="267">
        <v>0</v>
      </c>
      <c r="CD142" s="267">
        <v>53</v>
      </c>
      <c r="CE142" s="267">
        <v>60</v>
      </c>
      <c r="CG142" s="267">
        <v>0</v>
      </c>
      <c r="CH142" s="267">
        <v>0</v>
      </c>
      <c r="CJ142" s="267">
        <v>0</v>
      </c>
      <c r="CK142" s="267">
        <v>0</v>
      </c>
    </row>
    <row r="143" spans="1:89" ht="30" x14ac:dyDescent="0.25">
      <c r="A143" s="95"/>
      <c r="B143" s="248" t="s">
        <v>1653</v>
      </c>
      <c r="C143" s="312" t="s">
        <v>2677</v>
      </c>
      <c r="D143" s="95" t="s">
        <v>950</v>
      </c>
      <c r="E143" s="291"/>
      <c r="F143" s="291"/>
      <c r="G143" s="291"/>
      <c r="H143" s="291"/>
      <c r="I143" s="291">
        <v>68</v>
      </c>
      <c r="J143" s="291">
        <v>65</v>
      </c>
      <c r="K143" s="291">
        <v>84</v>
      </c>
      <c r="L143" s="291">
        <v>0</v>
      </c>
      <c r="M143" s="291">
        <v>0</v>
      </c>
      <c r="N143" s="291">
        <v>0</v>
      </c>
      <c r="O143" s="281"/>
      <c r="Q143" s="283">
        <f t="shared" si="290"/>
        <v>84</v>
      </c>
      <c r="R143" s="283">
        <f t="shared" si="291"/>
        <v>87</v>
      </c>
      <c r="S143" s="267">
        <v>0</v>
      </c>
      <c r="T143" s="267">
        <v>0</v>
      </c>
      <c r="V143" s="267">
        <v>0</v>
      </c>
      <c r="W143" s="267">
        <v>0</v>
      </c>
      <c r="Y143" s="267">
        <v>0</v>
      </c>
      <c r="Z143" s="267">
        <v>0</v>
      </c>
      <c r="AB143" s="267">
        <v>0</v>
      </c>
      <c r="AC143" s="267">
        <v>0</v>
      </c>
      <c r="AE143" s="267">
        <v>0</v>
      </c>
      <c r="AF143" s="267">
        <v>0</v>
      </c>
      <c r="AH143" s="267">
        <v>0</v>
      </c>
      <c r="AI143" s="267">
        <v>0</v>
      </c>
      <c r="AK143" s="267">
        <v>0</v>
      </c>
      <c r="AL143" s="267">
        <v>0</v>
      </c>
      <c r="AN143" s="267">
        <v>0</v>
      </c>
      <c r="AO143" s="267">
        <v>0</v>
      </c>
      <c r="AQ143" s="267">
        <v>0</v>
      </c>
      <c r="AR143" s="267">
        <v>0</v>
      </c>
      <c r="AT143" s="267">
        <v>0</v>
      </c>
      <c r="AU143" s="267">
        <v>0</v>
      </c>
      <c r="AW143" s="267">
        <v>0</v>
      </c>
      <c r="AX143" s="267">
        <v>0</v>
      </c>
      <c r="AZ143" s="267">
        <v>0</v>
      </c>
      <c r="BA143" s="267">
        <v>0</v>
      </c>
      <c r="BC143" s="267">
        <v>20</v>
      </c>
      <c r="BD143" s="267">
        <v>23</v>
      </c>
      <c r="BF143" s="267">
        <v>10</v>
      </c>
      <c r="BG143" s="267">
        <v>7</v>
      </c>
      <c r="BI143" s="267">
        <v>45</v>
      </c>
      <c r="BJ143" s="267">
        <v>42</v>
      </c>
      <c r="BL143" s="267">
        <v>0</v>
      </c>
      <c r="BM143" s="267">
        <v>0</v>
      </c>
      <c r="BO143" s="267">
        <v>0</v>
      </c>
      <c r="BP143" s="267">
        <v>0</v>
      </c>
      <c r="BR143" s="267">
        <v>0</v>
      </c>
      <c r="BS143" s="267">
        <v>0</v>
      </c>
      <c r="BU143" s="267">
        <v>0</v>
      </c>
      <c r="BV143" s="267">
        <v>0</v>
      </c>
      <c r="BX143" s="267">
        <v>0</v>
      </c>
      <c r="BY143" s="267">
        <v>0</v>
      </c>
      <c r="CA143" s="267">
        <v>0</v>
      </c>
      <c r="CB143" s="267">
        <v>0</v>
      </c>
      <c r="CD143" s="267">
        <v>9</v>
      </c>
      <c r="CE143" s="267">
        <v>15</v>
      </c>
      <c r="CG143" s="267">
        <v>0</v>
      </c>
      <c r="CH143" s="267">
        <v>0</v>
      </c>
      <c r="CJ143" s="267">
        <v>0</v>
      </c>
      <c r="CK143" s="267">
        <v>0</v>
      </c>
    </row>
    <row r="144" spans="1:89" x14ac:dyDescent="0.25">
      <c r="A144" s="95"/>
      <c r="B144" s="96" t="s">
        <v>1185</v>
      </c>
      <c r="C144" s="312"/>
      <c r="D144" s="95"/>
      <c r="E144" s="291"/>
      <c r="F144" s="291"/>
      <c r="G144" s="291"/>
      <c r="H144" s="291"/>
      <c r="I144" s="291"/>
      <c r="J144" s="291"/>
      <c r="K144" s="291"/>
      <c r="L144" s="291"/>
      <c r="M144" s="291"/>
      <c r="N144" s="291"/>
      <c r="O144" s="281"/>
      <c r="Q144" s="283"/>
      <c r="R144" s="283"/>
    </row>
    <row r="145" spans="1:89" ht="30" x14ac:dyDescent="0.25">
      <c r="A145" s="95"/>
      <c r="B145" s="248" t="s">
        <v>1651</v>
      </c>
      <c r="C145" s="312" t="s">
        <v>2675</v>
      </c>
      <c r="D145" s="95" t="s">
        <v>950</v>
      </c>
      <c r="E145" s="291"/>
      <c r="F145" s="291"/>
      <c r="G145" s="291"/>
      <c r="H145" s="291"/>
      <c r="I145" s="291">
        <v>0</v>
      </c>
      <c r="J145" s="291">
        <v>0</v>
      </c>
      <c r="K145" s="291">
        <v>0</v>
      </c>
      <c r="L145" s="291">
        <v>0</v>
      </c>
      <c r="M145" s="291">
        <v>0</v>
      </c>
      <c r="N145" s="291">
        <v>0</v>
      </c>
      <c r="O145" s="281"/>
      <c r="Q145" s="283">
        <f t="shared" si="290"/>
        <v>0</v>
      </c>
      <c r="R145" s="283">
        <f t="shared" si="291"/>
        <v>0</v>
      </c>
      <c r="S145" s="267">
        <v>0</v>
      </c>
      <c r="T145" s="267">
        <v>0</v>
      </c>
      <c r="V145" s="267">
        <v>0</v>
      </c>
      <c r="W145" s="267">
        <v>0</v>
      </c>
      <c r="Y145" s="267">
        <v>0</v>
      </c>
      <c r="Z145" s="267">
        <v>0</v>
      </c>
      <c r="AB145" s="267">
        <v>0</v>
      </c>
      <c r="AC145" s="267">
        <v>0</v>
      </c>
      <c r="AE145" s="267">
        <v>0</v>
      </c>
      <c r="AF145" s="267">
        <v>0</v>
      </c>
      <c r="AH145" s="267">
        <v>0</v>
      </c>
      <c r="AI145" s="267">
        <v>0</v>
      </c>
      <c r="AK145" s="267">
        <v>0</v>
      </c>
      <c r="AL145" s="267">
        <v>0</v>
      </c>
      <c r="AN145" s="267">
        <v>0</v>
      </c>
      <c r="AO145" s="267">
        <v>0</v>
      </c>
      <c r="AQ145" s="267">
        <v>0</v>
      </c>
      <c r="AR145" s="267">
        <v>0</v>
      </c>
      <c r="AT145" s="267">
        <v>0</v>
      </c>
      <c r="AU145" s="267">
        <v>0</v>
      </c>
      <c r="AW145" s="267">
        <v>0</v>
      </c>
      <c r="AX145" s="267">
        <v>0</v>
      </c>
      <c r="AZ145" s="267">
        <v>0</v>
      </c>
      <c r="BA145" s="267">
        <v>0</v>
      </c>
      <c r="BC145" s="267">
        <v>0</v>
      </c>
      <c r="BD145" s="267">
        <v>0</v>
      </c>
      <c r="BF145" s="267">
        <v>0</v>
      </c>
      <c r="BG145" s="267">
        <v>0</v>
      </c>
      <c r="BI145" s="267">
        <v>0</v>
      </c>
      <c r="BJ145" s="267">
        <v>0</v>
      </c>
      <c r="BL145" s="267">
        <v>0</v>
      </c>
      <c r="BM145" s="267">
        <v>0</v>
      </c>
      <c r="BO145" s="267">
        <v>0</v>
      </c>
      <c r="BP145" s="267">
        <v>0</v>
      </c>
      <c r="BR145" s="267">
        <v>0</v>
      </c>
      <c r="BS145" s="267">
        <v>0</v>
      </c>
      <c r="BU145" s="267">
        <v>0</v>
      </c>
      <c r="BV145" s="267">
        <v>0</v>
      </c>
      <c r="BX145" s="267">
        <v>0</v>
      </c>
      <c r="BY145" s="267">
        <v>0</v>
      </c>
      <c r="CA145" s="267">
        <v>0</v>
      </c>
      <c r="CB145" s="267">
        <v>0</v>
      </c>
      <c r="CD145" s="267">
        <v>0</v>
      </c>
      <c r="CE145" s="267">
        <v>0</v>
      </c>
      <c r="CG145" s="267">
        <v>0</v>
      </c>
      <c r="CH145" s="267">
        <v>0</v>
      </c>
      <c r="CJ145" s="267">
        <v>0</v>
      </c>
      <c r="CK145" s="267">
        <v>0</v>
      </c>
    </row>
    <row r="146" spans="1:89" ht="30" x14ac:dyDescent="0.25">
      <c r="A146" s="95"/>
      <c r="B146" s="248" t="s">
        <v>1652</v>
      </c>
      <c r="C146" s="312" t="s">
        <v>2676</v>
      </c>
      <c r="D146" s="95" t="s">
        <v>950</v>
      </c>
      <c r="E146" s="291"/>
      <c r="F146" s="291"/>
      <c r="G146" s="291"/>
      <c r="H146" s="291"/>
      <c r="I146" s="291">
        <v>0</v>
      </c>
      <c r="J146" s="291">
        <v>0</v>
      </c>
      <c r="K146" s="291">
        <v>0</v>
      </c>
      <c r="L146" s="291">
        <v>0</v>
      </c>
      <c r="M146" s="291">
        <v>0</v>
      </c>
      <c r="N146" s="291">
        <v>0</v>
      </c>
      <c r="O146" s="281"/>
      <c r="Q146" s="283">
        <f t="shared" si="290"/>
        <v>0</v>
      </c>
      <c r="R146" s="283">
        <f t="shared" si="291"/>
        <v>0</v>
      </c>
      <c r="S146" s="267">
        <v>0</v>
      </c>
      <c r="T146" s="267">
        <v>0</v>
      </c>
      <c r="V146" s="267">
        <v>0</v>
      </c>
      <c r="W146" s="267">
        <v>0</v>
      </c>
      <c r="Y146" s="267">
        <v>0</v>
      </c>
      <c r="Z146" s="267">
        <v>0</v>
      </c>
      <c r="AB146" s="267">
        <v>0</v>
      </c>
      <c r="AC146" s="267">
        <v>0</v>
      </c>
      <c r="AE146" s="267">
        <v>0</v>
      </c>
      <c r="AF146" s="267">
        <v>0</v>
      </c>
      <c r="AH146" s="267">
        <v>0</v>
      </c>
      <c r="AI146" s="267">
        <v>0</v>
      </c>
      <c r="AK146" s="267">
        <v>0</v>
      </c>
      <c r="AL146" s="267">
        <v>0</v>
      </c>
      <c r="AN146" s="267">
        <v>0</v>
      </c>
      <c r="AO146" s="267">
        <v>0</v>
      </c>
      <c r="AQ146" s="267">
        <v>0</v>
      </c>
      <c r="AR146" s="267">
        <v>0</v>
      </c>
      <c r="AT146" s="267">
        <v>0</v>
      </c>
      <c r="AU146" s="267">
        <v>0</v>
      </c>
      <c r="AW146" s="267">
        <v>0</v>
      </c>
      <c r="AX146" s="267">
        <v>0</v>
      </c>
      <c r="AZ146" s="267">
        <v>0</v>
      </c>
      <c r="BA146" s="267">
        <v>0</v>
      </c>
      <c r="BC146" s="267">
        <v>0</v>
      </c>
      <c r="BD146" s="267">
        <v>0</v>
      </c>
      <c r="BF146" s="267">
        <v>0</v>
      </c>
      <c r="BG146" s="267">
        <v>0</v>
      </c>
      <c r="BI146" s="267">
        <v>0</v>
      </c>
      <c r="BJ146" s="267">
        <v>0</v>
      </c>
      <c r="BL146" s="267">
        <v>0</v>
      </c>
      <c r="BM146" s="267">
        <v>0</v>
      </c>
      <c r="BO146" s="267">
        <v>0</v>
      </c>
      <c r="BP146" s="267">
        <v>0</v>
      </c>
      <c r="BR146" s="267">
        <v>0</v>
      </c>
      <c r="BS146" s="267">
        <v>0</v>
      </c>
      <c r="BU146" s="267">
        <v>0</v>
      </c>
      <c r="BV146" s="267">
        <v>0</v>
      </c>
      <c r="BX146" s="267">
        <v>0</v>
      </c>
      <c r="BY146" s="267">
        <v>0</v>
      </c>
      <c r="CA146" s="267">
        <v>0</v>
      </c>
      <c r="CB146" s="267">
        <v>0</v>
      </c>
      <c r="CD146" s="267">
        <v>0</v>
      </c>
      <c r="CE146" s="267">
        <v>0</v>
      </c>
      <c r="CG146" s="267">
        <v>0</v>
      </c>
      <c r="CH146" s="267">
        <v>0</v>
      </c>
      <c r="CJ146" s="267">
        <v>0</v>
      </c>
      <c r="CK146" s="267">
        <v>0</v>
      </c>
    </row>
    <row r="147" spans="1:89" ht="30" x14ac:dyDescent="0.25">
      <c r="A147" s="95"/>
      <c r="B147" s="248" t="s">
        <v>1653</v>
      </c>
      <c r="C147" s="312" t="s">
        <v>2677</v>
      </c>
      <c r="D147" s="95" t="s">
        <v>950</v>
      </c>
      <c r="E147" s="291"/>
      <c r="F147" s="291"/>
      <c r="G147" s="291"/>
      <c r="H147" s="291"/>
      <c r="I147" s="291">
        <v>0</v>
      </c>
      <c r="J147" s="291">
        <v>0</v>
      </c>
      <c r="K147" s="291">
        <v>0</v>
      </c>
      <c r="L147" s="291">
        <v>0</v>
      </c>
      <c r="M147" s="291">
        <v>0</v>
      </c>
      <c r="N147" s="291">
        <v>0</v>
      </c>
      <c r="O147" s="281"/>
      <c r="Q147" s="283">
        <f t="shared" si="290"/>
        <v>0</v>
      </c>
      <c r="R147" s="283">
        <f t="shared" si="291"/>
        <v>0</v>
      </c>
      <c r="S147" s="267">
        <v>0</v>
      </c>
      <c r="T147" s="267">
        <v>0</v>
      </c>
      <c r="V147" s="267">
        <v>0</v>
      </c>
      <c r="W147" s="267">
        <v>0</v>
      </c>
      <c r="Y147" s="267">
        <v>0</v>
      </c>
      <c r="Z147" s="267">
        <v>0</v>
      </c>
      <c r="AB147" s="267">
        <v>0</v>
      </c>
      <c r="AC147" s="267">
        <v>0</v>
      </c>
      <c r="AE147" s="267">
        <v>0</v>
      </c>
      <c r="AF147" s="267">
        <v>0</v>
      </c>
      <c r="AH147" s="267">
        <v>0</v>
      </c>
      <c r="AI147" s="267">
        <v>0</v>
      </c>
      <c r="AK147" s="267">
        <v>0</v>
      </c>
      <c r="AL147" s="267">
        <v>0</v>
      </c>
      <c r="AN147" s="267">
        <v>0</v>
      </c>
      <c r="AO147" s="267">
        <v>0</v>
      </c>
      <c r="AQ147" s="267">
        <v>0</v>
      </c>
      <c r="AR147" s="267">
        <v>0</v>
      </c>
      <c r="AT147" s="267">
        <v>0</v>
      </c>
      <c r="AU147" s="267">
        <v>0</v>
      </c>
      <c r="AW147" s="267">
        <v>0</v>
      </c>
      <c r="AX147" s="267">
        <v>0</v>
      </c>
      <c r="AZ147" s="267">
        <v>0</v>
      </c>
      <c r="BA147" s="267">
        <v>0</v>
      </c>
      <c r="BC147" s="267">
        <v>0</v>
      </c>
      <c r="BD147" s="267">
        <v>0</v>
      </c>
      <c r="BF147" s="267">
        <v>0</v>
      </c>
      <c r="BG147" s="267">
        <v>0</v>
      </c>
      <c r="BI147" s="267">
        <v>0</v>
      </c>
      <c r="BJ147" s="267">
        <v>0</v>
      </c>
      <c r="BL147" s="267">
        <v>0</v>
      </c>
      <c r="BM147" s="267">
        <v>0</v>
      </c>
      <c r="BO147" s="267">
        <v>0</v>
      </c>
      <c r="BP147" s="267">
        <v>0</v>
      </c>
      <c r="BR147" s="267">
        <v>0</v>
      </c>
      <c r="BS147" s="267">
        <v>0</v>
      </c>
      <c r="BU147" s="267">
        <v>0</v>
      </c>
      <c r="BV147" s="267">
        <v>0</v>
      </c>
      <c r="BX147" s="267">
        <v>0</v>
      </c>
      <c r="BY147" s="267">
        <v>0</v>
      </c>
      <c r="CA147" s="267">
        <v>0</v>
      </c>
      <c r="CB147" s="267">
        <v>0</v>
      </c>
      <c r="CD147" s="267">
        <v>0</v>
      </c>
      <c r="CE147" s="267">
        <v>0</v>
      </c>
      <c r="CG147" s="267">
        <v>0</v>
      </c>
      <c r="CH147" s="267">
        <v>0</v>
      </c>
      <c r="CJ147" s="267">
        <v>0</v>
      </c>
      <c r="CK147" s="267">
        <v>0</v>
      </c>
    </row>
    <row r="148" spans="1:89" x14ac:dyDescent="0.25">
      <c r="A148" s="95"/>
      <c r="B148" s="294" t="s">
        <v>1830</v>
      </c>
      <c r="C148" s="16"/>
      <c r="D148" s="95"/>
      <c r="E148" s="291"/>
      <c r="F148" s="291"/>
      <c r="G148" s="291"/>
      <c r="H148" s="291"/>
      <c r="I148" s="291"/>
      <c r="J148" s="291"/>
      <c r="K148" s="291"/>
      <c r="L148" s="291"/>
      <c r="M148" s="291"/>
      <c r="N148" s="291"/>
      <c r="O148" s="281"/>
      <c r="Q148" s="283"/>
      <c r="R148" s="283"/>
    </row>
    <row r="149" spans="1:89" x14ac:dyDescent="0.25">
      <c r="A149" s="95"/>
      <c r="B149" s="96" t="s">
        <v>1183</v>
      </c>
      <c r="C149" s="16"/>
      <c r="D149" s="95"/>
      <c r="E149" s="291"/>
      <c r="F149" s="291"/>
      <c r="G149" s="291"/>
      <c r="H149" s="291"/>
      <c r="I149" s="291"/>
      <c r="J149" s="291"/>
      <c r="K149" s="291"/>
      <c r="L149" s="291"/>
      <c r="M149" s="291"/>
      <c r="N149" s="291"/>
      <c r="O149" s="281"/>
      <c r="Q149" s="283"/>
      <c r="R149" s="283"/>
    </row>
    <row r="150" spans="1:89" ht="30" x14ac:dyDescent="0.25">
      <c r="A150" s="95"/>
      <c r="B150" s="248" t="s">
        <v>1651</v>
      </c>
      <c r="C150" s="312" t="s">
        <v>2678</v>
      </c>
      <c r="D150" s="95" t="s">
        <v>1763</v>
      </c>
      <c r="E150" s="291"/>
      <c r="F150" s="291"/>
      <c r="G150" s="291"/>
      <c r="H150" s="291"/>
      <c r="I150" s="291">
        <v>21</v>
      </c>
      <c r="J150" s="291">
        <v>22</v>
      </c>
      <c r="K150" s="291">
        <v>20</v>
      </c>
      <c r="L150" s="291">
        <v>0</v>
      </c>
      <c r="M150" s="291">
        <v>0</v>
      </c>
      <c r="N150" s="291">
        <v>0</v>
      </c>
      <c r="O150" s="281"/>
      <c r="Q150" s="283">
        <f t="shared" ref="Q150:Q156" si="292">S150+V150+Y150+AB150+AE150+AH150+AK150+AN150+AQ150+AT150+AW150+AZ150+BC150+BF150+BI150+BL150+BO150+BR150+BU150+BX150+CA150+CD150+CG150+CJ150</f>
        <v>20</v>
      </c>
      <c r="R150" s="283">
        <f t="shared" ref="R150:R156" si="293">T150+W150+Z150+AC150+AF150+AI150+AL150+AO150+AR150+AU150+AX150+BA150+BD150+BG150+BJ150+BM150+BP150+BS150+BV150+BY150+CB150+CE150+CH150+CK150</f>
        <v>20</v>
      </c>
      <c r="S150" s="267">
        <v>0</v>
      </c>
      <c r="T150" s="267">
        <v>0</v>
      </c>
      <c r="V150" s="267">
        <v>0</v>
      </c>
      <c r="W150" s="267">
        <v>0</v>
      </c>
      <c r="Y150" s="267">
        <v>0</v>
      </c>
      <c r="Z150" s="267">
        <v>0</v>
      </c>
      <c r="AB150" s="267">
        <v>0</v>
      </c>
      <c r="AC150" s="267">
        <v>0</v>
      </c>
      <c r="AE150" s="267">
        <v>0</v>
      </c>
      <c r="AF150" s="267">
        <v>0</v>
      </c>
      <c r="AH150" s="267">
        <v>0</v>
      </c>
      <c r="AI150" s="267">
        <v>0</v>
      </c>
      <c r="AK150" s="267">
        <v>0</v>
      </c>
      <c r="AL150" s="267">
        <v>0</v>
      </c>
      <c r="AN150" s="267">
        <v>0</v>
      </c>
      <c r="AO150" s="267">
        <v>0</v>
      </c>
      <c r="AQ150" s="267">
        <v>0</v>
      </c>
      <c r="AR150" s="267">
        <v>0</v>
      </c>
      <c r="AT150" s="267">
        <v>0</v>
      </c>
      <c r="AU150" s="267">
        <v>0</v>
      </c>
      <c r="AW150" s="267">
        <v>0</v>
      </c>
      <c r="AX150" s="267">
        <v>0</v>
      </c>
      <c r="AZ150" s="267">
        <v>0</v>
      </c>
      <c r="BA150" s="267">
        <v>0</v>
      </c>
      <c r="BC150" s="267">
        <v>4</v>
      </c>
      <c r="BD150" s="267">
        <v>4</v>
      </c>
      <c r="BF150" s="267">
        <v>4</v>
      </c>
      <c r="BG150" s="267">
        <v>4</v>
      </c>
      <c r="BI150" s="267">
        <v>8</v>
      </c>
      <c r="BJ150" s="267">
        <v>8</v>
      </c>
      <c r="BL150" s="267">
        <v>0</v>
      </c>
      <c r="BM150" s="267">
        <v>0</v>
      </c>
      <c r="BO150" s="267">
        <v>0</v>
      </c>
      <c r="BP150" s="267">
        <v>0</v>
      </c>
      <c r="BR150" s="267">
        <v>0</v>
      </c>
      <c r="BS150" s="267">
        <v>0</v>
      </c>
      <c r="BU150" s="267">
        <v>0</v>
      </c>
      <c r="BV150" s="267">
        <v>0</v>
      </c>
      <c r="BX150" s="267">
        <v>0</v>
      </c>
      <c r="BY150" s="267">
        <v>0</v>
      </c>
      <c r="CA150" s="267">
        <v>0</v>
      </c>
      <c r="CB150" s="267">
        <v>0</v>
      </c>
      <c r="CD150" s="267">
        <v>4</v>
      </c>
      <c r="CE150" s="267">
        <v>4</v>
      </c>
      <c r="CG150" s="267">
        <v>0</v>
      </c>
      <c r="CH150" s="267">
        <v>0</v>
      </c>
      <c r="CJ150" s="267">
        <v>0</v>
      </c>
      <c r="CK150" s="267">
        <v>0</v>
      </c>
    </row>
    <row r="151" spans="1:89" ht="30" x14ac:dyDescent="0.25">
      <c r="A151" s="95"/>
      <c r="B151" s="248" t="s">
        <v>1652</v>
      </c>
      <c r="C151" s="312" t="s">
        <v>2679</v>
      </c>
      <c r="D151" s="95" t="s">
        <v>1763</v>
      </c>
      <c r="E151" s="291"/>
      <c r="F151" s="291"/>
      <c r="G151" s="291"/>
      <c r="H151" s="291"/>
      <c r="I151" s="291">
        <v>23</v>
      </c>
      <c r="J151" s="291">
        <v>25</v>
      </c>
      <c r="K151" s="291">
        <v>25</v>
      </c>
      <c r="L151" s="291">
        <v>0</v>
      </c>
      <c r="M151" s="291">
        <v>0</v>
      </c>
      <c r="N151" s="291">
        <v>0</v>
      </c>
      <c r="O151" s="281"/>
      <c r="Q151" s="283">
        <f t="shared" si="292"/>
        <v>25</v>
      </c>
      <c r="R151" s="283">
        <f t="shared" si="293"/>
        <v>25</v>
      </c>
      <c r="S151" s="267">
        <v>0</v>
      </c>
      <c r="T151" s="267">
        <v>0</v>
      </c>
      <c r="V151" s="267">
        <v>0</v>
      </c>
      <c r="W151" s="267">
        <v>0</v>
      </c>
      <c r="Y151" s="267">
        <v>0</v>
      </c>
      <c r="Z151" s="267">
        <v>0</v>
      </c>
      <c r="AB151" s="267">
        <v>0</v>
      </c>
      <c r="AC151" s="267">
        <v>0</v>
      </c>
      <c r="AE151" s="267">
        <v>0</v>
      </c>
      <c r="AF151" s="267">
        <v>0</v>
      </c>
      <c r="AH151" s="267">
        <v>0</v>
      </c>
      <c r="AI151" s="267">
        <v>0</v>
      </c>
      <c r="AK151" s="267">
        <v>0</v>
      </c>
      <c r="AL151" s="267">
        <v>0</v>
      </c>
      <c r="AN151" s="267">
        <v>0</v>
      </c>
      <c r="AO151" s="267">
        <v>0</v>
      </c>
      <c r="AQ151" s="267">
        <v>0</v>
      </c>
      <c r="AR151" s="267">
        <v>0</v>
      </c>
      <c r="AT151" s="267">
        <v>0</v>
      </c>
      <c r="AU151" s="267">
        <v>0</v>
      </c>
      <c r="AW151" s="267">
        <v>0</v>
      </c>
      <c r="AX151" s="267">
        <v>0</v>
      </c>
      <c r="AZ151" s="267">
        <v>0</v>
      </c>
      <c r="BA151" s="267">
        <v>0</v>
      </c>
      <c r="BC151" s="267">
        <v>5</v>
      </c>
      <c r="BD151" s="267">
        <v>5</v>
      </c>
      <c r="BF151" s="267">
        <v>5</v>
      </c>
      <c r="BG151" s="267">
        <v>5</v>
      </c>
      <c r="BI151" s="267">
        <v>10</v>
      </c>
      <c r="BJ151" s="267">
        <v>10</v>
      </c>
      <c r="BL151" s="267">
        <v>0</v>
      </c>
      <c r="BM151" s="267">
        <v>0</v>
      </c>
      <c r="BO151" s="267">
        <v>0</v>
      </c>
      <c r="BP151" s="267">
        <v>0</v>
      </c>
      <c r="BR151" s="267">
        <v>0</v>
      </c>
      <c r="BS151" s="267">
        <v>0</v>
      </c>
      <c r="BU151" s="267">
        <v>0</v>
      </c>
      <c r="BV151" s="267">
        <v>0</v>
      </c>
      <c r="BX151" s="267">
        <v>0</v>
      </c>
      <c r="BY151" s="267">
        <v>0</v>
      </c>
      <c r="CA151" s="267">
        <v>0</v>
      </c>
      <c r="CB151" s="267">
        <v>0</v>
      </c>
      <c r="CD151" s="267">
        <v>5</v>
      </c>
      <c r="CE151" s="267">
        <v>5</v>
      </c>
      <c r="CG151" s="267">
        <v>0</v>
      </c>
      <c r="CH151" s="267">
        <v>0</v>
      </c>
      <c r="CJ151" s="267">
        <v>0</v>
      </c>
      <c r="CK151" s="267">
        <v>0</v>
      </c>
    </row>
    <row r="152" spans="1:89" ht="30" x14ac:dyDescent="0.25">
      <c r="A152" s="95"/>
      <c r="B152" s="248" t="s">
        <v>1653</v>
      </c>
      <c r="C152" s="312" t="s">
        <v>2680</v>
      </c>
      <c r="D152" s="95" t="s">
        <v>1763</v>
      </c>
      <c r="E152" s="291"/>
      <c r="F152" s="291"/>
      <c r="G152" s="291"/>
      <c r="H152" s="291"/>
      <c r="I152" s="291">
        <v>5</v>
      </c>
      <c r="J152" s="291">
        <v>5</v>
      </c>
      <c r="K152" s="291">
        <v>6</v>
      </c>
      <c r="L152" s="291">
        <v>0</v>
      </c>
      <c r="M152" s="291">
        <v>0</v>
      </c>
      <c r="N152" s="291">
        <v>0</v>
      </c>
      <c r="O152" s="281"/>
      <c r="Q152" s="283">
        <f t="shared" si="292"/>
        <v>6</v>
      </c>
      <c r="R152" s="283">
        <f t="shared" si="293"/>
        <v>7</v>
      </c>
      <c r="S152" s="267">
        <v>0</v>
      </c>
      <c r="T152" s="267">
        <v>0</v>
      </c>
      <c r="V152" s="267">
        <v>0</v>
      </c>
      <c r="W152" s="267">
        <v>0</v>
      </c>
      <c r="Y152" s="267">
        <v>0</v>
      </c>
      <c r="Z152" s="267">
        <v>0</v>
      </c>
      <c r="AB152" s="267">
        <v>0</v>
      </c>
      <c r="AC152" s="267">
        <v>0</v>
      </c>
      <c r="AE152" s="267">
        <v>0</v>
      </c>
      <c r="AF152" s="267">
        <v>0</v>
      </c>
      <c r="AH152" s="267">
        <v>0</v>
      </c>
      <c r="AI152" s="267">
        <v>0</v>
      </c>
      <c r="AK152" s="267">
        <v>0</v>
      </c>
      <c r="AL152" s="267">
        <v>0</v>
      </c>
      <c r="AN152" s="267">
        <v>0</v>
      </c>
      <c r="AO152" s="267">
        <v>0</v>
      </c>
      <c r="AQ152" s="267">
        <v>0</v>
      </c>
      <c r="AR152" s="267">
        <v>0</v>
      </c>
      <c r="AT152" s="267">
        <v>0</v>
      </c>
      <c r="AU152" s="267">
        <v>0</v>
      </c>
      <c r="AW152" s="267">
        <v>0</v>
      </c>
      <c r="AX152" s="267">
        <v>0</v>
      </c>
      <c r="AZ152" s="267">
        <v>0</v>
      </c>
      <c r="BA152" s="267">
        <v>0</v>
      </c>
      <c r="BC152" s="267">
        <v>2</v>
      </c>
      <c r="BD152" s="267">
        <v>2</v>
      </c>
      <c r="BF152" s="267">
        <v>1</v>
      </c>
      <c r="BG152" s="267">
        <v>1</v>
      </c>
      <c r="BI152" s="267">
        <v>2</v>
      </c>
      <c r="BJ152" s="267">
        <v>2</v>
      </c>
      <c r="BL152" s="267">
        <v>0</v>
      </c>
      <c r="BM152" s="267">
        <v>0</v>
      </c>
      <c r="BO152" s="267">
        <v>0</v>
      </c>
      <c r="BP152" s="267">
        <v>0</v>
      </c>
      <c r="BR152" s="267">
        <v>0</v>
      </c>
      <c r="BS152" s="267">
        <v>0</v>
      </c>
      <c r="BU152" s="267">
        <v>0</v>
      </c>
      <c r="BV152" s="267">
        <v>0</v>
      </c>
      <c r="BX152" s="267">
        <v>0</v>
      </c>
      <c r="BY152" s="267">
        <v>0</v>
      </c>
      <c r="CA152" s="267">
        <v>0</v>
      </c>
      <c r="CB152" s="267">
        <v>0</v>
      </c>
      <c r="CD152" s="267">
        <v>1</v>
      </c>
      <c r="CE152" s="267">
        <v>2</v>
      </c>
      <c r="CG152" s="267">
        <v>0</v>
      </c>
      <c r="CH152" s="267">
        <v>0</v>
      </c>
      <c r="CJ152" s="267">
        <v>0</v>
      </c>
      <c r="CK152" s="267">
        <v>0</v>
      </c>
    </row>
    <row r="153" spans="1:89" x14ac:dyDescent="0.25">
      <c r="A153" s="95"/>
      <c r="B153" s="96" t="s">
        <v>1185</v>
      </c>
      <c r="C153" s="312"/>
      <c r="D153" s="95"/>
      <c r="E153" s="291"/>
      <c r="F153" s="291"/>
      <c r="G153" s="291"/>
      <c r="H153" s="291"/>
      <c r="I153" s="291"/>
      <c r="J153" s="291"/>
      <c r="K153" s="291"/>
      <c r="L153" s="291"/>
      <c r="M153" s="291"/>
      <c r="N153" s="291"/>
      <c r="O153" s="281"/>
      <c r="Q153" s="283"/>
      <c r="R153" s="283"/>
    </row>
    <row r="154" spans="1:89" ht="30" x14ac:dyDescent="0.25">
      <c r="A154" s="95"/>
      <c r="B154" s="248" t="s">
        <v>1651</v>
      </c>
      <c r="C154" s="312" t="s">
        <v>2678</v>
      </c>
      <c r="D154" s="95" t="s">
        <v>1763</v>
      </c>
      <c r="E154" s="291"/>
      <c r="F154" s="291"/>
      <c r="G154" s="291"/>
      <c r="H154" s="291"/>
      <c r="I154" s="291">
        <v>0</v>
      </c>
      <c r="J154" s="291">
        <v>0</v>
      </c>
      <c r="K154" s="291">
        <v>0</v>
      </c>
      <c r="L154" s="291">
        <v>0</v>
      </c>
      <c r="M154" s="291">
        <v>0</v>
      </c>
      <c r="N154" s="291">
        <v>0</v>
      </c>
      <c r="O154" s="281"/>
      <c r="Q154" s="283">
        <f t="shared" si="292"/>
        <v>0</v>
      </c>
      <c r="R154" s="283">
        <f t="shared" si="293"/>
        <v>0</v>
      </c>
      <c r="S154" s="267">
        <v>0</v>
      </c>
      <c r="T154" s="267">
        <v>0</v>
      </c>
      <c r="V154" s="267">
        <v>0</v>
      </c>
      <c r="W154" s="267">
        <v>0</v>
      </c>
      <c r="Y154" s="267">
        <v>0</v>
      </c>
      <c r="Z154" s="267">
        <v>0</v>
      </c>
      <c r="AB154" s="267">
        <v>0</v>
      </c>
      <c r="AC154" s="267">
        <v>0</v>
      </c>
      <c r="AE154" s="267">
        <v>0</v>
      </c>
      <c r="AF154" s="267">
        <v>0</v>
      </c>
      <c r="AH154" s="267">
        <v>0</v>
      </c>
      <c r="AI154" s="267">
        <v>0</v>
      </c>
      <c r="AK154" s="267">
        <v>0</v>
      </c>
      <c r="AL154" s="267">
        <v>0</v>
      </c>
      <c r="AN154" s="267">
        <v>0</v>
      </c>
      <c r="AO154" s="267">
        <v>0</v>
      </c>
      <c r="AQ154" s="267">
        <v>0</v>
      </c>
      <c r="AR154" s="267">
        <v>0</v>
      </c>
      <c r="AT154" s="267">
        <v>0</v>
      </c>
      <c r="AU154" s="267">
        <v>0</v>
      </c>
      <c r="AW154" s="267">
        <v>0</v>
      </c>
      <c r="AX154" s="267">
        <v>0</v>
      </c>
      <c r="AZ154" s="267">
        <v>0</v>
      </c>
      <c r="BA154" s="267">
        <v>0</v>
      </c>
      <c r="BC154" s="267">
        <v>0</v>
      </c>
      <c r="BD154" s="267">
        <v>0</v>
      </c>
      <c r="BF154" s="267">
        <v>0</v>
      </c>
      <c r="BG154" s="267">
        <v>0</v>
      </c>
      <c r="BI154" s="267">
        <v>0</v>
      </c>
      <c r="BJ154" s="267">
        <v>0</v>
      </c>
      <c r="BL154" s="267">
        <v>0</v>
      </c>
      <c r="BM154" s="267">
        <v>0</v>
      </c>
      <c r="BO154" s="267">
        <v>0</v>
      </c>
      <c r="BP154" s="267">
        <v>0</v>
      </c>
      <c r="BR154" s="267">
        <v>0</v>
      </c>
      <c r="BS154" s="267">
        <v>0</v>
      </c>
      <c r="BU154" s="267">
        <v>0</v>
      </c>
      <c r="BV154" s="267">
        <v>0</v>
      </c>
      <c r="BX154" s="267">
        <v>0</v>
      </c>
      <c r="BY154" s="267">
        <v>0</v>
      </c>
      <c r="CA154" s="267">
        <v>0</v>
      </c>
      <c r="CB154" s="267">
        <v>0</v>
      </c>
      <c r="CD154" s="267">
        <v>0</v>
      </c>
      <c r="CE154" s="267">
        <v>0</v>
      </c>
      <c r="CG154" s="267">
        <v>0</v>
      </c>
      <c r="CH154" s="267">
        <v>0</v>
      </c>
      <c r="CJ154" s="267">
        <v>0</v>
      </c>
      <c r="CK154" s="267">
        <v>0</v>
      </c>
    </row>
    <row r="155" spans="1:89" ht="30" x14ac:dyDescent="0.25">
      <c r="A155" s="95"/>
      <c r="B155" s="248" t="s">
        <v>1652</v>
      </c>
      <c r="C155" s="312" t="s">
        <v>2679</v>
      </c>
      <c r="D155" s="95" t="s">
        <v>1763</v>
      </c>
      <c r="E155" s="291"/>
      <c r="F155" s="291"/>
      <c r="G155" s="291"/>
      <c r="H155" s="291"/>
      <c r="I155" s="291">
        <v>0</v>
      </c>
      <c r="J155" s="291">
        <v>0</v>
      </c>
      <c r="K155" s="291">
        <v>0</v>
      </c>
      <c r="L155" s="291">
        <v>0</v>
      </c>
      <c r="M155" s="291">
        <v>0</v>
      </c>
      <c r="N155" s="291">
        <v>0</v>
      </c>
      <c r="O155" s="281"/>
      <c r="Q155" s="283">
        <f t="shared" si="292"/>
        <v>0</v>
      </c>
      <c r="R155" s="283">
        <f t="shared" si="293"/>
        <v>0</v>
      </c>
      <c r="S155" s="267">
        <v>0</v>
      </c>
      <c r="T155" s="267">
        <v>0</v>
      </c>
      <c r="V155" s="267">
        <v>0</v>
      </c>
      <c r="W155" s="267">
        <v>0</v>
      </c>
      <c r="Y155" s="267">
        <v>0</v>
      </c>
      <c r="Z155" s="267">
        <v>0</v>
      </c>
      <c r="AB155" s="267">
        <v>0</v>
      </c>
      <c r="AC155" s="267">
        <v>0</v>
      </c>
      <c r="AE155" s="267">
        <v>0</v>
      </c>
      <c r="AF155" s="267">
        <v>0</v>
      </c>
      <c r="AH155" s="267">
        <v>0</v>
      </c>
      <c r="AI155" s="267">
        <v>0</v>
      </c>
      <c r="AK155" s="267">
        <v>0</v>
      </c>
      <c r="AL155" s="267">
        <v>0</v>
      </c>
      <c r="AN155" s="267">
        <v>0</v>
      </c>
      <c r="AO155" s="267">
        <v>0</v>
      </c>
      <c r="AQ155" s="267">
        <v>0</v>
      </c>
      <c r="AR155" s="267">
        <v>0</v>
      </c>
      <c r="AT155" s="267">
        <v>0</v>
      </c>
      <c r="AU155" s="267">
        <v>0</v>
      </c>
      <c r="AW155" s="267">
        <v>0</v>
      </c>
      <c r="AX155" s="267">
        <v>0</v>
      </c>
      <c r="AZ155" s="267">
        <v>0</v>
      </c>
      <c r="BA155" s="267">
        <v>0</v>
      </c>
      <c r="BC155" s="267">
        <v>0</v>
      </c>
      <c r="BD155" s="267">
        <v>0</v>
      </c>
      <c r="BF155" s="267">
        <v>0</v>
      </c>
      <c r="BG155" s="267">
        <v>0</v>
      </c>
      <c r="BI155" s="267">
        <v>0</v>
      </c>
      <c r="BJ155" s="267">
        <v>0</v>
      </c>
      <c r="BL155" s="267">
        <v>0</v>
      </c>
      <c r="BM155" s="267">
        <v>0</v>
      </c>
      <c r="BO155" s="267">
        <v>0</v>
      </c>
      <c r="BP155" s="267">
        <v>0</v>
      </c>
      <c r="BR155" s="267">
        <v>0</v>
      </c>
      <c r="BS155" s="267">
        <v>0</v>
      </c>
      <c r="BU155" s="267">
        <v>0</v>
      </c>
      <c r="BV155" s="267">
        <v>0</v>
      </c>
      <c r="BX155" s="267">
        <v>0</v>
      </c>
      <c r="BY155" s="267">
        <v>0</v>
      </c>
      <c r="CA155" s="267">
        <v>0</v>
      </c>
      <c r="CB155" s="267">
        <v>0</v>
      </c>
      <c r="CD155" s="267">
        <v>0</v>
      </c>
      <c r="CE155" s="267">
        <v>0</v>
      </c>
      <c r="CG155" s="267">
        <v>0</v>
      </c>
      <c r="CH155" s="267">
        <v>0</v>
      </c>
      <c r="CJ155" s="267">
        <v>0</v>
      </c>
      <c r="CK155" s="267">
        <v>0</v>
      </c>
    </row>
    <row r="156" spans="1:89" ht="30" x14ac:dyDescent="0.25">
      <c r="A156" s="95"/>
      <c r="B156" s="248" t="s">
        <v>1653</v>
      </c>
      <c r="C156" s="312" t="s">
        <v>2680</v>
      </c>
      <c r="D156" s="95" t="s">
        <v>1763</v>
      </c>
      <c r="E156" s="291"/>
      <c r="F156" s="291"/>
      <c r="G156" s="291"/>
      <c r="H156" s="291"/>
      <c r="I156" s="291">
        <v>0</v>
      </c>
      <c r="J156" s="291">
        <v>0</v>
      </c>
      <c r="K156" s="291">
        <v>0</v>
      </c>
      <c r="L156" s="291">
        <v>0</v>
      </c>
      <c r="M156" s="291">
        <v>0</v>
      </c>
      <c r="N156" s="291">
        <v>0</v>
      </c>
      <c r="O156" s="281"/>
      <c r="Q156" s="283">
        <f t="shared" si="292"/>
        <v>0</v>
      </c>
      <c r="R156" s="283">
        <f t="shared" si="293"/>
        <v>0</v>
      </c>
      <c r="S156" s="267">
        <v>0</v>
      </c>
      <c r="T156" s="267">
        <v>0</v>
      </c>
      <c r="V156" s="267">
        <v>0</v>
      </c>
      <c r="W156" s="267">
        <v>0</v>
      </c>
      <c r="Y156" s="267">
        <v>0</v>
      </c>
      <c r="Z156" s="267">
        <v>0</v>
      </c>
      <c r="AB156" s="267">
        <v>0</v>
      </c>
      <c r="AC156" s="267">
        <v>0</v>
      </c>
      <c r="AE156" s="267">
        <v>0</v>
      </c>
      <c r="AF156" s="267">
        <v>0</v>
      </c>
      <c r="AH156" s="267">
        <v>0</v>
      </c>
      <c r="AI156" s="267">
        <v>0</v>
      </c>
      <c r="AK156" s="267">
        <v>0</v>
      </c>
      <c r="AL156" s="267">
        <v>0</v>
      </c>
      <c r="AN156" s="267">
        <v>0</v>
      </c>
      <c r="AO156" s="267">
        <v>0</v>
      </c>
      <c r="AQ156" s="267">
        <v>0</v>
      </c>
      <c r="AR156" s="267">
        <v>0</v>
      </c>
      <c r="AT156" s="267">
        <v>0</v>
      </c>
      <c r="AU156" s="267">
        <v>0</v>
      </c>
      <c r="AW156" s="267">
        <v>0</v>
      </c>
      <c r="AX156" s="267">
        <v>0</v>
      </c>
      <c r="AZ156" s="267">
        <v>0</v>
      </c>
      <c r="BA156" s="267">
        <v>0</v>
      </c>
      <c r="BC156" s="267">
        <v>0</v>
      </c>
      <c r="BD156" s="267">
        <v>0</v>
      </c>
      <c r="BF156" s="267">
        <v>0</v>
      </c>
      <c r="BG156" s="267">
        <v>0</v>
      </c>
      <c r="BI156" s="267">
        <v>0</v>
      </c>
      <c r="BJ156" s="267">
        <v>0</v>
      </c>
      <c r="BL156" s="267">
        <v>0</v>
      </c>
      <c r="BM156" s="267">
        <v>0</v>
      </c>
      <c r="BO156" s="267">
        <v>0</v>
      </c>
      <c r="BP156" s="267">
        <v>0</v>
      </c>
      <c r="BR156" s="267">
        <v>0</v>
      </c>
      <c r="BS156" s="267">
        <v>0</v>
      </c>
      <c r="BU156" s="267">
        <v>0</v>
      </c>
      <c r="BV156" s="267">
        <v>0</v>
      </c>
      <c r="BX156" s="267">
        <v>0</v>
      </c>
      <c r="BY156" s="267">
        <v>0</v>
      </c>
      <c r="CA156" s="267">
        <v>0</v>
      </c>
      <c r="CB156" s="267">
        <v>0</v>
      </c>
      <c r="CD156" s="267">
        <v>0</v>
      </c>
      <c r="CE156" s="267">
        <v>0</v>
      </c>
      <c r="CG156" s="267">
        <v>0</v>
      </c>
      <c r="CH156" s="267">
        <v>0</v>
      </c>
      <c r="CJ156" s="267">
        <v>0</v>
      </c>
      <c r="CK156" s="267">
        <v>0</v>
      </c>
    </row>
    <row r="157" spans="1:89" ht="60" x14ac:dyDescent="0.25">
      <c r="A157" s="95" t="s">
        <v>1656</v>
      </c>
      <c r="B157" s="96" t="s">
        <v>1654</v>
      </c>
      <c r="C157" s="312"/>
      <c r="D157" s="95"/>
      <c r="E157" s="291"/>
      <c r="F157" s="291"/>
      <c r="G157" s="291"/>
      <c r="H157" s="291"/>
      <c r="I157" s="291"/>
      <c r="J157" s="291"/>
      <c r="K157" s="291"/>
      <c r="L157" s="291"/>
      <c r="M157" s="291"/>
      <c r="N157" s="291"/>
      <c r="O157" s="281"/>
    </row>
    <row r="158" spans="1:89" x14ac:dyDescent="0.25">
      <c r="A158" s="95"/>
      <c r="B158" s="96" t="s">
        <v>1182</v>
      </c>
      <c r="C158" s="312"/>
      <c r="D158" s="95"/>
      <c r="E158" s="291"/>
      <c r="F158" s="291"/>
      <c r="G158" s="291"/>
      <c r="H158" s="291"/>
      <c r="I158" s="279">
        <f>I168/I165*100</f>
        <v>91.353237689026756</v>
      </c>
      <c r="J158" s="279">
        <f t="shared" ref="J158:K160" si="294">J168/J165*100</f>
        <v>91.0826359832636</v>
      </c>
      <c r="K158" s="279">
        <f t="shared" si="294"/>
        <v>91.916451919164516</v>
      </c>
      <c r="L158" s="279">
        <f t="shared" ref="L158:M160" si="295">L168/L165*100</f>
        <v>100</v>
      </c>
      <c r="M158" s="279">
        <f t="shared" si="295"/>
        <v>100</v>
      </c>
      <c r="N158" s="279">
        <f t="shared" ref="N158" si="296">N168/N165*100</f>
        <v>100</v>
      </c>
      <c r="O158" s="281"/>
      <c r="Q158" s="279">
        <f t="shared" ref="Q158:T160" si="297">Q168/Q165*100</f>
        <v>91.916451919164516</v>
      </c>
      <c r="R158" s="279">
        <f t="shared" si="297"/>
        <v>94.512798755480134</v>
      </c>
      <c r="S158" s="279">
        <f t="shared" si="297"/>
        <v>100</v>
      </c>
      <c r="T158" s="279">
        <f t="shared" si="297"/>
        <v>100</v>
      </c>
      <c r="V158" s="279">
        <f t="shared" ref="V158:W160" si="298">V168/V165*100</f>
        <v>66.473988439306353</v>
      </c>
      <c r="W158" s="279">
        <f t="shared" si="298"/>
        <v>100</v>
      </c>
      <c r="Y158" s="279">
        <f t="shared" ref="Y158:Z160" si="299">Y168/Y165*100</f>
        <v>95.719844357976655</v>
      </c>
      <c r="Z158" s="279">
        <f t="shared" si="299"/>
        <v>100</v>
      </c>
      <c r="AB158" s="279">
        <f t="shared" ref="AB158:AC160" si="300">AB168/AB165*100</f>
        <v>100</v>
      </c>
      <c r="AC158" s="279">
        <f t="shared" si="300"/>
        <v>100</v>
      </c>
      <c r="AE158" s="279">
        <f t="shared" ref="AE158:AF160" si="301">AE168/AE165*100</f>
        <v>100</v>
      </c>
      <c r="AF158" s="279">
        <f t="shared" si="301"/>
        <v>100</v>
      </c>
      <c r="AH158" s="279">
        <f t="shared" ref="AH158:AI160" si="302">AH168/AH165*100</f>
        <v>100</v>
      </c>
      <c r="AI158" s="279">
        <f t="shared" si="302"/>
        <v>100</v>
      </c>
      <c r="AK158" s="279">
        <f t="shared" ref="AK158:AL160" si="303">AK168/AK165*100</f>
        <v>99.009900990099013</v>
      </c>
      <c r="AL158" s="279">
        <f t="shared" si="303"/>
        <v>99.227202472952087</v>
      </c>
      <c r="AN158" s="279">
        <f t="shared" ref="AN158:AO160" si="304">AN168/AN165*100</f>
        <v>100</v>
      </c>
      <c r="AO158" s="279">
        <f t="shared" si="304"/>
        <v>89.763779527559052</v>
      </c>
      <c r="AQ158" s="279">
        <f t="shared" ref="AQ158:AR160" si="305">AQ168/AQ165*100</f>
        <v>97.61904761904762</v>
      </c>
      <c r="AR158" s="279">
        <f t="shared" si="305"/>
        <v>90.909090909090907</v>
      </c>
      <c r="AT158" s="279">
        <f t="shared" ref="AT158:AU160" si="306">AT168/AT165*100</f>
        <v>95.469255663430417</v>
      </c>
      <c r="AU158" s="279">
        <f t="shared" si="306"/>
        <v>91.749174917491743</v>
      </c>
      <c r="AW158" s="279" t="e">
        <f t="shared" ref="AW158:AX160" si="307">AW168/AW165*100</f>
        <v>#DIV/0!</v>
      </c>
      <c r="AX158" s="279" t="e">
        <f t="shared" si="307"/>
        <v>#DIV/0!</v>
      </c>
      <c r="AZ158" s="279">
        <f t="shared" ref="AZ158:BA160" si="308">AZ168/AZ165*100</f>
        <v>78.42809364548495</v>
      </c>
      <c r="BA158" s="279">
        <f t="shared" si="308"/>
        <v>94.94736842105263</v>
      </c>
      <c r="BC158" s="279">
        <f t="shared" ref="BC158:BD160" si="309">BC168/BC165*100</f>
        <v>100</v>
      </c>
      <c r="BD158" s="279">
        <f t="shared" si="309"/>
        <v>100</v>
      </c>
      <c r="BF158" s="279">
        <f t="shared" ref="BF158:BG160" si="310">BF168/BF165*100</f>
        <v>44</v>
      </c>
      <c r="BG158" s="279">
        <f t="shared" si="310"/>
        <v>56.393442622950815</v>
      </c>
      <c r="BI158" s="279">
        <f t="shared" ref="BI158:BJ160" si="311">BI168/BI165*100</f>
        <v>100</v>
      </c>
      <c r="BJ158" s="279">
        <f t="shared" si="311"/>
        <v>100</v>
      </c>
      <c r="BL158" s="279" t="e">
        <f t="shared" ref="BL158:BM160" si="312">BL168/BL165*100</f>
        <v>#DIV/0!</v>
      </c>
      <c r="BM158" s="279" t="e">
        <f t="shared" si="312"/>
        <v>#DIV/0!</v>
      </c>
      <c r="BO158" s="279" t="e">
        <f t="shared" ref="BO158:BP160" si="313">BO168/BO165*100</f>
        <v>#DIV/0!</v>
      </c>
      <c r="BP158" s="279" t="e">
        <f t="shared" si="313"/>
        <v>#DIV/0!</v>
      </c>
      <c r="BR158" s="279">
        <f t="shared" ref="BR158:BS160" si="314">BR168/BR165*100</f>
        <v>100</v>
      </c>
      <c r="BS158" s="279">
        <f t="shared" si="314"/>
        <v>100</v>
      </c>
      <c r="BU158" s="279">
        <f t="shared" ref="BU158:BV160" si="315">BU168/BU165*100</f>
        <v>100</v>
      </c>
      <c r="BV158" s="279">
        <f t="shared" si="315"/>
        <v>100</v>
      </c>
      <c r="BX158" s="279" t="e">
        <f t="shared" ref="BX158:BY160" si="316">BX168/BX165*100</f>
        <v>#DIV/0!</v>
      </c>
      <c r="BY158" s="279" t="e">
        <f t="shared" si="316"/>
        <v>#DIV/0!</v>
      </c>
      <c r="CA158" s="279">
        <f t="shared" ref="CA158:CB160" si="317">CA168/CA165*100</f>
        <v>85.635359116022101</v>
      </c>
      <c r="CB158" s="279">
        <f t="shared" si="317"/>
        <v>94.666666666666671</v>
      </c>
      <c r="CD158" s="279" t="e">
        <f t="shared" ref="CD158:CE160" si="318">CD168/CD165*100</f>
        <v>#DIV/0!</v>
      </c>
      <c r="CE158" s="279" t="e">
        <f t="shared" si="318"/>
        <v>#DIV/0!</v>
      </c>
      <c r="CG158" s="279">
        <f t="shared" ref="CG158:CH160" si="319">CG168/CG165*100</f>
        <v>98.644067796610173</v>
      </c>
      <c r="CH158" s="279">
        <f t="shared" si="319"/>
        <v>83.032128514056225</v>
      </c>
      <c r="CJ158" s="279" t="e">
        <f t="shared" ref="CJ158:CK160" si="320">CJ168/CJ165*100</f>
        <v>#DIV/0!</v>
      </c>
      <c r="CK158" s="279" t="e">
        <f t="shared" si="320"/>
        <v>#DIV/0!</v>
      </c>
    </row>
    <row r="159" spans="1:89" x14ac:dyDescent="0.25">
      <c r="A159" s="95"/>
      <c r="B159" s="96" t="s">
        <v>1183</v>
      </c>
      <c r="C159" s="312"/>
      <c r="D159" s="95" t="s">
        <v>8</v>
      </c>
      <c r="E159" s="291"/>
      <c r="F159" s="291"/>
      <c r="G159" s="291"/>
      <c r="H159" s="291"/>
      <c r="I159" s="279">
        <f>I169/I166*100</f>
        <v>89.609070908783224</v>
      </c>
      <c r="J159" s="279">
        <f t="shared" si="294"/>
        <v>89.547826086956519</v>
      </c>
      <c r="K159" s="279">
        <f t="shared" si="294"/>
        <v>89.95248988210453</v>
      </c>
      <c r="L159" s="279">
        <f t="shared" ref="L159" si="321">L169/L166*100</f>
        <v>100</v>
      </c>
      <c r="M159" s="279">
        <f t="shared" si="295"/>
        <v>100</v>
      </c>
      <c r="N159" s="279">
        <f t="shared" ref="N159" si="322">N169/N166*100</f>
        <v>100</v>
      </c>
      <c r="O159" s="281"/>
      <c r="Q159" s="279">
        <f t="shared" si="297"/>
        <v>89.95248988210453</v>
      </c>
      <c r="R159" s="279">
        <f t="shared" si="297"/>
        <v>92.963908129784912</v>
      </c>
      <c r="S159" s="279">
        <f t="shared" si="297"/>
        <v>100</v>
      </c>
      <c r="T159" s="279">
        <f t="shared" si="297"/>
        <v>100</v>
      </c>
      <c r="V159" s="279">
        <f t="shared" si="298"/>
        <v>63.674321503131523</v>
      </c>
      <c r="W159" s="279">
        <f t="shared" si="298"/>
        <v>100</v>
      </c>
      <c r="Y159" s="279" t="e">
        <f t="shared" si="299"/>
        <v>#DIV/0!</v>
      </c>
      <c r="Z159" s="279" t="e">
        <f t="shared" si="299"/>
        <v>#DIV/0!</v>
      </c>
      <c r="AB159" s="279" t="e">
        <f t="shared" si="300"/>
        <v>#DIV/0!</v>
      </c>
      <c r="AC159" s="279" t="e">
        <f t="shared" si="300"/>
        <v>#DIV/0!</v>
      </c>
      <c r="AE159" s="279">
        <f t="shared" si="301"/>
        <v>100</v>
      </c>
      <c r="AF159" s="279">
        <f t="shared" si="301"/>
        <v>100</v>
      </c>
      <c r="AH159" s="279">
        <f t="shared" si="302"/>
        <v>100</v>
      </c>
      <c r="AI159" s="279">
        <f t="shared" si="302"/>
        <v>100</v>
      </c>
      <c r="AK159" s="279">
        <f t="shared" si="303"/>
        <v>99.009900990099013</v>
      </c>
      <c r="AL159" s="279">
        <f t="shared" si="303"/>
        <v>99.227202472952087</v>
      </c>
      <c r="AN159" s="279">
        <f t="shared" si="304"/>
        <v>100</v>
      </c>
      <c r="AO159" s="279">
        <f t="shared" si="304"/>
        <v>76.363636363636374</v>
      </c>
      <c r="AQ159" s="279" t="e">
        <f t="shared" si="305"/>
        <v>#DIV/0!</v>
      </c>
      <c r="AR159" s="279" t="e">
        <f t="shared" si="305"/>
        <v>#DIV/0!</v>
      </c>
      <c r="AT159" s="279">
        <f t="shared" si="306"/>
        <v>95.469255663430417</v>
      </c>
      <c r="AU159" s="279">
        <f t="shared" si="306"/>
        <v>91.749174917491743</v>
      </c>
      <c r="AW159" s="279" t="e">
        <f t="shared" si="307"/>
        <v>#DIV/0!</v>
      </c>
      <c r="AX159" s="279" t="e">
        <f t="shared" si="307"/>
        <v>#DIV/0!</v>
      </c>
      <c r="AZ159" s="279">
        <f t="shared" si="308"/>
        <v>78.42809364548495</v>
      </c>
      <c r="BA159" s="279">
        <f t="shared" si="308"/>
        <v>94.94736842105263</v>
      </c>
      <c r="BC159" s="279">
        <f t="shared" si="309"/>
        <v>100</v>
      </c>
      <c r="BD159" s="279">
        <f t="shared" si="309"/>
        <v>100</v>
      </c>
      <c r="BF159" s="279">
        <f t="shared" si="310"/>
        <v>44</v>
      </c>
      <c r="BG159" s="279">
        <f t="shared" si="310"/>
        <v>56.393442622950815</v>
      </c>
      <c r="BI159" s="279">
        <f t="shared" si="311"/>
        <v>100</v>
      </c>
      <c r="BJ159" s="279">
        <f t="shared" si="311"/>
        <v>100</v>
      </c>
      <c r="BL159" s="279" t="e">
        <f t="shared" si="312"/>
        <v>#DIV/0!</v>
      </c>
      <c r="BM159" s="279" t="e">
        <f t="shared" si="312"/>
        <v>#DIV/0!</v>
      </c>
      <c r="BO159" s="279" t="e">
        <f t="shared" si="313"/>
        <v>#DIV/0!</v>
      </c>
      <c r="BP159" s="279" t="e">
        <f t="shared" si="313"/>
        <v>#DIV/0!</v>
      </c>
      <c r="BR159" s="279">
        <f t="shared" si="314"/>
        <v>100</v>
      </c>
      <c r="BS159" s="279">
        <f t="shared" si="314"/>
        <v>100</v>
      </c>
      <c r="BU159" s="279">
        <f t="shared" si="315"/>
        <v>100</v>
      </c>
      <c r="BV159" s="279">
        <f t="shared" si="315"/>
        <v>100</v>
      </c>
      <c r="BX159" s="279" t="e">
        <f t="shared" si="316"/>
        <v>#DIV/0!</v>
      </c>
      <c r="BY159" s="279" t="e">
        <f t="shared" si="316"/>
        <v>#DIV/0!</v>
      </c>
      <c r="CA159" s="279">
        <f t="shared" si="317"/>
        <v>85.635359116022101</v>
      </c>
      <c r="CB159" s="279">
        <f t="shared" si="317"/>
        <v>94.666666666666671</v>
      </c>
      <c r="CD159" s="279" t="e">
        <f t="shared" si="318"/>
        <v>#DIV/0!</v>
      </c>
      <c r="CE159" s="279" t="e">
        <f t="shared" si="318"/>
        <v>#DIV/0!</v>
      </c>
      <c r="CG159" s="279">
        <f t="shared" si="319"/>
        <v>98.457583547557832</v>
      </c>
      <c r="CH159" s="279">
        <f t="shared" si="319"/>
        <v>80.507497116493653</v>
      </c>
      <c r="CJ159" s="279" t="e">
        <f t="shared" si="320"/>
        <v>#DIV/0!</v>
      </c>
      <c r="CK159" s="279" t="e">
        <f t="shared" si="320"/>
        <v>#DIV/0!</v>
      </c>
    </row>
    <row r="160" spans="1:89" x14ac:dyDescent="0.25">
      <c r="A160" s="95"/>
      <c r="B160" s="96" t="s">
        <v>1185</v>
      </c>
      <c r="C160" s="312"/>
      <c r="D160" s="95" t="s">
        <v>8</v>
      </c>
      <c r="E160" s="291"/>
      <c r="F160" s="291"/>
      <c r="G160" s="291"/>
      <c r="H160" s="291"/>
      <c r="I160" s="279">
        <f>I170/I167*100</f>
        <v>96.991247264770237</v>
      </c>
      <c r="J160" s="279">
        <f t="shared" si="294"/>
        <v>95.732349841938884</v>
      </c>
      <c r="K160" s="279">
        <f t="shared" si="294"/>
        <v>98.520710059171606</v>
      </c>
      <c r="L160" s="279">
        <f t="shared" ref="L160" si="323">L170/L167*100</f>
        <v>100</v>
      </c>
      <c r="M160" s="279">
        <f t="shared" si="295"/>
        <v>100</v>
      </c>
      <c r="N160" s="279">
        <f t="shared" ref="N160" si="324">N170/N167*100</f>
        <v>100</v>
      </c>
      <c r="O160" s="281"/>
      <c r="Q160" s="279">
        <f t="shared" si="297"/>
        <v>98.520710059171606</v>
      </c>
      <c r="R160" s="279">
        <f t="shared" si="297"/>
        <v>99.873817034700323</v>
      </c>
      <c r="S160" s="279" t="e">
        <f t="shared" si="297"/>
        <v>#DIV/0!</v>
      </c>
      <c r="T160" s="279" t="e">
        <f t="shared" si="297"/>
        <v>#DIV/0!</v>
      </c>
      <c r="V160" s="279">
        <f t="shared" si="298"/>
        <v>100</v>
      </c>
      <c r="W160" s="279">
        <f t="shared" si="298"/>
        <v>100</v>
      </c>
      <c r="Y160" s="279">
        <f t="shared" si="299"/>
        <v>95.719844357976655</v>
      </c>
      <c r="Z160" s="279">
        <f t="shared" si="299"/>
        <v>100</v>
      </c>
      <c r="AB160" s="279">
        <f t="shared" si="300"/>
        <v>100</v>
      </c>
      <c r="AC160" s="279">
        <f t="shared" si="300"/>
        <v>100</v>
      </c>
      <c r="AE160" s="279" t="e">
        <f t="shared" si="301"/>
        <v>#DIV/0!</v>
      </c>
      <c r="AF160" s="279" t="e">
        <f t="shared" si="301"/>
        <v>#DIV/0!</v>
      </c>
      <c r="AH160" s="279">
        <f t="shared" si="302"/>
        <v>100</v>
      </c>
      <c r="AI160" s="279">
        <f t="shared" si="302"/>
        <v>100</v>
      </c>
      <c r="AK160" s="279" t="e">
        <f t="shared" si="303"/>
        <v>#DIV/0!</v>
      </c>
      <c r="AL160" s="279" t="e">
        <f t="shared" si="303"/>
        <v>#DIV/0!</v>
      </c>
      <c r="AN160" s="279">
        <f t="shared" si="304"/>
        <v>100</v>
      </c>
      <c r="AO160" s="279">
        <f t="shared" si="304"/>
        <v>100</v>
      </c>
      <c r="AQ160" s="279">
        <f t="shared" si="305"/>
        <v>97.61904761904762</v>
      </c>
      <c r="AR160" s="279">
        <f t="shared" si="305"/>
        <v>90.909090909090907</v>
      </c>
      <c r="AT160" s="279" t="e">
        <f t="shared" si="306"/>
        <v>#DIV/0!</v>
      </c>
      <c r="AU160" s="279" t="e">
        <f t="shared" si="306"/>
        <v>#DIV/0!</v>
      </c>
      <c r="AW160" s="279" t="e">
        <f t="shared" si="307"/>
        <v>#DIV/0!</v>
      </c>
      <c r="AX160" s="279" t="e">
        <f t="shared" si="307"/>
        <v>#DIV/0!</v>
      </c>
      <c r="AZ160" s="279" t="e">
        <f t="shared" si="308"/>
        <v>#DIV/0!</v>
      </c>
      <c r="BA160" s="279" t="e">
        <f t="shared" si="308"/>
        <v>#DIV/0!</v>
      </c>
      <c r="BC160" s="279" t="e">
        <f t="shared" si="309"/>
        <v>#DIV/0!</v>
      </c>
      <c r="BD160" s="279" t="e">
        <f t="shared" si="309"/>
        <v>#DIV/0!</v>
      </c>
      <c r="BF160" s="279" t="e">
        <f t="shared" si="310"/>
        <v>#DIV/0!</v>
      </c>
      <c r="BG160" s="279" t="e">
        <f t="shared" si="310"/>
        <v>#DIV/0!</v>
      </c>
      <c r="BI160" s="279" t="e">
        <f t="shared" si="311"/>
        <v>#DIV/0!</v>
      </c>
      <c r="BJ160" s="279" t="e">
        <f t="shared" si="311"/>
        <v>#DIV/0!</v>
      </c>
      <c r="BL160" s="279" t="e">
        <f t="shared" si="312"/>
        <v>#DIV/0!</v>
      </c>
      <c r="BM160" s="279" t="e">
        <f t="shared" si="312"/>
        <v>#DIV/0!</v>
      </c>
      <c r="BO160" s="279" t="e">
        <f t="shared" si="313"/>
        <v>#DIV/0!</v>
      </c>
      <c r="BP160" s="279" t="e">
        <f t="shared" si="313"/>
        <v>#DIV/0!</v>
      </c>
      <c r="BR160" s="279" t="e">
        <f t="shared" si="314"/>
        <v>#DIV/0!</v>
      </c>
      <c r="BS160" s="279" t="e">
        <f t="shared" si="314"/>
        <v>#DIV/0!</v>
      </c>
      <c r="BU160" s="279" t="e">
        <f t="shared" si="315"/>
        <v>#DIV/0!</v>
      </c>
      <c r="BV160" s="279" t="e">
        <f t="shared" si="315"/>
        <v>#DIV/0!</v>
      </c>
      <c r="BX160" s="279" t="e">
        <f t="shared" si="316"/>
        <v>#DIV/0!</v>
      </c>
      <c r="BY160" s="279" t="e">
        <f t="shared" si="316"/>
        <v>#DIV/0!</v>
      </c>
      <c r="CA160" s="279" t="e">
        <f t="shared" si="317"/>
        <v>#DIV/0!</v>
      </c>
      <c r="CB160" s="279" t="e">
        <f t="shared" si="317"/>
        <v>#DIV/0!</v>
      </c>
      <c r="CD160" s="279" t="e">
        <f t="shared" si="318"/>
        <v>#DIV/0!</v>
      </c>
      <c r="CE160" s="279" t="e">
        <f t="shared" si="318"/>
        <v>#DIV/0!</v>
      </c>
      <c r="CG160" s="279">
        <f t="shared" si="319"/>
        <v>100</v>
      </c>
      <c r="CH160" s="279">
        <f t="shared" si="319"/>
        <v>100</v>
      </c>
      <c r="CJ160" s="279" t="e">
        <f t="shared" si="320"/>
        <v>#DIV/0!</v>
      </c>
      <c r="CK160" s="279" t="e">
        <f t="shared" si="320"/>
        <v>#DIV/0!</v>
      </c>
    </row>
    <row r="161" spans="1:89" x14ac:dyDescent="0.25">
      <c r="A161" s="95"/>
      <c r="B161" s="96" t="s">
        <v>1184</v>
      </c>
      <c r="C161" s="312"/>
      <c r="D161" s="95"/>
      <c r="E161" s="291"/>
      <c r="F161" s="291"/>
      <c r="G161" s="291"/>
      <c r="H161" s="291"/>
      <c r="I161" s="279" t="e">
        <f t="shared" ref="I161:J163" si="325">I175/I172*100</f>
        <v>#DIV/0!</v>
      </c>
      <c r="J161" s="279" t="e">
        <f t="shared" si="325"/>
        <v>#DIV/0!</v>
      </c>
      <c r="K161" s="279" t="e">
        <f t="shared" ref="K161:M163" si="326">K175/K172*100</f>
        <v>#DIV/0!</v>
      </c>
      <c r="L161" s="279" t="e">
        <f t="shared" si="326"/>
        <v>#DIV/0!</v>
      </c>
      <c r="M161" s="279" t="e">
        <f t="shared" si="326"/>
        <v>#DIV/0!</v>
      </c>
      <c r="N161" s="279" t="e">
        <f t="shared" ref="N161" si="327">N175/N172*100</f>
        <v>#DIV/0!</v>
      </c>
      <c r="O161" s="281"/>
      <c r="Q161" s="279" t="e">
        <f t="shared" ref="Q161:T163" si="328">Q175/Q172*100</f>
        <v>#DIV/0!</v>
      </c>
      <c r="R161" s="279" t="e">
        <f t="shared" si="328"/>
        <v>#DIV/0!</v>
      </c>
      <c r="S161" s="279" t="e">
        <f t="shared" si="328"/>
        <v>#DIV/0!</v>
      </c>
      <c r="T161" s="279" t="e">
        <f t="shared" si="328"/>
        <v>#DIV/0!</v>
      </c>
      <c r="V161" s="279" t="e">
        <f t="shared" ref="V161:W163" si="329">V175/V172*100</f>
        <v>#DIV/0!</v>
      </c>
      <c r="W161" s="279" t="e">
        <f t="shared" si="329"/>
        <v>#DIV/0!</v>
      </c>
      <c r="Y161" s="279" t="e">
        <f t="shared" ref="Y161:Z163" si="330">Y175/Y172*100</f>
        <v>#DIV/0!</v>
      </c>
      <c r="Z161" s="279" t="e">
        <f t="shared" si="330"/>
        <v>#DIV/0!</v>
      </c>
      <c r="AB161" s="279" t="e">
        <f t="shared" ref="AB161:AC163" si="331">AB175/AB172*100</f>
        <v>#DIV/0!</v>
      </c>
      <c r="AC161" s="279" t="e">
        <f t="shared" si="331"/>
        <v>#DIV/0!</v>
      </c>
      <c r="AE161" s="279" t="e">
        <f t="shared" ref="AE161:AF163" si="332">AE175/AE172*100</f>
        <v>#DIV/0!</v>
      </c>
      <c r="AF161" s="279" t="e">
        <f t="shared" si="332"/>
        <v>#DIV/0!</v>
      </c>
      <c r="AH161" s="279" t="e">
        <f t="shared" ref="AH161:AI163" si="333">AH175/AH172*100</f>
        <v>#DIV/0!</v>
      </c>
      <c r="AI161" s="279" t="e">
        <f t="shared" si="333"/>
        <v>#DIV/0!</v>
      </c>
      <c r="AK161" s="279" t="e">
        <f t="shared" ref="AK161:AL163" si="334">AK175/AK172*100</f>
        <v>#DIV/0!</v>
      </c>
      <c r="AL161" s="279" t="e">
        <f t="shared" si="334"/>
        <v>#DIV/0!</v>
      </c>
      <c r="AN161" s="279" t="e">
        <f t="shared" ref="AN161:AO163" si="335">AN175/AN172*100</f>
        <v>#DIV/0!</v>
      </c>
      <c r="AO161" s="279" t="e">
        <f t="shared" si="335"/>
        <v>#DIV/0!</v>
      </c>
      <c r="AQ161" s="279" t="e">
        <f t="shared" ref="AQ161:AR163" si="336">AQ175/AQ172*100</f>
        <v>#DIV/0!</v>
      </c>
      <c r="AR161" s="279" t="e">
        <f t="shared" si="336"/>
        <v>#DIV/0!</v>
      </c>
      <c r="AT161" s="279" t="e">
        <f t="shared" ref="AT161:AU163" si="337">AT175/AT172*100</f>
        <v>#DIV/0!</v>
      </c>
      <c r="AU161" s="279" t="e">
        <f t="shared" si="337"/>
        <v>#DIV/0!</v>
      </c>
      <c r="AW161" s="279" t="e">
        <f t="shared" ref="AW161:AX163" si="338">AW175/AW172*100</f>
        <v>#DIV/0!</v>
      </c>
      <c r="AX161" s="279" t="e">
        <f t="shared" si="338"/>
        <v>#DIV/0!</v>
      </c>
      <c r="AZ161" s="279" t="e">
        <f t="shared" ref="AZ161:BA163" si="339">AZ175/AZ172*100</f>
        <v>#DIV/0!</v>
      </c>
      <c r="BA161" s="279" t="e">
        <f t="shared" si="339"/>
        <v>#DIV/0!</v>
      </c>
      <c r="BC161" s="279" t="e">
        <f t="shared" ref="BC161:BD163" si="340">BC175/BC172*100</f>
        <v>#DIV/0!</v>
      </c>
      <c r="BD161" s="279" t="e">
        <f t="shared" si="340"/>
        <v>#DIV/0!</v>
      </c>
      <c r="BF161" s="279" t="e">
        <f t="shared" ref="BF161:BG163" si="341">BF175/BF172*100</f>
        <v>#DIV/0!</v>
      </c>
      <c r="BG161" s="279" t="e">
        <f t="shared" si="341"/>
        <v>#DIV/0!</v>
      </c>
      <c r="BI161" s="279" t="e">
        <f t="shared" ref="BI161:BJ163" si="342">BI175/BI172*100</f>
        <v>#DIV/0!</v>
      </c>
      <c r="BJ161" s="279" t="e">
        <f t="shared" si="342"/>
        <v>#DIV/0!</v>
      </c>
      <c r="BL161" s="279" t="e">
        <f t="shared" ref="BL161:BM163" si="343">BL175/BL172*100</f>
        <v>#DIV/0!</v>
      </c>
      <c r="BM161" s="279" t="e">
        <f t="shared" si="343"/>
        <v>#DIV/0!</v>
      </c>
      <c r="BO161" s="279" t="e">
        <f t="shared" ref="BO161:BP163" si="344">BO175/BO172*100</f>
        <v>#DIV/0!</v>
      </c>
      <c r="BP161" s="279" t="e">
        <f t="shared" si="344"/>
        <v>#DIV/0!</v>
      </c>
      <c r="BR161" s="279" t="e">
        <f t="shared" ref="BR161:BS163" si="345">BR175/BR172*100</f>
        <v>#DIV/0!</v>
      </c>
      <c r="BS161" s="279" t="e">
        <f t="shared" si="345"/>
        <v>#DIV/0!</v>
      </c>
      <c r="BU161" s="279" t="e">
        <f t="shared" ref="BU161:BV163" si="346">BU175/BU172*100</f>
        <v>#DIV/0!</v>
      </c>
      <c r="BV161" s="279" t="e">
        <f t="shared" si="346"/>
        <v>#DIV/0!</v>
      </c>
      <c r="BX161" s="279" t="e">
        <f t="shared" ref="BX161:BY163" si="347">BX175/BX172*100</f>
        <v>#DIV/0!</v>
      </c>
      <c r="BY161" s="279" t="e">
        <f t="shared" si="347"/>
        <v>#DIV/0!</v>
      </c>
      <c r="CA161" s="279" t="e">
        <f t="shared" ref="CA161:CB163" si="348">CA175/CA172*100</f>
        <v>#DIV/0!</v>
      </c>
      <c r="CB161" s="279" t="e">
        <f t="shared" si="348"/>
        <v>#DIV/0!</v>
      </c>
      <c r="CD161" s="279" t="e">
        <f t="shared" ref="CD161:CE163" si="349">CD175/CD172*100</f>
        <v>#DIV/0!</v>
      </c>
      <c r="CE161" s="279" t="e">
        <f t="shared" si="349"/>
        <v>#DIV/0!</v>
      </c>
      <c r="CG161" s="279" t="e">
        <f t="shared" ref="CG161:CH163" si="350">CG175/CG172*100</f>
        <v>#DIV/0!</v>
      </c>
      <c r="CH161" s="279" t="e">
        <f t="shared" si="350"/>
        <v>#DIV/0!</v>
      </c>
      <c r="CJ161" s="279" t="e">
        <f t="shared" ref="CJ161:CK163" si="351">CJ175/CJ172*100</f>
        <v>#DIV/0!</v>
      </c>
      <c r="CK161" s="279" t="e">
        <f t="shared" si="351"/>
        <v>#DIV/0!</v>
      </c>
    </row>
    <row r="162" spans="1:89" x14ac:dyDescent="0.25">
      <c r="A162" s="95"/>
      <c r="B162" s="96" t="s">
        <v>1183</v>
      </c>
      <c r="C162" s="312"/>
      <c r="D162" s="95" t="s">
        <v>8</v>
      </c>
      <c r="E162" s="291"/>
      <c r="F162" s="291"/>
      <c r="G162" s="291"/>
      <c r="H162" s="291"/>
      <c r="I162" s="279" t="e">
        <f t="shared" si="325"/>
        <v>#DIV/0!</v>
      </c>
      <c r="J162" s="279" t="e">
        <f t="shared" si="325"/>
        <v>#DIV/0!</v>
      </c>
      <c r="K162" s="279" t="e">
        <f t="shared" si="326"/>
        <v>#DIV/0!</v>
      </c>
      <c r="L162" s="279" t="e">
        <f t="shared" si="326"/>
        <v>#DIV/0!</v>
      </c>
      <c r="M162" s="279" t="e">
        <f t="shared" si="326"/>
        <v>#DIV/0!</v>
      </c>
      <c r="N162" s="279" t="e">
        <f t="shared" ref="N162" si="352">N176/N173*100</f>
        <v>#DIV/0!</v>
      </c>
      <c r="O162" s="281"/>
      <c r="Q162" s="279" t="e">
        <f t="shared" si="328"/>
        <v>#DIV/0!</v>
      </c>
      <c r="R162" s="279" t="e">
        <f t="shared" si="328"/>
        <v>#DIV/0!</v>
      </c>
      <c r="S162" s="279" t="e">
        <f t="shared" si="328"/>
        <v>#DIV/0!</v>
      </c>
      <c r="T162" s="279" t="e">
        <f t="shared" si="328"/>
        <v>#DIV/0!</v>
      </c>
      <c r="V162" s="279" t="e">
        <f t="shared" si="329"/>
        <v>#DIV/0!</v>
      </c>
      <c r="W162" s="279" t="e">
        <f t="shared" si="329"/>
        <v>#DIV/0!</v>
      </c>
      <c r="Y162" s="279" t="e">
        <f t="shared" si="330"/>
        <v>#DIV/0!</v>
      </c>
      <c r="Z162" s="279" t="e">
        <f t="shared" si="330"/>
        <v>#DIV/0!</v>
      </c>
      <c r="AB162" s="279" t="e">
        <f t="shared" si="331"/>
        <v>#DIV/0!</v>
      </c>
      <c r="AC162" s="279" t="e">
        <f t="shared" si="331"/>
        <v>#DIV/0!</v>
      </c>
      <c r="AE162" s="279" t="e">
        <f t="shared" si="332"/>
        <v>#DIV/0!</v>
      </c>
      <c r="AF162" s="279" t="e">
        <f t="shared" si="332"/>
        <v>#DIV/0!</v>
      </c>
      <c r="AH162" s="279" t="e">
        <f t="shared" si="333"/>
        <v>#DIV/0!</v>
      </c>
      <c r="AI162" s="279" t="e">
        <f t="shared" si="333"/>
        <v>#DIV/0!</v>
      </c>
      <c r="AK162" s="279" t="e">
        <f t="shared" si="334"/>
        <v>#DIV/0!</v>
      </c>
      <c r="AL162" s="279" t="e">
        <f t="shared" si="334"/>
        <v>#DIV/0!</v>
      </c>
      <c r="AN162" s="279" t="e">
        <f t="shared" si="335"/>
        <v>#DIV/0!</v>
      </c>
      <c r="AO162" s="279" t="e">
        <f t="shared" si="335"/>
        <v>#DIV/0!</v>
      </c>
      <c r="AQ162" s="279" t="e">
        <f t="shared" si="336"/>
        <v>#DIV/0!</v>
      </c>
      <c r="AR162" s="279" t="e">
        <f t="shared" si="336"/>
        <v>#DIV/0!</v>
      </c>
      <c r="AT162" s="279" t="e">
        <f t="shared" si="337"/>
        <v>#DIV/0!</v>
      </c>
      <c r="AU162" s="279" t="e">
        <f t="shared" si="337"/>
        <v>#DIV/0!</v>
      </c>
      <c r="AW162" s="279" t="e">
        <f t="shared" si="338"/>
        <v>#DIV/0!</v>
      </c>
      <c r="AX162" s="279" t="e">
        <f t="shared" si="338"/>
        <v>#DIV/0!</v>
      </c>
      <c r="AZ162" s="279" t="e">
        <f t="shared" si="339"/>
        <v>#DIV/0!</v>
      </c>
      <c r="BA162" s="279" t="e">
        <f t="shared" si="339"/>
        <v>#DIV/0!</v>
      </c>
      <c r="BC162" s="279" t="e">
        <f t="shared" si="340"/>
        <v>#DIV/0!</v>
      </c>
      <c r="BD162" s="279" t="e">
        <f t="shared" si="340"/>
        <v>#DIV/0!</v>
      </c>
      <c r="BF162" s="279" t="e">
        <f t="shared" si="341"/>
        <v>#DIV/0!</v>
      </c>
      <c r="BG162" s="279" t="e">
        <f t="shared" si="341"/>
        <v>#DIV/0!</v>
      </c>
      <c r="BI162" s="279" t="e">
        <f t="shared" si="342"/>
        <v>#DIV/0!</v>
      </c>
      <c r="BJ162" s="279" t="e">
        <f t="shared" si="342"/>
        <v>#DIV/0!</v>
      </c>
      <c r="BL162" s="279" t="e">
        <f t="shared" si="343"/>
        <v>#DIV/0!</v>
      </c>
      <c r="BM162" s="279" t="e">
        <f t="shared" si="343"/>
        <v>#DIV/0!</v>
      </c>
      <c r="BO162" s="279" t="e">
        <f t="shared" si="344"/>
        <v>#DIV/0!</v>
      </c>
      <c r="BP162" s="279" t="e">
        <f t="shared" si="344"/>
        <v>#DIV/0!</v>
      </c>
      <c r="BR162" s="279" t="e">
        <f t="shared" si="345"/>
        <v>#DIV/0!</v>
      </c>
      <c r="BS162" s="279" t="e">
        <f t="shared" si="345"/>
        <v>#DIV/0!</v>
      </c>
      <c r="BU162" s="279" t="e">
        <f t="shared" si="346"/>
        <v>#DIV/0!</v>
      </c>
      <c r="BV162" s="279" t="e">
        <f t="shared" si="346"/>
        <v>#DIV/0!</v>
      </c>
      <c r="BX162" s="279" t="e">
        <f t="shared" si="347"/>
        <v>#DIV/0!</v>
      </c>
      <c r="BY162" s="279" t="e">
        <f t="shared" si="347"/>
        <v>#DIV/0!</v>
      </c>
      <c r="CA162" s="279" t="e">
        <f t="shared" si="348"/>
        <v>#DIV/0!</v>
      </c>
      <c r="CB162" s="279" t="e">
        <f t="shared" si="348"/>
        <v>#DIV/0!</v>
      </c>
      <c r="CD162" s="279" t="e">
        <f t="shared" si="349"/>
        <v>#DIV/0!</v>
      </c>
      <c r="CE162" s="279" t="e">
        <f t="shared" si="349"/>
        <v>#DIV/0!</v>
      </c>
      <c r="CG162" s="279" t="e">
        <f t="shared" si="350"/>
        <v>#DIV/0!</v>
      </c>
      <c r="CH162" s="279" t="e">
        <f t="shared" si="350"/>
        <v>#DIV/0!</v>
      </c>
      <c r="CJ162" s="279" t="e">
        <f t="shared" si="351"/>
        <v>#DIV/0!</v>
      </c>
      <c r="CK162" s="279" t="e">
        <f t="shared" si="351"/>
        <v>#DIV/0!</v>
      </c>
    </row>
    <row r="163" spans="1:89" x14ac:dyDescent="0.25">
      <c r="A163" s="95"/>
      <c r="B163" s="96" t="s">
        <v>1185</v>
      </c>
      <c r="C163" s="312"/>
      <c r="D163" s="95" t="s">
        <v>8</v>
      </c>
      <c r="E163" s="291"/>
      <c r="F163" s="291"/>
      <c r="G163" s="291"/>
      <c r="H163" s="291"/>
      <c r="I163" s="279" t="e">
        <f t="shared" si="325"/>
        <v>#DIV/0!</v>
      </c>
      <c r="J163" s="279" t="e">
        <f t="shared" si="325"/>
        <v>#DIV/0!</v>
      </c>
      <c r="K163" s="279" t="e">
        <f t="shared" si="326"/>
        <v>#DIV/0!</v>
      </c>
      <c r="L163" s="279" t="e">
        <f t="shared" si="326"/>
        <v>#DIV/0!</v>
      </c>
      <c r="M163" s="279" t="e">
        <f t="shared" si="326"/>
        <v>#DIV/0!</v>
      </c>
      <c r="N163" s="279" t="e">
        <f t="shared" ref="N163" si="353">N177/N174*100</f>
        <v>#DIV/0!</v>
      </c>
      <c r="O163" s="281"/>
      <c r="Q163" s="279" t="e">
        <f t="shared" si="328"/>
        <v>#DIV/0!</v>
      </c>
      <c r="R163" s="279" t="e">
        <f t="shared" si="328"/>
        <v>#DIV/0!</v>
      </c>
      <c r="S163" s="279" t="e">
        <f t="shared" si="328"/>
        <v>#DIV/0!</v>
      </c>
      <c r="T163" s="279" t="e">
        <f t="shared" si="328"/>
        <v>#DIV/0!</v>
      </c>
      <c r="V163" s="279" t="e">
        <f t="shared" si="329"/>
        <v>#DIV/0!</v>
      </c>
      <c r="W163" s="279" t="e">
        <f t="shared" si="329"/>
        <v>#DIV/0!</v>
      </c>
      <c r="Y163" s="279" t="e">
        <f t="shared" si="330"/>
        <v>#DIV/0!</v>
      </c>
      <c r="Z163" s="279" t="e">
        <f t="shared" si="330"/>
        <v>#DIV/0!</v>
      </c>
      <c r="AB163" s="279" t="e">
        <f t="shared" si="331"/>
        <v>#DIV/0!</v>
      </c>
      <c r="AC163" s="279" t="e">
        <f t="shared" si="331"/>
        <v>#DIV/0!</v>
      </c>
      <c r="AE163" s="279" t="e">
        <f t="shared" si="332"/>
        <v>#DIV/0!</v>
      </c>
      <c r="AF163" s="279" t="e">
        <f t="shared" si="332"/>
        <v>#DIV/0!</v>
      </c>
      <c r="AH163" s="279" t="e">
        <f t="shared" si="333"/>
        <v>#DIV/0!</v>
      </c>
      <c r="AI163" s="279" t="e">
        <f t="shared" si="333"/>
        <v>#DIV/0!</v>
      </c>
      <c r="AK163" s="279" t="e">
        <f t="shared" si="334"/>
        <v>#DIV/0!</v>
      </c>
      <c r="AL163" s="279" t="e">
        <f t="shared" si="334"/>
        <v>#DIV/0!</v>
      </c>
      <c r="AN163" s="279" t="e">
        <f t="shared" si="335"/>
        <v>#DIV/0!</v>
      </c>
      <c r="AO163" s="279" t="e">
        <f t="shared" si="335"/>
        <v>#DIV/0!</v>
      </c>
      <c r="AQ163" s="279" t="e">
        <f t="shared" si="336"/>
        <v>#DIV/0!</v>
      </c>
      <c r="AR163" s="279" t="e">
        <f t="shared" si="336"/>
        <v>#DIV/0!</v>
      </c>
      <c r="AT163" s="279" t="e">
        <f t="shared" si="337"/>
        <v>#DIV/0!</v>
      </c>
      <c r="AU163" s="279" t="e">
        <f t="shared" si="337"/>
        <v>#DIV/0!</v>
      </c>
      <c r="AW163" s="279" t="e">
        <f t="shared" si="338"/>
        <v>#DIV/0!</v>
      </c>
      <c r="AX163" s="279" t="e">
        <f t="shared" si="338"/>
        <v>#DIV/0!</v>
      </c>
      <c r="AZ163" s="279" t="e">
        <f t="shared" si="339"/>
        <v>#DIV/0!</v>
      </c>
      <c r="BA163" s="279" t="e">
        <f t="shared" si="339"/>
        <v>#DIV/0!</v>
      </c>
      <c r="BC163" s="279" t="e">
        <f t="shared" si="340"/>
        <v>#DIV/0!</v>
      </c>
      <c r="BD163" s="279" t="e">
        <f t="shared" si="340"/>
        <v>#DIV/0!</v>
      </c>
      <c r="BF163" s="279" t="e">
        <f t="shared" si="341"/>
        <v>#DIV/0!</v>
      </c>
      <c r="BG163" s="279" t="e">
        <f t="shared" si="341"/>
        <v>#DIV/0!</v>
      </c>
      <c r="BI163" s="279" t="e">
        <f t="shared" si="342"/>
        <v>#DIV/0!</v>
      </c>
      <c r="BJ163" s="279" t="e">
        <f t="shared" si="342"/>
        <v>#DIV/0!</v>
      </c>
      <c r="BL163" s="279" t="e">
        <f t="shared" si="343"/>
        <v>#DIV/0!</v>
      </c>
      <c r="BM163" s="279" t="e">
        <f t="shared" si="343"/>
        <v>#DIV/0!</v>
      </c>
      <c r="BO163" s="279" t="e">
        <f t="shared" si="344"/>
        <v>#DIV/0!</v>
      </c>
      <c r="BP163" s="279" t="e">
        <f t="shared" si="344"/>
        <v>#DIV/0!</v>
      </c>
      <c r="BR163" s="279" t="e">
        <f t="shared" si="345"/>
        <v>#DIV/0!</v>
      </c>
      <c r="BS163" s="279" t="e">
        <f t="shared" si="345"/>
        <v>#DIV/0!</v>
      </c>
      <c r="BU163" s="279" t="e">
        <f t="shared" si="346"/>
        <v>#DIV/0!</v>
      </c>
      <c r="BV163" s="279" t="e">
        <f t="shared" si="346"/>
        <v>#DIV/0!</v>
      </c>
      <c r="BX163" s="279" t="e">
        <f t="shared" si="347"/>
        <v>#DIV/0!</v>
      </c>
      <c r="BY163" s="279" t="e">
        <f t="shared" si="347"/>
        <v>#DIV/0!</v>
      </c>
      <c r="CA163" s="279" t="e">
        <f t="shared" si="348"/>
        <v>#DIV/0!</v>
      </c>
      <c r="CB163" s="279" t="e">
        <f t="shared" si="348"/>
        <v>#DIV/0!</v>
      </c>
      <c r="CD163" s="279" t="e">
        <f t="shared" si="349"/>
        <v>#DIV/0!</v>
      </c>
      <c r="CE163" s="279" t="e">
        <f t="shared" si="349"/>
        <v>#DIV/0!</v>
      </c>
      <c r="CG163" s="279" t="e">
        <f t="shared" si="350"/>
        <v>#DIV/0!</v>
      </c>
      <c r="CH163" s="279" t="e">
        <f t="shared" si="350"/>
        <v>#DIV/0!</v>
      </c>
      <c r="CJ163" s="279" t="e">
        <f t="shared" si="351"/>
        <v>#DIV/0!</v>
      </c>
      <c r="CK163" s="279" t="e">
        <f t="shared" si="351"/>
        <v>#DIV/0!</v>
      </c>
    </row>
    <row r="164" spans="1:89" x14ac:dyDescent="0.25">
      <c r="A164" s="95"/>
      <c r="B164" s="248" t="s">
        <v>1182</v>
      </c>
      <c r="C164" s="312"/>
      <c r="D164" s="95"/>
      <c r="E164" s="291"/>
      <c r="F164" s="291"/>
      <c r="G164" s="291"/>
      <c r="H164" s="291"/>
      <c r="I164" s="291"/>
      <c r="J164" s="291"/>
      <c r="K164" s="291"/>
      <c r="L164" s="291"/>
      <c r="M164" s="291"/>
      <c r="N164" s="291"/>
      <c r="O164" s="281"/>
    </row>
    <row r="165" spans="1:89" x14ac:dyDescent="0.25">
      <c r="A165" s="95"/>
      <c r="B165" s="267" t="s">
        <v>2034</v>
      </c>
      <c r="C165" s="312"/>
      <c r="D165" s="95"/>
      <c r="E165" s="291"/>
      <c r="F165" s="291"/>
      <c r="G165" s="291"/>
      <c r="H165" s="291"/>
      <c r="I165" s="291">
        <f t="shared" ref="I165:M165" si="354">I166+I167</f>
        <v>7737</v>
      </c>
      <c r="J165" s="291">
        <f t="shared" si="354"/>
        <v>7648</v>
      </c>
      <c r="K165" s="291">
        <f t="shared" si="354"/>
        <v>7373</v>
      </c>
      <c r="L165" s="291">
        <f t="shared" si="354"/>
        <v>934</v>
      </c>
      <c r="M165" s="291">
        <f t="shared" si="354"/>
        <v>966</v>
      </c>
      <c r="N165" s="291">
        <v>1055</v>
      </c>
      <c r="O165" s="281"/>
      <c r="Q165" s="282">
        <f>Q166+Q167</f>
        <v>7373</v>
      </c>
      <c r="R165" s="282">
        <f>R166+R167</f>
        <v>7071</v>
      </c>
      <c r="S165" s="282">
        <f>S166+S167</f>
        <v>250</v>
      </c>
      <c r="T165" s="282">
        <f>T166+T167</f>
        <v>91</v>
      </c>
      <c r="U165" s="286"/>
      <c r="V165" s="282">
        <f>V166+V167</f>
        <v>519</v>
      </c>
      <c r="W165" s="282">
        <f>W166+W167</f>
        <v>360</v>
      </c>
      <c r="X165" s="286"/>
      <c r="Y165" s="282">
        <f>Y166+Y167</f>
        <v>514</v>
      </c>
      <c r="Z165" s="282">
        <f>Z166+Z167</f>
        <v>499</v>
      </c>
      <c r="AA165" s="286"/>
      <c r="AB165" s="282">
        <f>AB166+AB167</f>
        <v>314</v>
      </c>
      <c r="AC165" s="282">
        <f>AC166+AC167</f>
        <v>308</v>
      </c>
      <c r="AD165" s="286"/>
      <c r="AE165" s="282">
        <f>AE166+AE167</f>
        <v>7</v>
      </c>
      <c r="AF165" s="282">
        <f>AF166+AF167</f>
        <v>8</v>
      </c>
      <c r="AG165" s="286"/>
      <c r="AH165" s="282">
        <f>AH166+AH167</f>
        <v>819</v>
      </c>
      <c r="AI165" s="282">
        <f>AI166+AI167</f>
        <v>934</v>
      </c>
      <c r="AJ165" s="286"/>
      <c r="AK165" s="282">
        <f>AK166+AK167</f>
        <v>606</v>
      </c>
      <c r="AL165" s="282">
        <f>AL166+AL167</f>
        <v>647</v>
      </c>
      <c r="AM165" s="286"/>
      <c r="AN165" s="282">
        <f>AN166+AN167</f>
        <v>245</v>
      </c>
      <c r="AO165" s="282">
        <f>AO166+AO167</f>
        <v>254</v>
      </c>
      <c r="AP165" s="286"/>
      <c r="AQ165" s="282">
        <f>AQ166+AQ167</f>
        <v>126</v>
      </c>
      <c r="AR165" s="282">
        <f>AR166+AR167</f>
        <v>22</v>
      </c>
      <c r="AS165" s="286"/>
      <c r="AT165" s="282">
        <f>AT166+AT167</f>
        <v>309</v>
      </c>
      <c r="AU165" s="282">
        <f>AU166+AU167</f>
        <v>303</v>
      </c>
      <c r="AV165" s="286"/>
      <c r="AW165" s="282">
        <f>AW166+AW167</f>
        <v>0</v>
      </c>
      <c r="AX165" s="282">
        <f>AX166+AX167</f>
        <v>0</v>
      </c>
      <c r="AY165" s="286"/>
      <c r="AZ165" s="282">
        <f>AZ166+AZ167</f>
        <v>598</v>
      </c>
      <c r="BA165" s="282">
        <f>BA166+BA167</f>
        <v>475</v>
      </c>
      <c r="BB165" s="286"/>
      <c r="BC165" s="282">
        <f>BC166+BC167</f>
        <v>482</v>
      </c>
      <c r="BD165" s="282">
        <f>BD166+BD167</f>
        <v>421</v>
      </c>
      <c r="BE165" s="286"/>
      <c r="BF165" s="282">
        <f>BF166+BF167</f>
        <v>375</v>
      </c>
      <c r="BG165" s="282">
        <f>BG166+BG167</f>
        <v>305</v>
      </c>
      <c r="BH165" s="286"/>
      <c r="BI165" s="282">
        <f>BI166+BI167</f>
        <v>895</v>
      </c>
      <c r="BJ165" s="282">
        <f>BJ166+BJ167</f>
        <v>1056</v>
      </c>
      <c r="BK165" s="286"/>
      <c r="BL165" s="282">
        <f>BL166+BL167</f>
        <v>0</v>
      </c>
      <c r="BM165" s="282">
        <f>BM166+BM167</f>
        <v>0</v>
      </c>
      <c r="BN165" s="286"/>
      <c r="BO165" s="282">
        <f>BO166+BO167</f>
        <v>0</v>
      </c>
      <c r="BP165" s="282">
        <f>BP166+BP167</f>
        <v>0</v>
      </c>
      <c r="BQ165" s="286"/>
      <c r="BR165" s="282">
        <f>BR166+BR167</f>
        <v>144</v>
      </c>
      <c r="BS165" s="282">
        <f>BS166+BS167</f>
        <v>144</v>
      </c>
      <c r="BT165" s="286"/>
      <c r="BU165" s="282">
        <f>BU166+BU167</f>
        <v>104</v>
      </c>
      <c r="BV165" s="282">
        <f>BV166+BV167</f>
        <v>173</v>
      </c>
      <c r="BW165" s="286"/>
      <c r="BX165" s="282">
        <f>BX166+BX167</f>
        <v>0</v>
      </c>
      <c r="BY165" s="282">
        <f>BY166+BY167</f>
        <v>0</v>
      </c>
      <c r="BZ165" s="286"/>
      <c r="CA165" s="282">
        <f>CA166+CA167</f>
        <v>181</v>
      </c>
      <c r="CB165" s="282">
        <f>CB166+CB167</f>
        <v>75</v>
      </c>
      <c r="CC165" s="286"/>
      <c r="CD165" s="282">
        <f>CD166+CD167</f>
        <v>0</v>
      </c>
      <c r="CE165" s="282">
        <f>CE166+CE167</f>
        <v>0</v>
      </c>
      <c r="CF165" s="286"/>
      <c r="CG165" s="282">
        <f>CG166+CG167</f>
        <v>885</v>
      </c>
      <c r="CH165" s="282">
        <f>CH166+CH167</f>
        <v>996</v>
      </c>
      <c r="CI165" s="286"/>
      <c r="CJ165" s="282">
        <f>CJ166+CJ167</f>
        <v>0</v>
      </c>
      <c r="CK165" s="282">
        <f>CK166+CK167</f>
        <v>0</v>
      </c>
    </row>
    <row r="166" spans="1:89" ht="30" x14ac:dyDescent="0.25">
      <c r="A166" s="95"/>
      <c r="B166" s="96" t="s">
        <v>1183</v>
      </c>
      <c r="C166" s="312" t="s">
        <v>2752</v>
      </c>
      <c r="D166" s="95" t="s">
        <v>950</v>
      </c>
      <c r="E166" s="291"/>
      <c r="F166" s="291"/>
      <c r="G166" s="291"/>
      <c r="H166" s="291"/>
      <c r="I166" s="291">
        <v>5909</v>
      </c>
      <c r="J166" s="291">
        <v>5750</v>
      </c>
      <c r="K166" s="291">
        <v>5683</v>
      </c>
      <c r="L166" s="291">
        <v>455</v>
      </c>
      <c r="M166" s="291">
        <v>504</v>
      </c>
      <c r="N166" s="291">
        <v>484</v>
      </c>
      <c r="O166" s="281"/>
      <c r="Q166" s="286">
        <f>S166+V166+Y166+AB166+AE166+AH166+AK166+AN166+AQ166+AT166+AW166+AZ166+BC166+BF166+BI166+BL166+BO166+BR166+BU166+BX166+CA166+CD166+CG166+CJ166</f>
        <v>5683</v>
      </c>
      <c r="R166" s="286">
        <f>T166+W166+Z166+AC166+AF166+AI166+AL166+AO166+AR166+AU166+AX166+BA166+BD166+BG166+BJ166+BM166+BP166+BS166+BV166+BY166+CB166+CE166+CH166+CK166</f>
        <v>5486</v>
      </c>
      <c r="S166" s="286">
        <v>250</v>
      </c>
      <c r="T166" s="286">
        <v>91</v>
      </c>
      <c r="U166" s="286"/>
      <c r="V166" s="286">
        <v>479</v>
      </c>
      <c r="W166" s="286">
        <v>356</v>
      </c>
      <c r="X166" s="286"/>
      <c r="Y166" s="286">
        <v>0</v>
      </c>
      <c r="Z166" s="286">
        <v>0</v>
      </c>
      <c r="AA166" s="286"/>
      <c r="AB166" s="286">
        <v>0</v>
      </c>
      <c r="AC166" s="286">
        <v>0</v>
      </c>
      <c r="AD166" s="286"/>
      <c r="AE166" s="286">
        <v>7</v>
      </c>
      <c r="AF166" s="286">
        <v>8</v>
      </c>
      <c r="AG166" s="286"/>
      <c r="AH166" s="286">
        <v>391</v>
      </c>
      <c r="AI166" s="286">
        <v>455</v>
      </c>
      <c r="AJ166" s="286"/>
      <c r="AK166" s="286">
        <v>606</v>
      </c>
      <c r="AL166" s="286">
        <v>647</v>
      </c>
      <c r="AM166" s="286"/>
      <c r="AN166" s="286">
        <v>84</v>
      </c>
      <c r="AO166" s="286">
        <v>110</v>
      </c>
      <c r="AP166" s="286"/>
      <c r="AQ166" s="286">
        <v>0</v>
      </c>
      <c r="AR166" s="286">
        <v>0</v>
      </c>
      <c r="AS166" s="286"/>
      <c r="AT166" s="286">
        <v>309</v>
      </c>
      <c r="AU166" s="286">
        <v>303</v>
      </c>
      <c r="AV166" s="286"/>
      <c r="AW166" s="286">
        <v>0</v>
      </c>
      <c r="AX166" s="286">
        <v>0</v>
      </c>
      <c r="AY166" s="286"/>
      <c r="AZ166" s="286">
        <v>598</v>
      </c>
      <c r="BA166" s="286">
        <v>475</v>
      </c>
      <c r="BB166" s="286"/>
      <c r="BC166" s="286">
        <v>482</v>
      </c>
      <c r="BD166" s="286">
        <v>421</v>
      </c>
      <c r="BE166" s="286"/>
      <c r="BF166" s="286">
        <v>375</v>
      </c>
      <c r="BG166" s="286">
        <v>305</v>
      </c>
      <c r="BH166" s="286"/>
      <c r="BI166" s="286">
        <v>895</v>
      </c>
      <c r="BJ166" s="286">
        <v>1056</v>
      </c>
      <c r="BK166" s="286"/>
      <c r="BL166" s="286">
        <v>0</v>
      </c>
      <c r="BM166" s="286">
        <v>0</v>
      </c>
      <c r="BN166" s="286"/>
      <c r="BO166" s="286">
        <v>0</v>
      </c>
      <c r="BP166" s="286">
        <v>0</v>
      </c>
      <c r="BQ166" s="286"/>
      <c r="BR166" s="286">
        <v>144</v>
      </c>
      <c r="BS166" s="286">
        <v>144</v>
      </c>
      <c r="BT166" s="286"/>
      <c r="BU166" s="286">
        <v>104</v>
      </c>
      <c r="BV166" s="286">
        <v>173</v>
      </c>
      <c r="BW166" s="286"/>
      <c r="BX166" s="286">
        <v>0</v>
      </c>
      <c r="BY166" s="286">
        <v>0</v>
      </c>
      <c r="BZ166" s="286"/>
      <c r="CA166" s="286">
        <v>181</v>
      </c>
      <c r="CB166" s="286">
        <v>75</v>
      </c>
      <c r="CC166" s="286"/>
      <c r="CD166" s="286">
        <v>0</v>
      </c>
      <c r="CE166" s="286">
        <v>0</v>
      </c>
      <c r="CF166" s="286"/>
      <c r="CG166" s="286">
        <v>778</v>
      </c>
      <c r="CH166" s="286">
        <v>867</v>
      </c>
      <c r="CI166" s="286"/>
      <c r="CJ166" s="286">
        <v>0</v>
      </c>
      <c r="CK166" s="286">
        <v>0</v>
      </c>
    </row>
    <row r="167" spans="1:89" ht="30" x14ac:dyDescent="0.25">
      <c r="A167" s="95"/>
      <c r="B167" s="96" t="s">
        <v>1185</v>
      </c>
      <c r="C167" s="312" t="s">
        <v>2752</v>
      </c>
      <c r="D167" s="95" t="s">
        <v>950</v>
      </c>
      <c r="E167" s="291"/>
      <c r="F167" s="291"/>
      <c r="G167" s="291"/>
      <c r="H167" s="291"/>
      <c r="I167" s="291">
        <v>1828</v>
      </c>
      <c r="J167" s="291">
        <v>1898</v>
      </c>
      <c r="K167" s="291">
        <v>1690</v>
      </c>
      <c r="L167" s="291">
        <v>479</v>
      </c>
      <c r="M167" s="291">
        <v>462</v>
      </c>
      <c r="N167" s="291">
        <v>571</v>
      </c>
      <c r="O167" s="281"/>
      <c r="Q167" s="286">
        <f>S167+V167+Y167+AB167+AE167+AH167+AK167+AN167+AQ167+AT167+AW167+AZ167+BC167+BF167+BI167+BL167+BO167+BR167+BU167+BX167+CA167+CD167+CG167+CJ167</f>
        <v>1690</v>
      </c>
      <c r="R167" s="286">
        <f>T167+W167+Z167+AC167+AF167+AI167+AL167+AO167+AR167+AU167+AX167+BA167+BD167+BG167+BJ167+BM167+BP167+BS167+BV167+BY167+CB167+CE167+CH167+CK167</f>
        <v>1585</v>
      </c>
      <c r="S167" s="286">
        <v>0</v>
      </c>
      <c r="T167" s="286">
        <v>0</v>
      </c>
      <c r="U167" s="286"/>
      <c r="V167" s="286">
        <v>40</v>
      </c>
      <c r="W167" s="286">
        <v>4</v>
      </c>
      <c r="X167" s="286"/>
      <c r="Y167" s="286">
        <v>514</v>
      </c>
      <c r="Z167" s="286">
        <v>499</v>
      </c>
      <c r="AA167" s="286"/>
      <c r="AB167" s="286">
        <v>314</v>
      </c>
      <c r="AC167" s="286">
        <v>308</v>
      </c>
      <c r="AD167" s="286"/>
      <c r="AE167" s="286">
        <v>0</v>
      </c>
      <c r="AF167" s="286">
        <v>0</v>
      </c>
      <c r="AG167" s="286"/>
      <c r="AH167" s="286">
        <v>428</v>
      </c>
      <c r="AI167" s="286">
        <v>479</v>
      </c>
      <c r="AJ167" s="286"/>
      <c r="AK167" s="286">
        <v>0</v>
      </c>
      <c r="AL167" s="286">
        <v>0</v>
      </c>
      <c r="AM167" s="286"/>
      <c r="AN167" s="286">
        <v>161</v>
      </c>
      <c r="AO167" s="286">
        <v>144</v>
      </c>
      <c r="AP167" s="286"/>
      <c r="AQ167" s="286">
        <v>126</v>
      </c>
      <c r="AR167" s="286">
        <v>22</v>
      </c>
      <c r="AS167" s="286"/>
      <c r="AT167" s="286">
        <v>0</v>
      </c>
      <c r="AU167" s="286">
        <v>0</v>
      </c>
      <c r="AV167" s="286"/>
      <c r="AW167" s="286">
        <v>0</v>
      </c>
      <c r="AX167" s="286">
        <v>0</v>
      </c>
      <c r="AY167" s="286"/>
      <c r="AZ167" s="286">
        <v>0</v>
      </c>
      <c r="BA167" s="286">
        <v>0</v>
      </c>
      <c r="BB167" s="286"/>
      <c r="BC167" s="286">
        <v>0</v>
      </c>
      <c r="BD167" s="286">
        <v>0</v>
      </c>
      <c r="BE167" s="286"/>
      <c r="BF167" s="286">
        <v>0</v>
      </c>
      <c r="BG167" s="286">
        <v>0</v>
      </c>
      <c r="BH167" s="286"/>
      <c r="BI167" s="286">
        <v>0</v>
      </c>
      <c r="BJ167" s="286">
        <v>0</v>
      </c>
      <c r="BK167" s="286"/>
      <c r="BL167" s="286">
        <v>0</v>
      </c>
      <c r="BM167" s="286">
        <v>0</v>
      </c>
      <c r="BN167" s="286"/>
      <c r="BO167" s="286">
        <v>0</v>
      </c>
      <c r="BP167" s="286">
        <v>0</v>
      </c>
      <c r="BQ167" s="286"/>
      <c r="BR167" s="286">
        <v>0</v>
      </c>
      <c r="BS167" s="286">
        <v>0</v>
      </c>
      <c r="BT167" s="286"/>
      <c r="BU167" s="286">
        <v>0</v>
      </c>
      <c r="BV167" s="286">
        <v>0</v>
      </c>
      <c r="BW167" s="286"/>
      <c r="BX167" s="286">
        <v>0</v>
      </c>
      <c r="BY167" s="286">
        <v>0</v>
      </c>
      <c r="BZ167" s="286"/>
      <c r="CA167" s="286">
        <v>0</v>
      </c>
      <c r="CB167" s="286">
        <v>0</v>
      </c>
      <c r="CC167" s="286"/>
      <c r="CD167" s="286">
        <v>0</v>
      </c>
      <c r="CE167" s="286">
        <v>0</v>
      </c>
      <c r="CF167" s="286"/>
      <c r="CG167" s="286">
        <v>107</v>
      </c>
      <c r="CH167" s="286">
        <v>129</v>
      </c>
      <c r="CI167" s="286"/>
      <c r="CJ167" s="286">
        <v>0</v>
      </c>
      <c r="CK167" s="286">
        <v>0</v>
      </c>
    </row>
    <row r="168" spans="1:89" x14ac:dyDescent="0.25">
      <c r="A168" s="248"/>
      <c r="B168" s="248" t="s">
        <v>2033</v>
      </c>
      <c r="C168" s="312"/>
      <c r="D168" s="95"/>
      <c r="E168" s="291"/>
      <c r="F168" s="291"/>
      <c r="G168" s="291"/>
      <c r="H168" s="291"/>
      <c r="I168" s="291">
        <f t="shared" ref="I168:M168" si="355">I169+I170</f>
        <v>7068</v>
      </c>
      <c r="J168" s="291">
        <f t="shared" si="355"/>
        <v>6966</v>
      </c>
      <c r="K168" s="291">
        <f t="shared" si="355"/>
        <v>6777</v>
      </c>
      <c r="L168" s="291">
        <f t="shared" si="355"/>
        <v>934</v>
      </c>
      <c r="M168" s="291">
        <f t="shared" si="355"/>
        <v>966</v>
      </c>
      <c r="N168" s="291">
        <v>1055</v>
      </c>
      <c r="O168" s="281"/>
      <c r="Q168" s="282">
        <f>Q169+Q170</f>
        <v>6777</v>
      </c>
      <c r="R168" s="282">
        <f>R169+R170</f>
        <v>6683</v>
      </c>
      <c r="S168" s="282">
        <f>S169+S170</f>
        <v>250</v>
      </c>
      <c r="T168" s="282">
        <f>T169+T170</f>
        <v>91</v>
      </c>
      <c r="U168" s="286"/>
      <c r="V168" s="282">
        <f>V169+V170</f>
        <v>345</v>
      </c>
      <c r="W168" s="282">
        <f>W169+W170</f>
        <v>360</v>
      </c>
      <c r="X168" s="286"/>
      <c r="Y168" s="282">
        <f>Y169+Y170</f>
        <v>492</v>
      </c>
      <c r="Z168" s="282">
        <f>Z169+Z170</f>
        <v>499</v>
      </c>
      <c r="AA168" s="286"/>
      <c r="AB168" s="282">
        <f>AB169+AB170</f>
        <v>314</v>
      </c>
      <c r="AC168" s="282">
        <f>AC169+AC170</f>
        <v>308</v>
      </c>
      <c r="AD168" s="286"/>
      <c r="AE168" s="282">
        <f>AE169+AE170</f>
        <v>7</v>
      </c>
      <c r="AF168" s="282">
        <f>AF169+AF170</f>
        <v>8</v>
      </c>
      <c r="AG168" s="286"/>
      <c r="AH168" s="282">
        <f>AH169+AH170</f>
        <v>819</v>
      </c>
      <c r="AI168" s="282">
        <f>AI169+AI170</f>
        <v>934</v>
      </c>
      <c r="AJ168" s="286"/>
      <c r="AK168" s="282">
        <f>AK169+AK170</f>
        <v>600</v>
      </c>
      <c r="AL168" s="282">
        <f>AL169+AL170</f>
        <v>642</v>
      </c>
      <c r="AM168" s="286"/>
      <c r="AN168" s="282">
        <f>AN169+AN170</f>
        <v>245</v>
      </c>
      <c r="AO168" s="282">
        <f>AO169+AO170</f>
        <v>228</v>
      </c>
      <c r="AP168" s="286"/>
      <c r="AQ168" s="282">
        <f>AQ169+AQ170</f>
        <v>123</v>
      </c>
      <c r="AR168" s="282">
        <f>AR169+AR170</f>
        <v>20</v>
      </c>
      <c r="AS168" s="286"/>
      <c r="AT168" s="282">
        <f>AT169+AT170</f>
        <v>295</v>
      </c>
      <c r="AU168" s="282">
        <f>AU169+AU170</f>
        <v>278</v>
      </c>
      <c r="AV168" s="286"/>
      <c r="AW168" s="282">
        <f>AW169+AW170</f>
        <v>0</v>
      </c>
      <c r="AX168" s="282">
        <f>AX169+AX170</f>
        <v>0</v>
      </c>
      <c r="AY168" s="286"/>
      <c r="AZ168" s="282">
        <f>AZ169+AZ170</f>
        <v>469</v>
      </c>
      <c r="BA168" s="282">
        <f>BA169+BA170</f>
        <v>451</v>
      </c>
      <c r="BB168" s="286"/>
      <c r="BC168" s="282">
        <f>BC169+BC170</f>
        <v>482</v>
      </c>
      <c r="BD168" s="282">
        <f>BD169+BD170</f>
        <v>421</v>
      </c>
      <c r="BE168" s="286"/>
      <c r="BF168" s="282">
        <f>BF169+BF170</f>
        <v>165</v>
      </c>
      <c r="BG168" s="282">
        <f>BG169+BG170</f>
        <v>172</v>
      </c>
      <c r="BH168" s="286"/>
      <c r="BI168" s="282">
        <f>BI169+BI170</f>
        <v>895</v>
      </c>
      <c r="BJ168" s="282">
        <f>BJ169+BJ170</f>
        <v>1056</v>
      </c>
      <c r="BK168" s="286"/>
      <c r="BL168" s="282">
        <f>BL169+BL170</f>
        <v>0</v>
      </c>
      <c r="BM168" s="282">
        <f>BM169+BM170</f>
        <v>0</v>
      </c>
      <c r="BN168" s="286"/>
      <c r="BO168" s="282">
        <f>BO169+BO170</f>
        <v>0</v>
      </c>
      <c r="BP168" s="282">
        <f>BP169+BP170</f>
        <v>0</v>
      </c>
      <c r="BQ168" s="286"/>
      <c r="BR168" s="282">
        <f>BR169+BR170</f>
        <v>144</v>
      </c>
      <c r="BS168" s="282">
        <f>BS169+BS170</f>
        <v>144</v>
      </c>
      <c r="BT168" s="286"/>
      <c r="BU168" s="282">
        <f>BU169+BU170</f>
        <v>104</v>
      </c>
      <c r="BV168" s="282">
        <f>BV169+BV170</f>
        <v>173</v>
      </c>
      <c r="BW168" s="286"/>
      <c r="BX168" s="282">
        <f>BX169+BX170</f>
        <v>0</v>
      </c>
      <c r="BY168" s="282">
        <f>BY169+BY170</f>
        <v>0</v>
      </c>
      <c r="BZ168" s="286"/>
      <c r="CA168" s="282">
        <f>CA169+CA170</f>
        <v>155</v>
      </c>
      <c r="CB168" s="282">
        <f>CB169+CB170</f>
        <v>71</v>
      </c>
      <c r="CC168" s="286"/>
      <c r="CD168" s="282">
        <f>CD169+CD170</f>
        <v>0</v>
      </c>
      <c r="CE168" s="282">
        <f>CE169+CE170</f>
        <v>0</v>
      </c>
      <c r="CF168" s="286"/>
      <c r="CG168" s="282">
        <f>CG169+CG170</f>
        <v>873</v>
      </c>
      <c r="CH168" s="282">
        <f>CH169+CH170</f>
        <v>827</v>
      </c>
      <c r="CI168" s="286"/>
      <c r="CJ168" s="282">
        <f>CJ169+CJ170</f>
        <v>0</v>
      </c>
      <c r="CK168" s="282">
        <f>CK169+CK170</f>
        <v>0</v>
      </c>
    </row>
    <row r="169" spans="1:89" ht="30" x14ac:dyDescent="0.25">
      <c r="A169" s="95"/>
      <c r="B169" s="96" t="s">
        <v>1183</v>
      </c>
      <c r="C169" s="312" t="s">
        <v>2752</v>
      </c>
      <c r="D169" s="95" t="s">
        <v>950</v>
      </c>
      <c r="E169" s="291"/>
      <c r="F169" s="291"/>
      <c r="G169" s="291"/>
      <c r="H169" s="291"/>
      <c r="I169" s="291">
        <v>5295</v>
      </c>
      <c r="J169" s="291">
        <v>5149</v>
      </c>
      <c r="K169" s="291">
        <v>5112</v>
      </c>
      <c r="L169" s="291">
        <v>455</v>
      </c>
      <c r="M169" s="291">
        <v>504</v>
      </c>
      <c r="N169" s="291">
        <v>484</v>
      </c>
      <c r="O169" s="281"/>
      <c r="Q169" s="286">
        <f>S169+V169+Y169+AB169+AE169+AH169+AK169+AN169+AQ169+AT169+AW169+AZ169+BC169+BF169+BI169+BL169+BO169+BR169+BU169+BX169+CA169+CD169+CG169+CJ169</f>
        <v>5112</v>
      </c>
      <c r="R169" s="286">
        <f>T169+W169+Z169+AC169+AF169+AI169+AL169+AO169+AR169+AU169+AX169+BA169+BD169+BG169+BJ169+BM169+BP169+BS169+BV169+BY169+CB169+CE169+CH169+CK169</f>
        <v>5100</v>
      </c>
      <c r="S169" s="286">
        <v>250</v>
      </c>
      <c r="T169" s="286">
        <v>91</v>
      </c>
      <c r="U169" s="286"/>
      <c r="V169" s="286">
        <v>305</v>
      </c>
      <c r="W169" s="286">
        <v>356</v>
      </c>
      <c r="X169" s="286"/>
      <c r="Y169" s="286">
        <v>0</v>
      </c>
      <c r="Z169" s="286">
        <v>0</v>
      </c>
      <c r="AA169" s="286"/>
      <c r="AB169" s="286">
        <v>0</v>
      </c>
      <c r="AC169" s="286">
        <v>0</v>
      </c>
      <c r="AD169" s="286"/>
      <c r="AE169" s="286">
        <v>7</v>
      </c>
      <c r="AF169" s="286">
        <v>8</v>
      </c>
      <c r="AG169" s="286"/>
      <c r="AH169" s="286">
        <v>391</v>
      </c>
      <c r="AI169" s="286">
        <v>455</v>
      </c>
      <c r="AJ169" s="286"/>
      <c r="AK169" s="286">
        <v>600</v>
      </c>
      <c r="AL169" s="286">
        <v>642</v>
      </c>
      <c r="AM169" s="286"/>
      <c r="AN169" s="286">
        <v>84</v>
      </c>
      <c r="AO169" s="286">
        <v>84</v>
      </c>
      <c r="AP169" s="286"/>
      <c r="AQ169" s="286">
        <v>0</v>
      </c>
      <c r="AR169" s="286">
        <v>0</v>
      </c>
      <c r="AS169" s="286"/>
      <c r="AT169" s="286">
        <v>295</v>
      </c>
      <c r="AU169" s="286">
        <v>278</v>
      </c>
      <c r="AV169" s="286"/>
      <c r="AW169" s="286">
        <v>0</v>
      </c>
      <c r="AX169" s="286">
        <v>0</v>
      </c>
      <c r="AY169" s="286"/>
      <c r="AZ169" s="286">
        <v>469</v>
      </c>
      <c r="BA169" s="286">
        <v>451</v>
      </c>
      <c r="BB169" s="286"/>
      <c r="BC169" s="286">
        <v>482</v>
      </c>
      <c r="BD169" s="286">
        <v>421</v>
      </c>
      <c r="BE169" s="286"/>
      <c r="BF169" s="286">
        <v>165</v>
      </c>
      <c r="BG169" s="286">
        <v>172</v>
      </c>
      <c r="BH169" s="286"/>
      <c r="BI169" s="286">
        <v>895</v>
      </c>
      <c r="BJ169" s="286">
        <v>1056</v>
      </c>
      <c r="BK169" s="286"/>
      <c r="BL169" s="286">
        <v>0</v>
      </c>
      <c r="BM169" s="286">
        <v>0</v>
      </c>
      <c r="BN169" s="286"/>
      <c r="BO169" s="286">
        <v>0</v>
      </c>
      <c r="BP169" s="286">
        <v>0</v>
      </c>
      <c r="BQ169" s="286"/>
      <c r="BR169" s="286">
        <v>144</v>
      </c>
      <c r="BS169" s="286">
        <v>144</v>
      </c>
      <c r="BT169" s="286"/>
      <c r="BU169" s="286">
        <v>104</v>
      </c>
      <c r="BV169" s="286">
        <v>173</v>
      </c>
      <c r="BW169" s="286"/>
      <c r="BX169" s="286">
        <v>0</v>
      </c>
      <c r="BY169" s="286">
        <v>0</v>
      </c>
      <c r="BZ169" s="286"/>
      <c r="CA169" s="286">
        <v>155</v>
      </c>
      <c r="CB169" s="286">
        <v>71</v>
      </c>
      <c r="CC169" s="286"/>
      <c r="CD169" s="286">
        <v>0</v>
      </c>
      <c r="CE169" s="286">
        <v>0</v>
      </c>
      <c r="CF169" s="286"/>
      <c r="CG169" s="286">
        <v>766</v>
      </c>
      <c r="CH169" s="286">
        <v>698</v>
      </c>
      <c r="CI169" s="286"/>
      <c r="CJ169" s="286">
        <v>0</v>
      </c>
      <c r="CK169" s="286">
        <v>0</v>
      </c>
    </row>
    <row r="170" spans="1:89" ht="30" x14ac:dyDescent="0.25">
      <c r="A170" s="95"/>
      <c r="B170" s="96" t="s">
        <v>1185</v>
      </c>
      <c r="C170" s="312" t="s">
        <v>2752</v>
      </c>
      <c r="D170" s="95" t="s">
        <v>950</v>
      </c>
      <c r="E170" s="291"/>
      <c r="F170" s="291"/>
      <c r="G170" s="291"/>
      <c r="H170" s="291"/>
      <c r="I170" s="291">
        <v>1773</v>
      </c>
      <c r="J170" s="291">
        <v>1817</v>
      </c>
      <c r="K170" s="291">
        <v>1665</v>
      </c>
      <c r="L170" s="291">
        <v>479</v>
      </c>
      <c r="M170" s="291">
        <v>462</v>
      </c>
      <c r="N170" s="291">
        <v>571</v>
      </c>
      <c r="O170" s="281"/>
      <c r="Q170" s="286">
        <f>S170+V170+Y170+AB170+AE170+AH170+AK170+AN170+AQ170+AT170+AW170+AZ170+BC170+BF170+BI170+BL170+BO170+BR170+BU170+BX170+CA170+CD170+CG170+CJ170</f>
        <v>1665</v>
      </c>
      <c r="R170" s="286">
        <f>T170+W170+Z170+AC170+AF170+AI170+AL170+AO170+AR170+AU170+AX170+BA170+BD170+BG170+BJ170+BM170+BP170+BS170+BV170+BY170+CB170+CE170+CH170+CK170</f>
        <v>1583</v>
      </c>
      <c r="S170" s="286">
        <v>0</v>
      </c>
      <c r="T170" s="286">
        <v>0</v>
      </c>
      <c r="U170" s="286"/>
      <c r="V170" s="286">
        <v>40</v>
      </c>
      <c r="W170" s="286">
        <v>4</v>
      </c>
      <c r="X170" s="286"/>
      <c r="Y170" s="286">
        <v>492</v>
      </c>
      <c r="Z170" s="286">
        <v>499</v>
      </c>
      <c r="AA170" s="286"/>
      <c r="AB170" s="286">
        <v>314</v>
      </c>
      <c r="AC170" s="286">
        <v>308</v>
      </c>
      <c r="AD170" s="286"/>
      <c r="AE170" s="286">
        <v>0</v>
      </c>
      <c r="AF170" s="286">
        <v>0</v>
      </c>
      <c r="AG170" s="286"/>
      <c r="AH170" s="286">
        <v>428</v>
      </c>
      <c r="AI170" s="286">
        <v>479</v>
      </c>
      <c r="AJ170" s="286"/>
      <c r="AK170" s="286">
        <v>0</v>
      </c>
      <c r="AL170" s="286">
        <v>0</v>
      </c>
      <c r="AM170" s="286"/>
      <c r="AN170" s="286">
        <v>161</v>
      </c>
      <c r="AO170" s="286">
        <v>144</v>
      </c>
      <c r="AP170" s="286"/>
      <c r="AQ170" s="286">
        <v>123</v>
      </c>
      <c r="AR170" s="286">
        <v>20</v>
      </c>
      <c r="AS170" s="286"/>
      <c r="AT170" s="286">
        <v>0</v>
      </c>
      <c r="AU170" s="286">
        <v>0</v>
      </c>
      <c r="AV170" s="286"/>
      <c r="AW170" s="286">
        <v>0</v>
      </c>
      <c r="AX170" s="286">
        <v>0</v>
      </c>
      <c r="AY170" s="286"/>
      <c r="AZ170" s="286">
        <v>0</v>
      </c>
      <c r="BA170" s="286">
        <v>0</v>
      </c>
      <c r="BB170" s="286"/>
      <c r="BC170" s="286">
        <v>0</v>
      </c>
      <c r="BD170" s="286">
        <v>0</v>
      </c>
      <c r="BE170" s="286"/>
      <c r="BF170" s="286">
        <v>0</v>
      </c>
      <c r="BG170" s="286">
        <v>0</v>
      </c>
      <c r="BH170" s="286"/>
      <c r="BI170" s="286">
        <v>0</v>
      </c>
      <c r="BJ170" s="286">
        <v>0</v>
      </c>
      <c r="BK170" s="286"/>
      <c r="BL170" s="286">
        <v>0</v>
      </c>
      <c r="BM170" s="286">
        <v>0</v>
      </c>
      <c r="BN170" s="286"/>
      <c r="BO170" s="286">
        <v>0</v>
      </c>
      <c r="BP170" s="286">
        <v>0</v>
      </c>
      <c r="BQ170" s="286"/>
      <c r="BR170" s="286">
        <v>0</v>
      </c>
      <c r="BS170" s="286">
        <v>0</v>
      </c>
      <c r="BT170" s="286"/>
      <c r="BU170" s="286">
        <v>0</v>
      </c>
      <c r="BV170" s="286">
        <v>0</v>
      </c>
      <c r="BW170" s="286"/>
      <c r="BX170" s="286">
        <v>0</v>
      </c>
      <c r="BY170" s="286">
        <v>0</v>
      </c>
      <c r="BZ170" s="286"/>
      <c r="CA170" s="286">
        <v>0</v>
      </c>
      <c r="CB170" s="286">
        <v>0</v>
      </c>
      <c r="CC170" s="286"/>
      <c r="CD170" s="286">
        <v>0</v>
      </c>
      <c r="CE170" s="286">
        <v>0</v>
      </c>
      <c r="CF170" s="286"/>
      <c r="CG170" s="286">
        <v>107</v>
      </c>
      <c r="CH170" s="286">
        <v>129</v>
      </c>
      <c r="CI170" s="286"/>
      <c r="CJ170" s="286">
        <v>0</v>
      </c>
      <c r="CK170" s="286">
        <v>0</v>
      </c>
    </row>
    <row r="171" spans="1:89" x14ac:dyDescent="0.25">
      <c r="A171" s="95"/>
      <c r="B171" s="248" t="s">
        <v>1184</v>
      </c>
      <c r="C171" s="312"/>
      <c r="D171" s="95"/>
      <c r="E171" s="291"/>
      <c r="F171" s="291"/>
      <c r="G171" s="291"/>
      <c r="H171" s="291"/>
      <c r="I171" s="291"/>
      <c r="J171" s="291"/>
      <c r="K171" s="291"/>
      <c r="L171" s="291"/>
      <c r="M171" s="291"/>
      <c r="N171" s="291"/>
      <c r="O171" s="281"/>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row>
    <row r="172" spans="1:89" x14ac:dyDescent="0.25">
      <c r="A172" s="95"/>
      <c r="B172" s="267" t="s">
        <v>2034</v>
      </c>
      <c r="C172" s="312"/>
      <c r="D172" s="95"/>
      <c r="E172" s="291"/>
      <c r="F172" s="291"/>
      <c r="G172" s="291"/>
      <c r="H172" s="291"/>
      <c r="I172" s="291">
        <f t="shared" ref="I172:N172" si="356">I173+I174</f>
        <v>0</v>
      </c>
      <c r="J172" s="291">
        <f t="shared" si="356"/>
        <v>0</v>
      </c>
      <c r="K172" s="291">
        <f t="shared" si="356"/>
        <v>0</v>
      </c>
      <c r="L172" s="291">
        <f t="shared" si="356"/>
        <v>0</v>
      </c>
      <c r="M172" s="291">
        <f t="shared" si="356"/>
        <v>0</v>
      </c>
      <c r="N172" s="291">
        <f t="shared" si="356"/>
        <v>0</v>
      </c>
      <c r="O172" s="281"/>
      <c r="Q172" s="282">
        <f>Q173+Q174</f>
        <v>0</v>
      </c>
      <c r="R172" s="282">
        <f>R173+R174</f>
        <v>0</v>
      </c>
      <c r="S172" s="282">
        <f>S173+S174</f>
        <v>0</v>
      </c>
      <c r="T172" s="282">
        <f>T173+T174</f>
        <v>0</v>
      </c>
      <c r="U172" s="286"/>
      <c r="V172" s="282">
        <f>V173+V174</f>
        <v>0</v>
      </c>
      <c r="W172" s="282">
        <f>W173+W174</f>
        <v>0</v>
      </c>
      <c r="X172" s="286"/>
      <c r="Y172" s="282">
        <f>Y173+Y174</f>
        <v>0</v>
      </c>
      <c r="Z172" s="282">
        <f>Z173+Z174</f>
        <v>0</v>
      </c>
      <c r="AA172" s="286"/>
      <c r="AB172" s="282">
        <f>AB173+AB174</f>
        <v>0</v>
      </c>
      <c r="AC172" s="282">
        <f>AC173+AC174</f>
        <v>0</v>
      </c>
      <c r="AD172" s="286"/>
      <c r="AE172" s="282">
        <f>AE173+AE174</f>
        <v>0</v>
      </c>
      <c r="AF172" s="282">
        <f>AF173+AF174</f>
        <v>0</v>
      </c>
      <c r="AG172" s="286"/>
      <c r="AH172" s="282">
        <f>AH173+AH174</f>
        <v>0</v>
      </c>
      <c r="AI172" s="282">
        <f>AI173+AI174</f>
        <v>0</v>
      </c>
      <c r="AJ172" s="286"/>
      <c r="AK172" s="282">
        <f>AK173+AK174</f>
        <v>0</v>
      </c>
      <c r="AL172" s="282">
        <f>AL173+AL174</f>
        <v>0</v>
      </c>
      <c r="AM172" s="286"/>
      <c r="AN172" s="282">
        <f>AN173+AN174</f>
        <v>0</v>
      </c>
      <c r="AO172" s="282">
        <f>AO173+AO174</f>
        <v>0</v>
      </c>
      <c r="AP172" s="286"/>
      <c r="AQ172" s="282">
        <f>AQ173+AQ174</f>
        <v>0</v>
      </c>
      <c r="AR172" s="282">
        <f>AR173+AR174</f>
        <v>0</v>
      </c>
      <c r="AS172" s="286"/>
      <c r="AT172" s="282">
        <f>AT173+AT174</f>
        <v>0</v>
      </c>
      <c r="AU172" s="282">
        <f>AU173+AU174</f>
        <v>0</v>
      </c>
      <c r="AV172" s="286"/>
      <c r="AW172" s="282">
        <f>AW173+AW174</f>
        <v>0</v>
      </c>
      <c r="AX172" s="282">
        <f>AX173+AX174</f>
        <v>0</v>
      </c>
      <c r="AY172" s="286"/>
      <c r="AZ172" s="282">
        <f>AZ173+AZ174</f>
        <v>0</v>
      </c>
      <c r="BA172" s="282">
        <f>BA173+BA174</f>
        <v>0</v>
      </c>
      <c r="BB172" s="286"/>
      <c r="BC172" s="282">
        <f>BC173+BC174</f>
        <v>0</v>
      </c>
      <c r="BD172" s="282">
        <f>BD173+BD174</f>
        <v>0</v>
      </c>
      <c r="BE172" s="286"/>
      <c r="BF172" s="282">
        <f>BF173+BF174</f>
        <v>0</v>
      </c>
      <c r="BG172" s="282">
        <f>BG173+BG174</f>
        <v>0</v>
      </c>
      <c r="BH172" s="286"/>
      <c r="BI172" s="282">
        <f>BI173+BI174</f>
        <v>0</v>
      </c>
      <c r="BJ172" s="282">
        <f>BJ173+BJ174</f>
        <v>0</v>
      </c>
      <c r="BK172" s="286"/>
      <c r="BL172" s="282">
        <f>BL173+BL174</f>
        <v>0</v>
      </c>
      <c r="BM172" s="282">
        <f>BM173+BM174</f>
        <v>0</v>
      </c>
      <c r="BN172" s="286"/>
      <c r="BO172" s="282">
        <f>BO173+BO174</f>
        <v>0</v>
      </c>
      <c r="BP172" s="282">
        <f>BP173+BP174</f>
        <v>0</v>
      </c>
      <c r="BQ172" s="286"/>
      <c r="BR172" s="282">
        <f>BR173+BR174</f>
        <v>0</v>
      </c>
      <c r="BS172" s="282">
        <f>BS173+BS174</f>
        <v>0</v>
      </c>
      <c r="BT172" s="286"/>
      <c r="BU172" s="282">
        <f>BU173+BU174</f>
        <v>0</v>
      </c>
      <c r="BV172" s="282">
        <f>BV173+BV174</f>
        <v>0</v>
      </c>
      <c r="BW172" s="286"/>
      <c r="BX172" s="282">
        <f>BX173+BX174</f>
        <v>0</v>
      </c>
      <c r="BY172" s="282">
        <f>BY173+BY174</f>
        <v>0</v>
      </c>
      <c r="BZ172" s="286"/>
      <c r="CA172" s="282">
        <f>CA173+CA174</f>
        <v>0</v>
      </c>
      <c r="CB172" s="282">
        <f>CB173+CB174</f>
        <v>0</v>
      </c>
      <c r="CC172" s="286"/>
      <c r="CD172" s="282">
        <f>CD173+CD174</f>
        <v>0</v>
      </c>
      <c r="CE172" s="282">
        <f>CE173+CE174</f>
        <v>0</v>
      </c>
      <c r="CF172" s="286"/>
      <c r="CG172" s="282">
        <f>CG173+CG174</f>
        <v>0</v>
      </c>
      <c r="CH172" s="282">
        <f>CH173+CH174</f>
        <v>0</v>
      </c>
      <c r="CI172" s="286"/>
      <c r="CJ172" s="282">
        <f>CJ173+CJ174</f>
        <v>0</v>
      </c>
      <c r="CK172" s="282">
        <f>CK173+CK174</f>
        <v>0</v>
      </c>
    </row>
    <row r="173" spans="1:89" ht="30" x14ac:dyDescent="0.25">
      <c r="A173" s="95"/>
      <c r="B173" s="96" t="s">
        <v>1183</v>
      </c>
      <c r="C173" s="312" t="s">
        <v>2752</v>
      </c>
      <c r="D173" s="95" t="s">
        <v>950</v>
      </c>
      <c r="E173" s="291"/>
      <c r="F173" s="291"/>
      <c r="G173" s="291"/>
      <c r="H173" s="291"/>
      <c r="I173" s="291">
        <v>0</v>
      </c>
      <c r="J173" s="291">
        <v>0</v>
      </c>
      <c r="K173" s="291">
        <v>0</v>
      </c>
      <c r="L173" s="291">
        <v>0</v>
      </c>
      <c r="M173" s="291">
        <v>0</v>
      </c>
      <c r="N173" s="291">
        <v>0</v>
      </c>
      <c r="O173" s="281"/>
      <c r="Q173" s="286">
        <f>S173+V173+Y173+AB173+AE173+AH173+AK173+AN173+AQ173+AT173+AW173+AZ173+BC173+BF173+BI173+BL173+BO173+BR173+BU173+BX173+CA173+CD173+CG173+CJ173</f>
        <v>0</v>
      </c>
      <c r="R173" s="286">
        <f>T173+W173+Z173+AC173+AF173+AI173+AL173+AO173+AR173+AU173+AX173+BA173+BD173+BG173+BJ173+BM173+BP173+BS173+BV173+BY173+CB173+CE173+CH173+CK173</f>
        <v>0</v>
      </c>
      <c r="S173" s="286">
        <v>0</v>
      </c>
      <c r="T173" s="286">
        <v>0</v>
      </c>
      <c r="U173" s="286"/>
      <c r="V173" s="286">
        <v>0</v>
      </c>
      <c r="W173" s="286">
        <v>0</v>
      </c>
      <c r="X173" s="286"/>
      <c r="Y173" s="286">
        <v>0</v>
      </c>
      <c r="Z173" s="286">
        <v>0</v>
      </c>
      <c r="AA173" s="286"/>
      <c r="AB173" s="286">
        <v>0</v>
      </c>
      <c r="AC173" s="286">
        <v>0</v>
      </c>
      <c r="AD173" s="286"/>
      <c r="AE173" s="286">
        <v>0</v>
      </c>
      <c r="AF173" s="286">
        <v>0</v>
      </c>
      <c r="AG173" s="286"/>
      <c r="AH173" s="286">
        <v>0</v>
      </c>
      <c r="AI173" s="286">
        <v>0</v>
      </c>
      <c r="AJ173" s="286"/>
      <c r="AK173" s="286">
        <v>0</v>
      </c>
      <c r="AL173" s="286">
        <v>0</v>
      </c>
      <c r="AM173" s="286"/>
      <c r="AN173" s="286">
        <v>0</v>
      </c>
      <c r="AO173" s="286">
        <v>0</v>
      </c>
      <c r="AP173" s="286"/>
      <c r="AQ173" s="286">
        <v>0</v>
      </c>
      <c r="AR173" s="286">
        <v>0</v>
      </c>
      <c r="AS173" s="286"/>
      <c r="AT173" s="286">
        <v>0</v>
      </c>
      <c r="AU173" s="286">
        <v>0</v>
      </c>
      <c r="AV173" s="286"/>
      <c r="AW173" s="286">
        <v>0</v>
      </c>
      <c r="AX173" s="286">
        <v>0</v>
      </c>
      <c r="AY173" s="286"/>
      <c r="AZ173" s="286">
        <v>0</v>
      </c>
      <c r="BA173" s="286">
        <v>0</v>
      </c>
      <c r="BB173" s="286"/>
      <c r="BC173" s="286">
        <v>0</v>
      </c>
      <c r="BD173" s="286">
        <v>0</v>
      </c>
      <c r="BE173" s="286"/>
      <c r="BF173" s="286">
        <v>0</v>
      </c>
      <c r="BG173" s="286">
        <v>0</v>
      </c>
      <c r="BH173" s="286"/>
      <c r="BI173" s="286">
        <v>0</v>
      </c>
      <c r="BJ173" s="286">
        <v>0</v>
      </c>
      <c r="BK173" s="286"/>
      <c r="BL173" s="286">
        <v>0</v>
      </c>
      <c r="BM173" s="286">
        <v>0</v>
      </c>
      <c r="BN173" s="286"/>
      <c r="BO173" s="286">
        <v>0</v>
      </c>
      <c r="BP173" s="286">
        <v>0</v>
      </c>
      <c r="BQ173" s="286"/>
      <c r="BR173" s="286">
        <v>0</v>
      </c>
      <c r="BS173" s="286">
        <v>0</v>
      </c>
      <c r="BT173" s="286"/>
      <c r="BU173" s="286">
        <v>0</v>
      </c>
      <c r="BV173" s="286">
        <v>0</v>
      </c>
      <c r="BW173" s="286"/>
      <c r="BX173" s="286">
        <v>0</v>
      </c>
      <c r="BY173" s="286">
        <v>0</v>
      </c>
      <c r="BZ173" s="286"/>
      <c r="CA173" s="286">
        <v>0</v>
      </c>
      <c r="CB173" s="286">
        <v>0</v>
      </c>
      <c r="CC173" s="286"/>
      <c r="CD173" s="286">
        <v>0</v>
      </c>
      <c r="CE173" s="286">
        <v>0</v>
      </c>
      <c r="CF173" s="286"/>
      <c r="CG173" s="286">
        <v>0</v>
      </c>
      <c r="CH173" s="286">
        <v>0</v>
      </c>
      <c r="CI173" s="286"/>
      <c r="CJ173" s="286">
        <v>0</v>
      </c>
      <c r="CK173" s="286">
        <v>0</v>
      </c>
    </row>
    <row r="174" spans="1:89" ht="30" x14ac:dyDescent="0.25">
      <c r="A174" s="95"/>
      <c r="B174" s="96" t="s">
        <v>1185</v>
      </c>
      <c r="C174" s="312" t="s">
        <v>2752</v>
      </c>
      <c r="D174" s="95" t="s">
        <v>950</v>
      </c>
      <c r="E174" s="291"/>
      <c r="F174" s="291"/>
      <c r="G174" s="291"/>
      <c r="H174" s="291"/>
      <c r="I174" s="291">
        <v>0</v>
      </c>
      <c r="J174" s="291">
        <v>0</v>
      </c>
      <c r="K174" s="291">
        <v>0</v>
      </c>
      <c r="L174" s="291">
        <v>0</v>
      </c>
      <c r="M174" s="291">
        <v>0</v>
      </c>
      <c r="N174" s="291">
        <v>0</v>
      </c>
      <c r="O174" s="281"/>
      <c r="Q174" s="286">
        <f>S174+V174+Y174+AB174+AE174+AH174+AK174+AN174+AQ174+AT174+AW174+AZ174+BC174+BF174+BI174+BL174+BO174+BR174+BU174+BX174+CA174+CD174+CG174+CJ174</f>
        <v>0</v>
      </c>
      <c r="R174" s="286">
        <f>T174+W174+Z174+AC174+AF174+AI174+AL174+AO174+AR174+AU174+AX174+BA174+BD174+BG174+BJ174+BM174+BP174+BS174+BV174+BY174+CB174+CE174+CH174+CK174</f>
        <v>0</v>
      </c>
      <c r="S174" s="286">
        <v>0</v>
      </c>
      <c r="T174" s="286">
        <v>0</v>
      </c>
      <c r="U174" s="286"/>
      <c r="V174" s="286">
        <v>0</v>
      </c>
      <c r="W174" s="286">
        <v>0</v>
      </c>
      <c r="X174" s="286"/>
      <c r="Y174" s="286">
        <v>0</v>
      </c>
      <c r="Z174" s="286">
        <v>0</v>
      </c>
      <c r="AA174" s="286"/>
      <c r="AB174" s="286">
        <v>0</v>
      </c>
      <c r="AC174" s="286">
        <v>0</v>
      </c>
      <c r="AD174" s="286"/>
      <c r="AE174" s="286">
        <v>0</v>
      </c>
      <c r="AF174" s="286">
        <v>0</v>
      </c>
      <c r="AG174" s="286"/>
      <c r="AH174" s="286">
        <v>0</v>
      </c>
      <c r="AI174" s="286">
        <v>0</v>
      </c>
      <c r="AJ174" s="286"/>
      <c r="AK174" s="286">
        <v>0</v>
      </c>
      <c r="AL174" s="286">
        <v>0</v>
      </c>
      <c r="AM174" s="286"/>
      <c r="AN174" s="286">
        <v>0</v>
      </c>
      <c r="AO174" s="286">
        <v>0</v>
      </c>
      <c r="AP174" s="286"/>
      <c r="AQ174" s="286">
        <v>0</v>
      </c>
      <c r="AR174" s="286">
        <v>0</v>
      </c>
      <c r="AS174" s="286"/>
      <c r="AT174" s="286">
        <v>0</v>
      </c>
      <c r="AU174" s="286">
        <v>0</v>
      </c>
      <c r="AV174" s="286"/>
      <c r="AW174" s="286">
        <v>0</v>
      </c>
      <c r="AX174" s="286">
        <v>0</v>
      </c>
      <c r="AY174" s="286"/>
      <c r="AZ174" s="286">
        <v>0</v>
      </c>
      <c r="BA174" s="286">
        <v>0</v>
      </c>
      <c r="BB174" s="286"/>
      <c r="BC174" s="286">
        <v>0</v>
      </c>
      <c r="BD174" s="286">
        <v>0</v>
      </c>
      <c r="BE174" s="286"/>
      <c r="BF174" s="286">
        <v>0</v>
      </c>
      <c r="BG174" s="286">
        <v>0</v>
      </c>
      <c r="BH174" s="286"/>
      <c r="BI174" s="286">
        <v>0</v>
      </c>
      <c r="BJ174" s="286">
        <v>0</v>
      </c>
      <c r="BK174" s="286"/>
      <c r="BL174" s="286">
        <v>0</v>
      </c>
      <c r="BM174" s="286">
        <v>0</v>
      </c>
      <c r="BN174" s="286"/>
      <c r="BO174" s="286">
        <v>0</v>
      </c>
      <c r="BP174" s="286">
        <v>0</v>
      </c>
      <c r="BQ174" s="286"/>
      <c r="BR174" s="286">
        <v>0</v>
      </c>
      <c r="BS174" s="286">
        <v>0</v>
      </c>
      <c r="BT174" s="286"/>
      <c r="BU174" s="286">
        <v>0</v>
      </c>
      <c r="BV174" s="286">
        <v>0</v>
      </c>
      <c r="BW174" s="286"/>
      <c r="BX174" s="286">
        <v>0</v>
      </c>
      <c r="BY174" s="286">
        <v>0</v>
      </c>
      <c r="BZ174" s="286"/>
      <c r="CA174" s="286">
        <v>0</v>
      </c>
      <c r="CB174" s="286">
        <v>0</v>
      </c>
      <c r="CC174" s="286"/>
      <c r="CD174" s="286">
        <v>0</v>
      </c>
      <c r="CE174" s="286">
        <v>0</v>
      </c>
      <c r="CF174" s="286"/>
      <c r="CG174" s="286">
        <v>0</v>
      </c>
      <c r="CH174" s="286">
        <v>0</v>
      </c>
      <c r="CI174" s="286"/>
      <c r="CJ174" s="286">
        <v>0</v>
      </c>
      <c r="CK174" s="286">
        <v>0</v>
      </c>
    </row>
    <row r="175" spans="1:89" x14ac:dyDescent="0.25">
      <c r="A175" s="95"/>
      <c r="B175" s="248" t="s">
        <v>2033</v>
      </c>
      <c r="C175" s="312"/>
      <c r="D175" s="95"/>
      <c r="E175" s="291"/>
      <c r="F175" s="291"/>
      <c r="G175" s="291"/>
      <c r="H175" s="291"/>
      <c r="I175" s="291">
        <f t="shared" ref="I175:N175" si="357">I176+I177</f>
        <v>0</v>
      </c>
      <c r="J175" s="291">
        <f t="shared" si="357"/>
        <v>0</v>
      </c>
      <c r="K175" s="291">
        <f t="shared" si="357"/>
        <v>0</v>
      </c>
      <c r="L175" s="291">
        <f t="shared" si="357"/>
        <v>0</v>
      </c>
      <c r="M175" s="291">
        <f t="shared" si="357"/>
        <v>0</v>
      </c>
      <c r="N175" s="291">
        <f t="shared" si="357"/>
        <v>0</v>
      </c>
      <c r="O175" s="281"/>
      <c r="Q175" s="282">
        <f>Q176+Q177</f>
        <v>0</v>
      </c>
      <c r="R175" s="282">
        <f>R176+R177</f>
        <v>0</v>
      </c>
      <c r="S175" s="282">
        <f>S176+S177</f>
        <v>0</v>
      </c>
      <c r="T175" s="282">
        <f>T176+T177</f>
        <v>0</v>
      </c>
      <c r="U175" s="286"/>
      <c r="V175" s="282">
        <f>V176+V177</f>
        <v>0</v>
      </c>
      <c r="W175" s="282">
        <f>W176+W177</f>
        <v>0</v>
      </c>
      <c r="X175" s="286"/>
      <c r="Y175" s="282">
        <f>Y176+Y177</f>
        <v>0</v>
      </c>
      <c r="Z175" s="282">
        <f>Z176+Z177</f>
        <v>0</v>
      </c>
      <c r="AA175" s="286"/>
      <c r="AB175" s="282">
        <f>AB176+AB177</f>
        <v>0</v>
      </c>
      <c r="AC175" s="282">
        <f>AC176+AC177</f>
        <v>0</v>
      </c>
      <c r="AD175" s="286"/>
      <c r="AE175" s="282">
        <f>AE176+AE177</f>
        <v>0</v>
      </c>
      <c r="AF175" s="282">
        <f>AF176+AF177</f>
        <v>0</v>
      </c>
      <c r="AG175" s="286"/>
      <c r="AH175" s="282">
        <f>AH176+AH177</f>
        <v>0</v>
      </c>
      <c r="AI175" s="282">
        <f>AI176+AI177</f>
        <v>0</v>
      </c>
      <c r="AJ175" s="286"/>
      <c r="AK175" s="282">
        <f>AK176+AK177</f>
        <v>0</v>
      </c>
      <c r="AL175" s="282">
        <f>AL176+AL177</f>
        <v>0</v>
      </c>
      <c r="AM175" s="286"/>
      <c r="AN175" s="282">
        <f>AN176+AN177</f>
        <v>0</v>
      </c>
      <c r="AO175" s="282">
        <f>AO176+AO177</f>
        <v>0</v>
      </c>
      <c r="AP175" s="286"/>
      <c r="AQ175" s="282">
        <f>AQ176+AQ177</f>
        <v>0</v>
      </c>
      <c r="AR175" s="282">
        <f>AR176+AR177</f>
        <v>0</v>
      </c>
      <c r="AS175" s="286"/>
      <c r="AT175" s="282">
        <f>AT176+AT177</f>
        <v>0</v>
      </c>
      <c r="AU175" s="282">
        <f>AU176+AU177</f>
        <v>0</v>
      </c>
      <c r="AV175" s="286"/>
      <c r="AW175" s="282">
        <f>AW176+AW177</f>
        <v>0</v>
      </c>
      <c r="AX175" s="282">
        <f>AX176+AX177</f>
        <v>0</v>
      </c>
      <c r="AY175" s="286"/>
      <c r="AZ175" s="282">
        <f>AZ176+AZ177</f>
        <v>0</v>
      </c>
      <c r="BA175" s="282">
        <f>BA176+BA177</f>
        <v>0</v>
      </c>
      <c r="BB175" s="286"/>
      <c r="BC175" s="282">
        <f>BC176+BC177</f>
        <v>0</v>
      </c>
      <c r="BD175" s="282">
        <f>BD176+BD177</f>
        <v>0</v>
      </c>
      <c r="BE175" s="286"/>
      <c r="BF175" s="282">
        <f>BF176+BF177</f>
        <v>0</v>
      </c>
      <c r="BG175" s="282">
        <f>BG176+BG177</f>
        <v>0</v>
      </c>
      <c r="BH175" s="286"/>
      <c r="BI175" s="282">
        <f>BI176+BI177</f>
        <v>0</v>
      </c>
      <c r="BJ175" s="282">
        <f>BJ176+BJ177</f>
        <v>0</v>
      </c>
      <c r="BK175" s="286"/>
      <c r="BL175" s="282">
        <f>BL176+BL177</f>
        <v>0</v>
      </c>
      <c r="BM175" s="282">
        <f>BM176+BM177</f>
        <v>0</v>
      </c>
      <c r="BN175" s="286"/>
      <c r="BO175" s="282">
        <f>BO176+BO177</f>
        <v>0</v>
      </c>
      <c r="BP175" s="282">
        <f>BP176+BP177</f>
        <v>0</v>
      </c>
      <c r="BQ175" s="286"/>
      <c r="BR175" s="282">
        <f>BR176+BR177</f>
        <v>0</v>
      </c>
      <c r="BS175" s="282">
        <f>BS176+BS177</f>
        <v>0</v>
      </c>
      <c r="BT175" s="286"/>
      <c r="BU175" s="282">
        <f>BU176+BU177</f>
        <v>0</v>
      </c>
      <c r="BV175" s="282">
        <f>BV176+BV177</f>
        <v>0</v>
      </c>
      <c r="BW175" s="286"/>
      <c r="BX175" s="282">
        <f>BX176+BX177</f>
        <v>0</v>
      </c>
      <c r="BY175" s="282">
        <f>BY176+BY177</f>
        <v>0</v>
      </c>
      <c r="BZ175" s="286"/>
      <c r="CA175" s="282">
        <f>CA176+CA177</f>
        <v>0</v>
      </c>
      <c r="CB175" s="282">
        <f>CB176+CB177</f>
        <v>0</v>
      </c>
      <c r="CC175" s="286"/>
      <c r="CD175" s="282">
        <f>CD176+CD177</f>
        <v>0</v>
      </c>
      <c r="CE175" s="282">
        <f>CE176+CE177</f>
        <v>0</v>
      </c>
      <c r="CF175" s="286"/>
      <c r="CG175" s="282">
        <f>CG176+CG177</f>
        <v>0</v>
      </c>
      <c r="CH175" s="282">
        <f>CH176+CH177</f>
        <v>0</v>
      </c>
      <c r="CI175" s="286"/>
      <c r="CJ175" s="282">
        <f>CJ176+CJ177</f>
        <v>0</v>
      </c>
      <c r="CK175" s="282">
        <f>CK176+CK177</f>
        <v>0</v>
      </c>
    </row>
    <row r="176" spans="1:89" ht="30" x14ac:dyDescent="0.25">
      <c r="A176" s="95"/>
      <c r="B176" s="96" t="s">
        <v>1183</v>
      </c>
      <c r="C176" s="312" t="s">
        <v>2752</v>
      </c>
      <c r="D176" s="95" t="s">
        <v>950</v>
      </c>
      <c r="E176" s="291"/>
      <c r="F176" s="291"/>
      <c r="G176" s="291"/>
      <c r="H176" s="291"/>
      <c r="I176" s="291">
        <v>0</v>
      </c>
      <c r="J176" s="291">
        <v>0</v>
      </c>
      <c r="K176" s="291">
        <v>0</v>
      </c>
      <c r="L176" s="291">
        <v>0</v>
      </c>
      <c r="M176" s="291">
        <v>0</v>
      </c>
      <c r="N176" s="291">
        <v>0</v>
      </c>
      <c r="O176" s="281"/>
      <c r="Q176" s="286">
        <f>S176+V176+Y176+AB176+AE176+AH176+AK176+AN176+AQ176+AT176+AW176+AZ176+BC176+BF176+BI176+BL176+BO176+BR176+BU176+BX176+CA176+CD176+CG176+CJ176</f>
        <v>0</v>
      </c>
      <c r="R176" s="286">
        <f>T176+W176+Z176+AC176+AF176+AI176+AL176+AO176+AR176+AU176+AX176+BA176+BD176+BG176+BJ176+BM176+BP176+BS176+BV176+BY176+CB176+CE176+CH176+CK176</f>
        <v>0</v>
      </c>
      <c r="S176" s="286">
        <v>0</v>
      </c>
      <c r="T176" s="286">
        <v>0</v>
      </c>
      <c r="U176" s="286"/>
      <c r="V176" s="286">
        <v>0</v>
      </c>
      <c r="W176" s="286">
        <v>0</v>
      </c>
      <c r="X176" s="286"/>
      <c r="Y176" s="286">
        <v>0</v>
      </c>
      <c r="Z176" s="286">
        <v>0</v>
      </c>
      <c r="AA176" s="286"/>
      <c r="AB176" s="286">
        <v>0</v>
      </c>
      <c r="AC176" s="286">
        <v>0</v>
      </c>
      <c r="AD176" s="286"/>
      <c r="AE176" s="286">
        <v>0</v>
      </c>
      <c r="AF176" s="286">
        <v>0</v>
      </c>
      <c r="AG176" s="286"/>
      <c r="AH176" s="286">
        <v>0</v>
      </c>
      <c r="AI176" s="286">
        <v>0</v>
      </c>
      <c r="AJ176" s="286"/>
      <c r="AK176" s="286">
        <v>0</v>
      </c>
      <c r="AL176" s="286">
        <v>0</v>
      </c>
      <c r="AM176" s="286"/>
      <c r="AN176" s="286">
        <v>0</v>
      </c>
      <c r="AO176" s="286">
        <v>0</v>
      </c>
      <c r="AP176" s="286"/>
      <c r="AQ176" s="286">
        <v>0</v>
      </c>
      <c r="AR176" s="286">
        <v>0</v>
      </c>
      <c r="AS176" s="286"/>
      <c r="AT176" s="286">
        <v>0</v>
      </c>
      <c r="AU176" s="286">
        <v>0</v>
      </c>
      <c r="AV176" s="286"/>
      <c r="AW176" s="286">
        <v>0</v>
      </c>
      <c r="AX176" s="286">
        <v>0</v>
      </c>
      <c r="AY176" s="286"/>
      <c r="AZ176" s="286">
        <v>0</v>
      </c>
      <c r="BA176" s="286">
        <v>0</v>
      </c>
      <c r="BB176" s="286"/>
      <c r="BC176" s="286">
        <v>0</v>
      </c>
      <c r="BD176" s="286">
        <v>0</v>
      </c>
      <c r="BE176" s="286"/>
      <c r="BF176" s="286">
        <v>0</v>
      </c>
      <c r="BG176" s="286">
        <v>0</v>
      </c>
      <c r="BH176" s="286"/>
      <c r="BI176" s="286">
        <v>0</v>
      </c>
      <c r="BJ176" s="286">
        <v>0</v>
      </c>
      <c r="BK176" s="286"/>
      <c r="BL176" s="286">
        <v>0</v>
      </c>
      <c r="BM176" s="286">
        <v>0</v>
      </c>
      <c r="BN176" s="286"/>
      <c r="BO176" s="286">
        <v>0</v>
      </c>
      <c r="BP176" s="286">
        <v>0</v>
      </c>
      <c r="BQ176" s="286"/>
      <c r="BR176" s="286">
        <v>0</v>
      </c>
      <c r="BS176" s="286">
        <v>0</v>
      </c>
      <c r="BT176" s="286"/>
      <c r="BU176" s="286">
        <v>0</v>
      </c>
      <c r="BV176" s="286">
        <v>0</v>
      </c>
      <c r="BW176" s="286"/>
      <c r="BX176" s="286">
        <v>0</v>
      </c>
      <c r="BY176" s="286">
        <v>0</v>
      </c>
      <c r="BZ176" s="286"/>
      <c r="CA176" s="286">
        <v>0</v>
      </c>
      <c r="CB176" s="286">
        <v>0</v>
      </c>
      <c r="CC176" s="286"/>
      <c r="CD176" s="286">
        <v>0</v>
      </c>
      <c r="CE176" s="286">
        <v>0</v>
      </c>
      <c r="CF176" s="286"/>
      <c r="CG176" s="286">
        <v>0</v>
      </c>
      <c r="CH176" s="286">
        <v>0</v>
      </c>
      <c r="CI176" s="286"/>
      <c r="CJ176" s="286">
        <v>0</v>
      </c>
      <c r="CK176" s="286">
        <v>0</v>
      </c>
    </row>
    <row r="177" spans="1:89" ht="30" x14ac:dyDescent="0.25">
      <c r="A177" s="95"/>
      <c r="B177" s="96" t="s">
        <v>1185</v>
      </c>
      <c r="C177" s="312" t="s">
        <v>2752</v>
      </c>
      <c r="D177" s="95" t="s">
        <v>950</v>
      </c>
      <c r="E177" s="291"/>
      <c r="F177" s="291"/>
      <c r="G177" s="291"/>
      <c r="H177" s="291"/>
      <c r="I177" s="291">
        <v>0</v>
      </c>
      <c r="J177" s="291">
        <v>0</v>
      </c>
      <c r="K177" s="291">
        <v>0</v>
      </c>
      <c r="L177" s="291">
        <v>0</v>
      </c>
      <c r="M177" s="291">
        <v>0</v>
      </c>
      <c r="N177" s="291">
        <v>0</v>
      </c>
      <c r="O177" s="281"/>
      <c r="Q177" s="286">
        <f>S177+V177+Y177+AB177+AE177+AH177+AK177+AN177+AQ177+AT177+AW177+AZ177+BC177+BF177+BI177+BL177+BO177+BR177+BU177+BX177+CA177+CD177+CG177+CJ177</f>
        <v>0</v>
      </c>
      <c r="R177" s="286">
        <f>T177+W177+Z177+AC177+AF177+AI177+AL177+AO177+AR177+AU177+AX177+BA177+BD177+BG177+BJ177+BM177+BP177+BS177+BV177+BY177+CB177+CE177+CH177+CK177</f>
        <v>0</v>
      </c>
      <c r="S177" s="286">
        <v>0</v>
      </c>
      <c r="T177" s="286">
        <v>0</v>
      </c>
      <c r="U177" s="286"/>
      <c r="V177" s="286">
        <v>0</v>
      </c>
      <c r="W177" s="286">
        <v>0</v>
      </c>
      <c r="X177" s="286"/>
      <c r="Y177" s="286">
        <v>0</v>
      </c>
      <c r="Z177" s="286">
        <v>0</v>
      </c>
      <c r="AA177" s="286"/>
      <c r="AB177" s="286">
        <v>0</v>
      </c>
      <c r="AC177" s="286">
        <v>0</v>
      </c>
      <c r="AD177" s="286"/>
      <c r="AE177" s="286">
        <v>0</v>
      </c>
      <c r="AF177" s="286">
        <v>0</v>
      </c>
      <c r="AG177" s="286"/>
      <c r="AH177" s="286">
        <v>0</v>
      </c>
      <c r="AI177" s="286">
        <v>0</v>
      </c>
      <c r="AJ177" s="286"/>
      <c r="AK177" s="286">
        <v>0</v>
      </c>
      <c r="AL177" s="286">
        <v>0</v>
      </c>
      <c r="AM177" s="286"/>
      <c r="AN177" s="286">
        <v>0</v>
      </c>
      <c r="AO177" s="286">
        <v>0</v>
      </c>
      <c r="AP177" s="286"/>
      <c r="AQ177" s="286">
        <v>0</v>
      </c>
      <c r="AR177" s="286">
        <v>0</v>
      </c>
      <c r="AS177" s="286"/>
      <c r="AT177" s="286">
        <v>0</v>
      </c>
      <c r="AU177" s="286">
        <v>0</v>
      </c>
      <c r="AV177" s="286"/>
      <c r="AW177" s="286">
        <v>0</v>
      </c>
      <c r="AX177" s="286">
        <v>0</v>
      </c>
      <c r="AY177" s="286"/>
      <c r="AZ177" s="286">
        <v>0</v>
      </c>
      <c r="BA177" s="286">
        <v>0</v>
      </c>
      <c r="BB177" s="286"/>
      <c r="BC177" s="286">
        <v>0</v>
      </c>
      <c r="BD177" s="286">
        <v>0</v>
      </c>
      <c r="BE177" s="286"/>
      <c r="BF177" s="286">
        <v>0</v>
      </c>
      <c r="BG177" s="286">
        <v>0</v>
      </c>
      <c r="BH177" s="286"/>
      <c r="BI177" s="286">
        <v>0</v>
      </c>
      <c r="BJ177" s="286">
        <v>0</v>
      </c>
      <c r="BK177" s="286"/>
      <c r="BL177" s="286">
        <v>0</v>
      </c>
      <c r="BM177" s="286">
        <v>0</v>
      </c>
      <c r="BN177" s="286"/>
      <c r="BO177" s="286">
        <v>0</v>
      </c>
      <c r="BP177" s="286">
        <v>0</v>
      </c>
      <c r="BQ177" s="286"/>
      <c r="BR177" s="286">
        <v>0</v>
      </c>
      <c r="BS177" s="286">
        <v>0</v>
      </c>
      <c r="BT177" s="286"/>
      <c r="BU177" s="286">
        <v>0</v>
      </c>
      <c r="BV177" s="286">
        <v>0</v>
      </c>
      <c r="BW177" s="286"/>
      <c r="BX177" s="286">
        <v>0</v>
      </c>
      <c r="BY177" s="286">
        <v>0</v>
      </c>
      <c r="BZ177" s="286"/>
      <c r="CA177" s="286">
        <v>0</v>
      </c>
      <c r="CB177" s="286">
        <v>0</v>
      </c>
      <c r="CC177" s="286"/>
      <c r="CD177" s="286">
        <v>0</v>
      </c>
      <c r="CE177" s="286">
        <v>0</v>
      </c>
      <c r="CF177" s="286"/>
      <c r="CG177" s="286">
        <v>0</v>
      </c>
      <c r="CH177" s="286">
        <v>0</v>
      </c>
      <c r="CI177" s="286"/>
      <c r="CJ177" s="286">
        <v>0</v>
      </c>
      <c r="CK177" s="286">
        <v>0</v>
      </c>
    </row>
    <row r="178" spans="1:89" ht="90" x14ac:dyDescent="0.25">
      <c r="A178" s="95" t="s">
        <v>1657</v>
      </c>
      <c r="B178" s="96" t="s">
        <v>1658</v>
      </c>
      <c r="C178" s="312"/>
      <c r="D178" s="95" t="s">
        <v>8</v>
      </c>
      <c r="E178" s="291"/>
      <c r="F178" s="291"/>
      <c r="G178" s="291"/>
      <c r="H178" s="291"/>
      <c r="I178" s="291"/>
      <c r="J178" s="291"/>
      <c r="K178" s="291"/>
      <c r="L178" s="291"/>
      <c r="M178" s="291"/>
      <c r="N178" s="291"/>
      <c r="O178" s="281" t="s">
        <v>94</v>
      </c>
    </row>
    <row r="179" spans="1:89" x14ac:dyDescent="0.25">
      <c r="A179" s="95"/>
      <c r="B179" s="248"/>
      <c r="C179" s="312"/>
      <c r="D179" s="95"/>
      <c r="E179" s="291"/>
      <c r="F179" s="291"/>
      <c r="G179" s="291"/>
      <c r="H179" s="291"/>
      <c r="I179" s="291"/>
      <c r="J179" s="291"/>
      <c r="K179" s="291"/>
      <c r="L179" s="291"/>
      <c r="M179" s="291"/>
      <c r="N179" s="291"/>
      <c r="O179" s="281"/>
    </row>
    <row r="180" spans="1:89" x14ac:dyDescent="0.25">
      <c r="A180" s="95"/>
      <c r="B180" s="248"/>
      <c r="C180" s="312"/>
      <c r="D180" s="95"/>
      <c r="E180" s="291"/>
      <c r="F180" s="291"/>
      <c r="G180" s="291"/>
      <c r="H180" s="291"/>
      <c r="I180" s="291"/>
      <c r="J180" s="291"/>
      <c r="K180" s="291"/>
      <c r="L180" s="291"/>
      <c r="M180" s="291"/>
      <c r="N180" s="291"/>
      <c r="O180" s="281"/>
    </row>
    <row r="181" spans="1:89" ht="45" x14ac:dyDescent="0.25">
      <c r="A181" s="105" t="s">
        <v>143</v>
      </c>
      <c r="B181" s="290" t="s">
        <v>142</v>
      </c>
      <c r="C181" s="107"/>
      <c r="D181" s="95"/>
      <c r="E181" s="291"/>
      <c r="F181" s="291"/>
      <c r="G181" s="291"/>
      <c r="H181" s="291"/>
      <c r="I181" s="291"/>
      <c r="J181" s="291"/>
      <c r="K181" s="291"/>
      <c r="L181" s="291"/>
      <c r="M181" s="291"/>
      <c r="N181" s="291"/>
    </row>
    <row r="182" spans="1:89" ht="75" hidden="1" x14ac:dyDescent="0.25">
      <c r="A182" s="95" t="s">
        <v>151</v>
      </c>
      <c r="B182" s="16" t="s">
        <v>144</v>
      </c>
      <c r="C182" s="107"/>
      <c r="D182" s="95"/>
      <c r="E182" s="279"/>
      <c r="F182" s="279"/>
      <c r="G182" s="279"/>
      <c r="H182" s="279"/>
      <c r="I182" s="279"/>
      <c r="J182" s="279"/>
      <c r="K182" s="279"/>
      <c r="L182" s="279"/>
      <c r="M182" s="279"/>
      <c r="N182" s="279"/>
      <c r="O182" s="281" t="s">
        <v>150</v>
      </c>
    </row>
    <row r="183" spans="1:89" hidden="1" x14ac:dyDescent="0.25">
      <c r="A183" s="95"/>
      <c r="B183" s="96" t="s">
        <v>1182</v>
      </c>
      <c r="C183" s="107"/>
      <c r="D183" s="95" t="s">
        <v>8</v>
      </c>
      <c r="E183" s="279">
        <f t="shared" ref="E183:I184" si="358">(E186+E189)/E192*100</f>
        <v>25.376321881555064</v>
      </c>
      <c r="F183" s="279">
        <f t="shared" si="358"/>
        <v>24.333633141103643</v>
      </c>
      <c r="G183" s="279">
        <f t="shared" si="358"/>
        <v>24.956696566656355</v>
      </c>
      <c r="H183" s="279">
        <f t="shared" si="358"/>
        <v>20.460849688500669</v>
      </c>
      <c r="I183" s="279">
        <f t="shared" si="358"/>
        <v>20.197845090075621</v>
      </c>
      <c r="J183" s="279">
        <f t="shared" ref="J183:M184" si="359">(J186+J189)/J192*100</f>
        <v>20.197845090075621</v>
      </c>
      <c r="K183" s="279">
        <f t="shared" si="359"/>
        <v>20.197845090075621</v>
      </c>
      <c r="L183" s="279">
        <f t="shared" si="359"/>
        <v>20.197845090075621</v>
      </c>
      <c r="M183" s="279">
        <f t="shared" si="359"/>
        <v>20.197845090075621</v>
      </c>
      <c r="N183" s="279">
        <f t="shared" ref="N183" si="360">(N186+N189)/N192*100</f>
        <v>20.197845090075621</v>
      </c>
      <c r="O183" s="281"/>
    </row>
    <row r="184" spans="1:89" hidden="1" x14ac:dyDescent="0.25">
      <c r="A184" s="95"/>
      <c r="B184" s="96" t="s">
        <v>1183</v>
      </c>
      <c r="C184" s="107"/>
      <c r="D184" s="95" t="s">
        <v>8</v>
      </c>
      <c r="E184" s="279">
        <f t="shared" si="358"/>
        <v>26.770592304572887</v>
      </c>
      <c r="F184" s="279">
        <f t="shared" si="358"/>
        <v>25.585816375617981</v>
      </c>
      <c r="G184" s="279">
        <f t="shared" si="358"/>
        <v>26.236020358646218</v>
      </c>
      <c r="H184" s="279">
        <f t="shared" si="358"/>
        <v>21.30996861862107</v>
      </c>
      <c r="I184" s="279">
        <f t="shared" si="358"/>
        <v>21.072155455216109</v>
      </c>
      <c r="J184" s="279">
        <f t="shared" si="359"/>
        <v>21.072155455216109</v>
      </c>
      <c r="K184" s="279">
        <f t="shared" si="359"/>
        <v>21.072155455216109</v>
      </c>
      <c r="L184" s="279">
        <f t="shared" si="359"/>
        <v>21.072155455216109</v>
      </c>
      <c r="M184" s="279">
        <f t="shared" si="359"/>
        <v>21.072155455216109</v>
      </c>
      <c r="N184" s="279">
        <f t="shared" ref="N184" si="361">(N187+N190)/N193*100</f>
        <v>21.072155455216109</v>
      </c>
      <c r="O184" s="281"/>
    </row>
    <row r="185" spans="1:89" hidden="1" x14ac:dyDescent="0.25">
      <c r="A185" s="95"/>
      <c r="B185" s="96" t="s">
        <v>1185</v>
      </c>
      <c r="C185" s="107"/>
      <c r="D185" s="95" t="s">
        <v>8</v>
      </c>
      <c r="E185" s="279">
        <f t="shared" ref="E185:J185" si="362">(E188+E191)/E197*100</f>
        <v>11.062813762703563</v>
      </c>
      <c r="F185" s="279">
        <f t="shared" si="362"/>
        <v>11.218357311965034</v>
      </c>
      <c r="G185" s="279">
        <f t="shared" si="362"/>
        <v>11.427377968731351</v>
      </c>
      <c r="H185" s="279">
        <f t="shared" si="362"/>
        <v>11.242324043457723</v>
      </c>
      <c r="I185" s="279">
        <f t="shared" si="362"/>
        <v>10.60397290159605</v>
      </c>
      <c r="J185" s="279">
        <f t="shared" si="362"/>
        <v>10.60397290159605</v>
      </c>
      <c r="K185" s="279">
        <f>(K188+K191)/K197*100</f>
        <v>10.60397290159605</v>
      </c>
      <c r="L185" s="279">
        <f>(L188+L191)/L197*100</f>
        <v>10.60397290159605</v>
      </c>
      <c r="M185" s="279">
        <f>(M188+M191)/M197*100</f>
        <v>10.60397290159605</v>
      </c>
      <c r="N185" s="279">
        <f>(N188+N191)/N197*100</f>
        <v>10.60397290159605</v>
      </c>
      <c r="O185" s="281"/>
    </row>
    <row r="186" spans="1:89" ht="90" hidden="1" x14ac:dyDescent="0.25">
      <c r="A186" s="107"/>
      <c r="B186" s="16" t="s">
        <v>145</v>
      </c>
      <c r="C186" s="95" t="s">
        <v>146</v>
      </c>
      <c r="D186" s="95" t="s">
        <v>950</v>
      </c>
      <c r="E186" s="282">
        <f t="shared" ref="E186:J186" si="363">E187+E188</f>
        <v>46697</v>
      </c>
      <c r="F186" s="282">
        <f t="shared" si="363"/>
        <v>45993</v>
      </c>
      <c r="G186" s="282">
        <f t="shared" si="363"/>
        <v>48411</v>
      </c>
      <c r="H186" s="282">
        <f t="shared" si="363"/>
        <v>41086</v>
      </c>
      <c r="I186" s="282">
        <f t="shared" si="363"/>
        <v>42122</v>
      </c>
      <c r="J186" s="282">
        <f t="shared" si="363"/>
        <v>42122</v>
      </c>
      <c r="K186" s="282">
        <f>K187+K188</f>
        <v>42122</v>
      </c>
      <c r="L186" s="282">
        <f>L187+L188</f>
        <v>42122</v>
      </c>
      <c r="M186" s="282">
        <f>M187+M188</f>
        <v>42122</v>
      </c>
      <c r="N186" s="282">
        <f>N187+N188</f>
        <v>42122</v>
      </c>
    </row>
    <row r="187" spans="1:89" ht="30" hidden="1" x14ac:dyDescent="0.25">
      <c r="A187" s="107"/>
      <c r="B187" s="96" t="s">
        <v>1183</v>
      </c>
      <c r="C187" s="95" t="s">
        <v>1492</v>
      </c>
      <c r="D187" s="95" t="s">
        <v>950</v>
      </c>
      <c r="E187" s="282">
        <v>44890</v>
      </c>
      <c r="F187" s="282">
        <v>44145</v>
      </c>
      <c r="G187" s="282">
        <v>46496</v>
      </c>
      <c r="H187" s="282">
        <v>39182</v>
      </c>
      <c r="I187" s="282">
        <v>40275</v>
      </c>
      <c r="J187" s="282">
        <v>40275</v>
      </c>
      <c r="K187" s="282">
        <v>40275</v>
      </c>
      <c r="L187" s="282">
        <v>40275</v>
      </c>
      <c r="M187" s="282">
        <v>40275</v>
      </c>
      <c r="N187" s="282">
        <v>40275</v>
      </c>
    </row>
    <row r="188" spans="1:89" ht="30" hidden="1" x14ac:dyDescent="0.25">
      <c r="A188" s="107"/>
      <c r="B188" s="96" t="s">
        <v>1185</v>
      </c>
      <c r="C188" s="95" t="s">
        <v>1492</v>
      </c>
      <c r="D188" s="95" t="s">
        <v>950</v>
      </c>
      <c r="E188" s="282">
        <v>1807</v>
      </c>
      <c r="F188" s="282">
        <v>1848</v>
      </c>
      <c r="G188" s="282">
        <v>1915</v>
      </c>
      <c r="H188" s="282">
        <v>1904</v>
      </c>
      <c r="I188" s="282">
        <v>1847</v>
      </c>
      <c r="J188" s="282">
        <v>1847</v>
      </c>
      <c r="K188" s="282">
        <v>1847</v>
      </c>
      <c r="L188" s="282">
        <v>1847</v>
      </c>
      <c r="M188" s="282">
        <v>1847</v>
      </c>
      <c r="N188" s="282">
        <v>1847</v>
      </c>
    </row>
    <row r="189" spans="1:89" ht="90" hidden="1" x14ac:dyDescent="0.25">
      <c r="A189" s="107"/>
      <c r="B189" s="16" t="s">
        <v>147</v>
      </c>
      <c r="C189" s="95" t="s">
        <v>148</v>
      </c>
      <c r="D189" s="95" t="s">
        <v>950</v>
      </c>
      <c r="E189" s="282">
        <f t="shared" ref="E189:J189" si="364">E190+E191</f>
        <v>0</v>
      </c>
      <c r="F189" s="282">
        <f t="shared" si="364"/>
        <v>0</v>
      </c>
      <c r="G189" s="282">
        <f t="shared" si="364"/>
        <v>0</v>
      </c>
      <c r="H189" s="282">
        <f t="shared" si="364"/>
        <v>0</v>
      </c>
      <c r="I189" s="282">
        <f t="shared" si="364"/>
        <v>0</v>
      </c>
      <c r="J189" s="282">
        <f t="shared" si="364"/>
        <v>0</v>
      </c>
      <c r="K189" s="282">
        <f>K190+K191</f>
        <v>0</v>
      </c>
      <c r="L189" s="282">
        <f>L190+L191</f>
        <v>0</v>
      </c>
      <c r="M189" s="282">
        <f>M190+M191</f>
        <v>0</v>
      </c>
      <c r="N189" s="282">
        <f>N190+N191</f>
        <v>0</v>
      </c>
    </row>
    <row r="190" spans="1:89" ht="30" hidden="1" x14ac:dyDescent="0.25">
      <c r="A190" s="107"/>
      <c r="B190" s="96" t="s">
        <v>1183</v>
      </c>
      <c r="C190" s="95" t="s">
        <v>1493</v>
      </c>
      <c r="D190" s="95" t="s">
        <v>950</v>
      </c>
      <c r="E190" s="282">
        <v>0</v>
      </c>
      <c r="F190" s="282">
        <v>0</v>
      </c>
      <c r="G190" s="282">
        <v>0</v>
      </c>
      <c r="H190" s="282">
        <v>0</v>
      </c>
      <c r="I190" s="282">
        <v>0</v>
      </c>
      <c r="J190" s="282">
        <v>0</v>
      </c>
      <c r="K190" s="282">
        <v>0</v>
      </c>
      <c r="L190" s="282">
        <v>0</v>
      </c>
      <c r="M190" s="282">
        <v>0</v>
      </c>
      <c r="N190" s="282">
        <v>0</v>
      </c>
    </row>
    <row r="191" spans="1:89" ht="30" hidden="1" x14ac:dyDescent="0.25">
      <c r="A191" s="107"/>
      <c r="B191" s="96" t="s">
        <v>1185</v>
      </c>
      <c r="C191" s="95" t="s">
        <v>1493</v>
      </c>
      <c r="D191" s="95" t="s">
        <v>950</v>
      </c>
      <c r="E191" s="282">
        <v>0</v>
      </c>
      <c r="F191" s="282">
        <v>0</v>
      </c>
      <c r="G191" s="282">
        <v>0</v>
      </c>
      <c r="H191" s="282">
        <v>0</v>
      </c>
      <c r="I191" s="282">
        <v>0</v>
      </c>
      <c r="J191" s="282">
        <v>0</v>
      </c>
      <c r="K191" s="282">
        <v>0</v>
      </c>
      <c r="L191" s="282">
        <v>0</v>
      </c>
      <c r="M191" s="282">
        <v>0</v>
      </c>
      <c r="N191" s="282">
        <v>0</v>
      </c>
    </row>
    <row r="192" spans="1:89" ht="90" hidden="1" x14ac:dyDescent="0.25">
      <c r="A192" s="107"/>
      <c r="B192" s="16" t="s">
        <v>149</v>
      </c>
      <c r="C192" s="95" t="s">
        <v>126</v>
      </c>
      <c r="D192" s="95" t="s">
        <v>950</v>
      </c>
      <c r="E192" s="282">
        <f t="shared" ref="E192:J192" si="365">E193+E197</f>
        <v>184018</v>
      </c>
      <c r="F192" s="282">
        <f t="shared" si="365"/>
        <v>189010</v>
      </c>
      <c r="G192" s="282">
        <f t="shared" si="365"/>
        <v>193980</v>
      </c>
      <c r="H192" s="282">
        <f t="shared" si="365"/>
        <v>200803</v>
      </c>
      <c r="I192" s="282">
        <f t="shared" si="365"/>
        <v>208547</v>
      </c>
      <c r="J192" s="282">
        <f t="shared" si="365"/>
        <v>208547</v>
      </c>
      <c r="K192" s="282">
        <f>K193+K197</f>
        <v>208547</v>
      </c>
      <c r="L192" s="282">
        <f>L193+L197</f>
        <v>208547</v>
      </c>
      <c r="M192" s="282">
        <f>M193+M197</f>
        <v>208547</v>
      </c>
      <c r="N192" s="282">
        <f>N193+N197</f>
        <v>208547</v>
      </c>
    </row>
    <row r="193" spans="1:15" hidden="1" x14ac:dyDescent="0.25">
      <c r="A193" s="107"/>
      <c r="B193" s="96" t="s">
        <v>1183</v>
      </c>
      <c r="C193" s="95"/>
      <c r="D193" s="95" t="s">
        <v>950</v>
      </c>
      <c r="E193" s="282">
        <v>167684</v>
      </c>
      <c r="F193" s="282">
        <v>172537</v>
      </c>
      <c r="G193" s="282">
        <v>177222</v>
      </c>
      <c r="H193" s="282">
        <f>H194+H195+H196</f>
        <v>183867</v>
      </c>
      <c r="I193" s="282">
        <f>I194+I195+I196</f>
        <v>191129</v>
      </c>
      <c r="J193" s="282">
        <f>J194+J195+J196</f>
        <v>191129</v>
      </c>
      <c r="K193" s="282">
        <f>K194+K195+K196</f>
        <v>191129</v>
      </c>
      <c r="L193" s="282">
        <f>L194+L195+L196</f>
        <v>191129</v>
      </c>
      <c r="M193" s="282">
        <f t="shared" ref="M193:N193" si="366">M194+M195+M196</f>
        <v>191129</v>
      </c>
      <c r="N193" s="282">
        <f t="shared" si="366"/>
        <v>191129</v>
      </c>
    </row>
    <row r="194" spans="1:15" ht="30" hidden="1" x14ac:dyDescent="0.25">
      <c r="A194" s="107"/>
      <c r="B194" s="312"/>
      <c r="C194" s="312" t="s">
        <v>1489</v>
      </c>
      <c r="D194" s="95"/>
      <c r="E194" s="282"/>
      <c r="F194" s="282"/>
      <c r="G194" s="282"/>
      <c r="H194" s="282">
        <v>180412</v>
      </c>
      <c r="I194" s="282">
        <v>187583</v>
      </c>
      <c r="J194" s="282">
        <v>187583</v>
      </c>
      <c r="K194" s="282">
        <v>187583</v>
      </c>
      <c r="L194" s="282">
        <v>187583</v>
      </c>
      <c r="M194" s="282">
        <v>187583</v>
      </c>
      <c r="N194" s="282">
        <v>187583</v>
      </c>
      <c r="O194" s="286"/>
    </row>
    <row r="195" spans="1:15" ht="30" hidden="1" x14ac:dyDescent="0.25">
      <c r="A195" s="107"/>
      <c r="B195" s="312"/>
      <c r="C195" s="312" t="s">
        <v>1490</v>
      </c>
      <c r="D195" s="95"/>
      <c r="E195" s="282"/>
      <c r="F195" s="282"/>
      <c r="G195" s="282"/>
      <c r="H195" s="282">
        <v>1648</v>
      </c>
      <c r="I195" s="282">
        <v>1681</v>
      </c>
      <c r="J195" s="282">
        <v>1681</v>
      </c>
      <c r="K195" s="282">
        <v>1681</v>
      </c>
      <c r="L195" s="282">
        <v>1681</v>
      </c>
      <c r="M195" s="282">
        <v>1681</v>
      </c>
      <c r="N195" s="282">
        <v>1681</v>
      </c>
      <c r="O195" s="286"/>
    </row>
    <row r="196" spans="1:15" ht="30" hidden="1" x14ac:dyDescent="0.25">
      <c r="A196" s="107"/>
      <c r="B196" s="312"/>
      <c r="C196" s="312" t="s">
        <v>1491</v>
      </c>
      <c r="D196" s="95"/>
      <c r="E196" s="282"/>
      <c r="F196" s="282"/>
      <c r="G196" s="282"/>
      <c r="H196" s="282">
        <v>1807</v>
      </c>
      <c r="I196" s="282">
        <v>1865</v>
      </c>
      <c r="J196" s="282">
        <v>1865</v>
      </c>
      <c r="K196" s="282">
        <v>1865</v>
      </c>
      <c r="L196" s="282">
        <v>1865</v>
      </c>
      <c r="M196" s="282">
        <v>1865</v>
      </c>
      <c r="N196" s="282">
        <v>1865</v>
      </c>
      <c r="O196" s="286"/>
    </row>
    <row r="197" spans="1:15" hidden="1" x14ac:dyDescent="0.25">
      <c r="A197" s="107"/>
      <c r="B197" s="96" t="s">
        <v>1185</v>
      </c>
      <c r="C197" s="95"/>
      <c r="D197" s="95" t="s">
        <v>950</v>
      </c>
      <c r="E197" s="282">
        <v>16334</v>
      </c>
      <c r="F197" s="282">
        <v>16473</v>
      </c>
      <c r="G197" s="282">
        <v>16758</v>
      </c>
      <c r="H197" s="282">
        <f>H198+H199+H200</f>
        <v>16936</v>
      </c>
      <c r="I197" s="282">
        <f>I198+I199+I200</f>
        <v>17418</v>
      </c>
      <c r="J197" s="282">
        <f>J198+J199+J200</f>
        <v>17418</v>
      </c>
      <c r="K197" s="282">
        <f>K198+K199+K200</f>
        <v>17418</v>
      </c>
      <c r="L197" s="282">
        <f>L198+L199+L200</f>
        <v>17418</v>
      </c>
      <c r="M197" s="282">
        <f t="shared" ref="M197:N197" si="367">M198+M199+M200</f>
        <v>17418</v>
      </c>
      <c r="N197" s="282">
        <f t="shared" si="367"/>
        <v>17418</v>
      </c>
    </row>
    <row r="198" spans="1:15" ht="30" hidden="1" x14ac:dyDescent="0.25">
      <c r="A198" s="107"/>
      <c r="B198" s="312"/>
      <c r="C198" s="312" t="s">
        <v>1489</v>
      </c>
      <c r="D198" s="95"/>
      <c r="E198" s="282"/>
      <c r="F198" s="282"/>
      <c r="G198" s="282"/>
      <c r="H198" s="282">
        <v>16802</v>
      </c>
      <c r="I198" s="282">
        <v>17106</v>
      </c>
      <c r="J198" s="282">
        <v>17106</v>
      </c>
      <c r="K198" s="282">
        <v>17106</v>
      </c>
      <c r="L198" s="282">
        <v>17106</v>
      </c>
      <c r="M198" s="282">
        <v>17106</v>
      </c>
      <c r="N198" s="282">
        <v>17106</v>
      </c>
    </row>
    <row r="199" spans="1:15" ht="30" hidden="1" x14ac:dyDescent="0.25">
      <c r="A199" s="107"/>
      <c r="B199" s="312"/>
      <c r="C199" s="312" t="s">
        <v>1490</v>
      </c>
      <c r="D199" s="95"/>
      <c r="E199" s="282"/>
      <c r="F199" s="282"/>
      <c r="G199" s="282"/>
      <c r="H199" s="282">
        <v>0</v>
      </c>
      <c r="I199" s="282">
        <v>0</v>
      </c>
      <c r="J199" s="282">
        <v>0</v>
      </c>
      <c r="K199" s="282">
        <v>0</v>
      </c>
      <c r="L199" s="282">
        <v>0</v>
      </c>
      <c r="M199" s="282">
        <v>0</v>
      </c>
      <c r="N199" s="282">
        <v>0</v>
      </c>
    </row>
    <row r="200" spans="1:15" ht="30" hidden="1" x14ac:dyDescent="0.25">
      <c r="A200" s="107"/>
      <c r="B200" s="312"/>
      <c r="C200" s="312" t="s">
        <v>1491</v>
      </c>
      <c r="D200" s="95"/>
      <c r="E200" s="282"/>
      <c r="F200" s="282"/>
      <c r="G200" s="282"/>
      <c r="H200" s="282">
        <v>134</v>
      </c>
      <c r="I200" s="282">
        <v>312</v>
      </c>
      <c r="J200" s="282">
        <v>312</v>
      </c>
      <c r="K200" s="282">
        <v>312</v>
      </c>
      <c r="L200" s="282">
        <v>312</v>
      </c>
      <c r="M200" s="282">
        <v>312</v>
      </c>
      <c r="N200" s="282">
        <v>312</v>
      </c>
    </row>
    <row r="201" spans="1:15" hidden="1" x14ac:dyDescent="0.25">
      <c r="A201" s="95"/>
      <c r="B201" s="96" t="s">
        <v>1184</v>
      </c>
      <c r="C201" s="107"/>
      <c r="D201" s="95" t="s">
        <v>8</v>
      </c>
      <c r="E201" s="279">
        <f t="shared" ref="E201:I202" si="368">(E204+E207)/E210*100</f>
        <v>5.6422569027611047</v>
      </c>
      <c r="F201" s="279">
        <f t="shared" si="368"/>
        <v>6.2287655719139305</v>
      </c>
      <c r="G201" s="279">
        <f t="shared" si="368"/>
        <v>5.2742616033755274</v>
      </c>
      <c r="H201" s="279">
        <f t="shared" si="368"/>
        <v>6.1594202898550732</v>
      </c>
      <c r="I201" s="279">
        <f t="shared" si="368"/>
        <v>6.4587973273942101</v>
      </c>
      <c r="J201" s="279">
        <f t="shared" ref="J201:M202" si="369">(J204+J207)/J210*100</f>
        <v>6.4587973273942101</v>
      </c>
      <c r="K201" s="279">
        <f t="shared" si="369"/>
        <v>6.4587973273942101</v>
      </c>
      <c r="L201" s="279">
        <f t="shared" si="369"/>
        <v>6.4587973273942101</v>
      </c>
      <c r="M201" s="279">
        <f t="shared" si="369"/>
        <v>6.4587973273942101</v>
      </c>
      <c r="N201" s="279">
        <f t="shared" ref="N201" si="370">(N204+N207)/N210*100</f>
        <v>6.4587973273942101</v>
      </c>
      <c r="O201" s="281"/>
    </row>
    <row r="202" spans="1:15" hidden="1" x14ac:dyDescent="0.25">
      <c r="A202" s="95"/>
      <c r="B202" s="96" t="s">
        <v>1183</v>
      </c>
      <c r="C202" s="107"/>
      <c r="D202" s="95" t="s">
        <v>8</v>
      </c>
      <c r="E202" s="279">
        <f t="shared" si="368"/>
        <v>5.6422569027611047</v>
      </c>
      <c r="F202" s="279">
        <f t="shared" si="368"/>
        <v>6.2287655719139305</v>
      </c>
      <c r="G202" s="279">
        <f t="shared" si="368"/>
        <v>5.2742616033755274</v>
      </c>
      <c r="H202" s="279">
        <f t="shared" si="368"/>
        <v>6.1594202898550732</v>
      </c>
      <c r="I202" s="279">
        <f t="shared" si="368"/>
        <v>6.4587973273942101</v>
      </c>
      <c r="J202" s="279">
        <f t="shared" si="369"/>
        <v>6.4587973273942101</v>
      </c>
      <c r="K202" s="279">
        <f t="shared" si="369"/>
        <v>6.4587973273942101</v>
      </c>
      <c r="L202" s="279">
        <f t="shared" si="369"/>
        <v>6.4587973273942101</v>
      </c>
      <c r="M202" s="279">
        <f t="shared" si="369"/>
        <v>6.4587973273942101</v>
      </c>
      <c r="N202" s="279">
        <f t="shared" ref="N202" si="371">(N205+N208)/N211*100</f>
        <v>6.4587973273942101</v>
      </c>
      <c r="O202" s="281"/>
    </row>
    <row r="203" spans="1:15" hidden="1" x14ac:dyDescent="0.25">
      <c r="A203" s="95"/>
      <c r="B203" s="96" t="s">
        <v>1185</v>
      </c>
      <c r="C203" s="107"/>
      <c r="D203" s="95" t="s">
        <v>8</v>
      </c>
      <c r="E203" s="279" t="e">
        <f t="shared" ref="E203:J203" si="372">(E206+E209)/E215*100</f>
        <v>#DIV/0!</v>
      </c>
      <c r="F203" s="279" t="e">
        <f t="shared" si="372"/>
        <v>#DIV/0!</v>
      </c>
      <c r="G203" s="279" t="e">
        <f t="shared" si="372"/>
        <v>#DIV/0!</v>
      </c>
      <c r="H203" s="279" t="e">
        <f t="shared" si="372"/>
        <v>#DIV/0!</v>
      </c>
      <c r="I203" s="279" t="e">
        <f t="shared" si="372"/>
        <v>#DIV/0!</v>
      </c>
      <c r="J203" s="279" t="e">
        <f t="shared" si="372"/>
        <v>#DIV/0!</v>
      </c>
      <c r="K203" s="279" t="e">
        <f>(K206+K209)/K215*100</f>
        <v>#DIV/0!</v>
      </c>
      <c r="L203" s="279" t="e">
        <f>(L206+L209)/L215*100</f>
        <v>#DIV/0!</v>
      </c>
      <c r="M203" s="279" t="e">
        <f>(M206+M209)/M215*100</f>
        <v>#DIV/0!</v>
      </c>
      <c r="N203" s="279" t="e">
        <f>(N206+N209)/N215*100</f>
        <v>#DIV/0!</v>
      </c>
      <c r="O203" s="281"/>
    </row>
    <row r="204" spans="1:15" ht="90" hidden="1" x14ac:dyDescent="0.25">
      <c r="A204" s="107"/>
      <c r="B204" s="16" t="s">
        <v>145</v>
      </c>
      <c r="C204" s="95" t="s">
        <v>146</v>
      </c>
      <c r="D204" s="95" t="s">
        <v>950</v>
      </c>
      <c r="E204" s="282">
        <f t="shared" ref="E204:J204" si="373">E205+E206</f>
        <v>47</v>
      </c>
      <c r="F204" s="282">
        <f t="shared" si="373"/>
        <v>55</v>
      </c>
      <c r="G204" s="282">
        <f t="shared" si="373"/>
        <v>50</v>
      </c>
      <c r="H204" s="282">
        <f t="shared" si="373"/>
        <v>51</v>
      </c>
      <c r="I204" s="282">
        <f t="shared" si="373"/>
        <v>58</v>
      </c>
      <c r="J204" s="282">
        <f t="shared" si="373"/>
        <v>58</v>
      </c>
      <c r="K204" s="282">
        <f>K205+K206</f>
        <v>58</v>
      </c>
      <c r="L204" s="282">
        <f>L205+L206</f>
        <v>58</v>
      </c>
      <c r="M204" s="282">
        <f>M205+M206</f>
        <v>58</v>
      </c>
      <c r="N204" s="282">
        <f>N205+N206</f>
        <v>58</v>
      </c>
    </row>
    <row r="205" spans="1:15" ht="30" hidden="1" x14ac:dyDescent="0.25">
      <c r="A205" s="107"/>
      <c r="B205" s="96" t="s">
        <v>1183</v>
      </c>
      <c r="C205" s="95" t="s">
        <v>1492</v>
      </c>
      <c r="D205" s="95" t="s">
        <v>950</v>
      </c>
      <c r="E205" s="282">
        <v>47</v>
      </c>
      <c r="F205" s="282">
        <v>55</v>
      </c>
      <c r="G205" s="282">
        <v>50</v>
      </c>
      <c r="H205" s="282">
        <v>51</v>
      </c>
      <c r="I205" s="282">
        <v>58</v>
      </c>
      <c r="J205" s="282">
        <v>58</v>
      </c>
      <c r="K205" s="282">
        <v>58</v>
      </c>
      <c r="L205" s="282">
        <v>58</v>
      </c>
      <c r="M205" s="282">
        <v>58</v>
      </c>
      <c r="N205" s="282">
        <v>58</v>
      </c>
    </row>
    <row r="206" spans="1:15" ht="30" hidden="1" x14ac:dyDescent="0.25">
      <c r="A206" s="107"/>
      <c r="B206" s="96" t="s">
        <v>1185</v>
      </c>
      <c r="C206" s="95" t="s">
        <v>1492</v>
      </c>
      <c r="D206" s="95" t="s">
        <v>950</v>
      </c>
      <c r="E206" s="282">
        <v>0</v>
      </c>
      <c r="F206" s="282">
        <v>0</v>
      </c>
      <c r="G206" s="282">
        <v>0</v>
      </c>
      <c r="H206" s="282">
        <v>0</v>
      </c>
      <c r="I206" s="282">
        <v>0</v>
      </c>
      <c r="J206" s="282">
        <v>0</v>
      </c>
      <c r="K206" s="282">
        <v>0</v>
      </c>
      <c r="L206" s="282">
        <v>0</v>
      </c>
      <c r="M206" s="282">
        <v>0</v>
      </c>
      <c r="N206" s="282">
        <v>0</v>
      </c>
    </row>
    <row r="207" spans="1:15" ht="90" hidden="1" x14ac:dyDescent="0.25">
      <c r="A207" s="107"/>
      <c r="B207" s="16" t="s">
        <v>147</v>
      </c>
      <c r="C207" s="95" t="s">
        <v>148</v>
      </c>
      <c r="D207" s="95" t="s">
        <v>950</v>
      </c>
      <c r="E207" s="282">
        <f t="shared" ref="E207:J207" si="374">E208+E209</f>
        <v>0</v>
      </c>
      <c r="F207" s="282">
        <f t="shared" si="374"/>
        <v>0</v>
      </c>
      <c r="G207" s="282">
        <f t="shared" si="374"/>
        <v>0</v>
      </c>
      <c r="H207" s="282">
        <f t="shared" si="374"/>
        <v>0</v>
      </c>
      <c r="I207" s="282">
        <f t="shared" si="374"/>
        <v>0</v>
      </c>
      <c r="J207" s="282">
        <f t="shared" si="374"/>
        <v>0</v>
      </c>
      <c r="K207" s="282">
        <f>K208+K209</f>
        <v>0</v>
      </c>
      <c r="L207" s="282">
        <f>L208+L209</f>
        <v>0</v>
      </c>
      <c r="M207" s="282">
        <f>M208+M209</f>
        <v>0</v>
      </c>
      <c r="N207" s="282">
        <f>N208+N209</f>
        <v>0</v>
      </c>
    </row>
    <row r="208" spans="1:15" ht="30" hidden="1" x14ac:dyDescent="0.25">
      <c r="A208" s="107"/>
      <c r="B208" s="96" t="s">
        <v>1183</v>
      </c>
      <c r="C208" s="95" t="s">
        <v>1493</v>
      </c>
      <c r="D208" s="95" t="s">
        <v>950</v>
      </c>
      <c r="E208" s="282">
        <v>0</v>
      </c>
      <c r="F208" s="282">
        <v>0</v>
      </c>
      <c r="G208" s="282">
        <v>0</v>
      </c>
      <c r="H208" s="282">
        <v>0</v>
      </c>
      <c r="I208" s="282">
        <v>0</v>
      </c>
      <c r="J208" s="282">
        <v>0</v>
      </c>
      <c r="K208" s="282">
        <v>0</v>
      </c>
      <c r="L208" s="282">
        <v>0</v>
      </c>
      <c r="M208" s="282">
        <v>0</v>
      </c>
      <c r="N208" s="282">
        <v>0</v>
      </c>
    </row>
    <row r="209" spans="1:89" ht="30" hidden="1" x14ac:dyDescent="0.25">
      <c r="A209" s="107"/>
      <c r="B209" s="96" t="s">
        <v>1185</v>
      </c>
      <c r="C209" s="95" t="s">
        <v>1493</v>
      </c>
      <c r="D209" s="95" t="s">
        <v>950</v>
      </c>
      <c r="E209" s="282">
        <v>0</v>
      </c>
      <c r="F209" s="282">
        <v>0</v>
      </c>
      <c r="G209" s="282">
        <v>0</v>
      </c>
      <c r="H209" s="282">
        <v>0</v>
      </c>
      <c r="I209" s="282">
        <v>0</v>
      </c>
      <c r="J209" s="282">
        <v>0</v>
      </c>
      <c r="K209" s="282">
        <v>0</v>
      </c>
      <c r="L209" s="282">
        <v>0</v>
      </c>
      <c r="M209" s="282">
        <v>0</v>
      </c>
      <c r="N209" s="282">
        <v>0</v>
      </c>
    </row>
    <row r="210" spans="1:89" ht="90" hidden="1" x14ac:dyDescent="0.25">
      <c r="A210" s="107"/>
      <c r="B210" s="16" t="s">
        <v>149</v>
      </c>
      <c r="C210" s="95" t="s">
        <v>126</v>
      </c>
      <c r="D210" s="95" t="s">
        <v>950</v>
      </c>
      <c r="E210" s="282">
        <f t="shared" ref="E210:J210" si="375">E211+E215</f>
        <v>833</v>
      </c>
      <c r="F210" s="282">
        <f t="shared" si="375"/>
        <v>883</v>
      </c>
      <c r="G210" s="282">
        <f t="shared" si="375"/>
        <v>948</v>
      </c>
      <c r="H210" s="282">
        <f t="shared" si="375"/>
        <v>828</v>
      </c>
      <c r="I210" s="282">
        <f t="shared" si="375"/>
        <v>898</v>
      </c>
      <c r="J210" s="282">
        <f t="shared" si="375"/>
        <v>898</v>
      </c>
      <c r="K210" s="282">
        <f>K211+K215</f>
        <v>898</v>
      </c>
      <c r="L210" s="282">
        <f>L211+L215</f>
        <v>898</v>
      </c>
      <c r="M210" s="282">
        <f>M211+M215</f>
        <v>898</v>
      </c>
      <c r="N210" s="282">
        <f>N211+N215</f>
        <v>898</v>
      </c>
    </row>
    <row r="211" spans="1:89" hidden="1" x14ac:dyDescent="0.25">
      <c r="A211" s="107"/>
      <c r="B211" s="96" t="s">
        <v>1183</v>
      </c>
      <c r="C211" s="95"/>
      <c r="D211" s="95" t="s">
        <v>950</v>
      </c>
      <c r="E211" s="282">
        <v>833</v>
      </c>
      <c r="F211" s="282">
        <v>883</v>
      </c>
      <c r="G211" s="282">
        <v>948</v>
      </c>
      <c r="H211" s="282">
        <f>H212+H213+H214</f>
        <v>828</v>
      </c>
      <c r="I211" s="282">
        <f>I212+I213+I214</f>
        <v>898</v>
      </c>
      <c r="J211" s="282">
        <f>J212+J213+J214</f>
        <v>898</v>
      </c>
      <c r="K211" s="282">
        <f>K212+K213+K214</f>
        <v>898</v>
      </c>
      <c r="L211" s="282">
        <f>L212+L213+L214</f>
        <v>898</v>
      </c>
      <c r="M211" s="282">
        <f t="shared" ref="M211:N211" si="376">M212+M213+M214</f>
        <v>898</v>
      </c>
      <c r="N211" s="282">
        <f t="shared" si="376"/>
        <v>898</v>
      </c>
    </row>
    <row r="212" spans="1:89" ht="30" hidden="1" x14ac:dyDescent="0.25">
      <c r="A212" s="107"/>
      <c r="B212" s="312"/>
      <c r="C212" s="312" t="s">
        <v>1489</v>
      </c>
      <c r="D212" s="95"/>
      <c r="E212" s="282"/>
      <c r="F212" s="282"/>
      <c r="G212" s="282"/>
      <c r="H212" s="282">
        <v>828</v>
      </c>
      <c r="I212" s="282">
        <v>898</v>
      </c>
      <c r="J212" s="282">
        <v>898</v>
      </c>
      <c r="K212" s="282">
        <v>898</v>
      </c>
      <c r="L212" s="282">
        <v>898</v>
      </c>
      <c r="M212" s="282">
        <v>898</v>
      </c>
      <c r="N212" s="282">
        <v>898</v>
      </c>
    </row>
    <row r="213" spans="1:89" ht="30" hidden="1" x14ac:dyDescent="0.25">
      <c r="A213" s="107"/>
      <c r="B213" s="312"/>
      <c r="C213" s="312" t="s">
        <v>1490</v>
      </c>
      <c r="D213" s="95"/>
      <c r="E213" s="282"/>
      <c r="F213" s="282"/>
      <c r="G213" s="282"/>
      <c r="H213" s="282">
        <v>0</v>
      </c>
      <c r="I213" s="282">
        <v>0</v>
      </c>
      <c r="J213" s="282">
        <v>0</v>
      </c>
      <c r="K213" s="282">
        <v>0</v>
      </c>
      <c r="L213" s="282">
        <v>0</v>
      </c>
      <c r="M213" s="282">
        <v>0</v>
      </c>
      <c r="N213" s="282">
        <v>0</v>
      </c>
    </row>
    <row r="214" spans="1:89" ht="30" hidden="1" x14ac:dyDescent="0.25">
      <c r="A214" s="107"/>
      <c r="B214" s="312"/>
      <c r="C214" s="312" t="s">
        <v>1491</v>
      </c>
      <c r="D214" s="95"/>
      <c r="E214" s="282"/>
      <c r="F214" s="282"/>
      <c r="G214" s="282"/>
      <c r="H214" s="282">
        <v>0</v>
      </c>
      <c r="I214" s="282">
        <v>0</v>
      </c>
      <c r="J214" s="282">
        <v>0</v>
      </c>
      <c r="K214" s="282">
        <v>0</v>
      </c>
      <c r="L214" s="282">
        <v>0</v>
      </c>
      <c r="M214" s="282">
        <v>0</v>
      </c>
      <c r="N214" s="282">
        <v>0</v>
      </c>
    </row>
    <row r="215" spans="1:89" hidden="1" x14ac:dyDescent="0.25">
      <c r="A215" s="107"/>
      <c r="B215" s="96" t="s">
        <v>1185</v>
      </c>
      <c r="C215" s="95"/>
      <c r="D215" s="95" t="s">
        <v>950</v>
      </c>
      <c r="E215" s="282">
        <v>0</v>
      </c>
      <c r="F215" s="282">
        <v>0</v>
      </c>
      <c r="G215" s="282">
        <v>0</v>
      </c>
      <c r="H215" s="282">
        <f>H216+H217+H218</f>
        <v>0</v>
      </c>
      <c r="I215" s="282">
        <f>I216+I217+I218</f>
        <v>0</v>
      </c>
      <c r="J215" s="282">
        <f>J216+J217+J218</f>
        <v>0</v>
      </c>
      <c r="K215" s="282">
        <f>K216+K217+K218</f>
        <v>0</v>
      </c>
      <c r="L215" s="282">
        <f>L216+L217+L218</f>
        <v>0</v>
      </c>
      <c r="M215" s="282">
        <f t="shared" ref="M215:N215" si="377">M216+M217+M218</f>
        <v>0</v>
      </c>
      <c r="N215" s="282">
        <f t="shared" si="377"/>
        <v>0</v>
      </c>
    </row>
    <row r="216" spans="1:89" ht="30" hidden="1" x14ac:dyDescent="0.25">
      <c r="A216" s="107"/>
      <c r="B216" s="312"/>
      <c r="C216" s="312" t="s">
        <v>1489</v>
      </c>
      <c r="D216" s="95"/>
      <c r="E216" s="282"/>
      <c r="F216" s="282"/>
      <c r="G216" s="282"/>
      <c r="H216" s="282">
        <v>0</v>
      </c>
      <c r="I216" s="282">
        <v>0</v>
      </c>
      <c r="J216" s="282">
        <v>0</v>
      </c>
      <c r="K216" s="282">
        <v>0</v>
      </c>
      <c r="L216" s="282">
        <v>0</v>
      </c>
      <c r="M216" s="282">
        <v>0</v>
      </c>
      <c r="N216" s="282">
        <v>0</v>
      </c>
    </row>
    <row r="217" spans="1:89" ht="30" hidden="1" x14ac:dyDescent="0.25">
      <c r="A217" s="107"/>
      <c r="B217" s="312"/>
      <c r="C217" s="312" t="s">
        <v>1490</v>
      </c>
      <c r="D217" s="95"/>
      <c r="E217" s="282"/>
      <c r="F217" s="282"/>
      <c r="G217" s="282"/>
      <c r="H217" s="282">
        <v>0</v>
      </c>
      <c r="I217" s="282">
        <v>0</v>
      </c>
      <c r="J217" s="282">
        <v>0</v>
      </c>
      <c r="K217" s="282">
        <v>0</v>
      </c>
      <c r="L217" s="282">
        <v>0</v>
      </c>
      <c r="M217" s="282">
        <v>0</v>
      </c>
      <c r="N217" s="282">
        <v>0</v>
      </c>
    </row>
    <row r="218" spans="1:89" ht="30" hidden="1" x14ac:dyDescent="0.25">
      <c r="A218" s="107"/>
      <c r="B218" s="312"/>
      <c r="C218" s="312" t="s">
        <v>1491</v>
      </c>
      <c r="D218" s="95"/>
      <c r="E218" s="282"/>
      <c r="F218" s="282"/>
      <c r="G218" s="282"/>
      <c r="H218" s="282">
        <v>0</v>
      </c>
      <c r="I218" s="282">
        <v>0</v>
      </c>
      <c r="J218" s="282">
        <v>0</v>
      </c>
      <c r="K218" s="282">
        <v>0</v>
      </c>
      <c r="L218" s="282">
        <v>0</v>
      </c>
      <c r="M218" s="282">
        <v>0</v>
      </c>
      <c r="N218" s="282">
        <v>0</v>
      </c>
    </row>
    <row r="219" spans="1:89" ht="60" x14ac:dyDescent="0.25">
      <c r="A219" s="95" t="s">
        <v>151</v>
      </c>
      <c r="B219" s="96" t="s">
        <v>1659</v>
      </c>
      <c r="C219" s="312"/>
      <c r="D219" s="95"/>
      <c r="E219" s="282"/>
      <c r="F219" s="282"/>
      <c r="G219" s="282"/>
      <c r="H219" s="282"/>
      <c r="I219" s="282"/>
      <c r="J219" s="282"/>
      <c r="K219" s="282"/>
      <c r="L219" s="282"/>
      <c r="M219" s="282"/>
      <c r="N219" s="282"/>
    </row>
    <row r="220" spans="1:89" x14ac:dyDescent="0.25">
      <c r="A220" s="107"/>
      <c r="B220" s="96" t="s">
        <v>1182</v>
      </c>
      <c r="C220" s="312"/>
      <c r="D220" s="95" t="s">
        <v>8</v>
      </c>
      <c r="E220" s="279">
        <f t="shared" ref="E220:H222" si="378">100-E183</f>
        <v>74.623678118444928</v>
      </c>
      <c r="F220" s="279">
        <f t="shared" si="378"/>
        <v>75.666366858896353</v>
      </c>
      <c r="G220" s="279">
        <f t="shared" si="378"/>
        <v>75.043303433343652</v>
      </c>
      <c r="H220" s="279">
        <f>100-H183</f>
        <v>79.539150311499327</v>
      </c>
      <c r="I220" s="279">
        <f t="shared" ref="I220:N220" si="379">(I227+I231)/(I236+I240)*100</f>
        <v>79.802154909924383</v>
      </c>
      <c r="J220" s="279">
        <f t="shared" si="379"/>
        <v>79.324684507002942</v>
      </c>
      <c r="K220" s="279">
        <f t="shared" si="379"/>
        <v>78.625350687369831</v>
      </c>
      <c r="L220" s="279">
        <f t="shared" si="379"/>
        <v>93.735917079765656</v>
      </c>
      <c r="M220" s="279">
        <f t="shared" si="379"/>
        <v>93.161231884057969</v>
      </c>
      <c r="N220" s="279">
        <f t="shared" si="379"/>
        <v>94.75620975160993</v>
      </c>
      <c r="O220" s="296"/>
      <c r="Q220" s="279">
        <f>(Q227+Q231)/(Q236+Q240)*100</f>
        <v>78.625350687369831</v>
      </c>
      <c r="R220" s="279">
        <f>(R227+R231)/(R236+R240)*100</f>
        <v>70.765452856068308</v>
      </c>
      <c r="S220" s="279">
        <f>(S227+S231)/(S236+S240)*100</f>
        <v>100</v>
      </c>
      <c r="T220" s="279">
        <f>(T227+T231)/(T236+T240)*100</f>
        <v>100</v>
      </c>
      <c r="V220" s="279">
        <f>(V227+V231)/(V236+V240)*100</f>
        <v>86.627582356225574</v>
      </c>
      <c r="W220" s="279">
        <f>(W227+W231)/(W236+W240)*100</f>
        <v>87.188113260442947</v>
      </c>
      <c r="Y220" s="279">
        <f>(Y227+Y231)/(Y236+Y240)*100</f>
        <v>92.575826165685825</v>
      </c>
      <c r="Z220" s="279">
        <f>(Z227+Z231)/(Z236+Z240)*100</f>
        <v>78.982504604051556</v>
      </c>
      <c r="AB220" s="279">
        <f>(AB227+AB231)/(AB236+AB240)*100</f>
        <v>81.628270206950418</v>
      </c>
      <c r="AC220" s="279">
        <f>(AC227+AC231)/(AC236+AC240)*100</f>
        <v>74.26671881110677</v>
      </c>
      <c r="AE220" s="279">
        <f>(AE227+AE231)/(AE236+AE240)*100</f>
        <v>100</v>
      </c>
      <c r="AF220" s="279">
        <f>(AF227+AF231)/(AF236+AF240)*100</f>
        <v>100</v>
      </c>
      <c r="AH220" s="279">
        <f>(AH227+AH231)/(AH236+AH240)*100</f>
        <v>95.900537634408607</v>
      </c>
      <c r="AI220" s="279">
        <f>(AI227+AI231)/(AI236+AI240)*100</f>
        <v>93.735917079765656</v>
      </c>
      <c r="AK220" s="279">
        <f>(AK227+AK231)/(AK236+AK240)*100</f>
        <v>76.521460602178095</v>
      </c>
      <c r="AL220" s="279">
        <f>(AL227+AL231)/(AL236+AL240)*100</f>
        <v>74.817865061767492</v>
      </c>
      <c r="AN220" s="279">
        <f>(AN227+AN231)/(AN236+AN240)*100</f>
        <v>83.418616684873228</v>
      </c>
      <c r="AO220" s="279">
        <f>(AO227+AO231)/(AO236+AO240)*100</f>
        <v>84.058469475494419</v>
      </c>
      <c r="AQ220" s="279">
        <f>(AQ227+AQ231)/(AQ236+AQ240)*100</f>
        <v>100</v>
      </c>
      <c r="AR220" s="279">
        <f>(AR227+AR231)/(AR236+AR240)*100</f>
        <v>100</v>
      </c>
      <c r="AT220" s="279">
        <f>(AT227+AT231)/(AT236+AT240)*100</f>
        <v>54.226554717518148</v>
      </c>
      <c r="AU220" s="279">
        <f>(AU227+AU231)/(AU236+AU240)*100</f>
        <v>55.049151027703303</v>
      </c>
      <c r="AW220" s="279">
        <f>(AW227+AW231)/(AW236+AW240)*100</f>
        <v>95.236287720630102</v>
      </c>
      <c r="AX220" s="279">
        <f>(AX227+AX231)/(AX236+AX240)*100</f>
        <v>70.985810306198658</v>
      </c>
      <c r="AZ220" s="279">
        <f>(AZ227+AZ231)/(AZ236+AZ240)*100</f>
        <v>87.479452054794521</v>
      </c>
      <c r="BA220" s="279">
        <f>(BA227+BA231)/(BA236+BA240)*100</f>
        <v>73.419817830527194</v>
      </c>
      <c r="BC220" s="279">
        <f>(BC227+BC231)/(BC236+BC240)*100</f>
        <v>72.272664740679588</v>
      </c>
      <c r="BD220" s="279">
        <f>(BD227+BD231)/(BD236+BD240)*100</f>
        <v>66.464155528554073</v>
      </c>
      <c r="BF220" s="279">
        <f>(BF227+BF231)/(BF236+BF240)*100</f>
        <v>85.215786235387185</v>
      </c>
      <c r="BG220" s="279">
        <f>(BG227+BG231)/(BG236+BG240)*100</f>
        <v>66.494830679843915</v>
      </c>
      <c r="BI220" s="279">
        <f>(BI227+BI231)/(BI236+BI240)*100</f>
        <v>67.467308746378521</v>
      </c>
      <c r="BJ220" s="279">
        <f>(BJ227+BJ231)/(BJ236+BJ240)*100</f>
        <v>62.986733529180626</v>
      </c>
      <c r="BL220" s="279">
        <f>(BL227+BL231)/(BL236+BL240)*100</f>
        <v>82.374933238383477</v>
      </c>
      <c r="BM220" s="279">
        <f>(BM227+BM231)/(BM236+BM240)*100</f>
        <v>59.695885509838995</v>
      </c>
      <c r="BO220" s="279">
        <f>(BO227+BO231)/(BO236+BO240)*100</f>
        <v>80.299015897047681</v>
      </c>
      <c r="BP220" s="279">
        <f>(BP227+BP231)/(BP236+BP240)*100</f>
        <v>72.983643542019166</v>
      </c>
      <c r="BR220" s="279">
        <f>(BR227+BR231)/(BR236+BR240)*100</f>
        <v>82.383742675476881</v>
      </c>
      <c r="BS220" s="279">
        <f>(BS227+BS231)/(BS236+BS240)*100</f>
        <v>65.038845726970024</v>
      </c>
      <c r="BU220" s="279">
        <f>(BU227+BU231)/(BU236+BU240)*100</f>
        <v>76.711987027566423</v>
      </c>
      <c r="BV220" s="279">
        <f>(BV227+BV231)/(BV236+BV240)*100</f>
        <v>68.560138305754506</v>
      </c>
      <c r="BX220" s="279">
        <f>(BX227+BX231)/(BX236+BX240)*100</f>
        <v>100</v>
      </c>
      <c r="BY220" s="279">
        <f>(BY227+BY231)/(BY236+BY240)*100</f>
        <v>100</v>
      </c>
      <c r="CA220" s="279">
        <f>(CA227+CA231)/(CA236+CA240)*100</f>
        <v>76.112084063047277</v>
      </c>
      <c r="CB220" s="279">
        <f>(CB227+CB231)/(CB236+CB240)*100</f>
        <v>84.832904884318765</v>
      </c>
      <c r="CD220" s="279">
        <f>(CD227+CD231)/(CD236+CD240)*100</f>
        <v>81.732580037664775</v>
      </c>
      <c r="CE220" s="279">
        <f>(CE227+CE231)/(CE236+CE240)*100</f>
        <v>60.025849335302809</v>
      </c>
      <c r="CG220" s="279">
        <f>(CG227+CG231)/(CG236+CG240)*100</f>
        <v>100</v>
      </c>
      <c r="CH220" s="279">
        <f>(CH227+CH231)/(CH236+CH240)*100</f>
        <v>100</v>
      </c>
      <c r="CJ220" s="279">
        <f>(CJ227+CJ231)/(CJ236+CJ240)*100</f>
        <v>86.036036036036037</v>
      </c>
      <c r="CK220" s="279">
        <f>(CK227+CK231)/(CK236+CK240)*100</f>
        <v>87.31343283582089</v>
      </c>
    </row>
    <row r="221" spans="1:89" x14ac:dyDescent="0.25">
      <c r="A221" s="107"/>
      <c r="B221" s="96" t="s">
        <v>1183</v>
      </c>
      <c r="C221" s="312"/>
      <c r="D221" s="95" t="s">
        <v>8</v>
      </c>
      <c r="E221" s="279">
        <f t="shared" si="378"/>
        <v>73.229407695427113</v>
      </c>
      <c r="F221" s="279">
        <f t="shared" si="378"/>
        <v>74.414183624382019</v>
      </c>
      <c r="G221" s="279">
        <f t="shared" si="378"/>
        <v>73.763979641353785</v>
      </c>
      <c r="H221" s="279">
        <f t="shared" si="378"/>
        <v>78.69003138137893</v>
      </c>
      <c r="I221" s="279">
        <f t="shared" ref="I221:N221" si="380">I227/I236*100</f>
        <v>78.927844544783881</v>
      </c>
      <c r="J221" s="279">
        <f t="shared" si="380"/>
        <v>78.324711318737556</v>
      </c>
      <c r="K221" s="279">
        <f t="shared" si="380"/>
        <v>77.679000952315505</v>
      </c>
      <c r="L221" s="279">
        <f t="shared" si="380"/>
        <v>94.098625707356504</v>
      </c>
      <c r="M221" s="279">
        <f t="shared" si="380"/>
        <v>92.404040404040401</v>
      </c>
      <c r="N221" s="279">
        <f t="shared" si="380"/>
        <v>92.354368932038838</v>
      </c>
      <c r="Q221" s="279">
        <f>Q227/Q236*100</f>
        <v>77.679000952315505</v>
      </c>
      <c r="R221" s="279">
        <f>R227/R236*100</f>
        <v>69.331069837479077</v>
      </c>
      <c r="S221" s="279">
        <f>S227/S236*100</f>
        <v>100</v>
      </c>
      <c r="T221" s="279">
        <f>T227/T236*100</f>
        <v>100</v>
      </c>
      <c r="V221" s="279">
        <f>V227/V236*100</f>
        <v>77.65858208955224</v>
      </c>
      <c r="W221" s="279">
        <f>W227/W236*100</f>
        <v>81.173131504257327</v>
      </c>
      <c r="Y221" s="279">
        <f>Y227/Y236*100</f>
        <v>91.689189189189193</v>
      </c>
      <c r="Z221" s="279">
        <f>Z227/Z236*100</f>
        <v>73.199044042335274</v>
      </c>
      <c r="AB221" s="279">
        <f>AB227/AB236*100</f>
        <v>79.587628865979383</v>
      </c>
      <c r="AC221" s="279">
        <f>AC227/AC236*100</f>
        <v>74.404356705241653</v>
      </c>
      <c r="AE221" s="279">
        <f>AE227/AE236*100</f>
        <v>100</v>
      </c>
      <c r="AF221" s="279">
        <f>AF227/AF236*100</f>
        <v>100</v>
      </c>
      <c r="AH221" s="279">
        <f>AH227/AH236*100</f>
        <v>94.690265486725664</v>
      </c>
      <c r="AI221" s="279">
        <f>AI227/AI236*100</f>
        <v>94.098625707356504</v>
      </c>
      <c r="AK221" s="279">
        <f>AK227/AK236*100</f>
        <v>75.382031905961384</v>
      </c>
      <c r="AL221" s="279">
        <f>AL227/AL236*100</f>
        <v>73.618715778994527</v>
      </c>
      <c r="AN221" s="279">
        <f>AN227/AN236*100</f>
        <v>87.226185480486791</v>
      </c>
      <c r="AO221" s="279">
        <f>AO227/AO236*100</f>
        <v>87.112928803939568</v>
      </c>
      <c r="AQ221" s="279" t="e">
        <f>AQ227/AQ236*100</f>
        <v>#DIV/0!</v>
      </c>
      <c r="AR221" s="279" t="e">
        <f>AR227/AR236*100</f>
        <v>#DIV/0!</v>
      </c>
      <c r="AT221" s="279">
        <f>AT227/AT236*100</f>
        <v>54.226554717518148</v>
      </c>
      <c r="AU221" s="279">
        <f>AU227/AU236*100</f>
        <v>55.049151027703303</v>
      </c>
      <c r="AW221" s="279">
        <f>AW227/AW236*100</f>
        <v>95.236287720630102</v>
      </c>
      <c r="AX221" s="279">
        <f>AX227/AX236*100</f>
        <v>70.985810306198658</v>
      </c>
      <c r="AZ221" s="279">
        <f>AZ227/AZ236*100</f>
        <v>87.479452054794521</v>
      </c>
      <c r="BA221" s="279">
        <f>BA227/BA236*100</f>
        <v>73.419817830527194</v>
      </c>
      <c r="BC221" s="279">
        <f>BC227/BC236*100</f>
        <v>72.272664740679588</v>
      </c>
      <c r="BD221" s="279">
        <f>BD227/BD236*100</f>
        <v>66.464155528554073</v>
      </c>
      <c r="BF221" s="279">
        <f>BF227/BF236*100</f>
        <v>85.215786235387185</v>
      </c>
      <c r="BG221" s="279">
        <f>BG227/BG236*100</f>
        <v>66.494830679843915</v>
      </c>
      <c r="BI221" s="279">
        <f>BI227/BI236*100</f>
        <v>67.467308746378521</v>
      </c>
      <c r="BJ221" s="279">
        <f>BJ227/BJ236*100</f>
        <v>62.986733529180626</v>
      </c>
      <c r="BL221" s="279">
        <f>BL227/BL236*100</f>
        <v>82.374933238383477</v>
      </c>
      <c r="BM221" s="279">
        <f>BM227/BM236*100</f>
        <v>59.695885509838995</v>
      </c>
      <c r="BO221" s="279">
        <f>BO227/BO236*100</f>
        <v>80.299015897047681</v>
      </c>
      <c r="BP221" s="279">
        <f>BP227/BP236*100</f>
        <v>72.983643542019166</v>
      </c>
      <c r="BR221" s="279">
        <f>BR227/BR236*100</f>
        <v>82.383742675476881</v>
      </c>
      <c r="BS221" s="279">
        <f>BS227/BS236*100</f>
        <v>65.038845726970024</v>
      </c>
      <c r="BU221" s="279">
        <f>BU227/BU236*100</f>
        <v>76.711987027566423</v>
      </c>
      <c r="BV221" s="279">
        <f>BV227/BV236*100</f>
        <v>68.560138305754506</v>
      </c>
      <c r="BX221" s="279">
        <f>BX227/BX236*100</f>
        <v>100</v>
      </c>
      <c r="BY221" s="279">
        <f>BY227/BY236*100</f>
        <v>100</v>
      </c>
      <c r="CA221" s="279">
        <f>CA227/CA236*100</f>
        <v>76.112084063047277</v>
      </c>
      <c r="CB221" s="279">
        <f>CB227/CB236*100</f>
        <v>84.832904884318765</v>
      </c>
      <c r="CD221" s="279">
        <f>CD227/CD236*100</f>
        <v>81.732580037664775</v>
      </c>
      <c r="CE221" s="279">
        <f>CE227/CE236*100</f>
        <v>60.025849335302809</v>
      </c>
      <c r="CG221" s="279">
        <f>CG227/CG236*100</f>
        <v>100</v>
      </c>
      <c r="CH221" s="279">
        <f>CH227/CH236*100</f>
        <v>100</v>
      </c>
      <c r="CJ221" s="279">
        <f>CJ227/CJ236*100</f>
        <v>86.036036036036037</v>
      </c>
      <c r="CK221" s="279">
        <f>CK227/CK236*100</f>
        <v>87.31343283582089</v>
      </c>
    </row>
    <row r="222" spans="1:89" x14ac:dyDescent="0.25">
      <c r="A222" s="107"/>
      <c r="B222" s="96" t="s">
        <v>1185</v>
      </c>
      <c r="C222" s="312"/>
      <c r="D222" s="95" t="s">
        <v>8</v>
      </c>
      <c r="E222" s="279">
        <f t="shared" si="378"/>
        <v>88.93718623729643</v>
      </c>
      <c r="F222" s="279">
        <f t="shared" si="378"/>
        <v>88.781642688034964</v>
      </c>
      <c r="G222" s="279">
        <f t="shared" si="378"/>
        <v>88.572622031268651</v>
      </c>
      <c r="H222" s="279">
        <f t="shared" si="378"/>
        <v>88.757675956542272</v>
      </c>
      <c r="I222" s="279">
        <f t="shared" ref="I222:N222" si="381">I231/I240*100</f>
        <v>89.396027098403948</v>
      </c>
      <c r="J222" s="279">
        <f t="shared" si="381"/>
        <v>90.526734022022936</v>
      </c>
      <c r="K222" s="279">
        <f t="shared" si="381"/>
        <v>89.55604694675965</v>
      </c>
      <c r="L222" s="279">
        <f t="shared" si="381"/>
        <v>93.279022403258665</v>
      </c>
      <c r="M222" s="279">
        <f t="shared" si="381"/>
        <v>94.126738794435866</v>
      </c>
      <c r="N222" s="279">
        <f t="shared" si="381"/>
        <v>97.921108742004265</v>
      </c>
      <c r="Q222" s="279">
        <f>Q231/Q240*100</f>
        <v>89.55604694675965</v>
      </c>
      <c r="R222" s="279">
        <f>R231/R240*100</f>
        <v>87.873934679402836</v>
      </c>
      <c r="S222" s="279">
        <f>S231/S240*100</f>
        <v>100</v>
      </c>
      <c r="T222" s="279">
        <f>T231/T240*100</f>
        <v>100</v>
      </c>
      <c r="V222" s="279">
        <f>V231/V240*100</f>
        <v>100</v>
      </c>
      <c r="W222" s="279">
        <f>W231/W240*100</f>
        <v>95.939435650378527</v>
      </c>
      <c r="Y222" s="279">
        <f>Y231/Y240*100</f>
        <v>94.375857338820296</v>
      </c>
      <c r="Z222" s="279">
        <f>Z231/Z240*100</f>
        <v>90.954063604240289</v>
      </c>
      <c r="AB222" s="279">
        <f>AB231/AB240*100</f>
        <v>84.312839059674502</v>
      </c>
      <c r="AC222" s="279">
        <f>AC231/AC240*100</f>
        <v>74.080882352941174</v>
      </c>
      <c r="AE222" s="279">
        <f>AE231/AE240*100</f>
        <v>100</v>
      </c>
      <c r="AF222" s="279">
        <f>AF231/AF240*100</f>
        <v>100</v>
      </c>
      <c r="AH222" s="279">
        <f>AH231/AH240*100</f>
        <v>97.421638018200213</v>
      </c>
      <c r="AI222" s="279">
        <f>AI231/AI240*100</f>
        <v>93.279022403258665</v>
      </c>
      <c r="AK222" s="279">
        <f>AK231/AK240*100</f>
        <v>100</v>
      </c>
      <c r="AL222" s="279">
        <f>AL231/AL240*100</f>
        <v>100</v>
      </c>
      <c r="AN222" s="279">
        <f>AN231/AN240*100</f>
        <v>75.136911281489589</v>
      </c>
      <c r="AO222" s="279">
        <f>AO231/AO240*100</f>
        <v>77.360907759882863</v>
      </c>
      <c r="AQ222" s="279">
        <f>AQ231/AQ240*100</f>
        <v>100</v>
      </c>
      <c r="AR222" s="279">
        <f>AR231/AR240*100</f>
        <v>100</v>
      </c>
      <c r="AT222" s="279" t="e">
        <f>AT231/AT240*100</f>
        <v>#DIV/0!</v>
      </c>
      <c r="AU222" s="279" t="e">
        <f>AU231/AU240*100</f>
        <v>#DIV/0!</v>
      </c>
      <c r="AW222" s="279" t="e">
        <f>AW231/AW240*100</f>
        <v>#DIV/0!</v>
      </c>
      <c r="AX222" s="279" t="e">
        <f>AX231/AX240*100</f>
        <v>#DIV/0!</v>
      </c>
      <c r="AZ222" s="279" t="e">
        <f>AZ231/AZ240*100</f>
        <v>#DIV/0!</v>
      </c>
      <c r="BA222" s="279" t="e">
        <f>BA231/BA240*100</f>
        <v>#DIV/0!</v>
      </c>
      <c r="BC222" s="279" t="e">
        <f>BC231/BC240*100</f>
        <v>#DIV/0!</v>
      </c>
      <c r="BD222" s="279" t="e">
        <f>BD231/BD240*100</f>
        <v>#DIV/0!</v>
      </c>
      <c r="BF222" s="279" t="e">
        <f>BF231/BF240*100</f>
        <v>#DIV/0!</v>
      </c>
      <c r="BG222" s="279" t="e">
        <f>BG231/BG240*100</f>
        <v>#DIV/0!</v>
      </c>
      <c r="BI222" s="279" t="e">
        <f>BI231/BI240*100</f>
        <v>#DIV/0!</v>
      </c>
      <c r="BJ222" s="279" t="e">
        <f>BJ231/BJ240*100</f>
        <v>#DIV/0!</v>
      </c>
      <c r="BL222" s="279" t="e">
        <f>BL231/BL240*100</f>
        <v>#DIV/0!</v>
      </c>
      <c r="BM222" s="279" t="e">
        <f>BM231/BM240*100</f>
        <v>#DIV/0!</v>
      </c>
      <c r="BO222" s="279" t="e">
        <f>BO231/BO240*100</f>
        <v>#DIV/0!</v>
      </c>
      <c r="BP222" s="279" t="e">
        <f>BP231/BP240*100</f>
        <v>#DIV/0!</v>
      </c>
      <c r="BR222" s="279" t="e">
        <f>BR231/BR240*100</f>
        <v>#DIV/0!</v>
      </c>
      <c r="BS222" s="279" t="e">
        <f>BS231/BS240*100</f>
        <v>#DIV/0!</v>
      </c>
      <c r="BU222" s="279" t="e">
        <f>BU231/BU240*100</f>
        <v>#DIV/0!</v>
      </c>
      <c r="BV222" s="279" t="e">
        <f>BV231/BV240*100</f>
        <v>#DIV/0!</v>
      </c>
      <c r="BX222" s="279" t="e">
        <f>BX231/BX240*100</f>
        <v>#DIV/0!</v>
      </c>
      <c r="BY222" s="279" t="e">
        <f>BY231/BY240*100</f>
        <v>#DIV/0!</v>
      </c>
      <c r="CA222" s="279" t="e">
        <f>CA231/CA240*100</f>
        <v>#DIV/0!</v>
      </c>
      <c r="CB222" s="279" t="e">
        <f>CB231/CB240*100</f>
        <v>#DIV/0!</v>
      </c>
      <c r="CD222" s="279" t="e">
        <f>CD231/CD240*100</f>
        <v>#DIV/0!</v>
      </c>
      <c r="CE222" s="279" t="e">
        <f>CE231/CE240*100</f>
        <v>#DIV/0!</v>
      </c>
      <c r="CG222" s="279">
        <f>CG231/CG240*100</f>
        <v>100</v>
      </c>
      <c r="CH222" s="279">
        <f>CH231/CH240*100</f>
        <v>100</v>
      </c>
      <c r="CJ222" s="279" t="e">
        <f>CJ231/CJ240*100</f>
        <v>#DIV/0!</v>
      </c>
      <c r="CK222" s="279" t="e">
        <f>CK231/CK240*100</f>
        <v>#DIV/0!</v>
      </c>
    </row>
    <row r="223" spans="1:89" x14ac:dyDescent="0.25">
      <c r="A223" s="107" t="s">
        <v>2383</v>
      </c>
      <c r="B223" s="96" t="s">
        <v>1182</v>
      </c>
      <c r="C223" s="312"/>
      <c r="D223" s="95"/>
      <c r="E223" s="279"/>
      <c r="F223" s="279"/>
      <c r="G223" s="279"/>
      <c r="H223" s="279"/>
      <c r="I223" s="279">
        <f t="shared" ref="I223:N223" si="382">(I227+I231-I238-I239-I243)/(I236+I240-I238-I239-I243)*100</f>
        <v>79.421463781639474</v>
      </c>
      <c r="J223" s="279">
        <f t="shared" si="382"/>
        <v>78.917311350064267</v>
      </c>
      <c r="K223" s="279">
        <f t="shared" si="382"/>
        <v>78.20139509597044</v>
      </c>
      <c r="L223" s="279">
        <f t="shared" si="382"/>
        <v>93.735917079765656</v>
      </c>
      <c r="M223" s="279">
        <f t="shared" si="382"/>
        <v>93.161231884057969</v>
      </c>
      <c r="N223" s="279">
        <f t="shared" si="382"/>
        <v>94.75620975160993</v>
      </c>
      <c r="O223" s="296"/>
      <c r="Q223" s="279">
        <f>(Q227+Q231-Q238-Q239-Q243)/(Q236+Q240-Q238-Q239-Q243)*100</f>
        <v>78.20139509597044</v>
      </c>
      <c r="R223" s="279">
        <f>(R227+R231-R238-R239-R243)/(R236+R240-R238-R239-R243)*100</f>
        <v>70.201414319989894</v>
      </c>
      <c r="S223" s="279">
        <f>(S227+S231-S238-S239-S243)/(S236+S240-S238-S239-S243)*100</f>
        <v>100</v>
      </c>
      <c r="T223" s="279">
        <f>(T227+T231-T238-T239-T243)/(T236+T240-T238-T239-T243)*100</f>
        <v>100</v>
      </c>
      <c r="V223" s="279">
        <f>(V227+V231-V238-V239-V243)/(V236+V240-V238-V239-V243)*100</f>
        <v>86.548722269025561</v>
      </c>
      <c r="W223" s="279">
        <f>(W227+W231-W238-W239-W243)/(W236+W240-W238-W239-W243)*100</f>
        <v>87.141249296567253</v>
      </c>
      <c r="Y223" s="279">
        <f>(Y227+Y231-Y238-Y239-Y243)/(Y236+Y240-Y238-Y239-Y243)*100</f>
        <v>92.575826165685825</v>
      </c>
      <c r="Z223" s="279">
        <f>(Z227+Z231-Z238-Z239-Z243)/(Z236+Z240-Z238-Z239-Z243)*100</f>
        <v>78.982504604051556</v>
      </c>
      <c r="AB223" s="279">
        <f>(AB227+AB231-AB238-AB239-AB243)/(AB236+AB240-AB238-AB239-AB243)*100</f>
        <v>81.628270206950418</v>
      </c>
      <c r="AC223" s="279">
        <f>(AC227+AC231-AC238-AC239-AC243)/(AC236+AC240-AC238-AC239-AC243)*100</f>
        <v>74.26671881110677</v>
      </c>
      <c r="AE223" s="279">
        <f>(AE227+AE231-AE238-AE239-AE243)/(AE236+AE240-AE238-AE239-AE243)*100</f>
        <v>100</v>
      </c>
      <c r="AF223" s="279">
        <f>(AF227+AF231-AF238-AF239-AF243)/(AF236+AF240-AF238-AF239-AF243)*100</f>
        <v>100</v>
      </c>
      <c r="AH223" s="279">
        <f>(AH227+AH231-AH238-AH239-AH243)/(AH236+AH240-AH238-AH239-AH243)*100</f>
        <v>95.900537634408607</v>
      </c>
      <c r="AI223" s="279">
        <f>(AI227+AI231-AI238-AI239-AI243)/(AI236+AI240-AI238-AI239-AI243)*100</f>
        <v>93.735917079765656</v>
      </c>
      <c r="AK223" s="279">
        <f>(AK227+AK231-AK238-AK239-AK243)/(AK236+AK240-AK238-AK239-AK243)*100</f>
        <v>75.89608681354818</v>
      </c>
      <c r="AL223" s="279">
        <f>(AL227+AL231-AL238-AL239-AL243)/(AL236+AL240-AL238-AL239-AL243)*100</f>
        <v>74.158946855192582</v>
      </c>
      <c r="AN223" s="279">
        <f>(AN227+AN231-AN238-AN239-AN243)/(AN236+AN240-AN238-AN239-AN243)*100</f>
        <v>83.276311974485367</v>
      </c>
      <c r="AO223" s="279">
        <f>(AO227+AO231-AO238-AO239-AO243)/(AO236+AO240-AO238-AO239-AO243)*100</f>
        <v>83.924855491329481</v>
      </c>
      <c r="AQ223" s="279">
        <f>(AQ227+AQ231-AQ238-AQ239-AQ243)/(AQ236+AQ240-AQ238-AQ239-AQ243)*100</f>
        <v>100</v>
      </c>
      <c r="AR223" s="279">
        <f>(AR227+AR231-AR238-AR239-AR243)/(AR236+AR240-AR238-AR239-AR243)*100</f>
        <v>100</v>
      </c>
      <c r="AT223" s="279">
        <f>(AT227+AT231-AT238-AT239-AT243)/(AT236+AT240-AT238-AT239-AT243)*100</f>
        <v>53.662753007275086</v>
      </c>
      <c r="AU223" s="279">
        <f>(AU227+AU231-AU238-AU239-AU243)/(AU236+AU240-AU238-AU239-AU243)*100</f>
        <v>54.612341223016593</v>
      </c>
      <c r="AW223" s="279">
        <f>(AW227+AW231-AW238-AW239-AW243)/(AW236+AW240-AW238-AW239-AW243)*100</f>
        <v>95.169361046959196</v>
      </c>
      <c r="AX223" s="279">
        <f>(AX227+AX231-AX238-AX239-AX243)/(AX236+AX240-AX238-AX239-AX243)*100</f>
        <v>70.573754970649489</v>
      </c>
      <c r="AZ223" s="279">
        <f>(AZ227+AZ231-AZ238-AZ239-AZ243)/(AZ236+AZ240-AZ238-AZ239-AZ243)*100</f>
        <v>87.479452054794521</v>
      </c>
      <c r="BA223" s="279">
        <f>(BA227+BA231-BA238-BA239-BA243)/(BA236+BA240-BA238-BA239-BA243)*100</f>
        <v>73.419817830527194</v>
      </c>
      <c r="BC223" s="279">
        <f>(BC227+BC231-BC238-BC239-BC243)/(BC236+BC240-BC238-BC239-BC243)*100</f>
        <v>71.977754605491825</v>
      </c>
      <c r="BD223" s="279">
        <f>(BD227+BD231-BD238-BD239-BD243)/(BD236+BD240-BD238-BD239-BD243)*100</f>
        <v>66.134969325153364</v>
      </c>
      <c r="BF223" s="279">
        <f>(BF227+BF231-BF238-BF239-BF243)/(BF236+BF240-BF238-BF239-BF243)*100</f>
        <v>85.167112495958136</v>
      </c>
      <c r="BG223" s="279">
        <f>(BG227+BG231-BG238-BG239-BG243)/(BG236+BG240-BG238-BG239-BG243)*100</f>
        <v>66.37416035443762</v>
      </c>
      <c r="BI223" s="279">
        <f>(BI227+BI231-BI238-BI239-BI243)/(BI236+BI240-BI238-BI239-BI243)*100</f>
        <v>66.957610943216167</v>
      </c>
      <c r="BJ223" s="279">
        <f>(BJ227+BJ231-BJ238-BJ239-BJ243)/(BJ236+BJ240-BJ238-BJ239-BJ243)*100</f>
        <v>62.429249762583098</v>
      </c>
      <c r="BL223" s="279">
        <f>(BL227+BL231-BL238-BL239-BL243)/(BL236+BL240-BL238-BL239-BL243)*100</f>
        <v>82.374933238383477</v>
      </c>
      <c r="BM223" s="279">
        <f>(BM227+BM231-BM238-BM239-BM243)/(BM236+BM240-BM238-BM239-BM243)*100</f>
        <v>59.695885509838995</v>
      </c>
      <c r="BO223" s="279">
        <f>(BO227+BO231-BO238-BO239-BO243)/(BO236+BO240-BO238-BO239-BO243)*100</f>
        <v>80.269143290371488</v>
      </c>
      <c r="BP223" s="279">
        <f>(BP227+BP231-BP238-BP239-BP243)/(BP236+BP240-BP238-BP239-BP243)*100</f>
        <v>72.886792452830178</v>
      </c>
      <c r="BR223" s="279">
        <f>(BR227+BR231-BR238-BR239-BR243)/(BR236+BR240-BR238-BR239-BR243)*100</f>
        <v>82.383742675476881</v>
      </c>
      <c r="BS223" s="279">
        <f>(BS227+BS231-BS238-BS239-BS243)/(BS236+BS240-BS238-BS239-BS243)*100</f>
        <v>65.038845726970024</v>
      </c>
      <c r="BU223" s="279">
        <f>(BU227+BU231-BU238-BU239-BU243)/(BU236+BU240-BU238-BU239-BU243)*100</f>
        <v>76.580531861515297</v>
      </c>
      <c r="BV223" s="279">
        <f>(BV227+BV231-BV238-BV239-BV243)/(BV236+BV240-BV238-BV239-BV243)*100</f>
        <v>68.388378445492918</v>
      </c>
      <c r="BX223" s="279">
        <f>(BX227+BX231-BX238-BX239-BX243)/(BX236+BX240-BX238-BX239-BX243)*100</f>
        <v>100</v>
      </c>
      <c r="BY223" s="279">
        <f>(BY227+BY231-BY238-BY239-BY243)/(BY236+BY240-BY238-BY239-BY243)*100</f>
        <v>100</v>
      </c>
      <c r="CA223" s="279">
        <f>(CA227+CA231-CA238-CA239-CA243)/(CA236+CA240-CA238-CA239-CA243)*100</f>
        <v>76.070175438596493</v>
      </c>
      <c r="CB223" s="279">
        <f>(CB227+CB231-CB238-CB239-CB243)/(CB236+CB240-CB238-CB239-CB243)*100</f>
        <v>84.804258241758248</v>
      </c>
      <c r="CD223" s="279">
        <f>(CD227+CD231-CD238-CD239-CD243)/(CD236+CD240-CD238-CD239-CD243)*100</f>
        <v>81.732580037664775</v>
      </c>
      <c r="CE223" s="279">
        <f>(CE227+CE231-CE238-CE239-CE243)/(CE236+CE240-CE238-CE239-CE243)*100</f>
        <v>60.025849335302809</v>
      </c>
      <c r="CG223" s="279">
        <f>(CG227+CG231-CG238-CG239-CG243)/(CG236+CG240-CG238-CG239-CG243)*100</f>
        <v>100</v>
      </c>
      <c r="CH223" s="279">
        <f>(CH227+CH231-CH238-CH239-CH243)/(CH236+CH240-CH238-CH239-CH243)*100</f>
        <v>100</v>
      </c>
      <c r="CJ223" s="279">
        <f>(CJ227+CJ231-CJ238-CJ239-CJ243)/(CJ236+CJ240-CJ238-CJ239-CJ243)*100</f>
        <v>86.036036036036037</v>
      </c>
      <c r="CK223" s="279">
        <f>(CK227+CK231-CK238-CK239-CK243)/(CK236+CK240-CK238-CK239-CK243)*100</f>
        <v>87.31343283582089</v>
      </c>
    </row>
    <row r="224" spans="1:89" x14ac:dyDescent="0.25">
      <c r="A224" s="107"/>
      <c r="B224" s="96" t="s">
        <v>1183</v>
      </c>
      <c r="C224" s="312"/>
      <c r="D224" s="95"/>
      <c r="E224" s="279"/>
      <c r="F224" s="279"/>
      <c r="G224" s="279"/>
      <c r="H224" s="279"/>
      <c r="I224" s="279">
        <f t="shared" ref="I224:N224" si="383">(I227-I238-I239)/(I236-I238-I239)*100</f>
        <v>78.529504272775256</v>
      </c>
      <c r="J224" s="279">
        <f t="shared" si="383"/>
        <v>77.897244066010146</v>
      </c>
      <c r="K224" s="279">
        <f t="shared" si="383"/>
        <v>77.237754361374613</v>
      </c>
      <c r="L224" s="279">
        <f t="shared" si="383"/>
        <v>94.098625707356504</v>
      </c>
      <c r="M224" s="279">
        <f t="shared" si="383"/>
        <v>92.404040404040401</v>
      </c>
      <c r="N224" s="279">
        <f t="shared" si="383"/>
        <v>92.354368932038838</v>
      </c>
      <c r="Q224" s="279">
        <f>(Q227-Q238-Q239)/(Q236-Q238-Q239)*100</f>
        <v>77.237754361374613</v>
      </c>
      <c r="R224" s="279">
        <f>(R227-R238-R239)/(R236-R238-R239)*100</f>
        <v>68.742424242424235</v>
      </c>
      <c r="S224" s="279">
        <f>(S227-S238-S239)/(S236-S238-S239)*100</f>
        <v>100</v>
      </c>
      <c r="T224" s="279">
        <f>(T227-T238-T239)/(T236-T238-T239)*100</f>
        <v>100</v>
      </c>
      <c r="V224" s="279">
        <f>(V227-V238-V239)/(V236-V238-V239)*100</f>
        <v>77.65858208955224</v>
      </c>
      <c r="W224" s="279">
        <f>(W227-W238-W239)/(W236-W238-W239)*100</f>
        <v>81.173131504257327</v>
      </c>
      <c r="Y224" s="279">
        <f>(Y227-Y238-Y239)/(Y236-Y238-Y239)*100</f>
        <v>91.689189189189193</v>
      </c>
      <c r="Z224" s="279">
        <f>(Z227-Z238-Z239)/(Z236-Z238-Z239)*100</f>
        <v>73.199044042335274</v>
      </c>
      <c r="AB224" s="279">
        <f>(AB227-AB238-AB239)/(AB236-AB238-AB239)*100</f>
        <v>79.587628865979383</v>
      </c>
      <c r="AC224" s="279">
        <f>(AC227-AC238-AC239)/(AC236-AC238-AC239)*100</f>
        <v>74.404356705241653</v>
      </c>
      <c r="AE224" s="279">
        <f>(AE227-AE238-AE239)/(AE236-AE238-AE239)*100</f>
        <v>100</v>
      </c>
      <c r="AF224" s="279">
        <f>(AF227-AF238-AF239)/(AF236-AF238-AF239)*100</f>
        <v>100</v>
      </c>
      <c r="AH224" s="279">
        <f>(AH227-AH238-AH239)/(AH236-AH238-AH239)*100</f>
        <v>94.690265486725664</v>
      </c>
      <c r="AI224" s="279">
        <f>(AI227-AI238-AI239)/(AI236-AI238-AI239)*100</f>
        <v>94.098625707356504</v>
      </c>
      <c r="AK224" s="279">
        <f>(AK227-AK238-AK239)/(AK236-AK238-AK239)*100</f>
        <v>74.693595718971167</v>
      </c>
      <c r="AL224" s="279">
        <f>(AL227-AL238-AL239)/(AL236-AL238-AL239)*100</f>
        <v>72.89464711899079</v>
      </c>
      <c r="AN224" s="279">
        <f>(AN227-AN238-AN239)/(AN236-AN238-AN239)*100</f>
        <v>87.122429985616378</v>
      </c>
      <c r="AO224" s="279">
        <f>(AO227-AO238-AO239)/(AO236-AO238-AO239)*100</f>
        <v>87.01320548406089</v>
      </c>
      <c r="AQ224" s="279" t="e">
        <f>(AQ227-AQ238-AQ239)/(AQ236-AQ238-AQ239)*100</f>
        <v>#DIV/0!</v>
      </c>
      <c r="AR224" s="279" t="e">
        <f>(AR227-AR238-AR239)/(AR236-AR238-AR239)*100</f>
        <v>#DIV/0!</v>
      </c>
      <c r="AT224" s="279">
        <f>(AT227-AT238-AT239)/(AT236-AT238-AT239)*100</f>
        <v>53.662753007275086</v>
      </c>
      <c r="AU224" s="279">
        <f>(AU227-AU238-AU239)/(AU236-AU238-AU239)*100</f>
        <v>54.612341223016593</v>
      </c>
      <c r="AW224" s="279">
        <f>(AW227-AW238-AW239)/(AW236-AW238-AW239)*100</f>
        <v>95.169361046959196</v>
      </c>
      <c r="AX224" s="279">
        <f>(AX227-AX238-AX239)/(AX236-AX238-AX239)*100</f>
        <v>70.573754970649489</v>
      </c>
      <c r="AZ224" s="279">
        <f>(AZ227-AZ238-AZ239)/(AZ236-AZ238-AZ239)*100</f>
        <v>87.479452054794521</v>
      </c>
      <c r="BA224" s="279">
        <f>(BA227-BA238-BA239)/(BA236-BA238-BA239)*100</f>
        <v>73.419817830527194</v>
      </c>
      <c r="BC224" s="279">
        <f>(BC227-BC238-BC239)/(BC236-BC238-BC239)*100</f>
        <v>71.977754605491825</v>
      </c>
      <c r="BD224" s="279">
        <f>(BD227-BD238-BD239)/(BD236-BD238-BD239)*100</f>
        <v>66.134969325153364</v>
      </c>
      <c r="BF224" s="279">
        <f>(BF227-BF238-BF239)/(BF236-BF238-BF239)*100</f>
        <v>85.167112495958136</v>
      </c>
      <c r="BG224" s="279">
        <f>(BG227-BG238-BG239)/(BG236-BG238-BG239)*100</f>
        <v>66.37416035443762</v>
      </c>
      <c r="BI224" s="279">
        <f>(BI227-BI238-BI239)/(BI236-BI238-BI239)*100</f>
        <v>66.957610943216167</v>
      </c>
      <c r="BJ224" s="279">
        <f>(BJ227-BJ238-BJ239)/(BJ236-BJ238-BJ239)*100</f>
        <v>62.429249762583098</v>
      </c>
      <c r="BL224" s="279">
        <f>(BL227-BL238-BL239)/(BL236-BL238-BL239)*100</f>
        <v>82.374933238383477</v>
      </c>
      <c r="BM224" s="279">
        <f>(BM227-BM238-BM239)/(BM236-BM238-BM239)*100</f>
        <v>59.695885509838995</v>
      </c>
      <c r="BO224" s="279">
        <f>(BO227-BO238-BO239)/(BO236-BO238-BO239)*100</f>
        <v>80.269143290371488</v>
      </c>
      <c r="BP224" s="279">
        <f>(BP227-BP238-BP239)/(BP236-BP238-BP239)*100</f>
        <v>72.886792452830178</v>
      </c>
      <c r="BR224" s="279">
        <f>(BR227-BR238-BR239)/(BR236-BR238-BR239)*100</f>
        <v>82.383742675476881</v>
      </c>
      <c r="BS224" s="279">
        <f>(BS227-BS238-BS239)/(BS236-BS238-BS239)*100</f>
        <v>65.038845726970024</v>
      </c>
      <c r="BU224" s="279">
        <f>(BU227-BU238-BU239)/(BU236-BU238-BU239)*100</f>
        <v>76.580531861515297</v>
      </c>
      <c r="BV224" s="279">
        <f>(BV227-BV238-BV239)/(BV236-BV238-BV239)*100</f>
        <v>68.388378445492918</v>
      </c>
      <c r="BX224" s="279">
        <f>(BX227-BX238-BX239)/(BX236-BX238-BX239)*100</f>
        <v>100</v>
      </c>
      <c r="BY224" s="279">
        <f>(BY227-BY238-BY239)/(BY236-BY238-BY239)*100</f>
        <v>100</v>
      </c>
      <c r="CA224" s="279">
        <f>(CA227-CA238-CA239)/(CA236-CA238-CA239)*100</f>
        <v>76.070175438596493</v>
      </c>
      <c r="CB224" s="279">
        <f>(CB227-CB238-CB239)/(CB236-CB238-CB239)*100</f>
        <v>84.804258241758248</v>
      </c>
      <c r="CD224" s="279">
        <f>(CD227-CD238-CD239)/(CD236-CD238-CD239)*100</f>
        <v>81.732580037664775</v>
      </c>
      <c r="CE224" s="279">
        <f>(CE227-CE238-CE239)/(CE236-CE238-CE239)*100</f>
        <v>60.025849335302809</v>
      </c>
      <c r="CG224" s="279">
        <f>(CG227-CG238-CG239)/(CG236-CG238-CG239)*100</f>
        <v>100</v>
      </c>
      <c r="CH224" s="279">
        <f>(CH227-CH238-CH239)/(CH236-CH238-CH239)*100</f>
        <v>100</v>
      </c>
      <c r="CJ224" s="279">
        <f>(CJ227-CJ238-CJ239)/(CJ236-CJ238-CJ239)*100</f>
        <v>86.036036036036037</v>
      </c>
      <c r="CK224" s="279">
        <f>(CK227-CK238-CK239)/(CK236-CK238-CK239)*100</f>
        <v>87.31343283582089</v>
      </c>
    </row>
    <row r="225" spans="1:89" x14ac:dyDescent="0.25">
      <c r="A225" s="107"/>
      <c r="B225" s="96" t="s">
        <v>1185</v>
      </c>
      <c r="C225" s="312"/>
      <c r="D225" s="95"/>
      <c r="E225" s="279"/>
      <c r="F225" s="279"/>
      <c r="G225" s="279"/>
      <c r="H225" s="279"/>
      <c r="I225" s="279">
        <f t="shared" ref="I225:N225" si="384">(I231-I243)/(I240-I243)*100</f>
        <v>89.202618964106165</v>
      </c>
      <c r="J225" s="279">
        <f t="shared" si="384"/>
        <v>90.341994097563799</v>
      </c>
      <c r="K225" s="279">
        <f t="shared" si="384"/>
        <v>89.340894624153705</v>
      </c>
      <c r="L225" s="279">
        <f t="shared" si="384"/>
        <v>93.279022403258665</v>
      </c>
      <c r="M225" s="279">
        <f t="shared" si="384"/>
        <v>94.126738794435866</v>
      </c>
      <c r="N225" s="279">
        <f t="shared" si="384"/>
        <v>97.921108742004265</v>
      </c>
      <c r="Q225" s="279">
        <f>(Q231-Q243)/(Q240-Q243)*100</f>
        <v>89.340894624153705</v>
      </c>
      <c r="R225" s="279">
        <f>(R231-R243)/(R240-R243)*100</f>
        <v>87.625496147560128</v>
      </c>
      <c r="S225" s="279">
        <f>(S231-S243)/(S240-S243)*100</f>
        <v>100</v>
      </c>
      <c r="T225" s="279">
        <f>(T231-T243)/(T240-T243)*100</f>
        <v>100</v>
      </c>
      <c r="V225" s="279">
        <f>(V231-V243)/(V240-V243)*100</f>
        <v>100</v>
      </c>
      <c r="W225" s="279">
        <f>(W231-W243)/(W240-W243)*100</f>
        <v>95.902777777777786</v>
      </c>
      <c r="Y225" s="279">
        <f>(Y231-Y243)/(Y240-Y243)*100</f>
        <v>94.375857338820296</v>
      </c>
      <c r="Z225" s="279">
        <f>(Z231-Z243)/(Z240-Z243)*100</f>
        <v>90.954063604240289</v>
      </c>
      <c r="AB225" s="279">
        <f>(AB231-AB243)/(AB240-AB243)*100</f>
        <v>84.312839059674502</v>
      </c>
      <c r="AC225" s="279">
        <f>(AC231-AC243)/(AC240-AC243)*100</f>
        <v>74.080882352941174</v>
      </c>
      <c r="AE225" s="279">
        <f>(AE231-AE243)/(AE240-AE243)*100</f>
        <v>100</v>
      </c>
      <c r="AF225" s="279">
        <f>(AF231-AF243)/(AF240-AF243)*100</f>
        <v>100</v>
      </c>
      <c r="AH225" s="279">
        <f>(AH231-AH243)/(AH240-AH243)*100</f>
        <v>97.421638018200213</v>
      </c>
      <c r="AI225" s="279">
        <f>(AI231-AI243)/(AI240-AI243)*100</f>
        <v>93.279022403258665</v>
      </c>
      <c r="AK225" s="279">
        <f>(AK231-AK243)/(AK240-AK243)*100</f>
        <v>100</v>
      </c>
      <c r="AL225" s="279">
        <f>(AL231-AL243)/(AL240-AL243)*100</f>
        <v>100</v>
      </c>
      <c r="AN225" s="279">
        <f>(AN231-AN243)/(AN240-AN243)*100</f>
        <v>74.89863619609288</v>
      </c>
      <c r="AO225" s="279">
        <f>(AO231-AO243)/(AO240-AO243)*100</f>
        <v>77.139160968397718</v>
      </c>
      <c r="AQ225" s="279">
        <f>(AQ231-AQ243)/(AQ240-AQ243)*100</f>
        <v>100</v>
      </c>
      <c r="AR225" s="279">
        <f>(AR231-AR243)/(AR240-AR243)*100</f>
        <v>100</v>
      </c>
      <c r="AT225" s="279" t="e">
        <f>(AT231-AT243)/(AT240-AT243)*100</f>
        <v>#DIV/0!</v>
      </c>
      <c r="AU225" s="279" t="e">
        <f>(AU231-AU243)/(AU240-AU243)*100</f>
        <v>#DIV/0!</v>
      </c>
      <c r="AW225" s="279" t="e">
        <f>(AW231-AW243)/(AW240-AW243)*100</f>
        <v>#DIV/0!</v>
      </c>
      <c r="AX225" s="279" t="e">
        <f>(AX231-AX243)/(AX240-AX243)*100</f>
        <v>#DIV/0!</v>
      </c>
      <c r="AZ225" s="279" t="e">
        <f>(AZ231-AZ243)/(AZ240-AZ243)*100</f>
        <v>#DIV/0!</v>
      </c>
      <c r="BA225" s="279" t="e">
        <f>(BA231-BA243)/(BA240-BA243)*100</f>
        <v>#DIV/0!</v>
      </c>
      <c r="BC225" s="279" t="e">
        <f>(BC231-BC243)/(BC240-BC243)*100</f>
        <v>#DIV/0!</v>
      </c>
      <c r="BD225" s="279" t="e">
        <f>(BD231-BD243)/(BD240-BD243)*100</f>
        <v>#DIV/0!</v>
      </c>
      <c r="BF225" s="279" t="e">
        <f>(BF231-BF243)/(BF240-BF243)*100</f>
        <v>#DIV/0!</v>
      </c>
      <c r="BG225" s="279" t="e">
        <f>(BG231-BG243)/(BG240-BG243)*100</f>
        <v>#DIV/0!</v>
      </c>
      <c r="BI225" s="279" t="e">
        <f>(BI231-BI243)/(BI240-BI243)*100</f>
        <v>#DIV/0!</v>
      </c>
      <c r="BJ225" s="279" t="e">
        <f>(BJ231-BJ243)/(BJ240-BJ243)*100</f>
        <v>#DIV/0!</v>
      </c>
      <c r="BL225" s="279" t="e">
        <f>(BL231-BL243)/(BL240-BL243)*100</f>
        <v>#DIV/0!</v>
      </c>
      <c r="BM225" s="279" t="e">
        <f>(BM231-BM243)/(BM240-BM243)*100</f>
        <v>#DIV/0!</v>
      </c>
      <c r="BO225" s="279" t="e">
        <f>(BO231-BO243)/(BO240-BO243)*100</f>
        <v>#DIV/0!</v>
      </c>
      <c r="BP225" s="279" t="e">
        <f>(BP231-BP243)/(BP240-BP243)*100</f>
        <v>#DIV/0!</v>
      </c>
      <c r="BR225" s="279" t="e">
        <f>(BR231-BR243)/(BR240-BR243)*100</f>
        <v>#DIV/0!</v>
      </c>
      <c r="BS225" s="279" t="e">
        <f>(BS231-BS243)/(BS240-BS243)*100</f>
        <v>#DIV/0!</v>
      </c>
      <c r="BU225" s="279" t="e">
        <f>(BU231-BU243)/(BU240-BU243)*100</f>
        <v>#DIV/0!</v>
      </c>
      <c r="BV225" s="279" t="e">
        <f>(BV231-BV243)/(BV240-BV243)*100</f>
        <v>#DIV/0!</v>
      </c>
      <c r="BX225" s="279" t="e">
        <f>(BX231-BX243)/(BX240-BX243)*100</f>
        <v>#DIV/0!</v>
      </c>
      <c r="BY225" s="279" t="e">
        <f>(BY231-BY243)/(BY240-BY243)*100</f>
        <v>#DIV/0!</v>
      </c>
      <c r="CA225" s="279" t="e">
        <f>(CA231-CA243)/(CA240-CA243)*100</f>
        <v>#DIV/0!</v>
      </c>
      <c r="CB225" s="279" t="e">
        <f>(CB231-CB243)/(CB240-CB243)*100</f>
        <v>#DIV/0!</v>
      </c>
      <c r="CD225" s="279" t="e">
        <f>(CD231-CD243)/(CD240-CD243)*100</f>
        <v>#DIV/0!</v>
      </c>
      <c r="CE225" s="279" t="e">
        <f>(CE231-CE243)/(CE240-CE243)*100</f>
        <v>#DIV/0!</v>
      </c>
      <c r="CG225" s="279">
        <f>(CG231-CG243)/(CG240-CG243)*100</f>
        <v>100</v>
      </c>
      <c r="CH225" s="279">
        <f>(CH231-CH243)/(CH240-CH243)*100</f>
        <v>100</v>
      </c>
      <c r="CJ225" s="279" t="e">
        <f>(CJ231-CJ243)/(CJ240-CJ243)*100</f>
        <v>#DIV/0!</v>
      </c>
      <c r="CK225" s="279" t="e">
        <f>(CK231-CK243)/(CK240-CK243)*100</f>
        <v>#DIV/0!</v>
      </c>
    </row>
    <row r="226" spans="1:89" x14ac:dyDescent="0.25">
      <c r="A226" s="107"/>
      <c r="B226" s="294" t="s">
        <v>1831</v>
      </c>
      <c r="C226" s="312"/>
      <c r="D226" s="95"/>
      <c r="E226" s="282"/>
      <c r="F226" s="282"/>
      <c r="G226" s="282"/>
      <c r="H226" s="282"/>
      <c r="I226" s="282"/>
      <c r="J226" s="282"/>
      <c r="K226" s="282"/>
      <c r="L226" s="282"/>
      <c r="M226" s="282"/>
      <c r="N226" s="282"/>
      <c r="Q226" s="282"/>
      <c r="R226" s="282"/>
      <c r="S226" s="282"/>
      <c r="T226" s="282"/>
      <c r="V226" s="282"/>
      <c r="W226" s="282"/>
      <c r="Y226" s="282"/>
      <c r="Z226" s="282"/>
      <c r="AB226" s="282"/>
      <c r="AC226" s="282"/>
      <c r="AE226" s="282"/>
      <c r="AF226" s="282"/>
      <c r="AH226" s="282"/>
      <c r="AI226" s="282"/>
      <c r="AK226" s="282"/>
      <c r="AL226" s="282"/>
      <c r="AN226" s="282"/>
      <c r="AO226" s="282"/>
      <c r="AQ226" s="282"/>
      <c r="AR226" s="282"/>
      <c r="AT226" s="282"/>
      <c r="AU226" s="282"/>
      <c r="AW226" s="282"/>
      <c r="AX226" s="282"/>
      <c r="AZ226" s="282"/>
      <c r="BA226" s="282"/>
      <c r="BC226" s="282"/>
      <c r="BD226" s="282"/>
      <c r="BF226" s="282"/>
      <c r="BG226" s="282"/>
      <c r="BI226" s="282"/>
      <c r="BJ226" s="282"/>
      <c r="BL226" s="282"/>
      <c r="BM226" s="282"/>
      <c r="BO226" s="282"/>
      <c r="BP226" s="282"/>
      <c r="BR226" s="282"/>
      <c r="BS226" s="282"/>
      <c r="BU226" s="282"/>
      <c r="BV226" s="282"/>
      <c r="BX226" s="282"/>
      <c r="BY226" s="282"/>
      <c r="CA226" s="282"/>
      <c r="CB226" s="282"/>
      <c r="CD226" s="282"/>
      <c r="CE226" s="282"/>
      <c r="CG226" s="282"/>
      <c r="CH226" s="282"/>
      <c r="CJ226" s="282"/>
      <c r="CK226" s="282"/>
    </row>
    <row r="227" spans="1:89" x14ac:dyDescent="0.25">
      <c r="A227" s="107"/>
      <c r="B227" s="294" t="s">
        <v>1183</v>
      </c>
      <c r="C227" s="312"/>
      <c r="D227" s="95"/>
      <c r="E227" s="282"/>
      <c r="F227" s="282"/>
      <c r="G227" s="282"/>
      <c r="H227" s="282"/>
      <c r="I227" s="282">
        <f t="shared" ref="I227:N227" si="385">SUM(I228:I230)</f>
        <v>150854</v>
      </c>
      <c r="J227" s="282">
        <f t="shared" si="385"/>
        <v>154584</v>
      </c>
      <c r="K227" s="282">
        <f t="shared" si="385"/>
        <v>158243</v>
      </c>
      <c r="L227" s="282">
        <f t="shared" si="385"/>
        <v>2328</v>
      </c>
      <c r="M227" s="282">
        <f t="shared" si="385"/>
        <v>2287</v>
      </c>
      <c r="N227" s="282">
        <f t="shared" si="385"/>
        <v>2283</v>
      </c>
      <c r="O227" s="286"/>
      <c r="Q227" s="282">
        <f>SUM(Q228:Q230)</f>
        <v>158243</v>
      </c>
      <c r="R227" s="282">
        <f>SUM(R228:R230)</f>
        <v>144574</v>
      </c>
      <c r="S227" s="282">
        <f>SUM(S228:S230)</f>
        <v>2655</v>
      </c>
      <c r="T227" s="282">
        <f>SUM(T228:T230)</f>
        <v>2777</v>
      </c>
      <c r="V227" s="282">
        <f>SUM(V228:V230)</f>
        <v>1665</v>
      </c>
      <c r="W227" s="282">
        <f>SUM(W228:W230)</f>
        <v>1716</v>
      </c>
      <c r="Y227" s="282">
        <f>SUM(Y228:Y230)</f>
        <v>2714</v>
      </c>
      <c r="Z227" s="282">
        <f>SUM(Z228:Z230)</f>
        <v>2144</v>
      </c>
      <c r="AB227" s="282">
        <f>SUM(AB228:AB230)</f>
        <v>2316</v>
      </c>
      <c r="AC227" s="282">
        <f>SUM(AC228:AC230)</f>
        <v>2186</v>
      </c>
      <c r="AE227" s="282">
        <f>SUM(AE228:AE230)</f>
        <v>2853</v>
      </c>
      <c r="AF227" s="282">
        <f>SUM(AF228:AF230)</f>
        <v>2901</v>
      </c>
      <c r="AH227" s="282">
        <f>SUM(AH228:AH230)</f>
        <v>2354</v>
      </c>
      <c r="AI227" s="282">
        <f>SUM(AI228:AI230)</f>
        <v>2328</v>
      </c>
      <c r="AK227" s="282">
        <f>SUM(AK228:AK230)</f>
        <v>4489</v>
      </c>
      <c r="AL227" s="282">
        <f>SUM(AL228:AL230)</f>
        <v>4437</v>
      </c>
      <c r="AN227" s="282">
        <f>SUM(AN228:AN230)</f>
        <v>10393</v>
      </c>
      <c r="AO227" s="282">
        <f>SUM(AO228:AO230)</f>
        <v>10437</v>
      </c>
      <c r="AQ227" s="282">
        <f>SUM(AQ228:AQ230)</f>
        <v>0</v>
      </c>
      <c r="AR227" s="282">
        <f>SUM(AR228:AR230)</f>
        <v>0</v>
      </c>
      <c r="AT227" s="282">
        <f>SUM(AT228:AT230)</f>
        <v>7621</v>
      </c>
      <c r="AU227" s="282">
        <f>SUM(AU228:AU230)</f>
        <v>8008</v>
      </c>
      <c r="AW227" s="282">
        <f>SUM(AW228:AW230)</f>
        <v>5018</v>
      </c>
      <c r="AX227" s="282">
        <f>SUM(AX228:AX230)</f>
        <v>3802</v>
      </c>
      <c r="AZ227" s="282">
        <f>SUM(AZ228:AZ230)</f>
        <v>6386</v>
      </c>
      <c r="BA227" s="282">
        <f>SUM(BA228:BA230)</f>
        <v>5320</v>
      </c>
      <c r="BC227" s="282">
        <f>SUM(BC228:BC230)</f>
        <v>10507</v>
      </c>
      <c r="BD227" s="282">
        <f>SUM(BD228:BD230)</f>
        <v>9846</v>
      </c>
      <c r="BF227" s="282">
        <f>SUM(BF228:BF230)</f>
        <v>29085</v>
      </c>
      <c r="BG227" s="282">
        <f>SUM(BG228:BG230)</f>
        <v>23347</v>
      </c>
      <c r="BI227" s="282">
        <f>SUM(BI228:BI230)</f>
        <v>34465</v>
      </c>
      <c r="BJ227" s="282">
        <f>SUM(BJ228:BJ230)</f>
        <v>33662</v>
      </c>
      <c r="BL227" s="282">
        <f>SUM(BL228:BL230)</f>
        <v>4627</v>
      </c>
      <c r="BM227" s="282">
        <f>SUM(BM228:BM230)</f>
        <v>3337</v>
      </c>
      <c r="BO227" s="282">
        <f>SUM(BO228:BO230)</f>
        <v>4243</v>
      </c>
      <c r="BP227" s="282">
        <f>SUM(BP228:BP230)</f>
        <v>3882</v>
      </c>
      <c r="BR227" s="282">
        <f>SUM(BR228:BR230)</f>
        <v>6608</v>
      </c>
      <c r="BS227" s="282">
        <f>SUM(BS228:BS230)</f>
        <v>5274</v>
      </c>
      <c r="BU227" s="282">
        <f>SUM(BU228:BU230)</f>
        <v>6150</v>
      </c>
      <c r="BV227" s="282">
        <f>SUM(BV228:BV230)</f>
        <v>5552</v>
      </c>
      <c r="BX227" s="282">
        <f>SUM(BX228:BX230)</f>
        <v>2132</v>
      </c>
      <c r="BY227" s="282">
        <f>SUM(BY228:BY230)</f>
        <v>2198</v>
      </c>
      <c r="CA227" s="282">
        <f>SUM(CA228:CA230)</f>
        <v>4346</v>
      </c>
      <c r="CB227" s="282">
        <f>SUM(CB228:CB230)</f>
        <v>4950</v>
      </c>
      <c r="CD227" s="282">
        <f>SUM(CD228:CD230)</f>
        <v>4340</v>
      </c>
      <c r="CE227" s="282">
        <f>SUM(CE228:CE230)</f>
        <v>3251</v>
      </c>
      <c r="CG227" s="282">
        <f>SUM(CG228:CG230)</f>
        <v>2703</v>
      </c>
      <c r="CH227" s="282">
        <f>SUM(CH228:CH230)</f>
        <v>2634</v>
      </c>
      <c r="CJ227" s="282">
        <f>SUM(CJ228:CJ230)</f>
        <v>573</v>
      </c>
      <c r="CK227" s="282">
        <f>SUM(CK228:CK230)</f>
        <v>585</v>
      </c>
    </row>
    <row r="228" spans="1:89" ht="30" x14ac:dyDescent="0.25">
      <c r="A228" s="107"/>
      <c r="B228" s="294"/>
      <c r="C228" s="312" t="s">
        <v>1832</v>
      </c>
      <c r="D228" s="95"/>
      <c r="E228" s="282"/>
      <c r="F228" s="282"/>
      <c r="G228" s="282"/>
      <c r="H228" s="282"/>
      <c r="I228" s="282">
        <f>62032+846+680</f>
        <v>63558</v>
      </c>
      <c r="J228" s="282">
        <f>64405+952+736</f>
        <v>66093</v>
      </c>
      <c r="K228" s="282">
        <f>66423+1013+812</f>
        <v>68248</v>
      </c>
      <c r="L228" s="282">
        <v>891</v>
      </c>
      <c r="M228" s="282">
        <v>857</v>
      </c>
      <c r="N228" s="282">
        <v>855</v>
      </c>
      <c r="P228" s="296"/>
      <c r="Q228" s="286">
        <f t="shared" ref="Q228:R230" si="386">S228+V228+Y228+AB228+AE228+AH228+AK228+AN228+AQ228+AT228+AW228+AZ228+BC228+BF228+BI228+BL228+BO228+BR228+BU228+BX228+CA228+CD228+CG228+CJ228</f>
        <v>68248</v>
      </c>
      <c r="R228" s="286">
        <f t="shared" si="386"/>
        <v>65393</v>
      </c>
      <c r="S228" s="286">
        <v>1155</v>
      </c>
      <c r="T228" s="286">
        <f>1183+34</f>
        <v>1217</v>
      </c>
      <c r="U228" s="286"/>
      <c r="V228" s="286">
        <v>643</v>
      </c>
      <c r="W228" s="286">
        <v>637</v>
      </c>
      <c r="X228" s="286"/>
      <c r="Y228" s="286">
        <v>1010</v>
      </c>
      <c r="Z228" s="286">
        <v>849</v>
      </c>
      <c r="AA228" s="286"/>
      <c r="AB228" s="286">
        <v>950</v>
      </c>
      <c r="AC228" s="286">
        <v>936</v>
      </c>
      <c r="AD228" s="286"/>
      <c r="AE228" s="286">
        <v>1235</v>
      </c>
      <c r="AF228" s="286">
        <f>1205+17</f>
        <v>1222</v>
      </c>
      <c r="AG228" s="286"/>
      <c r="AH228" s="286">
        <v>953</v>
      </c>
      <c r="AI228" s="286">
        <v>891</v>
      </c>
      <c r="AJ228" s="286"/>
      <c r="AK228" s="286">
        <v>1787</v>
      </c>
      <c r="AL228" s="286">
        <f>1813+45</f>
        <v>1858</v>
      </c>
      <c r="AM228" s="286"/>
      <c r="AN228" s="286">
        <v>4755</v>
      </c>
      <c r="AO228" s="286">
        <f>4852+12+29</f>
        <v>4893</v>
      </c>
      <c r="AP228" s="286"/>
      <c r="AQ228" s="286">
        <v>0</v>
      </c>
      <c r="AR228" s="286">
        <v>0</v>
      </c>
      <c r="AS228" s="286"/>
      <c r="AT228" s="286">
        <v>3242</v>
      </c>
      <c r="AU228" s="286">
        <f>3233+50</f>
        <v>3283</v>
      </c>
      <c r="AV228" s="286"/>
      <c r="AW228" s="286">
        <v>2327</v>
      </c>
      <c r="AX228" s="286">
        <f>1930+26</f>
        <v>1956</v>
      </c>
      <c r="AY228" s="286"/>
      <c r="AZ228" s="286">
        <v>2703</v>
      </c>
      <c r="BA228" s="286">
        <v>2239</v>
      </c>
      <c r="BB228" s="286"/>
      <c r="BC228" s="286">
        <v>4921</v>
      </c>
      <c r="BD228" s="286">
        <f>4505+135</f>
        <v>4640</v>
      </c>
      <c r="BE228" s="286"/>
      <c r="BF228" s="286">
        <v>12934</v>
      </c>
      <c r="BG228" s="286">
        <f>11995+7+66</f>
        <v>12068</v>
      </c>
      <c r="BH228" s="286"/>
      <c r="BI228" s="286">
        <v>15068</v>
      </c>
      <c r="BJ228" s="286">
        <f>14604+424</f>
        <v>15028</v>
      </c>
      <c r="BK228" s="286"/>
      <c r="BL228" s="286">
        <v>2259</v>
      </c>
      <c r="BM228" s="286">
        <v>1580</v>
      </c>
      <c r="BN228" s="286"/>
      <c r="BO228" s="286">
        <v>1661</v>
      </c>
      <c r="BP228" s="286">
        <f>1486+11</f>
        <v>1497</v>
      </c>
      <c r="BQ228" s="286"/>
      <c r="BR228" s="286">
        <v>2754</v>
      </c>
      <c r="BS228" s="286">
        <v>2565</v>
      </c>
      <c r="BT228" s="286"/>
      <c r="BU228" s="286">
        <v>2584</v>
      </c>
      <c r="BV228" s="286">
        <f>2481+28</f>
        <v>2509</v>
      </c>
      <c r="BW228" s="286"/>
      <c r="BX228" s="286">
        <v>978</v>
      </c>
      <c r="BY228" s="286">
        <v>991</v>
      </c>
      <c r="BZ228" s="286"/>
      <c r="CA228" s="286">
        <v>1700</v>
      </c>
      <c r="CB228" s="286">
        <f>2078+11</f>
        <v>2089</v>
      </c>
      <c r="CC228" s="286"/>
      <c r="CD228" s="286">
        <v>1423</v>
      </c>
      <c r="CE228" s="286">
        <v>1231</v>
      </c>
      <c r="CF228" s="286"/>
      <c r="CG228" s="286">
        <v>1126</v>
      </c>
      <c r="CH228" s="286">
        <f>146+243+728</f>
        <v>1117</v>
      </c>
      <c r="CI228" s="286"/>
      <c r="CJ228" s="286">
        <v>80</v>
      </c>
      <c r="CK228" s="286">
        <v>97</v>
      </c>
    </row>
    <row r="229" spans="1:89" ht="30" x14ac:dyDescent="0.25">
      <c r="A229" s="107"/>
      <c r="B229" s="294"/>
      <c r="C229" s="312" t="s">
        <v>1833</v>
      </c>
      <c r="D229" s="95"/>
      <c r="E229" s="282"/>
      <c r="F229" s="282"/>
      <c r="G229" s="282"/>
      <c r="H229" s="282"/>
      <c r="I229" s="282">
        <f>67822+827+979</f>
        <v>69628</v>
      </c>
      <c r="J229" s="282">
        <f>67615+935+992</f>
        <v>69542</v>
      </c>
      <c r="K229" s="282">
        <f>68493+928+1001</f>
        <v>70422</v>
      </c>
      <c r="L229" s="282">
        <v>1202</v>
      </c>
      <c r="M229" s="282">
        <v>1183</v>
      </c>
      <c r="N229" s="282">
        <v>1201</v>
      </c>
      <c r="O229" s="286"/>
      <c r="P229" s="296"/>
      <c r="Q229" s="286">
        <f t="shared" si="386"/>
        <v>70422</v>
      </c>
      <c r="R229" s="286">
        <f t="shared" si="386"/>
        <v>60377</v>
      </c>
      <c r="S229" s="286">
        <v>1268</v>
      </c>
      <c r="T229" s="286">
        <f>1296+10</f>
        <v>1306</v>
      </c>
      <c r="U229" s="286"/>
      <c r="V229" s="286">
        <v>812</v>
      </c>
      <c r="W229" s="286">
        <v>897</v>
      </c>
      <c r="X229" s="286"/>
      <c r="Y229" s="286">
        <v>1424</v>
      </c>
      <c r="Z229" s="286">
        <v>1040</v>
      </c>
      <c r="AA229" s="286"/>
      <c r="AB229" s="286">
        <v>1080</v>
      </c>
      <c r="AC229" s="286">
        <v>958</v>
      </c>
      <c r="AD229" s="286"/>
      <c r="AE229" s="286">
        <v>1314</v>
      </c>
      <c r="AF229" s="286">
        <f>1365+45</f>
        <v>1410</v>
      </c>
      <c r="AG229" s="286"/>
      <c r="AH229" s="286">
        <v>1178</v>
      </c>
      <c r="AI229" s="286">
        <v>1202</v>
      </c>
      <c r="AJ229" s="286"/>
      <c r="AK229" s="286">
        <v>2268</v>
      </c>
      <c r="AL229" s="286">
        <f>2004+109+7</f>
        <v>2120</v>
      </c>
      <c r="AM229" s="286"/>
      <c r="AN229" s="286">
        <v>4391</v>
      </c>
      <c r="AO229" s="286">
        <f>4305+12+39</f>
        <v>4356</v>
      </c>
      <c r="AP229" s="286"/>
      <c r="AQ229" s="286">
        <v>0</v>
      </c>
      <c r="AR229" s="286">
        <v>0</v>
      </c>
      <c r="AS229" s="286"/>
      <c r="AT229" s="286">
        <v>3396</v>
      </c>
      <c r="AU229" s="286">
        <f>3639+90</f>
        <v>3729</v>
      </c>
      <c r="AV229" s="286"/>
      <c r="AW229" s="286">
        <v>2231</v>
      </c>
      <c r="AX229" s="286">
        <f>1329+40+9</f>
        <v>1378</v>
      </c>
      <c r="AY229" s="286"/>
      <c r="AZ229" s="286">
        <v>2969</v>
      </c>
      <c r="BA229" s="286">
        <v>2408</v>
      </c>
      <c r="BB229" s="286"/>
      <c r="BC229" s="286">
        <v>4178</v>
      </c>
      <c r="BD229" s="286">
        <f>3886+9</f>
        <v>3895</v>
      </c>
      <c r="BE229" s="286"/>
      <c r="BF229" s="286">
        <v>12833</v>
      </c>
      <c r="BG229" s="286">
        <f>8247+53</f>
        <v>8300</v>
      </c>
      <c r="BH229" s="286"/>
      <c r="BI229" s="286">
        <v>14477</v>
      </c>
      <c r="BJ229" s="286">
        <f>13286+369</f>
        <v>13655</v>
      </c>
      <c r="BK229" s="286"/>
      <c r="BL229" s="286">
        <v>1804</v>
      </c>
      <c r="BM229" s="286">
        <v>1208</v>
      </c>
      <c r="BN229" s="286"/>
      <c r="BO229" s="286">
        <v>2060</v>
      </c>
      <c r="BP229" s="286">
        <f>1880+8</f>
        <v>1888</v>
      </c>
      <c r="BQ229" s="286"/>
      <c r="BR229" s="286">
        <v>3081</v>
      </c>
      <c r="BS229" s="286">
        <v>2111</v>
      </c>
      <c r="BT229" s="286"/>
      <c r="BU229" s="286">
        <v>2684</v>
      </c>
      <c r="BV229" s="286">
        <f>2159+16</f>
        <v>2175</v>
      </c>
      <c r="BW229" s="286"/>
      <c r="BX229" s="286">
        <v>981</v>
      </c>
      <c r="BY229" s="286">
        <v>1039</v>
      </c>
      <c r="BZ229" s="286"/>
      <c r="CA229" s="286">
        <v>2092</v>
      </c>
      <c r="CB229" s="286">
        <v>2320</v>
      </c>
      <c r="CC229" s="286"/>
      <c r="CD229" s="286">
        <v>2414</v>
      </c>
      <c r="CE229" s="286">
        <v>1500</v>
      </c>
      <c r="CF229" s="286"/>
      <c r="CG229" s="286">
        <v>1086</v>
      </c>
      <c r="CH229" s="286">
        <f>21+170+892</f>
        <v>1083</v>
      </c>
      <c r="CI229" s="286"/>
      <c r="CJ229" s="286">
        <v>401</v>
      </c>
      <c r="CK229" s="286">
        <v>399</v>
      </c>
    </row>
    <row r="230" spans="1:89" ht="30" x14ac:dyDescent="0.25">
      <c r="A230" s="107"/>
      <c r="B230" s="294"/>
      <c r="C230" s="312" t="s">
        <v>1834</v>
      </c>
      <c r="D230" s="95"/>
      <c r="E230" s="282"/>
      <c r="F230" s="282"/>
      <c r="G230" s="282"/>
      <c r="H230" s="282"/>
      <c r="I230" s="282">
        <f>17454+8+206</f>
        <v>17668</v>
      </c>
      <c r="J230" s="282">
        <f>18747+4+198</f>
        <v>18949</v>
      </c>
      <c r="K230" s="282">
        <f>19378+4+191</f>
        <v>19573</v>
      </c>
      <c r="L230" s="282">
        <v>235</v>
      </c>
      <c r="M230" s="282">
        <v>247</v>
      </c>
      <c r="N230" s="282">
        <v>227</v>
      </c>
      <c r="P230" s="296"/>
      <c r="Q230" s="286">
        <f t="shared" si="386"/>
        <v>19573</v>
      </c>
      <c r="R230" s="286">
        <f t="shared" si="386"/>
        <v>18804</v>
      </c>
      <c r="S230" s="286">
        <v>232</v>
      </c>
      <c r="T230" s="286">
        <v>254</v>
      </c>
      <c r="U230" s="286"/>
      <c r="V230" s="286">
        <v>210</v>
      </c>
      <c r="W230" s="286">
        <v>182</v>
      </c>
      <c r="X230" s="286"/>
      <c r="Y230" s="286">
        <v>280</v>
      </c>
      <c r="Z230" s="286">
        <v>255</v>
      </c>
      <c r="AA230" s="286"/>
      <c r="AB230" s="286">
        <v>286</v>
      </c>
      <c r="AC230" s="286">
        <v>292</v>
      </c>
      <c r="AD230" s="286"/>
      <c r="AE230" s="286">
        <v>304</v>
      </c>
      <c r="AF230" s="286">
        <v>269</v>
      </c>
      <c r="AG230" s="286"/>
      <c r="AH230" s="286">
        <v>223</v>
      </c>
      <c r="AI230" s="286">
        <v>235</v>
      </c>
      <c r="AJ230" s="286"/>
      <c r="AK230" s="286">
        <v>434</v>
      </c>
      <c r="AL230" s="286">
        <v>459</v>
      </c>
      <c r="AM230" s="286"/>
      <c r="AN230" s="286">
        <v>1247</v>
      </c>
      <c r="AO230" s="286">
        <v>1188</v>
      </c>
      <c r="AP230" s="286"/>
      <c r="AQ230" s="286">
        <v>0</v>
      </c>
      <c r="AR230" s="286">
        <v>0</v>
      </c>
      <c r="AS230" s="286"/>
      <c r="AT230" s="286">
        <v>983</v>
      </c>
      <c r="AU230" s="286">
        <v>996</v>
      </c>
      <c r="AV230" s="286"/>
      <c r="AW230" s="286">
        <v>460</v>
      </c>
      <c r="AX230" s="286">
        <v>468</v>
      </c>
      <c r="AY230" s="286"/>
      <c r="AZ230" s="286">
        <v>714</v>
      </c>
      <c r="BA230" s="286">
        <v>673</v>
      </c>
      <c r="BB230" s="286"/>
      <c r="BC230" s="286">
        <v>1408</v>
      </c>
      <c r="BD230" s="286">
        <v>1311</v>
      </c>
      <c r="BE230" s="286"/>
      <c r="BF230" s="286">
        <v>3318</v>
      </c>
      <c r="BG230" s="286">
        <v>2979</v>
      </c>
      <c r="BH230" s="286"/>
      <c r="BI230" s="286">
        <v>4920</v>
      </c>
      <c r="BJ230" s="286">
        <v>4979</v>
      </c>
      <c r="BK230" s="286"/>
      <c r="BL230" s="286">
        <v>564</v>
      </c>
      <c r="BM230" s="286">
        <v>549</v>
      </c>
      <c r="BN230" s="286"/>
      <c r="BO230" s="286">
        <v>522</v>
      </c>
      <c r="BP230" s="286">
        <v>497</v>
      </c>
      <c r="BQ230" s="286"/>
      <c r="BR230" s="286">
        <v>773</v>
      </c>
      <c r="BS230" s="286">
        <v>598</v>
      </c>
      <c r="BT230" s="286"/>
      <c r="BU230" s="286">
        <v>882</v>
      </c>
      <c r="BV230" s="286">
        <v>868</v>
      </c>
      <c r="BW230" s="286"/>
      <c r="BX230" s="286">
        <v>173</v>
      </c>
      <c r="BY230" s="286">
        <v>168</v>
      </c>
      <c r="BZ230" s="286"/>
      <c r="CA230" s="286">
        <v>554</v>
      </c>
      <c r="CB230" s="286">
        <v>541</v>
      </c>
      <c r="CC230" s="286"/>
      <c r="CD230" s="286">
        <v>503</v>
      </c>
      <c r="CE230" s="286">
        <v>520</v>
      </c>
      <c r="CF230" s="286"/>
      <c r="CG230" s="286">
        <v>491</v>
      </c>
      <c r="CH230" s="286">
        <f>251+1+182</f>
        <v>434</v>
      </c>
      <c r="CI230" s="286"/>
      <c r="CJ230" s="286">
        <v>92</v>
      </c>
      <c r="CK230" s="286">
        <v>89</v>
      </c>
    </row>
    <row r="231" spans="1:89" x14ac:dyDescent="0.25">
      <c r="A231" s="107"/>
      <c r="B231" s="294" t="s">
        <v>1185</v>
      </c>
      <c r="C231" s="312"/>
      <c r="D231" s="95"/>
      <c r="E231" s="282"/>
      <c r="F231" s="282"/>
      <c r="G231" s="282"/>
      <c r="H231" s="282"/>
      <c r="I231" s="282">
        <f t="shared" ref="I231:N231" si="387">SUM(I232:I234)</f>
        <v>15571</v>
      </c>
      <c r="J231" s="282">
        <f t="shared" si="387"/>
        <v>15949</v>
      </c>
      <c r="K231" s="282">
        <f t="shared" si="387"/>
        <v>15795</v>
      </c>
      <c r="L231" s="282">
        <f t="shared" si="387"/>
        <v>1832</v>
      </c>
      <c r="M231" s="282">
        <f t="shared" si="387"/>
        <v>1827</v>
      </c>
      <c r="N231" s="282">
        <f t="shared" si="387"/>
        <v>1837</v>
      </c>
      <c r="Q231" s="282">
        <f>SUM(Q232:Q234)</f>
        <v>15795</v>
      </c>
      <c r="R231" s="282">
        <f>SUM(R232:R234)</f>
        <v>15363</v>
      </c>
      <c r="S231" s="282">
        <f>SUM(S232:S234)</f>
        <v>1265</v>
      </c>
      <c r="T231" s="282">
        <f>SUM(T232:T234)</f>
        <v>1262</v>
      </c>
      <c r="U231" s="286"/>
      <c r="V231" s="282">
        <f>SUM(V232:V234)</f>
        <v>1438</v>
      </c>
      <c r="W231" s="282">
        <f>SUM(W232:W234)</f>
        <v>1394</v>
      </c>
      <c r="X231" s="286"/>
      <c r="Y231" s="282">
        <f>SUM(Y232:Y234)</f>
        <v>1376</v>
      </c>
      <c r="Z231" s="282">
        <f>SUM(Z232:Z234)</f>
        <v>1287</v>
      </c>
      <c r="AA231" s="286"/>
      <c r="AB231" s="282">
        <f>SUM(AB232:AB234)</f>
        <v>1865</v>
      </c>
      <c r="AC231" s="282">
        <f>SUM(AC232:AC234)</f>
        <v>1612</v>
      </c>
      <c r="AD231" s="286"/>
      <c r="AE231" s="282">
        <f>SUM(AE232:AE234)</f>
        <v>987</v>
      </c>
      <c r="AF231" s="282">
        <f>SUM(AF232:AF234)</f>
        <v>908</v>
      </c>
      <c r="AG231" s="286"/>
      <c r="AH231" s="282">
        <f>SUM(AH232:AH234)</f>
        <v>1927</v>
      </c>
      <c r="AI231" s="282">
        <f>SUM(AI232:AI234)</f>
        <v>1832</v>
      </c>
      <c r="AJ231" s="286"/>
      <c r="AK231" s="282">
        <f>SUM(AK232:AK234)</f>
        <v>289</v>
      </c>
      <c r="AL231" s="282">
        <f>SUM(AL232:AL234)</f>
        <v>287</v>
      </c>
      <c r="AM231" s="286"/>
      <c r="AN231" s="282">
        <f>SUM(AN232:AN234)</f>
        <v>4116</v>
      </c>
      <c r="AO231" s="282">
        <f>SUM(AO232:AO234)</f>
        <v>4227</v>
      </c>
      <c r="AP231" s="286"/>
      <c r="AQ231" s="282">
        <f>SUM(AQ232:AQ234)</f>
        <v>2150</v>
      </c>
      <c r="AR231" s="282">
        <f>SUM(AR232:AR234)</f>
        <v>2157</v>
      </c>
      <c r="AS231" s="286"/>
      <c r="AT231" s="282">
        <f>SUM(AT232:AT234)</f>
        <v>0</v>
      </c>
      <c r="AU231" s="282">
        <f>SUM(AU232:AU234)</f>
        <v>0</v>
      </c>
      <c r="AV231" s="286"/>
      <c r="AW231" s="282">
        <f>SUM(AW232:AW234)</f>
        <v>0</v>
      </c>
      <c r="AX231" s="282">
        <f>SUM(AX232:AX234)</f>
        <v>0</v>
      </c>
      <c r="AY231" s="286"/>
      <c r="AZ231" s="282">
        <f>SUM(AZ232:AZ234)</f>
        <v>0</v>
      </c>
      <c r="BA231" s="282">
        <f>SUM(BA232:BA234)</f>
        <v>0</v>
      </c>
      <c r="BB231" s="286"/>
      <c r="BC231" s="282">
        <f>SUM(BC232:BC234)</f>
        <v>0</v>
      </c>
      <c r="BD231" s="282">
        <f>SUM(BD232:BD234)</f>
        <v>0</v>
      </c>
      <c r="BE231" s="286"/>
      <c r="BF231" s="282">
        <f>SUM(BF232:BF234)</f>
        <v>0</v>
      </c>
      <c r="BG231" s="282">
        <f>SUM(BG232:BG234)</f>
        <v>0</v>
      </c>
      <c r="BH231" s="286"/>
      <c r="BI231" s="282">
        <f>SUM(BI232:BI234)</f>
        <v>0</v>
      </c>
      <c r="BJ231" s="282">
        <f>SUM(BJ232:BJ234)</f>
        <v>0</v>
      </c>
      <c r="BK231" s="286"/>
      <c r="BL231" s="282">
        <f>SUM(BL232:BL234)</f>
        <v>0</v>
      </c>
      <c r="BM231" s="282">
        <f>SUM(BM232:BM234)</f>
        <v>0</v>
      </c>
      <c r="BN231" s="286"/>
      <c r="BO231" s="282">
        <f>SUM(BO232:BO234)</f>
        <v>0</v>
      </c>
      <c r="BP231" s="282">
        <f>SUM(BP232:BP234)</f>
        <v>0</v>
      </c>
      <c r="BQ231" s="286"/>
      <c r="BR231" s="282">
        <f>SUM(BR232:BR234)</f>
        <v>0</v>
      </c>
      <c r="BS231" s="282">
        <f>SUM(BS232:BS234)</f>
        <v>0</v>
      </c>
      <c r="BT231" s="286"/>
      <c r="BU231" s="282">
        <f>SUM(BU232:BU234)</f>
        <v>0</v>
      </c>
      <c r="BV231" s="282">
        <f>SUM(BV232:BV234)</f>
        <v>0</v>
      </c>
      <c r="BW231" s="286"/>
      <c r="BX231" s="282">
        <f>SUM(BX232:BX234)</f>
        <v>0</v>
      </c>
      <c r="BY231" s="282">
        <f>SUM(BY232:BY234)</f>
        <v>0</v>
      </c>
      <c r="BZ231" s="286"/>
      <c r="CA231" s="282">
        <f>SUM(CA232:CA234)</f>
        <v>0</v>
      </c>
      <c r="CB231" s="282">
        <f>SUM(CB232:CB234)</f>
        <v>0</v>
      </c>
      <c r="CC231" s="286"/>
      <c r="CD231" s="282">
        <f>SUM(CD232:CD234)</f>
        <v>0</v>
      </c>
      <c r="CE231" s="282">
        <f>SUM(CE232:CE234)</f>
        <v>0</v>
      </c>
      <c r="CF231" s="286"/>
      <c r="CG231" s="282">
        <f>SUM(CG232:CG234)</f>
        <v>382</v>
      </c>
      <c r="CH231" s="282">
        <f>SUM(CH232:CH234)</f>
        <v>397</v>
      </c>
      <c r="CI231" s="286"/>
      <c r="CJ231" s="282">
        <f>SUM(CJ232:CJ234)</f>
        <v>0</v>
      </c>
      <c r="CK231" s="282">
        <f>SUM(CK232:CK234)</f>
        <v>0</v>
      </c>
    </row>
    <row r="232" spans="1:89" ht="30" x14ac:dyDescent="0.25">
      <c r="A232" s="107"/>
      <c r="B232" s="312"/>
      <c r="C232" s="312" t="s">
        <v>1832</v>
      </c>
      <c r="D232" s="95"/>
      <c r="E232" s="282"/>
      <c r="F232" s="282"/>
      <c r="G232" s="282"/>
      <c r="H232" s="282"/>
      <c r="I232" s="282">
        <f>6546+129</f>
        <v>6675</v>
      </c>
      <c r="J232" s="282">
        <f>6762+132</f>
        <v>6894</v>
      </c>
      <c r="K232" s="282">
        <f>6578+5+133</f>
        <v>6716</v>
      </c>
      <c r="L232" s="282">
        <v>751</v>
      </c>
      <c r="M232" s="282">
        <v>690</v>
      </c>
      <c r="N232" s="282">
        <v>687</v>
      </c>
      <c r="P232" s="283"/>
      <c r="Q232" s="286">
        <f t="shared" ref="Q232:R234" si="388">S232+V232+Y232+AB232+AE232+AH232+AK232+AN232+AQ232+AT232+AW232+AZ232+BC232+BF232+BI232+BL232+BO232+BR232+BU232+BX232+CA232+CD232+CG232+CJ232</f>
        <v>6716</v>
      </c>
      <c r="R232" s="286">
        <f t="shared" si="388"/>
        <v>6686</v>
      </c>
      <c r="S232" s="286">
        <v>539</v>
      </c>
      <c r="T232" s="286">
        <v>542</v>
      </c>
      <c r="U232" s="286"/>
      <c r="V232" s="286">
        <f>591+6</f>
        <v>597</v>
      </c>
      <c r="W232" s="286">
        <f>603+1</f>
        <v>604</v>
      </c>
      <c r="X232" s="286"/>
      <c r="Y232" s="286">
        <v>576</v>
      </c>
      <c r="Z232" s="286">
        <v>533</v>
      </c>
      <c r="AA232" s="286"/>
      <c r="AB232" s="286">
        <v>756</v>
      </c>
      <c r="AC232" s="286">
        <v>660</v>
      </c>
      <c r="AD232" s="286"/>
      <c r="AE232" s="286">
        <v>384</v>
      </c>
      <c r="AF232" s="286">
        <v>358</v>
      </c>
      <c r="AG232" s="286"/>
      <c r="AH232" s="286">
        <v>761</v>
      </c>
      <c r="AI232" s="286">
        <v>751</v>
      </c>
      <c r="AJ232" s="286"/>
      <c r="AK232" s="286">
        <v>124</v>
      </c>
      <c r="AL232" s="286">
        <v>120</v>
      </c>
      <c r="AM232" s="286"/>
      <c r="AN232" s="286">
        <f>1917+5+20</f>
        <v>1942</v>
      </c>
      <c r="AO232" s="286">
        <f>2074+5+23</f>
        <v>2102</v>
      </c>
      <c r="AP232" s="286"/>
      <c r="AQ232" s="286">
        <f>930+6</f>
        <v>936</v>
      </c>
      <c r="AR232" s="286">
        <v>912</v>
      </c>
      <c r="AS232" s="286"/>
      <c r="AT232" s="286">
        <v>0</v>
      </c>
      <c r="AU232" s="286">
        <v>0</v>
      </c>
      <c r="AV232" s="286"/>
      <c r="AW232" s="286">
        <v>0</v>
      </c>
      <c r="AX232" s="286">
        <v>0</v>
      </c>
      <c r="AY232" s="286"/>
      <c r="AZ232" s="286">
        <v>0</v>
      </c>
      <c r="BA232" s="286">
        <v>0</v>
      </c>
      <c r="BB232" s="286"/>
      <c r="BC232" s="286">
        <v>0</v>
      </c>
      <c r="BD232" s="286">
        <v>0</v>
      </c>
      <c r="BE232" s="286"/>
      <c r="BF232" s="286">
        <v>0</v>
      </c>
      <c r="BG232" s="286">
        <v>0</v>
      </c>
      <c r="BH232" s="286"/>
      <c r="BI232" s="286">
        <v>0</v>
      </c>
      <c r="BJ232" s="286">
        <v>0</v>
      </c>
      <c r="BK232" s="286"/>
      <c r="BL232" s="286">
        <v>0</v>
      </c>
      <c r="BM232" s="286">
        <v>0</v>
      </c>
      <c r="BN232" s="286"/>
      <c r="BO232" s="286">
        <v>0</v>
      </c>
      <c r="BP232" s="286">
        <v>0</v>
      </c>
      <c r="BQ232" s="286"/>
      <c r="BR232" s="286">
        <v>0</v>
      </c>
      <c r="BS232" s="286">
        <v>0</v>
      </c>
      <c r="BT232" s="286"/>
      <c r="BU232" s="286">
        <v>0</v>
      </c>
      <c r="BV232" s="286">
        <v>0</v>
      </c>
      <c r="BW232" s="286"/>
      <c r="BX232" s="286">
        <v>0</v>
      </c>
      <c r="BY232" s="286">
        <v>0</v>
      </c>
      <c r="BZ232" s="286"/>
      <c r="CA232" s="286">
        <v>0</v>
      </c>
      <c r="CB232" s="286">
        <v>0</v>
      </c>
      <c r="CC232" s="286"/>
      <c r="CD232" s="286">
        <v>0</v>
      </c>
      <c r="CE232" s="286">
        <v>0</v>
      </c>
      <c r="CF232" s="286"/>
      <c r="CG232" s="286">
        <v>101</v>
      </c>
      <c r="CH232" s="286">
        <v>104</v>
      </c>
      <c r="CI232" s="286"/>
      <c r="CJ232" s="286">
        <v>0</v>
      </c>
      <c r="CK232" s="286">
        <v>0</v>
      </c>
    </row>
    <row r="233" spans="1:89" ht="30" x14ac:dyDescent="0.25">
      <c r="A233" s="107"/>
      <c r="B233" s="312"/>
      <c r="C233" s="312" t="s">
        <v>1833</v>
      </c>
      <c r="D233" s="95"/>
      <c r="E233" s="282"/>
      <c r="F233" s="282"/>
      <c r="G233" s="282"/>
      <c r="H233" s="282"/>
      <c r="I233" s="282">
        <f>7264+164</f>
        <v>7428</v>
      </c>
      <c r="J233" s="282">
        <f>7275+193</f>
        <v>7468</v>
      </c>
      <c r="K233" s="282">
        <f>7291+0+210</f>
        <v>7501</v>
      </c>
      <c r="L233" s="282">
        <v>880</v>
      </c>
      <c r="M233" s="282">
        <v>945</v>
      </c>
      <c r="N233" s="282">
        <v>952</v>
      </c>
      <c r="P233" s="283"/>
      <c r="Q233" s="286">
        <f t="shared" si="388"/>
        <v>7501</v>
      </c>
      <c r="R233" s="286">
        <f t="shared" si="388"/>
        <v>7211</v>
      </c>
      <c r="S233" s="286">
        <v>625</v>
      </c>
      <c r="T233" s="286">
        <v>611</v>
      </c>
      <c r="U233" s="286"/>
      <c r="V233" s="286">
        <f>673+15</f>
        <v>688</v>
      </c>
      <c r="W233" s="286">
        <f>646+12</f>
        <v>658</v>
      </c>
      <c r="X233" s="286"/>
      <c r="Y233" s="286">
        <v>666</v>
      </c>
      <c r="Z233" s="286">
        <v>651</v>
      </c>
      <c r="AA233" s="286"/>
      <c r="AB233" s="286">
        <v>877</v>
      </c>
      <c r="AC233" s="286">
        <v>750</v>
      </c>
      <c r="AD233" s="286"/>
      <c r="AE233" s="286">
        <f>489+9</f>
        <v>498</v>
      </c>
      <c r="AF233" s="286">
        <f>462+2+7</f>
        <v>471</v>
      </c>
      <c r="AG233" s="286"/>
      <c r="AH233" s="286">
        <v>975</v>
      </c>
      <c r="AI233" s="286">
        <v>880</v>
      </c>
      <c r="AJ233" s="286"/>
      <c r="AK233" s="286">
        <v>141</v>
      </c>
      <c r="AL233" s="286">
        <v>145</v>
      </c>
      <c r="AM233" s="286"/>
      <c r="AN233" s="286">
        <f>1741+32</f>
        <v>1773</v>
      </c>
      <c r="AO233" s="286">
        <f>1736+30</f>
        <v>1766</v>
      </c>
      <c r="AP233" s="286"/>
      <c r="AQ233" s="286">
        <v>1037</v>
      </c>
      <c r="AR233" s="286">
        <f>1053+3</f>
        <v>1056</v>
      </c>
      <c r="AS233" s="286"/>
      <c r="AT233" s="286">
        <v>0</v>
      </c>
      <c r="AU233" s="286">
        <v>0</v>
      </c>
      <c r="AV233" s="286"/>
      <c r="AW233" s="286">
        <v>0</v>
      </c>
      <c r="AX233" s="286">
        <v>0</v>
      </c>
      <c r="AY233" s="286"/>
      <c r="AZ233" s="286">
        <v>0</v>
      </c>
      <c r="BA233" s="286">
        <v>0</v>
      </c>
      <c r="BB233" s="286"/>
      <c r="BC233" s="286">
        <v>0</v>
      </c>
      <c r="BD233" s="286">
        <v>0</v>
      </c>
      <c r="BE233" s="286"/>
      <c r="BF233" s="286">
        <v>0</v>
      </c>
      <c r="BG233" s="286">
        <v>0</v>
      </c>
      <c r="BH233" s="286"/>
      <c r="BI233" s="286">
        <v>0</v>
      </c>
      <c r="BJ233" s="286">
        <v>0</v>
      </c>
      <c r="BK233" s="286"/>
      <c r="BL233" s="286">
        <v>0</v>
      </c>
      <c r="BM233" s="286">
        <v>0</v>
      </c>
      <c r="BN233" s="286"/>
      <c r="BO233" s="286">
        <v>0</v>
      </c>
      <c r="BP233" s="286">
        <v>0</v>
      </c>
      <c r="BQ233" s="286"/>
      <c r="BR233" s="286">
        <v>0</v>
      </c>
      <c r="BS233" s="286">
        <v>0</v>
      </c>
      <c r="BT233" s="286"/>
      <c r="BU233" s="286">
        <v>0</v>
      </c>
      <c r="BV233" s="286">
        <v>0</v>
      </c>
      <c r="BW233" s="286"/>
      <c r="BX233" s="286">
        <v>0</v>
      </c>
      <c r="BY233" s="286">
        <v>0</v>
      </c>
      <c r="BZ233" s="286"/>
      <c r="CA233" s="286">
        <v>0</v>
      </c>
      <c r="CB233" s="286">
        <v>0</v>
      </c>
      <c r="CC233" s="286"/>
      <c r="CD233" s="286">
        <v>0</v>
      </c>
      <c r="CE233" s="286">
        <v>0</v>
      </c>
      <c r="CF233" s="286"/>
      <c r="CG233" s="286">
        <f>67+154</f>
        <v>221</v>
      </c>
      <c r="CH233" s="286">
        <f>69+154</f>
        <v>223</v>
      </c>
      <c r="CI233" s="286"/>
      <c r="CJ233" s="286">
        <v>0</v>
      </c>
      <c r="CK233" s="286">
        <v>0</v>
      </c>
    </row>
    <row r="234" spans="1:89" ht="30" x14ac:dyDescent="0.25">
      <c r="A234" s="107"/>
      <c r="B234" s="312"/>
      <c r="C234" s="312" t="s">
        <v>1834</v>
      </c>
      <c r="D234" s="95"/>
      <c r="E234" s="282"/>
      <c r="F234" s="282"/>
      <c r="G234" s="282"/>
      <c r="H234" s="282"/>
      <c r="I234" s="282">
        <f>1449+19</f>
        <v>1468</v>
      </c>
      <c r="J234" s="282">
        <f>1575+12</f>
        <v>1587</v>
      </c>
      <c r="K234" s="282">
        <f>1565+0+13</f>
        <v>1578</v>
      </c>
      <c r="L234" s="282">
        <v>201</v>
      </c>
      <c r="M234" s="282">
        <v>192</v>
      </c>
      <c r="N234" s="282">
        <v>198</v>
      </c>
      <c r="P234" s="283"/>
      <c r="Q234" s="286">
        <f t="shared" si="388"/>
        <v>1578</v>
      </c>
      <c r="R234" s="286">
        <f t="shared" si="388"/>
        <v>1466</v>
      </c>
      <c r="S234" s="286">
        <v>101</v>
      </c>
      <c r="T234" s="286">
        <v>109</v>
      </c>
      <c r="U234" s="286"/>
      <c r="V234" s="286">
        <v>153</v>
      </c>
      <c r="W234" s="286">
        <v>132</v>
      </c>
      <c r="X234" s="286"/>
      <c r="Y234" s="286">
        <v>134</v>
      </c>
      <c r="Z234" s="286">
        <v>103</v>
      </c>
      <c r="AA234" s="286"/>
      <c r="AB234" s="286">
        <v>232</v>
      </c>
      <c r="AC234" s="286">
        <v>202</v>
      </c>
      <c r="AD234" s="286"/>
      <c r="AE234" s="286">
        <v>105</v>
      </c>
      <c r="AF234" s="286">
        <v>79</v>
      </c>
      <c r="AG234" s="286"/>
      <c r="AH234" s="286">
        <v>191</v>
      </c>
      <c r="AI234" s="286">
        <v>201</v>
      </c>
      <c r="AJ234" s="286"/>
      <c r="AK234" s="286">
        <v>24</v>
      </c>
      <c r="AL234" s="286">
        <v>22</v>
      </c>
      <c r="AM234" s="286"/>
      <c r="AN234" s="286">
        <v>401</v>
      </c>
      <c r="AO234" s="286">
        <v>359</v>
      </c>
      <c r="AP234" s="286"/>
      <c r="AQ234" s="286">
        <v>177</v>
      </c>
      <c r="AR234" s="286">
        <v>189</v>
      </c>
      <c r="AS234" s="286"/>
      <c r="AT234" s="286">
        <v>0</v>
      </c>
      <c r="AU234" s="286">
        <v>0</v>
      </c>
      <c r="AV234" s="286"/>
      <c r="AW234" s="286">
        <v>0</v>
      </c>
      <c r="AX234" s="286">
        <v>0</v>
      </c>
      <c r="AY234" s="286"/>
      <c r="AZ234" s="286">
        <v>0</v>
      </c>
      <c r="BA234" s="286">
        <v>0</v>
      </c>
      <c r="BB234" s="286"/>
      <c r="BC234" s="286">
        <v>0</v>
      </c>
      <c r="BD234" s="286">
        <v>0</v>
      </c>
      <c r="BE234" s="286"/>
      <c r="BF234" s="286">
        <v>0</v>
      </c>
      <c r="BG234" s="286">
        <v>0</v>
      </c>
      <c r="BH234" s="286"/>
      <c r="BI234" s="286">
        <v>0</v>
      </c>
      <c r="BJ234" s="286">
        <v>0</v>
      </c>
      <c r="BK234" s="286"/>
      <c r="BL234" s="286">
        <v>0</v>
      </c>
      <c r="BM234" s="286">
        <v>0</v>
      </c>
      <c r="BN234" s="286"/>
      <c r="BO234" s="286">
        <v>0</v>
      </c>
      <c r="BP234" s="286">
        <v>0</v>
      </c>
      <c r="BQ234" s="286"/>
      <c r="BR234" s="286">
        <v>0</v>
      </c>
      <c r="BS234" s="286">
        <v>0</v>
      </c>
      <c r="BT234" s="286"/>
      <c r="BU234" s="286">
        <v>0</v>
      </c>
      <c r="BV234" s="286">
        <v>0</v>
      </c>
      <c r="BW234" s="286"/>
      <c r="BX234" s="286">
        <v>0</v>
      </c>
      <c r="BY234" s="286">
        <v>0</v>
      </c>
      <c r="BZ234" s="286"/>
      <c r="CA234" s="286">
        <v>0</v>
      </c>
      <c r="CB234" s="286">
        <v>0</v>
      </c>
      <c r="CC234" s="286"/>
      <c r="CD234" s="286">
        <v>0</v>
      </c>
      <c r="CE234" s="286">
        <v>0</v>
      </c>
      <c r="CF234" s="286"/>
      <c r="CG234" s="286">
        <f>47+13</f>
        <v>60</v>
      </c>
      <c r="CH234" s="286">
        <f>53+17</f>
        <v>70</v>
      </c>
      <c r="CI234" s="286"/>
      <c r="CJ234" s="286">
        <v>0</v>
      </c>
      <c r="CK234" s="286">
        <v>0</v>
      </c>
    </row>
    <row r="235" spans="1:89" x14ac:dyDescent="0.25">
      <c r="A235" s="107"/>
      <c r="B235" s="294" t="s">
        <v>1835</v>
      </c>
      <c r="C235" s="312"/>
      <c r="D235" s="95"/>
      <c r="E235" s="282"/>
      <c r="F235" s="282"/>
      <c r="G235" s="282"/>
      <c r="H235" s="282"/>
      <c r="I235" s="282"/>
      <c r="J235" s="282"/>
      <c r="K235" s="282"/>
      <c r="L235" s="282"/>
      <c r="M235" s="282"/>
      <c r="N235" s="282"/>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c r="CG235" s="286"/>
      <c r="CH235" s="286"/>
      <c r="CI235" s="286"/>
      <c r="CJ235" s="286"/>
      <c r="CK235" s="286"/>
    </row>
    <row r="236" spans="1:89" x14ac:dyDescent="0.25">
      <c r="A236" s="107"/>
      <c r="B236" s="294" t="s">
        <v>1183</v>
      </c>
      <c r="C236" s="312"/>
      <c r="D236" s="95"/>
      <c r="E236" s="282"/>
      <c r="F236" s="282"/>
      <c r="G236" s="282"/>
      <c r="H236" s="282"/>
      <c r="I236" s="282">
        <f t="shared" ref="I236:N236" si="389">SUM(I237:I239)</f>
        <v>191129</v>
      </c>
      <c r="J236" s="282">
        <f t="shared" si="389"/>
        <v>197363</v>
      </c>
      <c r="K236" s="282">
        <f t="shared" si="389"/>
        <v>203714</v>
      </c>
      <c r="L236" s="282">
        <f t="shared" si="389"/>
        <v>2474</v>
      </c>
      <c r="M236" s="282">
        <f t="shared" si="389"/>
        <v>2475</v>
      </c>
      <c r="N236" s="282">
        <f t="shared" si="389"/>
        <v>2472</v>
      </c>
      <c r="Q236" s="282">
        <f>SUM(Q237:Q239)</f>
        <v>203714</v>
      </c>
      <c r="R236" s="282">
        <f>SUM(R237:R239)</f>
        <v>208527</v>
      </c>
      <c r="S236" s="282">
        <f>SUM(S237:S239)</f>
        <v>2655</v>
      </c>
      <c r="T236" s="282">
        <f>SUM(T237:T239)</f>
        <v>2777</v>
      </c>
      <c r="U236" s="286"/>
      <c r="V236" s="282">
        <f>SUM(V237:V239)</f>
        <v>2144</v>
      </c>
      <c r="W236" s="282">
        <f>SUM(W237:W239)</f>
        <v>2114</v>
      </c>
      <c r="X236" s="286"/>
      <c r="Y236" s="282">
        <f>SUM(Y237:Y239)</f>
        <v>2960</v>
      </c>
      <c r="Z236" s="282">
        <f>SUM(Z237:Z239)</f>
        <v>2929</v>
      </c>
      <c r="AA236" s="286"/>
      <c r="AB236" s="282">
        <f>SUM(AB237:AB239)</f>
        <v>2910</v>
      </c>
      <c r="AC236" s="282">
        <f>SUM(AC237:AC239)</f>
        <v>2938</v>
      </c>
      <c r="AD236" s="286"/>
      <c r="AE236" s="282">
        <f>SUM(AE237:AE239)</f>
        <v>2853</v>
      </c>
      <c r="AF236" s="282">
        <f>SUM(AF237:AF239)</f>
        <v>2901</v>
      </c>
      <c r="AG236" s="286"/>
      <c r="AH236" s="282">
        <f>SUM(AH237:AH239)</f>
        <v>2486</v>
      </c>
      <c r="AI236" s="282">
        <f>SUM(AI237:AI239)</f>
        <v>2474</v>
      </c>
      <c r="AJ236" s="286"/>
      <c r="AK236" s="282">
        <f>SUM(AK237:AK239)</f>
        <v>5955</v>
      </c>
      <c r="AL236" s="282">
        <f>SUM(AL237:AL239)</f>
        <v>6027</v>
      </c>
      <c r="AM236" s="286"/>
      <c r="AN236" s="282">
        <f>SUM(AN237:AN239)</f>
        <v>11915</v>
      </c>
      <c r="AO236" s="282">
        <f>SUM(AO237:AO239)</f>
        <v>11981</v>
      </c>
      <c r="AP236" s="286"/>
      <c r="AQ236" s="282">
        <f>SUM(AQ237:AQ239)</f>
        <v>0</v>
      </c>
      <c r="AR236" s="282">
        <f>SUM(AR237:AR239)</f>
        <v>0</v>
      </c>
      <c r="AS236" s="286"/>
      <c r="AT236" s="282">
        <f>SUM(AT237:AT239)</f>
        <v>14054</v>
      </c>
      <c r="AU236" s="282">
        <f>SUM(AU237:AU239)</f>
        <v>14547</v>
      </c>
      <c r="AV236" s="286"/>
      <c r="AW236" s="282">
        <f>SUM(AW237:AW239)</f>
        <v>5269</v>
      </c>
      <c r="AX236" s="282">
        <f>SUM(AX237:AX239)</f>
        <v>5356</v>
      </c>
      <c r="AY236" s="286"/>
      <c r="AZ236" s="282">
        <f>SUM(AZ237:AZ239)</f>
        <v>7300</v>
      </c>
      <c r="BA236" s="282">
        <f>SUM(BA237:BA239)</f>
        <v>7246</v>
      </c>
      <c r="BB236" s="286"/>
      <c r="BC236" s="282">
        <f>SUM(BC237:BC239)</f>
        <v>14538</v>
      </c>
      <c r="BD236" s="282">
        <f>SUM(BD237:BD239)</f>
        <v>14814</v>
      </c>
      <c r="BE236" s="286"/>
      <c r="BF236" s="282">
        <f>SUM(BF237:BF239)</f>
        <v>34131</v>
      </c>
      <c r="BG236" s="282">
        <f>SUM(BG237:BG239)</f>
        <v>35111</v>
      </c>
      <c r="BH236" s="286"/>
      <c r="BI236" s="282">
        <f>SUM(BI237:BI239)</f>
        <v>51084</v>
      </c>
      <c r="BJ236" s="282">
        <f>SUM(BJ237:BJ239)</f>
        <v>53443</v>
      </c>
      <c r="BK236" s="286"/>
      <c r="BL236" s="282">
        <f>SUM(BL237:BL239)</f>
        <v>5617</v>
      </c>
      <c r="BM236" s="282">
        <f>SUM(BM237:BM239)</f>
        <v>5590</v>
      </c>
      <c r="BN236" s="286"/>
      <c r="BO236" s="282">
        <f>SUM(BO237:BO239)</f>
        <v>5284</v>
      </c>
      <c r="BP236" s="282">
        <f>SUM(BP237:BP239)</f>
        <v>5319</v>
      </c>
      <c r="BQ236" s="286"/>
      <c r="BR236" s="282">
        <f>SUM(BR237:BR239)</f>
        <v>8021</v>
      </c>
      <c r="BS236" s="282">
        <f>SUM(BS237:BS239)</f>
        <v>8109</v>
      </c>
      <c r="BT236" s="286"/>
      <c r="BU236" s="282">
        <f>SUM(BU237:BU239)</f>
        <v>8017</v>
      </c>
      <c r="BV236" s="282">
        <f>SUM(BV237:BV239)</f>
        <v>8098</v>
      </c>
      <c r="BW236" s="286"/>
      <c r="BX236" s="282">
        <f>SUM(BX237:BX239)</f>
        <v>2132</v>
      </c>
      <c r="BY236" s="282">
        <f>SUM(BY237:BY239)</f>
        <v>2198</v>
      </c>
      <c r="BZ236" s="286"/>
      <c r="CA236" s="282">
        <f>SUM(CA237:CA239)</f>
        <v>5710</v>
      </c>
      <c r="CB236" s="282">
        <f>SUM(CB237:CB239)</f>
        <v>5835</v>
      </c>
      <c r="CC236" s="286"/>
      <c r="CD236" s="282">
        <f>SUM(CD237:CD239)</f>
        <v>5310</v>
      </c>
      <c r="CE236" s="282">
        <f>SUM(CE237:CE239)</f>
        <v>5416</v>
      </c>
      <c r="CF236" s="286"/>
      <c r="CG236" s="282">
        <f>SUM(CG237:CG239)</f>
        <v>2703</v>
      </c>
      <c r="CH236" s="282">
        <f>SUM(CH237:CH239)</f>
        <v>2634</v>
      </c>
      <c r="CI236" s="286"/>
      <c r="CJ236" s="282">
        <f>SUM(CJ237:CJ239)</f>
        <v>666</v>
      </c>
      <c r="CK236" s="282">
        <f>SUM(CK237:CK239)</f>
        <v>670</v>
      </c>
    </row>
    <row r="237" spans="1:89" ht="30" x14ac:dyDescent="0.25">
      <c r="A237" s="107"/>
      <c r="B237" s="312"/>
      <c r="C237" s="312" t="s">
        <v>1489</v>
      </c>
      <c r="D237" s="95"/>
      <c r="E237" s="282"/>
      <c r="F237" s="282"/>
      <c r="G237" s="282"/>
      <c r="H237" s="282"/>
      <c r="I237" s="282">
        <v>187583</v>
      </c>
      <c r="J237" s="282">
        <f>J35</f>
        <v>193546</v>
      </c>
      <c r="K237" s="282">
        <f>K35</f>
        <v>199765</v>
      </c>
      <c r="L237" s="282">
        <v>2474</v>
      </c>
      <c r="M237" s="282">
        <f>M35</f>
        <v>2475</v>
      </c>
      <c r="N237" s="282">
        <f>N35</f>
        <v>2472</v>
      </c>
      <c r="Q237" s="286">
        <f t="shared" ref="Q237:R239" si="390">S237+V237+Y237+AB237+AE237+AH237+AK237+AN237+AQ237+AT237+AW237+AZ237+BC237+BF237+BI237+BL237+BO237+BR237+BU237+BX237+CA237+CD237+CG237+CJ237</f>
        <v>199765</v>
      </c>
      <c r="R237" s="286">
        <f t="shared" si="390"/>
        <v>204600</v>
      </c>
      <c r="S237" s="286">
        <f>S35</f>
        <v>2623</v>
      </c>
      <c r="T237" s="286">
        <f>T35</f>
        <v>2733</v>
      </c>
      <c r="U237" s="286"/>
      <c r="V237" s="286">
        <f>V35</f>
        <v>2144</v>
      </c>
      <c r="W237" s="286">
        <f>W35</f>
        <v>2114</v>
      </c>
      <c r="X237" s="286"/>
      <c r="Y237" s="286">
        <f>Y35</f>
        <v>2960</v>
      </c>
      <c r="Z237" s="286">
        <f>Z35</f>
        <v>2929</v>
      </c>
      <c r="AA237" s="286"/>
      <c r="AB237" s="286">
        <f>AB35</f>
        <v>2910</v>
      </c>
      <c r="AC237" s="286">
        <f>AC35</f>
        <v>2938</v>
      </c>
      <c r="AD237" s="286"/>
      <c r="AE237" s="286">
        <f>AE35</f>
        <v>2779</v>
      </c>
      <c r="AF237" s="286">
        <f>AF35</f>
        <v>2839</v>
      </c>
      <c r="AG237" s="286"/>
      <c r="AH237" s="286">
        <f>AH35</f>
        <v>2486</v>
      </c>
      <c r="AI237" s="286">
        <f>AI35</f>
        <v>2474</v>
      </c>
      <c r="AJ237" s="286"/>
      <c r="AK237" s="286">
        <f>AK35</f>
        <v>5793</v>
      </c>
      <c r="AL237" s="286">
        <f>AL35</f>
        <v>5866</v>
      </c>
      <c r="AM237" s="286"/>
      <c r="AN237" s="286">
        <f>AN35</f>
        <v>11819</v>
      </c>
      <c r="AO237" s="286">
        <f>AO35</f>
        <v>11889</v>
      </c>
      <c r="AP237" s="286"/>
      <c r="AQ237" s="286">
        <f>AQ35</f>
        <v>0</v>
      </c>
      <c r="AR237" s="286">
        <f>AR35</f>
        <v>0</v>
      </c>
      <c r="AS237" s="286"/>
      <c r="AT237" s="286">
        <f>AT35</f>
        <v>13883</v>
      </c>
      <c r="AU237" s="286">
        <f>AU35</f>
        <v>14407</v>
      </c>
      <c r="AV237" s="286"/>
      <c r="AW237" s="286">
        <f>AW35</f>
        <v>5196</v>
      </c>
      <c r="AX237" s="286">
        <f>AX35</f>
        <v>5281</v>
      </c>
      <c r="AY237" s="286"/>
      <c r="AZ237" s="286">
        <f>AZ35</f>
        <v>7300</v>
      </c>
      <c r="BA237" s="286">
        <f>BA35</f>
        <v>7246</v>
      </c>
      <c r="BB237" s="286"/>
      <c r="BC237" s="286">
        <f>BC35</f>
        <v>14385</v>
      </c>
      <c r="BD237" s="286">
        <f>BD35</f>
        <v>14670</v>
      </c>
      <c r="BE237" s="286"/>
      <c r="BF237" s="286">
        <f>BF35</f>
        <v>34019</v>
      </c>
      <c r="BG237" s="286">
        <f>BG35</f>
        <v>34985</v>
      </c>
      <c r="BH237" s="286"/>
      <c r="BI237" s="286">
        <f>BI35</f>
        <v>50296</v>
      </c>
      <c r="BJ237" s="286">
        <f>BJ35</f>
        <v>52650</v>
      </c>
      <c r="BK237" s="286"/>
      <c r="BL237" s="286">
        <f>BL35</f>
        <v>5617</v>
      </c>
      <c r="BM237" s="286">
        <f>BM35</f>
        <v>5590</v>
      </c>
      <c r="BN237" s="286"/>
      <c r="BO237" s="286">
        <f>BO35</f>
        <v>5276</v>
      </c>
      <c r="BP237" s="286">
        <f>BP35</f>
        <v>5300</v>
      </c>
      <c r="BQ237" s="286"/>
      <c r="BR237" s="286">
        <f>BR35</f>
        <v>8021</v>
      </c>
      <c r="BS237" s="286">
        <f>BS35</f>
        <v>8109</v>
      </c>
      <c r="BT237" s="286"/>
      <c r="BU237" s="286">
        <f>BU35</f>
        <v>7972</v>
      </c>
      <c r="BV237" s="286">
        <f>BV35</f>
        <v>8054</v>
      </c>
      <c r="BW237" s="286"/>
      <c r="BX237" s="286">
        <f>BX35</f>
        <v>2132</v>
      </c>
      <c r="BY237" s="286">
        <f>BY35</f>
        <v>2198</v>
      </c>
      <c r="BZ237" s="286"/>
      <c r="CA237" s="286">
        <f>CA35</f>
        <v>5700</v>
      </c>
      <c r="CB237" s="286">
        <f>CB35</f>
        <v>5824</v>
      </c>
      <c r="CC237" s="286"/>
      <c r="CD237" s="286">
        <f>CD35</f>
        <v>5310</v>
      </c>
      <c r="CE237" s="286">
        <f>CE35</f>
        <v>5416</v>
      </c>
      <c r="CF237" s="286"/>
      <c r="CG237" s="286">
        <f>CG35</f>
        <v>478</v>
      </c>
      <c r="CH237" s="286">
        <f>CH35</f>
        <v>418</v>
      </c>
      <c r="CI237" s="286"/>
      <c r="CJ237" s="286">
        <f>CJ35</f>
        <v>666</v>
      </c>
      <c r="CK237" s="286">
        <f>CK35</f>
        <v>670</v>
      </c>
    </row>
    <row r="238" spans="1:89" ht="30" x14ac:dyDescent="0.25">
      <c r="A238" s="107"/>
      <c r="B238" s="312"/>
      <c r="C238" s="312" t="s">
        <v>1490</v>
      </c>
      <c r="D238" s="95"/>
      <c r="E238" s="282"/>
      <c r="F238" s="282"/>
      <c r="G238" s="282"/>
      <c r="H238" s="282"/>
      <c r="I238" s="282">
        <v>1681</v>
      </c>
      <c r="J238" s="282">
        <f>J101+J102+J103</f>
        <v>1891</v>
      </c>
      <c r="K238" s="282">
        <f>K101+K102+K103</f>
        <v>1945</v>
      </c>
      <c r="L238" s="282">
        <f>L101+L102+L103</f>
        <v>0</v>
      </c>
      <c r="M238" s="282">
        <f>M101+M102+M103</f>
        <v>0</v>
      </c>
      <c r="N238" s="282">
        <f>N101+N102+N103</f>
        <v>0</v>
      </c>
      <c r="P238" s="283"/>
      <c r="Q238" s="286">
        <f t="shared" si="390"/>
        <v>1945</v>
      </c>
      <c r="R238" s="286">
        <f t="shared" si="390"/>
        <v>1928</v>
      </c>
      <c r="S238" s="286">
        <f>S101+S102+S103</f>
        <v>32</v>
      </c>
      <c r="T238" s="286">
        <f>T101+T102+T103</f>
        <v>44</v>
      </c>
      <c r="U238" s="286"/>
      <c r="V238" s="286">
        <f>V101+V102+V103</f>
        <v>0</v>
      </c>
      <c r="W238" s="286">
        <f>W101+W102+W103</f>
        <v>0</v>
      </c>
      <c r="X238" s="286"/>
      <c r="Y238" s="286">
        <f>Y101+Y102+Y103</f>
        <v>0</v>
      </c>
      <c r="Z238" s="286">
        <f>Z101+Z102+Z103</f>
        <v>0</v>
      </c>
      <c r="AA238" s="286"/>
      <c r="AB238" s="286">
        <f>AB101+AB102+AB103</f>
        <v>0</v>
      </c>
      <c r="AC238" s="286">
        <f>AC101+AC102+AC103</f>
        <v>0</v>
      </c>
      <c r="AD238" s="286"/>
      <c r="AE238" s="286">
        <f>AE101+AE102+AE103</f>
        <v>0</v>
      </c>
      <c r="AF238" s="286">
        <f>AF101+AF102+AF103</f>
        <v>0</v>
      </c>
      <c r="AG238" s="286"/>
      <c r="AH238" s="286">
        <f>AH101+AH102+AH103</f>
        <v>0</v>
      </c>
      <c r="AI238" s="286">
        <f>AI101+AI102+AI103</f>
        <v>0</v>
      </c>
      <c r="AJ238" s="286"/>
      <c r="AK238" s="286">
        <f>AK101+AK102+AK103</f>
        <v>155</v>
      </c>
      <c r="AL238" s="286">
        <f>AL101+AL102+AL103</f>
        <v>154</v>
      </c>
      <c r="AM238" s="286"/>
      <c r="AN238" s="286">
        <f>AN101+AN102+AN103</f>
        <v>33</v>
      </c>
      <c r="AO238" s="286">
        <f>AO101+AO102+AO103</f>
        <v>24</v>
      </c>
      <c r="AP238" s="286"/>
      <c r="AQ238" s="286">
        <f>AQ101+AQ102+AQ103</f>
        <v>0</v>
      </c>
      <c r="AR238" s="286">
        <f>AR101+AR102+AR103</f>
        <v>0</v>
      </c>
      <c r="AS238" s="286"/>
      <c r="AT238" s="286">
        <f>AT101+AT102+AT103</f>
        <v>171</v>
      </c>
      <c r="AU238" s="286">
        <f>AU101+AU102+AU103</f>
        <v>140</v>
      </c>
      <c r="AV238" s="286"/>
      <c r="AW238" s="286">
        <f>AW101+AW102+AW103</f>
        <v>63</v>
      </c>
      <c r="AX238" s="286">
        <f>AX101+AX102+AX103</f>
        <v>66</v>
      </c>
      <c r="AY238" s="286"/>
      <c r="AZ238" s="286">
        <f>AZ101+AZ102+AZ103</f>
        <v>0</v>
      </c>
      <c r="BA238" s="286">
        <f>BA101+BA102+BA103</f>
        <v>0</v>
      </c>
      <c r="BB238" s="286"/>
      <c r="BC238" s="286">
        <f>BC101+BC102+BC103</f>
        <v>153</v>
      </c>
      <c r="BD238" s="286">
        <f>BD101+BD102+BD103</f>
        <v>144</v>
      </c>
      <c r="BE238" s="286"/>
      <c r="BF238" s="286">
        <f>BF101+BF102+BF103</f>
        <v>112</v>
      </c>
      <c r="BG238" s="286">
        <f>BG101+BG102+BG103</f>
        <v>119</v>
      </c>
      <c r="BH238" s="286"/>
      <c r="BI238" s="286">
        <f>BI101+BI102+BI103</f>
        <v>788</v>
      </c>
      <c r="BJ238" s="286">
        <f>BJ101+BJ102+BJ103</f>
        <v>793</v>
      </c>
      <c r="BK238" s="286"/>
      <c r="BL238" s="286">
        <f>BL101+BL102+BL103</f>
        <v>0</v>
      </c>
      <c r="BM238" s="286">
        <f>BM101+BM102+BM103</f>
        <v>0</v>
      </c>
      <c r="BN238" s="286"/>
      <c r="BO238" s="286">
        <f>BO101+BO102+BO103</f>
        <v>8</v>
      </c>
      <c r="BP238" s="286">
        <f>BP101+BP102+BP103</f>
        <v>19</v>
      </c>
      <c r="BQ238" s="286"/>
      <c r="BR238" s="286">
        <f>BR101+BR102+BR103</f>
        <v>0</v>
      </c>
      <c r="BS238" s="286">
        <f>BS101+BS102+BS103</f>
        <v>0</v>
      </c>
      <c r="BT238" s="286"/>
      <c r="BU238" s="286">
        <f>BU101+BU102+BU103</f>
        <v>0</v>
      </c>
      <c r="BV238" s="286">
        <f>BV101+BV102+BV103</f>
        <v>0</v>
      </c>
      <c r="BW238" s="286"/>
      <c r="BX238" s="286">
        <f>BX101+BX102+BX103</f>
        <v>0</v>
      </c>
      <c r="BY238" s="286">
        <f>BY101+BY102+BY103</f>
        <v>0</v>
      </c>
      <c r="BZ238" s="286"/>
      <c r="CA238" s="286">
        <f>CA101+CA102+CA103</f>
        <v>10</v>
      </c>
      <c r="CB238" s="286">
        <f>CB101+CB102+CB103</f>
        <v>11</v>
      </c>
      <c r="CC238" s="286"/>
      <c r="CD238" s="286">
        <f>CD101+CD102+CD103</f>
        <v>0</v>
      </c>
      <c r="CE238" s="286">
        <f>CE101+CE102+CE103</f>
        <v>0</v>
      </c>
      <c r="CF238" s="286"/>
      <c r="CG238" s="286">
        <f>CG101+CG102+CG103</f>
        <v>420</v>
      </c>
      <c r="CH238" s="286">
        <f>CH101+CH102+CH103</f>
        <v>414</v>
      </c>
      <c r="CI238" s="286"/>
      <c r="CJ238" s="286">
        <f>CJ101+CJ102+CJ103</f>
        <v>0</v>
      </c>
      <c r="CK238" s="286">
        <f>CK101+CK102+CK103</f>
        <v>0</v>
      </c>
    </row>
    <row r="239" spans="1:89" ht="30" x14ac:dyDescent="0.25">
      <c r="A239" s="107"/>
      <c r="B239" s="312"/>
      <c r="C239" s="312" t="s">
        <v>1491</v>
      </c>
      <c r="D239" s="95"/>
      <c r="E239" s="282"/>
      <c r="F239" s="282"/>
      <c r="G239" s="282"/>
      <c r="H239" s="282"/>
      <c r="I239" s="282">
        <v>1865</v>
      </c>
      <c r="J239" s="282">
        <v>1926</v>
      </c>
      <c r="K239" s="282">
        <v>2004</v>
      </c>
      <c r="L239" s="282">
        <v>0</v>
      </c>
      <c r="M239" s="282">
        <v>0</v>
      </c>
      <c r="N239" s="282">
        <v>0</v>
      </c>
      <c r="Q239" s="286">
        <f t="shared" si="390"/>
        <v>2004</v>
      </c>
      <c r="R239" s="286">
        <f t="shared" si="390"/>
        <v>1999</v>
      </c>
      <c r="S239" s="286">
        <v>0</v>
      </c>
      <c r="T239" s="286">
        <v>0</v>
      </c>
      <c r="U239" s="286"/>
      <c r="V239" s="286">
        <v>0</v>
      </c>
      <c r="W239" s="286">
        <v>0</v>
      </c>
      <c r="X239" s="286"/>
      <c r="Y239" s="286">
        <v>0</v>
      </c>
      <c r="Z239" s="286">
        <v>0</v>
      </c>
      <c r="AA239" s="286"/>
      <c r="AB239" s="286">
        <v>0</v>
      </c>
      <c r="AC239" s="286">
        <v>0</v>
      </c>
      <c r="AD239" s="286"/>
      <c r="AE239" s="286">
        <v>74</v>
      </c>
      <c r="AF239" s="286">
        <v>62</v>
      </c>
      <c r="AG239" s="286"/>
      <c r="AH239" s="286">
        <v>0</v>
      </c>
      <c r="AI239" s="286">
        <v>0</v>
      </c>
      <c r="AJ239" s="286"/>
      <c r="AK239" s="286">
        <v>7</v>
      </c>
      <c r="AL239" s="286">
        <v>7</v>
      </c>
      <c r="AM239" s="286"/>
      <c r="AN239" s="286">
        <v>63</v>
      </c>
      <c r="AO239" s="286">
        <v>68</v>
      </c>
      <c r="AP239" s="286"/>
      <c r="AQ239" s="286">
        <v>0</v>
      </c>
      <c r="AR239" s="286">
        <v>0</v>
      </c>
      <c r="AS239" s="286"/>
      <c r="AT239" s="286">
        <v>0</v>
      </c>
      <c r="AU239" s="286">
        <v>0</v>
      </c>
      <c r="AV239" s="286"/>
      <c r="AW239" s="286">
        <v>10</v>
      </c>
      <c r="AX239" s="286">
        <v>9</v>
      </c>
      <c r="AY239" s="286"/>
      <c r="AZ239" s="286">
        <v>0</v>
      </c>
      <c r="BA239" s="286">
        <v>0</v>
      </c>
      <c r="BB239" s="286"/>
      <c r="BC239" s="286">
        <v>0</v>
      </c>
      <c r="BD239" s="286">
        <v>0</v>
      </c>
      <c r="BE239" s="286"/>
      <c r="BF239" s="286">
        <v>0</v>
      </c>
      <c r="BG239" s="286">
        <v>7</v>
      </c>
      <c r="BH239" s="286"/>
      <c r="BI239" s="286">
        <v>0</v>
      </c>
      <c r="BJ239" s="286">
        <v>0</v>
      </c>
      <c r="BK239" s="286"/>
      <c r="BL239" s="286">
        <v>0</v>
      </c>
      <c r="BM239" s="286">
        <v>0</v>
      </c>
      <c r="BN239" s="286"/>
      <c r="BO239" s="286">
        <v>0</v>
      </c>
      <c r="BP239" s="286">
        <v>0</v>
      </c>
      <c r="BQ239" s="286"/>
      <c r="BR239" s="286">
        <v>0</v>
      </c>
      <c r="BS239" s="286">
        <v>0</v>
      </c>
      <c r="BT239" s="286"/>
      <c r="BU239" s="286">
        <v>45</v>
      </c>
      <c r="BV239" s="286">
        <v>44</v>
      </c>
      <c r="BW239" s="286"/>
      <c r="BX239" s="286">
        <v>0</v>
      </c>
      <c r="BY239" s="286">
        <v>0</v>
      </c>
      <c r="BZ239" s="286"/>
      <c r="CA239" s="286">
        <v>0</v>
      </c>
      <c r="CB239" s="286">
        <v>0</v>
      </c>
      <c r="CC239" s="286"/>
      <c r="CD239" s="286">
        <v>0</v>
      </c>
      <c r="CE239" s="286">
        <v>0</v>
      </c>
      <c r="CF239" s="286"/>
      <c r="CG239" s="286">
        <v>1805</v>
      </c>
      <c r="CH239" s="286">
        <v>1802</v>
      </c>
      <c r="CI239" s="286"/>
      <c r="CJ239" s="286">
        <v>0</v>
      </c>
      <c r="CK239" s="286">
        <v>0</v>
      </c>
    </row>
    <row r="240" spans="1:89" x14ac:dyDescent="0.25">
      <c r="A240" s="107"/>
      <c r="B240" s="294" t="s">
        <v>1185</v>
      </c>
      <c r="C240" s="312"/>
      <c r="D240" s="95"/>
      <c r="E240" s="282"/>
      <c r="F240" s="282"/>
      <c r="G240" s="282"/>
      <c r="H240" s="282"/>
      <c r="I240" s="282">
        <f t="shared" ref="I240:N240" si="391">SUM(I241:I243)</f>
        <v>17418</v>
      </c>
      <c r="J240" s="282">
        <f t="shared" si="391"/>
        <v>17618</v>
      </c>
      <c r="K240" s="282">
        <f t="shared" si="391"/>
        <v>17637</v>
      </c>
      <c r="L240" s="282">
        <f t="shared" si="391"/>
        <v>1964</v>
      </c>
      <c r="M240" s="282">
        <f t="shared" si="391"/>
        <v>1941</v>
      </c>
      <c r="N240" s="282">
        <f t="shared" si="391"/>
        <v>1876</v>
      </c>
      <c r="Q240" s="282">
        <f>SUM(Q241:Q243)</f>
        <v>17637</v>
      </c>
      <c r="R240" s="282">
        <f>SUM(R241:R243)</f>
        <v>17483</v>
      </c>
      <c r="S240" s="282">
        <f>SUM(S241:S243)</f>
        <v>1265</v>
      </c>
      <c r="T240" s="282">
        <f>SUM(T241:T243)</f>
        <v>1262</v>
      </c>
      <c r="U240" s="286"/>
      <c r="V240" s="282">
        <f>SUM(V241:V243)</f>
        <v>1438</v>
      </c>
      <c r="W240" s="282">
        <f>SUM(W241:W243)</f>
        <v>1453</v>
      </c>
      <c r="X240" s="286"/>
      <c r="Y240" s="282">
        <f>SUM(Y241:Y243)</f>
        <v>1458</v>
      </c>
      <c r="Z240" s="282">
        <f>SUM(Z241:Z243)</f>
        <v>1415</v>
      </c>
      <c r="AA240" s="286"/>
      <c r="AB240" s="282">
        <f>SUM(AB241:AB243)</f>
        <v>2212</v>
      </c>
      <c r="AC240" s="282">
        <f>SUM(AC241:AC243)</f>
        <v>2176</v>
      </c>
      <c r="AD240" s="286"/>
      <c r="AE240" s="282">
        <f>SUM(AE241:AE243)</f>
        <v>987</v>
      </c>
      <c r="AF240" s="282">
        <f>SUM(AF241:AF243)</f>
        <v>908</v>
      </c>
      <c r="AG240" s="286"/>
      <c r="AH240" s="282">
        <f>SUM(AH241:AH243)</f>
        <v>1978</v>
      </c>
      <c r="AI240" s="282">
        <f>SUM(AI241:AI243)</f>
        <v>1964</v>
      </c>
      <c r="AJ240" s="286"/>
      <c r="AK240" s="282">
        <f>SUM(AK241:AK243)</f>
        <v>289</v>
      </c>
      <c r="AL240" s="282">
        <f>SUM(AL241:AL243)</f>
        <v>287</v>
      </c>
      <c r="AM240" s="286"/>
      <c r="AN240" s="282">
        <f>SUM(AN241:AN243)</f>
        <v>5478</v>
      </c>
      <c r="AO240" s="282">
        <f>SUM(AO241:AO243)</f>
        <v>5464</v>
      </c>
      <c r="AP240" s="286"/>
      <c r="AQ240" s="282">
        <f>SUM(AQ241:AQ243)</f>
        <v>2150</v>
      </c>
      <c r="AR240" s="282">
        <f>SUM(AR241:AR243)</f>
        <v>2157</v>
      </c>
      <c r="AS240" s="286"/>
      <c r="AT240" s="282">
        <f>SUM(AT241:AT243)</f>
        <v>0</v>
      </c>
      <c r="AU240" s="282">
        <f>SUM(AU241:AU243)</f>
        <v>0</v>
      </c>
      <c r="AV240" s="286"/>
      <c r="AW240" s="282">
        <f>SUM(AW241:AW243)</f>
        <v>0</v>
      </c>
      <c r="AX240" s="282">
        <f>SUM(AX241:AX243)</f>
        <v>0</v>
      </c>
      <c r="AY240" s="286"/>
      <c r="AZ240" s="282">
        <f>SUM(AZ241:AZ243)</f>
        <v>0</v>
      </c>
      <c r="BA240" s="282">
        <f>SUM(BA241:BA243)</f>
        <v>0</v>
      </c>
      <c r="BB240" s="286"/>
      <c r="BC240" s="282">
        <f>SUM(BC241:BC243)</f>
        <v>0</v>
      </c>
      <c r="BD240" s="282">
        <f>SUM(BD241:BD243)</f>
        <v>0</v>
      </c>
      <c r="BE240" s="286"/>
      <c r="BF240" s="282">
        <f>SUM(BF241:BF243)</f>
        <v>0</v>
      </c>
      <c r="BG240" s="282">
        <f>SUM(BG241:BG243)</f>
        <v>0</v>
      </c>
      <c r="BH240" s="286"/>
      <c r="BI240" s="282">
        <f>SUM(BI241:BI243)</f>
        <v>0</v>
      </c>
      <c r="BJ240" s="282">
        <f>SUM(BJ241:BJ243)</f>
        <v>0</v>
      </c>
      <c r="BK240" s="286"/>
      <c r="BL240" s="282">
        <f>SUM(BL241:BL243)</f>
        <v>0</v>
      </c>
      <c r="BM240" s="282">
        <f>SUM(BM241:BM243)</f>
        <v>0</v>
      </c>
      <c r="BN240" s="286"/>
      <c r="BO240" s="282">
        <f>SUM(BO241:BO243)</f>
        <v>0</v>
      </c>
      <c r="BP240" s="282">
        <f>SUM(BP241:BP243)</f>
        <v>0</v>
      </c>
      <c r="BQ240" s="286"/>
      <c r="BR240" s="282">
        <f>SUM(BR241:BR243)</f>
        <v>0</v>
      </c>
      <c r="BS240" s="282">
        <f>SUM(BS241:BS243)</f>
        <v>0</v>
      </c>
      <c r="BT240" s="286"/>
      <c r="BU240" s="282">
        <f>SUM(BU241:BU243)</f>
        <v>0</v>
      </c>
      <c r="BV240" s="282">
        <f>SUM(BV241:BV243)</f>
        <v>0</v>
      </c>
      <c r="BW240" s="286"/>
      <c r="BX240" s="282">
        <f>SUM(BX241:BX243)</f>
        <v>0</v>
      </c>
      <c r="BY240" s="282">
        <f>SUM(BY241:BY243)</f>
        <v>0</v>
      </c>
      <c r="BZ240" s="286"/>
      <c r="CA240" s="282">
        <f>SUM(CA241:CA243)</f>
        <v>0</v>
      </c>
      <c r="CB240" s="282">
        <f>SUM(CB241:CB243)</f>
        <v>0</v>
      </c>
      <c r="CC240" s="286"/>
      <c r="CD240" s="282">
        <f>SUM(CD241:CD243)</f>
        <v>0</v>
      </c>
      <c r="CE240" s="282">
        <f>SUM(CE241:CE243)</f>
        <v>0</v>
      </c>
      <c r="CF240" s="286"/>
      <c r="CG240" s="282">
        <f>SUM(CG241:CG243)</f>
        <v>382</v>
      </c>
      <c r="CH240" s="282">
        <f>SUM(CH241:CH243)</f>
        <v>397</v>
      </c>
      <c r="CI240" s="286"/>
      <c r="CJ240" s="282">
        <f>SUM(CJ241:CJ243)</f>
        <v>0</v>
      </c>
      <c r="CK240" s="282">
        <f>SUM(CK241:CK243)</f>
        <v>0</v>
      </c>
    </row>
    <row r="241" spans="1:89" ht="30" x14ac:dyDescent="0.25">
      <c r="A241" s="107"/>
      <c r="B241" s="312"/>
      <c r="C241" s="312" t="s">
        <v>1489</v>
      </c>
      <c r="D241" s="95"/>
      <c r="E241" s="282"/>
      <c r="F241" s="282"/>
      <c r="G241" s="282"/>
      <c r="H241" s="282"/>
      <c r="I241" s="282">
        <v>17106</v>
      </c>
      <c r="J241" s="282">
        <f>J39</f>
        <v>17281</v>
      </c>
      <c r="K241" s="282">
        <f>K39</f>
        <v>17276</v>
      </c>
      <c r="L241" s="282">
        <f>L39</f>
        <v>1964</v>
      </c>
      <c r="M241" s="282">
        <f>M39</f>
        <v>1941</v>
      </c>
      <c r="N241" s="282">
        <f>N39</f>
        <v>1876</v>
      </c>
      <c r="Q241" s="286">
        <f t="shared" ref="Q241:R243" si="392">S241+V241+Y241+AB241+AE241+AH241+AK241+AN241+AQ241+AT241+AW241+AZ241+BC241+BF241+BI241+BL241+BO241+BR241+BU241+BX241+CA241+CD241+CG241+CJ241</f>
        <v>17276</v>
      </c>
      <c r="R241" s="286">
        <f t="shared" si="392"/>
        <v>17125</v>
      </c>
      <c r="S241" s="286">
        <f>S39</f>
        <v>1265</v>
      </c>
      <c r="T241" s="286">
        <f>T39</f>
        <v>1262</v>
      </c>
      <c r="U241" s="286"/>
      <c r="V241" s="286">
        <f>V39</f>
        <v>1417</v>
      </c>
      <c r="W241" s="286">
        <f>W39</f>
        <v>1440</v>
      </c>
      <c r="X241" s="286"/>
      <c r="Y241" s="286">
        <f>Y39</f>
        <v>1458</v>
      </c>
      <c r="Z241" s="286">
        <f>Z39</f>
        <v>1415</v>
      </c>
      <c r="AA241" s="286"/>
      <c r="AB241" s="286">
        <f>AB39</f>
        <v>2212</v>
      </c>
      <c r="AC241" s="286">
        <f>AC39</f>
        <v>2176</v>
      </c>
      <c r="AD241" s="286"/>
      <c r="AE241" s="286">
        <f>AE39</f>
        <v>978</v>
      </c>
      <c r="AF241" s="286">
        <f>AF39</f>
        <v>899</v>
      </c>
      <c r="AG241" s="286"/>
      <c r="AH241" s="286">
        <f>AH39</f>
        <v>1978</v>
      </c>
      <c r="AI241" s="286">
        <f>AI39</f>
        <v>1964</v>
      </c>
      <c r="AJ241" s="286"/>
      <c r="AK241" s="286">
        <f>AK39</f>
        <v>289</v>
      </c>
      <c r="AL241" s="286">
        <f>AL39</f>
        <v>287</v>
      </c>
      <c r="AM241" s="286"/>
      <c r="AN241" s="286">
        <f>AN39</f>
        <v>5421</v>
      </c>
      <c r="AO241" s="286">
        <f>AO39</f>
        <v>5406</v>
      </c>
      <c r="AP241" s="286"/>
      <c r="AQ241" s="286">
        <f>AQ39</f>
        <v>2144</v>
      </c>
      <c r="AR241" s="286">
        <f>AR39</f>
        <v>2154</v>
      </c>
      <c r="AS241" s="286"/>
      <c r="AT241" s="286">
        <f>AT39</f>
        <v>0</v>
      </c>
      <c r="AU241" s="286">
        <f>AU39</f>
        <v>0</v>
      </c>
      <c r="AV241" s="286"/>
      <c r="AW241" s="286">
        <f>AW39</f>
        <v>0</v>
      </c>
      <c r="AX241" s="286">
        <f>AX39</f>
        <v>0</v>
      </c>
      <c r="AY241" s="286"/>
      <c r="AZ241" s="286">
        <f>AZ39</f>
        <v>0</v>
      </c>
      <c r="BA241" s="286">
        <f>BA39</f>
        <v>0</v>
      </c>
      <c r="BB241" s="286"/>
      <c r="BC241" s="286">
        <f>BC39</f>
        <v>0</v>
      </c>
      <c r="BD241" s="286">
        <f>BD39</f>
        <v>0</v>
      </c>
      <c r="BE241" s="286"/>
      <c r="BF241" s="286">
        <f>BF39</f>
        <v>0</v>
      </c>
      <c r="BG241" s="286">
        <f>BG39</f>
        <v>0</v>
      </c>
      <c r="BH241" s="286"/>
      <c r="BI241" s="286">
        <f>BI39</f>
        <v>0</v>
      </c>
      <c r="BJ241" s="286">
        <f>BJ39</f>
        <v>0</v>
      </c>
      <c r="BK241" s="286"/>
      <c r="BL241" s="286">
        <f>BL39</f>
        <v>0</v>
      </c>
      <c r="BM241" s="286">
        <f>BM39</f>
        <v>0</v>
      </c>
      <c r="BN241" s="286"/>
      <c r="BO241" s="286">
        <f>BO39</f>
        <v>0</v>
      </c>
      <c r="BP241" s="286">
        <f>BP39</f>
        <v>0</v>
      </c>
      <c r="BQ241" s="286"/>
      <c r="BR241" s="286">
        <f>BR39</f>
        <v>0</v>
      </c>
      <c r="BS241" s="286">
        <f>BS39</f>
        <v>0</v>
      </c>
      <c r="BT241" s="286"/>
      <c r="BU241" s="286">
        <f>BU39</f>
        <v>0</v>
      </c>
      <c r="BV241" s="286">
        <f>BV39</f>
        <v>0</v>
      </c>
      <c r="BW241" s="286"/>
      <c r="BX241" s="286">
        <f>BX39</f>
        <v>0</v>
      </c>
      <c r="BY241" s="286">
        <f>BY39</f>
        <v>0</v>
      </c>
      <c r="BZ241" s="286"/>
      <c r="CA241" s="286">
        <f>CA39</f>
        <v>0</v>
      </c>
      <c r="CB241" s="286">
        <f>CB39</f>
        <v>0</v>
      </c>
      <c r="CC241" s="286"/>
      <c r="CD241" s="286">
        <f>CD39</f>
        <v>0</v>
      </c>
      <c r="CE241" s="286">
        <f>CE39</f>
        <v>0</v>
      </c>
      <c r="CF241" s="286"/>
      <c r="CG241" s="286">
        <f>CG39</f>
        <v>114</v>
      </c>
      <c r="CH241" s="286">
        <f>CH39</f>
        <v>122</v>
      </c>
      <c r="CI241" s="286"/>
      <c r="CJ241" s="286">
        <f>CJ39</f>
        <v>0</v>
      </c>
      <c r="CK241" s="286">
        <f>CK39</f>
        <v>0</v>
      </c>
    </row>
    <row r="242" spans="1:89" ht="30" x14ac:dyDescent="0.25">
      <c r="A242" s="107"/>
      <c r="B242" s="312"/>
      <c r="C242" s="312" t="s">
        <v>1490</v>
      </c>
      <c r="D242" s="95"/>
      <c r="E242" s="282"/>
      <c r="F242" s="282"/>
      <c r="G242" s="282"/>
      <c r="H242" s="282"/>
      <c r="I242" s="282">
        <v>0</v>
      </c>
      <c r="J242" s="282">
        <f>J108+J109+J110</f>
        <v>0</v>
      </c>
      <c r="K242" s="282">
        <f>K108+K109+K110</f>
        <v>5</v>
      </c>
      <c r="L242" s="282">
        <f>L108+L109+L110</f>
        <v>0</v>
      </c>
      <c r="M242" s="282">
        <f>M108+M109+M110</f>
        <v>0</v>
      </c>
      <c r="N242" s="282">
        <f>N108+N109+N110</f>
        <v>0</v>
      </c>
      <c r="Q242" s="286">
        <f t="shared" si="392"/>
        <v>5</v>
      </c>
      <c r="R242" s="286">
        <f t="shared" si="392"/>
        <v>7</v>
      </c>
      <c r="S242" s="286">
        <f>S108+S109+S110</f>
        <v>0</v>
      </c>
      <c r="T242" s="286">
        <f>T108+T109+T110</f>
        <v>0</v>
      </c>
      <c r="U242" s="286"/>
      <c r="V242" s="286">
        <f>V108+V109+V110</f>
        <v>0</v>
      </c>
      <c r="W242" s="286">
        <f>W108+W109+W110</f>
        <v>0</v>
      </c>
      <c r="X242" s="286"/>
      <c r="Y242" s="286">
        <f>Y108+Y109+Y110</f>
        <v>0</v>
      </c>
      <c r="Z242" s="286">
        <f>Z108+Z109+Z110</f>
        <v>0</v>
      </c>
      <c r="AA242" s="286"/>
      <c r="AB242" s="286">
        <f>AB108+AB109+AB110</f>
        <v>0</v>
      </c>
      <c r="AC242" s="286">
        <f>AC108+AC109+AC110</f>
        <v>0</v>
      </c>
      <c r="AD242" s="286"/>
      <c r="AE242" s="286">
        <f>AE108+AE109+AE110</f>
        <v>0</v>
      </c>
      <c r="AF242" s="286">
        <f>AF108+AF109+AF110</f>
        <v>2</v>
      </c>
      <c r="AG242" s="286"/>
      <c r="AH242" s="286">
        <f>AH108+AH109+AH110</f>
        <v>0</v>
      </c>
      <c r="AI242" s="286">
        <f>AI108+AI109+AI110</f>
        <v>0</v>
      </c>
      <c r="AJ242" s="286"/>
      <c r="AK242" s="286">
        <f>AK108+AK109+AK110</f>
        <v>0</v>
      </c>
      <c r="AL242" s="286">
        <f>AL108+AL109+AL110</f>
        <v>0</v>
      </c>
      <c r="AM242" s="286"/>
      <c r="AN242" s="286">
        <f>AN108+AN109+AN110</f>
        <v>5</v>
      </c>
      <c r="AO242" s="286">
        <f>AO108+AO109+AO110</f>
        <v>5</v>
      </c>
      <c r="AP242" s="286"/>
      <c r="AQ242" s="286">
        <f>AQ108+AQ109+AQ110</f>
        <v>0</v>
      </c>
      <c r="AR242" s="286">
        <f>AR108+AR109+AR110</f>
        <v>0</v>
      </c>
      <c r="AS242" s="286"/>
      <c r="AT242" s="286">
        <f>AT108+AT109+AT110</f>
        <v>0</v>
      </c>
      <c r="AU242" s="286">
        <f>AU108+AU109+AU110</f>
        <v>0</v>
      </c>
      <c r="AV242" s="286"/>
      <c r="AW242" s="286">
        <f>AW108+AW109+AW110</f>
        <v>0</v>
      </c>
      <c r="AX242" s="286">
        <f>AX108+AX109+AX110</f>
        <v>0</v>
      </c>
      <c r="AY242" s="286"/>
      <c r="AZ242" s="286">
        <f>AZ108+AZ109+AZ110</f>
        <v>0</v>
      </c>
      <c r="BA242" s="286">
        <f>BA108+BA109+BA110</f>
        <v>0</v>
      </c>
      <c r="BB242" s="286"/>
      <c r="BC242" s="286">
        <f>BC108+BC109+BC110</f>
        <v>0</v>
      </c>
      <c r="BD242" s="286">
        <f>BD108+BD109+BD110</f>
        <v>0</v>
      </c>
      <c r="BE242" s="286"/>
      <c r="BF242" s="286">
        <f>BF108+BF109+BF110</f>
        <v>0</v>
      </c>
      <c r="BG242" s="286">
        <f>BG108+BG109+BG110</f>
        <v>0</v>
      </c>
      <c r="BH242" s="286"/>
      <c r="BI242" s="286">
        <f>BI108+BI109+BI110</f>
        <v>0</v>
      </c>
      <c r="BJ242" s="286">
        <f>BJ108+BJ109+BJ110</f>
        <v>0</v>
      </c>
      <c r="BK242" s="286"/>
      <c r="BL242" s="286">
        <f>BL108+BL109+BL110</f>
        <v>0</v>
      </c>
      <c r="BM242" s="286">
        <f>BM108+BM109+BM110</f>
        <v>0</v>
      </c>
      <c r="BN242" s="286"/>
      <c r="BO242" s="286">
        <f>BO108+BO109+BO110</f>
        <v>0</v>
      </c>
      <c r="BP242" s="286">
        <f>BP108+BP109+BP110</f>
        <v>0</v>
      </c>
      <c r="BQ242" s="286"/>
      <c r="BR242" s="286">
        <f>BR108+BR109+BR110</f>
        <v>0</v>
      </c>
      <c r="BS242" s="286">
        <f>BS108+BS109+BS110</f>
        <v>0</v>
      </c>
      <c r="BT242" s="286"/>
      <c r="BU242" s="286">
        <f>BU108+BU109+BU110</f>
        <v>0</v>
      </c>
      <c r="BV242" s="286">
        <f>BV108+BV109+BV110</f>
        <v>0</v>
      </c>
      <c r="BW242" s="286"/>
      <c r="BX242" s="286">
        <f>BX108+BX109+BX110</f>
        <v>0</v>
      </c>
      <c r="BY242" s="286">
        <f>BY108+BY109+BY110</f>
        <v>0</v>
      </c>
      <c r="BZ242" s="286"/>
      <c r="CA242" s="286">
        <f>CA108+CA109+CA110</f>
        <v>0</v>
      </c>
      <c r="CB242" s="286">
        <f>CB108+CB109+CB110</f>
        <v>0</v>
      </c>
      <c r="CC242" s="286"/>
      <c r="CD242" s="286">
        <f>CD108+CD109+CD110</f>
        <v>0</v>
      </c>
      <c r="CE242" s="286">
        <f>CE108+CE109+CE110</f>
        <v>0</v>
      </c>
      <c r="CF242" s="286"/>
      <c r="CG242" s="286">
        <f>CG108+CG109+CG110</f>
        <v>0</v>
      </c>
      <c r="CH242" s="286">
        <f>CH108+CH109+CH110</f>
        <v>0</v>
      </c>
      <c r="CI242" s="286"/>
      <c r="CJ242" s="286">
        <f>CJ108+CJ109+CJ110</f>
        <v>0</v>
      </c>
      <c r="CK242" s="286">
        <f>CK108+CK109+CK110</f>
        <v>0</v>
      </c>
    </row>
    <row r="243" spans="1:89" ht="30" x14ac:dyDescent="0.25">
      <c r="A243" s="107"/>
      <c r="B243" s="312"/>
      <c r="C243" s="312" t="s">
        <v>1491</v>
      </c>
      <c r="D243" s="95"/>
      <c r="E243" s="282"/>
      <c r="F243" s="282"/>
      <c r="G243" s="282"/>
      <c r="H243" s="282"/>
      <c r="I243" s="282">
        <v>312</v>
      </c>
      <c r="J243" s="282">
        <v>337</v>
      </c>
      <c r="K243" s="282">
        <v>356</v>
      </c>
      <c r="L243" s="282">
        <v>0</v>
      </c>
      <c r="M243" s="282">
        <v>0</v>
      </c>
      <c r="N243" s="282">
        <v>0</v>
      </c>
      <c r="Q243" s="286">
        <f t="shared" si="392"/>
        <v>356</v>
      </c>
      <c r="R243" s="286">
        <f t="shared" si="392"/>
        <v>351</v>
      </c>
      <c r="S243" s="286">
        <v>0</v>
      </c>
      <c r="T243" s="286">
        <v>0</v>
      </c>
      <c r="U243" s="286"/>
      <c r="V243" s="286">
        <v>21</v>
      </c>
      <c r="W243" s="286">
        <v>13</v>
      </c>
      <c r="X243" s="286"/>
      <c r="Y243" s="286">
        <v>0</v>
      </c>
      <c r="Z243" s="286">
        <v>0</v>
      </c>
      <c r="AA243" s="286"/>
      <c r="AB243" s="286">
        <v>0</v>
      </c>
      <c r="AC243" s="286">
        <v>0</v>
      </c>
      <c r="AD243" s="286"/>
      <c r="AE243" s="286">
        <v>9</v>
      </c>
      <c r="AF243" s="286">
        <v>7</v>
      </c>
      <c r="AG243" s="286"/>
      <c r="AH243" s="286">
        <v>0</v>
      </c>
      <c r="AI243" s="286">
        <v>0</v>
      </c>
      <c r="AJ243" s="286"/>
      <c r="AK243" s="286">
        <v>0</v>
      </c>
      <c r="AL243" s="286">
        <v>0</v>
      </c>
      <c r="AM243" s="286"/>
      <c r="AN243" s="286">
        <v>52</v>
      </c>
      <c r="AO243" s="286">
        <v>53</v>
      </c>
      <c r="AP243" s="286"/>
      <c r="AQ243" s="286">
        <v>6</v>
      </c>
      <c r="AR243" s="286">
        <v>3</v>
      </c>
      <c r="AS243" s="286"/>
      <c r="AT243" s="286">
        <v>0</v>
      </c>
      <c r="AU243" s="286">
        <v>0</v>
      </c>
      <c r="AV243" s="286"/>
      <c r="AW243" s="286">
        <v>0</v>
      </c>
      <c r="AX243" s="286">
        <v>0</v>
      </c>
      <c r="AY243" s="286"/>
      <c r="AZ243" s="286">
        <v>0</v>
      </c>
      <c r="BA243" s="286">
        <v>0</v>
      </c>
      <c r="BB243" s="286"/>
      <c r="BC243" s="286">
        <v>0</v>
      </c>
      <c r="BD243" s="286">
        <v>0</v>
      </c>
      <c r="BE243" s="286"/>
      <c r="BF243" s="286">
        <v>0</v>
      </c>
      <c r="BG243" s="286">
        <v>0</v>
      </c>
      <c r="BH243" s="286"/>
      <c r="BI243" s="286">
        <v>0</v>
      </c>
      <c r="BJ243" s="286">
        <v>0</v>
      </c>
      <c r="BK243" s="286"/>
      <c r="BL243" s="286">
        <v>0</v>
      </c>
      <c r="BM243" s="286">
        <v>0</v>
      </c>
      <c r="BN243" s="286"/>
      <c r="BO243" s="286">
        <v>0</v>
      </c>
      <c r="BP243" s="286">
        <v>0</v>
      </c>
      <c r="BQ243" s="286"/>
      <c r="BR243" s="286">
        <v>0</v>
      </c>
      <c r="BS243" s="286">
        <v>0</v>
      </c>
      <c r="BT243" s="286"/>
      <c r="BU243" s="286">
        <v>0</v>
      </c>
      <c r="BV243" s="286">
        <v>0</v>
      </c>
      <c r="BW243" s="286"/>
      <c r="BX243" s="286">
        <v>0</v>
      </c>
      <c r="BY243" s="286">
        <v>0</v>
      </c>
      <c r="BZ243" s="286"/>
      <c r="CA243" s="286">
        <v>0</v>
      </c>
      <c r="CB243" s="286">
        <v>0</v>
      </c>
      <c r="CC243" s="286"/>
      <c r="CD243" s="286">
        <v>0</v>
      </c>
      <c r="CE243" s="286">
        <v>0</v>
      </c>
      <c r="CF243" s="286"/>
      <c r="CG243" s="286">
        <v>268</v>
      </c>
      <c r="CH243" s="286">
        <v>275</v>
      </c>
      <c r="CI243" s="286"/>
      <c r="CJ243" s="286">
        <v>0</v>
      </c>
      <c r="CK243" s="286">
        <v>0</v>
      </c>
    </row>
    <row r="244" spans="1:89" x14ac:dyDescent="0.25">
      <c r="A244" s="107"/>
      <c r="B244" s="96" t="s">
        <v>1184</v>
      </c>
      <c r="C244" s="312"/>
      <c r="D244" s="95" t="s">
        <v>8</v>
      </c>
      <c r="E244" s="279">
        <f t="shared" ref="E244:H246" si="393">100-E201</f>
        <v>94.357743097238895</v>
      </c>
      <c r="F244" s="279">
        <f t="shared" si="393"/>
        <v>93.771234428086075</v>
      </c>
      <c r="G244" s="279">
        <f t="shared" si="393"/>
        <v>94.725738396624479</v>
      </c>
      <c r="H244" s="279">
        <f t="shared" si="393"/>
        <v>93.840579710144922</v>
      </c>
      <c r="I244" s="279">
        <f t="shared" ref="I244:N244" si="394">(I248+I252)/(I257+I261)*100</f>
        <v>93.541202672605792</v>
      </c>
      <c r="J244" s="279">
        <f t="shared" si="394"/>
        <v>93.233082706766908</v>
      </c>
      <c r="K244" s="279">
        <f t="shared" si="394"/>
        <v>93.669527896995703</v>
      </c>
      <c r="L244" s="279" t="e">
        <f t="shared" si="394"/>
        <v>#DIV/0!</v>
      </c>
      <c r="M244" s="279" t="e">
        <f t="shared" si="394"/>
        <v>#DIV/0!</v>
      </c>
      <c r="N244" s="279" t="e">
        <f t="shared" si="394"/>
        <v>#DIV/0!</v>
      </c>
      <c r="Q244" s="279">
        <f>(Q248+Q252)/(Q257+Q261)*100</f>
        <v>93.669527896995703</v>
      </c>
      <c r="R244" s="279">
        <f>(R248+R252)/(R257+R261)*100</f>
        <v>93.913043478260875</v>
      </c>
      <c r="S244" s="279" t="e">
        <f>(S248+S252)/(S257+S261)*100</f>
        <v>#DIV/0!</v>
      </c>
      <c r="T244" s="279" t="e">
        <f>(T248+T252)/(T257+T261)*100</f>
        <v>#DIV/0!</v>
      </c>
      <c r="V244" s="279" t="e">
        <f>(V248+V252)/(V257+V261)*100</f>
        <v>#DIV/0!</v>
      </c>
      <c r="W244" s="279" t="e">
        <f>(W248+W252)/(W257+W261)*100</f>
        <v>#DIV/0!</v>
      </c>
      <c r="Y244" s="279" t="e">
        <f>(Y248+Y252)/(Y257+Y261)*100</f>
        <v>#DIV/0!</v>
      </c>
      <c r="Z244" s="279" t="e">
        <f>(Z248+Z252)/(Z257+Z261)*100</f>
        <v>#DIV/0!</v>
      </c>
      <c r="AB244" s="279" t="e">
        <f>(AB248+AB252)/(AB257+AB261)*100</f>
        <v>#DIV/0!</v>
      </c>
      <c r="AC244" s="279" t="e">
        <f>(AC248+AC252)/(AC257+AC261)*100</f>
        <v>#DIV/0!</v>
      </c>
      <c r="AE244" s="279" t="e">
        <f>(AE248+AE252)/(AE257+AE261)*100</f>
        <v>#DIV/0!</v>
      </c>
      <c r="AF244" s="279" t="e">
        <f>(AF248+AF252)/(AF257+AF261)*100</f>
        <v>#DIV/0!</v>
      </c>
      <c r="AH244" s="279" t="e">
        <f>(AH248+AH252)/(AH257+AH261)*100</f>
        <v>#DIV/0!</v>
      </c>
      <c r="AI244" s="279" t="e">
        <f>(AI248+AI252)/(AI257+AI261)*100</f>
        <v>#DIV/0!</v>
      </c>
      <c r="AK244" s="279" t="e">
        <f>(AK248+AK252)/(AK257+AK261)*100</f>
        <v>#DIV/0!</v>
      </c>
      <c r="AL244" s="279" t="e">
        <f>(AL248+AL252)/(AL257+AL261)*100</f>
        <v>#DIV/0!</v>
      </c>
      <c r="AN244" s="279" t="e">
        <f>(AN248+AN252)/(AN257+AN261)*100</f>
        <v>#DIV/0!</v>
      </c>
      <c r="AO244" s="279" t="e">
        <f>(AO248+AO252)/(AO257+AO261)*100</f>
        <v>#DIV/0!</v>
      </c>
      <c r="AQ244" s="279" t="e">
        <f>(AQ248+AQ252)/(AQ257+AQ261)*100</f>
        <v>#DIV/0!</v>
      </c>
      <c r="AR244" s="279" t="e">
        <f>(AR248+AR252)/(AR257+AR261)*100</f>
        <v>#DIV/0!</v>
      </c>
      <c r="AT244" s="279" t="e">
        <f>(AT248+AT252)/(AT257+AT261)*100</f>
        <v>#DIV/0!</v>
      </c>
      <c r="AU244" s="279" t="e">
        <f>(AU248+AU252)/(AU257+AU261)*100</f>
        <v>#DIV/0!</v>
      </c>
      <c r="AW244" s="279" t="e">
        <f>(AW248+AW252)/(AW257+AW261)*100</f>
        <v>#DIV/0!</v>
      </c>
      <c r="AX244" s="279" t="e">
        <f>(AX248+AX252)/(AX257+AX261)*100</f>
        <v>#DIV/0!</v>
      </c>
      <c r="AZ244" s="279" t="e">
        <f>(AZ248+AZ252)/(AZ257+AZ261)*100</f>
        <v>#DIV/0!</v>
      </c>
      <c r="BA244" s="279" t="e">
        <f>(BA248+BA252)/(BA257+BA261)*100</f>
        <v>#DIV/0!</v>
      </c>
      <c r="BC244" s="279">
        <f>(BC248+BC252)/(BC257+BC261)*100</f>
        <v>68.449197860962556</v>
      </c>
      <c r="BD244" s="279">
        <f>(BD248+BD252)/(BD257+BD261)*100</f>
        <v>70.212765957446805</v>
      </c>
      <c r="BF244" s="279">
        <f>(BF248+BF252)/(BF257+BF261)*100</f>
        <v>100</v>
      </c>
      <c r="BG244" s="279">
        <f>(BG248+BG252)/(BG257+BG261)*100</f>
        <v>100</v>
      </c>
      <c r="BI244" s="279">
        <f>(BI248+BI252)/(BI257+BI261)*100</f>
        <v>100</v>
      </c>
      <c r="BJ244" s="279">
        <f>(BJ248+BJ252)/(BJ257+BJ261)*100</f>
        <v>100</v>
      </c>
      <c r="BL244" s="279" t="e">
        <f>(BL248+BL252)/(BL257+BL261)*100</f>
        <v>#DIV/0!</v>
      </c>
      <c r="BM244" s="279" t="e">
        <f>(BM248+BM252)/(BM257+BM261)*100</f>
        <v>#DIV/0!</v>
      </c>
      <c r="BO244" s="279" t="e">
        <f>(BO248+BO252)/(BO257+BO261)*100</f>
        <v>#DIV/0!</v>
      </c>
      <c r="BP244" s="279" t="e">
        <f>(BP248+BP252)/(BP257+BP261)*100</f>
        <v>#DIV/0!</v>
      </c>
      <c r="BR244" s="279" t="e">
        <f>(BR248+BR252)/(BR257+BR261)*100</f>
        <v>#DIV/0!</v>
      </c>
      <c r="BS244" s="279" t="e">
        <f>(BS248+BS252)/(BS257+BS261)*100</f>
        <v>#DIV/0!</v>
      </c>
      <c r="BU244" s="279" t="e">
        <f>(BU248+BU252)/(BU257+BU261)*100</f>
        <v>#DIV/0!</v>
      </c>
      <c r="BV244" s="279" t="e">
        <f>(BV248+BV252)/(BV257+BV261)*100</f>
        <v>#DIV/0!</v>
      </c>
      <c r="BX244" s="279" t="e">
        <f>(BX248+BX252)/(BX257+BX261)*100</f>
        <v>#DIV/0!</v>
      </c>
      <c r="BY244" s="279" t="e">
        <f>(BY248+BY252)/(BY257+BY261)*100</f>
        <v>#DIV/0!</v>
      </c>
      <c r="CA244" s="279" t="e">
        <f>(CA248+CA252)/(CA257+CA261)*100</f>
        <v>#DIV/0!</v>
      </c>
      <c r="CB244" s="279" t="e">
        <f>(CB248+CB252)/(CB257+CB261)*100</f>
        <v>#DIV/0!</v>
      </c>
      <c r="CD244" s="279">
        <f>(CD248+CD252)/(CD257+CD261)*100</f>
        <v>100</v>
      </c>
      <c r="CE244" s="279">
        <f>(CE248+CE252)/(CE257+CE261)*100</f>
        <v>100</v>
      </c>
      <c r="CG244" s="279" t="e">
        <f>(CG248+CG252)/(CG257+CG261)*100</f>
        <v>#DIV/0!</v>
      </c>
      <c r="CH244" s="279" t="e">
        <f>(CH248+CH252)/(CH257+CH261)*100</f>
        <v>#DIV/0!</v>
      </c>
      <c r="CJ244" s="279" t="e">
        <f>(CJ248+CJ252)/(CJ257+CJ261)*100</f>
        <v>#DIV/0!</v>
      </c>
      <c r="CK244" s="279" t="e">
        <f>(CK248+CK252)/(CK257+CK261)*100</f>
        <v>#DIV/0!</v>
      </c>
    </row>
    <row r="245" spans="1:89" x14ac:dyDescent="0.25">
      <c r="A245" s="107"/>
      <c r="B245" s="96" t="s">
        <v>1183</v>
      </c>
      <c r="C245" s="312"/>
      <c r="D245" s="95" t="s">
        <v>8</v>
      </c>
      <c r="E245" s="279">
        <f t="shared" si="393"/>
        <v>94.357743097238895</v>
      </c>
      <c r="F245" s="279">
        <f t="shared" si="393"/>
        <v>93.771234428086075</v>
      </c>
      <c r="G245" s="279">
        <f t="shared" si="393"/>
        <v>94.725738396624479</v>
      </c>
      <c r="H245" s="279">
        <f t="shared" si="393"/>
        <v>93.840579710144922</v>
      </c>
      <c r="I245" s="279">
        <f t="shared" ref="I245:N245" si="395">I248/I257*100</f>
        <v>93.541202672605792</v>
      </c>
      <c r="J245" s="279">
        <f t="shared" si="395"/>
        <v>93.233082706766908</v>
      </c>
      <c r="K245" s="279">
        <f t="shared" si="395"/>
        <v>93.669527896995703</v>
      </c>
      <c r="L245" s="279" t="e">
        <f t="shared" si="395"/>
        <v>#DIV/0!</v>
      </c>
      <c r="M245" s="279" t="e">
        <f t="shared" si="395"/>
        <v>#DIV/0!</v>
      </c>
      <c r="N245" s="279" t="e">
        <f t="shared" si="395"/>
        <v>#DIV/0!</v>
      </c>
      <c r="Q245" s="279">
        <f>Q248/Q257*100</f>
        <v>93.669527896995703</v>
      </c>
      <c r="R245" s="279">
        <f>R248/R257*100</f>
        <v>93.913043478260875</v>
      </c>
      <c r="S245" s="279" t="e">
        <f>S248/S257*100</f>
        <v>#DIV/0!</v>
      </c>
      <c r="T245" s="279" t="e">
        <f>T248/T257*100</f>
        <v>#DIV/0!</v>
      </c>
      <c r="V245" s="279" t="e">
        <f>V248/V257*100</f>
        <v>#DIV/0!</v>
      </c>
      <c r="W245" s="279" t="e">
        <f>W248/W257*100</f>
        <v>#DIV/0!</v>
      </c>
      <c r="Y245" s="279" t="e">
        <f>Y248/Y257*100</f>
        <v>#DIV/0!</v>
      </c>
      <c r="Z245" s="279" t="e">
        <f>Z248/Z257*100</f>
        <v>#DIV/0!</v>
      </c>
      <c r="AB245" s="279" t="e">
        <f>AB248/AB257*100</f>
        <v>#DIV/0!</v>
      </c>
      <c r="AC245" s="279" t="e">
        <f>AC248/AC257*100</f>
        <v>#DIV/0!</v>
      </c>
      <c r="AE245" s="279" t="e">
        <f>AE248/AE257*100</f>
        <v>#DIV/0!</v>
      </c>
      <c r="AF245" s="279" t="e">
        <f>AF248/AF257*100</f>
        <v>#DIV/0!</v>
      </c>
      <c r="AH245" s="279" t="e">
        <f>AH248/AH257*100</f>
        <v>#DIV/0!</v>
      </c>
      <c r="AI245" s="279" t="e">
        <f>AI248/AI257*100</f>
        <v>#DIV/0!</v>
      </c>
      <c r="AK245" s="279" t="e">
        <f>AK248/AK257*100</f>
        <v>#DIV/0!</v>
      </c>
      <c r="AL245" s="279" t="e">
        <f>AL248/AL257*100</f>
        <v>#DIV/0!</v>
      </c>
      <c r="AN245" s="279" t="e">
        <f>AN248/AN257*100</f>
        <v>#DIV/0!</v>
      </c>
      <c r="AO245" s="279" t="e">
        <f>AO248/AO257*100</f>
        <v>#DIV/0!</v>
      </c>
      <c r="AQ245" s="279" t="e">
        <f>AQ248/AQ257*100</f>
        <v>#DIV/0!</v>
      </c>
      <c r="AR245" s="279" t="e">
        <f>AR248/AR257*100</f>
        <v>#DIV/0!</v>
      </c>
      <c r="AT245" s="279" t="e">
        <f>AT248/AT257*100</f>
        <v>#DIV/0!</v>
      </c>
      <c r="AU245" s="279" t="e">
        <f>AU248/AU257*100</f>
        <v>#DIV/0!</v>
      </c>
      <c r="AW245" s="279" t="e">
        <f>AW248/AW257*100</f>
        <v>#DIV/0!</v>
      </c>
      <c r="AX245" s="279" t="e">
        <f>AX248/AX257*100</f>
        <v>#DIV/0!</v>
      </c>
      <c r="AZ245" s="279" t="e">
        <f>AZ248/AZ257*100</f>
        <v>#DIV/0!</v>
      </c>
      <c r="BA245" s="279" t="e">
        <f>BA248/BA257*100</f>
        <v>#DIV/0!</v>
      </c>
      <c r="BC245" s="279">
        <f>BC248/BC257*100</f>
        <v>68.449197860962556</v>
      </c>
      <c r="BD245" s="279">
        <f>BD248/BD257*100</f>
        <v>70.212765957446805</v>
      </c>
      <c r="BF245" s="279">
        <f>BF248/BF257*100</f>
        <v>100</v>
      </c>
      <c r="BG245" s="279">
        <f>BG248/BG257*100</f>
        <v>100</v>
      </c>
      <c r="BI245" s="279">
        <f>BI248/BI257*100</f>
        <v>100</v>
      </c>
      <c r="BJ245" s="279">
        <f>BJ248/BJ257*100</f>
        <v>100</v>
      </c>
      <c r="BL245" s="279" t="e">
        <f>BL248/BL257*100</f>
        <v>#DIV/0!</v>
      </c>
      <c r="BM245" s="279" t="e">
        <f>BM248/BM257*100</f>
        <v>#DIV/0!</v>
      </c>
      <c r="BO245" s="279" t="e">
        <f>BO248/BO257*100</f>
        <v>#DIV/0!</v>
      </c>
      <c r="BP245" s="279" t="e">
        <f>BP248/BP257*100</f>
        <v>#DIV/0!</v>
      </c>
      <c r="BR245" s="279" t="e">
        <f>BR248/BR257*100</f>
        <v>#DIV/0!</v>
      </c>
      <c r="BS245" s="279" t="e">
        <f>BS248/BS257*100</f>
        <v>#DIV/0!</v>
      </c>
      <c r="BU245" s="279" t="e">
        <f>BU248/BU257*100</f>
        <v>#DIV/0!</v>
      </c>
      <c r="BV245" s="279" t="e">
        <f>BV248/BV257*100</f>
        <v>#DIV/0!</v>
      </c>
      <c r="BX245" s="279" t="e">
        <f>BX248/BX257*100</f>
        <v>#DIV/0!</v>
      </c>
      <c r="BY245" s="279" t="e">
        <f>BY248/BY257*100</f>
        <v>#DIV/0!</v>
      </c>
      <c r="CA245" s="279" t="e">
        <f>CA248/CA257*100</f>
        <v>#DIV/0!</v>
      </c>
      <c r="CB245" s="279" t="e">
        <f>CB248/CB257*100</f>
        <v>#DIV/0!</v>
      </c>
      <c r="CD245" s="279">
        <f>CD248/CD257*100</f>
        <v>100</v>
      </c>
      <c r="CE245" s="279">
        <f>CE248/CE257*100</f>
        <v>100</v>
      </c>
      <c r="CG245" s="279" t="e">
        <f>CG248/CG257*100</f>
        <v>#DIV/0!</v>
      </c>
      <c r="CH245" s="279" t="e">
        <f>CH248/CH257*100</f>
        <v>#DIV/0!</v>
      </c>
      <c r="CJ245" s="279" t="e">
        <f>CJ248/CJ257*100</f>
        <v>#DIV/0!</v>
      </c>
      <c r="CK245" s="279" t="e">
        <f>CK248/CK257*100</f>
        <v>#DIV/0!</v>
      </c>
    </row>
    <row r="246" spans="1:89" x14ac:dyDescent="0.25">
      <c r="A246" s="107"/>
      <c r="B246" s="96" t="s">
        <v>1185</v>
      </c>
      <c r="C246" s="312"/>
      <c r="D246" s="95" t="s">
        <v>8</v>
      </c>
      <c r="E246" s="279" t="e">
        <f t="shared" si="393"/>
        <v>#DIV/0!</v>
      </c>
      <c r="F246" s="279" t="e">
        <f t="shared" si="393"/>
        <v>#DIV/0!</v>
      </c>
      <c r="G246" s="279" t="e">
        <f t="shared" si="393"/>
        <v>#DIV/0!</v>
      </c>
      <c r="H246" s="279" t="e">
        <f t="shared" si="393"/>
        <v>#DIV/0!</v>
      </c>
      <c r="I246" s="279" t="e">
        <f t="shared" ref="I246:N246" si="396">I252/I261*100</f>
        <v>#DIV/0!</v>
      </c>
      <c r="J246" s="279" t="e">
        <f t="shared" si="396"/>
        <v>#DIV/0!</v>
      </c>
      <c r="K246" s="279" t="e">
        <f t="shared" si="396"/>
        <v>#DIV/0!</v>
      </c>
      <c r="L246" s="279" t="e">
        <f t="shared" si="396"/>
        <v>#DIV/0!</v>
      </c>
      <c r="M246" s="279" t="e">
        <f t="shared" si="396"/>
        <v>#DIV/0!</v>
      </c>
      <c r="N246" s="279" t="e">
        <f t="shared" si="396"/>
        <v>#DIV/0!</v>
      </c>
      <c r="Q246" s="279" t="e">
        <f>Q252/Q261*100</f>
        <v>#DIV/0!</v>
      </c>
      <c r="R246" s="279" t="e">
        <f>R252/R261*100</f>
        <v>#DIV/0!</v>
      </c>
      <c r="S246" s="279" t="e">
        <f>S252/S261*100</f>
        <v>#DIV/0!</v>
      </c>
      <c r="T246" s="279" t="e">
        <f>T252/T261*100</f>
        <v>#DIV/0!</v>
      </c>
      <c r="V246" s="279" t="e">
        <f>V252/V261*100</f>
        <v>#DIV/0!</v>
      </c>
      <c r="W246" s="279" t="e">
        <f>W252/W261*100</f>
        <v>#DIV/0!</v>
      </c>
      <c r="Y246" s="279" t="e">
        <f>Y252/Y261*100</f>
        <v>#DIV/0!</v>
      </c>
      <c r="Z246" s="279" t="e">
        <f>Z252/Z261*100</f>
        <v>#DIV/0!</v>
      </c>
      <c r="AB246" s="279" t="e">
        <f>AB252/AB261*100</f>
        <v>#DIV/0!</v>
      </c>
      <c r="AC246" s="279" t="e">
        <f>AC252/AC261*100</f>
        <v>#DIV/0!</v>
      </c>
      <c r="AE246" s="279" t="e">
        <f>AE252/AE261*100</f>
        <v>#DIV/0!</v>
      </c>
      <c r="AF246" s="279" t="e">
        <f>AF252/AF261*100</f>
        <v>#DIV/0!</v>
      </c>
      <c r="AH246" s="279" t="e">
        <f>AH252/AH261*100</f>
        <v>#DIV/0!</v>
      </c>
      <c r="AI246" s="279" t="e">
        <f>AI252/AI261*100</f>
        <v>#DIV/0!</v>
      </c>
      <c r="AK246" s="279" t="e">
        <f>AK252/AK261*100</f>
        <v>#DIV/0!</v>
      </c>
      <c r="AL246" s="279" t="e">
        <f>AL252/AL261*100</f>
        <v>#DIV/0!</v>
      </c>
      <c r="AN246" s="279" t="e">
        <f>AN252/AN261*100</f>
        <v>#DIV/0!</v>
      </c>
      <c r="AO246" s="279" t="e">
        <f>AO252/AO261*100</f>
        <v>#DIV/0!</v>
      </c>
      <c r="AQ246" s="279" t="e">
        <f>AQ252/AQ261*100</f>
        <v>#DIV/0!</v>
      </c>
      <c r="AR246" s="279" t="e">
        <f>AR252/AR261*100</f>
        <v>#DIV/0!</v>
      </c>
      <c r="AT246" s="279" t="e">
        <f>AT252/AT261*100</f>
        <v>#DIV/0!</v>
      </c>
      <c r="AU246" s="279" t="e">
        <f>AU252/AU261*100</f>
        <v>#DIV/0!</v>
      </c>
      <c r="AW246" s="279" t="e">
        <f>AW252/AW261*100</f>
        <v>#DIV/0!</v>
      </c>
      <c r="AX246" s="279" t="e">
        <f>AX252/AX261*100</f>
        <v>#DIV/0!</v>
      </c>
      <c r="AZ246" s="279" t="e">
        <f>AZ252/AZ261*100</f>
        <v>#DIV/0!</v>
      </c>
      <c r="BA246" s="279" t="e">
        <f>BA252/BA261*100</f>
        <v>#DIV/0!</v>
      </c>
      <c r="BC246" s="279" t="e">
        <f>BC252/BC261*100</f>
        <v>#DIV/0!</v>
      </c>
      <c r="BD246" s="279" t="e">
        <f>BD252/BD261*100</f>
        <v>#DIV/0!</v>
      </c>
      <c r="BF246" s="279" t="e">
        <f>BF252/BF261*100</f>
        <v>#DIV/0!</v>
      </c>
      <c r="BG246" s="279" t="e">
        <f>BG252/BG261*100</f>
        <v>#DIV/0!</v>
      </c>
      <c r="BI246" s="279" t="e">
        <f>BI252/BI261*100</f>
        <v>#DIV/0!</v>
      </c>
      <c r="BJ246" s="279" t="e">
        <f>BJ252/BJ261*100</f>
        <v>#DIV/0!</v>
      </c>
      <c r="BL246" s="279" t="e">
        <f>BL252/BL261*100</f>
        <v>#DIV/0!</v>
      </c>
      <c r="BM246" s="279" t="e">
        <f>BM252/BM261*100</f>
        <v>#DIV/0!</v>
      </c>
      <c r="BO246" s="279" t="e">
        <f>BO252/BO261*100</f>
        <v>#DIV/0!</v>
      </c>
      <c r="BP246" s="279" t="e">
        <f>BP252/BP261*100</f>
        <v>#DIV/0!</v>
      </c>
      <c r="BR246" s="279" t="e">
        <f>BR252/BR261*100</f>
        <v>#DIV/0!</v>
      </c>
      <c r="BS246" s="279" t="e">
        <f>BS252/BS261*100</f>
        <v>#DIV/0!</v>
      </c>
      <c r="BU246" s="279" t="e">
        <f>BU252/BU261*100</f>
        <v>#DIV/0!</v>
      </c>
      <c r="BV246" s="279" t="e">
        <f>BV252/BV261*100</f>
        <v>#DIV/0!</v>
      </c>
      <c r="BX246" s="279" t="e">
        <f>BX252/BX261*100</f>
        <v>#DIV/0!</v>
      </c>
      <c r="BY246" s="279" t="e">
        <f>BY252/BY261*100</f>
        <v>#DIV/0!</v>
      </c>
      <c r="CA246" s="279" t="e">
        <f>CA252/CA261*100</f>
        <v>#DIV/0!</v>
      </c>
      <c r="CB246" s="279" t="e">
        <f>CB252/CB261*100</f>
        <v>#DIV/0!</v>
      </c>
      <c r="CD246" s="279" t="e">
        <f>CD252/CD261*100</f>
        <v>#DIV/0!</v>
      </c>
      <c r="CE246" s="279" t="e">
        <f>CE252/CE261*100</f>
        <v>#DIV/0!</v>
      </c>
      <c r="CG246" s="279" t="e">
        <f>CG252/CG261*100</f>
        <v>#DIV/0!</v>
      </c>
      <c r="CH246" s="279" t="e">
        <f>CH252/CH261*100</f>
        <v>#DIV/0!</v>
      </c>
      <c r="CJ246" s="279" t="e">
        <f>CJ252/CJ261*100</f>
        <v>#DIV/0!</v>
      </c>
      <c r="CK246" s="279" t="e">
        <f>CK252/CK261*100</f>
        <v>#DIV/0!</v>
      </c>
    </row>
    <row r="247" spans="1:89" x14ac:dyDescent="0.25">
      <c r="A247" s="107"/>
      <c r="B247" s="294" t="s">
        <v>1831</v>
      </c>
      <c r="C247" s="312"/>
      <c r="D247" s="95"/>
      <c r="E247" s="282"/>
      <c r="F247" s="282"/>
      <c r="G247" s="282"/>
      <c r="H247" s="282"/>
      <c r="I247" s="282"/>
      <c r="J247" s="282"/>
      <c r="K247" s="282"/>
      <c r="L247" s="282"/>
      <c r="M247" s="282"/>
      <c r="N247" s="282"/>
      <c r="Q247" s="282"/>
      <c r="R247" s="282"/>
      <c r="S247" s="282"/>
      <c r="T247" s="282"/>
      <c r="V247" s="282"/>
      <c r="W247" s="282"/>
      <c r="Y247" s="282"/>
      <c r="Z247" s="282"/>
      <c r="AB247" s="282"/>
      <c r="AC247" s="282"/>
      <c r="AE247" s="282"/>
      <c r="AF247" s="282"/>
      <c r="AH247" s="282"/>
      <c r="AI247" s="282"/>
      <c r="AK247" s="282"/>
      <c r="AL247" s="282"/>
      <c r="AN247" s="282"/>
      <c r="AO247" s="282"/>
      <c r="AQ247" s="282"/>
      <c r="AR247" s="282"/>
      <c r="AT247" s="282"/>
      <c r="AU247" s="282"/>
      <c r="AW247" s="282"/>
      <c r="AX247" s="282"/>
      <c r="AZ247" s="282"/>
      <c r="BA247" s="282"/>
      <c r="BC247" s="282"/>
      <c r="BD247" s="282"/>
      <c r="BF247" s="282"/>
      <c r="BG247" s="282"/>
      <c r="BI247" s="282"/>
      <c r="BJ247" s="282"/>
      <c r="BL247" s="282"/>
      <c r="BM247" s="282"/>
      <c r="BO247" s="282"/>
      <c r="BP247" s="282"/>
      <c r="BR247" s="282"/>
      <c r="BS247" s="282"/>
      <c r="BU247" s="282"/>
      <c r="BV247" s="282"/>
      <c r="BX247" s="282"/>
      <c r="BY247" s="282"/>
      <c r="CA247" s="282"/>
      <c r="CB247" s="282"/>
      <c r="CD247" s="282"/>
      <c r="CE247" s="282"/>
      <c r="CG247" s="282"/>
      <c r="CH247" s="282"/>
      <c r="CJ247" s="282"/>
      <c r="CK247" s="282"/>
    </row>
    <row r="248" spans="1:89" x14ac:dyDescent="0.25">
      <c r="A248" s="107"/>
      <c r="B248" s="294" t="s">
        <v>1183</v>
      </c>
      <c r="C248" s="312"/>
      <c r="D248" s="95"/>
      <c r="E248" s="282"/>
      <c r="F248" s="282"/>
      <c r="G248" s="282"/>
      <c r="H248" s="282"/>
      <c r="I248" s="282">
        <f t="shared" ref="I248:N248" si="397">SUM(I249:I251)</f>
        <v>840</v>
      </c>
      <c r="J248" s="282">
        <f t="shared" si="397"/>
        <v>868</v>
      </c>
      <c r="K248" s="282">
        <f t="shared" si="397"/>
        <v>873</v>
      </c>
      <c r="L248" s="282">
        <f t="shared" si="397"/>
        <v>0</v>
      </c>
      <c r="M248" s="282">
        <f t="shared" si="397"/>
        <v>0</v>
      </c>
      <c r="N248" s="282">
        <f t="shared" si="397"/>
        <v>0</v>
      </c>
      <c r="Q248" s="282">
        <f>SUM(Q249:Q251)</f>
        <v>873</v>
      </c>
      <c r="R248" s="282">
        <f>SUM(R249:R251)</f>
        <v>864</v>
      </c>
      <c r="S248" s="282">
        <f>SUM(S249:S251)</f>
        <v>0</v>
      </c>
      <c r="T248" s="282">
        <f>SUM(T249:T251)</f>
        <v>0</v>
      </c>
      <c r="V248" s="282">
        <f>SUM(V249:V251)</f>
        <v>0</v>
      </c>
      <c r="W248" s="282">
        <f>SUM(W249:W251)</f>
        <v>0</v>
      </c>
      <c r="Y248" s="282">
        <f>SUM(Y249:Y251)</f>
        <v>0</v>
      </c>
      <c r="Z248" s="282">
        <f>SUM(Z249:Z251)</f>
        <v>0</v>
      </c>
      <c r="AB248" s="282">
        <f>SUM(AB249:AB251)</f>
        <v>0</v>
      </c>
      <c r="AC248" s="282">
        <f>SUM(AC249:AC251)</f>
        <v>0</v>
      </c>
      <c r="AE248" s="282">
        <f>SUM(AE249:AE251)</f>
        <v>0</v>
      </c>
      <c r="AF248" s="282">
        <f>SUM(AF249:AF251)</f>
        <v>0</v>
      </c>
      <c r="AH248" s="282">
        <f>SUM(AH249:AH251)</f>
        <v>0</v>
      </c>
      <c r="AI248" s="282">
        <f>SUM(AI249:AI251)</f>
        <v>0</v>
      </c>
      <c r="AK248" s="282">
        <f>SUM(AK249:AK251)</f>
        <v>0</v>
      </c>
      <c r="AL248" s="282">
        <f>SUM(AL249:AL251)</f>
        <v>0</v>
      </c>
      <c r="AN248" s="282">
        <f>SUM(AN249:AN251)</f>
        <v>0</v>
      </c>
      <c r="AO248" s="282">
        <f>SUM(AO249:AO251)</f>
        <v>0</v>
      </c>
      <c r="AQ248" s="282">
        <f>SUM(AQ249:AQ251)</f>
        <v>0</v>
      </c>
      <c r="AR248" s="282">
        <f>SUM(AR249:AR251)</f>
        <v>0</v>
      </c>
      <c r="AT248" s="282">
        <f>SUM(AT249:AT251)</f>
        <v>0</v>
      </c>
      <c r="AU248" s="282">
        <f>SUM(AU249:AU251)</f>
        <v>0</v>
      </c>
      <c r="AW248" s="282">
        <f>SUM(AW249:AW251)</f>
        <v>0</v>
      </c>
      <c r="AX248" s="282">
        <f>SUM(AX249:AX251)</f>
        <v>0</v>
      </c>
      <c r="AZ248" s="282">
        <f>SUM(AZ249:AZ251)</f>
        <v>0</v>
      </c>
      <c r="BA248" s="282">
        <f>SUM(BA249:BA251)</f>
        <v>0</v>
      </c>
      <c r="BC248" s="282">
        <f>SUM(BC249:BC251)</f>
        <v>128</v>
      </c>
      <c r="BD248" s="282">
        <f>SUM(BD249:BD251)</f>
        <v>132</v>
      </c>
      <c r="BF248" s="282">
        <f>SUM(BF249:BF251)</f>
        <v>191</v>
      </c>
      <c r="BG248" s="282">
        <f>SUM(BG249:BG251)</f>
        <v>181</v>
      </c>
      <c r="BI248" s="282">
        <f>SUM(BI249:BI251)</f>
        <v>436</v>
      </c>
      <c r="BJ248" s="282">
        <f>SUM(BJ249:BJ251)</f>
        <v>424</v>
      </c>
      <c r="BL248" s="282">
        <f>SUM(BL249:BL251)</f>
        <v>0</v>
      </c>
      <c r="BM248" s="282">
        <f>SUM(BM249:BM251)</f>
        <v>0</v>
      </c>
      <c r="BO248" s="282">
        <f>SUM(BO249:BO251)</f>
        <v>0</v>
      </c>
      <c r="BP248" s="282">
        <f>SUM(BP249:BP251)</f>
        <v>0</v>
      </c>
      <c r="BR248" s="282">
        <f>SUM(BR249:BR251)</f>
        <v>0</v>
      </c>
      <c r="BS248" s="282">
        <f>SUM(BS249:BS251)</f>
        <v>0</v>
      </c>
      <c r="BU248" s="282">
        <f>SUM(BU249:BU251)</f>
        <v>0</v>
      </c>
      <c r="BV248" s="282">
        <f>SUM(BV249:BV251)</f>
        <v>0</v>
      </c>
      <c r="BX248" s="282">
        <f>SUM(BX249:BX251)</f>
        <v>0</v>
      </c>
      <c r="BY248" s="282">
        <f>SUM(BY249:BY251)</f>
        <v>0</v>
      </c>
      <c r="CA248" s="282">
        <f>SUM(CA249:CA251)</f>
        <v>0</v>
      </c>
      <c r="CB248" s="282">
        <f>SUM(CB249:CB251)</f>
        <v>0</v>
      </c>
      <c r="CD248" s="282">
        <f>SUM(CD249:CD251)</f>
        <v>118</v>
      </c>
      <c r="CE248" s="282">
        <f>SUM(CE249:CE251)</f>
        <v>127</v>
      </c>
      <c r="CG248" s="282">
        <f>SUM(CG249:CG251)</f>
        <v>0</v>
      </c>
      <c r="CH248" s="282">
        <f>SUM(CH249:CH251)</f>
        <v>0</v>
      </c>
      <c r="CJ248" s="282">
        <f>SUM(CJ249:CJ251)</f>
        <v>0</v>
      </c>
      <c r="CK248" s="282">
        <f>SUM(CK249:CK251)</f>
        <v>0</v>
      </c>
    </row>
    <row r="249" spans="1:89" ht="30" x14ac:dyDescent="0.25">
      <c r="A249" s="107"/>
      <c r="B249" s="294"/>
      <c r="C249" s="312" t="s">
        <v>1832</v>
      </c>
      <c r="D249" s="95"/>
      <c r="E249" s="282"/>
      <c r="F249" s="282"/>
      <c r="G249" s="282"/>
      <c r="H249" s="282"/>
      <c r="I249" s="282">
        <v>424</v>
      </c>
      <c r="J249" s="282">
        <v>406</v>
      </c>
      <c r="K249" s="282">
        <v>392</v>
      </c>
      <c r="L249" s="282">
        <v>0</v>
      </c>
      <c r="M249" s="282">
        <v>0</v>
      </c>
      <c r="N249" s="282">
        <v>0</v>
      </c>
      <c r="Q249" s="283">
        <f t="shared" ref="Q249:R251" si="398">S249+V249+Y249+AB249+AE249+AH249+AK249+AN249+AQ249+AT249+AW249+AZ249+BC249+BF249+BI249+BL249+BO249+BR249+BU249+BX249+CA249+CD249+CG249+CJ249</f>
        <v>392</v>
      </c>
      <c r="R249" s="283">
        <f t="shared" si="398"/>
        <v>388</v>
      </c>
      <c r="S249" s="267">
        <v>0</v>
      </c>
      <c r="T249" s="267">
        <v>0</v>
      </c>
      <c r="V249" s="267">
        <v>0</v>
      </c>
      <c r="W249" s="267">
        <v>0</v>
      </c>
      <c r="Y249" s="267">
        <v>0</v>
      </c>
      <c r="Z249" s="267">
        <v>0</v>
      </c>
      <c r="AB249" s="267">
        <v>0</v>
      </c>
      <c r="AC249" s="267">
        <v>0</v>
      </c>
      <c r="AE249" s="267">
        <v>0</v>
      </c>
      <c r="AF249" s="267">
        <v>0</v>
      </c>
      <c r="AH249" s="267">
        <v>0</v>
      </c>
      <c r="AI249" s="267">
        <v>0</v>
      </c>
      <c r="AK249" s="267">
        <v>0</v>
      </c>
      <c r="AL249" s="267">
        <v>0</v>
      </c>
      <c r="AN249" s="267">
        <v>0</v>
      </c>
      <c r="AO249" s="267">
        <v>0</v>
      </c>
      <c r="AQ249" s="267">
        <v>0</v>
      </c>
      <c r="AR249" s="267">
        <v>0</v>
      </c>
      <c r="AT249" s="267">
        <v>0</v>
      </c>
      <c r="AU249" s="267">
        <v>0</v>
      </c>
      <c r="AW249" s="267">
        <v>0</v>
      </c>
      <c r="AX249" s="267">
        <v>0</v>
      </c>
      <c r="AZ249" s="267">
        <v>0</v>
      </c>
      <c r="BA249" s="267">
        <v>0</v>
      </c>
      <c r="BC249" s="267">
        <v>68</v>
      </c>
      <c r="BD249" s="267">
        <v>68</v>
      </c>
      <c r="BF249" s="267">
        <v>97</v>
      </c>
      <c r="BG249" s="267">
        <v>88</v>
      </c>
      <c r="BI249" s="267">
        <v>171</v>
      </c>
      <c r="BJ249" s="267">
        <v>180</v>
      </c>
      <c r="BL249" s="267">
        <v>0</v>
      </c>
      <c r="BM249" s="267">
        <v>0</v>
      </c>
      <c r="BO249" s="267">
        <v>0</v>
      </c>
      <c r="BP249" s="267">
        <v>0</v>
      </c>
      <c r="BR249" s="267">
        <v>0</v>
      </c>
      <c r="BS249" s="267">
        <v>0</v>
      </c>
      <c r="BU249" s="267">
        <v>0</v>
      </c>
      <c r="BV249" s="267">
        <v>0</v>
      </c>
      <c r="BX249" s="267">
        <v>0</v>
      </c>
      <c r="BY249" s="267">
        <v>0</v>
      </c>
      <c r="CA249" s="267">
        <v>0</v>
      </c>
      <c r="CB249" s="267">
        <v>0</v>
      </c>
      <c r="CD249" s="267">
        <v>56</v>
      </c>
      <c r="CE249" s="267">
        <v>52</v>
      </c>
      <c r="CG249" s="267">
        <v>0</v>
      </c>
      <c r="CH249" s="267">
        <v>0</v>
      </c>
      <c r="CJ249" s="267">
        <v>0</v>
      </c>
      <c r="CK249" s="267">
        <v>0</v>
      </c>
    </row>
    <row r="250" spans="1:89" ht="30" x14ac:dyDescent="0.25">
      <c r="A250" s="107"/>
      <c r="B250" s="294"/>
      <c r="C250" s="312" t="s">
        <v>1833</v>
      </c>
      <c r="D250" s="95"/>
      <c r="E250" s="282"/>
      <c r="F250" s="282"/>
      <c r="G250" s="282"/>
      <c r="H250" s="282"/>
      <c r="I250" s="282">
        <v>348</v>
      </c>
      <c r="J250" s="282">
        <v>397</v>
      </c>
      <c r="K250" s="282">
        <v>397</v>
      </c>
      <c r="L250" s="282">
        <v>0</v>
      </c>
      <c r="M250" s="282">
        <v>0</v>
      </c>
      <c r="N250" s="282">
        <v>0</v>
      </c>
      <c r="Q250" s="283">
        <f t="shared" si="398"/>
        <v>397</v>
      </c>
      <c r="R250" s="283">
        <f t="shared" si="398"/>
        <v>389</v>
      </c>
      <c r="S250" s="267">
        <v>0</v>
      </c>
      <c r="T250" s="267">
        <v>0</v>
      </c>
      <c r="V250" s="267">
        <v>0</v>
      </c>
      <c r="W250" s="267">
        <v>0</v>
      </c>
      <c r="Y250" s="267">
        <v>0</v>
      </c>
      <c r="Z250" s="267">
        <v>0</v>
      </c>
      <c r="AB250" s="267">
        <v>0</v>
      </c>
      <c r="AC250" s="267">
        <v>0</v>
      </c>
      <c r="AE250" s="267">
        <v>0</v>
      </c>
      <c r="AF250" s="267">
        <v>0</v>
      </c>
      <c r="AH250" s="267">
        <v>0</v>
      </c>
      <c r="AI250" s="267">
        <v>0</v>
      </c>
      <c r="AK250" s="267">
        <v>0</v>
      </c>
      <c r="AL250" s="267">
        <v>0</v>
      </c>
      <c r="AN250" s="267">
        <v>0</v>
      </c>
      <c r="AO250" s="267">
        <v>0</v>
      </c>
      <c r="AQ250" s="267">
        <v>0</v>
      </c>
      <c r="AR250" s="267">
        <v>0</v>
      </c>
      <c r="AT250" s="267">
        <v>0</v>
      </c>
      <c r="AU250" s="267">
        <v>0</v>
      </c>
      <c r="AW250" s="267">
        <v>0</v>
      </c>
      <c r="AX250" s="267">
        <v>0</v>
      </c>
      <c r="AZ250" s="267">
        <v>0</v>
      </c>
      <c r="BA250" s="267">
        <v>0</v>
      </c>
      <c r="BC250" s="267">
        <v>40</v>
      </c>
      <c r="BD250" s="267">
        <v>41</v>
      </c>
      <c r="BF250" s="267">
        <v>84</v>
      </c>
      <c r="BG250" s="267">
        <v>86</v>
      </c>
      <c r="BI250" s="267">
        <v>220</v>
      </c>
      <c r="BJ250" s="267">
        <v>202</v>
      </c>
      <c r="BL250" s="267">
        <v>0</v>
      </c>
      <c r="BM250" s="267">
        <v>0</v>
      </c>
      <c r="BO250" s="267">
        <v>0</v>
      </c>
      <c r="BP250" s="267">
        <v>0</v>
      </c>
      <c r="BR250" s="267">
        <v>0</v>
      </c>
      <c r="BS250" s="267">
        <v>0</v>
      </c>
      <c r="BU250" s="267">
        <v>0</v>
      </c>
      <c r="BV250" s="267">
        <v>0</v>
      </c>
      <c r="BX250" s="267">
        <v>0</v>
      </c>
      <c r="BY250" s="267">
        <v>0</v>
      </c>
      <c r="CA250" s="267">
        <v>0</v>
      </c>
      <c r="CB250" s="267">
        <v>0</v>
      </c>
      <c r="CD250" s="267">
        <v>53</v>
      </c>
      <c r="CE250" s="267">
        <v>60</v>
      </c>
      <c r="CG250" s="267">
        <v>0</v>
      </c>
      <c r="CH250" s="267">
        <v>0</v>
      </c>
      <c r="CJ250" s="267">
        <v>0</v>
      </c>
      <c r="CK250" s="267">
        <v>0</v>
      </c>
    </row>
    <row r="251" spans="1:89" ht="30" x14ac:dyDescent="0.25">
      <c r="A251" s="107"/>
      <c r="B251" s="294"/>
      <c r="C251" s="312" t="s">
        <v>1834</v>
      </c>
      <c r="D251" s="95"/>
      <c r="E251" s="282"/>
      <c r="F251" s="282"/>
      <c r="G251" s="282"/>
      <c r="H251" s="282"/>
      <c r="I251" s="282">
        <v>68</v>
      </c>
      <c r="J251" s="282">
        <v>65</v>
      </c>
      <c r="K251" s="282">
        <v>84</v>
      </c>
      <c r="L251" s="282">
        <v>0</v>
      </c>
      <c r="M251" s="282">
        <v>0</v>
      </c>
      <c r="N251" s="282">
        <v>0</v>
      </c>
      <c r="Q251" s="283">
        <f t="shared" si="398"/>
        <v>84</v>
      </c>
      <c r="R251" s="283">
        <f t="shared" si="398"/>
        <v>87</v>
      </c>
      <c r="S251" s="267">
        <v>0</v>
      </c>
      <c r="T251" s="267">
        <v>0</v>
      </c>
      <c r="V251" s="267">
        <v>0</v>
      </c>
      <c r="W251" s="267">
        <v>0</v>
      </c>
      <c r="Y251" s="267">
        <v>0</v>
      </c>
      <c r="Z251" s="267">
        <v>0</v>
      </c>
      <c r="AB251" s="267">
        <v>0</v>
      </c>
      <c r="AC251" s="267">
        <v>0</v>
      </c>
      <c r="AE251" s="267">
        <v>0</v>
      </c>
      <c r="AF251" s="267">
        <v>0</v>
      </c>
      <c r="AH251" s="267">
        <v>0</v>
      </c>
      <c r="AI251" s="267">
        <v>0</v>
      </c>
      <c r="AK251" s="267">
        <v>0</v>
      </c>
      <c r="AL251" s="267">
        <v>0</v>
      </c>
      <c r="AN251" s="267">
        <v>0</v>
      </c>
      <c r="AO251" s="267">
        <v>0</v>
      </c>
      <c r="AQ251" s="267">
        <v>0</v>
      </c>
      <c r="AR251" s="267">
        <v>0</v>
      </c>
      <c r="AT251" s="267">
        <v>0</v>
      </c>
      <c r="AU251" s="267">
        <v>0</v>
      </c>
      <c r="AW251" s="267">
        <v>0</v>
      </c>
      <c r="AX251" s="267">
        <v>0</v>
      </c>
      <c r="AZ251" s="267">
        <v>0</v>
      </c>
      <c r="BA251" s="267">
        <v>0</v>
      </c>
      <c r="BC251" s="267">
        <v>20</v>
      </c>
      <c r="BD251" s="267">
        <v>23</v>
      </c>
      <c r="BF251" s="267">
        <v>10</v>
      </c>
      <c r="BG251" s="267">
        <v>7</v>
      </c>
      <c r="BI251" s="267">
        <v>45</v>
      </c>
      <c r="BJ251" s="267">
        <v>42</v>
      </c>
      <c r="BL251" s="267">
        <v>0</v>
      </c>
      <c r="BM251" s="267">
        <v>0</v>
      </c>
      <c r="BO251" s="267">
        <v>0</v>
      </c>
      <c r="BP251" s="267">
        <v>0</v>
      </c>
      <c r="BR251" s="267">
        <v>0</v>
      </c>
      <c r="BS251" s="267">
        <v>0</v>
      </c>
      <c r="BU251" s="267">
        <v>0</v>
      </c>
      <c r="BV251" s="267">
        <v>0</v>
      </c>
      <c r="BX251" s="267">
        <v>0</v>
      </c>
      <c r="BY251" s="267">
        <v>0</v>
      </c>
      <c r="CA251" s="267">
        <v>0</v>
      </c>
      <c r="CB251" s="267">
        <v>0</v>
      </c>
      <c r="CD251" s="267">
        <v>9</v>
      </c>
      <c r="CE251" s="267">
        <v>15</v>
      </c>
      <c r="CG251" s="267">
        <v>0</v>
      </c>
      <c r="CH251" s="267">
        <v>0</v>
      </c>
      <c r="CJ251" s="267">
        <v>0</v>
      </c>
      <c r="CK251" s="267">
        <v>0</v>
      </c>
    </row>
    <row r="252" spans="1:89" x14ac:dyDescent="0.25">
      <c r="A252" s="107"/>
      <c r="B252" s="294" t="s">
        <v>1185</v>
      </c>
      <c r="C252" s="312"/>
      <c r="D252" s="95"/>
      <c r="E252" s="282"/>
      <c r="F252" s="282"/>
      <c r="G252" s="282"/>
      <c r="H252" s="282"/>
      <c r="I252" s="282">
        <f t="shared" ref="I252:N252" si="399">SUM(I253:I255)</f>
        <v>0</v>
      </c>
      <c r="J252" s="282">
        <f t="shared" si="399"/>
        <v>0</v>
      </c>
      <c r="K252" s="282">
        <f t="shared" si="399"/>
        <v>0</v>
      </c>
      <c r="L252" s="282">
        <f t="shared" si="399"/>
        <v>0</v>
      </c>
      <c r="M252" s="282">
        <f t="shared" si="399"/>
        <v>0</v>
      </c>
      <c r="N252" s="282">
        <f t="shared" si="399"/>
        <v>0</v>
      </c>
      <c r="Q252" s="282">
        <f>SUM(Q253:Q255)</f>
        <v>0</v>
      </c>
      <c r="R252" s="282">
        <f>SUM(R253:R255)</f>
        <v>0</v>
      </c>
      <c r="S252" s="282">
        <f>SUM(S253:S255)</f>
        <v>0</v>
      </c>
      <c r="T252" s="282">
        <f>SUM(T253:T255)</f>
        <v>0</v>
      </c>
      <c r="V252" s="282">
        <f>SUM(V253:V255)</f>
        <v>0</v>
      </c>
      <c r="W252" s="282">
        <f>SUM(W253:W255)</f>
        <v>0</v>
      </c>
      <c r="Y252" s="282">
        <f>SUM(Y253:Y255)</f>
        <v>0</v>
      </c>
      <c r="Z252" s="282">
        <f>SUM(Z253:Z255)</f>
        <v>0</v>
      </c>
      <c r="AB252" s="282">
        <f>SUM(AB253:AB255)</f>
        <v>0</v>
      </c>
      <c r="AC252" s="282">
        <f>SUM(AC253:AC255)</f>
        <v>0</v>
      </c>
      <c r="AE252" s="282">
        <f>SUM(AE253:AE255)</f>
        <v>0</v>
      </c>
      <c r="AF252" s="282">
        <f>SUM(AF253:AF255)</f>
        <v>0</v>
      </c>
      <c r="AH252" s="282">
        <f>SUM(AH253:AH255)</f>
        <v>0</v>
      </c>
      <c r="AI252" s="282">
        <f>SUM(AI253:AI255)</f>
        <v>0</v>
      </c>
      <c r="AK252" s="282">
        <f>SUM(AK253:AK255)</f>
        <v>0</v>
      </c>
      <c r="AL252" s="282">
        <f>SUM(AL253:AL255)</f>
        <v>0</v>
      </c>
      <c r="AN252" s="282">
        <f>SUM(AN253:AN255)</f>
        <v>0</v>
      </c>
      <c r="AO252" s="282">
        <f>SUM(AO253:AO255)</f>
        <v>0</v>
      </c>
      <c r="AQ252" s="282">
        <f>SUM(AQ253:AQ255)</f>
        <v>0</v>
      </c>
      <c r="AR252" s="282">
        <f>SUM(AR253:AR255)</f>
        <v>0</v>
      </c>
      <c r="AT252" s="282">
        <f>SUM(AT253:AT255)</f>
        <v>0</v>
      </c>
      <c r="AU252" s="282">
        <f>SUM(AU253:AU255)</f>
        <v>0</v>
      </c>
      <c r="AW252" s="282">
        <f>SUM(AW253:AW255)</f>
        <v>0</v>
      </c>
      <c r="AX252" s="282">
        <f>SUM(AX253:AX255)</f>
        <v>0</v>
      </c>
      <c r="AZ252" s="282">
        <f>SUM(AZ253:AZ255)</f>
        <v>0</v>
      </c>
      <c r="BA252" s="282">
        <f>SUM(BA253:BA255)</f>
        <v>0</v>
      </c>
      <c r="BC252" s="282">
        <f>SUM(BC253:BC255)</f>
        <v>0</v>
      </c>
      <c r="BD252" s="282">
        <f>SUM(BD253:BD255)</f>
        <v>0</v>
      </c>
      <c r="BF252" s="282">
        <f>SUM(BF253:BF255)</f>
        <v>0</v>
      </c>
      <c r="BG252" s="282">
        <f>SUM(BG253:BG255)</f>
        <v>0</v>
      </c>
      <c r="BI252" s="282">
        <f>SUM(BI253:BI255)</f>
        <v>0</v>
      </c>
      <c r="BJ252" s="282">
        <f>SUM(BJ253:BJ255)</f>
        <v>0</v>
      </c>
      <c r="BL252" s="282">
        <f>SUM(BL253:BL255)</f>
        <v>0</v>
      </c>
      <c r="BM252" s="282">
        <f>SUM(BM253:BM255)</f>
        <v>0</v>
      </c>
      <c r="BO252" s="282">
        <f>SUM(BO253:BO255)</f>
        <v>0</v>
      </c>
      <c r="BP252" s="282">
        <f>SUM(BP253:BP255)</f>
        <v>0</v>
      </c>
      <c r="BR252" s="282">
        <f>SUM(BR253:BR255)</f>
        <v>0</v>
      </c>
      <c r="BS252" s="282">
        <f>SUM(BS253:BS255)</f>
        <v>0</v>
      </c>
      <c r="BU252" s="282">
        <f>SUM(BU253:BU255)</f>
        <v>0</v>
      </c>
      <c r="BV252" s="282">
        <f>SUM(BV253:BV255)</f>
        <v>0</v>
      </c>
      <c r="BX252" s="282">
        <f>SUM(BX253:BX255)</f>
        <v>0</v>
      </c>
      <c r="BY252" s="282">
        <f>SUM(BY253:BY255)</f>
        <v>0</v>
      </c>
      <c r="CA252" s="282">
        <f>SUM(CA253:CA255)</f>
        <v>0</v>
      </c>
      <c r="CB252" s="282">
        <f>SUM(CB253:CB255)</f>
        <v>0</v>
      </c>
      <c r="CD252" s="282">
        <f>SUM(CD253:CD255)</f>
        <v>0</v>
      </c>
      <c r="CE252" s="282">
        <f>SUM(CE253:CE255)</f>
        <v>0</v>
      </c>
      <c r="CG252" s="282">
        <f>SUM(CG253:CG255)</f>
        <v>0</v>
      </c>
      <c r="CH252" s="282">
        <f>SUM(CH253:CH255)</f>
        <v>0</v>
      </c>
      <c r="CJ252" s="282">
        <f>SUM(CJ253:CJ255)</f>
        <v>0</v>
      </c>
      <c r="CK252" s="282">
        <f>SUM(CK253:CK255)</f>
        <v>0</v>
      </c>
    </row>
    <row r="253" spans="1:89" ht="30" x14ac:dyDescent="0.25">
      <c r="A253" s="107"/>
      <c r="B253" s="312"/>
      <c r="C253" s="312" t="s">
        <v>1832</v>
      </c>
      <c r="D253" s="95"/>
      <c r="E253" s="282"/>
      <c r="F253" s="282"/>
      <c r="G253" s="282"/>
      <c r="H253" s="282"/>
      <c r="I253" s="282">
        <v>0</v>
      </c>
      <c r="J253" s="282">
        <v>0</v>
      </c>
      <c r="K253" s="282">
        <v>0</v>
      </c>
      <c r="L253" s="282">
        <v>0</v>
      </c>
      <c r="M253" s="282">
        <v>0</v>
      </c>
      <c r="N253" s="282">
        <v>0</v>
      </c>
      <c r="Q253" s="283">
        <f t="shared" ref="Q253:R255" si="400">S253+V253+Y253+AB253+AE253+AH253+AK253+AN253+AQ253+AT253+AW253+AZ253+BC253+BF253+BI253+BL253+BO253+BR253+BU253+BX253+CA253+CD253+CG253+CJ253</f>
        <v>0</v>
      </c>
      <c r="R253" s="283">
        <f t="shared" si="400"/>
        <v>0</v>
      </c>
      <c r="S253" s="267">
        <v>0</v>
      </c>
      <c r="T253" s="267">
        <v>0</v>
      </c>
      <c r="V253" s="267">
        <v>0</v>
      </c>
      <c r="W253" s="267">
        <v>0</v>
      </c>
      <c r="Y253" s="267">
        <v>0</v>
      </c>
      <c r="Z253" s="267">
        <v>0</v>
      </c>
      <c r="AB253" s="267">
        <v>0</v>
      </c>
      <c r="AC253" s="267">
        <v>0</v>
      </c>
      <c r="AE253" s="267">
        <v>0</v>
      </c>
      <c r="AF253" s="267">
        <v>0</v>
      </c>
      <c r="AH253" s="267">
        <v>0</v>
      </c>
      <c r="AI253" s="267">
        <v>0</v>
      </c>
      <c r="AK253" s="267">
        <v>0</v>
      </c>
      <c r="AL253" s="267">
        <v>0</v>
      </c>
      <c r="AN253" s="267">
        <v>0</v>
      </c>
      <c r="AO253" s="267">
        <v>0</v>
      </c>
      <c r="AQ253" s="267">
        <v>0</v>
      </c>
      <c r="AR253" s="267">
        <v>0</v>
      </c>
      <c r="AT253" s="267">
        <v>0</v>
      </c>
      <c r="AU253" s="267">
        <v>0</v>
      </c>
      <c r="AW253" s="267">
        <v>0</v>
      </c>
      <c r="AX253" s="267">
        <v>0</v>
      </c>
      <c r="AZ253" s="267">
        <v>0</v>
      </c>
      <c r="BA253" s="267">
        <v>0</v>
      </c>
      <c r="BC253" s="267">
        <v>0</v>
      </c>
      <c r="BD253" s="267">
        <v>0</v>
      </c>
      <c r="BF253" s="267">
        <v>0</v>
      </c>
      <c r="BG253" s="267">
        <v>0</v>
      </c>
      <c r="BI253" s="267">
        <v>0</v>
      </c>
      <c r="BJ253" s="267">
        <v>0</v>
      </c>
      <c r="BL253" s="267">
        <v>0</v>
      </c>
      <c r="BM253" s="267">
        <v>0</v>
      </c>
      <c r="BO253" s="267">
        <v>0</v>
      </c>
      <c r="BP253" s="267">
        <v>0</v>
      </c>
      <c r="BR253" s="267">
        <v>0</v>
      </c>
      <c r="BS253" s="267">
        <v>0</v>
      </c>
      <c r="BU253" s="267">
        <v>0</v>
      </c>
      <c r="BV253" s="267">
        <v>0</v>
      </c>
      <c r="BX253" s="267">
        <v>0</v>
      </c>
      <c r="BY253" s="267">
        <v>0</v>
      </c>
      <c r="CA253" s="267">
        <v>0</v>
      </c>
      <c r="CB253" s="267">
        <v>0</v>
      </c>
      <c r="CD253" s="267">
        <v>0</v>
      </c>
      <c r="CE253" s="267">
        <v>0</v>
      </c>
      <c r="CG253" s="267">
        <v>0</v>
      </c>
      <c r="CH253" s="267">
        <v>0</v>
      </c>
      <c r="CJ253" s="267">
        <v>0</v>
      </c>
      <c r="CK253" s="267">
        <v>0</v>
      </c>
    </row>
    <row r="254" spans="1:89" ht="30" x14ac:dyDescent="0.25">
      <c r="A254" s="107"/>
      <c r="B254" s="312"/>
      <c r="C254" s="312" t="s">
        <v>1833</v>
      </c>
      <c r="D254" s="95"/>
      <c r="E254" s="282"/>
      <c r="F254" s="282"/>
      <c r="G254" s="282"/>
      <c r="H254" s="282"/>
      <c r="I254" s="282">
        <v>0</v>
      </c>
      <c r="J254" s="282">
        <v>0</v>
      </c>
      <c r="K254" s="282">
        <v>0</v>
      </c>
      <c r="L254" s="282">
        <v>0</v>
      </c>
      <c r="M254" s="282">
        <v>0</v>
      </c>
      <c r="N254" s="282">
        <v>0</v>
      </c>
      <c r="Q254" s="283">
        <f t="shared" si="400"/>
        <v>0</v>
      </c>
      <c r="R254" s="283">
        <f t="shared" si="400"/>
        <v>0</v>
      </c>
      <c r="S254" s="267">
        <v>0</v>
      </c>
      <c r="T254" s="267">
        <v>0</v>
      </c>
      <c r="V254" s="267">
        <v>0</v>
      </c>
      <c r="W254" s="267">
        <v>0</v>
      </c>
      <c r="Y254" s="267">
        <v>0</v>
      </c>
      <c r="Z254" s="267">
        <v>0</v>
      </c>
      <c r="AB254" s="267">
        <v>0</v>
      </c>
      <c r="AC254" s="267">
        <v>0</v>
      </c>
      <c r="AE254" s="267">
        <v>0</v>
      </c>
      <c r="AF254" s="267">
        <v>0</v>
      </c>
      <c r="AH254" s="267">
        <v>0</v>
      </c>
      <c r="AI254" s="267">
        <v>0</v>
      </c>
      <c r="AK254" s="267">
        <v>0</v>
      </c>
      <c r="AL254" s="267">
        <v>0</v>
      </c>
      <c r="AN254" s="267">
        <v>0</v>
      </c>
      <c r="AO254" s="267">
        <v>0</v>
      </c>
      <c r="AQ254" s="267">
        <v>0</v>
      </c>
      <c r="AR254" s="267">
        <v>0</v>
      </c>
      <c r="AT254" s="267">
        <v>0</v>
      </c>
      <c r="AU254" s="267">
        <v>0</v>
      </c>
      <c r="AW254" s="267">
        <v>0</v>
      </c>
      <c r="AX254" s="267">
        <v>0</v>
      </c>
      <c r="AZ254" s="267">
        <v>0</v>
      </c>
      <c r="BA254" s="267">
        <v>0</v>
      </c>
      <c r="BC254" s="267">
        <v>0</v>
      </c>
      <c r="BD254" s="267">
        <v>0</v>
      </c>
      <c r="BF254" s="267">
        <v>0</v>
      </c>
      <c r="BG254" s="267">
        <v>0</v>
      </c>
      <c r="BI254" s="267">
        <v>0</v>
      </c>
      <c r="BJ254" s="267">
        <v>0</v>
      </c>
      <c r="BL254" s="267">
        <v>0</v>
      </c>
      <c r="BM254" s="267">
        <v>0</v>
      </c>
      <c r="BO254" s="267">
        <v>0</v>
      </c>
      <c r="BP254" s="267">
        <v>0</v>
      </c>
      <c r="BR254" s="267">
        <v>0</v>
      </c>
      <c r="BS254" s="267">
        <v>0</v>
      </c>
      <c r="BU254" s="267">
        <v>0</v>
      </c>
      <c r="BV254" s="267">
        <v>0</v>
      </c>
      <c r="BX254" s="267">
        <v>0</v>
      </c>
      <c r="BY254" s="267">
        <v>0</v>
      </c>
      <c r="CA254" s="267">
        <v>0</v>
      </c>
      <c r="CB254" s="267">
        <v>0</v>
      </c>
      <c r="CD254" s="267">
        <v>0</v>
      </c>
      <c r="CE254" s="267">
        <v>0</v>
      </c>
      <c r="CG254" s="267">
        <v>0</v>
      </c>
      <c r="CH254" s="267">
        <v>0</v>
      </c>
      <c r="CJ254" s="267">
        <v>0</v>
      </c>
      <c r="CK254" s="267">
        <v>0</v>
      </c>
    </row>
    <row r="255" spans="1:89" ht="30" x14ac:dyDescent="0.25">
      <c r="A255" s="107"/>
      <c r="B255" s="312"/>
      <c r="C255" s="312" t="s">
        <v>1834</v>
      </c>
      <c r="D255" s="95"/>
      <c r="E255" s="282"/>
      <c r="F255" s="282"/>
      <c r="G255" s="282"/>
      <c r="H255" s="282"/>
      <c r="I255" s="282">
        <v>0</v>
      </c>
      <c r="J255" s="282">
        <v>0</v>
      </c>
      <c r="K255" s="282">
        <v>0</v>
      </c>
      <c r="L255" s="282">
        <v>0</v>
      </c>
      <c r="M255" s="282">
        <v>0</v>
      </c>
      <c r="N255" s="282">
        <v>0</v>
      </c>
      <c r="Q255" s="283">
        <f t="shared" si="400"/>
        <v>0</v>
      </c>
      <c r="R255" s="283">
        <f t="shared" si="400"/>
        <v>0</v>
      </c>
      <c r="S255" s="267">
        <v>0</v>
      </c>
      <c r="T255" s="267">
        <v>0</v>
      </c>
      <c r="V255" s="267">
        <v>0</v>
      </c>
      <c r="W255" s="267">
        <v>0</v>
      </c>
      <c r="Y255" s="267">
        <v>0</v>
      </c>
      <c r="Z255" s="267">
        <v>0</v>
      </c>
      <c r="AB255" s="267">
        <v>0</v>
      </c>
      <c r="AC255" s="267">
        <v>0</v>
      </c>
      <c r="AE255" s="267">
        <v>0</v>
      </c>
      <c r="AF255" s="267">
        <v>0</v>
      </c>
      <c r="AH255" s="267">
        <v>0</v>
      </c>
      <c r="AI255" s="267">
        <v>0</v>
      </c>
      <c r="AK255" s="267">
        <v>0</v>
      </c>
      <c r="AL255" s="267">
        <v>0</v>
      </c>
      <c r="AN255" s="267">
        <v>0</v>
      </c>
      <c r="AO255" s="267">
        <v>0</v>
      </c>
      <c r="AQ255" s="267">
        <v>0</v>
      </c>
      <c r="AR255" s="267">
        <v>0</v>
      </c>
      <c r="AT255" s="267">
        <v>0</v>
      </c>
      <c r="AU255" s="267">
        <v>0</v>
      </c>
      <c r="AW255" s="267">
        <v>0</v>
      </c>
      <c r="AX255" s="267">
        <v>0</v>
      </c>
      <c r="AZ255" s="267">
        <v>0</v>
      </c>
      <c r="BA255" s="267">
        <v>0</v>
      </c>
      <c r="BC255" s="267">
        <v>0</v>
      </c>
      <c r="BD255" s="267">
        <v>0</v>
      </c>
      <c r="BF255" s="267">
        <v>0</v>
      </c>
      <c r="BG255" s="267">
        <v>0</v>
      </c>
      <c r="BI255" s="267">
        <v>0</v>
      </c>
      <c r="BJ255" s="267">
        <v>0</v>
      </c>
      <c r="BL255" s="267">
        <v>0</v>
      </c>
      <c r="BM255" s="267">
        <v>0</v>
      </c>
      <c r="BO255" s="267">
        <v>0</v>
      </c>
      <c r="BP255" s="267">
        <v>0</v>
      </c>
      <c r="BR255" s="267">
        <v>0</v>
      </c>
      <c r="BS255" s="267">
        <v>0</v>
      </c>
      <c r="BU255" s="267">
        <v>0</v>
      </c>
      <c r="BV255" s="267">
        <v>0</v>
      </c>
      <c r="BX255" s="267">
        <v>0</v>
      </c>
      <c r="BY255" s="267">
        <v>0</v>
      </c>
      <c r="CA255" s="267">
        <v>0</v>
      </c>
      <c r="CB255" s="267">
        <v>0</v>
      </c>
      <c r="CD255" s="267">
        <v>0</v>
      </c>
      <c r="CE255" s="267">
        <v>0</v>
      </c>
      <c r="CG255" s="267">
        <v>0</v>
      </c>
      <c r="CH255" s="267">
        <v>0</v>
      </c>
      <c r="CJ255" s="267">
        <v>0</v>
      </c>
      <c r="CK255" s="267">
        <v>0</v>
      </c>
    </row>
    <row r="256" spans="1:89" x14ac:dyDescent="0.25">
      <c r="A256" s="107"/>
      <c r="B256" s="294" t="s">
        <v>1835</v>
      </c>
      <c r="C256" s="312"/>
      <c r="D256" s="95"/>
      <c r="E256" s="282"/>
      <c r="F256" s="282"/>
      <c r="G256" s="282"/>
      <c r="H256" s="282"/>
      <c r="I256" s="282"/>
      <c r="J256" s="282"/>
      <c r="K256" s="282"/>
      <c r="L256" s="282"/>
      <c r="M256" s="282"/>
      <c r="N256" s="282"/>
    </row>
    <row r="257" spans="1:89" x14ac:dyDescent="0.25">
      <c r="A257" s="107"/>
      <c r="B257" s="294" t="s">
        <v>1183</v>
      </c>
      <c r="C257" s="312"/>
      <c r="D257" s="95"/>
      <c r="E257" s="282"/>
      <c r="F257" s="282"/>
      <c r="G257" s="282"/>
      <c r="H257" s="282"/>
      <c r="I257" s="282">
        <f t="shared" ref="I257:N257" si="401">SUM(I258:I260)</f>
        <v>898</v>
      </c>
      <c r="J257" s="282">
        <f t="shared" si="401"/>
        <v>931</v>
      </c>
      <c r="K257" s="282">
        <f t="shared" si="401"/>
        <v>932</v>
      </c>
      <c r="L257" s="282">
        <f t="shared" si="401"/>
        <v>0</v>
      </c>
      <c r="M257" s="282">
        <f t="shared" si="401"/>
        <v>0</v>
      </c>
      <c r="N257" s="282">
        <f t="shared" si="401"/>
        <v>0</v>
      </c>
      <c r="Q257" s="282">
        <f>SUM(Q258:Q260)</f>
        <v>932</v>
      </c>
      <c r="R257" s="282">
        <f>SUM(R258:R260)</f>
        <v>920</v>
      </c>
      <c r="S257" s="282">
        <f>SUM(S258:S260)</f>
        <v>0</v>
      </c>
      <c r="T257" s="282">
        <f>SUM(T258:T260)</f>
        <v>0</v>
      </c>
      <c r="V257" s="282">
        <f>SUM(V258:V260)</f>
        <v>0</v>
      </c>
      <c r="W257" s="282">
        <f>SUM(W258:W260)</f>
        <v>0</v>
      </c>
      <c r="Y257" s="282">
        <f>SUM(Y258:Y260)</f>
        <v>0</v>
      </c>
      <c r="Z257" s="282">
        <f>SUM(Z258:Z260)</f>
        <v>0</v>
      </c>
      <c r="AB257" s="282">
        <f>SUM(AB258:AB260)</f>
        <v>0</v>
      </c>
      <c r="AC257" s="282">
        <f>SUM(AC258:AC260)</f>
        <v>0</v>
      </c>
      <c r="AE257" s="282">
        <f>SUM(AE258:AE260)</f>
        <v>0</v>
      </c>
      <c r="AF257" s="282">
        <f>SUM(AF258:AF260)</f>
        <v>0</v>
      </c>
      <c r="AH257" s="282">
        <f>SUM(AH258:AH260)</f>
        <v>0</v>
      </c>
      <c r="AI257" s="282">
        <f>SUM(AI258:AI260)</f>
        <v>0</v>
      </c>
      <c r="AK257" s="282">
        <f>SUM(AK258:AK260)</f>
        <v>0</v>
      </c>
      <c r="AL257" s="282">
        <f>SUM(AL258:AL260)</f>
        <v>0</v>
      </c>
      <c r="AN257" s="282">
        <f>SUM(AN258:AN260)</f>
        <v>0</v>
      </c>
      <c r="AO257" s="282">
        <f>SUM(AO258:AO260)</f>
        <v>0</v>
      </c>
      <c r="AQ257" s="282">
        <f>SUM(AQ258:AQ260)</f>
        <v>0</v>
      </c>
      <c r="AR257" s="282">
        <f>SUM(AR258:AR260)</f>
        <v>0</v>
      </c>
      <c r="AT257" s="282">
        <f>SUM(AT258:AT260)</f>
        <v>0</v>
      </c>
      <c r="AU257" s="282">
        <f>SUM(AU258:AU260)</f>
        <v>0</v>
      </c>
      <c r="AW257" s="282">
        <f>SUM(AW258:AW260)</f>
        <v>0</v>
      </c>
      <c r="AX257" s="282">
        <f>SUM(AX258:AX260)</f>
        <v>0</v>
      </c>
      <c r="AZ257" s="282">
        <f>SUM(AZ258:AZ260)</f>
        <v>0</v>
      </c>
      <c r="BA257" s="282">
        <f>SUM(BA258:BA260)</f>
        <v>0</v>
      </c>
      <c r="BC257" s="282">
        <f>SUM(BC258:BC260)</f>
        <v>187</v>
      </c>
      <c r="BD257" s="282">
        <f>SUM(BD258:BD260)</f>
        <v>188</v>
      </c>
      <c r="BF257" s="282">
        <f>SUM(BF258:BF260)</f>
        <v>191</v>
      </c>
      <c r="BG257" s="282">
        <f>SUM(BG258:BG260)</f>
        <v>181</v>
      </c>
      <c r="BI257" s="282">
        <f>SUM(BI258:BI260)</f>
        <v>436</v>
      </c>
      <c r="BJ257" s="282">
        <f>SUM(BJ258:BJ260)</f>
        <v>424</v>
      </c>
      <c r="BL257" s="282">
        <f>SUM(BL258:BL260)</f>
        <v>0</v>
      </c>
      <c r="BM257" s="282">
        <f>SUM(BM258:BM260)</f>
        <v>0</v>
      </c>
      <c r="BO257" s="282">
        <f>SUM(BO258:BO260)</f>
        <v>0</v>
      </c>
      <c r="BP257" s="282">
        <f>SUM(BP258:BP260)</f>
        <v>0</v>
      </c>
      <c r="BR257" s="282">
        <f>SUM(BR258:BR260)</f>
        <v>0</v>
      </c>
      <c r="BS257" s="282">
        <f>SUM(BS258:BS260)</f>
        <v>0</v>
      </c>
      <c r="BU257" s="282">
        <f>SUM(BU258:BU260)</f>
        <v>0</v>
      </c>
      <c r="BV257" s="282">
        <f>SUM(BV258:BV260)</f>
        <v>0</v>
      </c>
      <c r="BX257" s="282">
        <f>SUM(BX258:BX260)</f>
        <v>0</v>
      </c>
      <c r="BY257" s="282">
        <f>SUM(BY258:BY260)</f>
        <v>0</v>
      </c>
      <c r="CA257" s="282">
        <f>SUM(CA258:CA260)</f>
        <v>0</v>
      </c>
      <c r="CB257" s="282">
        <f>SUM(CB258:CB260)</f>
        <v>0</v>
      </c>
      <c r="CD257" s="282">
        <f>SUM(CD258:CD260)</f>
        <v>118</v>
      </c>
      <c r="CE257" s="282">
        <f>SUM(CE258:CE260)</f>
        <v>127</v>
      </c>
      <c r="CG257" s="282">
        <f>SUM(CG258:CG260)</f>
        <v>0</v>
      </c>
      <c r="CH257" s="282">
        <f>SUM(CH258:CH260)</f>
        <v>0</v>
      </c>
      <c r="CJ257" s="282">
        <f>SUM(CJ258:CJ260)</f>
        <v>0</v>
      </c>
      <c r="CK257" s="282">
        <f>SUM(CK258:CK260)</f>
        <v>0</v>
      </c>
    </row>
    <row r="258" spans="1:89" ht="30" x14ac:dyDescent="0.25">
      <c r="A258" s="107"/>
      <c r="B258" s="312"/>
      <c r="C258" s="312" t="s">
        <v>1489</v>
      </c>
      <c r="D258" s="95"/>
      <c r="E258" s="282"/>
      <c r="F258" s="282"/>
      <c r="G258" s="282"/>
      <c r="H258" s="282"/>
      <c r="I258" s="282">
        <f t="shared" ref="I258:K260" si="402">I56</f>
        <v>898</v>
      </c>
      <c r="J258" s="282">
        <f t="shared" si="402"/>
        <v>931</v>
      </c>
      <c r="K258" s="282">
        <f t="shared" si="402"/>
        <v>932</v>
      </c>
      <c r="L258" s="282">
        <f t="shared" ref="L258:M260" si="403">L56</f>
        <v>0</v>
      </c>
      <c r="M258" s="282">
        <f t="shared" si="403"/>
        <v>0</v>
      </c>
      <c r="N258" s="282">
        <f t="shared" ref="N258" si="404">N56</f>
        <v>0</v>
      </c>
      <c r="Q258" s="283">
        <f t="shared" ref="Q258:R260" si="405">S258+V258+Y258+AB258+AE258+AH258+AK258+AN258+AQ258+AT258+AW258+AZ258+BC258+BF258+BI258+BL258+BO258+BR258+BU258+BX258+CA258+CD258+CG258+CJ258</f>
        <v>932</v>
      </c>
      <c r="R258" s="283">
        <f t="shared" si="405"/>
        <v>920</v>
      </c>
      <c r="S258" s="283">
        <f t="shared" ref="S258:T260" si="406">S56</f>
        <v>0</v>
      </c>
      <c r="T258" s="283">
        <f t="shared" si="406"/>
        <v>0</v>
      </c>
      <c r="V258" s="283">
        <f t="shared" ref="V258:W260" si="407">V56</f>
        <v>0</v>
      </c>
      <c r="W258" s="283">
        <f t="shared" si="407"/>
        <v>0</v>
      </c>
      <c r="Y258" s="283">
        <f t="shared" ref="Y258:Z260" si="408">Y56</f>
        <v>0</v>
      </c>
      <c r="Z258" s="283">
        <f t="shared" si="408"/>
        <v>0</v>
      </c>
      <c r="AB258" s="283">
        <f t="shared" ref="AB258:AC260" si="409">AB56</f>
        <v>0</v>
      </c>
      <c r="AC258" s="283">
        <f t="shared" si="409"/>
        <v>0</v>
      </c>
      <c r="AE258" s="283">
        <f t="shared" ref="AE258:AF260" si="410">AE56</f>
        <v>0</v>
      </c>
      <c r="AF258" s="283">
        <f t="shared" si="410"/>
        <v>0</v>
      </c>
      <c r="AH258" s="283">
        <f t="shared" ref="AH258:AI260" si="411">AH56</f>
        <v>0</v>
      </c>
      <c r="AI258" s="283">
        <f t="shared" si="411"/>
        <v>0</v>
      </c>
      <c r="AK258" s="283">
        <f t="shared" ref="AK258:AL260" si="412">AK56</f>
        <v>0</v>
      </c>
      <c r="AL258" s="283">
        <f t="shared" si="412"/>
        <v>0</v>
      </c>
      <c r="AN258" s="283">
        <f t="shared" ref="AN258:AO260" si="413">AN56</f>
        <v>0</v>
      </c>
      <c r="AO258" s="283">
        <f t="shared" si="413"/>
        <v>0</v>
      </c>
      <c r="AQ258" s="283">
        <f t="shared" ref="AQ258:AR260" si="414">AQ56</f>
        <v>0</v>
      </c>
      <c r="AR258" s="283">
        <f t="shared" si="414"/>
        <v>0</v>
      </c>
      <c r="AT258" s="283">
        <f t="shared" ref="AT258:AU260" si="415">AT56</f>
        <v>0</v>
      </c>
      <c r="AU258" s="283">
        <f t="shared" si="415"/>
        <v>0</v>
      </c>
      <c r="AW258" s="283">
        <f t="shared" ref="AW258:AX260" si="416">AW56</f>
        <v>0</v>
      </c>
      <c r="AX258" s="283">
        <f t="shared" si="416"/>
        <v>0</v>
      </c>
      <c r="AZ258" s="283">
        <f t="shared" ref="AZ258:BA260" si="417">AZ56</f>
        <v>0</v>
      </c>
      <c r="BA258" s="283">
        <f t="shared" si="417"/>
        <v>0</v>
      </c>
      <c r="BC258" s="283">
        <f t="shared" ref="BC258:BD260" si="418">BC56</f>
        <v>187</v>
      </c>
      <c r="BD258" s="283">
        <f t="shared" si="418"/>
        <v>188</v>
      </c>
      <c r="BF258" s="283">
        <f t="shared" ref="BF258:BG260" si="419">BF56</f>
        <v>191</v>
      </c>
      <c r="BG258" s="283">
        <f t="shared" si="419"/>
        <v>181</v>
      </c>
      <c r="BI258" s="283">
        <f t="shared" ref="BI258:BJ260" si="420">BI56</f>
        <v>436</v>
      </c>
      <c r="BJ258" s="283">
        <f t="shared" si="420"/>
        <v>424</v>
      </c>
      <c r="BL258" s="283">
        <f t="shared" ref="BL258:BM260" si="421">BL56</f>
        <v>0</v>
      </c>
      <c r="BM258" s="283">
        <f t="shared" si="421"/>
        <v>0</v>
      </c>
      <c r="BO258" s="283">
        <f t="shared" ref="BO258:BP260" si="422">BO56</f>
        <v>0</v>
      </c>
      <c r="BP258" s="283">
        <f t="shared" si="422"/>
        <v>0</v>
      </c>
      <c r="BR258" s="283">
        <f t="shared" ref="BR258:BS260" si="423">BR56</f>
        <v>0</v>
      </c>
      <c r="BS258" s="283">
        <f t="shared" si="423"/>
        <v>0</v>
      </c>
      <c r="BU258" s="283">
        <f t="shared" ref="BU258:BV260" si="424">BU56</f>
        <v>0</v>
      </c>
      <c r="BV258" s="283">
        <f t="shared" si="424"/>
        <v>0</v>
      </c>
      <c r="BX258" s="283">
        <f t="shared" ref="BX258:BY260" si="425">BX56</f>
        <v>0</v>
      </c>
      <c r="BY258" s="283">
        <f t="shared" si="425"/>
        <v>0</v>
      </c>
      <c r="CA258" s="283">
        <f t="shared" ref="CA258:CB260" si="426">CA56</f>
        <v>0</v>
      </c>
      <c r="CB258" s="283">
        <f t="shared" si="426"/>
        <v>0</v>
      </c>
      <c r="CD258" s="283">
        <f t="shared" ref="CD258:CE260" si="427">CD56</f>
        <v>118</v>
      </c>
      <c r="CE258" s="283">
        <f t="shared" si="427"/>
        <v>127</v>
      </c>
      <c r="CG258" s="283">
        <f t="shared" ref="CG258:CH260" si="428">CG56</f>
        <v>0</v>
      </c>
      <c r="CH258" s="283">
        <f t="shared" si="428"/>
        <v>0</v>
      </c>
      <c r="CJ258" s="283">
        <f t="shared" ref="CJ258:CK260" si="429">CJ56</f>
        <v>0</v>
      </c>
      <c r="CK258" s="283">
        <f t="shared" si="429"/>
        <v>0</v>
      </c>
    </row>
    <row r="259" spans="1:89" ht="30" x14ac:dyDescent="0.25">
      <c r="A259" s="107"/>
      <c r="B259" s="312"/>
      <c r="C259" s="312" t="s">
        <v>1490</v>
      </c>
      <c r="D259" s="95"/>
      <c r="E259" s="282"/>
      <c r="F259" s="282"/>
      <c r="G259" s="282"/>
      <c r="H259" s="282"/>
      <c r="I259" s="282">
        <f t="shared" si="402"/>
        <v>0</v>
      </c>
      <c r="J259" s="282">
        <f t="shared" si="402"/>
        <v>0</v>
      </c>
      <c r="K259" s="282">
        <f t="shared" si="402"/>
        <v>0</v>
      </c>
      <c r="L259" s="282">
        <f t="shared" ref="L259" si="430">L57</f>
        <v>0</v>
      </c>
      <c r="M259" s="282">
        <f t="shared" si="403"/>
        <v>0</v>
      </c>
      <c r="N259" s="282">
        <f t="shared" ref="N259" si="431">N57</f>
        <v>0</v>
      </c>
      <c r="Q259" s="283">
        <f t="shared" si="405"/>
        <v>0</v>
      </c>
      <c r="R259" s="283">
        <f t="shared" si="405"/>
        <v>0</v>
      </c>
      <c r="S259" s="283">
        <f t="shared" si="406"/>
        <v>0</v>
      </c>
      <c r="T259" s="283">
        <f t="shared" si="406"/>
        <v>0</v>
      </c>
      <c r="V259" s="283">
        <f t="shared" si="407"/>
        <v>0</v>
      </c>
      <c r="W259" s="283">
        <f t="shared" si="407"/>
        <v>0</v>
      </c>
      <c r="Y259" s="283">
        <f t="shared" si="408"/>
        <v>0</v>
      </c>
      <c r="Z259" s="283">
        <f t="shared" si="408"/>
        <v>0</v>
      </c>
      <c r="AB259" s="283">
        <f t="shared" si="409"/>
        <v>0</v>
      </c>
      <c r="AC259" s="283">
        <f t="shared" si="409"/>
        <v>0</v>
      </c>
      <c r="AE259" s="283">
        <f t="shared" si="410"/>
        <v>0</v>
      </c>
      <c r="AF259" s="283">
        <f t="shared" si="410"/>
        <v>0</v>
      </c>
      <c r="AH259" s="283">
        <f t="shared" si="411"/>
        <v>0</v>
      </c>
      <c r="AI259" s="283">
        <f t="shared" si="411"/>
        <v>0</v>
      </c>
      <c r="AK259" s="283">
        <f t="shared" si="412"/>
        <v>0</v>
      </c>
      <c r="AL259" s="283">
        <f t="shared" si="412"/>
        <v>0</v>
      </c>
      <c r="AN259" s="283">
        <f t="shared" si="413"/>
        <v>0</v>
      </c>
      <c r="AO259" s="283">
        <f t="shared" si="413"/>
        <v>0</v>
      </c>
      <c r="AQ259" s="283">
        <f t="shared" si="414"/>
        <v>0</v>
      </c>
      <c r="AR259" s="283">
        <f t="shared" si="414"/>
        <v>0</v>
      </c>
      <c r="AT259" s="283">
        <f t="shared" si="415"/>
        <v>0</v>
      </c>
      <c r="AU259" s="283">
        <f t="shared" si="415"/>
        <v>0</v>
      </c>
      <c r="AW259" s="283">
        <f t="shared" si="416"/>
        <v>0</v>
      </c>
      <c r="AX259" s="283">
        <f t="shared" si="416"/>
        <v>0</v>
      </c>
      <c r="AZ259" s="283">
        <f t="shared" si="417"/>
        <v>0</v>
      </c>
      <c r="BA259" s="283">
        <f t="shared" si="417"/>
        <v>0</v>
      </c>
      <c r="BC259" s="283">
        <f t="shared" si="418"/>
        <v>0</v>
      </c>
      <c r="BD259" s="283">
        <f t="shared" si="418"/>
        <v>0</v>
      </c>
      <c r="BF259" s="283">
        <f t="shared" si="419"/>
        <v>0</v>
      </c>
      <c r="BG259" s="283">
        <f t="shared" si="419"/>
        <v>0</v>
      </c>
      <c r="BI259" s="283">
        <f t="shared" si="420"/>
        <v>0</v>
      </c>
      <c r="BJ259" s="283">
        <f t="shared" si="420"/>
        <v>0</v>
      </c>
      <c r="BL259" s="283">
        <f t="shared" si="421"/>
        <v>0</v>
      </c>
      <c r="BM259" s="283">
        <f t="shared" si="421"/>
        <v>0</v>
      </c>
      <c r="BO259" s="283">
        <f t="shared" si="422"/>
        <v>0</v>
      </c>
      <c r="BP259" s="283">
        <f t="shared" si="422"/>
        <v>0</v>
      </c>
      <c r="BR259" s="283">
        <f t="shared" si="423"/>
        <v>0</v>
      </c>
      <c r="BS259" s="283">
        <f t="shared" si="423"/>
        <v>0</v>
      </c>
      <c r="BU259" s="283">
        <f t="shared" si="424"/>
        <v>0</v>
      </c>
      <c r="BV259" s="283">
        <f t="shared" si="424"/>
        <v>0</v>
      </c>
      <c r="BX259" s="283">
        <f t="shared" si="425"/>
        <v>0</v>
      </c>
      <c r="BY259" s="283">
        <f t="shared" si="425"/>
        <v>0</v>
      </c>
      <c r="CA259" s="283">
        <f t="shared" si="426"/>
        <v>0</v>
      </c>
      <c r="CB259" s="283">
        <f t="shared" si="426"/>
        <v>0</v>
      </c>
      <c r="CD259" s="283">
        <f t="shared" si="427"/>
        <v>0</v>
      </c>
      <c r="CE259" s="283">
        <f t="shared" si="427"/>
        <v>0</v>
      </c>
      <c r="CG259" s="283">
        <f t="shared" si="428"/>
        <v>0</v>
      </c>
      <c r="CH259" s="283">
        <f t="shared" si="428"/>
        <v>0</v>
      </c>
      <c r="CJ259" s="283">
        <f t="shared" si="429"/>
        <v>0</v>
      </c>
      <c r="CK259" s="283">
        <f t="shared" si="429"/>
        <v>0</v>
      </c>
    </row>
    <row r="260" spans="1:89" ht="30" x14ac:dyDescent="0.25">
      <c r="A260" s="107"/>
      <c r="B260" s="312"/>
      <c r="C260" s="312" t="s">
        <v>1491</v>
      </c>
      <c r="D260" s="95"/>
      <c r="E260" s="282"/>
      <c r="F260" s="282"/>
      <c r="G260" s="282"/>
      <c r="H260" s="282"/>
      <c r="I260" s="282">
        <f t="shared" si="402"/>
        <v>0</v>
      </c>
      <c r="J260" s="282">
        <f t="shared" si="402"/>
        <v>0</v>
      </c>
      <c r="K260" s="282">
        <f t="shared" si="402"/>
        <v>0</v>
      </c>
      <c r="L260" s="282">
        <f t="shared" ref="L260" si="432">L58</f>
        <v>0</v>
      </c>
      <c r="M260" s="282">
        <f t="shared" si="403"/>
        <v>0</v>
      </c>
      <c r="N260" s="282">
        <f t="shared" ref="N260" si="433">N58</f>
        <v>0</v>
      </c>
      <c r="Q260" s="283">
        <f t="shared" si="405"/>
        <v>0</v>
      </c>
      <c r="R260" s="283">
        <f t="shared" si="405"/>
        <v>0</v>
      </c>
      <c r="S260" s="283">
        <f t="shared" si="406"/>
        <v>0</v>
      </c>
      <c r="T260" s="283">
        <f t="shared" si="406"/>
        <v>0</v>
      </c>
      <c r="V260" s="283">
        <f t="shared" si="407"/>
        <v>0</v>
      </c>
      <c r="W260" s="283">
        <f t="shared" si="407"/>
        <v>0</v>
      </c>
      <c r="Y260" s="283">
        <f t="shared" si="408"/>
        <v>0</v>
      </c>
      <c r="Z260" s="283">
        <f t="shared" si="408"/>
        <v>0</v>
      </c>
      <c r="AB260" s="283">
        <f t="shared" si="409"/>
        <v>0</v>
      </c>
      <c r="AC260" s="283">
        <f t="shared" si="409"/>
        <v>0</v>
      </c>
      <c r="AE260" s="283">
        <f t="shared" si="410"/>
        <v>0</v>
      </c>
      <c r="AF260" s="283">
        <f t="shared" si="410"/>
        <v>0</v>
      </c>
      <c r="AH260" s="283">
        <f t="shared" si="411"/>
        <v>0</v>
      </c>
      <c r="AI260" s="283">
        <f t="shared" si="411"/>
        <v>0</v>
      </c>
      <c r="AK260" s="283">
        <f t="shared" si="412"/>
        <v>0</v>
      </c>
      <c r="AL260" s="283">
        <f t="shared" si="412"/>
        <v>0</v>
      </c>
      <c r="AN260" s="283">
        <f t="shared" si="413"/>
        <v>0</v>
      </c>
      <c r="AO260" s="283">
        <f t="shared" si="413"/>
        <v>0</v>
      </c>
      <c r="AQ260" s="283">
        <f t="shared" si="414"/>
        <v>0</v>
      </c>
      <c r="AR260" s="283">
        <f t="shared" si="414"/>
        <v>0</v>
      </c>
      <c r="AT260" s="283">
        <f t="shared" si="415"/>
        <v>0</v>
      </c>
      <c r="AU260" s="283">
        <f t="shared" si="415"/>
        <v>0</v>
      </c>
      <c r="AW260" s="283">
        <f t="shared" si="416"/>
        <v>0</v>
      </c>
      <c r="AX260" s="283">
        <f t="shared" si="416"/>
        <v>0</v>
      </c>
      <c r="AZ260" s="283">
        <f t="shared" si="417"/>
        <v>0</v>
      </c>
      <c r="BA260" s="283">
        <f t="shared" si="417"/>
        <v>0</v>
      </c>
      <c r="BC260" s="283">
        <f t="shared" si="418"/>
        <v>0</v>
      </c>
      <c r="BD260" s="283">
        <f t="shared" si="418"/>
        <v>0</v>
      </c>
      <c r="BF260" s="283">
        <f t="shared" si="419"/>
        <v>0</v>
      </c>
      <c r="BG260" s="283">
        <f t="shared" si="419"/>
        <v>0</v>
      </c>
      <c r="BI260" s="283">
        <f t="shared" si="420"/>
        <v>0</v>
      </c>
      <c r="BJ260" s="283">
        <f t="shared" si="420"/>
        <v>0</v>
      </c>
      <c r="BL260" s="283">
        <f t="shared" si="421"/>
        <v>0</v>
      </c>
      <c r="BM260" s="283">
        <f t="shared" si="421"/>
        <v>0</v>
      </c>
      <c r="BO260" s="283">
        <f t="shared" si="422"/>
        <v>0</v>
      </c>
      <c r="BP260" s="283">
        <f t="shared" si="422"/>
        <v>0</v>
      </c>
      <c r="BR260" s="283">
        <f t="shared" si="423"/>
        <v>0</v>
      </c>
      <c r="BS260" s="283">
        <f t="shared" si="423"/>
        <v>0</v>
      </c>
      <c r="BU260" s="283">
        <f t="shared" si="424"/>
        <v>0</v>
      </c>
      <c r="BV260" s="283">
        <f t="shared" si="424"/>
        <v>0</v>
      </c>
      <c r="BX260" s="283">
        <f t="shared" si="425"/>
        <v>0</v>
      </c>
      <c r="BY260" s="283">
        <f t="shared" si="425"/>
        <v>0</v>
      </c>
      <c r="CA260" s="283">
        <f t="shared" si="426"/>
        <v>0</v>
      </c>
      <c r="CB260" s="283">
        <f t="shared" si="426"/>
        <v>0</v>
      </c>
      <c r="CD260" s="283">
        <f t="shared" si="427"/>
        <v>0</v>
      </c>
      <c r="CE260" s="283">
        <f t="shared" si="427"/>
        <v>0</v>
      </c>
      <c r="CG260" s="283">
        <f t="shared" si="428"/>
        <v>0</v>
      </c>
      <c r="CH260" s="283">
        <f t="shared" si="428"/>
        <v>0</v>
      </c>
      <c r="CJ260" s="283">
        <f t="shared" si="429"/>
        <v>0</v>
      </c>
      <c r="CK260" s="283">
        <f t="shared" si="429"/>
        <v>0</v>
      </c>
    </row>
    <row r="261" spans="1:89" x14ac:dyDescent="0.25">
      <c r="A261" s="107"/>
      <c r="B261" s="294" t="s">
        <v>1185</v>
      </c>
      <c r="C261" s="312"/>
      <c r="D261" s="95"/>
      <c r="E261" s="282"/>
      <c r="F261" s="282"/>
      <c r="G261" s="282"/>
      <c r="H261" s="282"/>
      <c r="I261" s="282">
        <f t="shared" ref="I261:N261" si="434">SUM(I262:I264)</f>
        <v>0</v>
      </c>
      <c r="J261" s="282">
        <f t="shared" si="434"/>
        <v>0</v>
      </c>
      <c r="K261" s="282">
        <f t="shared" si="434"/>
        <v>0</v>
      </c>
      <c r="L261" s="282">
        <f t="shared" si="434"/>
        <v>0</v>
      </c>
      <c r="M261" s="282">
        <f t="shared" si="434"/>
        <v>0</v>
      </c>
      <c r="N261" s="282">
        <f t="shared" si="434"/>
        <v>0</v>
      </c>
      <c r="Q261" s="282">
        <f>SUM(Q262:Q264)</f>
        <v>0</v>
      </c>
      <c r="R261" s="282">
        <f>SUM(R262:R264)</f>
        <v>0</v>
      </c>
      <c r="S261" s="282">
        <f>SUM(S262:S264)</f>
        <v>0</v>
      </c>
      <c r="T261" s="282">
        <f>SUM(T262:T264)</f>
        <v>0</v>
      </c>
      <c r="V261" s="282">
        <f>SUM(V262:V264)</f>
        <v>0</v>
      </c>
      <c r="W261" s="282">
        <f>SUM(W262:W264)</f>
        <v>0</v>
      </c>
      <c r="Y261" s="282">
        <f>SUM(Y262:Y264)</f>
        <v>0</v>
      </c>
      <c r="Z261" s="282">
        <f>SUM(Z262:Z264)</f>
        <v>0</v>
      </c>
      <c r="AB261" s="282">
        <f>SUM(AB262:AB264)</f>
        <v>0</v>
      </c>
      <c r="AC261" s="282">
        <f>SUM(AC262:AC264)</f>
        <v>0</v>
      </c>
      <c r="AE261" s="282">
        <f>SUM(AE262:AE264)</f>
        <v>0</v>
      </c>
      <c r="AF261" s="282">
        <f>SUM(AF262:AF264)</f>
        <v>0</v>
      </c>
      <c r="AH261" s="282">
        <f>SUM(AH262:AH264)</f>
        <v>0</v>
      </c>
      <c r="AI261" s="282">
        <f>SUM(AI262:AI264)</f>
        <v>0</v>
      </c>
      <c r="AK261" s="282">
        <f>SUM(AK262:AK264)</f>
        <v>0</v>
      </c>
      <c r="AL261" s="282">
        <f>SUM(AL262:AL264)</f>
        <v>0</v>
      </c>
      <c r="AN261" s="282">
        <f>SUM(AN262:AN264)</f>
        <v>0</v>
      </c>
      <c r="AO261" s="282">
        <f>SUM(AO262:AO264)</f>
        <v>0</v>
      </c>
      <c r="AQ261" s="282">
        <f>SUM(AQ262:AQ264)</f>
        <v>0</v>
      </c>
      <c r="AR261" s="282">
        <f>SUM(AR262:AR264)</f>
        <v>0</v>
      </c>
      <c r="AT261" s="282">
        <f>SUM(AT262:AT264)</f>
        <v>0</v>
      </c>
      <c r="AU261" s="282">
        <f>SUM(AU262:AU264)</f>
        <v>0</v>
      </c>
      <c r="AW261" s="282">
        <f>SUM(AW262:AW264)</f>
        <v>0</v>
      </c>
      <c r="AX261" s="282">
        <f>SUM(AX262:AX264)</f>
        <v>0</v>
      </c>
      <c r="AZ261" s="282">
        <f>SUM(AZ262:AZ264)</f>
        <v>0</v>
      </c>
      <c r="BA261" s="282">
        <f>SUM(BA262:BA264)</f>
        <v>0</v>
      </c>
      <c r="BC261" s="282">
        <f>SUM(BC262:BC264)</f>
        <v>0</v>
      </c>
      <c r="BD261" s="282">
        <f>SUM(BD262:BD264)</f>
        <v>0</v>
      </c>
      <c r="BF261" s="282">
        <f>SUM(BF262:BF264)</f>
        <v>0</v>
      </c>
      <c r="BG261" s="282">
        <f>SUM(BG262:BG264)</f>
        <v>0</v>
      </c>
      <c r="BI261" s="282">
        <f>SUM(BI262:BI264)</f>
        <v>0</v>
      </c>
      <c r="BJ261" s="282">
        <f>SUM(BJ262:BJ264)</f>
        <v>0</v>
      </c>
      <c r="BL261" s="282">
        <f>SUM(BL262:BL264)</f>
        <v>0</v>
      </c>
      <c r="BM261" s="282">
        <f>SUM(BM262:BM264)</f>
        <v>0</v>
      </c>
      <c r="BO261" s="282">
        <f>SUM(BO262:BO264)</f>
        <v>0</v>
      </c>
      <c r="BP261" s="282">
        <f>SUM(BP262:BP264)</f>
        <v>0</v>
      </c>
      <c r="BR261" s="282">
        <f>SUM(BR262:BR264)</f>
        <v>0</v>
      </c>
      <c r="BS261" s="282">
        <f>SUM(BS262:BS264)</f>
        <v>0</v>
      </c>
      <c r="BU261" s="282">
        <f>SUM(BU262:BU264)</f>
        <v>0</v>
      </c>
      <c r="BV261" s="282">
        <f>SUM(BV262:BV264)</f>
        <v>0</v>
      </c>
      <c r="BX261" s="282">
        <f>SUM(BX262:BX264)</f>
        <v>0</v>
      </c>
      <c r="BY261" s="282">
        <f>SUM(BY262:BY264)</f>
        <v>0</v>
      </c>
      <c r="CA261" s="282">
        <f>SUM(CA262:CA264)</f>
        <v>0</v>
      </c>
      <c r="CB261" s="282">
        <f>SUM(CB262:CB264)</f>
        <v>0</v>
      </c>
      <c r="CD261" s="282">
        <f>SUM(CD262:CD264)</f>
        <v>0</v>
      </c>
      <c r="CE261" s="282">
        <f>SUM(CE262:CE264)</f>
        <v>0</v>
      </c>
      <c r="CG261" s="282">
        <f>SUM(CG262:CG264)</f>
        <v>0</v>
      </c>
      <c r="CH261" s="282">
        <f>SUM(CH262:CH264)</f>
        <v>0</v>
      </c>
      <c r="CJ261" s="282">
        <f>SUM(CJ262:CJ264)</f>
        <v>0</v>
      </c>
      <c r="CK261" s="282">
        <f>SUM(CK262:CK264)</f>
        <v>0</v>
      </c>
    </row>
    <row r="262" spans="1:89" ht="30" x14ac:dyDescent="0.25">
      <c r="A262" s="107"/>
      <c r="B262" s="312"/>
      <c r="C262" s="312" t="s">
        <v>1489</v>
      </c>
      <c r="D262" s="95"/>
      <c r="E262" s="282"/>
      <c r="F262" s="282"/>
      <c r="G262" s="282"/>
      <c r="H262" s="282"/>
      <c r="I262" s="282">
        <v>0</v>
      </c>
      <c r="J262" s="282">
        <v>0</v>
      </c>
      <c r="K262" s="282">
        <v>0</v>
      </c>
      <c r="L262" s="282">
        <v>0</v>
      </c>
      <c r="M262" s="282">
        <v>0</v>
      </c>
      <c r="N262" s="282">
        <v>0</v>
      </c>
      <c r="Q262" s="283">
        <f t="shared" ref="Q262:R264" si="435">S262+V262+Y262+AB262+AE262+AH262+AK262+AN262+AQ262+AT262+AW262+AZ262+BC262+BF262+BI262+BL262+BO262+BR262+BU262+BX262+CA262+CD262+CG262+CJ262</f>
        <v>0</v>
      </c>
      <c r="R262" s="283">
        <f t="shared" si="435"/>
        <v>0</v>
      </c>
      <c r="S262" s="267">
        <v>0</v>
      </c>
      <c r="T262" s="267">
        <v>0</v>
      </c>
      <c r="V262" s="267">
        <v>0</v>
      </c>
      <c r="W262" s="267">
        <v>0</v>
      </c>
      <c r="Y262" s="267">
        <v>0</v>
      </c>
      <c r="Z262" s="267">
        <v>0</v>
      </c>
      <c r="AB262" s="267">
        <v>0</v>
      </c>
      <c r="AC262" s="267">
        <v>0</v>
      </c>
      <c r="AE262" s="267">
        <v>0</v>
      </c>
      <c r="AF262" s="267">
        <v>0</v>
      </c>
      <c r="AH262" s="267">
        <v>0</v>
      </c>
      <c r="AI262" s="267">
        <v>0</v>
      </c>
      <c r="AK262" s="267">
        <v>0</v>
      </c>
      <c r="AL262" s="267">
        <v>0</v>
      </c>
      <c r="AN262" s="267">
        <v>0</v>
      </c>
      <c r="AO262" s="267">
        <v>0</v>
      </c>
      <c r="AQ262" s="267">
        <v>0</v>
      </c>
      <c r="AR262" s="267">
        <v>0</v>
      </c>
      <c r="AT262" s="267">
        <v>0</v>
      </c>
      <c r="AU262" s="267">
        <v>0</v>
      </c>
      <c r="AW262" s="267">
        <v>0</v>
      </c>
      <c r="AX262" s="267">
        <v>0</v>
      </c>
      <c r="AZ262" s="267">
        <v>0</v>
      </c>
      <c r="BA262" s="267">
        <v>0</v>
      </c>
      <c r="BC262" s="267">
        <v>0</v>
      </c>
      <c r="BD262" s="267">
        <v>0</v>
      </c>
      <c r="BF262" s="267">
        <v>0</v>
      </c>
      <c r="BG262" s="267">
        <v>0</v>
      </c>
      <c r="BI262" s="267">
        <v>0</v>
      </c>
      <c r="BJ262" s="267">
        <v>0</v>
      </c>
      <c r="BL262" s="267">
        <v>0</v>
      </c>
      <c r="BM262" s="267">
        <v>0</v>
      </c>
      <c r="BO262" s="267">
        <v>0</v>
      </c>
      <c r="BP262" s="267">
        <v>0</v>
      </c>
      <c r="BR262" s="267">
        <v>0</v>
      </c>
      <c r="BS262" s="267">
        <v>0</v>
      </c>
      <c r="BU262" s="267">
        <v>0</v>
      </c>
      <c r="BV262" s="267">
        <v>0</v>
      </c>
      <c r="BX262" s="267">
        <v>0</v>
      </c>
      <c r="BY262" s="267">
        <v>0</v>
      </c>
      <c r="CA262" s="267">
        <v>0</v>
      </c>
      <c r="CB262" s="267">
        <v>0</v>
      </c>
      <c r="CD262" s="267">
        <v>0</v>
      </c>
      <c r="CE262" s="267">
        <v>0</v>
      </c>
      <c r="CG262" s="267">
        <v>0</v>
      </c>
      <c r="CH262" s="267">
        <v>0</v>
      </c>
      <c r="CJ262" s="267">
        <v>0</v>
      </c>
      <c r="CK262" s="267">
        <v>0</v>
      </c>
    </row>
    <row r="263" spans="1:89" ht="30" x14ac:dyDescent="0.25">
      <c r="A263" s="107"/>
      <c r="B263" s="312"/>
      <c r="C263" s="312" t="s">
        <v>1490</v>
      </c>
      <c r="D263" s="95"/>
      <c r="E263" s="282"/>
      <c r="F263" s="282"/>
      <c r="G263" s="282"/>
      <c r="H263" s="282"/>
      <c r="I263" s="282">
        <v>0</v>
      </c>
      <c r="J263" s="282">
        <v>0</v>
      </c>
      <c r="K263" s="282">
        <v>0</v>
      </c>
      <c r="L263" s="282">
        <v>0</v>
      </c>
      <c r="M263" s="282">
        <v>0</v>
      </c>
      <c r="N263" s="282">
        <v>0</v>
      </c>
      <c r="Q263" s="283">
        <f t="shared" si="435"/>
        <v>0</v>
      </c>
      <c r="R263" s="283">
        <f t="shared" si="435"/>
        <v>0</v>
      </c>
      <c r="S263" s="267">
        <v>0</v>
      </c>
      <c r="T263" s="267">
        <v>0</v>
      </c>
      <c r="V263" s="267">
        <v>0</v>
      </c>
      <c r="W263" s="267">
        <v>0</v>
      </c>
      <c r="Y263" s="267">
        <v>0</v>
      </c>
      <c r="Z263" s="267">
        <v>0</v>
      </c>
      <c r="AB263" s="267">
        <v>0</v>
      </c>
      <c r="AC263" s="267">
        <v>0</v>
      </c>
      <c r="AE263" s="267">
        <v>0</v>
      </c>
      <c r="AF263" s="267">
        <v>0</v>
      </c>
      <c r="AH263" s="267">
        <v>0</v>
      </c>
      <c r="AI263" s="267">
        <v>0</v>
      </c>
      <c r="AK263" s="267">
        <v>0</v>
      </c>
      <c r="AL263" s="267">
        <v>0</v>
      </c>
      <c r="AN263" s="267">
        <v>0</v>
      </c>
      <c r="AO263" s="267">
        <v>0</v>
      </c>
      <c r="AQ263" s="267">
        <v>0</v>
      </c>
      <c r="AR263" s="267">
        <v>0</v>
      </c>
      <c r="AT263" s="267">
        <v>0</v>
      </c>
      <c r="AU263" s="267">
        <v>0</v>
      </c>
      <c r="AW263" s="267">
        <v>0</v>
      </c>
      <c r="AX263" s="267">
        <v>0</v>
      </c>
      <c r="AZ263" s="267">
        <v>0</v>
      </c>
      <c r="BA263" s="267">
        <v>0</v>
      </c>
      <c r="BC263" s="267">
        <v>0</v>
      </c>
      <c r="BD263" s="267">
        <v>0</v>
      </c>
      <c r="BF263" s="267">
        <v>0</v>
      </c>
      <c r="BG263" s="267">
        <v>0</v>
      </c>
      <c r="BI263" s="267">
        <v>0</v>
      </c>
      <c r="BJ263" s="267">
        <v>0</v>
      </c>
      <c r="BL263" s="267">
        <v>0</v>
      </c>
      <c r="BM263" s="267">
        <v>0</v>
      </c>
      <c r="BO263" s="267">
        <v>0</v>
      </c>
      <c r="BP263" s="267">
        <v>0</v>
      </c>
      <c r="BR263" s="267">
        <v>0</v>
      </c>
      <c r="BS263" s="267">
        <v>0</v>
      </c>
      <c r="BU263" s="267">
        <v>0</v>
      </c>
      <c r="BV263" s="267">
        <v>0</v>
      </c>
      <c r="BX263" s="267">
        <v>0</v>
      </c>
      <c r="BY263" s="267">
        <v>0</v>
      </c>
      <c r="CA263" s="267">
        <v>0</v>
      </c>
      <c r="CB263" s="267">
        <v>0</v>
      </c>
      <c r="CD263" s="267">
        <v>0</v>
      </c>
      <c r="CE263" s="267">
        <v>0</v>
      </c>
      <c r="CG263" s="267">
        <v>0</v>
      </c>
      <c r="CH263" s="267">
        <v>0</v>
      </c>
      <c r="CJ263" s="267">
        <v>0</v>
      </c>
      <c r="CK263" s="267">
        <v>0</v>
      </c>
    </row>
    <row r="264" spans="1:89" ht="30" x14ac:dyDescent="0.25">
      <c r="A264" s="107"/>
      <c r="B264" s="312"/>
      <c r="C264" s="312" t="s">
        <v>1491</v>
      </c>
      <c r="D264" s="95"/>
      <c r="E264" s="282"/>
      <c r="F264" s="282"/>
      <c r="G264" s="282"/>
      <c r="H264" s="282"/>
      <c r="I264" s="282">
        <v>0</v>
      </c>
      <c r="J264" s="282">
        <v>0</v>
      </c>
      <c r="K264" s="282">
        <v>0</v>
      </c>
      <c r="L264" s="282">
        <v>0</v>
      </c>
      <c r="M264" s="282">
        <v>0</v>
      </c>
      <c r="N264" s="282">
        <v>0</v>
      </c>
      <c r="Q264" s="283">
        <f t="shared" si="435"/>
        <v>0</v>
      </c>
      <c r="R264" s="283">
        <f t="shared" si="435"/>
        <v>0</v>
      </c>
      <c r="S264" s="267">
        <v>0</v>
      </c>
      <c r="T264" s="267">
        <v>0</v>
      </c>
      <c r="V264" s="267">
        <v>0</v>
      </c>
      <c r="W264" s="267">
        <v>0</v>
      </c>
      <c r="Y264" s="267">
        <v>0</v>
      </c>
      <c r="Z264" s="267">
        <v>0</v>
      </c>
      <c r="AB264" s="267">
        <v>0</v>
      </c>
      <c r="AC264" s="267">
        <v>0</v>
      </c>
      <c r="AE264" s="267">
        <v>0</v>
      </c>
      <c r="AF264" s="267">
        <v>0</v>
      </c>
      <c r="AH264" s="267">
        <v>0</v>
      </c>
      <c r="AI264" s="267">
        <v>0</v>
      </c>
      <c r="AK264" s="267">
        <v>0</v>
      </c>
      <c r="AL264" s="267">
        <v>0</v>
      </c>
      <c r="AN264" s="267">
        <v>0</v>
      </c>
      <c r="AO264" s="267">
        <v>0</v>
      </c>
      <c r="AQ264" s="267">
        <v>0</v>
      </c>
      <c r="AR264" s="267">
        <v>0</v>
      </c>
      <c r="AT264" s="267">
        <v>0</v>
      </c>
      <c r="AU264" s="267">
        <v>0</v>
      </c>
      <c r="AW264" s="267">
        <v>0</v>
      </c>
      <c r="AX264" s="267">
        <v>0</v>
      </c>
      <c r="AZ264" s="267">
        <v>0</v>
      </c>
      <c r="BA264" s="267">
        <v>0</v>
      </c>
      <c r="BC264" s="267">
        <v>0</v>
      </c>
      <c r="BD264" s="267">
        <v>0</v>
      </c>
      <c r="BF264" s="267">
        <v>0</v>
      </c>
      <c r="BG264" s="267">
        <v>0</v>
      </c>
      <c r="BI264" s="267">
        <v>0</v>
      </c>
      <c r="BJ264" s="267">
        <v>0</v>
      </c>
      <c r="BL264" s="267">
        <v>0</v>
      </c>
      <c r="BM264" s="267">
        <v>0</v>
      </c>
      <c r="BO264" s="267">
        <v>0</v>
      </c>
      <c r="BP264" s="267">
        <v>0</v>
      </c>
      <c r="BR264" s="267">
        <v>0</v>
      </c>
      <c r="BS264" s="267">
        <v>0</v>
      </c>
      <c r="BU264" s="267">
        <v>0</v>
      </c>
      <c r="BV264" s="267">
        <v>0</v>
      </c>
      <c r="BX264" s="267">
        <v>0</v>
      </c>
      <c r="BY264" s="267">
        <v>0</v>
      </c>
      <c r="CA264" s="267">
        <v>0</v>
      </c>
      <c r="CB264" s="267">
        <v>0</v>
      </c>
      <c r="CD264" s="267">
        <v>0</v>
      </c>
      <c r="CE264" s="267">
        <v>0</v>
      </c>
      <c r="CG264" s="267">
        <v>0</v>
      </c>
      <c r="CH264" s="267">
        <v>0</v>
      </c>
      <c r="CJ264" s="267">
        <v>0</v>
      </c>
      <c r="CK264" s="267">
        <v>0</v>
      </c>
    </row>
    <row r="265" spans="1:89" ht="75" x14ac:dyDescent="0.25">
      <c r="A265" s="95" t="s">
        <v>152</v>
      </c>
      <c r="B265" s="96" t="s">
        <v>1660</v>
      </c>
      <c r="C265" s="95"/>
      <c r="D265" s="95"/>
      <c r="E265" s="317"/>
      <c r="F265" s="317"/>
      <c r="G265" s="317"/>
      <c r="H265" s="317"/>
      <c r="I265" s="317"/>
      <c r="J265" s="317"/>
      <c r="K265" s="317"/>
      <c r="L265" s="317"/>
      <c r="M265" s="317"/>
      <c r="N265" s="317"/>
      <c r="O265" s="281" t="s">
        <v>140</v>
      </c>
    </row>
    <row r="266" spans="1:89" x14ac:dyDescent="0.25">
      <c r="A266" s="95"/>
      <c r="B266" s="96" t="s">
        <v>1182</v>
      </c>
      <c r="C266" s="95"/>
      <c r="D266" s="95" t="s">
        <v>8</v>
      </c>
      <c r="E266" s="293">
        <f t="shared" ref="E266:J266" si="436">E272/E275*100</f>
        <v>11.90581560283688</v>
      </c>
      <c r="F266" s="293">
        <f t="shared" si="436"/>
        <v>10.240198931273477</v>
      </c>
      <c r="G266" s="293">
        <f t="shared" si="436"/>
        <v>15.46035673780802</v>
      </c>
      <c r="H266" s="293">
        <f t="shared" si="436"/>
        <v>9.3648757586051303</v>
      </c>
      <c r="I266" s="293">
        <f>I272/I275*100</f>
        <v>11.589795491370545</v>
      </c>
      <c r="J266" s="293">
        <f t="shared" si="436"/>
        <v>11.961254272383034</v>
      </c>
      <c r="K266" s="293">
        <f t="shared" ref="K266:M268" si="437">K272/K275*100</f>
        <v>11.813659974923185</v>
      </c>
      <c r="L266" s="293" t="e">
        <f t="shared" si="437"/>
        <v>#DIV/0!</v>
      </c>
      <c r="M266" s="293" t="e">
        <f t="shared" si="437"/>
        <v>#DIV/0!</v>
      </c>
      <c r="N266" s="293" t="e">
        <f t="shared" ref="N266" si="438">N272/N275*100</f>
        <v>#DIV/0!</v>
      </c>
      <c r="O266" s="281"/>
      <c r="Q266" s="293">
        <f t="shared" ref="Q266:T268" si="439">Q272/Q275*100</f>
        <v>11.813659974923185</v>
      </c>
      <c r="R266" s="293">
        <f t="shared" si="439"/>
        <v>12.304005108120382</v>
      </c>
      <c r="S266" s="293">
        <f t="shared" si="439"/>
        <v>0</v>
      </c>
      <c r="T266" s="293">
        <f t="shared" si="439"/>
        <v>0.62344139650872821</v>
      </c>
      <c r="V266" s="293">
        <f t="shared" ref="V266:W268" si="440">V272/V275*100</f>
        <v>0</v>
      </c>
      <c r="W266" s="293">
        <f t="shared" si="440"/>
        <v>0</v>
      </c>
      <c r="Y266" s="293">
        <f t="shared" ref="Y266:Z268" si="441">Y272/Y275*100</f>
        <v>0.31688546853779992</v>
      </c>
      <c r="Z266" s="293">
        <f t="shared" si="441"/>
        <v>4.1896869244935537</v>
      </c>
      <c r="AB266" s="293">
        <f t="shared" ref="AB266:AC268" si="442">AB272/AB275*100</f>
        <v>1.6204607575165952</v>
      </c>
      <c r="AC266" s="293">
        <f t="shared" si="442"/>
        <v>3.3046538912788423</v>
      </c>
      <c r="AE266" s="293">
        <f t="shared" ref="AE266:AF268" si="443">AE272/AE275*100</f>
        <v>12.388216728037875</v>
      </c>
      <c r="AF266" s="293">
        <f t="shared" si="443"/>
        <v>14.141949152542374</v>
      </c>
      <c r="AH266" s="293">
        <f t="shared" ref="AH266:AI268" si="444">AH272/AH275*100</f>
        <v>0</v>
      </c>
      <c r="AI266" s="293">
        <f t="shared" si="444"/>
        <v>0</v>
      </c>
      <c r="AK266" s="293">
        <f t="shared" ref="AK266:AL268" si="445">AK272/AK275*100</f>
        <v>19.06321650835244</v>
      </c>
      <c r="AL266" s="293">
        <f t="shared" si="445"/>
        <v>24.08216076338347</v>
      </c>
      <c r="AN266" s="293">
        <f t="shared" ref="AN266:AO268" si="446">AN272/AN275*100</f>
        <v>1.4153132250580047</v>
      </c>
      <c r="AO266" s="293">
        <f t="shared" si="446"/>
        <v>1.4281584272911245</v>
      </c>
      <c r="AQ266" s="293">
        <f t="shared" ref="AQ266:AR268" si="447">AQ272/AQ275*100</f>
        <v>0</v>
      </c>
      <c r="AR266" s="293">
        <f t="shared" si="447"/>
        <v>0</v>
      </c>
      <c r="AT266" s="293">
        <f t="shared" ref="AT266:AU268" si="448">AT272/AT275*100</f>
        <v>6.9690424766018726</v>
      </c>
      <c r="AU266" s="293">
        <f t="shared" si="448"/>
        <v>7.4477684458943569</v>
      </c>
      <c r="AW266" s="293">
        <f t="shared" ref="AW266:AX268" si="449">AW272/AW275*100</f>
        <v>16.435719784449574</v>
      </c>
      <c r="AX266" s="293">
        <f t="shared" si="449"/>
        <v>19.977277030865366</v>
      </c>
      <c r="AZ266" s="293">
        <f t="shared" ref="AZ266:BA268" si="450">AZ272/AZ275*100</f>
        <v>14.520547945205479</v>
      </c>
      <c r="BA266" s="293">
        <f t="shared" si="450"/>
        <v>14.435550648633729</v>
      </c>
      <c r="BC266" s="293">
        <f t="shared" ref="BC266:BD268" si="451">BC272/BC275*100</f>
        <v>5.2763295099061525</v>
      </c>
      <c r="BD266" s="293">
        <f t="shared" si="451"/>
        <v>5.8282208588957047</v>
      </c>
      <c r="BF266" s="293">
        <f t="shared" ref="BF266:BG268" si="452">BF272/BF275*100</f>
        <v>18.934668657940204</v>
      </c>
      <c r="BG266" s="293">
        <f t="shared" si="452"/>
        <v>19.197675081201208</v>
      </c>
      <c r="BI266" s="293">
        <f t="shared" ref="BI266:BJ268" si="453">BI272/BI275*100</f>
        <v>20.016161138374819</v>
      </c>
      <c r="BJ266" s="293">
        <f t="shared" si="453"/>
        <v>19.863258810012617</v>
      </c>
      <c r="BL266" s="293">
        <f t="shared" ref="BL266:BM268" si="454">BL272/BL275*100</f>
        <v>0</v>
      </c>
      <c r="BM266" s="293">
        <f t="shared" si="454"/>
        <v>0</v>
      </c>
      <c r="BO266" s="293">
        <f t="shared" ref="BO266:BP268" si="455">BO272/BO275*100</f>
        <v>24.014404852160727</v>
      </c>
      <c r="BP266" s="293">
        <f t="shared" si="455"/>
        <v>24.641509433962263</v>
      </c>
      <c r="BR266" s="293">
        <f t="shared" ref="BR266:BS268" si="456">BR272/BR275*100</f>
        <v>6.4331130781698036</v>
      </c>
      <c r="BS266" s="293">
        <f t="shared" si="456"/>
        <v>6.5236157356024176</v>
      </c>
      <c r="BU266" s="293">
        <f t="shared" ref="BU266:BV268" si="457">BU272/BU275*100</f>
        <v>4.5534370296036126</v>
      </c>
      <c r="BV266" s="293">
        <f t="shared" si="457"/>
        <v>6.605413459150733</v>
      </c>
      <c r="BX266" s="293">
        <f t="shared" ref="BX266:BY268" si="458">BX272/BX275*100</f>
        <v>0</v>
      </c>
      <c r="BY266" s="293">
        <f t="shared" si="458"/>
        <v>0</v>
      </c>
      <c r="CA266" s="293">
        <f t="shared" ref="CA266:CB268" si="459">CA272/CA275*100</f>
        <v>5.4561403508771926</v>
      </c>
      <c r="CB266" s="293">
        <f t="shared" si="459"/>
        <v>0.94436813186813184</v>
      </c>
      <c r="CD266" s="293">
        <f t="shared" ref="CD266:CE268" si="460">CD272/CD275*100</f>
        <v>12.994350282485875</v>
      </c>
      <c r="CE266" s="293">
        <f t="shared" si="460"/>
        <v>11.724519940915805</v>
      </c>
      <c r="CG266" s="293">
        <f t="shared" ref="CG266:CH268" si="461">CG272/CG275*100</f>
        <v>25.506756756756754</v>
      </c>
      <c r="CH266" s="293">
        <f t="shared" si="461"/>
        <v>27.222222222222221</v>
      </c>
      <c r="CJ266" s="293">
        <f t="shared" ref="CJ266:CK268" si="462">CJ272/CJ275*100</f>
        <v>27.777777777777779</v>
      </c>
      <c r="CK266" s="293">
        <f t="shared" si="462"/>
        <v>29.850746268656714</v>
      </c>
    </row>
    <row r="267" spans="1:89" x14ac:dyDescent="0.25">
      <c r="A267" s="95"/>
      <c r="B267" s="96" t="s">
        <v>1183</v>
      </c>
      <c r="C267" s="95"/>
      <c r="D267" s="95"/>
      <c r="E267" s="293"/>
      <c r="F267" s="293"/>
      <c r="G267" s="293"/>
      <c r="H267" s="293">
        <f t="shared" ref="H267:J268" si="463">H273/H276*100</f>
        <v>10.209895634148641</v>
      </c>
      <c r="I267" s="293">
        <f>I273/I276*100</f>
        <v>12.643787987366299</v>
      </c>
      <c r="J267" s="293">
        <f t="shared" si="463"/>
        <v>13.016036448814642</v>
      </c>
      <c r="K267" s="293">
        <f t="shared" si="437"/>
        <v>12.825271392081735</v>
      </c>
      <c r="L267" s="293" t="e">
        <f t="shared" si="437"/>
        <v>#DIV/0!</v>
      </c>
      <c r="M267" s="293" t="e">
        <f t="shared" si="437"/>
        <v>#DIV/0!</v>
      </c>
      <c r="N267" s="293" t="e">
        <f t="shared" ref="N267" si="464">N273/N276*100</f>
        <v>#DIV/0!</v>
      </c>
      <c r="O267" s="281"/>
      <c r="Q267" s="293">
        <f t="shared" si="439"/>
        <v>12.825271392081735</v>
      </c>
      <c r="R267" s="293">
        <f t="shared" si="439"/>
        <v>13.297346279578484</v>
      </c>
      <c r="S267" s="293">
        <f t="shared" si="439"/>
        <v>0</v>
      </c>
      <c r="T267" s="293">
        <f t="shared" si="439"/>
        <v>0.9097525473071324</v>
      </c>
      <c r="V267" s="293">
        <f t="shared" si="440"/>
        <v>0</v>
      </c>
      <c r="W267" s="293">
        <f t="shared" si="440"/>
        <v>0</v>
      </c>
      <c r="Y267" s="293">
        <f t="shared" si="441"/>
        <v>0</v>
      </c>
      <c r="Z267" s="293">
        <f t="shared" si="441"/>
        <v>4.2335268009559579</v>
      </c>
      <c r="AB267" s="293">
        <f t="shared" si="442"/>
        <v>2.8522336769759451</v>
      </c>
      <c r="AC267" s="293">
        <f t="shared" si="442"/>
        <v>5.7522123893805306</v>
      </c>
      <c r="AE267" s="293">
        <f t="shared" si="443"/>
        <v>16.678470254957507</v>
      </c>
      <c r="AF267" s="293">
        <f t="shared" si="443"/>
        <v>18.561001042752867</v>
      </c>
      <c r="AH267" s="293">
        <f t="shared" si="444"/>
        <v>0</v>
      </c>
      <c r="AI267" s="293">
        <f t="shared" si="444"/>
        <v>0</v>
      </c>
      <c r="AK267" s="293">
        <f t="shared" si="445"/>
        <v>20.013755158184317</v>
      </c>
      <c r="AL267" s="293">
        <f t="shared" si="445"/>
        <v>25.072094995759119</v>
      </c>
      <c r="AN267" s="293">
        <f t="shared" si="446"/>
        <v>2.0644724595989508</v>
      </c>
      <c r="AO267" s="293">
        <f t="shared" si="446"/>
        <v>2.0775506770964758</v>
      </c>
      <c r="AQ267" s="293" t="e">
        <f t="shared" si="447"/>
        <v>#DIV/0!</v>
      </c>
      <c r="AR267" s="293" t="e">
        <f t="shared" si="447"/>
        <v>#DIV/0!</v>
      </c>
      <c r="AT267" s="293">
        <f t="shared" si="448"/>
        <v>6.9690424766018726</v>
      </c>
      <c r="AU267" s="293">
        <f t="shared" si="448"/>
        <v>7.4477684458943569</v>
      </c>
      <c r="AW267" s="293">
        <f t="shared" si="449"/>
        <v>16.435719784449574</v>
      </c>
      <c r="AX267" s="293">
        <f t="shared" si="449"/>
        <v>19.977277030865366</v>
      </c>
      <c r="AZ267" s="293">
        <f t="shared" si="450"/>
        <v>14.520547945205479</v>
      </c>
      <c r="BA267" s="293">
        <f t="shared" si="450"/>
        <v>14.435550648633729</v>
      </c>
      <c r="BC267" s="293">
        <f t="shared" si="451"/>
        <v>5.2763295099061525</v>
      </c>
      <c r="BD267" s="293">
        <f t="shared" si="451"/>
        <v>5.8282208588957047</v>
      </c>
      <c r="BF267" s="293">
        <f t="shared" si="452"/>
        <v>18.934668657940204</v>
      </c>
      <c r="BG267" s="293">
        <f t="shared" si="452"/>
        <v>19.197675081201208</v>
      </c>
      <c r="BI267" s="293">
        <f t="shared" si="453"/>
        <v>20.016161138374819</v>
      </c>
      <c r="BJ267" s="293">
        <f t="shared" si="453"/>
        <v>19.863258810012617</v>
      </c>
      <c r="BL267" s="293">
        <f t="shared" si="454"/>
        <v>0</v>
      </c>
      <c r="BM267" s="293">
        <f t="shared" si="454"/>
        <v>0</v>
      </c>
      <c r="BO267" s="293">
        <f t="shared" si="455"/>
        <v>24.014404852160727</v>
      </c>
      <c r="BP267" s="293">
        <f t="shared" si="455"/>
        <v>24.641509433962263</v>
      </c>
      <c r="BR267" s="293">
        <f t="shared" si="456"/>
        <v>6.4331130781698036</v>
      </c>
      <c r="BS267" s="293">
        <f t="shared" si="456"/>
        <v>6.5236157356024176</v>
      </c>
      <c r="BU267" s="293">
        <f t="shared" si="457"/>
        <v>4.5534370296036126</v>
      </c>
      <c r="BV267" s="293">
        <f t="shared" si="457"/>
        <v>6.605413459150733</v>
      </c>
      <c r="BX267" s="293">
        <f t="shared" si="458"/>
        <v>0</v>
      </c>
      <c r="BY267" s="293">
        <f t="shared" si="458"/>
        <v>0</v>
      </c>
      <c r="CA267" s="293">
        <f t="shared" si="459"/>
        <v>5.4561403508771926</v>
      </c>
      <c r="CB267" s="293">
        <f t="shared" si="459"/>
        <v>0.94436813186813184</v>
      </c>
      <c r="CD267" s="293">
        <f t="shared" si="460"/>
        <v>12.994350282485875</v>
      </c>
      <c r="CE267" s="293">
        <f t="shared" si="460"/>
        <v>11.724519940915805</v>
      </c>
      <c r="CG267" s="293">
        <f t="shared" si="461"/>
        <v>31.589958158995817</v>
      </c>
      <c r="CH267" s="293">
        <f t="shared" si="461"/>
        <v>35.167464114832534</v>
      </c>
      <c r="CJ267" s="293">
        <f t="shared" si="462"/>
        <v>27.777777777777779</v>
      </c>
      <c r="CK267" s="293">
        <f t="shared" si="462"/>
        <v>29.850746268656714</v>
      </c>
    </row>
    <row r="268" spans="1:89" x14ac:dyDescent="0.25">
      <c r="A268" s="95"/>
      <c r="B268" s="96" t="s">
        <v>1185</v>
      </c>
      <c r="C268" s="95"/>
      <c r="D268" s="95"/>
      <c r="E268" s="293"/>
      <c r="F268" s="293"/>
      <c r="G268" s="293"/>
      <c r="H268" s="293">
        <f t="shared" si="463"/>
        <v>0.29737123825383605</v>
      </c>
      <c r="I268" s="293">
        <f t="shared" si="463"/>
        <v>0</v>
      </c>
      <c r="J268" s="293">
        <f t="shared" si="463"/>
        <v>0.1099028227672374</v>
      </c>
      <c r="K268" s="293">
        <f t="shared" si="437"/>
        <v>8.1004455245038479E-2</v>
      </c>
      <c r="L268" s="293" t="e">
        <f t="shared" si="437"/>
        <v>#DIV/0!</v>
      </c>
      <c r="M268" s="293" t="e">
        <f t="shared" si="437"/>
        <v>#DIV/0!</v>
      </c>
      <c r="N268" s="293" t="e">
        <f t="shared" ref="N268" si="465">N274/N277*100</f>
        <v>#DIV/0!</v>
      </c>
      <c r="O268" s="281"/>
      <c r="Q268" s="293">
        <f t="shared" si="439"/>
        <v>8.1004455245038479E-2</v>
      </c>
      <c r="R268" s="293">
        <f t="shared" si="439"/>
        <v>0.4027550782162036</v>
      </c>
      <c r="S268" s="293">
        <f t="shared" si="439"/>
        <v>0</v>
      </c>
      <c r="T268" s="293">
        <f t="shared" si="439"/>
        <v>0</v>
      </c>
      <c r="V268" s="293">
        <f t="shared" si="440"/>
        <v>0</v>
      </c>
      <c r="W268" s="293">
        <f t="shared" si="440"/>
        <v>0</v>
      </c>
      <c r="Y268" s="293">
        <f t="shared" si="441"/>
        <v>0.96021947873799729</v>
      </c>
      <c r="Z268" s="293">
        <f t="shared" si="441"/>
        <v>4.0989399293286217</v>
      </c>
      <c r="AB268" s="293">
        <f t="shared" si="442"/>
        <v>0</v>
      </c>
      <c r="AC268" s="293">
        <f t="shared" si="442"/>
        <v>0</v>
      </c>
      <c r="AE268" s="293">
        <f t="shared" si="443"/>
        <v>0</v>
      </c>
      <c r="AF268" s="293">
        <f t="shared" si="443"/>
        <v>0</v>
      </c>
      <c r="AH268" s="293">
        <f t="shared" si="444"/>
        <v>0</v>
      </c>
      <c r="AI268" s="293">
        <f t="shared" si="444"/>
        <v>0</v>
      </c>
      <c r="AK268" s="293">
        <f t="shared" si="445"/>
        <v>0</v>
      </c>
      <c r="AL268" s="293">
        <f t="shared" si="445"/>
        <v>3.8194444444444446</v>
      </c>
      <c r="AN268" s="293">
        <f t="shared" si="446"/>
        <v>0</v>
      </c>
      <c r="AO268" s="293">
        <f t="shared" si="446"/>
        <v>0</v>
      </c>
      <c r="AQ268" s="293">
        <f t="shared" si="447"/>
        <v>0</v>
      </c>
      <c r="AR268" s="293">
        <f t="shared" si="447"/>
        <v>0</v>
      </c>
      <c r="AT268" s="293" t="e">
        <f t="shared" si="448"/>
        <v>#DIV/0!</v>
      </c>
      <c r="AU268" s="293" t="e">
        <f t="shared" si="448"/>
        <v>#DIV/0!</v>
      </c>
      <c r="AW268" s="293" t="e">
        <f t="shared" si="449"/>
        <v>#DIV/0!</v>
      </c>
      <c r="AX268" s="293" t="e">
        <f t="shared" si="449"/>
        <v>#DIV/0!</v>
      </c>
      <c r="AZ268" s="293" t="e">
        <f t="shared" si="450"/>
        <v>#DIV/0!</v>
      </c>
      <c r="BA268" s="293" t="e">
        <f t="shared" si="450"/>
        <v>#DIV/0!</v>
      </c>
      <c r="BC268" s="293" t="e">
        <f t="shared" si="451"/>
        <v>#DIV/0!</v>
      </c>
      <c r="BD268" s="293" t="e">
        <f t="shared" si="451"/>
        <v>#DIV/0!</v>
      </c>
      <c r="BF268" s="293" t="e">
        <f t="shared" si="452"/>
        <v>#DIV/0!</v>
      </c>
      <c r="BG268" s="293" t="e">
        <f t="shared" si="452"/>
        <v>#DIV/0!</v>
      </c>
      <c r="BI268" s="293" t="e">
        <f t="shared" si="453"/>
        <v>#DIV/0!</v>
      </c>
      <c r="BJ268" s="293" t="e">
        <f t="shared" si="453"/>
        <v>#DIV/0!</v>
      </c>
      <c r="BL268" s="293" t="e">
        <f t="shared" si="454"/>
        <v>#DIV/0!</v>
      </c>
      <c r="BM268" s="293" t="e">
        <f t="shared" si="454"/>
        <v>#DIV/0!</v>
      </c>
      <c r="BO268" s="293" t="e">
        <f t="shared" si="455"/>
        <v>#DIV/0!</v>
      </c>
      <c r="BP268" s="293" t="e">
        <f t="shared" si="455"/>
        <v>#DIV/0!</v>
      </c>
      <c r="BR268" s="293" t="e">
        <f t="shared" si="456"/>
        <v>#DIV/0!</v>
      </c>
      <c r="BS268" s="293" t="e">
        <f t="shared" si="456"/>
        <v>#DIV/0!</v>
      </c>
      <c r="BU268" s="293" t="e">
        <f t="shared" si="457"/>
        <v>#DIV/0!</v>
      </c>
      <c r="BV268" s="293" t="e">
        <f t="shared" si="457"/>
        <v>#DIV/0!</v>
      </c>
      <c r="BX268" s="293" t="e">
        <f t="shared" si="458"/>
        <v>#DIV/0!</v>
      </c>
      <c r="BY268" s="293" t="e">
        <f t="shared" si="458"/>
        <v>#DIV/0!</v>
      </c>
      <c r="CA268" s="293" t="e">
        <f t="shared" si="459"/>
        <v>#DIV/0!</v>
      </c>
      <c r="CB268" s="293" t="e">
        <f t="shared" si="459"/>
        <v>#DIV/0!</v>
      </c>
      <c r="CD268" s="293" t="e">
        <f t="shared" si="460"/>
        <v>#DIV/0!</v>
      </c>
      <c r="CE268" s="293" t="e">
        <f t="shared" si="460"/>
        <v>#DIV/0!</v>
      </c>
      <c r="CG268" s="293">
        <f t="shared" si="461"/>
        <v>0</v>
      </c>
      <c r="CH268" s="293">
        <f t="shared" si="461"/>
        <v>0</v>
      </c>
      <c r="CJ268" s="293" t="e">
        <f t="shared" si="462"/>
        <v>#DIV/0!</v>
      </c>
      <c r="CK268" s="293" t="e">
        <f t="shared" si="462"/>
        <v>#DIV/0!</v>
      </c>
    </row>
    <row r="269" spans="1:89" x14ac:dyDescent="0.25">
      <c r="A269" s="95"/>
      <c r="B269" s="96" t="s">
        <v>1184</v>
      </c>
      <c r="C269" s="95"/>
      <c r="D269" s="95" t="s">
        <v>8</v>
      </c>
      <c r="E269" s="293">
        <f t="shared" ref="E269:J269" si="466">E278/E281*100</f>
        <v>88.235294117647058</v>
      </c>
      <c r="F269" s="293">
        <f t="shared" si="466"/>
        <v>72.819932049830129</v>
      </c>
      <c r="G269" s="293">
        <f t="shared" si="466"/>
        <v>83.649789029535867</v>
      </c>
      <c r="H269" s="293">
        <f t="shared" si="466"/>
        <v>56.400966183574873</v>
      </c>
      <c r="I269" s="293">
        <f t="shared" si="466"/>
        <v>69.265033407572389</v>
      </c>
      <c r="J269" s="293">
        <f t="shared" si="466"/>
        <v>94.629430719656284</v>
      </c>
      <c r="K269" s="293">
        <f t="shared" ref="K269:M271" si="467">K278/K281*100</f>
        <v>93.991416309012877</v>
      </c>
      <c r="L269" s="293" t="e">
        <f t="shared" si="467"/>
        <v>#DIV/0!</v>
      </c>
      <c r="M269" s="293" t="e">
        <f t="shared" si="467"/>
        <v>#DIV/0!</v>
      </c>
      <c r="N269" s="293" t="e">
        <f t="shared" ref="N269" si="468">N278/N281*100</f>
        <v>#DIV/0!</v>
      </c>
      <c r="O269" s="281"/>
      <c r="Q269" s="293">
        <f t="shared" ref="Q269:T271" si="469">Q278/Q281*100</f>
        <v>93.991416309012877</v>
      </c>
      <c r="R269" s="293">
        <f t="shared" si="469"/>
        <v>93.695652173913047</v>
      </c>
      <c r="S269" s="293" t="e">
        <f t="shared" si="469"/>
        <v>#DIV/0!</v>
      </c>
      <c r="T269" s="293" t="e">
        <f t="shared" si="469"/>
        <v>#DIV/0!</v>
      </c>
      <c r="V269" s="293" t="e">
        <f t="shared" ref="V269:W271" si="470">V278/V281*100</f>
        <v>#DIV/0!</v>
      </c>
      <c r="W269" s="293" t="e">
        <f t="shared" si="470"/>
        <v>#DIV/0!</v>
      </c>
      <c r="Y269" s="293" t="e">
        <f t="shared" ref="Y269:Z271" si="471">Y278/Y281*100</f>
        <v>#DIV/0!</v>
      </c>
      <c r="Z269" s="293" t="e">
        <f t="shared" si="471"/>
        <v>#DIV/0!</v>
      </c>
      <c r="AB269" s="293" t="e">
        <f t="shared" ref="AB269:AC271" si="472">AB278/AB281*100</f>
        <v>#DIV/0!</v>
      </c>
      <c r="AC269" s="293" t="e">
        <f t="shared" si="472"/>
        <v>#DIV/0!</v>
      </c>
      <c r="AE269" s="293" t="e">
        <f t="shared" ref="AE269:AF271" si="473">AE278/AE281*100</f>
        <v>#DIV/0!</v>
      </c>
      <c r="AF269" s="293" t="e">
        <f t="shared" si="473"/>
        <v>#DIV/0!</v>
      </c>
      <c r="AH269" s="293" t="e">
        <f t="shared" ref="AH269:AI271" si="474">AH278/AH281*100</f>
        <v>#DIV/0!</v>
      </c>
      <c r="AI269" s="293" t="e">
        <f t="shared" si="474"/>
        <v>#DIV/0!</v>
      </c>
      <c r="AK269" s="293" t="e">
        <f t="shared" ref="AK269:AL271" si="475">AK278/AK281*100</f>
        <v>#DIV/0!</v>
      </c>
      <c r="AL269" s="293" t="e">
        <f t="shared" si="475"/>
        <v>#DIV/0!</v>
      </c>
      <c r="AN269" s="293" t="e">
        <f t="shared" ref="AN269:AO271" si="476">AN278/AN281*100</f>
        <v>#DIV/0!</v>
      </c>
      <c r="AO269" s="293" t="e">
        <f t="shared" si="476"/>
        <v>#DIV/0!</v>
      </c>
      <c r="AQ269" s="293" t="e">
        <f t="shared" ref="AQ269:AR271" si="477">AQ278/AQ281*100</f>
        <v>#DIV/0!</v>
      </c>
      <c r="AR269" s="293" t="e">
        <f t="shared" si="477"/>
        <v>#DIV/0!</v>
      </c>
      <c r="AT269" s="293" t="e">
        <f t="shared" ref="AT269:AU271" si="478">AT278/AT281*100</f>
        <v>#DIV/0!</v>
      </c>
      <c r="AU269" s="293" t="e">
        <f t="shared" si="478"/>
        <v>#DIV/0!</v>
      </c>
      <c r="AW269" s="293" t="e">
        <f t="shared" ref="AW269:AX271" si="479">AW278/AW281*100</f>
        <v>#DIV/0!</v>
      </c>
      <c r="AX269" s="293" t="e">
        <f t="shared" si="479"/>
        <v>#DIV/0!</v>
      </c>
      <c r="AZ269" s="293" t="e">
        <f t="shared" ref="AZ269:BA271" si="480">AZ278/AZ281*100</f>
        <v>#DIV/0!</v>
      </c>
      <c r="BA269" s="293" t="e">
        <f t="shared" si="480"/>
        <v>#DIV/0!</v>
      </c>
      <c r="BC269" s="293">
        <f t="shared" ref="BC269:BD271" si="481">BC278/BC281*100</f>
        <v>100</v>
      </c>
      <c r="BD269" s="293">
        <f t="shared" si="481"/>
        <v>100</v>
      </c>
      <c r="BF269" s="293">
        <f t="shared" ref="BF269:BG271" si="482">BF278/BF281*100</f>
        <v>100</v>
      </c>
      <c r="BG269" s="293">
        <f t="shared" si="482"/>
        <v>100</v>
      </c>
      <c r="BI269" s="293">
        <f t="shared" ref="BI269:BJ271" si="483">BI278/BI281*100</f>
        <v>100</v>
      </c>
      <c r="BJ269" s="293">
        <f t="shared" si="483"/>
        <v>100</v>
      </c>
      <c r="BL269" s="293" t="e">
        <f t="shared" ref="BL269:BM271" si="484">BL278/BL281*100</f>
        <v>#DIV/0!</v>
      </c>
      <c r="BM269" s="293" t="e">
        <f t="shared" si="484"/>
        <v>#DIV/0!</v>
      </c>
      <c r="BO269" s="293" t="e">
        <f t="shared" ref="BO269:BP271" si="485">BO278/BO281*100</f>
        <v>#DIV/0!</v>
      </c>
      <c r="BP269" s="293" t="e">
        <f t="shared" si="485"/>
        <v>#DIV/0!</v>
      </c>
      <c r="BR269" s="293" t="e">
        <f t="shared" ref="BR269:BS271" si="486">BR278/BR281*100</f>
        <v>#DIV/0!</v>
      </c>
      <c r="BS269" s="293" t="e">
        <f t="shared" si="486"/>
        <v>#DIV/0!</v>
      </c>
      <c r="BU269" s="293" t="e">
        <f t="shared" ref="BU269:BV271" si="487">BU278/BU281*100</f>
        <v>#DIV/0!</v>
      </c>
      <c r="BV269" s="293" t="e">
        <f t="shared" si="487"/>
        <v>#DIV/0!</v>
      </c>
      <c r="BX269" s="293" t="e">
        <f t="shared" ref="BX269:BY271" si="488">BX278/BX281*100</f>
        <v>#DIV/0!</v>
      </c>
      <c r="BY269" s="293" t="e">
        <f t="shared" si="488"/>
        <v>#DIV/0!</v>
      </c>
      <c r="CA269" s="293" t="e">
        <f t="shared" ref="CA269:CB271" si="489">CA278/CA281*100</f>
        <v>#DIV/0!</v>
      </c>
      <c r="CB269" s="293" t="e">
        <f t="shared" si="489"/>
        <v>#DIV/0!</v>
      </c>
      <c r="CD269" s="293">
        <f t="shared" ref="CD269:CE271" si="490">CD278/CD281*100</f>
        <v>52.542372881355938</v>
      </c>
      <c r="CE269" s="293">
        <f t="shared" si="490"/>
        <v>54.330708661417326</v>
      </c>
      <c r="CG269" s="293" t="e">
        <f t="shared" ref="CG269:CH271" si="491">CG278/CG281*100</f>
        <v>#DIV/0!</v>
      </c>
      <c r="CH269" s="293" t="e">
        <f t="shared" si="491"/>
        <v>#DIV/0!</v>
      </c>
      <c r="CJ269" s="293" t="e">
        <f t="shared" ref="CJ269:CK271" si="492">CJ278/CJ281*100</f>
        <v>#DIV/0!</v>
      </c>
      <c r="CK269" s="293" t="e">
        <f t="shared" si="492"/>
        <v>#DIV/0!</v>
      </c>
    </row>
    <row r="270" spans="1:89" x14ac:dyDescent="0.25">
      <c r="A270" s="95"/>
      <c r="B270" s="96" t="s">
        <v>1183</v>
      </c>
      <c r="C270" s="95"/>
      <c r="D270" s="95"/>
      <c r="E270" s="293"/>
      <c r="F270" s="293"/>
      <c r="G270" s="293"/>
      <c r="H270" s="293">
        <f t="shared" ref="H270:J271" si="493">H279/H282*100</f>
        <v>56.400966183574873</v>
      </c>
      <c r="I270" s="293">
        <f t="shared" si="493"/>
        <v>69.265033407572389</v>
      </c>
      <c r="J270" s="293">
        <f t="shared" si="493"/>
        <v>94.629430719656284</v>
      </c>
      <c r="K270" s="293">
        <f t="shared" si="467"/>
        <v>93.991416309012877</v>
      </c>
      <c r="L270" s="293" t="e">
        <f t="shared" si="467"/>
        <v>#DIV/0!</v>
      </c>
      <c r="M270" s="293" t="e">
        <f t="shared" si="467"/>
        <v>#DIV/0!</v>
      </c>
      <c r="N270" s="293" t="e">
        <f t="shared" ref="N270" si="494">N279/N282*100</f>
        <v>#DIV/0!</v>
      </c>
      <c r="O270" s="281"/>
      <c r="Q270" s="293">
        <f t="shared" si="469"/>
        <v>93.991416309012877</v>
      </c>
      <c r="R270" s="293">
        <f t="shared" si="469"/>
        <v>93.695652173913047</v>
      </c>
      <c r="S270" s="293" t="e">
        <f t="shared" si="469"/>
        <v>#DIV/0!</v>
      </c>
      <c r="T270" s="293" t="e">
        <f t="shared" si="469"/>
        <v>#DIV/0!</v>
      </c>
      <c r="V270" s="293" t="e">
        <f t="shared" si="470"/>
        <v>#DIV/0!</v>
      </c>
      <c r="W270" s="293" t="e">
        <f t="shared" si="470"/>
        <v>#DIV/0!</v>
      </c>
      <c r="Y270" s="293" t="e">
        <f t="shared" si="471"/>
        <v>#DIV/0!</v>
      </c>
      <c r="Z270" s="293" t="e">
        <f t="shared" si="471"/>
        <v>#DIV/0!</v>
      </c>
      <c r="AB270" s="293" t="e">
        <f t="shared" si="472"/>
        <v>#DIV/0!</v>
      </c>
      <c r="AC270" s="293" t="e">
        <f t="shared" si="472"/>
        <v>#DIV/0!</v>
      </c>
      <c r="AE270" s="293" t="e">
        <f t="shared" si="473"/>
        <v>#DIV/0!</v>
      </c>
      <c r="AF270" s="293" t="e">
        <f t="shared" si="473"/>
        <v>#DIV/0!</v>
      </c>
      <c r="AH270" s="293" t="e">
        <f t="shared" si="474"/>
        <v>#DIV/0!</v>
      </c>
      <c r="AI270" s="293" t="e">
        <f t="shared" si="474"/>
        <v>#DIV/0!</v>
      </c>
      <c r="AK270" s="293" t="e">
        <f t="shared" si="475"/>
        <v>#DIV/0!</v>
      </c>
      <c r="AL270" s="293" t="e">
        <f t="shared" si="475"/>
        <v>#DIV/0!</v>
      </c>
      <c r="AN270" s="293" t="e">
        <f t="shared" si="476"/>
        <v>#DIV/0!</v>
      </c>
      <c r="AO270" s="293" t="e">
        <f t="shared" si="476"/>
        <v>#DIV/0!</v>
      </c>
      <c r="AQ270" s="293" t="e">
        <f t="shared" si="477"/>
        <v>#DIV/0!</v>
      </c>
      <c r="AR270" s="293" t="e">
        <f t="shared" si="477"/>
        <v>#DIV/0!</v>
      </c>
      <c r="AT270" s="293" t="e">
        <f t="shared" si="478"/>
        <v>#DIV/0!</v>
      </c>
      <c r="AU270" s="293" t="e">
        <f t="shared" si="478"/>
        <v>#DIV/0!</v>
      </c>
      <c r="AW270" s="293" t="e">
        <f t="shared" si="479"/>
        <v>#DIV/0!</v>
      </c>
      <c r="AX270" s="293" t="e">
        <f t="shared" si="479"/>
        <v>#DIV/0!</v>
      </c>
      <c r="AZ270" s="293" t="e">
        <f t="shared" si="480"/>
        <v>#DIV/0!</v>
      </c>
      <c r="BA270" s="293" t="e">
        <f t="shared" si="480"/>
        <v>#DIV/0!</v>
      </c>
      <c r="BC270" s="293">
        <f t="shared" si="481"/>
        <v>100</v>
      </c>
      <c r="BD270" s="293">
        <f t="shared" si="481"/>
        <v>100</v>
      </c>
      <c r="BF270" s="293">
        <f t="shared" si="482"/>
        <v>100</v>
      </c>
      <c r="BG270" s="293">
        <f t="shared" si="482"/>
        <v>100</v>
      </c>
      <c r="BI270" s="293">
        <f t="shared" si="483"/>
        <v>100</v>
      </c>
      <c r="BJ270" s="293">
        <f t="shared" si="483"/>
        <v>100</v>
      </c>
      <c r="BL270" s="293" t="e">
        <f t="shared" si="484"/>
        <v>#DIV/0!</v>
      </c>
      <c r="BM270" s="293" t="e">
        <f t="shared" si="484"/>
        <v>#DIV/0!</v>
      </c>
      <c r="BO270" s="293" t="e">
        <f t="shared" si="485"/>
        <v>#DIV/0!</v>
      </c>
      <c r="BP270" s="293" t="e">
        <f t="shared" si="485"/>
        <v>#DIV/0!</v>
      </c>
      <c r="BR270" s="293" t="e">
        <f t="shared" si="486"/>
        <v>#DIV/0!</v>
      </c>
      <c r="BS270" s="293" t="e">
        <f t="shared" si="486"/>
        <v>#DIV/0!</v>
      </c>
      <c r="BU270" s="293" t="e">
        <f t="shared" si="487"/>
        <v>#DIV/0!</v>
      </c>
      <c r="BV270" s="293" t="e">
        <f t="shared" si="487"/>
        <v>#DIV/0!</v>
      </c>
      <c r="BX270" s="293" t="e">
        <f t="shared" si="488"/>
        <v>#DIV/0!</v>
      </c>
      <c r="BY270" s="293" t="e">
        <f t="shared" si="488"/>
        <v>#DIV/0!</v>
      </c>
      <c r="CA270" s="293" t="e">
        <f t="shared" si="489"/>
        <v>#DIV/0!</v>
      </c>
      <c r="CB270" s="293" t="e">
        <f t="shared" si="489"/>
        <v>#DIV/0!</v>
      </c>
      <c r="CD270" s="293">
        <f t="shared" si="490"/>
        <v>52.542372881355938</v>
      </c>
      <c r="CE270" s="293">
        <f t="shared" si="490"/>
        <v>54.330708661417326</v>
      </c>
      <c r="CG270" s="293" t="e">
        <f t="shared" si="491"/>
        <v>#DIV/0!</v>
      </c>
      <c r="CH270" s="293" t="e">
        <f t="shared" si="491"/>
        <v>#DIV/0!</v>
      </c>
      <c r="CJ270" s="293" t="e">
        <f t="shared" si="492"/>
        <v>#DIV/0!</v>
      </c>
      <c r="CK270" s="293" t="e">
        <f t="shared" si="492"/>
        <v>#DIV/0!</v>
      </c>
    </row>
    <row r="271" spans="1:89" x14ac:dyDescent="0.25">
      <c r="A271" s="95"/>
      <c r="B271" s="96" t="s">
        <v>1185</v>
      </c>
      <c r="C271" s="95"/>
      <c r="D271" s="95"/>
      <c r="E271" s="293"/>
      <c r="F271" s="293"/>
      <c r="G271" s="293"/>
      <c r="H271" s="293" t="e">
        <f t="shared" si="493"/>
        <v>#DIV/0!</v>
      </c>
      <c r="I271" s="293" t="e">
        <f t="shared" si="493"/>
        <v>#DIV/0!</v>
      </c>
      <c r="J271" s="293" t="e">
        <f t="shared" si="493"/>
        <v>#DIV/0!</v>
      </c>
      <c r="K271" s="293" t="e">
        <f t="shared" si="467"/>
        <v>#DIV/0!</v>
      </c>
      <c r="L271" s="293" t="e">
        <f t="shared" si="467"/>
        <v>#DIV/0!</v>
      </c>
      <c r="M271" s="293" t="e">
        <f t="shared" si="467"/>
        <v>#DIV/0!</v>
      </c>
      <c r="N271" s="293" t="e">
        <f t="shared" ref="N271" si="495">N280/N283*100</f>
        <v>#DIV/0!</v>
      </c>
      <c r="O271" s="281"/>
      <c r="Q271" s="293" t="e">
        <f t="shared" si="469"/>
        <v>#DIV/0!</v>
      </c>
      <c r="R271" s="293" t="e">
        <f t="shared" si="469"/>
        <v>#DIV/0!</v>
      </c>
      <c r="S271" s="293" t="e">
        <f t="shared" si="469"/>
        <v>#DIV/0!</v>
      </c>
      <c r="T271" s="293" t="e">
        <f t="shared" si="469"/>
        <v>#DIV/0!</v>
      </c>
      <c r="V271" s="293" t="e">
        <f t="shared" si="470"/>
        <v>#DIV/0!</v>
      </c>
      <c r="W271" s="293" t="e">
        <f t="shared" si="470"/>
        <v>#DIV/0!</v>
      </c>
      <c r="Y271" s="293" t="e">
        <f t="shared" si="471"/>
        <v>#DIV/0!</v>
      </c>
      <c r="Z271" s="293" t="e">
        <f t="shared" si="471"/>
        <v>#DIV/0!</v>
      </c>
      <c r="AB271" s="293" t="e">
        <f t="shared" si="472"/>
        <v>#DIV/0!</v>
      </c>
      <c r="AC271" s="293" t="e">
        <f t="shared" si="472"/>
        <v>#DIV/0!</v>
      </c>
      <c r="AE271" s="293" t="e">
        <f t="shared" si="473"/>
        <v>#DIV/0!</v>
      </c>
      <c r="AF271" s="293" t="e">
        <f t="shared" si="473"/>
        <v>#DIV/0!</v>
      </c>
      <c r="AH271" s="293" t="e">
        <f t="shared" si="474"/>
        <v>#DIV/0!</v>
      </c>
      <c r="AI271" s="293" t="e">
        <f t="shared" si="474"/>
        <v>#DIV/0!</v>
      </c>
      <c r="AK271" s="293" t="e">
        <f t="shared" si="475"/>
        <v>#DIV/0!</v>
      </c>
      <c r="AL271" s="293" t="e">
        <f t="shared" si="475"/>
        <v>#DIV/0!</v>
      </c>
      <c r="AN271" s="293" t="e">
        <f t="shared" si="476"/>
        <v>#DIV/0!</v>
      </c>
      <c r="AO271" s="293" t="e">
        <f t="shared" si="476"/>
        <v>#DIV/0!</v>
      </c>
      <c r="AQ271" s="293" t="e">
        <f t="shared" si="477"/>
        <v>#DIV/0!</v>
      </c>
      <c r="AR271" s="293" t="e">
        <f t="shared" si="477"/>
        <v>#DIV/0!</v>
      </c>
      <c r="AT271" s="293" t="e">
        <f t="shared" si="478"/>
        <v>#DIV/0!</v>
      </c>
      <c r="AU271" s="293" t="e">
        <f t="shared" si="478"/>
        <v>#DIV/0!</v>
      </c>
      <c r="AW271" s="293" t="e">
        <f t="shared" si="479"/>
        <v>#DIV/0!</v>
      </c>
      <c r="AX271" s="293" t="e">
        <f t="shared" si="479"/>
        <v>#DIV/0!</v>
      </c>
      <c r="AZ271" s="293" t="e">
        <f t="shared" si="480"/>
        <v>#DIV/0!</v>
      </c>
      <c r="BA271" s="293" t="e">
        <f t="shared" si="480"/>
        <v>#DIV/0!</v>
      </c>
      <c r="BC271" s="293" t="e">
        <f t="shared" si="481"/>
        <v>#DIV/0!</v>
      </c>
      <c r="BD271" s="293" t="e">
        <f t="shared" si="481"/>
        <v>#DIV/0!</v>
      </c>
      <c r="BF271" s="293" t="e">
        <f t="shared" si="482"/>
        <v>#DIV/0!</v>
      </c>
      <c r="BG271" s="293" t="e">
        <f t="shared" si="482"/>
        <v>#DIV/0!</v>
      </c>
      <c r="BI271" s="293" t="e">
        <f t="shared" si="483"/>
        <v>#DIV/0!</v>
      </c>
      <c r="BJ271" s="293" t="e">
        <f t="shared" si="483"/>
        <v>#DIV/0!</v>
      </c>
      <c r="BL271" s="293" t="e">
        <f t="shared" si="484"/>
        <v>#DIV/0!</v>
      </c>
      <c r="BM271" s="293" t="e">
        <f t="shared" si="484"/>
        <v>#DIV/0!</v>
      </c>
      <c r="BO271" s="293" t="e">
        <f t="shared" si="485"/>
        <v>#DIV/0!</v>
      </c>
      <c r="BP271" s="293" t="e">
        <f t="shared" si="485"/>
        <v>#DIV/0!</v>
      </c>
      <c r="BR271" s="293" t="e">
        <f t="shared" si="486"/>
        <v>#DIV/0!</v>
      </c>
      <c r="BS271" s="293" t="e">
        <f t="shared" si="486"/>
        <v>#DIV/0!</v>
      </c>
      <c r="BU271" s="293" t="e">
        <f t="shared" si="487"/>
        <v>#DIV/0!</v>
      </c>
      <c r="BV271" s="293" t="e">
        <f t="shared" si="487"/>
        <v>#DIV/0!</v>
      </c>
      <c r="BX271" s="293" t="e">
        <f t="shared" si="488"/>
        <v>#DIV/0!</v>
      </c>
      <c r="BY271" s="293" t="e">
        <f t="shared" si="488"/>
        <v>#DIV/0!</v>
      </c>
      <c r="CA271" s="293" t="e">
        <f t="shared" si="489"/>
        <v>#DIV/0!</v>
      </c>
      <c r="CB271" s="293" t="e">
        <f t="shared" si="489"/>
        <v>#DIV/0!</v>
      </c>
      <c r="CD271" s="293" t="e">
        <f t="shared" si="490"/>
        <v>#DIV/0!</v>
      </c>
      <c r="CE271" s="293" t="e">
        <f t="shared" si="490"/>
        <v>#DIV/0!</v>
      </c>
      <c r="CG271" s="293" t="e">
        <f t="shared" si="491"/>
        <v>#DIV/0!</v>
      </c>
      <c r="CH271" s="293" t="e">
        <f t="shared" si="491"/>
        <v>#DIV/0!</v>
      </c>
      <c r="CJ271" s="293" t="e">
        <f t="shared" si="492"/>
        <v>#DIV/0!</v>
      </c>
      <c r="CK271" s="293" t="e">
        <f t="shared" si="492"/>
        <v>#DIV/0!</v>
      </c>
    </row>
    <row r="272" spans="1:89" ht="90" x14ac:dyDescent="0.25">
      <c r="A272" s="107"/>
      <c r="B272" s="16" t="s">
        <v>153</v>
      </c>
      <c r="C272" s="95" t="s">
        <v>1188</v>
      </c>
      <c r="D272" s="95" t="s">
        <v>950</v>
      </c>
      <c r="E272" s="282">
        <f>7831+1985+7390+3778</f>
        <v>20984</v>
      </c>
      <c r="F272" s="282">
        <v>19355</v>
      </c>
      <c r="G272" s="282">
        <v>29990</v>
      </c>
      <c r="H272" s="282">
        <f>H273+H274</f>
        <v>18471</v>
      </c>
      <c r="I272" s="282">
        <f>I273+I274</f>
        <v>23819</v>
      </c>
      <c r="J272" s="282">
        <f>J273+J274</f>
        <v>25302</v>
      </c>
      <c r="K272" s="282">
        <f>K273+K274</f>
        <v>25722</v>
      </c>
      <c r="L272" s="282">
        <f>L273+L274</f>
        <v>0</v>
      </c>
      <c r="M272" s="282">
        <f t="shared" ref="M272:N272" si="496">M273+M274</f>
        <v>0</v>
      </c>
      <c r="N272" s="282">
        <f t="shared" si="496"/>
        <v>0</v>
      </c>
      <c r="Q272" s="282">
        <f>Q273+Q274</f>
        <v>25722</v>
      </c>
      <c r="R272" s="282">
        <f>R273+R274</f>
        <v>27363</v>
      </c>
      <c r="S272" s="282">
        <f>S273+S274</f>
        <v>0</v>
      </c>
      <c r="T272" s="282">
        <f>T273+T274</f>
        <v>25</v>
      </c>
      <c r="V272" s="282">
        <f>V273+V274</f>
        <v>0</v>
      </c>
      <c r="W272" s="282">
        <f>W273+W274</f>
        <v>0</v>
      </c>
      <c r="Y272" s="282">
        <f>Y273+Y274</f>
        <v>14</v>
      </c>
      <c r="Z272" s="282">
        <f>Z273+Z274</f>
        <v>182</v>
      </c>
      <c r="AB272" s="282">
        <f>AB273+AB274</f>
        <v>83</v>
      </c>
      <c r="AC272" s="282">
        <f>AC273+AC274</f>
        <v>169</v>
      </c>
      <c r="AE272" s="282">
        <f>AE273+AE274</f>
        <v>471</v>
      </c>
      <c r="AF272" s="282">
        <f>AF273+AF274</f>
        <v>534</v>
      </c>
      <c r="AH272" s="282">
        <f>AH273+AH274</f>
        <v>0</v>
      </c>
      <c r="AI272" s="282">
        <f>AI273+AI274</f>
        <v>0</v>
      </c>
      <c r="AK272" s="282">
        <f>AK273+AK274</f>
        <v>1164</v>
      </c>
      <c r="AL272" s="282">
        <f>AL273+AL274</f>
        <v>1489</v>
      </c>
      <c r="AN272" s="282">
        <f>AN273+AN274</f>
        <v>244</v>
      </c>
      <c r="AO272" s="282">
        <f>AO273+AO274</f>
        <v>247</v>
      </c>
      <c r="AQ272" s="282">
        <f>AQ273+AQ274</f>
        <v>0</v>
      </c>
      <c r="AR272" s="282">
        <f>AR273+AR274</f>
        <v>0</v>
      </c>
      <c r="AT272" s="282">
        <f>AT273+AT274</f>
        <v>968</v>
      </c>
      <c r="AU272" s="282">
        <f>AU273+AU274</f>
        <v>1073</v>
      </c>
      <c r="AW272" s="282">
        <f>AW273+AW274</f>
        <v>854</v>
      </c>
      <c r="AX272" s="282">
        <f>AX273+AX274</f>
        <v>1055</v>
      </c>
      <c r="AZ272" s="282">
        <f>AZ273+AZ274</f>
        <v>1060</v>
      </c>
      <c r="BA272" s="282">
        <f>BA273+BA274</f>
        <v>1046</v>
      </c>
      <c r="BC272" s="282">
        <f>BC273+BC274</f>
        <v>759</v>
      </c>
      <c r="BD272" s="282">
        <f>BD273+BD274</f>
        <v>855</v>
      </c>
      <c r="BF272" s="282">
        <f>BF273+BF274</f>
        <v>6466</v>
      </c>
      <c r="BG272" s="282">
        <f>BG273+BG274</f>
        <v>6738</v>
      </c>
      <c r="BI272" s="282">
        <f>BI273+BI274</f>
        <v>10156</v>
      </c>
      <c r="BJ272" s="282">
        <f>BJ273+BJ274</f>
        <v>10546</v>
      </c>
      <c r="BL272" s="282">
        <f>BL273+BL274</f>
        <v>0</v>
      </c>
      <c r="BM272" s="282">
        <f>BM273+BM274</f>
        <v>0</v>
      </c>
      <c r="BO272" s="282">
        <f>BO273+BO274</f>
        <v>1267</v>
      </c>
      <c r="BP272" s="282">
        <f>BP273+BP274</f>
        <v>1306</v>
      </c>
      <c r="BR272" s="282">
        <f>BR273+BR274</f>
        <v>516</v>
      </c>
      <c r="BS272" s="282">
        <f>BS273+BS274</f>
        <v>529</v>
      </c>
      <c r="BU272" s="282">
        <f>BU273+BU274</f>
        <v>363</v>
      </c>
      <c r="BV272" s="282">
        <f>BV273+BV274</f>
        <v>532</v>
      </c>
      <c r="BX272" s="282">
        <f>BX273+BX274</f>
        <v>0</v>
      </c>
      <c r="BY272" s="282">
        <f>BY273+BY274</f>
        <v>0</v>
      </c>
      <c r="CA272" s="282">
        <f>CA273+CA274</f>
        <v>311</v>
      </c>
      <c r="CB272" s="282">
        <f>CB273+CB274</f>
        <v>55</v>
      </c>
      <c r="CD272" s="282">
        <f>CD273+CD274</f>
        <v>690</v>
      </c>
      <c r="CE272" s="282">
        <f>CE273+CE274</f>
        <v>635</v>
      </c>
      <c r="CG272" s="282">
        <f>CG273+CG274</f>
        <v>151</v>
      </c>
      <c r="CH272" s="282">
        <f>CH273+CH274</f>
        <v>147</v>
      </c>
      <c r="CJ272" s="282">
        <f>CJ273+CJ274</f>
        <v>185</v>
      </c>
      <c r="CK272" s="282">
        <f>CK273+CK274</f>
        <v>200</v>
      </c>
    </row>
    <row r="273" spans="1:89" ht="45" x14ac:dyDescent="0.25">
      <c r="A273" s="107"/>
      <c r="B273" s="95"/>
      <c r="C273" s="95" t="s">
        <v>2387</v>
      </c>
      <c r="D273" s="95"/>
      <c r="E273" s="282"/>
      <c r="F273" s="282"/>
      <c r="G273" s="282"/>
      <c r="H273" s="282">
        <v>18421</v>
      </c>
      <c r="I273" s="282">
        <v>23819</v>
      </c>
      <c r="J273" s="282">
        <v>25283</v>
      </c>
      <c r="K273" s="282">
        <v>25708</v>
      </c>
      <c r="L273" s="282">
        <v>0</v>
      </c>
      <c r="M273" s="282">
        <v>0</v>
      </c>
      <c r="N273" s="282">
        <v>0</v>
      </c>
      <c r="O273" s="286"/>
      <c r="P273" s="283"/>
      <c r="Q273" s="286">
        <f>S273+V273+Y273+AB273+AE273+AH273+AK273+AN273+AQ273+AT273+AW273+AZ273+BC273+BF273+BI273+BL273+BO273+BR273+BU273+BX273+CA273+CD273+CG273+CJ273</f>
        <v>25708</v>
      </c>
      <c r="R273" s="286">
        <f>T273+W273+Z273+AC273+AF273+AI273+AL273+AO273+AR273+AU273+AX273+BA273+BD273+BG273+BJ273+BM273+BP273+BS273+BV273+BY273+CB273+CE273+CH273+CK273</f>
        <v>27294</v>
      </c>
      <c r="S273" s="286">
        <v>0</v>
      </c>
      <c r="T273" s="286">
        <v>25</v>
      </c>
      <c r="U273" s="286"/>
      <c r="V273" s="286">
        <v>0</v>
      </c>
      <c r="W273" s="286">
        <v>0</v>
      </c>
      <c r="X273" s="286"/>
      <c r="Y273" s="286">
        <v>0</v>
      </c>
      <c r="Z273" s="286">
        <v>124</v>
      </c>
      <c r="AA273" s="286"/>
      <c r="AB273" s="286">
        <v>83</v>
      </c>
      <c r="AC273" s="286">
        <v>169</v>
      </c>
      <c r="AD273" s="286"/>
      <c r="AE273" s="286">
        <v>471</v>
      </c>
      <c r="AF273" s="286">
        <v>534</v>
      </c>
      <c r="AG273" s="286"/>
      <c r="AH273" s="286">
        <v>0</v>
      </c>
      <c r="AI273" s="286">
        <v>0</v>
      </c>
      <c r="AJ273" s="286"/>
      <c r="AK273" s="286">
        <v>1164</v>
      </c>
      <c r="AL273" s="286">
        <v>1478</v>
      </c>
      <c r="AM273" s="286"/>
      <c r="AN273" s="286">
        <v>244</v>
      </c>
      <c r="AO273" s="286">
        <v>247</v>
      </c>
      <c r="AP273" s="286"/>
      <c r="AQ273" s="286">
        <v>0</v>
      </c>
      <c r="AR273" s="286">
        <v>0</v>
      </c>
      <c r="AS273" s="286"/>
      <c r="AT273" s="286">
        <v>968</v>
      </c>
      <c r="AU273" s="286">
        <v>1073</v>
      </c>
      <c r="AV273" s="286"/>
      <c r="AW273" s="286">
        <v>854</v>
      </c>
      <c r="AX273" s="286">
        <v>1055</v>
      </c>
      <c r="AY273" s="286"/>
      <c r="AZ273" s="286">
        <v>1060</v>
      </c>
      <c r="BA273" s="286">
        <v>1046</v>
      </c>
      <c r="BB273" s="286"/>
      <c r="BC273" s="286">
        <v>759</v>
      </c>
      <c r="BD273" s="286">
        <v>855</v>
      </c>
      <c r="BE273" s="286"/>
      <c r="BF273" s="286">
        <v>6466</v>
      </c>
      <c r="BG273" s="286">
        <v>6738</v>
      </c>
      <c r="BH273" s="286"/>
      <c r="BI273" s="286">
        <v>10156</v>
      </c>
      <c r="BJ273" s="286">
        <v>10546</v>
      </c>
      <c r="BK273" s="286"/>
      <c r="BL273" s="286">
        <v>0</v>
      </c>
      <c r="BM273" s="286">
        <v>0</v>
      </c>
      <c r="BN273" s="286"/>
      <c r="BO273" s="286">
        <v>1267</v>
      </c>
      <c r="BP273" s="286">
        <v>1306</v>
      </c>
      <c r="BQ273" s="286"/>
      <c r="BR273" s="286">
        <v>516</v>
      </c>
      <c r="BS273" s="286">
        <v>529</v>
      </c>
      <c r="BT273" s="286"/>
      <c r="BU273" s="286">
        <v>363</v>
      </c>
      <c r="BV273" s="286">
        <v>532</v>
      </c>
      <c r="BW273" s="286"/>
      <c r="BX273" s="286">
        <v>0</v>
      </c>
      <c r="BY273" s="286">
        <v>0</v>
      </c>
      <c r="BZ273" s="286"/>
      <c r="CA273" s="286">
        <v>311</v>
      </c>
      <c r="CB273" s="286">
        <v>55</v>
      </c>
      <c r="CC273" s="286"/>
      <c r="CD273" s="286">
        <v>690</v>
      </c>
      <c r="CE273" s="286">
        <v>635</v>
      </c>
      <c r="CF273" s="286"/>
      <c r="CG273" s="286">
        <v>151</v>
      </c>
      <c r="CH273" s="286">
        <v>147</v>
      </c>
      <c r="CI273" s="286"/>
      <c r="CJ273" s="286">
        <v>185</v>
      </c>
      <c r="CK273" s="286">
        <v>200</v>
      </c>
    </row>
    <row r="274" spans="1:89" ht="45" x14ac:dyDescent="0.25">
      <c r="A274" s="107"/>
      <c r="B274" s="95"/>
      <c r="C274" s="95" t="s">
        <v>2387</v>
      </c>
      <c r="D274" s="95"/>
      <c r="E274" s="282"/>
      <c r="F274" s="282"/>
      <c r="G274" s="282"/>
      <c r="H274" s="282">
        <v>50</v>
      </c>
      <c r="I274" s="282">
        <v>0</v>
      </c>
      <c r="J274" s="282">
        <v>19</v>
      </c>
      <c r="K274" s="282">
        <v>14</v>
      </c>
      <c r="L274" s="282">
        <v>0</v>
      </c>
      <c r="M274" s="282">
        <v>0</v>
      </c>
      <c r="N274" s="282">
        <v>0</v>
      </c>
      <c r="P274" s="283"/>
      <c r="Q274" s="286">
        <f>S274+V274+Y274+AB274+AE274+AH274+AK274+AN274+AQ274+AT274+AW274+AZ274+BC274+BF274+BI274+BL274+BO274+BR274+BU274+BX274+CA274+CD274+CG274+CJ274</f>
        <v>14</v>
      </c>
      <c r="R274" s="286">
        <f>T274+W274+Z274+AC274+AF274+AI274+AL274+AO274+AR274+AU274+AX274+BA274+BD274+BG274+BJ274+BM274+BP274+BS274+BV274+BY274+CB274+CE274+CH274+CK274</f>
        <v>69</v>
      </c>
      <c r="S274" s="286">
        <v>0</v>
      </c>
      <c r="T274" s="286">
        <v>0</v>
      </c>
      <c r="U274" s="286"/>
      <c r="V274" s="286">
        <v>0</v>
      </c>
      <c r="W274" s="286">
        <v>0</v>
      </c>
      <c r="X274" s="286"/>
      <c r="Y274" s="286">
        <v>14</v>
      </c>
      <c r="Z274" s="286">
        <v>58</v>
      </c>
      <c r="AA274" s="286"/>
      <c r="AB274" s="286">
        <v>0</v>
      </c>
      <c r="AC274" s="286">
        <v>0</v>
      </c>
      <c r="AD274" s="286"/>
      <c r="AE274" s="286">
        <v>0</v>
      </c>
      <c r="AF274" s="286">
        <v>0</v>
      </c>
      <c r="AG274" s="286"/>
      <c r="AH274" s="286">
        <v>0</v>
      </c>
      <c r="AI274" s="286">
        <v>0</v>
      </c>
      <c r="AJ274" s="286"/>
      <c r="AK274" s="286">
        <v>0</v>
      </c>
      <c r="AL274" s="286">
        <v>11</v>
      </c>
      <c r="AM274" s="286"/>
      <c r="AN274" s="286">
        <v>0</v>
      </c>
      <c r="AO274" s="286">
        <v>0</v>
      </c>
      <c r="AP274" s="286"/>
      <c r="AQ274" s="286">
        <v>0</v>
      </c>
      <c r="AR274" s="286">
        <v>0</v>
      </c>
      <c r="AS274" s="286"/>
      <c r="AT274" s="286">
        <v>0</v>
      </c>
      <c r="AU274" s="286">
        <v>0</v>
      </c>
      <c r="AV274" s="286"/>
      <c r="AW274" s="286">
        <v>0</v>
      </c>
      <c r="AX274" s="286">
        <v>0</v>
      </c>
      <c r="AY274" s="286"/>
      <c r="AZ274" s="286">
        <v>0</v>
      </c>
      <c r="BA274" s="286">
        <v>0</v>
      </c>
      <c r="BB274" s="286"/>
      <c r="BC274" s="286">
        <v>0</v>
      </c>
      <c r="BD274" s="286">
        <v>0</v>
      </c>
      <c r="BE274" s="286"/>
      <c r="BF274" s="286">
        <v>0</v>
      </c>
      <c r="BG274" s="286">
        <v>0</v>
      </c>
      <c r="BH274" s="286"/>
      <c r="BI274" s="286">
        <v>0</v>
      </c>
      <c r="BJ274" s="286">
        <v>0</v>
      </c>
      <c r="BK274" s="286"/>
      <c r="BL274" s="286">
        <v>0</v>
      </c>
      <c r="BM274" s="286">
        <v>0</v>
      </c>
      <c r="BN274" s="286"/>
      <c r="BO274" s="286">
        <v>0</v>
      </c>
      <c r="BP274" s="286">
        <v>0</v>
      </c>
      <c r="BQ274" s="286"/>
      <c r="BR274" s="286">
        <v>0</v>
      </c>
      <c r="BS274" s="286">
        <v>0</v>
      </c>
      <c r="BT274" s="286"/>
      <c r="BU274" s="286">
        <v>0</v>
      </c>
      <c r="BV274" s="286">
        <v>0</v>
      </c>
      <c r="BW274" s="286"/>
      <c r="BX274" s="286">
        <v>0</v>
      </c>
      <c r="BY274" s="286">
        <v>0</v>
      </c>
      <c r="BZ274" s="286"/>
      <c r="CA274" s="286">
        <v>0</v>
      </c>
      <c r="CB274" s="286">
        <v>0</v>
      </c>
      <c r="CC274" s="286"/>
      <c r="CD274" s="286">
        <v>0</v>
      </c>
      <c r="CE274" s="286">
        <v>0</v>
      </c>
      <c r="CF274" s="286"/>
      <c r="CG274" s="286">
        <v>0</v>
      </c>
      <c r="CH274" s="286">
        <v>0</v>
      </c>
      <c r="CI274" s="286"/>
      <c r="CJ274" s="286">
        <v>0</v>
      </c>
      <c r="CK274" s="286">
        <v>0</v>
      </c>
    </row>
    <row r="275" spans="1:89" ht="75" x14ac:dyDescent="0.25">
      <c r="A275" s="107"/>
      <c r="B275" s="16" t="s">
        <v>154</v>
      </c>
      <c r="C275" s="95" t="s">
        <v>1189</v>
      </c>
      <c r="D275" s="95" t="s">
        <v>950</v>
      </c>
      <c r="E275" s="282">
        <v>176250</v>
      </c>
      <c r="F275" s="282">
        <v>189010</v>
      </c>
      <c r="G275" s="282">
        <v>193980</v>
      </c>
      <c r="H275" s="282">
        <f>H276+H277</f>
        <v>197237</v>
      </c>
      <c r="I275" s="282">
        <f>I276+I277</f>
        <v>205517</v>
      </c>
      <c r="J275" s="282">
        <f>J276+J277</f>
        <v>211533</v>
      </c>
      <c r="K275" s="282">
        <f>K276+K277</f>
        <v>217731</v>
      </c>
      <c r="L275" s="282">
        <f>L276+L277</f>
        <v>0</v>
      </c>
      <c r="M275" s="282">
        <f t="shared" ref="M275:N275" si="497">M276+M277</f>
        <v>0</v>
      </c>
      <c r="N275" s="282">
        <f t="shared" si="497"/>
        <v>0</v>
      </c>
      <c r="P275" s="286"/>
      <c r="Q275" s="282">
        <f>Q276+Q277</f>
        <v>217731</v>
      </c>
      <c r="R275" s="282">
        <f>R276+R277</f>
        <v>222391</v>
      </c>
      <c r="S275" s="282">
        <f>S276+S277</f>
        <v>3896</v>
      </c>
      <c r="T275" s="282">
        <f>T276+T277</f>
        <v>4010</v>
      </c>
      <c r="U275" s="286"/>
      <c r="V275" s="282">
        <f>V276+V277</f>
        <v>3576</v>
      </c>
      <c r="W275" s="282">
        <f>W276+W277</f>
        <v>3564</v>
      </c>
      <c r="X275" s="286"/>
      <c r="Y275" s="282">
        <f>Y276+Y277</f>
        <v>4418</v>
      </c>
      <c r="Z275" s="282">
        <f>Z276+Z277</f>
        <v>4344</v>
      </c>
      <c r="AA275" s="286"/>
      <c r="AB275" s="282">
        <f>AB276+AB277</f>
        <v>5122</v>
      </c>
      <c r="AC275" s="282">
        <f>AC276+AC277</f>
        <v>5114</v>
      </c>
      <c r="AD275" s="286"/>
      <c r="AE275" s="282">
        <f>AE276+AE277</f>
        <v>3802</v>
      </c>
      <c r="AF275" s="282">
        <f>AF276+AF277</f>
        <v>3776</v>
      </c>
      <c r="AG275" s="286"/>
      <c r="AH275" s="282">
        <f>AH276+AH277</f>
        <v>4482</v>
      </c>
      <c r="AI275" s="282">
        <f>AI276+AI277</f>
        <v>4455</v>
      </c>
      <c r="AJ275" s="286"/>
      <c r="AK275" s="282">
        <f>AK276+AK277</f>
        <v>6106</v>
      </c>
      <c r="AL275" s="282">
        <f>AL276+AL277</f>
        <v>6183</v>
      </c>
      <c r="AM275" s="286"/>
      <c r="AN275" s="282">
        <f>AN276+AN277</f>
        <v>17240</v>
      </c>
      <c r="AO275" s="282">
        <f>AO276+AO277</f>
        <v>17295</v>
      </c>
      <c r="AP275" s="286"/>
      <c r="AQ275" s="282">
        <f>AQ276+AQ277</f>
        <v>2144</v>
      </c>
      <c r="AR275" s="282">
        <f>AR276+AR277</f>
        <v>2154</v>
      </c>
      <c r="AS275" s="286"/>
      <c r="AT275" s="282">
        <f>AT276+AT277</f>
        <v>13890</v>
      </c>
      <c r="AU275" s="282">
        <f>AU276+AU277</f>
        <v>14407</v>
      </c>
      <c r="AV275" s="286"/>
      <c r="AW275" s="282">
        <f>AW276+AW277</f>
        <v>5196</v>
      </c>
      <c r="AX275" s="282">
        <f>AX276+AX277</f>
        <v>5281</v>
      </c>
      <c r="AY275" s="286"/>
      <c r="AZ275" s="282">
        <f>AZ276+AZ277</f>
        <v>7300</v>
      </c>
      <c r="BA275" s="282">
        <f>BA276+BA277</f>
        <v>7246</v>
      </c>
      <c r="BB275" s="286"/>
      <c r="BC275" s="282">
        <f>BC276+BC277</f>
        <v>14385</v>
      </c>
      <c r="BD275" s="282">
        <f>BD276+BD277</f>
        <v>14670</v>
      </c>
      <c r="BE275" s="286"/>
      <c r="BF275" s="282">
        <f>BF276+BF277</f>
        <v>34149</v>
      </c>
      <c r="BG275" s="282">
        <f>BG276+BG277</f>
        <v>35098</v>
      </c>
      <c r="BH275" s="286"/>
      <c r="BI275" s="282">
        <f>BI276+BI277</f>
        <v>50739</v>
      </c>
      <c r="BJ275" s="282">
        <f>BJ276+BJ277</f>
        <v>53093</v>
      </c>
      <c r="BK275" s="286"/>
      <c r="BL275" s="282">
        <f>BL276+BL277</f>
        <v>5617</v>
      </c>
      <c r="BM275" s="282">
        <f>BM276+BM277</f>
        <v>5590</v>
      </c>
      <c r="BN275" s="286"/>
      <c r="BO275" s="282">
        <f>BO276+BO277</f>
        <v>5276</v>
      </c>
      <c r="BP275" s="282">
        <f>BP276+BP277</f>
        <v>5300</v>
      </c>
      <c r="BQ275" s="286"/>
      <c r="BR275" s="282">
        <f>BR276+BR277</f>
        <v>8021</v>
      </c>
      <c r="BS275" s="282">
        <f>BS276+BS277</f>
        <v>8109</v>
      </c>
      <c r="BT275" s="286"/>
      <c r="BU275" s="282">
        <f>BU276+BU277</f>
        <v>7972</v>
      </c>
      <c r="BV275" s="282">
        <f>BV276+BV277</f>
        <v>8054</v>
      </c>
      <c r="BW275" s="286"/>
      <c r="BX275" s="282">
        <f>BX276+BX277</f>
        <v>2132</v>
      </c>
      <c r="BY275" s="282">
        <f>BY276+BY277</f>
        <v>2198</v>
      </c>
      <c r="BZ275" s="286"/>
      <c r="CA275" s="282">
        <f>CA276+CA277</f>
        <v>5700</v>
      </c>
      <c r="CB275" s="282">
        <f>CB276+CB277</f>
        <v>5824</v>
      </c>
      <c r="CC275" s="286"/>
      <c r="CD275" s="282">
        <f>CD276+CD277</f>
        <v>5310</v>
      </c>
      <c r="CE275" s="282">
        <f>CE276+CE277</f>
        <v>5416</v>
      </c>
      <c r="CF275" s="286"/>
      <c r="CG275" s="282">
        <f>CG276+CG277</f>
        <v>592</v>
      </c>
      <c r="CH275" s="282">
        <f>CH276+CH277</f>
        <v>540</v>
      </c>
      <c r="CI275" s="286"/>
      <c r="CJ275" s="282">
        <f>CJ276+CJ277</f>
        <v>666</v>
      </c>
      <c r="CK275" s="282">
        <f>CK276+CK277</f>
        <v>670</v>
      </c>
    </row>
    <row r="276" spans="1:89" ht="45" x14ac:dyDescent="0.25">
      <c r="A276" s="107"/>
      <c r="B276" s="95"/>
      <c r="C276" s="95" t="s">
        <v>1494</v>
      </c>
      <c r="D276" s="95"/>
      <c r="E276" s="282"/>
      <c r="F276" s="282"/>
      <c r="G276" s="282"/>
      <c r="H276" s="282">
        <v>180423</v>
      </c>
      <c r="I276" s="282">
        <v>188385</v>
      </c>
      <c r="J276" s="282">
        <f>J34</f>
        <v>194245</v>
      </c>
      <c r="K276" s="282">
        <f>K34</f>
        <v>200448</v>
      </c>
      <c r="L276" s="282">
        <v>0</v>
      </c>
      <c r="M276" s="282">
        <v>0</v>
      </c>
      <c r="N276" s="282">
        <v>0</v>
      </c>
      <c r="O276" s="286"/>
      <c r="P276" s="286"/>
      <c r="Q276" s="286">
        <f>S276+V276+Y276+AB276+AE276+AH276+AK276+AN276+AQ276+AT276+AW276+AZ276+BC276+BF276+BI276+BL276+BO276+BR276+BU276+BX276+CA276+CD276+CG276+CJ276</f>
        <v>200448</v>
      </c>
      <c r="R276" s="286">
        <f>T276+W276+Z276+AC276+AF276+AI276+AL276+AO276+AR276+AU276+AX276+BA276+BD276+BG276+BJ276+BM276+BP276+BS276+BV276+BY276+CB276+CE276+CH276+CK276</f>
        <v>205259</v>
      </c>
      <c r="S276" s="286">
        <f>S34</f>
        <v>2631</v>
      </c>
      <c r="T276" s="286">
        <f>T34</f>
        <v>2748</v>
      </c>
      <c r="U276" s="286"/>
      <c r="V276" s="286">
        <f>V34</f>
        <v>2154</v>
      </c>
      <c r="W276" s="286">
        <f>W34</f>
        <v>2124</v>
      </c>
      <c r="X276" s="286"/>
      <c r="Y276" s="286">
        <f>Y34</f>
        <v>2960</v>
      </c>
      <c r="Z276" s="286">
        <f>Z34</f>
        <v>2929</v>
      </c>
      <c r="AA276" s="286"/>
      <c r="AB276" s="286">
        <f>AB34</f>
        <v>2910</v>
      </c>
      <c r="AC276" s="286">
        <f>AC34</f>
        <v>2938</v>
      </c>
      <c r="AD276" s="286"/>
      <c r="AE276" s="286">
        <f>AE34</f>
        <v>2824</v>
      </c>
      <c r="AF276" s="286">
        <f>AF34</f>
        <v>2877</v>
      </c>
      <c r="AG276" s="286"/>
      <c r="AH276" s="286">
        <f>AH34</f>
        <v>2503</v>
      </c>
      <c r="AI276" s="286">
        <f>AI34</f>
        <v>2485</v>
      </c>
      <c r="AJ276" s="286"/>
      <c r="AK276" s="286">
        <f>AK34</f>
        <v>5816</v>
      </c>
      <c r="AL276" s="286">
        <f>AL34</f>
        <v>5895</v>
      </c>
      <c r="AM276" s="286"/>
      <c r="AN276" s="286">
        <f>AN34</f>
        <v>11819</v>
      </c>
      <c r="AO276" s="286">
        <f>AO34</f>
        <v>11889</v>
      </c>
      <c r="AP276" s="286"/>
      <c r="AQ276" s="286">
        <f>AQ34</f>
        <v>0</v>
      </c>
      <c r="AR276" s="286">
        <f>AR34</f>
        <v>0</v>
      </c>
      <c r="AS276" s="286"/>
      <c r="AT276" s="286">
        <f>AT34</f>
        <v>13890</v>
      </c>
      <c r="AU276" s="286">
        <f>AU34</f>
        <v>14407</v>
      </c>
      <c r="AV276" s="286"/>
      <c r="AW276" s="286">
        <f>AW34</f>
        <v>5196</v>
      </c>
      <c r="AX276" s="286">
        <f>AX34</f>
        <v>5281</v>
      </c>
      <c r="AY276" s="286"/>
      <c r="AZ276" s="286">
        <f>AZ34</f>
        <v>7300</v>
      </c>
      <c r="BA276" s="286">
        <f>BA34</f>
        <v>7246</v>
      </c>
      <c r="BB276" s="286"/>
      <c r="BC276" s="286">
        <f>BC34</f>
        <v>14385</v>
      </c>
      <c r="BD276" s="286">
        <f>BD34</f>
        <v>14670</v>
      </c>
      <c r="BE276" s="286"/>
      <c r="BF276" s="286">
        <f>BF34</f>
        <v>34149</v>
      </c>
      <c r="BG276" s="286">
        <f>BG34</f>
        <v>35098</v>
      </c>
      <c r="BH276" s="286"/>
      <c r="BI276" s="286">
        <f>BI34</f>
        <v>50739</v>
      </c>
      <c r="BJ276" s="286">
        <f>BJ34</f>
        <v>53093</v>
      </c>
      <c r="BK276" s="286"/>
      <c r="BL276" s="286">
        <f>BL34</f>
        <v>5617</v>
      </c>
      <c r="BM276" s="286">
        <f>BM34</f>
        <v>5590</v>
      </c>
      <c r="BN276" s="286"/>
      <c r="BO276" s="286">
        <f>BO34</f>
        <v>5276</v>
      </c>
      <c r="BP276" s="286">
        <f>BP34</f>
        <v>5300</v>
      </c>
      <c r="BQ276" s="286"/>
      <c r="BR276" s="286">
        <f>BR34</f>
        <v>8021</v>
      </c>
      <c r="BS276" s="286">
        <f>BS34</f>
        <v>8109</v>
      </c>
      <c r="BT276" s="286"/>
      <c r="BU276" s="286">
        <f>BU34</f>
        <v>7972</v>
      </c>
      <c r="BV276" s="286">
        <f>BV34</f>
        <v>8054</v>
      </c>
      <c r="BW276" s="286"/>
      <c r="BX276" s="286">
        <f>BX34</f>
        <v>2132</v>
      </c>
      <c r="BY276" s="286">
        <f>BY34</f>
        <v>2198</v>
      </c>
      <c r="BZ276" s="286"/>
      <c r="CA276" s="286">
        <f>CA34</f>
        <v>5700</v>
      </c>
      <c r="CB276" s="286">
        <f>CB34</f>
        <v>5824</v>
      </c>
      <c r="CC276" s="286"/>
      <c r="CD276" s="286">
        <f>CD34</f>
        <v>5310</v>
      </c>
      <c r="CE276" s="286">
        <f>CE34</f>
        <v>5416</v>
      </c>
      <c r="CF276" s="286"/>
      <c r="CG276" s="286">
        <f>CG34</f>
        <v>478</v>
      </c>
      <c r="CH276" s="286">
        <f>CH34</f>
        <v>418</v>
      </c>
      <c r="CI276" s="286"/>
      <c r="CJ276" s="286">
        <f>CJ34</f>
        <v>666</v>
      </c>
      <c r="CK276" s="286">
        <f>CK34</f>
        <v>670</v>
      </c>
    </row>
    <row r="277" spans="1:89" ht="45" x14ac:dyDescent="0.25">
      <c r="A277" s="107"/>
      <c r="B277" s="95"/>
      <c r="C277" s="95" t="s">
        <v>1494</v>
      </c>
      <c r="D277" s="95"/>
      <c r="E277" s="282"/>
      <c r="F277" s="282"/>
      <c r="G277" s="282"/>
      <c r="H277" s="282">
        <v>16814</v>
      </c>
      <c r="I277" s="282">
        <v>17132</v>
      </c>
      <c r="J277" s="282">
        <f>J38</f>
        <v>17288</v>
      </c>
      <c r="K277" s="282">
        <f>K38</f>
        <v>17283</v>
      </c>
      <c r="L277" s="282">
        <v>0</v>
      </c>
      <c r="M277" s="282">
        <v>0</v>
      </c>
      <c r="N277" s="282">
        <v>0</v>
      </c>
      <c r="P277" s="286"/>
      <c r="Q277" s="286">
        <f>S277+V277+Y277+AB277+AE277+AH277+AK277+AN277+AQ277+AT277+AW277+AZ277+BC277+BF277+BI277+BL277+BO277+BR277+BU277+BX277+CA277+CD277+CG277+CJ277</f>
        <v>17283</v>
      </c>
      <c r="R277" s="286">
        <f>T277+W277+Z277+AC277+AF277+AI277+AL277+AO277+AR277+AU277+AX277+BA277+BD277+BG277+BJ277+BM277+BP277+BS277+BV277+BY277+CB277+CE277+CH277+CK277</f>
        <v>17132</v>
      </c>
      <c r="S277" s="286">
        <f>S38</f>
        <v>1265</v>
      </c>
      <c r="T277" s="286">
        <f>T38</f>
        <v>1262</v>
      </c>
      <c r="U277" s="286"/>
      <c r="V277" s="286">
        <f>V38</f>
        <v>1422</v>
      </c>
      <c r="W277" s="286">
        <f>W38</f>
        <v>1440</v>
      </c>
      <c r="X277" s="286"/>
      <c r="Y277" s="286">
        <f>Y38</f>
        <v>1458</v>
      </c>
      <c r="Z277" s="286">
        <f>Z38</f>
        <v>1415</v>
      </c>
      <c r="AA277" s="286"/>
      <c r="AB277" s="286">
        <f>AB38</f>
        <v>2212</v>
      </c>
      <c r="AC277" s="286">
        <f>AC38</f>
        <v>2176</v>
      </c>
      <c r="AD277" s="286"/>
      <c r="AE277" s="286">
        <f>AE38</f>
        <v>978</v>
      </c>
      <c r="AF277" s="286">
        <f>AF38</f>
        <v>899</v>
      </c>
      <c r="AG277" s="286"/>
      <c r="AH277" s="286">
        <f>AH38</f>
        <v>1979</v>
      </c>
      <c r="AI277" s="286">
        <f>AI38</f>
        <v>1970</v>
      </c>
      <c r="AJ277" s="286"/>
      <c r="AK277" s="286">
        <f>AK38</f>
        <v>290</v>
      </c>
      <c r="AL277" s="286">
        <f>AL38</f>
        <v>288</v>
      </c>
      <c r="AM277" s="286"/>
      <c r="AN277" s="286">
        <f>AN38</f>
        <v>5421</v>
      </c>
      <c r="AO277" s="286">
        <f>AO38</f>
        <v>5406</v>
      </c>
      <c r="AP277" s="286"/>
      <c r="AQ277" s="286">
        <f>AQ38</f>
        <v>2144</v>
      </c>
      <c r="AR277" s="286">
        <f>AR38</f>
        <v>2154</v>
      </c>
      <c r="AS277" s="286"/>
      <c r="AT277" s="286">
        <f>AT38</f>
        <v>0</v>
      </c>
      <c r="AU277" s="286">
        <f>AU38</f>
        <v>0</v>
      </c>
      <c r="AV277" s="286"/>
      <c r="AW277" s="286">
        <f>AW38</f>
        <v>0</v>
      </c>
      <c r="AX277" s="286">
        <f>AX38</f>
        <v>0</v>
      </c>
      <c r="AY277" s="286"/>
      <c r="AZ277" s="286">
        <f>AZ38</f>
        <v>0</v>
      </c>
      <c r="BA277" s="286">
        <f>BA38</f>
        <v>0</v>
      </c>
      <c r="BB277" s="286"/>
      <c r="BC277" s="286">
        <f>BC38</f>
        <v>0</v>
      </c>
      <c r="BD277" s="286">
        <f>BD38</f>
        <v>0</v>
      </c>
      <c r="BE277" s="286"/>
      <c r="BF277" s="286">
        <f>BF38</f>
        <v>0</v>
      </c>
      <c r="BG277" s="286">
        <f>BG38</f>
        <v>0</v>
      </c>
      <c r="BH277" s="286"/>
      <c r="BI277" s="286">
        <f>BI38</f>
        <v>0</v>
      </c>
      <c r="BJ277" s="286">
        <f>BJ38</f>
        <v>0</v>
      </c>
      <c r="BK277" s="286"/>
      <c r="BL277" s="286">
        <f>BL38</f>
        <v>0</v>
      </c>
      <c r="BM277" s="286">
        <f>BM38</f>
        <v>0</v>
      </c>
      <c r="BN277" s="286"/>
      <c r="BO277" s="286">
        <f>BO38</f>
        <v>0</v>
      </c>
      <c r="BP277" s="286">
        <f>BP38</f>
        <v>0</v>
      </c>
      <c r="BQ277" s="286"/>
      <c r="BR277" s="286">
        <f>BR38</f>
        <v>0</v>
      </c>
      <c r="BS277" s="286">
        <f>BS38</f>
        <v>0</v>
      </c>
      <c r="BT277" s="286"/>
      <c r="BU277" s="286">
        <f>BU38</f>
        <v>0</v>
      </c>
      <c r="BV277" s="286">
        <f>BV38</f>
        <v>0</v>
      </c>
      <c r="BW277" s="286"/>
      <c r="BX277" s="286">
        <f>BX38</f>
        <v>0</v>
      </c>
      <c r="BY277" s="286">
        <f>BY38</f>
        <v>0</v>
      </c>
      <c r="BZ277" s="286"/>
      <c r="CA277" s="286">
        <f>CA38</f>
        <v>0</v>
      </c>
      <c r="CB277" s="286">
        <f>CB38</f>
        <v>0</v>
      </c>
      <c r="CC277" s="286"/>
      <c r="CD277" s="286">
        <f>CD38</f>
        <v>0</v>
      </c>
      <c r="CE277" s="286">
        <f>CE38</f>
        <v>0</v>
      </c>
      <c r="CF277" s="286"/>
      <c r="CG277" s="286">
        <f>CG38</f>
        <v>114</v>
      </c>
      <c r="CH277" s="286">
        <f>CH38</f>
        <v>122</v>
      </c>
      <c r="CI277" s="286"/>
      <c r="CJ277" s="286">
        <f>CJ38</f>
        <v>0</v>
      </c>
      <c r="CK277" s="286">
        <f>CK38</f>
        <v>0</v>
      </c>
    </row>
    <row r="278" spans="1:89" ht="90" x14ac:dyDescent="0.25">
      <c r="A278" s="107"/>
      <c r="B278" s="16" t="s">
        <v>153</v>
      </c>
      <c r="C278" s="95" t="s">
        <v>1186</v>
      </c>
      <c r="D278" s="95" t="s">
        <v>950</v>
      </c>
      <c r="E278" s="282">
        <f>106+629</f>
        <v>735</v>
      </c>
      <c r="F278" s="282">
        <v>643</v>
      </c>
      <c r="G278" s="282">
        <v>793</v>
      </c>
      <c r="H278" s="282">
        <f>H279+H280</f>
        <v>467</v>
      </c>
      <c r="I278" s="282">
        <f>I279+I280</f>
        <v>622</v>
      </c>
      <c r="J278" s="282">
        <f>J279+J280</f>
        <v>881</v>
      </c>
      <c r="K278" s="282">
        <f>K279+K280</f>
        <v>876</v>
      </c>
      <c r="L278" s="282">
        <f>L279+L280</f>
        <v>0</v>
      </c>
      <c r="M278" s="282">
        <f t="shared" ref="M278:N278" si="498">M279+M280</f>
        <v>0</v>
      </c>
      <c r="N278" s="282">
        <f t="shared" si="498"/>
        <v>0</v>
      </c>
      <c r="Q278" s="282">
        <f>Q279+Q280</f>
        <v>876</v>
      </c>
      <c r="R278" s="282">
        <f>R279+R280</f>
        <v>862</v>
      </c>
      <c r="S278" s="282">
        <f>S279+S280</f>
        <v>0</v>
      </c>
      <c r="T278" s="282">
        <f>T279+T280</f>
        <v>0</v>
      </c>
      <c r="V278" s="282">
        <f>V279+V280</f>
        <v>0</v>
      </c>
      <c r="W278" s="282">
        <f>W279+W280</f>
        <v>0</v>
      </c>
      <c r="Y278" s="282">
        <f>Y279+Y280</f>
        <v>0</v>
      </c>
      <c r="Z278" s="282">
        <f>Z279+Z280</f>
        <v>0</v>
      </c>
      <c r="AB278" s="282">
        <f>AB279+AB280</f>
        <v>0</v>
      </c>
      <c r="AC278" s="282">
        <f>AC279+AC280</f>
        <v>0</v>
      </c>
      <c r="AE278" s="282">
        <f>AE279+AE280</f>
        <v>0</v>
      </c>
      <c r="AF278" s="282">
        <f>AF279+AF280</f>
        <v>0</v>
      </c>
      <c r="AH278" s="282">
        <f>AH279+AH280</f>
        <v>0</v>
      </c>
      <c r="AI278" s="282">
        <f>AI279+AI280</f>
        <v>0</v>
      </c>
      <c r="AK278" s="282">
        <f>AK279+AK280</f>
        <v>0</v>
      </c>
      <c r="AL278" s="282">
        <f>AL279+AL280</f>
        <v>0</v>
      </c>
      <c r="AN278" s="282">
        <f>AN279+AN280</f>
        <v>0</v>
      </c>
      <c r="AO278" s="282">
        <f>AO279+AO280</f>
        <v>0</v>
      </c>
      <c r="AQ278" s="282">
        <f>AQ279+AQ280</f>
        <v>0</v>
      </c>
      <c r="AR278" s="282">
        <f>AR279+AR280</f>
        <v>0</v>
      </c>
      <c r="AT278" s="282">
        <f>AT279+AT280</f>
        <v>0</v>
      </c>
      <c r="AU278" s="282">
        <f>AU279+AU280</f>
        <v>0</v>
      </c>
      <c r="AW278" s="282">
        <f>AW279+AW280</f>
        <v>0</v>
      </c>
      <c r="AX278" s="282">
        <f>AX279+AX280</f>
        <v>0</v>
      </c>
      <c r="AZ278" s="282">
        <f>AZ279+AZ280</f>
        <v>0</v>
      </c>
      <c r="BA278" s="282">
        <f>BA279+BA280</f>
        <v>0</v>
      </c>
      <c r="BC278" s="282">
        <f>BC279+BC280</f>
        <v>187</v>
      </c>
      <c r="BD278" s="282">
        <f>BD279+BD280</f>
        <v>188</v>
      </c>
      <c r="BF278" s="282">
        <f>BF279+BF280</f>
        <v>191</v>
      </c>
      <c r="BG278" s="282">
        <f>BG279+BG280</f>
        <v>181</v>
      </c>
      <c r="BI278" s="282">
        <f>BI279+BI280</f>
        <v>436</v>
      </c>
      <c r="BJ278" s="282">
        <f>BJ279+BJ280</f>
        <v>424</v>
      </c>
      <c r="BL278" s="282">
        <f>BL279+BL280</f>
        <v>0</v>
      </c>
      <c r="BM278" s="282">
        <f>BM279+BM280</f>
        <v>0</v>
      </c>
      <c r="BO278" s="282">
        <f>BO279+BO280</f>
        <v>0</v>
      </c>
      <c r="BP278" s="282">
        <f>BP279+BP280</f>
        <v>0</v>
      </c>
      <c r="BR278" s="282">
        <f>BR279+BR280</f>
        <v>0</v>
      </c>
      <c r="BS278" s="282">
        <f>BS279+BS280</f>
        <v>0</v>
      </c>
      <c r="BU278" s="282">
        <f>BU279+BU280</f>
        <v>0</v>
      </c>
      <c r="BV278" s="282">
        <f>BV279+BV280</f>
        <v>0</v>
      </c>
      <c r="BX278" s="282">
        <f>BX279+BX280</f>
        <v>0</v>
      </c>
      <c r="BY278" s="282">
        <f>BY279+BY280</f>
        <v>0</v>
      </c>
      <c r="CA278" s="282">
        <f>CA279+CA280</f>
        <v>0</v>
      </c>
      <c r="CB278" s="282">
        <f>CB279+CB280</f>
        <v>0</v>
      </c>
      <c r="CD278" s="282">
        <f>CD279+CD280</f>
        <v>62</v>
      </c>
      <c r="CE278" s="282">
        <f>CE279+CE280</f>
        <v>69</v>
      </c>
      <c r="CG278" s="282">
        <f>CG279+CG280</f>
        <v>0</v>
      </c>
      <c r="CH278" s="282">
        <f>CH279+CH280</f>
        <v>0</v>
      </c>
      <c r="CJ278" s="282">
        <f>CJ279+CJ280</f>
        <v>0</v>
      </c>
      <c r="CK278" s="282">
        <f>CK279+CK280</f>
        <v>0</v>
      </c>
    </row>
    <row r="279" spans="1:89" ht="45" x14ac:dyDescent="0.25">
      <c r="A279" s="107"/>
      <c r="B279" s="95"/>
      <c r="C279" s="95" t="s">
        <v>2387</v>
      </c>
      <c r="D279" s="95"/>
      <c r="E279" s="282"/>
      <c r="F279" s="282"/>
      <c r="G279" s="282"/>
      <c r="H279" s="282">
        <v>467</v>
      </c>
      <c r="I279" s="282">
        <v>622</v>
      </c>
      <c r="J279" s="282">
        <v>881</v>
      </c>
      <c r="K279" s="282">
        <v>876</v>
      </c>
      <c r="L279" s="282">
        <v>0</v>
      </c>
      <c r="M279" s="282">
        <v>0</v>
      </c>
      <c r="N279" s="282">
        <v>0</v>
      </c>
      <c r="Q279" s="283">
        <f>S279+V279+Y279+AB279+AE279+AH279+AK279+AN279+AQ279+AT279+AW279+AZ279+BC279+BF279+BI279+BL279+BO279+BR279+BU279+BX279+CA279+CD279+CG279+CJ279</f>
        <v>876</v>
      </c>
      <c r="R279" s="283">
        <f>T279+W279+Z279+AC279+AF279+AI279+AL279+AO279+AR279+AU279+AX279+BA279+BD279+BG279+BJ279+BM279+BP279+BS279+BV279+BY279+CB279+CE279+CH279+CK279</f>
        <v>862</v>
      </c>
      <c r="S279" s="267">
        <v>0</v>
      </c>
      <c r="T279" s="267">
        <v>0</v>
      </c>
      <c r="V279" s="267">
        <v>0</v>
      </c>
      <c r="W279" s="267">
        <v>0</v>
      </c>
      <c r="Y279" s="267">
        <v>0</v>
      </c>
      <c r="Z279" s="267">
        <v>0</v>
      </c>
      <c r="AB279" s="267">
        <v>0</v>
      </c>
      <c r="AC279" s="267">
        <v>0</v>
      </c>
      <c r="AE279" s="267">
        <v>0</v>
      </c>
      <c r="AF279" s="267">
        <v>0</v>
      </c>
      <c r="AH279" s="267">
        <v>0</v>
      </c>
      <c r="AI279" s="267">
        <v>0</v>
      </c>
      <c r="AK279" s="267">
        <v>0</v>
      </c>
      <c r="AL279" s="267">
        <v>0</v>
      </c>
      <c r="AN279" s="267">
        <v>0</v>
      </c>
      <c r="AO279" s="267">
        <v>0</v>
      </c>
      <c r="AQ279" s="267">
        <v>0</v>
      </c>
      <c r="AR279" s="267">
        <v>0</v>
      </c>
      <c r="AT279" s="267">
        <v>0</v>
      </c>
      <c r="AU279" s="267">
        <v>0</v>
      </c>
      <c r="AW279" s="267">
        <v>0</v>
      </c>
      <c r="AX279" s="267">
        <v>0</v>
      </c>
      <c r="AZ279" s="267">
        <v>0</v>
      </c>
      <c r="BA279" s="267">
        <v>0</v>
      </c>
      <c r="BC279" s="267">
        <v>187</v>
      </c>
      <c r="BD279" s="267">
        <v>188</v>
      </c>
      <c r="BF279" s="267">
        <v>191</v>
      </c>
      <c r="BG279" s="267">
        <v>181</v>
      </c>
      <c r="BI279" s="267">
        <v>436</v>
      </c>
      <c r="BJ279" s="267">
        <v>424</v>
      </c>
      <c r="BL279" s="267">
        <v>0</v>
      </c>
      <c r="BM279" s="267">
        <v>0</v>
      </c>
      <c r="BO279" s="267">
        <v>0</v>
      </c>
      <c r="BP279" s="267">
        <v>0</v>
      </c>
      <c r="BR279" s="267">
        <v>0</v>
      </c>
      <c r="BS279" s="267">
        <v>0</v>
      </c>
      <c r="BU279" s="267">
        <v>0</v>
      </c>
      <c r="BV279" s="267">
        <v>0</v>
      </c>
      <c r="BX279" s="267">
        <v>0</v>
      </c>
      <c r="BY279" s="267">
        <v>0</v>
      </c>
      <c r="CA279" s="267">
        <v>0</v>
      </c>
      <c r="CB279" s="267">
        <v>0</v>
      </c>
      <c r="CD279" s="267">
        <v>62</v>
      </c>
      <c r="CE279" s="267">
        <v>69</v>
      </c>
      <c r="CG279" s="267">
        <v>0</v>
      </c>
      <c r="CH279" s="267">
        <v>0</v>
      </c>
      <c r="CJ279" s="267">
        <v>0</v>
      </c>
      <c r="CK279" s="267">
        <v>0</v>
      </c>
    </row>
    <row r="280" spans="1:89" ht="45" x14ac:dyDescent="0.25">
      <c r="A280" s="107"/>
      <c r="B280" s="95"/>
      <c r="C280" s="95" t="s">
        <v>2387</v>
      </c>
      <c r="D280" s="95"/>
      <c r="E280" s="282"/>
      <c r="F280" s="282"/>
      <c r="G280" s="282"/>
      <c r="H280" s="282">
        <v>0</v>
      </c>
      <c r="I280" s="282">
        <v>0</v>
      </c>
      <c r="J280" s="282">
        <v>0</v>
      </c>
      <c r="K280" s="282">
        <v>0</v>
      </c>
      <c r="L280" s="282">
        <v>0</v>
      </c>
      <c r="M280" s="282">
        <v>0</v>
      </c>
      <c r="N280" s="282">
        <v>0</v>
      </c>
      <c r="Q280" s="283">
        <f>S280+V280+Y280+AB280+AE280+AH280+AK280+AN280+AQ280+AT280+AW280+AZ280+BC280+BF280+BI280+BL280+BO280+BR280+BU280+BX280+CA280+CD280+CG280+CJ280</f>
        <v>0</v>
      </c>
      <c r="R280" s="283">
        <f>T280+W280+Z280+AC280+AF280+AI280+AL280+AO280+AR280+AU280+AX280+BA280+BD280+BG280+BJ280+BM280+BP280+BS280+BV280+BY280+CB280+CE280+CH280+CK280</f>
        <v>0</v>
      </c>
      <c r="S280" s="267">
        <v>0</v>
      </c>
      <c r="T280" s="267">
        <v>0</v>
      </c>
      <c r="V280" s="267">
        <v>0</v>
      </c>
      <c r="W280" s="267">
        <v>0</v>
      </c>
      <c r="Y280" s="267">
        <v>0</v>
      </c>
      <c r="Z280" s="267">
        <v>0</v>
      </c>
      <c r="AB280" s="267">
        <v>0</v>
      </c>
      <c r="AC280" s="267">
        <v>0</v>
      </c>
      <c r="AE280" s="267">
        <v>0</v>
      </c>
      <c r="AF280" s="267">
        <v>0</v>
      </c>
      <c r="AH280" s="267">
        <v>0</v>
      </c>
      <c r="AI280" s="267">
        <v>0</v>
      </c>
      <c r="AK280" s="267">
        <v>0</v>
      </c>
      <c r="AL280" s="267">
        <v>0</v>
      </c>
      <c r="AN280" s="267">
        <v>0</v>
      </c>
      <c r="AO280" s="267">
        <v>0</v>
      </c>
      <c r="AQ280" s="267">
        <v>0</v>
      </c>
      <c r="AR280" s="267">
        <v>0</v>
      </c>
      <c r="AT280" s="267">
        <v>0</v>
      </c>
      <c r="AU280" s="267">
        <v>0</v>
      </c>
      <c r="AW280" s="267">
        <v>0</v>
      </c>
      <c r="AX280" s="267">
        <v>0</v>
      </c>
      <c r="AZ280" s="267">
        <v>0</v>
      </c>
      <c r="BA280" s="267">
        <v>0</v>
      </c>
      <c r="BC280" s="267">
        <v>0</v>
      </c>
      <c r="BD280" s="267">
        <v>0</v>
      </c>
      <c r="BF280" s="267">
        <v>0</v>
      </c>
      <c r="BG280" s="267">
        <v>0</v>
      </c>
      <c r="BI280" s="267">
        <v>0</v>
      </c>
      <c r="BJ280" s="267">
        <v>0</v>
      </c>
      <c r="BL280" s="267">
        <v>0</v>
      </c>
      <c r="BM280" s="267">
        <v>0</v>
      </c>
      <c r="BO280" s="267">
        <v>0</v>
      </c>
      <c r="BP280" s="267">
        <v>0</v>
      </c>
      <c r="BR280" s="267">
        <v>0</v>
      </c>
      <c r="BS280" s="267">
        <v>0</v>
      </c>
      <c r="BU280" s="267">
        <v>0</v>
      </c>
      <c r="BV280" s="267">
        <v>0</v>
      </c>
      <c r="BX280" s="267">
        <v>0</v>
      </c>
      <c r="BY280" s="267">
        <v>0</v>
      </c>
      <c r="CA280" s="267">
        <v>0</v>
      </c>
      <c r="CB280" s="267">
        <v>0</v>
      </c>
      <c r="CD280" s="267">
        <v>0</v>
      </c>
      <c r="CE280" s="267">
        <v>0</v>
      </c>
      <c r="CG280" s="267">
        <v>0</v>
      </c>
      <c r="CH280" s="267">
        <v>0</v>
      </c>
      <c r="CJ280" s="267">
        <v>0</v>
      </c>
      <c r="CK280" s="267">
        <v>0</v>
      </c>
    </row>
    <row r="281" spans="1:89" ht="75" x14ac:dyDescent="0.25">
      <c r="A281" s="107"/>
      <c r="B281" s="16" t="s">
        <v>154</v>
      </c>
      <c r="C281" s="95" t="s">
        <v>1187</v>
      </c>
      <c r="D281" s="95" t="s">
        <v>950</v>
      </c>
      <c r="E281" s="282">
        <v>833</v>
      </c>
      <c r="F281" s="282">
        <v>883</v>
      </c>
      <c r="G281" s="282">
        <v>948</v>
      </c>
      <c r="H281" s="282">
        <f>H282+H283</f>
        <v>828</v>
      </c>
      <c r="I281" s="282">
        <f>I282+I283</f>
        <v>898</v>
      </c>
      <c r="J281" s="282">
        <f>J282+J283</f>
        <v>931</v>
      </c>
      <c r="K281" s="282">
        <f>K282+K283</f>
        <v>932</v>
      </c>
      <c r="L281" s="282">
        <f>L282+L283</f>
        <v>0</v>
      </c>
      <c r="M281" s="282">
        <f t="shared" ref="M281:N281" si="499">M282+M283</f>
        <v>0</v>
      </c>
      <c r="N281" s="282">
        <f t="shared" si="499"/>
        <v>0</v>
      </c>
      <c r="Q281" s="282">
        <f>Q282+Q283</f>
        <v>932</v>
      </c>
      <c r="R281" s="282">
        <f>R282+R283</f>
        <v>920</v>
      </c>
      <c r="S281" s="282">
        <f>S282+S283</f>
        <v>0</v>
      </c>
      <c r="T281" s="282">
        <f>T282+T283</f>
        <v>0</v>
      </c>
      <c r="V281" s="282">
        <f>V282+V283</f>
        <v>0</v>
      </c>
      <c r="W281" s="282">
        <f>W282+W283</f>
        <v>0</v>
      </c>
      <c r="Y281" s="282">
        <f>Y282+Y283</f>
        <v>0</v>
      </c>
      <c r="Z281" s="282">
        <f>Z282+Z283</f>
        <v>0</v>
      </c>
      <c r="AB281" s="282">
        <f>AB282+AB283</f>
        <v>0</v>
      </c>
      <c r="AC281" s="282">
        <f>AC282+AC283</f>
        <v>0</v>
      </c>
      <c r="AE281" s="282">
        <f>AE282+AE283</f>
        <v>0</v>
      </c>
      <c r="AF281" s="282">
        <f>AF282+AF283</f>
        <v>0</v>
      </c>
      <c r="AH281" s="282">
        <f>AH282+AH283</f>
        <v>0</v>
      </c>
      <c r="AI281" s="282">
        <f>AI282+AI283</f>
        <v>0</v>
      </c>
      <c r="AK281" s="282">
        <f>AK282+AK283</f>
        <v>0</v>
      </c>
      <c r="AL281" s="282">
        <f>AL282+AL283</f>
        <v>0</v>
      </c>
      <c r="AN281" s="282">
        <f>AN282+AN283</f>
        <v>0</v>
      </c>
      <c r="AO281" s="282">
        <f>AO282+AO283</f>
        <v>0</v>
      </c>
      <c r="AQ281" s="282">
        <f>AQ282+AQ283</f>
        <v>0</v>
      </c>
      <c r="AR281" s="282">
        <f>AR282+AR283</f>
        <v>0</v>
      </c>
      <c r="AT281" s="282">
        <f>AT282+AT283</f>
        <v>0</v>
      </c>
      <c r="AU281" s="282">
        <f>AU282+AU283</f>
        <v>0</v>
      </c>
      <c r="AW281" s="282">
        <f>AW282+AW283</f>
        <v>0</v>
      </c>
      <c r="AX281" s="282">
        <f>AX282+AX283</f>
        <v>0</v>
      </c>
      <c r="AZ281" s="282">
        <f>AZ282+AZ283</f>
        <v>0</v>
      </c>
      <c r="BA281" s="282">
        <f>BA282+BA283</f>
        <v>0</v>
      </c>
      <c r="BC281" s="282">
        <f>BC282+BC283</f>
        <v>187</v>
      </c>
      <c r="BD281" s="282">
        <f>BD282+BD283</f>
        <v>188</v>
      </c>
      <c r="BF281" s="282">
        <f>BF282+BF283</f>
        <v>191</v>
      </c>
      <c r="BG281" s="282">
        <f>BG282+BG283</f>
        <v>181</v>
      </c>
      <c r="BI281" s="282">
        <f>BI282+BI283</f>
        <v>436</v>
      </c>
      <c r="BJ281" s="282">
        <f>BJ282+BJ283</f>
        <v>424</v>
      </c>
      <c r="BL281" s="282">
        <f>BL282+BL283</f>
        <v>0</v>
      </c>
      <c r="BM281" s="282">
        <f>BM282+BM283</f>
        <v>0</v>
      </c>
      <c r="BO281" s="282">
        <f>BO282+BO283</f>
        <v>0</v>
      </c>
      <c r="BP281" s="282">
        <f>BP282+BP283</f>
        <v>0</v>
      </c>
      <c r="BR281" s="282">
        <f>BR282+BR283</f>
        <v>0</v>
      </c>
      <c r="BS281" s="282">
        <f>BS282+BS283</f>
        <v>0</v>
      </c>
      <c r="BU281" s="282">
        <f>BU282+BU283</f>
        <v>0</v>
      </c>
      <c r="BV281" s="282">
        <f>BV282+BV283</f>
        <v>0</v>
      </c>
      <c r="BX281" s="282">
        <f>BX282+BX283</f>
        <v>0</v>
      </c>
      <c r="BY281" s="282">
        <f>BY282+BY283</f>
        <v>0</v>
      </c>
      <c r="CA281" s="282">
        <f>CA282+CA283</f>
        <v>0</v>
      </c>
      <c r="CB281" s="282">
        <f>CB282+CB283</f>
        <v>0</v>
      </c>
      <c r="CD281" s="282">
        <f>CD282+CD283</f>
        <v>118</v>
      </c>
      <c r="CE281" s="282">
        <f>CE282+CE283</f>
        <v>127</v>
      </c>
      <c r="CG281" s="282">
        <f>CG282+CG283</f>
        <v>0</v>
      </c>
      <c r="CH281" s="282">
        <f>CH282+CH283</f>
        <v>0</v>
      </c>
      <c r="CJ281" s="282">
        <f>CJ282+CJ283</f>
        <v>0</v>
      </c>
      <c r="CK281" s="282">
        <f>CK282+CK283</f>
        <v>0</v>
      </c>
    </row>
    <row r="282" spans="1:89" ht="45" x14ac:dyDescent="0.25">
      <c r="A282" s="107"/>
      <c r="B282" s="95"/>
      <c r="C282" s="95" t="s">
        <v>1494</v>
      </c>
      <c r="D282" s="95"/>
      <c r="E282" s="282"/>
      <c r="F282" s="282"/>
      <c r="G282" s="282"/>
      <c r="H282" s="282">
        <v>828</v>
      </c>
      <c r="I282" s="282">
        <v>898</v>
      </c>
      <c r="J282" s="282">
        <f>J54</f>
        <v>931</v>
      </c>
      <c r="K282" s="282">
        <f>K54</f>
        <v>932</v>
      </c>
      <c r="L282" s="282">
        <f>L54</f>
        <v>0</v>
      </c>
      <c r="M282" s="282">
        <f>M54</f>
        <v>0</v>
      </c>
      <c r="N282" s="282">
        <f>N54</f>
        <v>0</v>
      </c>
      <c r="Q282" s="283">
        <f>S282+V282+Y282+AB282+AE282+AH282+AK282+AN282+AQ282+AT282+AW282+AZ282+BC282+BF282+BI282+BL282+BO282+BR282+BU282+BX282+CA282+CD282+CG282+CJ282</f>
        <v>932</v>
      </c>
      <c r="R282" s="283">
        <f>T282+W282+Z282+AC282+AF282+AI282+AL282+AO282+AR282+AU282+AX282+BA282+BD282+BG282+BJ282+BM282+BP282+BS282+BV282+BY282+CB282+CE282+CH282+CK282</f>
        <v>920</v>
      </c>
      <c r="S282" s="283">
        <f>S54</f>
        <v>0</v>
      </c>
      <c r="T282" s="283">
        <f>T54</f>
        <v>0</v>
      </c>
      <c r="V282" s="283">
        <f>V54</f>
        <v>0</v>
      </c>
      <c r="W282" s="283">
        <f>W54</f>
        <v>0</v>
      </c>
      <c r="Y282" s="283">
        <f>Y54</f>
        <v>0</v>
      </c>
      <c r="Z282" s="283">
        <f>Z54</f>
        <v>0</v>
      </c>
      <c r="AB282" s="283">
        <f>AB54</f>
        <v>0</v>
      </c>
      <c r="AC282" s="283">
        <f>AC54</f>
        <v>0</v>
      </c>
      <c r="AE282" s="283">
        <f>AE54</f>
        <v>0</v>
      </c>
      <c r="AF282" s="283">
        <f>AF54</f>
        <v>0</v>
      </c>
      <c r="AH282" s="283">
        <f>AH54</f>
        <v>0</v>
      </c>
      <c r="AI282" s="283">
        <f>AI54</f>
        <v>0</v>
      </c>
      <c r="AK282" s="283">
        <f>AK54</f>
        <v>0</v>
      </c>
      <c r="AL282" s="283">
        <f>AL54</f>
        <v>0</v>
      </c>
      <c r="AN282" s="283">
        <f>AN54</f>
        <v>0</v>
      </c>
      <c r="AO282" s="283">
        <f>AO54</f>
        <v>0</v>
      </c>
      <c r="AQ282" s="283">
        <f>AQ54</f>
        <v>0</v>
      </c>
      <c r="AR282" s="283">
        <f>AR54</f>
        <v>0</v>
      </c>
      <c r="AT282" s="283">
        <f>AT54</f>
        <v>0</v>
      </c>
      <c r="AU282" s="283">
        <f>AU54</f>
        <v>0</v>
      </c>
      <c r="AW282" s="283">
        <f>AW54</f>
        <v>0</v>
      </c>
      <c r="AX282" s="283">
        <f>AX54</f>
        <v>0</v>
      </c>
      <c r="AZ282" s="283">
        <f>AZ54</f>
        <v>0</v>
      </c>
      <c r="BA282" s="283">
        <f>BA54</f>
        <v>0</v>
      </c>
      <c r="BC282" s="283">
        <f>BC54</f>
        <v>187</v>
      </c>
      <c r="BD282" s="283">
        <f>BD54</f>
        <v>188</v>
      </c>
      <c r="BF282" s="283">
        <f>BF54</f>
        <v>191</v>
      </c>
      <c r="BG282" s="283">
        <f>BG54</f>
        <v>181</v>
      </c>
      <c r="BI282" s="283">
        <f>BI54</f>
        <v>436</v>
      </c>
      <c r="BJ282" s="283">
        <f>BJ54</f>
        <v>424</v>
      </c>
      <c r="BL282" s="283">
        <f>BL54</f>
        <v>0</v>
      </c>
      <c r="BM282" s="283">
        <f>BM54</f>
        <v>0</v>
      </c>
      <c r="BO282" s="283">
        <f>BO54</f>
        <v>0</v>
      </c>
      <c r="BP282" s="283">
        <f>BP54</f>
        <v>0</v>
      </c>
      <c r="BR282" s="283">
        <f>BR54</f>
        <v>0</v>
      </c>
      <c r="BS282" s="283">
        <f>BS54</f>
        <v>0</v>
      </c>
      <c r="BU282" s="283">
        <f>BU54</f>
        <v>0</v>
      </c>
      <c r="BV282" s="283">
        <f>BV54</f>
        <v>0</v>
      </c>
      <c r="BX282" s="283">
        <f>BX54</f>
        <v>0</v>
      </c>
      <c r="BY282" s="283">
        <f>BY54</f>
        <v>0</v>
      </c>
      <c r="CA282" s="283">
        <f>CA54</f>
        <v>0</v>
      </c>
      <c r="CB282" s="283">
        <f>CB54</f>
        <v>0</v>
      </c>
      <c r="CD282" s="283">
        <f>CD54</f>
        <v>118</v>
      </c>
      <c r="CE282" s="283">
        <f>CE54</f>
        <v>127</v>
      </c>
      <c r="CG282" s="283">
        <f>CG54</f>
        <v>0</v>
      </c>
      <c r="CH282" s="283">
        <f>CH54</f>
        <v>0</v>
      </c>
      <c r="CJ282" s="283">
        <f>CJ54</f>
        <v>0</v>
      </c>
      <c r="CK282" s="283">
        <f>CK54</f>
        <v>0</v>
      </c>
    </row>
    <row r="283" spans="1:89" ht="45" x14ac:dyDescent="0.25">
      <c r="A283" s="107"/>
      <c r="B283" s="95"/>
      <c r="C283" s="95" t="s">
        <v>1494</v>
      </c>
      <c r="D283" s="95"/>
      <c r="E283" s="282"/>
      <c r="F283" s="282"/>
      <c r="G283" s="282"/>
      <c r="H283" s="282">
        <v>0</v>
      </c>
      <c r="I283" s="282">
        <v>0</v>
      </c>
      <c r="J283" s="282">
        <f>J59</f>
        <v>0</v>
      </c>
      <c r="K283" s="282">
        <f>K59</f>
        <v>0</v>
      </c>
      <c r="L283" s="282">
        <f>L59</f>
        <v>0</v>
      </c>
      <c r="M283" s="282">
        <f>M59</f>
        <v>0</v>
      </c>
      <c r="N283" s="282">
        <f>N59</f>
        <v>0</v>
      </c>
      <c r="Q283" s="283">
        <f>S283+V283+Y283+AB283+AE283+AH283+AK283+AN283+AQ283+AT283+AW283+AZ283+BC283+BF283+BI283+BL283+BO283+BR283+BU283+BX283+CA283+CD283+CG283+CJ283</f>
        <v>0</v>
      </c>
      <c r="R283" s="283">
        <f>T283+W283+Z283+AC283+AF283+AI283+AL283+AO283+AR283+AU283+AX283+BA283+BD283+BG283+BJ283+BM283+BP283+BS283+BV283+BY283+CB283+CE283+CH283+CK283</f>
        <v>0</v>
      </c>
      <c r="S283" s="283">
        <f>S59</f>
        <v>0</v>
      </c>
      <c r="T283" s="283">
        <f>T59</f>
        <v>0</v>
      </c>
      <c r="V283" s="283">
        <f>V59</f>
        <v>0</v>
      </c>
      <c r="W283" s="283">
        <f>W59</f>
        <v>0</v>
      </c>
      <c r="Y283" s="283">
        <f>Y59</f>
        <v>0</v>
      </c>
      <c r="Z283" s="283">
        <f>Z59</f>
        <v>0</v>
      </c>
      <c r="AB283" s="283">
        <f>AB59</f>
        <v>0</v>
      </c>
      <c r="AC283" s="283">
        <f>AC59</f>
        <v>0</v>
      </c>
      <c r="AE283" s="283">
        <f>AE59</f>
        <v>0</v>
      </c>
      <c r="AF283" s="283">
        <f>AF59</f>
        <v>0</v>
      </c>
      <c r="AH283" s="283">
        <f>AH59</f>
        <v>0</v>
      </c>
      <c r="AI283" s="283">
        <f>AI59</f>
        <v>0</v>
      </c>
      <c r="AK283" s="283">
        <f>AK59</f>
        <v>0</v>
      </c>
      <c r="AL283" s="283">
        <f>AL59</f>
        <v>0</v>
      </c>
      <c r="AN283" s="283">
        <f>AN59</f>
        <v>0</v>
      </c>
      <c r="AO283" s="283">
        <f>AO59</f>
        <v>0</v>
      </c>
      <c r="AQ283" s="283">
        <f>AQ59</f>
        <v>0</v>
      </c>
      <c r="AR283" s="283">
        <f>AR59</f>
        <v>0</v>
      </c>
      <c r="AT283" s="283">
        <f>AT59</f>
        <v>0</v>
      </c>
      <c r="AU283" s="283">
        <f>AU59</f>
        <v>0</v>
      </c>
      <c r="AW283" s="283">
        <f>AW59</f>
        <v>0</v>
      </c>
      <c r="AX283" s="283">
        <f>AX59</f>
        <v>0</v>
      </c>
      <c r="AZ283" s="283">
        <f>AZ59</f>
        <v>0</v>
      </c>
      <c r="BA283" s="283">
        <f>BA59</f>
        <v>0</v>
      </c>
      <c r="BC283" s="283">
        <f>BC59</f>
        <v>0</v>
      </c>
      <c r="BD283" s="283">
        <f>BD59</f>
        <v>0</v>
      </c>
      <c r="BF283" s="283">
        <f>BF59</f>
        <v>0</v>
      </c>
      <c r="BG283" s="283">
        <f>BG59</f>
        <v>0</v>
      </c>
      <c r="BI283" s="283">
        <f>BI59</f>
        <v>0</v>
      </c>
      <c r="BJ283" s="283">
        <f>BJ59</f>
        <v>0</v>
      </c>
      <c r="BL283" s="283">
        <f>BL59</f>
        <v>0</v>
      </c>
      <c r="BM283" s="283">
        <f>BM59</f>
        <v>0</v>
      </c>
      <c r="BO283" s="283">
        <f>BO59</f>
        <v>0</v>
      </c>
      <c r="BP283" s="283">
        <f>BP59</f>
        <v>0</v>
      </c>
      <c r="BR283" s="283">
        <f>BR59</f>
        <v>0</v>
      </c>
      <c r="BS283" s="283">
        <f>BS59</f>
        <v>0</v>
      </c>
      <c r="BU283" s="283">
        <f>BU59</f>
        <v>0</v>
      </c>
      <c r="BV283" s="283">
        <f>BV59</f>
        <v>0</v>
      </c>
      <c r="BX283" s="283">
        <f>BX59</f>
        <v>0</v>
      </c>
      <c r="BY283" s="283">
        <f>BY59</f>
        <v>0</v>
      </c>
      <c r="CA283" s="283">
        <f>CA59</f>
        <v>0</v>
      </c>
      <c r="CB283" s="283">
        <f>CB59</f>
        <v>0</v>
      </c>
      <c r="CD283" s="283">
        <f>CD59</f>
        <v>0</v>
      </c>
      <c r="CE283" s="283">
        <f>CE59</f>
        <v>0</v>
      </c>
      <c r="CG283" s="283">
        <f>CG59</f>
        <v>0</v>
      </c>
      <c r="CH283" s="283">
        <f>CH59</f>
        <v>0</v>
      </c>
      <c r="CJ283" s="283">
        <f>CJ59</f>
        <v>0</v>
      </c>
      <c r="CK283" s="283">
        <f>CK59</f>
        <v>0</v>
      </c>
    </row>
    <row r="284" spans="1:89" ht="45" x14ac:dyDescent="0.25">
      <c r="A284" s="95" t="s">
        <v>1661</v>
      </c>
      <c r="B284" s="96" t="s">
        <v>1662</v>
      </c>
      <c r="C284" s="95"/>
      <c r="D284" s="95"/>
      <c r="E284" s="282"/>
      <c r="F284" s="282"/>
      <c r="G284" s="282"/>
      <c r="H284" s="282"/>
      <c r="I284" s="282"/>
      <c r="J284" s="282"/>
      <c r="K284" s="282"/>
      <c r="L284" s="282"/>
      <c r="M284" s="282"/>
      <c r="N284" s="282"/>
    </row>
    <row r="285" spans="1:89" x14ac:dyDescent="0.25">
      <c r="A285" s="95"/>
      <c r="B285" s="96" t="s">
        <v>1182</v>
      </c>
      <c r="C285" s="95"/>
      <c r="D285" s="95" t="s">
        <v>8</v>
      </c>
      <c r="E285" s="282"/>
      <c r="F285" s="282"/>
      <c r="G285" s="282"/>
      <c r="H285" s="282"/>
      <c r="I285" s="293">
        <f t="shared" ref="I285:K287" si="500">I288/I291*100</f>
        <v>42.296932760515539</v>
      </c>
      <c r="J285" s="293">
        <f t="shared" si="500"/>
        <v>42.238707859892948</v>
      </c>
      <c r="K285" s="293">
        <f t="shared" si="500"/>
        <v>40.677200902934537</v>
      </c>
      <c r="L285" s="293">
        <f t="shared" ref="L285:M287" si="501">L288/L291*100</f>
        <v>34.529147982062781</v>
      </c>
      <c r="M285" s="293">
        <f t="shared" si="501"/>
        <v>31.981981981981981</v>
      </c>
      <c r="N285" s="293">
        <f t="shared" ref="N285" si="502">N288/N291*100</f>
        <v>39.455782312925166</v>
      </c>
      <c r="Q285" s="293">
        <f t="shared" ref="Q285:T287" si="503">Q288/Q291*100</f>
        <v>40.677200902934537</v>
      </c>
      <c r="R285" s="293">
        <f t="shared" si="503"/>
        <v>51.822964740631349</v>
      </c>
      <c r="S285" s="293">
        <f t="shared" si="503"/>
        <v>78.005865102639291</v>
      </c>
      <c r="T285" s="293">
        <f t="shared" si="503"/>
        <v>66.137566137566139</v>
      </c>
      <c r="V285" s="293">
        <f t="shared" ref="V285:W287" si="504">V288/V291*100</f>
        <v>15.915119363395224</v>
      </c>
      <c r="W285" s="293">
        <f t="shared" si="504"/>
        <v>16.408668730650156</v>
      </c>
      <c r="Y285" s="293">
        <f t="shared" ref="Y285:Z287" si="505">Y288/Y291*100</f>
        <v>41.766109785202865</v>
      </c>
      <c r="Z285" s="293">
        <f t="shared" si="505"/>
        <v>22.950819672131146</v>
      </c>
      <c r="AB285" s="293">
        <f t="shared" ref="AB285:AC287" si="506">AB288/AB291*100</f>
        <v>19.884169884169882</v>
      </c>
      <c r="AC285" s="293">
        <f t="shared" si="506"/>
        <v>53.94736842105263</v>
      </c>
      <c r="AE285" s="293">
        <f t="shared" ref="AE285:AF287" si="507">AE288/AE291*100</f>
        <v>37.444933920704848</v>
      </c>
      <c r="AF285" s="293">
        <f t="shared" si="507"/>
        <v>31.088082901554404</v>
      </c>
      <c r="AH285" s="293">
        <f t="shared" ref="AH285:AI287" si="508">AH288/AH291*100</f>
        <v>20.465116279069768</v>
      </c>
      <c r="AI285" s="293">
        <f t="shared" si="508"/>
        <v>34.375</v>
      </c>
      <c r="AK285" s="293">
        <f t="shared" ref="AK285:AL287" si="509">AK288/AK291*100</f>
        <v>68.103448275862064</v>
      </c>
      <c r="AL285" s="293">
        <f t="shared" si="509"/>
        <v>25.259515570934255</v>
      </c>
      <c r="AN285" s="293">
        <f t="shared" ref="AN285:AO287" si="510">AN288/AN291*100</f>
        <v>39.414802065404473</v>
      </c>
      <c r="AO285" s="293">
        <f t="shared" si="510"/>
        <v>49.440993788819874</v>
      </c>
      <c r="AQ285" s="293">
        <f t="shared" ref="AQ285:AR287" si="511">AQ288/AQ291*100</f>
        <v>0</v>
      </c>
      <c r="AR285" s="293">
        <f t="shared" si="511"/>
        <v>0</v>
      </c>
      <c r="AT285" s="293">
        <f t="shared" ref="AT285:AU287" si="512">AT288/AT291*100</f>
        <v>38.01039346696362</v>
      </c>
      <c r="AU285" s="293">
        <f t="shared" si="512"/>
        <v>58.6875466070097</v>
      </c>
      <c r="AW285" s="293">
        <f t="shared" ref="AW285:AX287" si="513">AW288/AW291*100</f>
        <v>85.979381443298976</v>
      </c>
      <c r="AX285" s="293">
        <f t="shared" si="513"/>
        <v>52.991452991452995</v>
      </c>
      <c r="AZ285" s="293">
        <f t="shared" ref="AZ285:BA287" si="514">AZ288/AZ291*100</f>
        <v>60.224089635854341</v>
      </c>
      <c r="BA285" s="293">
        <f t="shared" si="514"/>
        <v>59.583952451708768</v>
      </c>
      <c r="BC285" s="293">
        <f t="shared" ref="BC285:BD287" si="515">BC288/BC291*100</f>
        <v>35.582386363636367</v>
      </c>
      <c r="BD285" s="293">
        <f t="shared" si="515"/>
        <v>32.189168573607937</v>
      </c>
      <c r="BF285" s="293">
        <f t="shared" ref="BF285:BG287" si="516">BF288/BF291*100</f>
        <v>68.642560758743329</v>
      </c>
      <c r="BG285" s="293">
        <f t="shared" si="516"/>
        <v>72.903033908387854</v>
      </c>
      <c r="BI285" s="293">
        <f t="shared" ref="BI285:BJ287" si="517">BI288/BI291*100</f>
        <v>5.0783462337171983</v>
      </c>
      <c r="BJ285" s="293">
        <f t="shared" si="517"/>
        <v>45.935412026726056</v>
      </c>
      <c r="BL285" s="293">
        <f t="shared" ref="BL285:BM287" si="518">BL288/BL291*100</f>
        <v>67.907801418439718</v>
      </c>
      <c r="BM285" s="293">
        <f t="shared" si="518"/>
        <v>72.859744990892523</v>
      </c>
      <c r="BO285" s="293">
        <f t="shared" ref="BO285:BP287" si="519">BO288/BO291*100</f>
        <v>69.348659003831415</v>
      </c>
      <c r="BP285" s="293">
        <f t="shared" si="519"/>
        <v>84.708249496981892</v>
      </c>
      <c r="BR285" s="293">
        <f t="shared" ref="BR285:BS287" si="520">BR288/BR291*100</f>
        <v>71.024734982332163</v>
      </c>
      <c r="BS285" s="293">
        <f t="shared" si="520"/>
        <v>70.731707317073173</v>
      </c>
      <c r="BU285" s="293">
        <f t="shared" ref="BU285:BV287" si="521">BU288/BU291*100</f>
        <v>60.317460317460316</v>
      </c>
      <c r="BV285" s="293">
        <f t="shared" si="521"/>
        <v>48.617511520737331</v>
      </c>
      <c r="BX285" s="293">
        <f t="shared" ref="BX285:BY287" si="522">BX288/BX291*100</f>
        <v>100</v>
      </c>
      <c r="BY285" s="293">
        <f t="shared" si="522"/>
        <v>100</v>
      </c>
      <c r="CA285" s="293">
        <f t="shared" ref="CA285:CB287" si="523">CA288/CA291*100</f>
        <v>66.787003610108314</v>
      </c>
      <c r="CB285" s="293">
        <f t="shared" si="523"/>
        <v>72.64325323475046</v>
      </c>
      <c r="CD285" s="293">
        <f t="shared" ref="CD285:CE287" si="524">CD288/CD291*100</f>
        <v>0</v>
      </c>
      <c r="CE285" s="293">
        <f t="shared" si="524"/>
        <v>0</v>
      </c>
      <c r="CG285" s="293">
        <f t="shared" ref="CG285:CH287" si="525">CG288/CG291*100</f>
        <v>57.060518731988473</v>
      </c>
      <c r="CH285" s="293">
        <f t="shared" si="525"/>
        <v>65.789473684210535</v>
      </c>
      <c r="CJ285" s="293">
        <f t="shared" ref="CJ285:CK287" si="526">CJ288/CJ291*100</f>
        <v>0</v>
      </c>
      <c r="CK285" s="293">
        <f t="shared" si="526"/>
        <v>0</v>
      </c>
    </row>
    <row r="286" spans="1:89" x14ac:dyDescent="0.25">
      <c r="A286" s="95"/>
      <c r="B286" s="96" t="s">
        <v>1183</v>
      </c>
      <c r="C286" s="95"/>
      <c r="D286" s="95" t="s">
        <v>8</v>
      </c>
      <c r="E286" s="282"/>
      <c r="F286" s="282"/>
      <c r="G286" s="282"/>
      <c r="H286" s="282"/>
      <c r="I286" s="293">
        <f t="shared" si="500"/>
        <v>44.690073688773296</v>
      </c>
      <c r="J286" s="293">
        <f t="shared" si="500"/>
        <v>44.533958800734247</v>
      </c>
      <c r="K286" s="293">
        <f t="shared" si="500"/>
        <v>42.705078125</v>
      </c>
      <c r="L286" s="293">
        <f t="shared" ref="L286" si="527">L289/L292*100</f>
        <v>36.363636363636367</v>
      </c>
      <c r="M286" s="293">
        <f t="shared" si="501"/>
        <v>25.101214574898783</v>
      </c>
      <c r="N286" s="293">
        <f t="shared" ref="N286" si="528">N289/N292*100</f>
        <v>48.497854077253216</v>
      </c>
      <c r="Q286" s="293">
        <f t="shared" si="503"/>
        <v>42.705078125</v>
      </c>
      <c r="R286" s="293">
        <f t="shared" si="503"/>
        <v>53.633424521263365</v>
      </c>
      <c r="S286" s="293">
        <f t="shared" si="503"/>
        <v>94.166666666666671</v>
      </c>
      <c r="T286" s="293">
        <f t="shared" si="503"/>
        <v>84.758364312267659</v>
      </c>
      <c r="V286" s="293">
        <f t="shared" si="504"/>
        <v>19.545454545454547</v>
      </c>
      <c r="W286" s="293">
        <f t="shared" si="504"/>
        <v>23.560209424083769</v>
      </c>
      <c r="Y286" s="293">
        <f t="shared" si="505"/>
        <v>51.428571428571423</v>
      </c>
      <c r="Z286" s="293">
        <f t="shared" si="505"/>
        <v>29.019607843137258</v>
      </c>
      <c r="AB286" s="293">
        <f t="shared" si="506"/>
        <v>36.013986013986013</v>
      </c>
      <c r="AC286" s="293">
        <f t="shared" si="506"/>
        <v>56.5068493150685</v>
      </c>
      <c r="AE286" s="293">
        <f t="shared" si="507"/>
        <v>48.710601719197712</v>
      </c>
      <c r="AF286" s="293">
        <f t="shared" si="507"/>
        <v>38.11074918566775</v>
      </c>
      <c r="AH286" s="293">
        <f t="shared" si="508"/>
        <v>14.285714285714285</v>
      </c>
      <c r="AI286" s="293">
        <f t="shared" si="508"/>
        <v>36.213991769547327</v>
      </c>
      <c r="AK286" s="293">
        <f t="shared" si="509"/>
        <v>67.086330935251809</v>
      </c>
      <c r="AL286" s="293">
        <f t="shared" si="509"/>
        <v>24.864864864864867</v>
      </c>
      <c r="AN286" s="293">
        <f t="shared" si="510"/>
        <v>50.842020850040093</v>
      </c>
      <c r="AO286" s="293">
        <f t="shared" si="510"/>
        <v>54.040404040404042</v>
      </c>
      <c r="AQ286" s="293" t="e">
        <f t="shared" si="511"/>
        <v>#DIV/0!</v>
      </c>
      <c r="AR286" s="293" t="e">
        <f t="shared" si="511"/>
        <v>#DIV/0!</v>
      </c>
      <c r="AT286" s="293">
        <f t="shared" si="512"/>
        <v>38.01039346696362</v>
      </c>
      <c r="AU286" s="293">
        <f t="shared" si="512"/>
        <v>58.6875466070097</v>
      </c>
      <c r="AW286" s="293">
        <f t="shared" si="513"/>
        <v>85.979381443298976</v>
      </c>
      <c r="AX286" s="293">
        <f t="shared" si="513"/>
        <v>52.991452991452995</v>
      </c>
      <c r="AZ286" s="293">
        <f t="shared" si="514"/>
        <v>60.224089635854341</v>
      </c>
      <c r="BA286" s="293">
        <f t="shared" si="514"/>
        <v>59.583952451708768</v>
      </c>
      <c r="BC286" s="293">
        <f t="shared" si="515"/>
        <v>35.582386363636367</v>
      </c>
      <c r="BD286" s="293">
        <f t="shared" si="515"/>
        <v>32.189168573607937</v>
      </c>
      <c r="BF286" s="293">
        <f t="shared" si="516"/>
        <v>68.642560758743329</v>
      </c>
      <c r="BG286" s="293">
        <f t="shared" si="516"/>
        <v>72.903033908387854</v>
      </c>
      <c r="BI286" s="293">
        <f t="shared" si="517"/>
        <v>5.0783462337171983</v>
      </c>
      <c r="BJ286" s="293">
        <f t="shared" si="517"/>
        <v>45.935412026726056</v>
      </c>
      <c r="BL286" s="293">
        <f t="shared" si="518"/>
        <v>67.907801418439718</v>
      </c>
      <c r="BM286" s="293">
        <f t="shared" si="518"/>
        <v>72.859744990892523</v>
      </c>
      <c r="BO286" s="293">
        <f t="shared" si="519"/>
        <v>69.348659003831415</v>
      </c>
      <c r="BP286" s="293">
        <f t="shared" si="519"/>
        <v>84.708249496981892</v>
      </c>
      <c r="BR286" s="293">
        <f t="shared" si="520"/>
        <v>71.024734982332163</v>
      </c>
      <c r="BS286" s="293">
        <f t="shared" si="520"/>
        <v>70.731707317073173</v>
      </c>
      <c r="BU286" s="293">
        <f t="shared" si="521"/>
        <v>60.317460317460316</v>
      </c>
      <c r="BV286" s="293">
        <f t="shared" si="521"/>
        <v>48.617511520737331</v>
      </c>
      <c r="BX286" s="293">
        <f t="shared" si="522"/>
        <v>100</v>
      </c>
      <c r="BY286" s="293">
        <f t="shared" si="522"/>
        <v>100</v>
      </c>
      <c r="CA286" s="293">
        <f t="shared" si="523"/>
        <v>66.787003610108314</v>
      </c>
      <c r="CB286" s="293">
        <f t="shared" si="523"/>
        <v>72.64325323475046</v>
      </c>
      <c r="CD286" s="293">
        <f t="shared" si="524"/>
        <v>0</v>
      </c>
      <c r="CE286" s="293">
        <f t="shared" si="524"/>
        <v>0</v>
      </c>
      <c r="CG286" s="293">
        <f t="shared" si="525"/>
        <v>50.333333333333329</v>
      </c>
      <c r="CH286" s="293">
        <f t="shared" si="525"/>
        <v>58.56573705179283</v>
      </c>
      <c r="CJ286" s="293">
        <f t="shared" si="526"/>
        <v>0</v>
      </c>
      <c r="CK286" s="293">
        <f t="shared" si="526"/>
        <v>0</v>
      </c>
    </row>
    <row r="287" spans="1:89" x14ac:dyDescent="0.25">
      <c r="A287" s="95"/>
      <c r="B287" s="96" t="s">
        <v>1185</v>
      </c>
      <c r="C287" s="95"/>
      <c r="D287" s="95" t="s">
        <v>8</v>
      </c>
      <c r="E287" s="282"/>
      <c r="F287" s="282"/>
      <c r="G287" s="282"/>
      <c r="H287" s="282"/>
      <c r="I287" s="293">
        <f t="shared" si="500"/>
        <v>14.020486555697822</v>
      </c>
      <c r="J287" s="293">
        <f t="shared" si="500"/>
        <v>15.539739027283511</v>
      </c>
      <c r="K287" s="293">
        <f t="shared" si="500"/>
        <v>15.808383233532936</v>
      </c>
      <c r="L287" s="293">
        <f t="shared" ref="L287" si="529">L290/L293*100</f>
        <v>32.352941176470587</v>
      </c>
      <c r="M287" s="293">
        <f t="shared" si="501"/>
        <v>40.609137055837564</v>
      </c>
      <c r="N287" s="293">
        <f t="shared" ref="N287" si="530">N290/N293*100</f>
        <v>29.326923076923077</v>
      </c>
      <c r="Q287" s="293">
        <f t="shared" si="503"/>
        <v>15.808383233532936</v>
      </c>
      <c r="R287" s="293">
        <f t="shared" si="503"/>
        <v>28.534868841970567</v>
      </c>
      <c r="S287" s="293">
        <f t="shared" si="503"/>
        <v>39.603960396039604</v>
      </c>
      <c r="T287" s="293">
        <f t="shared" si="503"/>
        <v>20.183486238532112</v>
      </c>
      <c r="V287" s="293">
        <f t="shared" si="504"/>
        <v>10.828025477707007</v>
      </c>
      <c r="W287" s="293">
        <f t="shared" si="504"/>
        <v>6.0606060606060606</v>
      </c>
      <c r="Y287" s="293">
        <f t="shared" si="505"/>
        <v>22.302158273381295</v>
      </c>
      <c r="Z287" s="293">
        <f t="shared" si="505"/>
        <v>9.0090090090090094</v>
      </c>
      <c r="AB287" s="293">
        <f t="shared" si="506"/>
        <v>0</v>
      </c>
      <c r="AC287" s="293">
        <f t="shared" si="506"/>
        <v>50.833333333333329</v>
      </c>
      <c r="AE287" s="293">
        <f t="shared" si="507"/>
        <v>0</v>
      </c>
      <c r="AF287" s="293">
        <f t="shared" si="507"/>
        <v>3.79746835443038</v>
      </c>
      <c r="AH287" s="293">
        <f t="shared" si="508"/>
        <v>28.125</v>
      </c>
      <c r="AI287" s="293">
        <f t="shared" si="508"/>
        <v>32.195121951219512</v>
      </c>
      <c r="AK287" s="293">
        <f t="shared" si="509"/>
        <v>91.666666666666657</v>
      </c>
      <c r="AL287" s="293">
        <f t="shared" si="509"/>
        <v>34.782608695652172</v>
      </c>
      <c r="AN287" s="293">
        <f t="shared" si="510"/>
        <v>10.685483870967742</v>
      </c>
      <c r="AO287" s="293">
        <f t="shared" si="510"/>
        <v>36.492890995260666</v>
      </c>
      <c r="AQ287" s="293">
        <f t="shared" si="511"/>
        <v>0</v>
      </c>
      <c r="AR287" s="293">
        <f t="shared" si="511"/>
        <v>0</v>
      </c>
      <c r="AT287" s="293" t="e">
        <f t="shared" si="512"/>
        <v>#DIV/0!</v>
      </c>
      <c r="AU287" s="293" t="e">
        <f t="shared" si="512"/>
        <v>#DIV/0!</v>
      </c>
      <c r="AW287" s="293" t="e">
        <f t="shared" si="513"/>
        <v>#DIV/0!</v>
      </c>
      <c r="AX287" s="293" t="e">
        <f t="shared" si="513"/>
        <v>#DIV/0!</v>
      </c>
      <c r="AZ287" s="293" t="e">
        <f t="shared" si="514"/>
        <v>#DIV/0!</v>
      </c>
      <c r="BA287" s="293" t="e">
        <f t="shared" si="514"/>
        <v>#DIV/0!</v>
      </c>
      <c r="BC287" s="293" t="e">
        <f t="shared" si="515"/>
        <v>#DIV/0!</v>
      </c>
      <c r="BD287" s="293" t="e">
        <f t="shared" si="515"/>
        <v>#DIV/0!</v>
      </c>
      <c r="BF287" s="293" t="e">
        <f t="shared" si="516"/>
        <v>#DIV/0!</v>
      </c>
      <c r="BG287" s="293" t="e">
        <f t="shared" si="516"/>
        <v>#DIV/0!</v>
      </c>
      <c r="BI287" s="293" t="e">
        <f t="shared" si="517"/>
        <v>#DIV/0!</v>
      </c>
      <c r="BJ287" s="293" t="e">
        <f t="shared" si="517"/>
        <v>#DIV/0!</v>
      </c>
      <c r="BL287" s="293" t="e">
        <f t="shared" si="518"/>
        <v>#DIV/0!</v>
      </c>
      <c r="BM287" s="293" t="e">
        <f t="shared" si="518"/>
        <v>#DIV/0!</v>
      </c>
      <c r="BO287" s="293" t="e">
        <f t="shared" si="519"/>
        <v>#DIV/0!</v>
      </c>
      <c r="BP287" s="293" t="e">
        <f t="shared" si="519"/>
        <v>#DIV/0!</v>
      </c>
      <c r="BR287" s="293" t="e">
        <f t="shared" si="520"/>
        <v>#DIV/0!</v>
      </c>
      <c r="BS287" s="293" t="e">
        <f t="shared" si="520"/>
        <v>#DIV/0!</v>
      </c>
      <c r="BU287" s="293" t="e">
        <f t="shared" si="521"/>
        <v>#DIV/0!</v>
      </c>
      <c r="BV287" s="293" t="e">
        <f t="shared" si="521"/>
        <v>#DIV/0!</v>
      </c>
      <c r="BX287" s="293" t="e">
        <f t="shared" si="522"/>
        <v>#DIV/0!</v>
      </c>
      <c r="BY287" s="293" t="e">
        <f t="shared" si="522"/>
        <v>#DIV/0!</v>
      </c>
      <c r="CA287" s="293" t="e">
        <f t="shared" si="523"/>
        <v>#DIV/0!</v>
      </c>
      <c r="CB287" s="293" t="e">
        <f t="shared" si="523"/>
        <v>#DIV/0!</v>
      </c>
      <c r="CD287" s="293" t="e">
        <f t="shared" si="524"/>
        <v>#DIV/0!</v>
      </c>
      <c r="CE287" s="293" t="e">
        <f t="shared" si="524"/>
        <v>#DIV/0!</v>
      </c>
      <c r="CG287" s="293">
        <f t="shared" si="525"/>
        <v>100</v>
      </c>
      <c r="CH287" s="293">
        <f t="shared" si="525"/>
        <v>100</v>
      </c>
      <c r="CJ287" s="293" t="e">
        <f t="shared" si="526"/>
        <v>#DIV/0!</v>
      </c>
      <c r="CK287" s="293" t="e">
        <f t="shared" si="526"/>
        <v>#DIV/0!</v>
      </c>
    </row>
    <row r="288" spans="1:89" x14ac:dyDescent="0.25">
      <c r="A288" s="95"/>
      <c r="B288" s="96" t="s">
        <v>1836</v>
      </c>
      <c r="C288" s="95"/>
      <c r="D288" s="95" t="s">
        <v>950</v>
      </c>
      <c r="E288" s="282"/>
      <c r="F288" s="282"/>
      <c r="G288" s="282"/>
      <c r="H288" s="282"/>
      <c r="I288" s="282">
        <f t="shared" ref="I288:N288" si="531">I289+I290</f>
        <v>8467</v>
      </c>
      <c r="J288" s="282">
        <f t="shared" si="531"/>
        <v>8996</v>
      </c>
      <c r="K288" s="282">
        <f t="shared" si="531"/>
        <v>9010</v>
      </c>
      <c r="L288" s="282">
        <f t="shared" si="531"/>
        <v>154</v>
      </c>
      <c r="M288" s="282">
        <f t="shared" si="531"/>
        <v>142</v>
      </c>
      <c r="N288" s="282">
        <f t="shared" si="531"/>
        <v>174</v>
      </c>
      <c r="Q288" s="282">
        <f>Q289+Q290</f>
        <v>9010</v>
      </c>
      <c r="R288" s="282">
        <f>R289+R290</f>
        <v>11229</v>
      </c>
      <c r="S288" s="282">
        <f>S289+S290</f>
        <v>266</v>
      </c>
      <c r="T288" s="282">
        <f>T289+T290</f>
        <v>250</v>
      </c>
      <c r="V288" s="282">
        <f>V289+V290</f>
        <v>60</v>
      </c>
      <c r="W288" s="282">
        <f>W289+W290</f>
        <v>53</v>
      </c>
      <c r="Y288" s="282">
        <f>Y289+Y290</f>
        <v>175</v>
      </c>
      <c r="Z288" s="282">
        <f>Z289+Z290</f>
        <v>84</v>
      </c>
      <c r="AB288" s="282">
        <f>AB289+AB290</f>
        <v>103</v>
      </c>
      <c r="AC288" s="282">
        <f>AC289+AC290</f>
        <v>287</v>
      </c>
      <c r="AE288" s="282">
        <f>AE289+AE290</f>
        <v>170</v>
      </c>
      <c r="AF288" s="282">
        <f>AF289+AF290</f>
        <v>120</v>
      </c>
      <c r="AH288" s="282">
        <f>AH289+AH290</f>
        <v>88</v>
      </c>
      <c r="AI288" s="282">
        <f>AI289+AI290</f>
        <v>154</v>
      </c>
      <c r="AK288" s="282">
        <f>AK289+AK290</f>
        <v>395</v>
      </c>
      <c r="AL288" s="282">
        <f>AL289+AL290</f>
        <v>146</v>
      </c>
      <c r="AN288" s="282">
        <f>AN289+AN290</f>
        <v>687</v>
      </c>
      <c r="AO288" s="282">
        <f>AO289+AO290</f>
        <v>796</v>
      </c>
      <c r="AQ288" s="282">
        <f>AQ289+AQ290</f>
        <v>0</v>
      </c>
      <c r="AR288" s="282">
        <f>AR289+AR290</f>
        <v>0</v>
      </c>
      <c r="AT288" s="282">
        <f>AT289+AT290</f>
        <v>512</v>
      </c>
      <c r="AU288" s="282">
        <f>AU289+AU290</f>
        <v>787</v>
      </c>
      <c r="AW288" s="282">
        <f>AW289+AW290</f>
        <v>417</v>
      </c>
      <c r="AX288" s="282">
        <f>AX289+AX290</f>
        <v>248</v>
      </c>
      <c r="AZ288" s="282">
        <f>AZ289+AZ290</f>
        <v>430</v>
      </c>
      <c r="BA288" s="282">
        <f>BA289+BA290</f>
        <v>401</v>
      </c>
      <c r="BC288" s="282">
        <f>BC289+BC290</f>
        <v>501</v>
      </c>
      <c r="BD288" s="282">
        <f>BD289+BD290</f>
        <v>422</v>
      </c>
      <c r="BF288" s="282">
        <f>BF289+BF290</f>
        <v>2316</v>
      </c>
      <c r="BG288" s="282">
        <f>BG289+BG290</f>
        <v>2451</v>
      </c>
      <c r="BI288" s="282">
        <f>BI289+BI290</f>
        <v>269</v>
      </c>
      <c r="BJ288" s="282">
        <f>BJ289+BJ290</f>
        <v>2475</v>
      </c>
      <c r="BL288" s="282">
        <f>BL289+BL290</f>
        <v>383</v>
      </c>
      <c r="BM288" s="282">
        <f>BM289+BM290</f>
        <v>400</v>
      </c>
      <c r="BO288" s="282">
        <f>BO289+BO290</f>
        <v>362</v>
      </c>
      <c r="BP288" s="282">
        <f>BP289+BP290</f>
        <v>421</v>
      </c>
      <c r="BR288" s="282">
        <f>BR289+BR290</f>
        <v>603</v>
      </c>
      <c r="BS288" s="282">
        <f>BS289+BS290</f>
        <v>551</v>
      </c>
      <c r="BU288" s="282">
        <f>BU289+BU290</f>
        <v>532</v>
      </c>
      <c r="BV288" s="282">
        <f>BV289+BV290</f>
        <v>422</v>
      </c>
      <c r="BX288" s="282">
        <f>BX289+BX290</f>
        <v>173</v>
      </c>
      <c r="BY288" s="282">
        <f>BY289+BY290</f>
        <v>168</v>
      </c>
      <c r="CA288" s="282">
        <f>CA289+CA290</f>
        <v>370</v>
      </c>
      <c r="CB288" s="282">
        <f>CB289+CB290</f>
        <v>393</v>
      </c>
      <c r="CD288" s="282">
        <f>CD289+CD290</f>
        <v>0</v>
      </c>
      <c r="CE288" s="282">
        <f>CE289+CE290</f>
        <v>0</v>
      </c>
      <c r="CG288" s="282">
        <f>CG289+CG290</f>
        <v>198</v>
      </c>
      <c r="CH288" s="282">
        <f>CH289+CH290</f>
        <v>200</v>
      </c>
      <c r="CJ288" s="282">
        <f>CJ289+CJ290</f>
        <v>0</v>
      </c>
      <c r="CK288" s="282">
        <f>CK289+CK290</f>
        <v>0</v>
      </c>
    </row>
    <row r="289" spans="1:89" ht="45" x14ac:dyDescent="0.25">
      <c r="A289" s="95"/>
      <c r="B289" s="294" t="s">
        <v>1183</v>
      </c>
      <c r="C289" s="95" t="s">
        <v>1838</v>
      </c>
      <c r="D289" s="95" t="s">
        <v>950</v>
      </c>
      <c r="E289" s="282"/>
      <c r="F289" s="282"/>
      <c r="G289" s="282"/>
      <c r="H289" s="282"/>
      <c r="I289" s="282">
        <f>8280-32</f>
        <v>8248</v>
      </c>
      <c r="J289" s="282">
        <v>8734</v>
      </c>
      <c r="K289" s="282">
        <v>8746</v>
      </c>
      <c r="L289" s="282">
        <v>88</v>
      </c>
      <c r="M289" s="282">
        <v>62</v>
      </c>
      <c r="N289" s="282">
        <v>113</v>
      </c>
      <c r="Q289" s="286">
        <f>S289+V289+Y289+AB289+AE289+AH289+AK289+AN289+AQ289+AT289+AW289+AZ289+BC289+BF289+BI289+BL289+BO289+BR289+BU289+BX289+CA289+CD289+CG289+CJ289</f>
        <v>8746</v>
      </c>
      <c r="R289" s="286">
        <f>T289+W289+Z289+AC289+AF289+AI289+AL289+AO289+AR289+AU289+AX289+BA289+BD289+BG289+BJ289+BM289+BP289+BS289+BV289+BY289+CB289+CE289+CH289+CK289</f>
        <v>10783</v>
      </c>
      <c r="S289" s="286">
        <v>226</v>
      </c>
      <c r="T289" s="286">
        <v>228</v>
      </c>
      <c r="U289" s="286"/>
      <c r="V289" s="286">
        <v>43</v>
      </c>
      <c r="W289" s="286">
        <v>45</v>
      </c>
      <c r="X289" s="286"/>
      <c r="Y289" s="286">
        <v>144</v>
      </c>
      <c r="Z289" s="286">
        <v>74</v>
      </c>
      <c r="AA289" s="286"/>
      <c r="AB289" s="286">
        <v>103</v>
      </c>
      <c r="AC289" s="286">
        <v>165</v>
      </c>
      <c r="AD289" s="286"/>
      <c r="AE289" s="286">
        <v>170</v>
      </c>
      <c r="AF289" s="286">
        <v>117</v>
      </c>
      <c r="AG289" s="286"/>
      <c r="AH289" s="286">
        <v>34</v>
      </c>
      <c r="AI289" s="286">
        <v>88</v>
      </c>
      <c r="AJ289" s="286"/>
      <c r="AK289" s="286">
        <v>373</v>
      </c>
      <c r="AL289" s="286">
        <v>138</v>
      </c>
      <c r="AM289" s="286"/>
      <c r="AN289" s="286">
        <v>634</v>
      </c>
      <c r="AO289" s="286">
        <v>642</v>
      </c>
      <c r="AP289" s="286"/>
      <c r="AQ289" s="286">
        <v>0</v>
      </c>
      <c r="AR289" s="286">
        <v>0</v>
      </c>
      <c r="AS289" s="286"/>
      <c r="AT289" s="286">
        <v>512</v>
      </c>
      <c r="AU289" s="286">
        <v>787</v>
      </c>
      <c r="AV289" s="286"/>
      <c r="AW289" s="286">
        <v>417</v>
      </c>
      <c r="AX289" s="286">
        <v>248</v>
      </c>
      <c r="AY289" s="286"/>
      <c r="AZ289" s="286">
        <v>430</v>
      </c>
      <c r="BA289" s="286">
        <v>401</v>
      </c>
      <c r="BB289" s="286"/>
      <c r="BC289" s="286">
        <v>501</v>
      </c>
      <c r="BD289" s="286">
        <v>422</v>
      </c>
      <c r="BE289" s="286"/>
      <c r="BF289" s="286">
        <v>2316</v>
      </c>
      <c r="BG289" s="286">
        <v>2451</v>
      </c>
      <c r="BH289" s="286"/>
      <c r="BI289" s="286">
        <v>269</v>
      </c>
      <c r="BJ289" s="286">
        <v>2475</v>
      </c>
      <c r="BK289" s="286"/>
      <c r="BL289" s="286">
        <v>383</v>
      </c>
      <c r="BM289" s="286">
        <v>400</v>
      </c>
      <c r="BN289" s="286"/>
      <c r="BO289" s="286">
        <v>362</v>
      </c>
      <c r="BP289" s="286">
        <v>421</v>
      </c>
      <c r="BQ289" s="286"/>
      <c r="BR289" s="286">
        <v>603</v>
      </c>
      <c r="BS289" s="286">
        <v>551</v>
      </c>
      <c r="BT289" s="286"/>
      <c r="BU289" s="286">
        <v>532</v>
      </c>
      <c r="BV289" s="286">
        <v>422</v>
      </c>
      <c r="BW289" s="286"/>
      <c r="BX289" s="286">
        <v>173</v>
      </c>
      <c r="BY289" s="286">
        <v>168</v>
      </c>
      <c r="BZ289" s="286"/>
      <c r="CA289" s="286">
        <v>370</v>
      </c>
      <c r="CB289" s="286">
        <v>393</v>
      </c>
      <c r="CC289" s="286"/>
      <c r="CD289" s="286">
        <v>0</v>
      </c>
      <c r="CE289" s="286">
        <v>0</v>
      </c>
      <c r="CF289" s="286"/>
      <c r="CG289" s="286">
        <v>151</v>
      </c>
      <c r="CH289" s="286">
        <v>147</v>
      </c>
      <c r="CI289" s="286"/>
      <c r="CJ289" s="286">
        <v>0</v>
      </c>
      <c r="CK289" s="286">
        <v>0</v>
      </c>
    </row>
    <row r="290" spans="1:89" ht="45" x14ac:dyDescent="0.25">
      <c r="A290" s="95"/>
      <c r="B290" s="294" t="s">
        <v>1185</v>
      </c>
      <c r="C290" s="95" t="s">
        <v>1838</v>
      </c>
      <c r="D290" s="95" t="s">
        <v>950</v>
      </c>
      <c r="E290" s="282"/>
      <c r="F290" s="282"/>
      <c r="G290" s="282"/>
      <c r="H290" s="282"/>
      <c r="I290" s="282">
        <v>219</v>
      </c>
      <c r="J290" s="282">
        <v>262</v>
      </c>
      <c r="K290" s="282">
        <v>264</v>
      </c>
      <c r="L290" s="282">
        <v>66</v>
      </c>
      <c r="M290" s="282">
        <v>80</v>
      </c>
      <c r="N290" s="282">
        <v>61</v>
      </c>
      <c r="Q290" s="286">
        <f>S290+V290+Y290+AB290+AE290+AH290+AK290+AN290+AQ290+AT290+AW290+AZ290+BC290+BF290+BI290+BL290+BO290+BR290+BU290+BX290+CA290+CD290+CG290+CJ290</f>
        <v>264</v>
      </c>
      <c r="R290" s="286">
        <f>T290+W290+Z290+AC290+AF290+AI290+AL290+AO290+AR290+AU290+AX290+BA290+BD290+BG290+BJ290+BM290+BP290+BS290+BV290+BY290+CB290+CE290+CH290+CK290</f>
        <v>446</v>
      </c>
      <c r="S290" s="286">
        <v>40</v>
      </c>
      <c r="T290" s="286">
        <v>22</v>
      </c>
      <c r="U290" s="286"/>
      <c r="V290" s="286">
        <v>17</v>
      </c>
      <c r="W290" s="286">
        <v>8</v>
      </c>
      <c r="X290" s="286"/>
      <c r="Y290" s="286">
        <v>31</v>
      </c>
      <c r="Z290" s="286">
        <v>10</v>
      </c>
      <c r="AA290" s="286"/>
      <c r="AB290" s="286">
        <v>0</v>
      </c>
      <c r="AC290" s="286">
        <v>122</v>
      </c>
      <c r="AD290" s="286"/>
      <c r="AE290" s="286">
        <v>0</v>
      </c>
      <c r="AF290" s="286">
        <v>3</v>
      </c>
      <c r="AG290" s="286"/>
      <c r="AH290" s="286">
        <v>54</v>
      </c>
      <c r="AI290" s="286">
        <v>66</v>
      </c>
      <c r="AJ290" s="286"/>
      <c r="AK290" s="286">
        <v>22</v>
      </c>
      <c r="AL290" s="286">
        <v>8</v>
      </c>
      <c r="AM290" s="286"/>
      <c r="AN290" s="286">
        <v>53</v>
      </c>
      <c r="AO290" s="286">
        <v>154</v>
      </c>
      <c r="AP290" s="286"/>
      <c r="AQ290" s="286">
        <v>0</v>
      </c>
      <c r="AR290" s="286">
        <v>0</v>
      </c>
      <c r="AS290" s="286"/>
      <c r="AT290" s="286">
        <v>0</v>
      </c>
      <c r="AU290" s="286">
        <v>0</v>
      </c>
      <c r="AV290" s="286"/>
      <c r="AW290" s="286">
        <v>0</v>
      </c>
      <c r="AX290" s="286">
        <v>0</v>
      </c>
      <c r="AY290" s="286"/>
      <c r="AZ290" s="286">
        <v>0</v>
      </c>
      <c r="BA290" s="286">
        <v>0</v>
      </c>
      <c r="BB290" s="286"/>
      <c r="BC290" s="286">
        <v>0</v>
      </c>
      <c r="BD290" s="286">
        <v>0</v>
      </c>
      <c r="BE290" s="286"/>
      <c r="BF290" s="286">
        <v>0</v>
      </c>
      <c r="BG290" s="286">
        <v>0</v>
      </c>
      <c r="BH290" s="286"/>
      <c r="BI290" s="286">
        <v>0</v>
      </c>
      <c r="BJ290" s="286">
        <v>0</v>
      </c>
      <c r="BK290" s="286"/>
      <c r="BL290" s="286">
        <v>0</v>
      </c>
      <c r="BM290" s="286">
        <v>0</v>
      </c>
      <c r="BN290" s="286"/>
      <c r="BO290" s="286">
        <v>0</v>
      </c>
      <c r="BP290" s="286"/>
      <c r="BQ290" s="286"/>
      <c r="BR290" s="286">
        <v>0</v>
      </c>
      <c r="BS290" s="286">
        <v>0</v>
      </c>
      <c r="BT290" s="286"/>
      <c r="BU290" s="286">
        <v>0</v>
      </c>
      <c r="BV290" s="286">
        <v>0</v>
      </c>
      <c r="BW290" s="286"/>
      <c r="BX290" s="286">
        <v>0</v>
      </c>
      <c r="BY290" s="286">
        <v>0</v>
      </c>
      <c r="BZ290" s="286"/>
      <c r="CA290" s="286">
        <v>0</v>
      </c>
      <c r="CB290" s="286">
        <v>0</v>
      </c>
      <c r="CC290" s="286"/>
      <c r="CD290" s="286">
        <v>0</v>
      </c>
      <c r="CE290" s="286">
        <v>0</v>
      </c>
      <c r="CF290" s="286"/>
      <c r="CG290" s="286">
        <v>47</v>
      </c>
      <c r="CH290" s="286">
        <v>53</v>
      </c>
      <c r="CI290" s="286"/>
      <c r="CJ290" s="286">
        <v>0</v>
      </c>
      <c r="CK290" s="286">
        <v>0</v>
      </c>
    </row>
    <row r="291" spans="1:89" x14ac:dyDescent="0.25">
      <c r="A291" s="95"/>
      <c r="B291" s="96" t="s">
        <v>1837</v>
      </c>
      <c r="C291" s="95"/>
      <c r="D291" s="95" t="s">
        <v>950</v>
      </c>
      <c r="E291" s="282"/>
      <c r="F291" s="282"/>
      <c r="G291" s="282"/>
      <c r="H291" s="282"/>
      <c r="I291" s="282">
        <f t="shared" ref="I291:N291" si="532">I292+I293</f>
        <v>20018</v>
      </c>
      <c r="J291" s="282">
        <f t="shared" si="532"/>
        <v>21298</v>
      </c>
      <c r="K291" s="282">
        <f t="shared" si="532"/>
        <v>22150</v>
      </c>
      <c r="L291" s="282">
        <f t="shared" si="532"/>
        <v>446</v>
      </c>
      <c r="M291" s="282">
        <f t="shared" si="532"/>
        <v>444</v>
      </c>
      <c r="N291" s="282">
        <f t="shared" si="532"/>
        <v>441</v>
      </c>
      <c r="Q291" s="282">
        <f>Q292+Q293</f>
        <v>22150</v>
      </c>
      <c r="R291" s="282">
        <f>R292+R293</f>
        <v>21668</v>
      </c>
      <c r="S291" s="282">
        <f>S292+S293</f>
        <v>341</v>
      </c>
      <c r="T291" s="282">
        <f>T292+T293</f>
        <v>378</v>
      </c>
      <c r="U291" s="286"/>
      <c r="V291" s="282">
        <f>V292+V293</f>
        <v>377</v>
      </c>
      <c r="W291" s="282">
        <f>W292+W293</f>
        <v>323</v>
      </c>
      <c r="X291" s="286"/>
      <c r="Y291" s="282">
        <f>Y292+Y293</f>
        <v>419</v>
      </c>
      <c r="Z291" s="282">
        <f>Z292+Z293</f>
        <v>366</v>
      </c>
      <c r="AA291" s="286"/>
      <c r="AB291" s="282">
        <f>AB292+AB293</f>
        <v>518</v>
      </c>
      <c r="AC291" s="282">
        <f>AC292+AC293</f>
        <v>532</v>
      </c>
      <c r="AD291" s="286"/>
      <c r="AE291" s="282">
        <f>AE292+AE293</f>
        <v>454</v>
      </c>
      <c r="AF291" s="282">
        <f>AF292+AF293</f>
        <v>386</v>
      </c>
      <c r="AG291" s="286"/>
      <c r="AH291" s="282">
        <f>AH292+AH293</f>
        <v>430</v>
      </c>
      <c r="AI291" s="282">
        <f>AI292+AI293</f>
        <v>448</v>
      </c>
      <c r="AJ291" s="286"/>
      <c r="AK291" s="282">
        <f>AK292+AK293</f>
        <v>580</v>
      </c>
      <c r="AL291" s="282">
        <f>AL292+AL293</f>
        <v>578</v>
      </c>
      <c r="AM291" s="286"/>
      <c r="AN291" s="282">
        <f>AN292+AN293</f>
        <v>1743</v>
      </c>
      <c r="AO291" s="282">
        <f>AO292+AO293</f>
        <v>1610</v>
      </c>
      <c r="AP291" s="286"/>
      <c r="AQ291" s="282">
        <f>AQ292+AQ293</f>
        <v>177</v>
      </c>
      <c r="AR291" s="282">
        <f>AR292+AR293</f>
        <v>189</v>
      </c>
      <c r="AS291" s="286"/>
      <c r="AT291" s="282">
        <f>AT292+AT293</f>
        <v>1347</v>
      </c>
      <c r="AU291" s="282">
        <f>AU292+AU293</f>
        <v>1341</v>
      </c>
      <c r="AV291" s="286"/>
      <c r="AW291" s="282">
        <f>AW292+AW293</f>
        <v>485</v>
      </c>
      <c r="AX291" s="282">
        <f>AX292+AX293</f>
        <v>468</v>
      </c>
      <c r="AY291" s="286"/>
      <c r="AZ291" s="282">
        <f>AZ292+AZ293</f>
        <v>714</v>
      </c>
      <c r="BA291" s="282">
        <f>BA292+BA293</f>
        <v>673</v>
      </c>
      <c r="BB291" s="286"/>
      <c r="BC291" s="282">
        <f>BC292+BC293</f>
        <v>1408</v>
      </c>
      <c r="BD291" s="282">
        <f>BD292+BD293</f>
        <v>1311</v>
      </c>
      <c r="BE291" s="286"/>
      <c r="BF291" s="282">
        <f>BF292+BF293</f>
        <v>3374</v>
      </c>
      <c r="BG291" s="282">
        <f>BG292+BG293</f>
        <v>3362</v>
      </c>
      <c r="BH291" s="286"/>
      <c r="BI291" s="282">
        <f>BI292+BI293</f>
        <v>5297</v>
      </c>
      <c r="BJ291" s="282">
        <f>BJ292+BJ293</f>
        <v>5388</v>
      </c>
      <c r="BK291" s="286"/>
      <c r="BL291" s="282">
        <f>BL292+BL293</f>
        <v>564</v>
      </c>
      <c r="BM291" s="282">
        <f>BM292+BM293</f>
        <v>549</v>
      </c>
      <c r="BN291" s="286"/>
      <c r="BO291" s="282">
        <f>BO292+BO293</f>
        <v>522</v>
      </c>
      <c r="BP291" s="282">
        <f>BP292+BP293</f>
        <v>497</v>
      </c>
      <c r="BQ291" s="286"/>
      <c r="BR291" s="282">
        <f>BR292+BR293</f>
        <v>849</v>
      </c>
      <c r="BS291" s="282">
        <f>BS292+BS293</f>
        <v>779</v>
      </c>
      <c r="BT291" s="286"/>
      <c r="BU291" s="282">
        <f>BU292+BU293</f>
        <v>882</v>
      </c>
      <c r="BV291" s="282">
        <f>BV292+BV293</f>
        <v>868</v>
      </c>
      <c r="BW291" s="286"/>
      <c r="BX291" s="282">
        <f>BX292+BX293</f>
        <v>173</v>
      </c>
      <c r="BY291" s="282">
        <f>BY292+BY293</f>
        <v>168</v>
      </c>
      <c r="BZ291" s="286"/>
      <c r="CA291" s="282">
        <f>CA292+CA293</f>
        <v>554</v>
      </c>
      <c r="CB291" s="282">
        <f>CB292+CB293</f>
        <v>541</v>
      </c>
      <c r="CC291" s="286"/>
      <c r="CD291" s="282">
        <f>CD292+CD293</f>
        <v>503</v>
      </c>
      <c r="CE291" s="282">
        <f>CE292+CE293</f>
        <v>520</v>
      </c>
      <c r="CF291" s="286"/>
      <c r="CG291" s="282">
        <f>CG292+CG293</f>
        <v>347</v>
      </c>
      <c r="CH291" s="282">
        <f>CH292+CH293</f>
        <v>304</v>
      </c>
      <c r="CI291" s="286"/>
      <c r="CJ291" s="282">
        <f>CJ292+CJ293</f>
        <v>92</v>
      </c>
      <c r="CK291" s="282">
        <f>CK292+CK293</f>
        <v>89</v>
      </c>
    </row>
    <row r="292" spans="1:89" ht="45" x14ac:dyDescent="0.25">
      <c r="A292" s="95"/>
      <c r="B292" s="294" t="s">
        <v>1183</v>
      </c>
      <c r="C292" s="95" t="s">
        <v>2439</v>
      </c>
      <c r="D292" s="95" t="s">
        <v>950</v>
      </c>
      <c r="E292" s="282"/>
      <c r="F292" s="282"/>
      <c r="G292" s="282"/>
      <c r="H292" s="282"/>
      <c r="I292" s="282">
        <v>18456</v>
      </c>
      <c r="J292" s="282">
        <f>J100</f>
        <v>19612</v>
      </c>
      <c r="K292" s="282">
        <f>K100</f>
        <v>20480</v>
      </c>
      <c r="L292" s="282">
        <v>242</v>
      </c>
      <c r="M292" s="282">
        <v>247</v>
      </c>
      <c r="N292" s="282">
        <v>233</v>
      </c>
      <c r="P292" s="296"/>
      <c r="Q292" s="286">
        <f>S292+V292+Y292+AB292+AE292+AH292+AK292+AN292+AQ292+AT292+AW292+AZ292+BC292+BF292+BI292+BL292+BO292+BR292+BU292+BX292+CA292+CD292+CG292+CJ292</f>
        <v>20480</v>
      </c>
      <c r="R292" s="286">
        <f>T292+W292+Z292+AC292+AF292+AI292+AL292+AO292+AR292+AU292+AX292+BA292+BD292+BG292+BJ292+BM292+BP292+BS292+BV292+BY292+CB292+CE292+CH292+CK292</f>
        <v>20105</v>
      </c>
      <c r="S292" s="286">
        <f>S100</f>
        <v>240</v>
      </c>
      <c r="T292" s="286">
        <f>T100</f>
        <v>269</v>
      </c>
      <c r="U292" s="286"/>
      <c r="V292" s="286">
        <f>V100</f>
        <v>220</v>
      </c>
      <c r="W292" s="286">
        <f>W100</f>
        <v>191</v>
      </c>
      <c r="X292" s="286"/>
      <c r="Y292" s="286">
        <f>Y100</f>
        <v>280</v>
      </c>
      <c r="Z292" s="286">
        <f>Z100</f>
        <v>255</v>
      </c>
      <c r="AA292" s="286"/>
      <c r="AB292" s="286">
        <f>AB100</f>
        <v>286</v>
      </c>
      <c r="AC292" s="286">
        <f>AC100</f>
        <v>292</v>
      </c>
      <c r="AD292" s="286"/>
      <c r="AE292" s="286">
        <f>AE100</f>
        <v>349</v>
      </c>
      <c r="AF292" s="286">
        <f>AF100</f>
        <v>307</v>
      </c>
      <c r="AG292" s="286"/>
      <c r="AH292" s="286">
        <f>AH100</f>
        <v>238</v>
      </c>
      <c r="AI292" s="286">
        <f>AI100</f>
        <v>243</v>
      </c>
      <c r="AJ292" s="286"/>
      <c r="AK292" s="286">
        <f>AK100</f>
        <v>556</v>
      </c>
      <c r="AL292" s="286">
        <f>AL100</f>
        <v>555</v>
      </c>
      <c r="AM292" s="286"/>
      <c r="AN292" s="286">
        <f>AN100</f>
        <v>1247</v>
      </c>
      <c r="AO292" s="286">
        <f>AO100</f>
        <v>1188</v>
      </c>
      <c r="AP292" s="286"/>
      <c r="AQ292" s="286">
        <f>AQ100</f>
        <v>0</v>
      </c>
      <c r="AR292" s="286">
        <f>AR100</f>
        <v>0</v>
      </c>
      <c r="AS292" s="286"/>
      <c r="AT292" s="286">
        <f>AT100</f>
        <v>1347</v>
      </c>
      <c r="AU292" s="286">
        <f>AU100</f>
        <v>1341</v>
      </c>
      <c r="AV292" s="286"/>
      <c r="AW292" s="286">
        <f>AW100</f>
        <v>485</v>
      </c>
      <c r="AX292" s="286">
        <f>AX100</f>
        <v>468</v>
      </c>
      <c r="AY292" s="286"/>
      <c r="AZ292" s="286">
        <f>AZ100</f>
        <v>714</v>
      </c>
      <c r="BA292" s="286">
        <f>BA100</f>
        <v>673</v>
      </c>
      <c r="BB292" s="286"/>
      <c r="BC292" s="286">
        <f>BC100</f>
        <v>1408</v>
      </c>
      <c r="BD292" s="286">
        <f>BD100</f>
        <v>1311</v>
      </c>
      <c r="BE292" s="286"/>
      <c r="BF292" s="286">
        <f>BF100</f>
        <v>3374</v>
      </c>
      <c r="BG292" s="286">
        <f>BG100</f>
        <v>3362</v>
      </c>
      <c r="BH292" s="286"/>
      <c r="BI292" s="286">
        <f>BI100</f>
        <v>5297</v>
      </c>
      <c r="BJ292" s="286">
        <f>BJ100</f>
        <v>5388</v>
      </c>
      <c r="BK292" s="286"/>
      <c r="BL292" s="286">
        <f>BL100</f>
        <v>564</v>
      </c>
      <c r="BM292" s="286">
        <f>BM100</f>
        <v>549</v>
      </c>
      <c r="BN292" s="286"/>
      <c r="BO292" s="286">
        <f>BO100</f>
        <v>522</v>
      </c>
      <c r="BP292" s="286">
        <f>BP100</f>
        <v>497</v>
      </c>
      <c r="BQ292" s="286"/>
      <c r="BR292" s="286">
        <f>BR100</f>
        <v>849</v>
      </c>
      <c r="BS292" s="286">
        <f>BS100</f>
        <v>779</v>
      </c>
      <c r="BT292" s="286"/>
      <c r="BU292" s="286">
        <f>BU100</f>
        <v>882</v>
      </c>
      <c r="BV292" s="286">
        <f>BV100</f>
        <v>868</v>
      </c>
      <c r="BW292" s="286"/>
      <c r="BX292" s="286">
        <f>BX100</f>
        <v>173</v>
      </c>
      <c r="BY292" s="286">
        <f>BY100</f>
        <v>168</v>
      </c>
      <c r="BZ292" s="286"/>
      <c r="CA292" s="286">
        <f>CA100</f>
        <v>554</v>
      </c>
      <c r="CB292" s="286">
        <f>CB100</f>
        <v>541</v>
      </c>
      <c r="CC292" s="286"/>
      <c r="CD292" s="286">
        <f>CD100</f>
        <v>503</v>
      </c>
      <c r="CE292" s="286">
        <f>CE100</f>
        <v>520</v>
      </c>
      <c r="CF292" s="286"/>
      <c r="CG292" s="286">
        <f>CG100</f>
        <v>300</v>
      </c>
      <c r="CH292" s="286">
        <f>CH100</f>
        <v>251</v>
      </c>
      <c r="CI292" s="286"/>
      <c r="CJ292" s="286">
        <f>CJ100</f>
        <v>92</v>
      </c>
      <c r="CK292" s="286">
        <f>CK100</f>
        <v>89</v>
      </c>
    </row>
    <row r="293" spans="1:89" ht="45" x14ac:dyDescent="0.25">
      <c r="A293" s="95"/>
      <c r="B293" s="294" t="s">
        <v>1185</v>
      </c>
      <c r="C293" s="95" t="s">
        <v>2439</v>
      </c>
      <c r="D293" s="95" t="s">
        <v>950</v>
      </c>
      <c r="E293" s="282"/>
      <c r="F293" s="282"/>
      <c r="G293" s="282"/>
      <c r="H293" s="282"/>
      <c r="I293" s="282">
        <v>1562</v>
      </c>
      <c r="J293" s="282">
        <f>J107</f>
        <v>1686</v>
      </c>
      <c r="K293" s="282">
        <f>K107</f>
        <v>1670</v>
      </c>
      <c r="L293" s="282">
        <v>204</v>
      </c>
      <c r="M293" s="282">
        <v>197</v>
      </c>
      <c r="N293" s="282">
        <v>208</v>
      </c>
      <c r="Q293" s="286">
        <f>S293+V293+Y293+AB293+AE293+AH293+AK293+AN293+AQ293+AT293+AW293+AZ293+BC293+BF293+BI293+BL293+BO293+BR293+BU293+BX293+CA293+CD293+CG293+CJ293</f>
        <v>1670</v>
      </c>
      <c r="R293" s="286">
        <f>T293+W293+Z293+AC293+AF293+AI293+AL293+AO293+AR293+AU293+AX293+BA293+BD293+BG293+BJ293+BM293+BP293+BS293+BV293+BY293+CB293+CE293+CH293+CK293</f>
        <v>1563</v>
      </c>
      <c r="S293" s="286">
        <f>S107</f>
        <v>101</v>
      </c>
      <c r="T293" s="286">
        <f>T107</f>
        <v>109</v>
      </c>
      <c r="U293" s="286"/>
      <c r="V293" s="286">
        <f>V107</f>
        <v>157</v>
      </c>
      <c r="W293" s="286">
        <f>W107</f>
        <v>132</v>
      </c>
      <c r="X293" s="286"/>
      <c r="Y293" s="286">
        <f>Y107</f>
        <v>139</v>
      </c>
      <c r="Z293" s="286">
        <f>Z107</f>
        <v>111</v>
      </c>
      <c r="AA293" s="286"/>
      <c r="AB293" s="286">
        <f>AB107</f>
        <v>232</v>
      </c>
      <c r="AC293" s="286">
        <f>AC107</f>
        <v>240</v>
      </c>
      <c r="AD293" s="286"/>
      <c r="AE293" s="286">
        <f>AE107</f>
        <v>105</v>
      </c>
      <c r="AF293" s="286">
        <f>AF107</f>
        <v>79</v>
      </c>
      <c r="AG293" s="286"/>
      <c r="AH293" s="286">
        <f>AH107</f>
        <v>192</v>
      </c>
      <c r="AI293" s="286">
        <f>AI107</f>
        <v>205</v>
      </c>
      <c r="AJ293" s="286"/>
      <c r="AK293" s="286">
        <f>AK107</f>
        <v>24</v>
      </c>
      <c r="AL293" s="286">
        <f>AL107</f>
        <v>23</v>
      </c>
      <c r="AM293" s="286"/>
      <c r="AN293" s="286">
        <f>AN107</f>
        <v>496</v>
      </c>
      <c r="AO293" s="286">
        <f>AO107</f>
        <v>422</v>
      </c>
      <c r="AP293" s="286"/>
      <c r="AQ293" s="286">
        <f>AQ107</f>
        <v>177</v>
      </c>
      <c r="AR293" s="286">
        <f>AR107</f>
        <v>189</v>
      </c>
      <c r="AS293" s="286"/>
      <c r="AT293" s="286">
        <f>AT107</f>
        <v>0</v>
      </c>
      <c r="AU293" s="286">
        <f>AU107</f>
        <v>0</v>
      </c>
      <c r="AV293" s="286"/>
      <c r="AW293" s="286">
        <f>AW107</f>
        <v>0</v>
      </c>
      <c r="AX293" s="286">
        <f>AX107</f>
        <v>0</v>
      </c>
      <c r="AY293" s="286"/>
      <c r="AZ293" s="286">
        <f>AZ107</f>
        <v>0</v>
      </c>
      <c r="BA293" s="286">
        <f>BA107</f>
        <v>0</v>
      </c>
      <c r="BB293" s="286"/>
      <c r="BC293" s="286">
        <f>BC107</f>
        <v>0</v>
      </c>
      <c r="BD293" s="286">
        <f>BD107</f>
        <v>0</v>
      </c>
      <c r="BE293" s="286"/>
      <c r="BF293" s="286">
        <f>BF107</f>
        <v>0</v>
      </c>
      <c r="BG293" s="286">
        <f>BG107</f>
        <v>0</v>
      </c>
      <c r="BH293" s="286"/>
      <c r="BI293" s="286">
        <f>BI107</f>
        <v>0</v>
      </c>
      <c r="BJ293" s="286">
        <f>BJ107</f>
        <v>0</v>
      </c>
      <c r="BK293" s="286"/>
      <c r="BL293" s="286">
        <f>BL107</f>
        <v>0</v>
      </c>
      <c r="BM293" s="286">
        <f>BM107</f>
        <v>0</v>
      </c>
      <c r="BN293" s="286"/>
      <c r="BO293" s="286">
        <f>BO107</f>
        <v>0</v>
      </c>
      <c r="BP293" s="286">
        <f>BP107</f>
        <v>0</v>
      </c>
      <c r="BQ293" s="286"/>
      <c r="BR293" s="286">
        <f>BR107</f>
        <v>0</v>
      </c>
      <c r="BS293" s="286">
        <f>BS107</f>
        <v>0</v>
      </c>
      <c r="BT293" s="286"/>
      <c r="BU293" s="286">
        <f>BU107</f>
        <v>0</v>
      </c>
      <c r="BV293" s="286">
        <f>BV107</f>
        <v>0</v>
      </c>
      <c r="BW293" s="286"/>
      <c r="BX293" s="286">
        <f>BX107</f>
        <v>0</v>
      </c>
      <c r="BY293" s="286">
        <f>BY107</f>
        <v>0</v>
      </c>
      <c r="BZ293" s="286"/>
      <c r="CA293" s="286">
        <f>CA107</f>
        <v>0</v>
      </c>
      <c r="CB293" s="286">
        <f>CB107</f>
        <v>0</v>
      </c>
      <c r="CC293" s="286"/>
      <c r="CD293" s="286">
        <f>CD107</f>
        <v>0</v>
      </c>
      <c r="CE293" s="286">
        <f>CE107</f>
        <v>0</v>
      </c>
      <c r="CF293" s="286"/>
      <c r="CG293" s="286">
        <f>CG107</f>
        <v>47</v>
      </c>
      <c r="CH293" s="286">
        <f>CH107</f>
        <v>53</v>
      </c>
      <c r="CI293" s="286"/>
      <c r="CJ293" s="286">
        <f>CJ107</f>
        <v>0</v>
      </c>
      <c r="CK293" s="286">
        <f>CK107</f>
        <v>0</v>
      </c>
    </row>
    <row r="294" spans="1:89" x14ac:dyDescent="0.25">
      <c r="A294" s="95"/>
      <c r="B294" s="96" t="s">
        <v>1184</v>
      </c>
      <c r="C294" s="95"/>
      <c r="D294" s="95" t="s">
        <v>8</v>
      </c>
      <c r="E294" s="282"/>
      <c r="F294" s="282"/>
      <c r="G294" s="282"/>
      <c r="H294" s="282"/>
      <c r="I294" s="293">
        <f t="shared" ref="I294:K296" si="533">I297/I300*100</f>
        <v>47.058823529411761</v>
      </c>
      <c r="J294" s="293">
        <f t="shared" si="533"/>
        <v>78.461538461538467</v>
      </c>
      <c r="K294" s="293">
        <f t="shared" si="533"/>
        <v>0</v>
      </c>
      <c r="L294" s="293" t="e">
        <f t="shared" ref="L294:M296" si="534">L297/L300*100</f>
        <v>#DIV/0!</v>
      </c>
      <c r="M294" s="293" t="e">
        <f t="shared" si="534"/>
        <v>#DIV/0!</v>
      </c>
      <c r="N294" s="293" t="e">
        <f t="shared" ref="N294" si="535">N297/N300*100</f>
        <v>#DIV/0!</v>
      </c>
      <c r="Q294" s="293">
        <f t="shared" ref="Q294:T296" si="536">Q297/Q300*100</f>
        <v>0</v>
      </c>
      <c r="R294" s="293">
        <f t="shared" si="536"/>
        <v>20.689655172413794</v>
      </c>
      <c r="S294" s="293" t="e">
        <f t="shared" si="536"/>
        <v>#DIV/0!</v>
      </c>
      <c r="T294" s="293" t="e">
        <f t="shared" si="536"/>
        <v>#DIV/0!</v>
      </c>
      <c r="V294" s="293" t="e">
        <f t="shared" ref="V294:W296" si="537">V297/V300*100</f>
        <v>#DIV/0!</v>
      </c>
      <c r="W294" s="293" t="e">
        <f t="shared" si="537"/>
        <v>#DIV/0!</v>
      </c>
      <c r="Y294" s="293" t="e">
        <f t="shared" ref="Y294:Z296" si="538">Y297/Y300*100</f>
        <v>#DIV/0!</v>
      </c>
      <c r="Z294" s="293" t="e">
        <f t="shared" si="538"/>
        <v>#DIV/0!</v>
      </c>
      <c r="AB294" s="293" t="e">
        <f t="shared" ref="AB294:AC296" si="539">AB297/AB300*100</f>
        <v>#DIV/0!</v>
      </c>
      <c r="AC294" s="293" t="e">
        <f t="shared" si="539"/>
        <v>#DIV/0!</v>
      </c>
      <c r="AE294" s="293" t="e">
        <f t="shared" ref="AE294:AF296" si="540">AE297/AE300*100</f>
        <v>#DIV/0!</v>
      </c>
      <c r="AF294" s="293" t="e">
        <f t="shared" si="540"/>
        <v>#DIV/0!</v>
      </c>
      <c r="AH294" s="293" t="e">
        <f t="shared" ref="AH294:AI296" si="541">AH297/AH300*100</f>
        <v>#DIV/0!</v>
      </c>
      <c r="AI294" s="293" t="e">
        <f t="shared" si="541"/>
        <v>#DIV/0!</v>
      </c>
      <c r="AK294" s="293" t="e">
        <f t="shared" ref="AK294:AL296" si="542">AK297/AK300*100</f>
        <v>#DIV/0!</v>
      </c>
      <c r="AL294" s="293" t="e">
        <f t="shared" si="542"/>
        <v>#DIV/0!</v>
      </c>
      <c r="AN294" s="293" t="e">
        <f t="shared" ref="AN294:AO296" si="543">AN297/AN300*100</f>
        <v>#DIV/0!</v>
      </c>
      <c r="AO294" s="293" t="e">
        <f t="shared" si="543"/>
        <v>#DIV/0!</v>
      </c>
      <c r="AQ294" s="293" t="e">
        <f t="shared" ref="AQ294:AR296" si="544">AQ297/AQ300*100</f>
        <v>#DIV/0!</v>
      </c>
      <c r="AR294" s="293" t="e">
        <f t="shared" si="544"/>
        <v>#DIV/0!</v>
      </c>
      <c r="AT294" s="293" t="e">
        <f t="shared" ref="AT294:AU296" si="545">AT297/AT300*100</f>
        <v>#DIV/0!</v>
      </c>
      <c r="AU294" s="293" t="e">
        <f t="shared" si="545"/>
        <v>#DIV/0!</v>
      </c>
      <c r="AW294" s="293" t="e">
        <f t="shared" ref="AW294:AX296" si="546">AW297/AW300*100</f>
        <v>#DIV/0!</v>
      </c>
      <c r="AX294" s="293" t="e">
        <f t="shared" si="546"/>
        <v>#DIV/0!</v>
      </c>
      <c r="AZ294" s="293" t="e">
        <f t="shared" ref="AZ294:BA296" si="547">AZ297/AZ300*100</f>
        <v>#DIV/0!</v>
      </c>
      <c r="BA294" s="293" t="e">
        <f t="shared" si="547"/>
        <v>#DIV/0!</v>
      </c>
      <c r="BC294" s="293">
        <f t="shared" ref="BC294:BD296" si="548">BC297/BC300*100</f>
        <v>0</v>
      </c>
      <c r="BD294" s="293">
        <f t="shared" si="548"/>
        <v>0</v>
      </c>
      <c r="BF294" s="293">
        <f t="shared" ref="BF294:BG296" si="549">BF297/BF300*100</f>
        <v>0</v>
      </c>
      <c r="BG294" s="293">
        <f t="shared" si="549"/>
        <v>0</v>
      </c>
      <c r="BI294" s="293">
        <f t="shared" ref="BI294:BJ296" si="550">BI297/BI300*100</f>
        <v>0</v>
      </c>
      <c r="BJ294" s="293">
        <f t="shared" si="550"/>
        <v>42.857142857142854</v>
      </c>
      <c r="BL294" s="293" t="e">
        <f t="shared" ref="BL294:BM296" si="551">BL297/BL300*100</f>
        <v>#DIV/0!</v>
      </c>
      <c r="BM294" s="293" t="e">
        <f t="shared" si="551"/>
        <v>#DIV/0!</v>
      </c>
      <c r="BO294" s="293" t="e">
        <f t="shared" ref="BO294:BP296" si="552">BO297/BO300*100</f>
        <v>#DIV/0!</v>
      </c>
      <c r="BP294" s="293" t="e">
        <f t="shared" si="552"/>
        <v>#DIV/0!</v>
      </c>
      <c r="BR294" s="293" t="e">
        <f t="shared" ref="BR294:BS296" si="553">BR297/BR300*100</f>
        <v>#DIV/0!</v>
      </c>
      <c r="BS294" s="293" t="e">
        <f t="shared" si="553"/>
        <v>#DIV/0!</v>
      </c>
      <c r="BU294" s="293" t="e">
        <f t="shared" ref="BU294:BV296" si="554">BU297/BU300*100</f>
        <v>#DIV/0!</v>
      </c>
      <c r="BV294" s="293" t="e">
        <f t="shared" si="554"/>
        <v>#DIV/0!</v>
      </c>
      <c r="BX294" s="293" t="e">
        <f t="shared" ref="BX294:BY296" si="555">BX297/BX300*100</f>
        <v>#DIV/0!</v>
      </c>
      <c r="BY294" s="293" t="e">
        <f t="shared" si="555"/>
        <v>#DIV/0!</v>
      </c>
      <c r="CA294" s="293" t="e">
        <f t="shared" ref="CA294:CB296" si="556">CA297/CA300*100</f>
        <v>#DIV/0!</v>
      </c>
      <c r="CB294" s="293" t="e">
        <f t="shared" si="556"/>
        <v>#DIV/0!</v>
      </c>
      <c r="CD294" s="293">
        <f t="shared" ref="CD294:CE296" si="557">CD297/CD300*100</f>
        <v>0</v>
      </c>
      <c r="CE294" s="293">
        <f t="shared" si="557"/>
        <v>0</v>
      </c>
      <c r="CG294" s="293" t="e">
        <f t="shared" ref="CG294:CH296" si="558">CG297/CG300*100</f>
        <v>#DIV/0!</v>
      </c>
      <c r="CH294" s="293" t="e">
        <f t="shared" si="558"/>
        <v>#DIV/0!</v>
      </c>
      <c r="CJ294" s="293" t="e">
        <f t="shared" ref="CJ294:CK296" si="559">CJ297/CJ300*100</f>
        <v>#DIV/0!</v>
      </c>
      <c r="CK294" s="293" t="e">
        <f t="shared" si="559"/>
        <v>#DIV/0!</v>
      </c>
    </row>
    <row r="295" spans="1:89" x14ac:dyDescent="0.25">
      <c r="A295" s="95"/>
      <c r="B295" s="96" t="s">
        <v>1183</v>
      </c>
      <c r="C295" s="95"/>
      <c r="D295" s="95" t="s">
        <v>8</v>
      </c>
      <c r="E295" s="282"/>
      <c r="F295" s="282"/>
      <c r="G295" s="282"/>
      <c r="H295" s="282"/>
      <c r="I295" s="293">
        <f t="shared" si="533"/>
        <v>47.058823529411761</v>
      </c>
      <c r="J295" s="293">
        <f t="shared" si="533"/>
        <v>78.461538461538467</v>
      </c>
      <c r="K295" s="293">
        <f t="shared" si="533"/>
        <v>0</v>
      </c>
      <c r="L295" s="293" t="e">
        <f t="shared" ref="L295" si="560">L298/L301*100</f>
        <v>#DIV/0!</v>
      </c>
      <c r="M295" s="293" t="e">
        <f t="shared" si="534"/>
        <v>#DIV/0!</v>
      </c>
      <c r="N295" s="293" t="e">
        <f t="shared" ref="N295" si="561">N298/N301*100</f>
        <v>#DIV/0!</v>
      </c>
      <c r="Q295" s="293">
        <f t="shared" si="536"/>
        <v>0</v>
      </c>
      <c r="R295" s="293">
        <f t="shared" si="536"/>
        <v>20.689655172413794</v>
      </c>
      <c r="S295" s="293" t="e">
        <f t="shared" si="536"/>
        <v>#DIV/0!</v>
      </c>
      <c r="T295" s="293" t="e">
        <f t="shared" si="536"/>
        <v>#DIV/0!</v>
      </c>
      <c r="V295" s="293" t="e">
        <f t="shared" si="537"/>
        <v>#DIV/0!</v>
      </c>
      <c r="W295" s="293" t="e">
        <f t="shared" si="537"/>
        <v>#DIV/0!</v>
      </c>
      <c r="Y295" s="293" t="e">
        <f t="shared" si="538"/>
        <v>#DIV/0!</v>
      </c>
      <c r="Z295" s="293" t="e">
        <f t="shared" si="538"/>
        <v>#DIV/0!</v>
      </c>
      <c r="AB295" s="293" t="e">
        <f t="shared" si="539"/>
        <v>#DIV/0!</v>
      </c>
      <c r="AC295" s="293" t="e">
        <f t="shared" si="539"/>
        <v>#DIV/0!</v>
      </c>
      <c r="AE295" s="293" t="e">
        <f t="shared" si="540"/>
        <v>#DIV/0!</v>
      </c>
      <c r="AF295" s="293" t="e">
        <f t="shared" si="540"/>
        <v>#DIV/0!</v>
      </c>
      <c r="AH295" s="293" t="e">
        <f t="shared" si="541"/>
        <v>#DIV/0!</v>
      </c>
      <c r="AI295" s="293" t="e">
        <f t="shared" si="541"/>
        <v>#DIV/0!</v>
      </c>
      <c r="AK295" s="293" t="e">
        <f t="shared" si="542"/>
        <v>#DIV/0!</v>
      </c>
      <c r="AL295" s="293" t="e">
        <f t="shared" si="542"/>
        <v>#DIV/0!</v>
      </c>
      <c r="AN295" s="293" t="e">
        <f t="shared" si="543"/>
        <v>#DIV/0!</v>
      </c>
      <c r="AO295" s="293" t="e">
        <f t="shared" si="543"/>
        <v>#DIV/0!</v>
      </c>
      <c r="AQ295" s="293" t="e">
        <f t="shared" si="544"/>
        <v>#DIV/0!</v>
      </c>
      <c r="AR295" s="293" t="e">
        <f t="shared" si="544"/>
        <v>#DIV/0!</v>
      </c>
      <c r="AT295" s="293" t="e">
        <f t="shared" si="545"/>
        <v>#DIV/0!</v>
      </c>
      <c r="AU295" s="293" t="e">
        <f t="shared" si="545"/>
        <v>#DIV/0!</v>
      </c>
      <c r="AW295" s="293" t="e">
        <f t="shared" si="546"/>
        <v>#DIV/0!</v>
      </c>
      <c r="AX295" s="293" t="e">
        <f t="shared" si="546"/>
        <v>#DIV/0!</v>
      </c>
      <c r="AZ295" s="293" t="e">
        <f t="shared" si="547"/>
        <v>#DIV/0!</v>
      </c>
      <c r="BA295" s="293" t="e">
        <f t="shared" si="547"/>
        <v>#DIV/0!</v>
      </c>
      <c r="BC295" s="293">
        <f t="shared" si="548"/>
        <v>0</v>
      </c>
      <c r="BD295" s="293">
        <f t="shared" si="548"/>
        <v>0</v>
      </c>
      <c r="BF295" s="293">
        <f t="shared" si="549"/>
        <v>0</v>
      </c>
      <c r="BG295" s="293">
        <f t="shared" si="549"/>
        <v>0</v>
      </c>
      <c r="BI295" s="293">
        <f t="shared" si="550"/>
        <v>0</v>
      </c>
      <c r="BJ295" s="293">
        <f t="shared" si="550"/>
        <v>42.857142857142854</v>
      </c>
      <c r="BL295" s="293" t="e">
        <f t="shared" si="551"/>
        <v>#DIV/0!</v>
      </c>
      <c r="BM295" s="293" t="e">
        <f t="shared" si="551"/>
        <v>#DIV/0!</v>
      </c>
      <c r="BO295" s="293" t="e">
        <f t="shared" si="552"/>
        <v>#DIV/0!</v>
      </c>
      <c r="BP295" s="293" t="e">
        <f t="shared" si="552"/>
        <v>#DIV/0!</v>
      </c>
      <c r="BR295" s="293" t="e">
        <f t="shared" si="553"/>
        <v>#DIV/0!</v>
      </c>
      <c r="BS295" s="293" t="e">
        <f t="shared" si="553"/>
        <v>#DIV/0!</v>
      </c>
      <c r="BU295" s="293" t="e">
        <f t="shared" si="554"/>
        <v>#DIV/0!</v>
      </c>
      <c r="BV295" s="293" t="e">
        <f t="shared" si="554"/>
        <v>#DIV/0!</v>
      </c>
      <c r="BX295" s="293" t="e">
        <f t="shared" si="555"/>
        <v>#DIV/0!</v>
      </c>
      <c r="BY295" s="293" t="e">
        <f t="shared" si="555"/>
        <v>#DIV/0!</v>
      </c>
      <c r="CA295" s="293" t="e">
        <f t="shared" si="556"/>
        <v>#DIV/0!</v>
      </c>
      <c r="CB295" s="293" t="e">
        <f t="shared" si="556"/>
        <v>#DIV/0!</v>
      </c>
      <c r="CD295" s="293">
        <f t="shared" si="557"/>
        <v>0</v>
      </c>
      <c r="CE295" s="293">
        <f t="shared" si="557"/>
        <v>0</v>
      </c>
      <c r="CG295" s="293" t="e">
        <f t="shared" si="558"/>
        <v>#DIV/0!</v>
      </c>
      <c r="CH295" s="293" t="e">
        <f t="shared" si="558"/>
        <v>#DIV/0!</v>
      </c>
      <c r="CJ295" s="293" t="e">
        <f t="shared" si="559"/>
        <v>#DIV/0!</v>
      </c>
      <c r="CK295" s="293" t="e">
        <f t="shared" si="559"/>
        <v>#DIV/0!</v>
      </c>
    </row>
    <row r="296" spans="1:89" x14ac:dyDescent="0.25">
      <c r="A296" s="95"/>
      <c r="B296" s="96" t="s">
        <v>1185</v>
      </c>
      <c r="C296" s="95"/>
      <c r="D296" s="95" t="s">
        <v>8</v>
      </c>
      <c r="E296" s="282"/>
      <c r="F296" s="282"/>
      <c r="G296" s="282"/>
      <c r="H296" s="282"/>
      <c r="I296" s="293" t="e">
        <f t="shared" si="533"/>
        <v>#DIV/0!</v>
      </c>
      <c r="J296" s="293" t="e">
        <f t="shared" si="533"/>
        <v>#DIV/0!</v>
      </c>
      <c r="K296" s="293" t="e">
        <f t="shared" si="533"/>
        <v>#DIV/0!</v>
      </c>
      <c r="L296" s="293" t="e">
        <f t="shared" ref="L296" si="562">L299/L302*100</f>
        <v>#DIV/0!</v>
      </c>
      <c r="M296" s="293" t="e">
        <f t="shared" si="534"/>
        <v>#DIV/0!</v>
      </c>
      <c r="N296" s="293" t="e">
        <f t="shared" ref="N296" si="563">N299/N302*100</f>
        <v>#DIV/0!</v>
      </c>
      <c r="Q296" s="293" t="e">
        <f t="shared" si="536"/>
        <v>#DIV/0!</v>
      </c>
      <c r="R296" s="293" t="e">
        <f t="shared" si="536"/>
        <v>#DIV/0!</v>
      </c>
      <c r="S296" s="293" t="e">
        <f t="shared" si="536"/>
        <v>#DIV/0!</v>
      </c>
      <c r="T296" s="293" t="e">
        <f t="shared" si="536"/>
        <v>#DIV/0!</v>
      </c>
      <c r="V296" s="293" t="e">
        <f t="shared" si="537"/>
        <v>#DIV/0!</v>
      </c>
      <c r="W296" s="293" t="e">
        <f t="shared" si="537"/>
        <v>#DIV/0!</v>
      </c>
      <c r="Y296" s="293" t="e">
        <f t="shared" si="538"/>
        <v>#DIV/0!</v>
      </c>
      <c r="Z296" s="293" t="e">
        <f t="shared" si="538"/>
        <v>#DIV/0!</v>
      </c>
      <c r="AB296" s="293" t="e">
        <f t="shared" si="539"/>
        <v>#DIV/0!</v>
      </c>
      <c r="AC296" s="293" t="e">
        <f t="shared" si="539"/>
        <v>#DIV/0!</v>
      </c>
      <c r="AE296" s="293" t="e">
        <f t="shared" si="540"/>
        <v>#DIV/0!</v>
      </c>
      <c r="AF296" s="293" t="e">
        <f t="shared" si="540"/>
        <v>#DIV/0!</v>
      </c>
      <c r="AH296" s="293" t="e">
        <f t="shared" si="541"/>
        <v>#DIV/0!</v>
      </c>
      <c r="AI296" s="293" t="e">
        <f t="shared" si="541"/>
        <v>#DIV/0!</v>
      </c>
      <c r="AK296" s="293" t="e">
        <f t="shared" si="542"/>
        <v>#DIV/0!</v>
      </c>
      <c r="AL296" s="293" t="e">
        <f t="shared" si="542"/>
        <v>#DIV/0!</v>
      </c>
      <c r="AN296" s="293" t="e">
        <f t="shared" si="543"/>
        <v>#DIV/0!</v>
      </c>
      <c r="AO296" s="293" t="e">
        <f t="shared" si="543"/>
        <v>#DIV/0!</v>
      </c>
      <c r="AQ296" s="293" t="e">
        <f t="shared" si="544"/>
        <v>#DIV/0!</v>
      </c>
      <c r="AR296" s="293" t="e">
        <f t="shared" si="544"/>
        <v>#DIV/0!</v>
      </c>
      <c r="AT296" s="293" t="e">
        <f t="shared" si="545"/>
        <v>#DIV/0!</v>
      </c>
      <c r="AU296" s="293" t="e">
        <f t="shared" si="545"/>
        <v>#DIV/0!</v>
      </c>
      <c r="AW296" s="293" t="e">
        <f t="shared" si="546"/>
        <v>#DIV/0!</v>
      </c>
      <c r="AX296" s="293" t="e">
        <f t="shared" si="546"/>
        <v>#DIV/0!</v>
      </c>
      <c r="AZ296" s="293" t="e">
        <f t="shared" si="547"/>
        <v>#DIV/0!</v>
      </c>
      <c r="BA296" s="293" t="e">
        <f t="shared" si="547"/>
        <v>#DIV/0!</v>
      </c>
      <c r="BC296" s="293" t="e">
        <f t="shared" si="548"/>
        <v>#DIV/0!</v>
      </c>
      <c r="BD296" s="293" t="e">
        <f t="shared" si="548"/>
        <v>#DIV/0!</v>
      </c>
      <c r="BF296" s="293" t="e">
        <f t="shared" si="549"/>
        <v>#DIV/0!</v>
      </c>
      <c r="BG296" s="293" t="e">
        <f t="shared" si="549"/>
        <v>#DIV/0!</v>
      </c>
      <c r="BI296" s="293" t="e">
        <f t="shared" si="550"/>
        <v>#DIV/0!</v>
      </c>
      <c r="BJ296" s="293" t="e">
        <f t="shared" si="550"/>
        <v>#DIV/0!</v>
      </c>
      <c r="BL296" s="293" t="e">
        <f t="shared" si="551"/>
        <v>#DIV/0!</v>
      </c>
      <c r="BM296" s="293" t="e">
        <f t="shared" si="551"/>
        <v>#DIV/0!</v>
      </c>
      <c r="BO296" s="293" t="e">
        <f t="shared" si="552"/>
        <v>#DIV/0!</v>
      </c>
      <c r="BP296" s="293" t="e">
        <f t="shared" si="552"/>
        <v>#DIV/0!</v>
      </c>
      <c r="BR296" s="293" t="e">
        <f t="shared" si="553"/>
        <v>#DIV/0!</v>
      </c>
      <c r="BS296" s="293" t="e">
        <f t="shared" si="553"/>
        <v>#DIV/0!</v>
      </c>
      <c r="BU296" s="293" t="e">
        <f t="shared" si="554"/>
        <v>#DIV/0!</v>
      </c>
      <c r="BV296" s="293" t="e">
        <f t="shared" si="554"/>
        <v>#DIV/0!</v>
      </c>
      <c r="BX296" s="293" t="e">
        <f t="shared" si="555"/>
        <v>#DIV/0!</v>
      </c>
      <c r="BY296" s="293" t="e">
        <f t="shared" si="555"/>
        <v>#DIV/0!</v>
      </c>
      <c r="CA296" s="293" t="e">
        <f t="shared" si="556"/>
        <v>#DIV/0!</v>
      </c>
      <c r="CB296" s="293" t="e">
        <f t="shared" si="556"/>
        <v>#DIV/0!</v>
      </c>
      <c r="CD296" s="293" t="e">
        <f t="shared" si="557"/>
        <v>#DIV/0!</v>
      </c>
      <c r="CE296" s="293" t="e">
        <f t="shared" si="557"/>
        <v>#DIV/0!</v>
      </c>
      <c r="CG296" s="293" t="e">
        <f t="shared" si="558"/>
        <v>#DIV/0!</v>
      </c>
      <c r="CH296" s="293" t="e">
        <f t="shared" si="558"/>
        <v>#DIV/0!</v>
      </c>
      <c r="CJ296" s="293" t="e">
        <f t="shared" si="559"/>
        <v>#DIV/0!</v>
      </c>
      <c r="CK296" s="293" t="e">
        <f t="shared" si="559"/>
        <v>#DIV/0!</v>
      </c>
    </row>
    <row r="297" spans="1:89" x14ac:dyDescent="0.25">
      <c r="A297" s="107"/>
      <c r="B297" s="96" t="s">
        <v>1836</v>
      </c>
      <c r="C297" s="95"/>
      <c r="D297" s="95" t="s">
        <v>950</v>
      </c>
      <c r="E297" s="282"/>
      <c r="F297" s="282"/>
      <c r="G297" s="282"/>
      <c r="H297" s="282"/>
      <c r="I297" s="282">
        <f t="shared" ref="I297:N297" si="564">I298+I299</f>
        <v>32</v>
      </c>
      <c r="J297" s="282">
        <f t="shared" si="564"/>
        <v>51</v>
      </c>
      <c r="K297" s="282">
        <f t="shared" si="564"/>
        <v>0</v>
      </c>
      <c r="L297" s="282">
        <f t="shared" si="564"/>
        <v>0</v>
      </c>
      <c r="M297" s="282">
        <f t="shared" si="564"/>
        <v>0</v>
      </c>
      <c r="N297" s="282">
        <f t="shared" si="564"/>
        <v>0</v>
      </c>
      <c r="Q297" s="282">
        <f>Q298+Q299</f>
        <v>0</v>
      </c>
      <c r="R297" s="282">
        <f>R298+R299</f>
        <v>18</v>
      </c>
      <c r="S297" s="282">
        <f>S298+S299</f>
        <v>0</v>
      </c>
      <c r="T297" s="282">
        <f>T298+T299</f>
        <v>0</v>
      </c>
      <c r="V297" s="282">
        <f>V298+V299</f>
        <v>0</v>
      </c>
      <c r="W297" s="282">
        <f>W298+W299</f>
        <v>0</v>
      </c>
      <c r="Y297" s="282">
        <f>Y298+Y299</f>
        <v>0</v>
      </c>
      <c r="Z297" s="282">
        <f>Z298+Z299</f>
        <v>0</v>
      </c>
      <c r="AB297" s="282">
        <f>AB298+AB299</f>
        <v>0</v>
      </c>
      <c r="AC297" s="282">
        <f>AC298+AC299</f>
        <v>0</v>
      </c>
      <c r="AE297" s="282">
        <f>AE298+AE299</f>
        <v>0</v>
      </c>
      <c r="AF297" s="282">
        <f>AF298+AF299</f>
        <v>0</v>
      </c>
      <c r="AH297" s="282">
        <f>AH298+AH299</f>
        <v>0</v>
      </c>
      <c r="AI297" s="282">
        <f>AI298+AI299</f>
        <v>0</v>
      </c>
      <c r="AK297" s="282">
        <f>AK298+AK299</f>
        <v>0</v>
      </c>
      <c r="AL297" s="282">
        <f>AL298+AL299</f>
        <v>0</v>
      </c>
      <c r="AN297" s="282">
        <f>AN298+AN299</f>
        <v>0</v>
      </c>
      <c r="AO297" s="282">
        <f>AO298+AO299</f>
        <v>0</v>
      </c>
      <c r="AQ297" s="282">
        <f>AQ298+AQ299</f>
        <v>0</v>
      </c>
      <c r="AR297" s="282">
        <f>AR298+AR299</f>
        <v>0</v>
      </c>
      <c r="AT297" s="282">
        <f>AT298+AT299</f>
        <v>0</v>
      </c>
      <c r="AU297" s="282">
        <f>AU298+AU299</f>
        <v>0</v>
      </c>
      <c r="AW297" s="282">
        <f>AW298+AW299</f>
        <v>0</v>
      </c>
      <c r="AX297" s="282">
        <f>AX298+AX299</f>
        <v>0</v>
      </c>
      <c r="AZ297" s="282">
        <f>AZ298+AZ299</f>
        <v>0</v>
      </c>
      <c r="BA297" s="282">
        <f>BA298+BA299</f>
        <v>0</v>
      </c>
      <c r="BC297" s="282">
        <f>BC298+BC299</f>
        <v>0</v>
      </c>
      <c r="BD297" s="282">
        <f>BD298+BD299</f>
        <v>0</v>
      </c>
      <c r="BF297" s="282">
        <f>BF298+BF299</f>
        <v>0</v>
      </c>
      <c r="BG297" s="282">
        <f>BG298+BG299</f>
        <v>0</v>
      </c>
      <c r="BI297" s="282">
        <f>BI298+BI299</f>
        <v>0</v>
      </c>
      <c r="BJ297" s="282">
        <f>BJ298+BJ299</f>
        <v>18</v>
      </c>
      <c r="BL297" s="282">
        <f>BL298+BL299</f>
        <v>0</v>
      </c>
      <c r="BM297" s="282">
        <f>BM298+BM299</f>
        <v>0</v>
      </c>
      <c r="BO297" s="282">
        <f>BO298+BO299</f>
        <v>0</v>
      </c>
      <c r="BP297" s="282">
        <f>BP298+BP299</f>
        <v>0</v>
      </c>
      <c r="BR297" s="282">
        <f>BR298+BR299</f>
        <v>0</v>
      </c>
      <c r="BS297" s="282">
        <f>BS298+BS299</f>
        <v>0</v>
      </c>
      <c r="BU297" s="282">
        <f>BU298+BU299</f>
        <v>0</v>
      </c>
      <c r="BV297" s="282">
        <f>BV298+BV299</f>
        <v>0</v>
      </c>
      <c r="BX297" s="282">
        <f>BX298+BX299</f>
        <v>0</v>
      </c>
      <c r="BY297" s="282">
        <f>BY298+BY299</f>
        <v>0</v>
      </c>
      <c r="CA297" s="282">
        <f>CA298+CA299</f>
        <v>0</v>
      </c>
      <c r="CB297" s="282">
        <f>CB298+CB299</f>
        <v>0</v>
      </c>
      <c r="CD297" s="282">
        <f>CD298+CD299</f>
        <v>0</v>
      </c>
      <c r="CE297" s="282">
        <f>CE298+CE299</f>
        <v>0</v>
      </c>
      <c r="CG297" s="282">
        <f>CG298+CG299</f>
        <v>0</v>
      </c>
      <c r="CH297" s="282">
        <f>CH298+CH299</f>
        <v>0</v>
      </c>
      <c r="CJ297" s="282">
        <f>CJ298+CJ299</f>
        <v>0</v>
      </c>
      <c r="CK297" s="282">
        <f>CK298+CK299</f>
        <v>0</v>
      </c>
    </row>
    <row r="298" spans="1:89" ht="45" x14ac:dyDescent="0.25">
      <c r="A298" s="107"/>
      <c r="B298" s="294" t="s">
        <v>1183</v>
      </c>
      <c r="C298" s="95" t="s">
        <v>1838</v>
      </c>
      <c r="D298" s="95" t="s">
        <v>950</v>
      </c>
      <c r="E298" s="282"/>
      <c r="F298" s="282"/>
      <c r="G298" s="282"/>
      <c r="H298" s="282"/>
      <c r="I298" s="282">
        <v>32</v>
      </c>
      <c r="J298" s="282">
        <v>51</v>
      </c>
      <c r="K298" s="282">
        <v>0</v>
      </c>
      <c r="L298" s="282">
        <v>0</v>
      </c>
      <c r="M298" s="282">
        <v>0</v>
      </c>
      <c r="N298" s="282">
        <v>0</v>
      </c>
      <c r="Q298" s="283">
        <f>S298+V298+Y298+AB298+AE298+AH298+AK298+AN298+AQ298+AT298+AW298+AZ298+BC298+BF298+BI298+BL298+BO298+BR298+BU298+BX298+CA298+CD298+CG298+CJ298</f>
        <v>0</v>
      </c>
      <c r="R298" s="283">
        <f>T298+W298+Z298+AC298+AF298+AI298+AL298+AO298+AR298+AU298+AX298+BA298+BD298+BG298+BJ298+BM298+BP298+BS298+BV298+BY298+CB298+CE298+CH298+CK298</f>
        <v>18</v>
      </c>
      <c r="S298" s="267">
        <v>0</v>
      </c>
      <c r="T298" s="267">
        <v>0</v>
      </c>
      <c r="V298" s="267">
        <v>0</v>
      </c>
      <c r="W298" s="267">
        <v>0</v>
      </c>
      <c r="Y298" s="267">
        <v>0</v>
      </c>
      <c r="Z298" s="267">
        <v>0</v>
      </c>
      <c r="AB298" s="267">
        <v>0</v>
      </c>
      <c r="AC298" s="267">
        <v>0</v>
      </c>
      <c r="AE298" s="267">
        <v>0</v>
      </c>
      <c r="AF298" s="267">
        <v>0</v>
      </c>
      <c r="AH298" s="267">
        <v>0</v>
      </c>
      <c r="AI298" s="267">
        <v>0</v>
      </c>
      <c r="AK298" s="267">
        <v>0</v>
      </c>
      <c r="AL298" s="267">
        <v>0</v>
      </c>
      <c r="AN298" s="267">
        <v>0</v>
      </c>
      <c r="AO298" s="267">
        <v>0</v>
      </c>
      <c r="AQ298" s="267">
        <v>0</v>
      </c>
      <c r="AR298" s="267">
        <v>0</v>
      </c>
      <c r="AT298" s="267">
        <v>0</v>
      </c>
      <c r="AU298" s="267">
        <v>0</v>
      </c>
      <c r="AW298" s="267">
        <v>0</v>
      </c>
      <c r="AX298" s="267">
        <v>0</v>
      </c>
      <c r="AZ298" s="267">
        <v>0</v>
      </c>
      <c r="BA298" s="267">
        <v>0</v>
      </c>
      <c r="BC298" s="267">
        <v>0</v>
      </c>
      <c r="BD298" s="267">
        <v>0</v>
      </c>
      <c r="BF298" s="267">
        <v>0</v>
      </c>
      <c r="BG298" s="267">
        <v>0</v>
      </c>
      <c r="BI298" s="267">
        <v>0</v>
      </c>
      <c r="BJ298" s="267">
        <v>18</v>
      </c>
      <c r="BL298" s="267">
        <v>0</v>
      </c>
      <c r="BM298" s="267">
        <v>0</v>
      </c>
      <c r="BO298" s="267">
        <v>0</v>
      </c>
      <c r="BP298" s="267">
        <v>0</v>
      </c>
      <c r="BR298" s="267">
        <v>0</v>
      </c>
      <c r="BS298" s="267">
        <v>0</v>
      </c>
      <c r="BU298" s="267">
        <v>0</v>
      </c>
      <c r="BV298" s="267">
        <v>0</v>
      </c>
      <c r="BX298" s="267">
        <v>0</v>
      </c>
      <c r="BY298" s="267">
        <v>0</v>
      </c>
      <c r="CA298" s="267">
        <v>0</v>
      </c>
      <c r="CB298" s="267">
        <v>0</v>
      </c>
      <c r="CD298" s="267">
        <v>0</v>
      </c>
      <c r="CE298" s="267">
        <v>0</v>
      </c>
      <c r="CG298" s="267">
        <v>0</v>
      </c>
      <c r="CH298" s="267">
        <v>0</v>
      </c>
      <c r="CJ298" s="267">
        <v>0</v>
      </c>
      <c r="CK298" s="267">
        <v>0</v>
      </c>
    </row>
    <row r="299" spans="1:89" ht="45" x14ac:dyDescent="0.25">
      <c r="A299" s="107"/>
      <c r="B299" s="294" t="s">
        <v>1185</v>
      </c>
      <c r="C299" s="95" t="s">
        <v>1838</v>
      </c>
      <c r="D299" s="95" t="s">
        <v>950</v>
      </c>
      <c r="E299" s="282"/>
      <c r="F299" s="282"/>
      <c r="G299" s="282"/>
      <c r="H299" s="282"/>
      <c r="I299" s="282">
        <v>0</v>
      </c>
      <c r="J299" s="282">
        <v>0</v>
      </c>
      <c r="K299" s="282">
        <v>0</v>
      </c>
      <c r="L299" s="282">
        <v>0</v>
      </c>
      <c r="M299" s="282">
        <v>0</v>
      </c>
      <c r="N299" s="282">
        <v>0</v>
      </c>
      <c r="Q299" s="283">
        <f>S299+V299+Y299+AB299+AE299+AH299+AK299+AN299+AQ299+AT299+AW299+AZ299+BC299+BF299+BI299+BL299+BO299+BR299+BU299+BX299+CA299+CD299+CG299+CJ299</f>
        <v>0</v>
      </c>
      <c r="R299" s="283">
        <f>T299+W299+Z299+AC299+AF299+AI299+AL299+AO299+AR299+AU299+AX299+BA299+BD299+BG299+BJ299+BM299+BP299+BS299+BV299+BY299+CB299+CE299+CH299+CK299</f>
        <v>0</v>
      </c>
      <c r="S299" s="267">
        <v>0</v>
      </c>
      <c r="T299" s="267">
        <v>0</v>
      </c>
      <c r="V299" s="267">
        <v>0</v>
      </c>
      <c r="W299" s="267">
        <v>0</v>
      </c>
      <c r="Y299" s="267">
        <v>0</v>
      </c>
      <c r="Z299" s="267">
        <v>0</v>
      </c>
      <c r="AB299" s="267">
        <v>0</v>
      </c>
      <c r="AC299" s="267">
        <v>0</v>
      </c>
      <c r="AE299" s="267">
        <v>0</v>
      </c>
      <c r="AF299" s="267">
        <v>0</v>
      </c>
      <c r="AH299" s="267">
        <v>0</v>
      </c>
      <c r="AI299" s="267">
        <v>0</v>
      </c>
      <c r="AK299" s="267">
        <v>0</v>
      </c>
      <c r="AL299" s="267">
        <v>0</v>
      </c>
      <c r="AN299" s="267">
        <v>0</v>
      </c>
      <c r="AO299" s="267">
        <v>0</v>
      </c>
      <c r="AQ299" s="267">
        <v>0</v>
      </c>
      <c r="AR299" s="267">
        <v>0</v>
      </c>
      <c r="AT299" s="267">
        <v>0</v>
      </c>
      <c r="AU299" s="267">
        <v>0</v>
      </c>
      <c r="AW299" s="267">
        <v>0</v>
      </c>
      <c r="AX299" s="267">
        <v>0</v>
      </c>
      <c r="AZ299" s="267">
        <v>0</v>
      </c>
      <c r="BA299" s="267">
        <v>0</v>
      </c>
      <c r="BC299" s="267">
        <v>0</v>
      </c>
      <c r="BD299" s="267">
        <v>0</v>
      </c>
      <c r="BF299" s="267">
        <v>0</v>
      </c>
      <c r="BG299" s="267">
        <v>0</v>
      </c>
      <c r="BI299" s="267">
        <v>0</v>
      </c>
      <c r="BJ299" s="267">
        <v>0</v>
      </c>
      <c r="BL299" s="267">
        <v>0</v>
      </c>
      <c r="BM299" s="267">
        <v>0</v>
      </c>
      <c r="BO299" s="267">
        <v>0</v>
      </c>
      <c r="BP299" s="267">
        <v>0</v>
      </c>
      <c r="BR299" s="267">
        <v>0</v>
      </c>
      <c r="BS299" s="267">
        <v>0</v>
      </c>
      <c r="BU299" s="267">
        <v>0</v>
      </c>
      <c r="BV299" s="267">
        <v>0</v>
      </c>
      <c r="BX299" s="267">
        <v>0</v>
      </c>
      <c r="BY299" s="267">
        <v>0</v>
      </c>
      <c r="CA299" s="267">
        <v>0</v>
      </c>
      <c r="CB299" s="267">
        <v>0</v>
      </c>
      <c r="CD299" s="267">
        <v>0</v>
      </c>
      <c r="CE299" s="267">
        <v>0</v>
      </c>
      <c r="CG299" s="267">
        <v>0</v>
      </c>
      <c r="CH299" s="267">
        <v>0</v>
      </c>
      <c r="CJ299" s="267">
        <v>0</v>
      </c>
      <c r="CK299" s="267">
        <v>0</v>
      </c>
    </row>
    <row r="300" spans="1:89" x14ac:dyDescent="0.25">
      <c r="A300" s="107"/>
      <c r="B300" s="96" t="s">
        <v>1837</v>
      </c>
      <c r="C300" s="95"/>
      <c r="D300" s="95" t="s">
        <v>950</v>
      </c>
      <c r="E300" s="282"/>
      <c r="F300" s="282"/>
      <c r="G300" s="282"/>
      <c r="H300" s="282"/>
      <c r="I300" s="282">
        <f t="shared" ref="I300:N300" si="565">I301+I302</f>
        <v>68</v>
      </c>
      <c r="J300" s="282">
        <f t="shared" si="565"/>
        <v>65</v>
      </c>
      <c r="K300" s="282">
        <f t="shared" si="565"/>
        <v>84</v>
      </c>
      <c r="L300" s="282">
        <f t="shared" si="565"/>
        <v>0</v>
      </c>
      <c r="M300" s="282">
        <f t="shared" si="565"/>
        <v>0</v>
      </c>
      <c r="N300" s="282">
        <f t="shared" si="565"/>
        <v>0</v>
      </c>
      <c r="Q300" s="282">
        <f>Q301+Q302</f>
        <v>84</v>
      </c>
      <c r="R300" s="282">
        <f>R301+R302</f>
        <v>87</v>
      </c>
      <c r="S300" s="282">
        <f>S301+S302</f>
        <v>0</v>
      </c>
      <c r="T300" s="282">
        <f>T301+T302</f>
        <v>0</v>
      </c>
      <c r="V300" s="282">
        <f>V301+V302</f>
        <v>0</v>
      </c>
      <c r="W300" s="282">
        <f>W301+W302</f>
        <v>0</v>
      </c>
      <c r="Y300" s="282">
        <f>Y301+Y302</f>
        <v>0</v>
      </c>
      <c r="Z300" s="282">
        <f>Z301+Z302</f>
        <v>0</v>
      </c>
      <c r="AB300" s="282">
        <f>AB301+AB302</f>
        <v>0</v>
      </c>
      <c r="AC300" s="282">
        <f>AC301+AC302</f>
        <v>0</v>
      </c>
      <c r="AE300" s="282">
        <f>AE301+AE302</f>
        <v>0</v>
      </c>
      <c r="AF300" s="282">
        <f>AF301+AF302</f>
        <v>0</v>
      </c>
      <c r="AH300" s="282">
        <f>AH301+AH302</f>
        <v>0</v>
      </c>
      <c r="AI300" s="282">
        <f>AI301+AI302</f>
        <v>0</v>
      </c>
      <c r="AK300" s="282">
        <f>AK301+AK302</f>
        <v>0</v>
      </c>
      <c r="AL300" s="282">
        <f>AL301+AL302</f>
        <v>0</v>
      </c>
      <c r="AN300" s="282">
        <f>AN301+AN302</f>
        <v>0</v>
      </c>
      <c r="AO300" s="282">
        <f>AO301+AO302</f>
        <v>0</v>
      </c>
      <c r="AQ300" s="282">
        <f>AQ301+AQ302</f>
        <v>0</v>
      </c>
      <c r="AR300" s="282">
        <f>AR301+AR302</f>
        <v>0</v>
      </c>
      <c r="AT300" s="282">
        <f>AT301+AT302</f>
        <v>0</v>
      </c>
      <c r="AU300" s="282">
        <f>AU301+AU302</f>
        <v>0</v>
      </c>
      <c r="AW300" s="282">
        <f>AW301+AW302</f>
        <v>0</v>
      </c>
      <c r="AX300" s="282">
        <f>AX301+AX302</f>
        <v>0</v>
      </c>
      <c r="AZ300" s="282">
        <f>AZ301+AZ302</f>
        <v>0</v>
      </c>
      <c r="BA300" s="282">
        <f>BA301+BA302</f>
        <v>0</v>
      </c>
      <c r="BC300" s="282">
        <f>BC301+BC302</f>
        <v>20</v>
      </c>
      <c r="BD300" s="282">
        <f>BD301+BD302</f>
        <v>23</v>
      </c>
      <c r="BF300" s="282">
        <f>BF301+BF302</f>
        <v>10</v>
      </c>
      <c r="BG300" s="282">
        <f>BG301+BG302</f>
        <v>7</v>
      </c>
      <c r="BI300" s="282">
        <f>BI301+BI302</f>
        <v>45</v>
      </c>
      <c r="BJ300" s="282">
        <f>BJ301+BJ302</f>
        <v>42</v>
      </c>
      <c r="BL300" s="282">
        <f>BL301+BL302</f>
        <v>0</v>
      </c>
      <c r="BM300" s="282">
        <f>BM301+BM302</f>
        <v>0</v>
      </c>
      <c r="BO300" s="282">
        <f>BO301+BO302</f>
        <v>0</v>
      </c>
      <c r="BP300" s="282">
        <f>BP301+BP302</f>
        <v>0</v>
      </c>
      <c r="BR300" s="282">
        <f>BR301+BR302</f>
        <v>0</v>
      </c>
      <c r="BS300" s="282">
        <f>BS301+BS302</f>
        <v>0</v>
      </c>
      <c r="BU300" s="282">
        <f>BU301+BU302</f>
        <v>0</v>
      </c>
      <c r="BV300" s="282">
        <f>BV301+BV302</f>
        <v>0</v>
      </c>
      <c r="BX300" s="282">
        <f>BX301+BX302</f>
        <v>0</v>
      </c>
      <c r="BY300" s="282">
        <f>BY301+BY302</f>
        <v>0</v>
      </c>
      <c r="CA300" s="282">
        <f>CA301+CA302</f>
        <v>0</v>
      </c>
      <c r="CB300" s="282">
        <f>CB301+CB302</f>
        <v>0</v>
      </c>
      <c r="CD300" s="282">
        <f>CD301+CD302</f>
        <v>9</v>
      </c>
      <c r="CE300" s="282">
        <f>CE301+CE302</f>
        <v>15</v>
      </c>
      <c r="CG300" s="282">
        <f>CG301+CG302</f>
        <v>0</v>
      </c>
      <c r="CH300" s="282">
        <f>CH301+CH302</f>
        <v>0</v>
      </c>
      <c r="CJ300" s="282">
        <f>CJ301+CJ302</f>
        <v>0</v>
      </c>
      <c r="CK300" s="282">
        <f>CK301+CK302</f>
        <v>0</v>
      </c>
    </row>
    <row r="301" spans="1:89" ht="45" x14ac:dyDescent="0.25">
      <c r="A301" s="107"/>
      <c r="B301" s="294" t="s">
        <v>1183</v>
      </c>
      <c r="C301" s="95" t="s">
        <v>2439</v>
      </c>
      <c r="D301" s="95" t="s">
        <v>950</v>
      </c>
      <c r="E301" s="282"/>
      <c r="F301" s="282"/>
      <c r="G301" s="282"/>
      <c r="H301" s="282"/>
      <c r="I301" s="282">
        <v>68</v>
      </c>
      <c r="J301" s="282">
        <f>J143</f>
        <v>65</v>
      </c>
      <c r="K301" s="282">
        <f>K143</f>
        <v>84</v>
      </c>
      <c r="L301" s="282">
        <f>L143</f>
        <v>0</v>
      </c>
      <c r="M301" s="282">
        <f>M143</f>
        <v>0</v>
      </c>
      <c r="N301" s="282">
        <f>N143</f>
        <v>0</v>
      </c>
      <c r="Q301" s="283">
        <f>S301+V301+Y301+AB301+AE301+AH301+AK301+AN301+AQ301+AT301+AW301+AZ301+BC301+BF301+BI301+BL301+BO301+BR301+BU301+BX301+CA301+CD301+CG301+CJ301</f>
        <v>84</v>
      </c>
      <c r="R301" s="283">
        <f>T301+W301+Z301+AC301+AF301+AI301+AL301+AO301+AR301+AU301+AX301+BA301+BD301+BG301+BJ301+BM301+BP301+BS301+BV301+BY301+CB301+CE301+CH301+CK301</f>
        <v>87</v>
      </c>
      <c r="S301" s="283">
        <f>S143</f>
        <v>0</v>
      </c>
      <c r="T301" s="283">
        <f>T143</f>
        <v>0</v>
      </c>
      <c r="V301" s="283">
        <f>V143</f>
        <v>0</v>
      </c>
      <c r="W301" s="283">
        <f>W143</f>
        <v>0</v>
      </c>
      <c r="Y301" s="283">
        <f>Y143</f>
        <v>0</v>
      </c>
      <c r="Z301" s="283">
        <f>Z143</f>
        <v>0</v>
      </c>
      <c r="AB301" s="283">
        <f>AB143</f>
        <v>0</v>
      </c>
      <c r="AC301" s="283">
        <f>AC143</f>
        <v>0</v>
      </c>
      <c r="AE301" s="283">
        <f>AE143</f>
        <v>0</v>
      </c>
      <c r="AF301" s="283">
        <f>AF143</f>
        <v>0</v>
      </c>
      <c r="AH301" s="283">
        <f>AH143</f>
        <v>0</v>
      </c>
      <c r="AI301" s="283">
        <f>AI143</f>
        <v>0</v>
      </c>
      <c r="AK301" s="283">
        <f>AK143</f>
        <v>0</v>
      </c>
      <c r="AL301" s="283">
        <f>AL143</f>
        <v>0</v>
      </c>
      <c r="AN301" s="283">
        <f>AN143</f>
        <v>0</v>
      </c>
      <c r="AO301" s="283">
        <f>AO143</f>
        <v>0</v>
      </c>
      <c r="AQ301" s="283">
        <f>AQ143</f>
        <v>0</v>
      </c>
      <c r="AR301" s="283">
        <f>AR143</f>
        <v>0</v>
      </c>
      <c r="AT301" s="283">
        <f>AT143</f>
        <v>0</v>
      </c>
      <c r="AU301" s="283">
        <f>AU143</f>
        <v>0</v>
      </c>
      <c r="AW301" s="283">
        <f>AW143</f>
        <v>0</v>
      </c>
      <c r="AX301" s="283">
        <f>AX143</f>
        <v>0</v>
      </c>
      <c r="AZ301" s="283">
        <f>AZ143</f>
        <v>0</v>
      </c>
      <c r="BA301" s="283">
        <f>BA143</f>
        <v>0</v>
      </c>
      <c r="BC301" s="283">
        <f>BC143</f>
        <v>20</v>
      </c>
      <c r="BD301" s="283">
        <f>BD143</f>
        <v>23</v>
      </c>
      <c r="BF301" s="283">
        <f>BF143</f>
        <v>10</v>
      </c>
      <c r="BG301" s="283">
        <f>BG143</f>
        <v>7</v>
      </c>
      <c r="BI301" s="283">
        <f>BI143</f>
        <v>45</v>
      </c>
      <c r="BJ301" s="283">
        <f>BJ143</f>
        <v>42</v>
      </c>
      <c r="BL301" s="283">
        <f>BL143</f>
        <v>0</v>
      </c>
      <c r="BM301" s="283">
        <f>BM143</f>
        <v>0</v>
      </c>
      <c r="BO301" s="283">
        <f>BO143</f>
        <v>0</v>
      </c>
      <c r="BP301" s="283">
        <f>BP143</f>
        <v>0</v>
      </c>
      <c r="BR301" s="283">
        <f>BR143</f>
        <v>0</v>
      </c>
      <c r="BS301" s="283">
        <f>BS143</f>
        <v>0</v>
      </c>
      <c r="BU301" s="283">
        <f>BU143</f>
        <v>0</v>
      </c>
      <c r="BV301" s="283">
        <f>BV143</f>
        <v>0</v>
      </c>
      <c r="BX301" s="283">
        <f>BX143</f>
        <v>0</v>
      </c>
      <c r="BY301" s="283">
        <f>BY143</f>
        <v>0</v>
      </c>
      <c r="CA301" s="283">
        <f>CA143</f>
        <v>0</v>
      </c>
      <c r="CB301" s="283">
        <f>CB143</f>
        <v>0</v>
      </c>
      <c r="CD301" s="283">
        <f>CD143</f>
        <v>9</v>
      </c>
      <c r="CE301" s="283">
        <f>CE143</f>
        <v>15</v>
      </c>
      <c r="CG301" s="283">
        <f>CG143</f>
        <v>0</v>
      </c>
      <c r="CH301" s="283">
        <f>CH143</f>
        <v>0</v>
      </c>
      <c r="CJ301" s="283">
        <f>CJ143</f>
        <v>0</v>
      </c>
      <c r="CK301" s="283">
        <f>CK143</f>
        <v>0</v>
      </c>
    </row>
    <row r="302" spans="1:89" ht="45" x14ac:dyDescent="0.25">
      <c r="A302" s="107"/>
      <c r="B302" s="294" t="s">
        <v>1185</v>
      </c>
      <c r="C302" s="95" t="s">
        <v>2439</v>
      </c>
      <c r="D302" s="95" t="s">
        <v>950</v>
      </c>
      <c r="E302" s="282"/>
      <c r="F302" s="282"/>
      <c r="G302" s="282"/>
      <c r="H302" s="282"/>
      <c r="I302" s="282">
        <v>0</v>
      </c>
      <c r="J302" s="282">
        <f>J147</f>
        <v>0</v>
      </c>
      <c r="K302" s="282">
        <f>K147</f>
        <v>0</v>
      </c>
      <c r="L302" s="282">
        <f>L147</f>
        <v>0</v>
      </c>
      <c r="M302" s="282">
        <f>M147</f>
        <v>0</v>
      </c>
      <c r="N302" s="282">
        <f>N147</f>
        <v>0</v>
      </c>
      <c r="Q302" s="283">
        <f>S302+V302+Y302+AB302+AE302+AH302+AK302+AN302+AQ302+AT302+AW302+AZ302+BC302+BF302+BI302+BL302+BO302+BR302+BU302+BX302+CA302+CD302+CG302+CJ302</f>
        <v>0</v>
      </c>
      <c r="R302" s="283">
        <f>T302+W302+Z302+AC302+AF302+AI302+AL302+AO302+AR302+AU302+AX302+BA302+BD302+BG302+BJ302+BM302+BP302+BS302+BV302+BY302+CB302+CE302+CH302+CK302</f>
        <v>0</v>
      </c>
      <c r="S302" s="283">
        <f>S147</f>
        <v>0</v>
      </c>
      <c r="T302" s="283">
        <f>T147</f>
        <v>0</v>
      </c>
      <c r="V302" s="283">
        <f>V147</f>
        <v>0</v>
      </c>
      <c r="W302" s="283">
        <f>W147</f>
        <v>0</v>
      </c>
      <c r="Y302" s="283">
        <f>Y147</f>
        <v>0</v>
      </c>
      <c r="Z302" s="283">
        <f>Z147</f>
        <v>0</v>
      </c>
      <c r="AB302" s="283">
        <f>AB147</f>
        <v>0</v>
      </c>
      <c r="AC302" s="283">
        <f>AC147</f>
        <v>0</v>
      </c>
      <c r="AE302" s="283">
        <f>AE147</f>
        <v>0</v>
      </c>
      <c r="AF302" s="283">
        <f>AF147</f>
        <v>0</v>
      </c>
      <c r="AH302" s="283">
        <f>AH147</f>
        <v>0</v>
      </c>
      <c r="AI302" s="283">
        <f>AI147</f>
        <v>0</v>
      </c>
      <c r="AK302" s="283">
        <f>AK147</f>
        <v>0</v>
      </c>
      <c r="AL302" s="283">
        <f>AL147</f>
        <v>0</v>
      </c>
      <c r="AN302" s="283">
        <f>AN147</f>
        <v>0</v>
      </c>
      <c r="AO302" s="283">
        <f>AO147</f>
        <v>0</v>
      </c>
      <c r="AQ302" s="283">
        <f>AQ147</f>
        <v>0</v>
      </c>
      <c r="AR302" s="283">
        <f>AR147</f>
        <v>0</v>
      </c>
      <c r="AT302" s="283">
        <f>AT147</f>
        <v>0</v>
      </c>
      <c r="AU302" s="283">
        <f>AU147</f>
        <v>0</v>
      </c>
      <c r="AW302" s="283">
        <f>AW147</f>
        <v>0</v>
      </c>
      <c r="AX302" s="283">
        <f>AX147</f>
        <v>0</v>
      </c>
      <c r="AZ302" s="283">
        <f>AZ147</f>
        <v>0</v>
      </c>
      <c r="BA302" s="283">
        <f>BA147</f>
        <v>0</v>
      </c>
      <c r="BC302" s="283">
        <f>BC147</f>
        <v>0</v>
      </c>
      <c r="BD302" s="283">
        <f>BD147</f>
        <v>0</v>
      </c>
      <c r="BF302" s="283">
        <f>BF147</f>
        <v>0</v>
      </c>
      <c r="BG302" s="283">
        <f>BG147</f>
        <v>0</v>
      </c>
      <c r="BI302" s="283">
        <f>BI147</f>
        <v>0</v>
      </c>
      <c r="BJ302" s="283">
        <f>BJ147</f>
        <v>0</v>
      </c>
      <c r="BL302" s="283">
        <f>BL147</f>
        <v>0</v>
      </c>
      <c r="BM302" s="283">
        <f>BM147</f>
        <v>0</v>
      </c>
      <c r="BO302" s="283">
        <f>BO147</f>
        <v>0</v>
      </c>
      <c r="BP302" s="283">
        <f>BP147</f>
        <v>0</v>
      </c>
      <c r="BR302" s="283">
        <f>BR147</f>
        <v>0</v>
      </c>
      <c r="BS302" s="283">
        <f>BS147</f>
        <v>0</v>
      </c>
      <c r="BU302" s="283">
        <f>BU147</f>
        <v>0</v>
      </c>
      <c r="BV302" s="283">
        <f>BV147</f>
        <v>0</v>
      </c>
      <c r="BX302" s="283">
        <f>BX147</f>
        <v>0</v>
      </c>
      <c r="BY302" s="283">
        <f>BY147</f>
        <v>0</v>
      </c>
      <c r="CA302" s="283">
        <f>CA147</f>
        <v>0</v>
      </c>
      <c r="CB302" s="283">
        <f>CB147</f>
        <v>0</v>
      </c>
      <c r="CD302" s="283">
        <f>CD147</f>
        <v>0</v>
      </c>
      <c r="CE302" s="283">
        <f>CE147</f>
        <v>0</v>
      </c>
      <c r="CG302" s="283">
        <f>CG147</f>
        <v>0</v>
      </c>
      <c r="CH302" s="283">
        <f>CH147</f>
        <v>0</v>
      </c>
      <c r="CJ302" s="283">
        <f>CJ147</f>
        <v>0</v>
      </c>
      <c r="CK302" s="283">
        <f>CK147</f>
        <v>0</v>
      </c>
    </row>
    <row r="303" spans="1:89" ht="60" x14ac:dyDescent="0.25">
      <c r="A303" s="95" t="s">
        <v>1663</v>
      </c>
      <c r="B303" s="96" t="s">
        <v>1664</v>
      </c>
      <c r="C303" s="95"/>
      <c r="D303" s="95"/>
      <c r="E303" s="282"/>
      <c r="F303" s="282"/>
      <c r="G303" s="282"/>
      <c r="H303" s="282"/>
      <c r="I303" s="282"/>
      <c r="J303" s="282"/>
      <c r="K303" s="282"/>
      <c r="L303" s="282"/>
      <c r="M303" s="282"/>
      <c r="N303" s="282"/>
    </row>
    <row r="304" spans="1:89" x14ac:dyDescent="0.25">
      <c r="A304" s="95"/>
      <c r="B304" s="96" t="s">
        <v>1182</v>
      </c>
      <c r="C304" s="95"/>
      <c r="D304" s="95" t="s">
        <v>8</v>
      </c>
      <c r="E304" s="282"/>
      <c r="F304" s="282"/>
      <c r="G304" s="282"/>
      <c r="H304" s="282"/>
      <c r="I304" s="293">
        <f t="shared" ref="I304:N304" si="566">I307/I310*100</f>
        <v>0.17831930391960488</v>
      </c>
      <c r="J304" s="293">
        <f t="shared" si="566"/>
        <v>21.145456147102053</v>
      </c>
      <c r="K304" s="293">
        <f t="shared" si="566"/>
        <v>27.875932823217337</v>
      </c>
      <c r="L304" s="293">
        <f t="shared" si="566"/>
        <v>0</v>
      </c>
      <c r="M304" s="293">
        <f t="shared" si="566"/>
        <v>0</v>
      </c>
      <c r="N304" s="293">
        <f t="shared" si="566"/>
        <v>0</v>
      </c>
      <c r="Q304" s="293">
        <f>Q307/Q310*100</f>
        <v>27.875932823217337</v>
      </c>
      <c r="R304" s="293">
        <f>R307/R310*100</f>
        <v>56.737810796026046</v>
      </c>
      <c r="S304" s="293">
        <f>S307/S310*100</f>
        <v>99.389002036659875</v>
      </c>
      <c r="T304" s="293">
        <f>T307/T310*100</f>
        <v>99.580661075481004</v>
      </c>
      <c r="V304" s="293">
        <f>V307/V310*100</f>
        <v>0</v>
      </c>
      <c r="W304" s="293">
        <f>W307/W310*100</f>
        <v>2.0408163265306123</v>
      </c>
      <c r="Y304" s="293">
        <f>Y307/Y310*100</f>
        <v>6.7904028972385705E-2</v>
      </c>
      <c r="Z304" s="293">
        <f>Z307/Z310*100</f>
        <v>99.746777163904227</v>
      </c>
      <c r="AB304" s="293">
        <f>AB307/AB310*100</f>
        <v>0</v>
      </c>
      <c r="AC304" s="293">
        <f>AC307/AC310*100</f>
        <v>0</v>
      </c>
      <c r="AE304" s="293">
        <f>AE307/AE310*100</f>
        <v>0</v>
      </c>
      <c r="AF304" s="293">
        <f>AF307/AF310*100</f>
        <v>3.0153366259422927</v>
      </c>
      <c r="AH304" s="293">
        <f>AH307/AH310*100</f>
        <v>0</v>
      </c>
      <c r="AI304" s="293">
        <f>AI307/AI310*100</f>
        <v>0</v>
      </c>
      <c r="AK304" s="293">
        <f>AK307/AK310*100</f>
        <v>0</v>
      </c>
      <c r="AL304" s="293">
        <f>AL307/AL310*100</f>
        <v>0</v>
      </c>
      <c r="AN304" s="293">
        <f>AN307/AN310*100</f>
        <v>82.170988328637961</v>
      </c>
      <c r="AO304" s="293">
        <f>AO307/AO310*100</f>
        <v>99.914015477214107</v>
      </c>
      <c r="AQ304" s="293">
        <f>AQ307/AQ310*100</f>
        <v>100</v>
      </c>
      <c r="AR304" s="293">
        <f>AR307/AR310*100</f>
        <v>100</v>
      </c>
      <c r="AT304" s="293">
        <f>AT307/AT310*100</f>
        <v>0.12090178507929736</v>
      </c>
      <c r="AU304" s="293">
        <f>AU307/AU310*100</f>
        <v>0.17185674022135147</v>
      </c>
      <c r="AW304" s="293">
        <f>AW307/AW310*100</f>
        <v>18.561396849497058</v>
      </c>
      <c r="AX304" s="293">
        <f>AX307/AX310*100</f>
        <v>100</v>
      </c>
      <c r="AZ304" s="293">
        <f>AZ307/AZ310*100</f>
        <v>13.315068493150687</v>
      </c>
      <c r="BA304" s="293">
        <f>BA307/BA310*100</f>
        <v>6.9003588186585696E-2</v>
      </c>
      <c r="BC304" s="293">
        <f>BC307/BC310*100</f>
        <v>85.919658825147891</v>
      </c>
      <c r="BD304" s="293">
        <f>BD307/BD310*100</f>
        <v>100</v>
      </c>
      <c r="BF304" s="293">
        <f>BF307/BF310*100</f>
        <v>8.9985698023992295</v>
      </c>
      <c r="BG304" s="293">
        <f>BG307/BG310*100</f>
        <v>99.755848285260058</v>
      </c>
      <c r="BI304" s="293">
        <f>BI307/BI310*100</f>
        <v>22.198070914277952</v>
      </c>
      <c r="BJ304" s="293">
        <f>BJ307/BJ310*100</f>
        <v>57.285751401106033</v>
      </c>
      <c r="BL304" s="293">
        <f>BL307/BL310*100</f>
        <v>88.392380274167706</v>
      </c>
      <c r="BM304" s="293">
        <f>BM307/BM310*100</f>
        <v>100</v>
      </c>
      <c r="BO304" s="293">
        <f>BO307/BO310*100</f>
        <v>100</v>
      </c>
      <c r="BP304" s="293">
        <f>BP307/BP310*100</f>
        <v>100</v>
      </c>
      <c r="BR304" s="293">
        <f>BR307/BR310*100</f>
        <v>4.9869093629223288E-2</v>
      </c>
      <c r="BS304" s="293">
        <f>BS307/BS310*100</f>
        <v>2.4663953631767176E-2</v>
      </c>
      <c r="BU304" s="293">
        <f>BU307/BU310*100</f>
        <v>0.112261444430585</v>
      </c>
      <c r="BV304" s="293">
        <f>BV307/BV310*100</f>
        <v>0.1111385527290689</v>
      </c>
      <c r="BX304" s="293">
        <f>BX307/BX310*100</f>
        <v>99.437148217636022</v>
      </c>
      <c r="BY304" s="293">
        <f>BY307/BY310*100</f>
        <v>99.863512283894451</v>
      </c>
      <c r="CA304" s="293">
        <f>CA307/CA310*100</f>
        <v>0</v>
      </c>
      <c r="CB304" s="293">
        <f>CB307/CB310*100</f>
        <v>0</v>
      </c>
      <c r="CD304" s="293">
        <f>CD307/CD310*100</f>
        <v>1.8832391713747645E-2</v>
      </c>
      <c r="CE304" s="293">
        <f>CE307/CE310*100</f>
        <v>1.8463810930576072E-2</v>
      </c>
      <c r="CG304" s="293">
        <f>CG307/CG310*100</f>
        <v>5.9967585089141</v>
      </c>
      <c r="CH304" s="293">
        <f>CH307/CH310*100</f>
        <v>37.677334213130983</v>
      </c>
      <c r="CJ304" s="293">
        <f>CJ307/CJ310*100</f>
        <v>0</v>
      </c>
      <c r="CK304" s="293">
        <f>CK307/CK310*100</f>
        <v>0</v>
      </c>
    </row>
    <row r="305" spans="1:89" x14ac:dyDescent="0.25">
      <c r="A305" s="95"/>
      <c r="B305" s="96" t="s">
        <v>1183</v>
      </c>
      <c r="C305" s="95"/>
      <c r="D305" s="95" t="s">
        <v>8</v>
      </c>
      <c r="E305" s="282"/>
      <c r="F305" s="282"/>
      <c r="G305" s="282"/>
      <c r="H305" s="282"/>
      <c r="I305" s="293">
        <f t="shared" ref="I305:K306" si="567">(I308)/(I311)*100</f>
        <v>7.6766018242591272E-2</v>
      </c>
      <c r="J305" s="293">
        <f t="shared" si="567"/>
        <v>19.575183528390099</v>
      </c>
      <c r="K305" s="293">
        <f t="shared" si="567"/>
        <v>26.983761992592846</v>
      </c>
      <c r="L305" s="293">
        <f t="shared" ref="L305:M306" si="568">(L308)/(L311)*100</f>
        <v>0</v>
      </c>
      <c r="M305" s="293">
        <f t="shared" si="568"/>
        <v>0</v>
      </c>
      <c r="N305" s="293">
        <f t="shared" ref="N305" si="569">(N308)/(N311)*100</f>
        <v>0</v>
      </c>
      <c r="Q305" s="293">
        <f t="shared" ref="Q305:T306" si="570">(Q308)/(Q311)*100</f>
        <v>26.983761992592846</v>
      </c>
      <c r="R305" s="293">
        <f t="shared" si="570"/>
        <v>56.533898062011801</v>
      </c>
      <c r="S305" s="293">
        <f t="shared" si="570"/>
        <v>99.324070597070971</v>
      </c>
      <c r="T305" s="293">
        <f t="shared" si="570"/>
        <v>99.53438395415472</v>
      </c>
      <c r="V305" s="293">
        <f>(V308)/(V311)*100</f>
        <v>0</v>
      </c>
      <c r="W305" s="293">
        <f>(W308)/(W311)*100</f>
        <v>0</v>
      </c>
      <c r="Y305" s="293">
        <f>(Y308)/(Y311)*100</f>
        <v>6.7567567567567571E-2</v>
      </c>
      <c r="Z305" s="293">
        <f>(Z308)/(Z311)*100</f>
        <v>99.692727893479002</v>
      </c>
      <c r="AB305" s="293">
        <f>(AB308)/(AB311)*100</f>
        <v>0</v>
      </c>
      <c r="AC305" s="293">
        <f>(AC308)/(AC311)*100</f>
        <v>0</v>
      </c>
      <c r="AE305" s="293">
        <f>(AE308)/(AE311)*100</f>
        <v>0</v>
      </c>
      <c r="AF305" s="293">
        <f>(AF308)/(AF311)*100</f>
        <v>3.9469207213337869</v>
      </c>
      <c r="AH305" s="293">
        <f>(AH308)/(AH311)*100</f>
        <v>0</v>
      </c>
      <c r="AI305" s="293">
        <f>(AI308)/(AI311)*100</f>
        <v>0</v>
      </c>
      <c r="AK305" s="293">
        <f>(AK308)/(AK311)*100</f>
        <v>0</v>
      </c>
      <c r="AL305" s="293">
        <f>(AL308)/(AL311)*100</f>
        <v>0</v>
      </c>
      <c r="AN305" s="293">
        <f>(AN308)/(AN311)*100</f>
        <v>91.984892992026857</v>
      </c>
      <c r="AO305" s="293">
        <f>(AO308)/(AO311)*100</f>
        <v>100</v>
      </c>
      <c r="AQ305" s="293" t="e">
        <f>(AQ308)/(AQ311)*100</f>
        <v>#DIV/0!</v>
      </c>
      <c r="AR305" s="293" t="e">
        <f>(AR308)/(AR311)*100</f>
        <v>#DIV/0!</v>
      </c>
      <c r="AT305" s="293">
        <f>(AT308)/(AT311)*100</f>
        <v>0.12090178507929736</v>
      </c>
      <c r="AU305" s="293">
        <f>(AU308)/(AU311)*100</f>
        <v>0.17185674022135147</v>
      </c>
      <c r="AW305" s="293">
        <f>(AW308)/(AW311)*100</f>
        <v>18.561396849497058</v>
      </c>
      <c r="AX305" s="293">
        <f>(AX308)/(AX311)*100</f>
        <v>100</v>
      </c>
      <c r="AZ305" s="293">
        <f>(AZ308)/(AZ311)*100</f>
        <v>13.315068493150687</v>
      </c>
      <c r="BA305" s="293">
        <f>(BA308)/(BA311)*100</f>
        <v>6.9003588186585696E-2</v>
      </c>
      <c r="BC305" s="293">
        <f>(BC308)/(BC311)*100</f>
        <v>85.919658825147891</v>
      </c>
      <c r="BD305" s="293">
        <f>(BD308)/(BD311)*100</f>
        <v>100</v>
      </c>
      <c r="BF305" s="293">
        <f>(BF308)/(BF311)*100</f>
        <v>8.9985698023992295</v>
      </c>
      <c r="BG305" s="293">
        <f>(BG308)/(BG311)*100</f>
        <v>99.755848285260058</v>
      </c>
      <c r="BI305" s="293">
        <f>(BI308)/(BI311)*100</f>
        <v>22.198070914277952</v>
      </c>
      <c r="BJ305" s="293">
        <f>(BJ308)/(BJ311)*100</f>
        <v>57.285751401106033</v>
      </c>
      <c r="BL305" s="293">
        <f>(BL308)/(BL311)*100</f>
        <v>88.392380274167706</v>
      </c>
      <c r="BM305" s="293">
        <f>(BM308)/(BM311)*100</f>
        <v>100</v>
      </c>
      <c r="BO305" s="293">
        <f>(BO308)/(BO311)*100</f>
        <v>100</v>
      </c>
      <c r="BP305" s="293">
        <f>(BP308)/(BP311)*100</f>
        <v>100</v>
      </c>
      <c r="BR305" s="293">
        <f>(BR308)/(BR311)*100</f>
        <v>4.9869093629223288E-2</v>
      </c>
      <c r="BS305" s="293">
        <f>(BS308)/(BS311)*100</f>
        <v>2.4663953631767176E-2</v>
      </c>
      <c r="BU305" s="293">
        <f>(BU308)/(BU311)*100</f>
        <v>0.112261444430585</v>
      </c>
      <c r="BV305" s="293">
        <f>(BV308)/(BV311)*100</f>
        <v>0.1111385527290689</v>
      </c>
      <c r="BX305" s="293">
        <f>(BX308)/(BX311)*100</f>
        <v>99.437148217636022</v>
      </c>
      <c r="BY305" s="293">
        <f>(BY308)/(BY311)*100</f>
        <v>99.863512283894451</v>
      </c>
      <c r="CA305" s="293">
        <f>(CA308)/(CA311)*100</f>
        <v>0</v>
      </c>
      <c r="CB305" s="293">
        <f>(CB308)/(CB311)*100</f>
        <v>0</v>
      </c>
      <c r="CD305" s="293">
        <f>(CD308)/(CD311)*100</f>
        <v>1.8832391713747645E-2</v>
      </c>
      <c r="CE305" s="293">
        <f>(CE308)/(CE311)*100</f>
        <v>1.8463810930576072E-2</v>
      </c>
      <c r="CG305" s="293">
        <f>(CG308)/(CG311)*100</f>
        <v>6.84424713281539</v>
      </c>
      <c r="CH305" s="293">
        <f>(CH308)/(CH311)*100</f>
        <v>43.356112376613517</v>
      </c>
      <c r="CJ305" s="293">
        <f>(CJ308)/(CJ311)*100</f>
        <v>0</v>
      </c>
      <c r="CK305" s="293">
        <f>(CK308)/(CK311)*100</f>
        <v>0</v>
      </c>
    </row>
    <row r="306" spans="1:89" x14ac:dyDescent="0.25">
      <c r="A306" s="95"/>
      <c r="B306" s="96" t="s">
        <v>1185</v>
      </c>
      <c r="C306" s="95"/>
      <c r="D306" s="95" t="s">
        <v>8</v>
      </c>
      <c r="E306" s="282"/>
      <c r="F306" s="282"/>
      <c r="G306" s="282"/>
      <c r="H306" s="282"/>
      <c r="I306" s="293">
        <f t="shared" si="567"/>
        <v>1.2919443470127441</v>
      </c>
      <c r="J306" s="293">
        <f t="shared" si="567"/>
        <v>38.791489361702126</v>
      </c>
      <c r="K306" s="293">
        <f t="shared" si="567"/>
        <v>38.211289956925867</v>
      </c>
      <c r="L306" s="293">
        <f t="shared" ref="L306" si="571">(L309)/(L312)*100</f>
        <v>0</v>
      </c>
      <c r="M306" s="293">
        <f t="shared" si="568"/>
        <v>0</v>
      </c>
      <c r="N306" s="293">
        <f t="shared" ref="N306" si="572">(N309)/(N312)*100</f>
        <v>0</v>
      </c>
      <c r="Q306" s="293">
        <f t="shared" si="570"/>
        <v>38.211289956925867</v>
      </c>
      <c r="R306" s="293">
        <f t="shared" si="570"/>
        <v>59.17667238421955</v>
      </c>
      <c r="S306" s="293">
        <f t="shared" si="570"/>
        <v>99.525691699604749</v>
      </c>
      <c r="T306" s="293">
        <f t="shared" si="570"/>
        <v>99.68304278922345</v>
      </c>
      <c r="V306" s="293">
        <f>(V309)/(V312)*100</f>
        <v>0</v>
      </c>
      <c r="W306" s="293">
        <f>(W309)/(W312)*100</f>
        <v>5.024088093599449</v>
      </c>
      <c r="Y306" s="293">
        <f>(Y309)/(Y312)*100</f>
        <v>6.858710562414265E-2</v>
      </c>
      <c r="Z306" s="293">
        <f>(Z309)/(Z312)*100</f>
        <v>99.858657243816253</v>
      </c>
      <c r="AB306" s="293">
        <f>(AB309)/(AB312)*100</f>
        <v>0</v>
      </c>
      <c r="AC306" s="293">
        <f>(AC309)/(AC312)*100</f>
        <v>0</v>
      </c>
      <c r="AE306" s="293">
        <f>(AE309)/(AE312)*100</f>
        <v>0</v>
      </c>
      <c r="AF306" s="293">
        <f>(AF309)/(AF312)*100</f>
        <v>0</v>
      </c>
      <c r="AH306" s="293">
        <f>(AH309)/(AH312)*100</f>
        <v>0</v>
      </c>
      <c r="AI306" s="293">
        <f>(AI309)/(AI312)*100</f>
        <v>0</v>
      </c>
      <c r="AK306" s="293">
        <f>(AK309)/(AK312)*100</f>
        <v>0</v>
      </c>
      <c r="AL306" s="293">
        <f>(AL309)/(AL312)*100</f>
        <v>0</v>
      </c>
      <c r="AN306" s="293">
        <f>(AN309)/(AN312)*100</f>
        <v>60.825118656443955</v>
      </c>
      <c r="AO306" s="293">
        <f>(AO309)/(AO312)*100</f>
        <v>99.725475841874086</v>
      </c>
      <c r="AQ306" s="293">
        <f>(AQ309)/(AQ312)*100</f>
        <v>100</v>
      </c>
      <c r="AR306" s="293">
        <f>(AR309)/(AR312)*100</f>
        <v>100</v>
      </c>
      <c r="AT306" s="293" t="e">
        <f>(AT309)/(AT312)*100</f>
        <v>#DIV/0!</v>
      </c>
      <c r="AU306" s="293" t="e">
        <f>(AU309)/(AU312)*100</f>
        <v>#DIV/0!</v>
      </c>
      <c r="AW306" s="293" t="e">
        <f>(AW309)/(AW312)*100</f>
        <v>#DIV/0!</v>
      </c>
      <c r="AX306" s="293" t="e">
        <f>(AX309)/(AX312)*100</f>
        <v>#DIV/0!</v>
      </c>
      <c r="AZ306" s="293" t="e">
        <f>(AZ309)/(AZ312)*100</f>
        <v>#DIV/0!</v>
      </c>
      <c r="BA306" s="293" t="e">
        <f>(BA309)/(BA312)*100</f>
        <v>#DIV/0!</v>
      </c>
      <c r="BC306" s="293" t="e">
        <f>(BC309)/(BC312)*100</f>
        <v>#DIV/0!</v>
      </c>
      <c r="BD306" s="293" t="e">
        <f>(BD309)/(BD312)*100</f>
        <v>#DIV/0!</v>
      </c>
      <c r="BF306" s="293" t="e">
        <f>(BF309)/(BF312)*100</f>
        <v>#DIV/0!</v>
      </c>
      <c r="BG306" s="293" t="e">
        <f>(BG309)/(BG312)*100</f>
        <v>#DIV/0!</v>
      </c>
      <c r="BI306" s="293" t="e">
        <f>(BI309)/(BI312)*100</f>
        <v>#DIV/0!</v>
      </c>
      <c r="BJ306" s="293" t="e">
        <f>(BJ309)/(BJ312)*100</f>
        <v>#DIV/0!</v>
      </c>
      <c r="BL306" s="293" t="e">
        <f>(BL309)/(BL312)*100</f>
        <v>#DIV/0!</v>
      </c>
      <c r="BM306" s="293" t="e">
        <f>(BM309)/(BM312)*100</f>
        <v>#DIV/0!</v>
      </c>
      <c r="BO306" s="293" t="e">
        <f>(BO309)/(BO312)*100</f>
        <v>#DIV/0!</v>
      </c>
      <c r="BP306" s="293" t="e">
        <f>(BP309)/(BP312)*100</f>
        <v>#DIV/0!</v>
      </c>
      <c r="BR306" s="293" t="e">
        <f>(BR309)/(BR312)*100</f>
        <v>#DIV/0!</v>
      </c>
      <c r="BS306" s="293" t="e">
        <f>(BS309)/(BS312)*100</f>
        <v>#DIV/0!</v>
      </c>
      <c r="BU306" s="293" t="e">
        <f>(BU309)/(BU312)*100</f>
        <v>#DIV/0!</v>
      </c>
      <c r="BV306" s="293" t="e">
        <f>(BV309)/(BV312)*100</f>
        <v>#DIV/0!</v>
      </c>
      <c r="BX306" s="293" t="e">
        <f>(BX309)/(BX312)*100</f>
        <v>#DIV/0!</v>
      </c>
      <c r="BY306" s="293" t="e">
        <f>(BY309)/(BY312)*100</f>
        <v>#DIV/0!</v>
      </c>
      <c r="CA306" s="293" t="e">
        <f>(CA309)/(CA312)*100</f>
        <v>#DIV/0!</v>
      </c>
      <c r="CB306" s="293" t="e">
        <f>(CB309)/(CB312)*100</f>
        <v>#DIV/0!</v>
      </c>
      <c r="CD306" s="293" t="e">
        <f>(CD309)/(CD312)*100</f>
        <v>#DIV/0!</v>
      </c>
      <c r="CE306" s="293" t="e">
        <f>(CE309)/(CE312)*100</f>
        <v>#DIV/0!</v>
      </c>
      <c r="CG306" s="293">
        <f>(CG309)/(CG312)*100</f>
        <v>0</v>
      </c>
      <c r="CH306" s="293">
        <f>(CH309)/(CH312)*100</f>
        <v>0</v>
      </c>
      <c r="CJ306" s="293" t="e">
        <f>(CJ309)/(CJ312)*100</f>
        <v>#DIV/0!</v>
      </c>
      <c r="CK306" s="293" t="e">
        <f>(CK309)/(CK312)*100</f>
        <v>#DIV/0!</v>
      </c>
    </row>
    <row r="307" spans="1:89" ht="30" x14ac:dyDescent="0.25">
      <c r="A307" s="95"/>
      <c r="B307" s="96" t="s">
        <v>1839</v>
      </c>
      <c r="C307" s="95"/>
      <c r="D307" s="95" t="s">
        <v>950</v>
      </c>
      <c r="E307" s="282"/>
      <c r="F307" s="282"/>
      <c r="G307" s="282"/>
      <c r="H307" s="282"/>
      <c r="I307" s="282">
        <f t="shared" ref="I307:N307" si="573">I308+I309</f>
        <v>365</v>
      </c>
      <c r="J307" s="282">
        <f t="shared" si="573"/>
        <v>45608</v>
      </c>
      <c r="K307" s="282">
        <f t="shared" si="573"/>
        <v>61896</v>
      </c>
      <c r="L307" s="282">
        <f t="shared" si="573"/>
        <v>0</v>
      </c>
      <c r="M307" s="282">
        <f t="shared" si="573"/>
        <v>0</v>
      </c>
      <c r="N307" s="282">
        <f t="shared" si="573"/>
        <v>0</v>
      </c>
      <c r="Q307" s="282">
        <f>Q308+Q309</f>
        <v>61896</v>
      </c>
      <c r="R307" s="282">
        <f>R308+R309</f>
        <v>128611</v>
      </c>
      <c r="S307" s="282">
        <f>S308+S309</f>
        <v>3904</v>
      </c>
      <c r="T307" s="282">
        <f>T308+T309</f>
        <v>4037</v>
      </c>
      <c r="V307" s="282">
        <f>V308+V309</f>
        <v>0</v>
      </c>
      <c r="W307" s="282">
        <f>W308+W309</f>
        <v>73</v>
      </c>
      <c r="Y307" s="282">
        <f>Y308+Y309</f>
        <v>3</v>
      </c>
      <c r="Z307" s="282">
        <f>Z308+Z309</f>
        <v>4333</v>
      </c>
      <c r="AB307" s="282">
        <f>AB308+AB309</f>
        <v>0</v>
      </c>
      <c r="AC307" s="282">
        <f>AC308+AC309</f>
        <v>0</v>
      </c>
      <c r="AE307" s="282">
        <f>AE308+AE309</f>
        <v>0</v>
      </c>
      <c r="AF307" s="282">
        <f>AF308+AF309</f>
        <v>116</v>
      </c>
      <c r="AH307" s="282">
        <f>AH308+AH309</f>
        <v>0</v>
      </c>
      <c r="AI307" s="282">
        <f>AI308+AI309</f>
        <v>0</v>
      </c>
      <c r="AK307" s="282">
        <f>AK308+AK309</f>
        <v>0</v>
      </c>
      <c r="AL307" s="282">
        <f>AL308+AL309</f>
        <v>0</v>
      </c>
      <c r="AN307" s="282">
        <f>AN308+AN309</f>
        <v>14292</v>
      </c>
      <c r="AO307" s="282">
        <f>AO308+AO309</f>
        <v>17430</v>
      </c>
      <c r="AQ307" s="282">
        <f>AQ308+AQ309</f>
        <v>2150</v>
      </c>
      <c r="AR307" s="282">
        <f>AR308+AR309</f>
        <v>2157</v>
      </c>
      <c r="AT307" s="282">
        <f>AT308+AT309</f>
        <v>17</v>
      </c>
      <c r="AU307" s="282">
        <f>AU308+AU309</f>
        <v>25</v>
      </c>
      <c r="AW307" s="282">
        <f>AW308+AW309</f>
        <v>978</v>
      </c>
      <c r="AX307" s="282">
        <f>AX308+AX309</f>
        <v>5356</v>
      </c>
      <c r="AZ307" s="282">
        <f>AZ308+AZ309</f>
        <v>972</v>
      </c>
      <c r="BA307" s="282">
        <f>BA308+BA309</f>
        <v>5</v>
      </c>
      <c r="BC307" s="282">
        <f>BC308+BC309</f>
        <v>12491</v>
      </c>
      <c r="BD307" s="282">
        <f>BD308+BD309</f>
        <v>14814</v>
      </c>
      <c r="BF307" s="282">
        <f>BF308+BF309</f>
        <v>3083</v>
      </c>
      <c r="BG307" s="282">
        <f>BG308+BG309</f>
        <v>35138</v>
      </c>
      <c r="BI307" s="282">
        <f>BI308+BI309</f>
        <v>11438</v>
      </c>
      <c r="BJ307" s="282">
        <f>BJ308+BJ309</f>
        <v>30869</v>
      </c>
      <c r="BL307" s="282">
        <f>BL308+BL309</f>
        <v>4965</v>
      </c>
      <c r="BM307" s="282">
        <f>BM308+BM309</f>
        <v>5590</v>
      </c>
      <c r="BO307" s="282">
        <f>BO308+BO309</f>
        <v>5284</v>
      </c>
      <c r="BP307" s="282">
        <f>BP308+BP309</f>
        <v>5319</v>
      </c>
      <c r="BR307" s="282">
        <f>BR308+BR309</f>
        <v>4</v>
      </c>
      <c r="BS307" s="282">
        <f>BS308+BS309</f>
        <v>2</v>
      </c>
      <c r="BU307" s="282">
        <f>BU308+BU309</f>
        <v>9</v>
      </c>
      <c r="BV307" s="282">
        <f>BV308+BV309</f>
        <v>9</v>
      </c>
      <c r="BX307" s="282">
        <f>BX308+BX309</f>
        <v>2120</v>
      </c>
      <c r="BY307" s="282">
        <f>BY308+BY309</f>
        <v>2195</v>
      </c>
      <c r="CA307" s="282">
        <f>CA308+CA309</f>
        <v>0</v>
      </c>
      <c r="CB307" s="282">
        <f>CB308+CB309</f>
        <v>0</v>
      </c>
      <c r="CD307" s="282">
        <f>CD308+CD309</f>
        <v>1</v>
      </c>
      <c r="CE307" s="282">
        <f>CE308+CE309</f>
        <v>1</v>
      </c>
      <c r="CG307" s="282">
        <f>CG308+CG309</f>
        <v>185</v>
      </c>
      <c r="CH307" s="282">
        <f>CH308+CH309</f>
        <v>1142</v>
      </c>
      <c r="CJ307" s="282">
        <f>CJ308+CJ309</f>
        <v>0</v>
      </c>
      <c r="CK307" s="282">
        <f>CK308+CK309</f>
        <v>0</v>
      </c>
    </row>
    <row r="308" spans="1:89" ht="30" x14ac:dyDescent="0.25">
      <c r="A308" s="95"/>
      <c r="B308" s="294" t="s">
        <v>1183</v>
      </c>
      <c r="C308" s="95" t="s">
        <v>2774</v>
      </c>
      <c r="D308" s="95" t="s">
        <v>950</v>
      </c>
      <c r="E308" s="282"/>
      <c r="F308" s="282"/>
      <c r="G308" s="282"/>
      <c r="H308" s="282"/>
      <c r="I308" s="282">
        <v>144</v>
      </c>
      <c r="J308" s="282">
        <v>38771</v>
      </c>
      <c r="K308" s="282">
        <v>55154</v>
      </c>
      <c r="L308" s="282">
        <v>0</v>
      </c>
      <c r="M308" s="282">
        <v>0</v>
      </c>
      <c r="N308" s="282">
        <v>0</v>
      </c>
      <c r="P308" s="283"/>
      <c r="Q308" s="286">
        <f>S308+V308+Y308+AB308+AE308+AH308+AK308+AN308+AQ308+AT308+AW308+AZ308+BC308+BF308+BI308+BL308+BO308+BR308+BU308+BX308+CA308+CD308+CG308+CJ308</f>
        <v>55154</v>
      </c>
      <c r="R308" s="286">
        <f>T308+W308+Z308+AC308+AF308+AI308+AL308+AO308+AR308+AU308+AX308+BA308+BD308+BG308+BJ308+BM308+BP308+BS308+BV308+BY308+CB308+CE308+CH308+CK308</f>
        <v>118261</v>
      </c>
      <c r="S308" s="286">
        <v>2645</v>
      </c>
      <c r="T308" s="286">
        <v>2779</v>
      </c>
      <c r="U308" s="286"/>
      <c r="V308" s="286">
        <v>0</v>
      </c>
      <c r="W308" s="286">
        <v>0</v>
      </c>
      <c r="X308" s="286"/>
      <c r="Y308" s="286">
        <v>2</v>
      </c>
      <c r="Z308" s="286">
        <v>2920</v>
      </c>
      <c r="AA308" s="286"/>
      <c r="AB308" s="286">
        <v>0</v>
      </c>
      <c r="AC308" s="286">
        <v>0</v>
      </c>
      <c r="AD308" s="286"/>
      <c r="AE308" s="286">
        <v>0</v>
      </c>
      <c r="AF308" s="286">
        <v>116</v>
      </c>
      <c r="AG308" s="286"/>
      <c r="AH308" s="286">
        <v>0</v>
      </c>
      <c r="AI308" s="286">
        <v>0</v>
      </c>
      <c r="AJ308" s="286"/>
      <c r="AK308" s="286">
        <v>0</v>
      </c>
      <c r="AL308" s="286">
        <v>0</v>
      </c>
      <c r="AM308" s="286"/>
      <c r="AN308" s="286">
        <v>10960</v>
      </c>
      <c r="AO308" s="286">
        <v>11981</v>
      </c>
      <c r="AP308" s="286"/>
      <c r="AQ308" s="286">
        <v>0</v>
      </c>
      <c r="AR308" s="286">
        <v>0</v>
      </c>
      <c r="AS308" s="286"/>
      <c r="AT308" s="286">
        <v>17</v>
      </c>
      <c r="AU308" s="286">
        <v>25</v>
      </c>
      <c r="AV308" s="286"/>
      <c r="AW308" s="286">
        <v>978</v>
      </c>
      <c r="AX308" s="286">
        <v>5356</v>
      </c>
      <c r="AY308" s="286"/>
      <c r="AZ308" s="286">
        <v>972</v>
      </c>
      <c r="BA308" s="286">
        <v>5</v>
      </c>
      <c r="BB308" s="286"/>
      <c r="BC308" s="286">
        <v>12491</v>
      </c>
      <c r="BD308" s="286">
        <v>14814</v>
      </c>
      <c r="BE308" s="286"/>
      <c r="BF308" s="286">
        <v>3083</v>
      </c>
      <c r="BG308" s="286">
        <v>35138</v>
      </c>
      <c r="BH308" s="286"/>
      <c r="BI308" s="286">
        <v>11438</v>
      </c>
      <c r="BJ308" s="286">
        <v>30869</v>
      </c>
      <c r="BK308" s="286"/>
      <c r="BL308" s="286">
        <v>4965</v>
      </c>
      <c r="BM308" s="286">
        <v>5590</v>
      </c>
      <c r="BN308" s="286"/>
      <c r="BO308" s="286">
        <v>5284</v>
      </c>
      <c r="BP308" s="286">
        <v>5319</v>
      </c>
      <c r="BQ308" s="286"/>
      <c r="BR308" s="286">
        <v>4</v>
      </c>
      <c r="BS308" s="286">
        <v>2</v>
      </c>
      <c r="BT308" s="286"/>
      <c r="BU308" s="286">
        <v>9</v>
      </c>
      <c r="BV308" s="286">
        <v>9</v>
      </c>
      <c r="BW308" s="286"/>
      <c r="BX308" s="286">
        <v>2120</v>
      </c>
      <c r="BY308" s="286">
        <v>2195</v>
      </c>
      <c r="BZ308" s="286"/>
      <c r="CA308" s="286">
        <v>0</v>
      </c>
      <c r="CB308" s="286">
        <v>0</v>
      </c>
      <c r="CC308" s="286"/>
      <c r="CD308" s="286">
        <v>1</v>
      </c>
      <c r="CE308" s="286">
        <v>1</v>
      </c>
      <c r="CF308" s="286"/>
      <c r="CG308" s="286">
        <v>185</v>
      </c>
      <c r="CH308" s="286">
        <v>1142</v>
      </c>
      <c r="CI308" s="286"/>
      <c r="CJ308" s="286">
        <v>0</v>
      </c>
      <c r="CK308" s="286">
        <v>0</v>
      </c>
    </row>
    <row r="309" spans="1:89" ht="30" x14ac:dyDescent="0.25">
      <c r="A309" s="95"/>
      <c r="B309" s="294" t="s">
        <v>1185</v>
      </c>
      <c r="C309" s="95" t="s">
        <v>2774</v>
      </c>
      <c r="D309" s="95" t="s">
        <v>950</v>
      </c>
      <c r="E309" s="282"/>
      <c r="F309" s="282"/>
      <c r="G309" s="282"/>
      <c r="H309" s="282"/>
      <c r="I309" s="282">
        <v>221</v>
      </c>
      <c r="J309" s="282">
        <v>6837</v>
      </c>
      <c r="K309" s="282">
        <v>6742</v>
      </c>
      <c r="L309" s="282">
        <v>0</v>
      </c>
      <c r="M309" s="282">
        <v>0</v>
      </c>
      <c r="N309" s="282">
        <v>0</v>
      </c>
      <c r="P309" s="283"/>
      <c r="Q309" s="286">
        <f>S309+V309+Y309+AB309+AE309+AH309+AK309+AN309+AQ309+AT309+AW309+AZ309+BC309+BF309+BI309+BL309+BO309+BR309+BU309+BX309+CA309+CD309+CG309+CJ309</f>
        <v>6742</v>
      </c>
      <c r="R309" s="286">
        <f>T309+W309+Z309+AC309+AF309+AI309+AL309+AO309+AR309+AU309+AX309+BA309+BD309+BG309+BJ309+BM309+BP309+BS309+BV309+BY309+CB309+CE309+CH309+CK309</f>
        <v>10350</v>
      </c>
      <c r="S309" s="286">
        <v>1259</v>
      </c>
      <c r="T309" s="286">
        <v>1258</v>
      </c>
      <c r="U309" s="286"/>
      <c r="V309" s="286">
        <v>0</v>
      </c>
      <c r="W309" s="286">
        <v>73</v>
      </c>
      <c r="X309" s="286"/>
      <c r="Y309" s="286">
        <v>1</v>
      </c>
      <c r="Z309" s="286">
        <v>1413</v>
      </c>
      <c r="AA309" s="286"/>
      <c r="AB309" s="286">
        <v>0</v>
      </c>
      <c r="AC309" s="286">
        <v>0</v>
      </c>
      <c r="AD309" s="286"/>
      <c r="AE309" s="286">
        <v>0</v>
      </c>
      <c r="AF309" s="286">
        <v>0</v>
      </c>
      <c r="AG309" s="286"/>
      <c r="AH309" s="286">
        <v>0</v>
      </c>
      <c r="AI309" s="286">
        <v>0</v>
      </c>
      <c r="AJ309" s="286"/>
      <c r="AK309" s="286">
        <v>0</v>
      </c>
      <c r="AL309" s="286">
        <v>0</v>
      </c>
      <c r="AM309" s="286"/>
      <c r="AN309" s="286">
        <v>3332</v>
      </c>
      <c r="AO309" s="286">
        <v>5449</v>
      </c>
      <c r="AP309" s="286"/>
      <c r="AQ309" s="286">
        <v>2150</v>
      </c>
      <c r="AR309" s="286">
        <v>2157</v>
      </c>
      <c r="AS309" s="286"/>
      <c r="AT309" s="286">
        <v>0</v>
      </c>
      <c r="AU309" s="286">
        <v>0</v>
      </c>
      <c r="AV309" s="286"/>
      <c r="AW309" s="286">
        <v>0</v>
      </c>
      <c r="AX309" s="286">
        <v>0</v>
      </c>
      <c r="AY309" s="286"/>
      <c r="AZ309" s="286">
        <v>0</v>
      </c>
      <c r="BA309" s="286">
        <v>0</v>
      </c>
      <c r="BB309" s="286"/>
      <c r="BC309" s="286">
        <v>0</v>
      </c>
      <c r="BD309" s="286">
        <v>0</v>
      </c>
      <c r="BE309" s="286"/>
      <c r="BF309" s="286">
        <v>0</v>
      </c>
      <c r="BG309" s="286">
        <v>0</v>
      </c>
      <c r="BH309" s="286"/>
      <c r="BI309" s="286">
        <v>0</v>
      </c>
      <c r="BJ309" s="286">
        <v>0</v>
      </c>
      <c r="BK309" s="286"/>
      <c r="BL309" s="286">
        <v>0</v>
      </c>
      <c r="BM309" s="286">
        <v>0</v>
      </c>
      <c r="BN309" s="286"/>
      <c r="BO309" s="286">
        <v>0</v>
      </c>
      <c r="BP309" s="286">
        <v>0</v>
      </c>
      <c r="BQ309" s="286"/>
      <c r="BR309" s="286">
        <v>0</v>
      </c>
      <c r="BS309" s="286">
        <v>0</v>
      </c>
      <c r="BT309" s="286"/>
      <c r="BU309" s="286">
        <v>0</v>
      </c>
      <c r="BV309" s="286">
        <v>0</v>
      </c>
      <c r="BW309" s="286"/>
      <c r="BX309" s="286">
        <v>0</v>
      </c>
      <c r="BY309" s="286">
        <v>0</v>
      </c>
      <c r="BZ309" s="286"/>
      <c r="CA309" s="286">
        <v>0</v>
      </c>
      <c r="CB309" s="286">
        <v>0</v>
      </c>
      <c r="CC309" s="286"/>
      <c r="CD309" s="286">
        <v>0</v>
      </c>
      <c r="CE309" s="286">
        <v>0</v>
      </c>
      <c r="CF309" s="286"/>
      <c r="CG309" s="286">
        <v>0</v>
      </c>
      <c r="CH309" s="286">
        <v>0</v>
      </c>
      <c r="CI309" s="286"/>
      <c r="CJ309" s="286">
        <v>0</v>
      </c>
      <c r="CK309" s="286">
        <v>0</v>
      </c>
    </row>
    <row r="310" spans="1:89" x14ac:dyDescent="0.25">
      <c r="A310" s="95"/>
      <c r="B310" s="96" t="s">
        <v>1840</v>
      </c>
      <c r="C310" s="95"/>
      <c r="D310" s="95" t="s">
        <v>950</v>
      </c>
      <c r="E310" s="282"/>
      <c r="F310" s="282"/>
      <c r="G310" s="282"/>
      <c r="H310" s="282"/>
      <c r="I310" s="282">
        <f t="shared" ref="I310:N310" si="574">I311+I312</f>
        <v>204689</v>
      </c>
      <c r="J310" s="282">
        <f t="shared" si="574"/>
        <v>215687</v>
      </c>
      <c r="K310" s="282">
        <f t="shared" si="574"/>
        <v>222041</v>
      </c>
      <c r="L310" s="282">
        <f t="shared" si="574"/>
        <v>4438</v>
      </c>
      <c r="M310" s="282">
        <f t="shared" si="574"/>
        <v>4416</v>
      </c>
      <c r="N310" s="282">
        <f t="shared" si="574"/>
        <v>4348</v>
      </c>
      <c r="Q310" s="282">
        <f>Q311+Q312</f>
        <v>222041</v>
      </c>
      <c r="R310" s="282">
        <f>R311+R312</f>
        <v>226676</v>
      </c>
      <c r="S310" s="282">
        <f>S311+S312</f>
        <v>3928</v>
      </c>
      <c r="T310" s="282">
        <f>T311+T312</f>
        <v>4054</v>
      </c>
      <c r="U310" s="286"/>
      <c r="V310" s="282">
        <f>V311+V312</f>
        <v>3597</v>
      </c>
      <c r="W310" s="282">
        <f>W311+W312</f>
        <v>3577</v>
      </c>
      <c r="X310" s="286"/>
      <c r="Y310" s="282">
        <f>Y311+Y312</f>
        <v>4418</v>
      </c>
      <c r="Z310" s="282">
        <f>Z311+Z312</f>
        <v>4344</v>
      </c>
      <c r="AA310" s="286"/>
      <c r="AB310" s="282">
        <f>AB311+AB312</f>
        <v>5122</v>
      </c>
      <c r="AC310" s="282">
        <f>AC311+AC312</f>
        <v>5114</v>
      </c>
      <c r="AD310" s="286"/>
      <c r="AE310" s="282">
        <f>AE311+AE312</f>
        <v>3885</v>
      </c>
      <c r="AF310" s="282">
        <f>AF311+AF312</f>
        <v>3847</v>
      </c>
      <c r="AG310" s="286"/>
      <c r="AH310" s="282">
        <f>AH311+AH312</f>
        <v>4482</v>
      </c>
      <c r="AI310" s="282">
        <f>AI311+AI312</f>
        <v>4455</v>
      </c>
      <c r="AJ310" s="286"/>
      <c r="AK310" s="282">
        <f>AK311+AK312</f>
        <v>6268</v>
      </c>
      <c r="AL310" s="282">
        <f>AL311+AL312</f>
        <v>6344</v>
      </c>
      <c r="AM310" s="286"/>
      <c r="AN310" s="282">
        <f>AN311+AN312</f>
        <v>17393</v>
      </c>
      <c r="AO310" s="282">
        <f>AO311+AO312</f>
        <v>17445</v>
      </c>
      <c r="AP310" s="286"/>
      <c r="AQ310" s="282">
        <f>AQ311+AQ312</f>
        <v>2150</v>
      </c>
      <c r="AR310" s="282">
        <f>AR311+AR312</f>
        <v>2157</v>
      </c>
      <c r="AS310" s="286"/>
      <c r="AT310" s="282">
        <f>AT311+AT312</f>
        <v>14061</v>
      </c>
      <c r="AU310" s="282">
        <f>AU311+AU312</f>
        <v>14547</v>
      </c>
      <c r="AV310" s="286"/>
      <c r="AW310" s="282">
        <f>AW311+AW312</f>
        <v>5269</v>
      </c>
      <c r="AX310" s="282">
        <f>AX311+AX312</f>
        <v>5356</v>
      </c>
      <c r="AY310" s="286"/>
      <c r="AZ310" s="282">
        <f>AZ311+AZ312</f>
        <v>7300</v>
      </c>
      <c r="BA310" s="282">
        <f>BA311+BA312</f>
        <v>7246</v>
      </c>
      <c r="BB310" s="286"/>
      <c r="BC310" s="282">
        <f>BC311+BC312</f>
        <v>14538</v>
      </c>
      <c r="BD310" s="282">
        <f>BD311+BD312</f>
        <v>14814</v>
      </c>
      <c r="BE310" s="286"/>
      <c r="BF310" s="282">
        <f>BF311+BF312</f>
        <v>34261</v>
      </c>
      <c r="BG310" s="282">
        <f>BG311+BG312</f>
        <v>35224</v>
      </c>
      <c r="BH310" s="286"/>
      <c r="BI310" s="282">
        <f>BI311+BI312</f>
        <v>51527</v>
      </c>
      <c r="BJ310" s="282">
        <f>BJ311+BJ312</f>
        <v>53886</v>
      </c>
      <c r="BK310" s="286"/>
      <c r="BL310" s="282">
        <f>BL311+BL312</f>
        <v>5617</v>
      </c>
      <c r="BM310" s="282">
        <f>BM311+BM312</f>
        <v>5590</v>
      </c>
      <c r="BN310" s="286"/>
      <c r="BO310" s="282">
        <f>BO311+BO312</f>
        <v>5284</v>
      </c>
      <c r="BP310" s="282">
        <f>BP311+BP312</f>
        <v>5319</v>
      </c>
      <c r="BQ310" s="286"/>
      <c r="BR310" s="282">
        <f>BR311+BR312</f>
        <v>8021</v>
      </c>
      <c r="BS310" s="282">
        <f>BS311+BS312</f>
        <v>8109</v>
      </c>
      <c r="BT310" s="286"/>
      <c r="BU310" s="282">
        <f>BU311+BU312</f>
        <v>8017</v>
      </c>
      <c r="BV310" s="282">
        <f>BV311+BV312</f>
        <v>8098</v>
      </c>
      <c r="BW310" s="286"/>
      <c r="BX310" s="282">
        <f>BX311+BX312</f>
        <v>2132</v>
      </c>
      <c r="BY310" s="282">
        <f>BY311+BY312</f>
        <v>2198</v>
      </c>
      <c r="BZ310" s="286"/>
      <c r="CA310" s="282">
        <f>CA311+CA312</f>
        <v>5710</v>
      </c>
      <c r="CB310" s="282">
        <f>CB311+CB312</f>
        <v>5835</v>
      </c>
      <c r="CC310" s="286"/>
      <c r="CD310" s="282">
        <f>CD311+CD312</f>
        <v>5310</v>
      </c>
      <c r="CE310" s="282">
        <f>CE311+CE312</f>
        <v>5416</v>
      </c>
      <c r="CF310" s="286"/>
      <c r="CG310" s="282">
        <f>CG311+CG312</f>
        <v>3085</v>
      </c>
      <c r="CH310" s="282">
        <f>CH311+CH312</f>
        <v>3031</v>
      </c>
      <c r="CI310" s="286"/>
      <c r="CJ310" s="282">
        <f>CJ311+CJ312</f>
        <v>666</v>
      </c>
      <c r="CK310" s="282">
        <f>CK311+CK312</f>
        <v>670</v>
      </c>
    </row>
    <row r="311" spans="1:89" ht="30" x14ac:dyDescent="0.25">
      <c r="A311" s="95"/>
      <c r="B311" s="294" t="s">
        <v>1183</v>
      </c>
      <c r="C311" s="95" t="s">
        <v>2775</v>
      </c>
      <c r="D311" s="95" t="s">
        <v>950</v>
      </c>
      <c r="E311" s="282"/>
      <c r="F311" s="282"/>
      <c r="G311" s="282"/>
      <c r="H311" s="282"/>
      <c r="I311" s="282">
        <f>I237</f>
        <v>187583</v>
      </c>
      <c r="J311" s="282">
        <v>198062</v>
      </c>
      <c r="K311" s="282">
        <v>204397</v>
      </c>
      <c r="L311" s="282">
        <v>2474</v>
      </c>
      <c r="M311" s="282">
        <v>2475</v>
      </c>
      <c r="N311" s="282">
        <v>2472</v>
      </c>
      <c r="P311" s="283"/>
      <c r="Q311" s="286">
        <f>S311+V311+Y311+AB311+AE311+AH311+AK311+AN311+AQ311+AT311+AW311+AZ311+BC311+BF311+BI311+BL311+BO311+BR311+BU311+BX311+CA311+CD311+CG311+CJ311</f>
        <v>204397</v>
      </c>
      <c r="R311" s="286">
        <f>T311+W311+Z311+AC311+AF311+AI311+AL311+AO311+AR311+AU311+AX311+BA311+BD311+BG311+BJ311+BM311+BP311+BS311+BV311+BY311+CB311+CE311+CH311+CK311</f>
        <v>209186</v>
      </c>
      <c r="S311" s="286">
        <v>2663</v>
      </c>
      <c r="T311" s="286">
        <v>2792</v>
      </c>
      <c r="U311" s="286"/>
      <c r="V311" s="286">
        <v>2154</v>
      </c>
      <c r="W311" s="286">
        <v>2124</v>
      </c>
      <c r="X311" s="286"/>
      <c r="Y311" s="286">
        <v>2960</v>
      </c>
      <c r="Z311" s="286">
        <v>2929</v>
      </c>
      <c r="AA311" s="286"/>
      <c r="AB311" s="286">
        <v>2910</v>
      </c>
      <c r="AC311" s="286">
        <v>2938</v>
      </c>
      <c r="AD311" s="286"/>
      <c r="AE311" s="286">
        <v>2898</v>
      </c>
      <c r="AF311" s="286">
        <v>2939</v>
      </c>
      <c r="AG311" s="286"/>
      <c r="AH311" s="286">
        <v>2503</v>
      </c>
      <c r="AI311" s="286">
        <v>2485</v>
      </c>
      <c r="AJ311" s="286"/>
      <c r="AK311" s="286">
        <v>5978</v>
      </c>
      <c r="AL311" s="286">
        <v>6056</v>
      </c>
      <c r="AM311" s="286"/>
      <c r="AN311" s="286">
        <v>11915</v>
      </c>
      <c r="AO311" s="286">
        <v>11981</v>
      </c>
      <c r="AP311" s="286"/>
      <c r="AQ311" s="286">
        <v>0</v>
      </c>
      <c r="AR311" s="286">
        <v>0</v>
      </c>
      <c r="AS311" s="286"/>
      <c r="AT311" s="286">
        <v>14061</v>
      </c>
      <c r="AU311" s="286">
        <v>14547</v>
      </c>
      <c r="AV311" s="286"/>
      <c r="AW311" s="286">
        <v>5269</v>
      </c>
      <c r="AX311" s="286">
        <v>5356</v>
      </c>
      <c r="AY311" s="286"/>
      <c r="AZ311" s="286">
        <v>7300</v>
      </c>
      <c r="BA311" s="286">
        <v>7246</v>
      </c>
      <c r="BB311" s="286"/>
      <c r="BC311" s="286">
        <v>14538</v>
      </c>
      <c r="BD311" s="286">
        <v>14814</v>
      </c>
      <c r="BE311" s="286"/>
      <c r="BF311" s="286">
        <v>34261</v>
      </c>
      <c r="BG311" s="286">
        <v>35224</v>
      </c>
      <c r="BH311" s="286"/>
      <c r="BI311" s="286">
        <v>51527</v>
      </c>
      <c r="BJ311" s="286">
        <v>53886</v>
      </c>
      <c r="BK311" s="286"/>
      <c r="BL311" s="286">
        <v>5617</v>
      </c>
      <c r="BM311" s="286">
        <v>5590</v>
      </c>
      <c r="BN311" s="286"/>
      <c r="BO311" s="286">
        <v>5284</v>
      </c>
      <c r="BP311" s="286">
        <v>5319</v>
      </c>
      <c r="BQ311" s="286"/>
      <c r="BR311" s="286">
        <v>8021</v>
      </c>
      <c r="BS311" s="286">
        <v>8109</v>
      </c>
      <c r="BT311" s="286"/>
      <c r="BU311" s="286">
        <v>8017</v>
      </c>
      <c r="BV311" s="286">
        <v>8098</v>
      </c>
      <c r="BW311" s="286"/>
      <c r="BX311" s="286">
        <v>2132</v>
      </c>
      <c r="BY311" s="286">
        <v>2198</v>
      </c>
      <c r="BZ311" s="286"/>
      <c r="CA311" s="286">
        <v>5710</v>
      </c>
      <c r="CB311" s="286">
        <v>5835</v>
      </c>
      <c r="CC311" s="286"/>
      <c r="CD311" s="286">
        <v>5310</v>
      </c>
      <c r="CE311" s="286">
        <v>5416</v>
      </c>
      <c r="CF311" s="286"/>
      <c r="CG311" s="286">
        <v>2703</v>
      </c>
      <c r="CH311" s="286">
        <v>2634</v>
      </c>
      <c r="CI311" s="286"/>
      <c r="CJ311" s="286">
        <v>666</v>
      </c>
      <c r="CK311" s="286">
        <v>670</v>
      </c>
    </row>
    <row r="312" spans="1:89" ht="30" x14ac:dyDescent="0.25">
      <c r="A312" s="95"/>
      <c r="B312" s="294" t="s">
        <v>1185</v>
      </c>
      <c r="C312" s="95" t="s">
        <v>2775</v>
      </c>
      <c r="D312" s="95" t="s">
        <v>950</v>
      </c>
      <c r="E312" s="282"/>
      <c r="F312" s="282"/>
      <c r="G312" s="282"/>
      <c r="H312" s="282"/>
      <c r="I312" s="282">
        <f>I241</f>
        <v>17106</v>
      </c>
      <c r="J312" s="282">
        <v>17625</v>
      </c>
      <c r="K312" s="282">
        <v>17644</v>
      </c>
      <c r="L312" s="282">
        <v>1964</v>
      </c>
      <c r="M312" s="282">
        <v>1941</v>
      </c>
      <c r="N312" s="282">
        <v>1876</v>
      </c>
      <c r="P312" s="283"/>
      <c r="Q312" s="286">
        <f>S312+V312+Y312+AB312+AE312+AH312+AK312+AN312+AQ312+AT312+AW312+AZ312+BC312+BF312+BI312+BL312+BO312+BR312+BU312+BX312+CA312+CD312+CG312+CJ312</f>
        <v>17644</v>
      </c>
      <c r="R312" s="286">
        <f>T312+W312+Z312+AC312+AF312+AI312+AL312+AO312+AR312+AU312+AX312+BA312+BD312+BG312+BJ312+BM312+BP312+BS312+BV312+BY312+CB312+CE312+CH312+CK312</f>
        <v>17490</v>
      </c>
      <c r="S312" s="286">
        <v>1265</v>
      </c>
      <c r="T312" s="286">
        <v>1262</v>
      </c>
      <c r="U312" s="286"/>
      <c r="V312" s="286">
        <v>1443</v>
      </c>
      <c r="W312" s="286">
        <v>1453</v>
      </c>
      <c r="X312" s="286"/>
      <c r="Y312" s="286">
        <v>1458</v>
      </c>
      <c r="Z312" s="286">
        <v>1415</v>
      </c>
      <c r="AA312" s="286"/>
      <c r="AB312" s="286">
        <v>2212</v>
      </c>
      <c r="AC312" s="286">
        <v>2176</v>
      </c>
      <c r="AD312" s="286"/>
      <c r="AE312" s="286">
        <v>987</v>
      </c>
      <c r="AF312" s="286">
        <v>908</v>
      </c>
      <c r="AG312" s="286"/>
      <c r="AH312" s="286">
        <v>1979</v>
      </c>
      <c r="AI312" s="286">
        <v>1970</v>
      </c>
      <c r="AJ312" s="286"/>
      <c r="AK312" s="286">
        <v>290</v>
      </c>
      <c r="AL312" s="286">
        <v>288</v>
      </c>
      <c r="AM312" s="286"/>
      <c r="AN312" s="286">
        <v>5478</v>
      </c>
      <c r="AO312" s="286">
        <v>5464</v>
      </c>
      <c r="AP312" s="286"/>
      <c r="AQ312" s="286">
        <v>2150</v>
      </c>
      <c r="AR312" s="286">
        <v>2157</v>
      </c>
      <c r="AS312" s="286"/>
      <c r="AT312" s="286">
        <v>0</v>
      </c>
      <c r="AU312" s="286">
        <v>0</v>
      </c>
      <c r="AV312" s="286"/>
      <c r="AW312" s="286">
        <v>0</v>
      </c>
      <c r="AX312" s="286">
        <v>0</v>
      </c>
      <c r="AY312" s="286"/>
      <c r="AZ312" s="286">
        <v>0</v>
      </c>
      <c r="BA312" s="286">
        <v>0</v>
      </c>
      <c r="BB312" s="286"/>
      <c r="BC312" s="286">
        <v>0</v>
      </c>
      <c r="BD312" s="286">
        <v>0</v>
      </c>
      <c r="BE312" s="286"/>
      <c r="BF312" s="286">
        <v>0</v>
      </c>
      <c r="BG312" s="286">
        <v>0</v>
      </c>
      <c r="BH312" s="286"/>
      <c r="BI312" s="286">
        <v>0</v>
      </c>
      <c r="BJ312" s="286">
        <v>0</v>
      </c>
      <c r="BK312" s="286"/>
      <c r="BL312" s="286">
        <v>0</v>
      </c>
      <c r="BM312" s="286">
        <v>0</v>
      </c>
      <c r="BN312" s="286"/>
      <c r="BO312" s="286">
        <v>0</v>
      </c>
      <c r="BP312" s="286">
        <v>0</v>
      </c>
      <c r="BQ312" s="286"/>
      <c r="BR312" s="286">
        <v>0</v>
      </c>
      <c r="BS312" s="286">
        <v>0</v>
      </c>
      <c r="BT312" s="286"/>
      <c r="BU312" s="286">
        <v>0</v>
      </c>
      <c r="BV312" s="286">
        <v>0</v>
      </c>
      <c r="BW312" s="286"/>
      <c r="BX312" s="286">
        <v>0</v>
      </c>
      <c r="BY312" s="286">
        <v>0</v>
      </c>
      <c r="BZ312" s="286"/>
      <c r="CA312" s="286">
        <v>0</v>
      </c>
      <c r="CB312" s="286">
        <v>0</v>
      </c>
      <c r="CC312" s="286"/>
      <c r="CD312" s="286">
        <v>0</v>
      </c>
      <c r="CE312" s="286">
        <v>0</v>
      </c>
      <c r="CF312" s="286"/>
      <c r="CG312" s="286">
        <v>382</v>
      </c>
      <c r="CH312" s="286">
        <v>397</v>
      </c>
      <c r="CI312" s="286"/>
      <c r="CJ312" s="286">
        <v>0</v>
      </c>
      <c r="CK312" s="286">
        <v>0</v>
      </c>
    </row>
    <row r="313" spans="1:89" x14ac:dyDescent="0.25">
      <c r="A313" s="95"/>
      <c r="B313" s="96" t="s">
        <v>1184</v>
      </c>
      <c r="C313" s="95"/>
      <c r="D313" s="95" t="s">
        <v>8</v>
      </c>
      <c r="E313" s="282"/>
      <c r="F313" s="282"/>
      <c r="G313" s="282"/>
      <c r="H313" s="282"/>
      <c r="I313" s="293">
        <f t="shared" ref="I313:K315" si="575">I316/I319*100</f>
        <v>0</v>
      </c>
      <c r="J313" s="293">
        <f t="shared" si="575"/>
        <v>0</v>
      </c>
      <c r="K313" s="293">
        <f t="shared" si="575"/>
        <v>18.562231759656651</v>
      </c>
      <c r="L313" s="293" t="e">
        <f t="shared" ref="L313:M315" si="576">L316/L319*100</f>
        <v>#DIV/0!</v>
      </c>
      <c r="M313" s="293" t="e">
        <f t="shared" si="576"/>
        <v>#DIV/0!</v>
      </c>
      <c r="N313" s="293" t="e">
        <f t="shared" ref="N313" si="577">N316/N319*100</f>
        <v>#DIV/0!</v>
      </c>
      <c r="Q313" s="293">
        <f t="shared" ref="Q313:T315" si="578">Q316/Q319*100</f>
        <v>18.562231759656651</v>
      </c>
      <c r="R313" s="293">
        <f t="shared" si="578"/>
        <v>20.434782608695652</v>
      </c>
      <c r="S313" s="293" t="e">
        <f t="shared" si="578"/>
        <v>#DIV/0!</v>
      </c>
      <c r="T313" s="293" t="e">
        <f t="shared" si="578"/>
        <v>#DIV/0!</v>
      </c>
      <c r="V313" s="293" t="e">
        <f t="shared" ref="V313:W315" si="579">V316/V319*100</f>
        <v>#DIV/0!</v>
      </c>
      <c r="W313" s="293" t="e">
        <f t="shared" si="579"/>
        <v>#DIV/0!</v>
      </c>
      <c r="Y313" s="293" t="e">
        <f t="shared" ref="Y313:Z315" si="580">Y316/Y319*100</f>
        <v>#DIV/0!</v>
      </c>
      <c r="Z313" s="293" t="e">
        <f t="shared" si="580"/>
        <v>#DIV/0!</v>
      </c>
      <c r="AB313" s="293" t="e">
        <f t="shared" ref="AB313:AC315" si="581">AB316/AB319*100</f>
        <v>#DIV/0!</v>
      </c>
      <c r="AC313" s="293" t="e">
        <f t="shared" si="581"/>
        <v>#DIV/0!</v>
      </c>
      <c r="AE313" s="293" t="e">
        <f t="shared" ref="AE313:AF315" si="582">AE316/AE319*100</f>
        <v>#DIV/0!</v>
      </c>
      <c r="AF313" s="293" t="e">
        <f t="shared" si="582"/>
        <v>#DIV/0!</v>
      </c>
      <c r="AH313" s="293" t="e">
        <f t="shared" ref="AH313:AI315" si="583">AH316/AH319*100</f>
        <v>#DIV/0!</v>
      </c>
      <c r="AI313" s="293" t="e">
        <f t="shared" si="583"/>
        <v>#DIV/0!</v>
      </c>
      <c r="AK313" s="293" t="e">
        <f t="shared" ref="AK313:AL315" si="584">AK316/AK319*100</f>
        <v>#DIV/0!</v>
      </c>
      <c r="AL313" s="293" t="e">
        <f t="shared" si="584"/>
        <v>#DIV/0!</v>
      </c>
      <c r="AN313" s="293" t="e">
        <f t="shared" ref="AN313:AO315" si="585">AN316/AN319*100</f>
        <v>#DIV/0!</v>
      </c>
      <c r="AO313" s="293" t="e">
        <f t="shared" si="585"/>
        <v>#DIV/0!</v>
      </c>
      <c r="AQ313" s="293" t="e">
        <f t="shared" ref="AQ313:AR315" si="586">AQ316/AQ319*100</f>
        <v>#DIV/0!</v>
      </c>
      <c r="AR313" s="293" t="e">
        <f t="shared" si="586"/>
        <v>#DIV/0!</v>
      </c>
      <c r="AT313" s="293" t="e">
        <f t="shared" ref="AT313:AU315" si="587">AT316/AT319*100</f>
        <v>#DIV/0!</v>
      </c>
      <c r="AU313" s="293" t="e">
        <f t="shared" si="587"/>
        <v>#DIV/0!</v>
      </c>
      <c r="AW313" s="293" t="e">
        <f t="shared" ref="AW313:AX315" si="588">AW316/AW319*100</f>
        <v>#DIV/0!</v>
      </c>
      <c r="AX313" s="293" t="e">
        <f t="shared" si="588"/>
        <v>#DIV/0!</v>
      </c>
      <c r="AZ313" s="293" t="e">
        <f t="shared" ref="AZ313:BA315" si="589">AZ316/AZ319*100</f>
        <v>#DIV/0!</v>
      </c>
      <c r="BA313" s="293" t="e">
        <f t="shared" si="589"/>
        <v>#DIV/0!</v>
      </c>
      <c r="BC313" s="293">
        <f t="shared" ref="BC313:BD315" si="590">BC316/BC319*100</f>
        <v>92.513368983957221</v>
      </c>
      <c r="BD313" s="293">
        <f t="shared" si="590"/>
        <v>100</v>
      </c>
      <c r="BF313" s="293">
        <f t="shared" ref="BF313:BG315" si="591">BF316/BF319*100</f>
        <v>0</v>
      </c>
      <c r="BG313" s="293">
        <f t="shared" si="591"/>
        <v>0</v>
      </c>
      <c r="BI313" s="293">
        <f t="shared" ref="BI313:BJ315" si="592">BI316/BI319*100</f>
        <v>0</v>
      </c>
      <c r="BJ313" s="293">
        <f t="shared" si="592"/>
        <v>0</v>
      </c>
      <c r="BL313" s="293" t="e">
        <f t="shared" ref="BL313:BM315" si="593">BL316/BL319*100</f>
        <v>#DIV/0!</v>
      </c>
      <c r="BM313" s="293" t="e">
        <f t="shared" si="593"/>
        <v>#DIV/0!</v>
      </c>
      <c r="BO313" s="293" t="e">
        <f t="shared" ref="BO313:BP315" si="594">BO316/BO319*100</f>
        <v>#DIV/0!</v>
      </c>
      <c r="BP313" s="293" t="e">
        <f t="shared" si="594"/>
        <v>#DIV/0!</v>
      </c>
      <c r="BR313" s="293" t="e">
        <f t="shared" ref="BR313:BS315" si="595">BR316/BR319*100</f>
        <v>#DIV/0!</v>
      </c>
      <c r="BS313" s="293" t="e">
        <f t="shared" si="595"/>
        <v>#DIV/0!</v>
      </c>
      <c r="BU313" s="293" t="e">
        <f t="shared" ref="BU313:BV315" si="596">BU316/BU319*100</f>
        <v>#DIV/0!</v>
      </c>
      <c r="BV313" s="293" t="e">
        <f t="shared" si="596"/>
        <v>#DIV/0!</v>
      </c>
      <c r="BX313" s="293" t="e">
        <f t="shared" ref="BX313:BY315" si="597">BX316/BX319*100</f>
        <v>#DIV/0!</v>
      </c>
      <c r="BY313" s="293" t="e">
        <f t="shared" si="597"/>
        <v>#DIV/0!</v>
      </c>
      <c r="CA313" s="293" t="e">
        <f t="shared" ref="CA313:CB315" si="598">CA316/CA319*100</f>
        <v>#DIV/0!</v>
      </c>
      <c r="CB313" s="293" t="e">
        <f t="shared" si="598"/>
        <v>#DIV/0!</v>
      </c>
      <c r="CD313" s="293">
        <f t="shared" ref="CD313:CE315" si="599">CD316/CD319*100</f>
        <v>0</v>
      </c>
      <c r="CE313" s="293">
        <f t="shared" si="599"/>
        <v>0</v>
      </c>
      <c r="CG313" s="293" t="e">
        <f t="shared" ref="CG313:CH315" si="600">CG316/CG319*100</f>
        <v>#DIV/0!</v>
      </c>
      <c r="CH313" s="293" t="e">
        <f t="shared" si="600"/>
        <v>#DIV/0!</v>
      </c>
      <c r="CJ313" s="293" t="e">
        <f t="shared" ref="CJ313:CK315" si="601">CJ316/CJ319*100</f>
        <v>#DIV/0!</v>
      </c>
      <c r="CK313" s="293" t="e">
        <f t="shared" si="601"/>
        <v>#DIV/0!</v>
      </c>
    </row>
    <row r="314" spans="1:89" x14ac:dyDescent="0.25">
      <c r="A314" s="95"/>
      <c r="B314" s="96" t="s">
        <v>1183</v>
      </c>
      <c r="C314" s="95"/>
      <c r="D314" s="95" t="s">
        <v>8</v>
      </c>
      <c r="E314" s="282"/>
      <c r="F314" s="282"/>
      <c r="G314" s="282"/>
      <c r="H314" s="282"/>
      <c r="I314" s="293">
        <f t="shared" si="575"/>
        <v>0</v>
      </c>
      <c r="J314" s="293">
        <f t="shared" si="575"/>
        <v>0</v>
      </c>
      <c r="K314" s="293">
        <f t="shared" si="575"/>
        <v>18.562231759656651</v>
      </c>
      <c r="L314" s="293" t="e">
        <f t="shared" ref="L314" si="602">L317/L320*100</f>
        <v>#DIV/0!</v>
      </c>
      <c r="M314" s="293" t="e">
        <f t="shared" si="576"/>
        <v>#DIV/0!</v>
      </c>
      <c r="N314" s="293" t="e">
        <f t="shared" ref="N314" si="603">N317/N320*100</f>
        <v>#DIV/0!</v>
      </c>
      <c r="Q314" s="293">
        <f t="shared" si="578"/>
        <v>18.562231759656651</v>
      </c>
      <c r="R314" s="293">
        <f t="shared" si="578"/>
        <v>20.434782608695652</v>
      </c>
      <c r="S314" s="293" t="e">
        <f t="shared" si="578"/>
        <v>#DIV/0!</v>
      </c>
      <c r="T314" s="293" t="e">
        <f t="shared" si="578"/>
        <v>#DIV/0!</v>
      </c>
      <c r="V314" s="293" t="e">
        <f t="shared" si="579"/>
        <v>#DIV/0!</v>
      </c>
      <c r="W314" s="293" t="e">
        <f t="shared" si="579"/>
        <v>#DIV/0!</v>
      </c>
      <c r="Y314" s="293" t="e">
        <f t="shared" si="580"/>
        <v>#DIV/0!</v>
      </c>
      <c r="Z314" s="293" t="e">
        <f t="shared" si="580"/>
        <v>#DIV/0!</v>
      </c>
      <c r="AB314" s="293" t="e">
        <f t="shared" si="581"/>
        <v>#DIV/0!</v>
      </c>
      <c r="AC314" s="293" t="e">
        <f t="shared" si="581"/>
        <v>#DIV/0!</v>
      </c>
      <c r="AE314" s="293" t="e">
        <f t="shared" si="582"/>
        <v>#DIV/0!</v>
      </c>
      <c r="AF314" s="293" t="e">
        <f t="shared" si="582"/>
        <v>#DIV/0!</v>
      </c>
      <c r="AH314" s="293" t="e">
        <f t="shared" si="583"/>
        <v>#DIV/0!</v>
      </c>
      <c r="AI314" s="293" t="e">
        <f t="shared" si="583"/>
        <v>#DIV/0!</v>
      </c>
      <c r="AK314" s="293" t="e">
        <f t="shared" si="584"/>
        <v>#DIV/0!</v>
      </c>
      <c r="AL314" s="293" t="e">
        <f t="shared" si="584"/>
        <v>#DIV/0!</v>
      </c>
      <c r="AN314" s="293" t="e">
        <f t="shared" si="585"/>
        <v>#DIV/0!</v>
      </c>
      <c r="AO314" s="293" t="e">
        <f t="shared" si="585"/>
        <v>#DIV/0!</v>
      </c>
      <c r="AQ314" s="293" t="e">
        <f t="shared" si="586"/>
        <v>#DIV/0!</v>
      </c>
      <c r="AR314" s="293" t="e">
        <f t="shared" si="586"/>
        <v>#DIV/0!</v>
      </c>
      <c r="AT314" s="293" t="e">
        <f t="shared" si="587"/>
        <v>#DIV/0!</v>
      </c>
      <c r="AU314" s="293" t="e">
        <f t="shared" si="587"/>
        <v>#DIV/0!</v>
      </c>
      <c r="AW314" s="293" t="e">
        <f t="shared" si="588"/>
        <v>#DIV/0!</v>
      </c>
      <c r="AX314" s="293" t="e">
        <f t="shared" si="588"/>
        <v>#DIV/0!</v>
      </c>
      <c r="AZ314" s="293" t="e">
        <f t="shared" si="589"/>
        <v>#DIV/0!</v>
      </c>
      <c r="BA314" s="293" t="e">
        <f t="shared" si="589"/>
        <v>#DIV/0!</v>
      </c>
      <c r="BC314" s="293">
        <f t="shared" si="590"/>
        <v>92.513368983957221</v>
      </c>
      <c r="BD314" s="293">
        <f t="shared" si="590"/>
        <v>100</v>
      </c>
      <c r="BF314" s="293">
        <f t="shared" si="591"/>
        <v>0</v>
      </c>
      <c r="BG314" s="293">
        <f t="shared" si="591"/>
        <v>0</v>
      </c>
      <c r="BI314" s="293">
        <f t="shared" si="592"/>
        <v>0</v>
      </c>
      <c r="BJ314" s="293">
        <f t="shared" si="592"/>
        <v>0</v>
      </c>
      <c r="BL314" s="293" t="e">
        <f t="shared" si="593"/>
        <v>#DIV/0!</v>
      </c>
      <c r="BM314" s="293" t="e">
        <f t="shared" si="593"/>
        <v>#DIV/0!</v>
      </c>
      <c r="BO314" s="293" t="e">
        <f t="shared" si="594"/>
        <v>#DIV/0!</v>
      </c>
      <c r="BP314" s="293" t="e">
        <f t="shared" si="594"/>
        <v>#DIV/0!</v>
      </c>
      <c r="BR314" s="293" t="e">
        <f t="shared" si="595"/>
        <v>#DIV/0!</v>
      </c>
      <c r="BS314" s="293" t="e">
        <f t="shared" si="595"/>
        <v>#DIV/0!</v>
      </c>
      <c r="BU314" s="293" t="e">
        <f t="shared" si="596"/>
        <v>#DIV/0!</v>
      </c>
      <c r="BV314" s="293" t="e">
        <f t="shared" si="596"/>
        <v>#DIV/0!</v>
      </c>
      <c r="BX314" s="293" t="e">
        <f t="shared" si="597"/>
        <v>#DIV/0!</v>
      </c>
      <c r="BY314" s="293" t="e">
        <f t="shared" si="597"/>
        <v>#DIV/0!</v>
      </c>
      <c r="CA314" s="293" t="e">
        <f t="shared" si="598"/>
        <v>#DIV/0!</v>
      </c>
      <c r="CB314" s="293" t="e">
        <f t="shared" si="598"/>
        <v>#DIV/0!</v>
      </c>
      <c r="CD314" s="293">
        <f t="shared" si="599"/>
        <v>0</v>
      </c>
      <c r="CE314" s="293">
        <f t="shared" si="599"/>
        <v>0</v>
      </c>
      <c r="CG314" s="293" t="e">
        <f t="shared" si="600"/>
        <v>#DIV/0!</v>
      </c>
      <c r="CH314" s="293" t="e">
        <f t="shared" si="600"/>
        <v>#DIV/0!</v>
      </c>
      <c r="CJ314" s="293" t="e">
        <f t="shared" si="601"/>
        <v>#DIV/0!</v>
      </c>
      <c r="CK314" s="293" t="e">
        <f t="shared" si="601"/>
        <v>#DIV/0!</v>
      </c>
    </row>
    <row r="315" spans="1:89" x14ac:dyDescent="0.25">
      <c r="A315" s="95"/>
      <c r="B315" s="96" t="s">
        <v>1185</v>
      </c>
      <c r="C315" s="95"/>
      <c r="D315" s="95" t="s">
        <v>8</v>
      </c>
      <c r="E315" s="282"/>
      <c r="F315" s="282"/>
      <c r="G315" s="282"/>
      <c r="H315" s="282"/>
      <c r="I315" s="293" t="e">
        <f t="shared" si="575"/>
        <v>#DIV/0!</v>
      </c>
      <c r="J315" s="293" t="e">
        <f t="shared" si="575"/>
        <v>#DIV/0!</v>
      </c>
      <c r="K315" s="293" t="e">
        <f t="shared" si="575"/>
        <v>#DIV/0!</v>
      </c>
      <c r="L315" s="293" t="e">
        <f t="shared" ref="L315" si="604">L318/L321*100</f>
        <v>#DIV/0!</v>
      </c>
      <c r="M315" s="293" t="e">
        <f t="shared" si="576"/>
        <v>#DIV/0!</v>
      </c>
      <c r="N315" s="293" t="e">
        <f t="shared" ref="N315" si="605">N318/N321*100</f>
        <v>#DIV/0!</v>
      </c>
      <c r="Q315" s="293" t="e">
        <f t="shared" si="578"/>
        <v>#DIV/0!</v>
      </c>
      <c r="R315" s="293" t="e">
        <f t="shared" si="578"/>
        <v>#DIV/0!</v>
      </c>
      <c r="S315" s="293" t="e">
        <f t="shared" si="578"/>
        <v>#DIV/0!</v>
      </c>
      <c r="T315" s="293" t="e">
        <f t="shared" si="578"/>
        <v>#DIV/0!</v>
      </c>
      <c r="V315" s="293" t="e">
        <f t="shared" si="579"/>
        <v>#DIV/0!</v>
      </c>
      <c r="W315" s="293" t="e">
        <f t="shared" si="579"/>
        <v>#DIV/0!</v>
      </c>
      <c r="Y315" s="293" t="e">
        <f t="shared" si="580"/>
        <v>#DIV/0!</v>
      </c>
      <c r="Z315" s="293" t="e">
        <f t="shared" si="580"/>
        <v>#DIV/0!</v>
      </c>
      <c r="AB315" s="293" t="e">
        <f t="shared" si="581"/>
        <v>#DIV/0!</v>
      </c>
      <c r="AC315" s="293" t="e">
        <f t="shared" si="581"/>
        <v>#DIV/0!</v>
      </c>
      <c r="AE315" s="293" t="e">
        <f t="shared" si="582"/>
        <v>#DIV/0!</v>
      </c>
      <c r="AF315" s="293" t="e">
        <f t="shared" si="582"/>
        <v>#DIV/0!</v>
      </c>
      <c r="AH315" s="293" t="e">
        <f t="shared" si="583"/>
        <v>#DIV/0!</v>
      </c>
      <c r="AI315" s="293" t="e">
        <f t="shared" si="583"/>
        <v>#DIV/0!</v>
      </c>
      <c r="AK315" s="293" t="e">
        <f t="shared" si="584"/>
        <v>#DIV/0!</v>
      </c>
      <c r="AL315" s="293" t="e">
        <f t="shared" si="584"/>
        <v>#DIV/0!</v>
      </c>
      <c r="AN315" s="293" t="e">
        <f t="shared" si="585"/>
        <v>#DIV/0!</v>
      </c>
      <c r="AO315" s="293" t="e">
        <f t="shared" si="585"/>
        <v>#DIV/0!</v>
      </c>
      <c r="AQ315" s="293" t="e">
        <f t="shared" si="586"/>
        <v>#DIV/0!</v>
      </c>
      <c r="AR315" s="293" t="e">
        <f t="shared" si="586"/>
        <v>#DIV/0!</v>
      </c>
      <c r="AT315" s="293" t="e">
        <f t="shared" si="587"/>
        <v>#DIV/0!</v>
      </c>
      <c r="AU315" s="293" t="e">
        <f t="shared" si="587"/>
        <v>#DIV/0!</v>
      </c>
      <c r="AW315" s="293" t="e">
        <f t="shared" si="588"/>
        <v>#DIV/0!</v>
      </c>
      <c r="AX315" s="293" t="e">
        <f t="shared" si="588"/>
        <v>#DIV/0!</v>
      </c>
      <c r="AZ315" s="293" t="e">
        <f t="shared" si="589"/>
        <v>#DIV/0!</v>
      </c>
      <c r="BA315" s="293" t="e">
        <f t="shared" si="589"/>
        <v>#DIV/0!</v>
      </c>
      <c r="BC315" s="293" t="e">
        <f t="shared" si="590"/>
        <v>#DIV/0!</v>
      </c>
      <c r="BD315" s="293" t="e">
        <f t="shared" si="590"/>
        <v>#DIV/0!</v>
      </c>
      <c r="BF315" s="293" t="e">
        <f t="shared" si="591"/>
        <v>#DIV/0!</v>
      </c>
      <c r="BG315" s="293" t="e">
        <f t="shared" si="591"/>
        <v>#DIV/0!</v>
      </c>
      <c r="BI315" s="293" t="e">
        <f t="shared" si="592"/>
        <v>#DIV/0!</v>
      </c>
      <c r="BJ315" s="293" t="e">
        <f t="shared" si="592"/>
        <v>#DIV/0!</v>
      </c>
      <c r="BL315" s="293" t="e">
        <f t="shared" si="593"/>
        <v>#DIV/0!</v>
      </c>
      <c r="BM315" s="293" t="e">
        <f t="shared" si="593"/>
        <v>#DIV/0!</v>
      </c>
      <c r="BO315" s="293" t="e">
        <f t="shared" si="594"/>
        <v>#DIV/0!</v>
      </c>
      <c r="BP315" s="293" t="e">
        <f t="shared" si="594"/>
        <v>#DIV/0!</v>
      </c>
      <c r="BR315" s="293" t="e">
        <f t="shared" si="595"/>
        <v>#DIV/0!</v>
      </c>
      <c r="BS315" s="293" t="e">
        <f t="shared" si="595"/>
        <v>#DIV/0!</v>
      </c>
      <c r="BU315" s="293" t="e">
        <f t="shared" si="596"/>
        <v>#DIV/0!</v>
      </c>
      <c r="BV315" s="293" t="e">
        <f t="shared" si="596"/>
        <v>#DIV/0!</v>
      </c>
      <c r="BX315" s="293" t="e">
        <f t="shared" si="597"/>
        <v>#DIV/0!</v>
      </c>
      <c r="BY315" s="293" t="e">
        <f t="shared" si="597"/>
        <v>#DIV/0!</v>
      </c>
      <c r="CA315" s="293" t="e">
        <f t="shared" si="598"/>
        <v>#DIV/0!</v>
      </c>
      <c r="CB315" s="293" t="e">
        <f t="shared" si="598"/>
        <v>#DIV/0!</v>
      </c>
      <c r="CD315" s="293" t="e">
        <f t="shared" si="599"/>
        <v>#DIV/0!</v>
      </c>
      <c r="CE315" s="293" t="e">
        <f t="shared" si="599"/>
        <v>#DIV/0!</v>
      </c>
      <c r="CG315" s="293" t="e">
        <f t="shared" si="600"/>
        <v>#DIV/0!</v>
      </c>
      <c r="CH315" s="293" t="e">
        <f t="shared" si="600"/>
        <v>#DIV/0!</v>
      </c>
      <c r="CJ315" s="293" t="e">
        <f t="shared" si="601"/>
        <v>#DIV/0!</v>
      </c>
      <c r="CK315" s="293" t="e">
        <f t="shared" si="601"/>
        <v>#DIV/0!</v>
      </c>
    </row>
    <row r="316" spans="1:89" ht="30" x14ac:dyDescent="0.25">
      <c r="A316" s="107"/>
      <c r="B316" s="96" t="s">
        <v>1839</v>
      </c>
      <c r="C316" s="95"/>
      <c r="D316" s="95" t="s">
        <v>950</v>
      </c>
      <c r="E316" s="282"/>
      <c r="F316" s="282"/>
      <c r="G316" s="282"/>
      <c r="H316" s="282"/>
      <c r="I316" s="282">
        <f t="shared" ref="I316:N316" si="606">I317+I318</f>
        <v>0</v>
      </c>
      <c r="J316" s="282">
        <f t="shared" si="606"/>
        <v>0</v>
      </c>
      <c r="K316" s="282">
        <f t="shared" si="606"/>
        <v>173</v>
      </c>
      <c r="L316" s="282">
        <f t="shared" si="606"/>
        <v>0</v>
      </c>
      <c r="M316" s="282">
        <f t="shared" si="606"/>
        <v>0</v>
      </c>
      <c r="N316" s="282">
        <f t="shared" si="606"/>
        <v>0</v>
      </c>
      <c r="Q316" s="282">
        <f>Q317+Q318</f>
        <v>173</v>
      </c>
      <c r="R316" s="282">
        <f>R317+R318</f>
        <v>188</v>
      </c>
      <c r="S316" s="282">
        <f>S317+S318</f>
        <v>0</v>
      </c>
      <c r="T316" s="282">
        <f>T317+T318</f>
        <v>0</v>
      </c>
      <c r="V316" s="282">
        <f>V317+V318</f>
        <v>0</v>
      </c>
      <c r="W316" s="282">
        <f>W317+W318</f>
        <v>0</v>
      </c>
      <c r="Y316" s="282">
        <f>Y317+Y318</f>
        <v>0</v>
      </c>
      <c r="Z316" s="282">
        <f>Z317+Z318</f>
        <v>0</v>
      </c>
      <c r="AB316" s="282">
        <f>AB317+AB318</f>
        <v>0</v>
      </c>
      <c r="AC316" s="282">
        <f>AC317+AC318</f>
        <v>0</v>
      </c>
      <c r="AE316" s="282">
        <f>AE317+AE318</f>
        <v>0</v>
      </c>
      <c r="AF316" s="282">
        <f>AF317+AF318</f>
        <v>0</v>
      </c>
      <c r="AH316" s="282">
        <f>AH317+AH318</f>
        <v>0</v>
      </c>
      <c r="AI316" s="282">
        <f>AI317+AI318</f>
        <v>0</v>
      </c>
      <c r="AK316" s="282">
        <f>AK317+AK318</f>
        <v>0</v>
      </c>
      <c r="AL316" s="282">
        <f>AL317+AL318</f>
        <v>0</v>
      </c>
      <c r="AN316" s="282">
        <f>AN317+AN318</f>
        <v>0</v>
      </c>
      <c r="AO316" s="282">
        <f>AO317+AO318</f>
        <v>0</v>
      </c>
      <c r="AQ316" s="282">
        <f>AQ317+AQ318</f>
        <v>0</v>
      </c>
      <c r="AR316" s="282">
        <f>AR317+AR318</f>
        <v>0</v>
      </c>
      <c r="AT316" s="282">
        <f>AT317+AT318</f>
        <v>0</v>
      </c>
      <c r="AU316" s="282">
        <f>AU317+AU318</f>
        <v>0</v>
      </c>
      <c r="AW316" s="282">
        <f>AW317+AW318</f>
        <v>0</v>
      </c>
      <c r="AX316" s="282">
        <f>AX317+AX318</f>
        <v>0</v>
      </c>
      <c r="AZ316" s="282">
        <f>AZ317+AZ318</f>
        <v>0</v>
      </c>
      <c r="BA316" s="282">
        <f>BA317+BA318</f>
        <v>0</v>
      </c>
      <c r="BC316" s="282">
        <f>BC317+BC318</f>
        <v>173</v>
      </c>
      <c r="BD316" s="282">
        <f>BD317+BD318</f>
        <v>188</v>
      </c>
      <c r="BF316" s="282">
        <f>BF317+BF318</f>
        <v>0</v>
      </c>
      <c r="BG316" s="282">
        <f>BG317+BG318</f>
        <v>0</v>
      </c>
      <c r="BI316" s="282">
        <f>BI317+BI318</f>
        <v>0</v>
      </c>
      <c r="BJ316" s="282">
        <f>BJ317+BJ318</f>
        <v>0</v>
      </c>
      <c r="BL316" s="282">
        <f>BL317+BL318</f>
        <v>0</v>
      </c>
      <c r="BM316" s="282">
        <f>BM317+BM318</f>
        <v>0</v>
      </c>
      <c r="BO316" s="282">
        <f>BO317+BO318</f>
        <v>0</v>
      </c>
      <c r="BP316" s="282">
        <f>BP317+BP318</f>
        <v>0</v>
      </c>
      <c r="BR316" s="282">
        <f>BR317+BR318</f>
        <v>0</v>
      </c>
      <c r="BS316" s="282">
        <f>BS317+BS318</f>
        <v>0</v>
      </c>
      <c r="BU316" s="282">
        <f>BU317+BU318</f>
        <v>0</v>
      </c>
      <c r="BV316" s="282">
        <f>BV317+BV318</f>
        <v>0</v>
      </c>
      <c r="BX316" s="282">
        <f>BX317+BX318</f>
        <v>0</v>
      </c>
      <c r="BY316" s="282">
        <f>BY317+BY318</f>
        <v>0</v>
      </c>
      <c r="CA316" s="282">
        <f>CA317+CA318</f>
        <v>0</v>
      </c>
      <c r="CB316" s="282">
        <f>CB317+CB318</f>
        <v>0</v>
      </c>
      <c r="CD316" s="282">
        <f>CD317+CD318</f>
        <v>0</v>
      </c>
      <c r="CE316" s="282">
        <f>CE317+CE318</f>
        <v>0</v>
      </c>
      <c r="CG316" s="282">
        <f>CG317+CG318</f>
        <v>0</v>
      </c>
      <c r="CH316" s="282">
        <f>CH317+CH318</f>
        <v>0</v>
      </c>
      <c r="CJ316" s="282">
        <f>CJ317+CJ318</f>
        <v>0</v>
      </c>
      <c r="CK316" s="282">
        <f>CK317+CK318</f>
        <v>0</v>
      </c>
    </row>
    <row r="317" spans="1:89" ht="30" x14ac:dyDescent="0.25">
      <c r="A317" s="107"/>
      <c r="B317" s="294" t="s">
        <v>1183</v>
      </c>
      <c r="C317" s="95" t="s">
        <v>2774</v>
      </c>
      <c r="D317" s="95" t="s">
        <v>950</v>
      </c>
      <c r="E317" s="282"/>
      <c r="F317" s="282"/>
      <c r="G317" s="282"/>
      <c r="H317" s="282"/>
      <c r="I317" s="282">
        <v>0</v>
      </c>
      <c r="J317" s="282">
        <v>0</v>
      </c>
      <c r="K317" s="282">
        <v>173</v>
      </c>
      <c r="L317" s="282">
        <v>0</v>
      </c>
      <c r="M317" s="282">
        <v>0</v>
      </c>
      <c r="N317" s="282">
        <v>0</v>
      </c>
      <c r="Q317" s="283">
        <f>S317+V317+Y317+AB317+AE317+AH317+AK317+AN317+AQ317+AT317+AW317+AZ317+BC317+BF317+BI317+BL317+BO317+BR317+BU317+BX317+CA317+CD317+CG317+CJ317</f>
        <v>173</v>
      </c>
      <c r="R317" s="283">
        <f>T317+W317+Z317+AC317+AF317+AI317+AL317+AO317+AR317+AU317+AX317+BA317+BD317+BG317+BJ317+BM317+BP317+BS317+BV317+BY317+CB317+CE317+CH317+CK317</f>
        <v>188</v>
      </c>
      <c r="S317" s="267">
        <v>0</v>
      </c>
      <c r="T317" s="267">
        <v>0</v>
      </c>
      <c r="V317" s="267">
        <v>0</v>
      </c>
      <c r="W317" s="267">
        <v>0</v>
      </c>
      <c r="Y317" s="267">
        <v>0</v>
      </c>
      <c r="Z317" s="267">
        <v>0</v>
      </c>
      <c r="AB317" s="267">
        <v>0</v>
      </c>
      <c r="AC317" s="267">
        <v>0</v>
      </c>
      <c r="AE317" s="267">
        <v>0</v>
      </c>
      <c r="AF317" s="267">
        <v>0</v>
      </c>
      <c r="AH317" s="267">
        <v>0</v>
      </c>
      <c r="AI317" s="267">
        <v>0</v>
      </c>
      <c r="AK317" s="267">
        <v>0</v>
      </c>
      <c r="AL317" s="267">
        <v>0</v>
      </c>
      <c r="AN317" s="267">
        <v>0</v>
      </c>
      <c r="AO317" s="267">
        <v>0</v>
      </c>
      <c r="AQ317" s="267">
        <v>0</v>
      </c>
      <c r="AR317" s="267">
        <v>0</v>
      </c>
      <c r="AT317" s="267">
        <v>0</v>
      </c>
      <c r="AU317" s="267">
        <v>0</v>
      </c>
      <c r="AW317" s="267">
        <v>0</v>
      </c>
      <c r="AX317" s="267">
        <v>0</v>
      </c>
      <c r="AZ317" s="267">
        <v>0</v>
      </c>
      <c r="BA317" s="267">
        <v>0</v>
      </c>
      <c r="BC317" s="267">
        <v>173</v>
      </c>
      <c r="BD317" s="267">
        <f>68+97+23</f>
        <v>188</v>
      </c>
      <c r="BF317" s="267">
        <v>0</v>
      </c>
      <c r="BG317" s="267">
        <v>0</v>
      </c>
      <c r="BI317" s="267">
        <v>0</v>
      </c>
      <c r="BJ317" s="267">
        <v>0</v>
      </c>
      <c r="BL317" s="267">
        <v>0</v>
      </c>
      <c r="BM317" s="267">
        <v>0</v>
      </c>
      <c r="BO317" s="267">
        <v>0</v>
      </c>
      <c r="BP317" s="267">
        <v>0</v>
      </c>
      <c r="BR317" s="267">
        <v>0</v>
      </c>
      <c r="BS317" s="267">
        <v>0</v>
      </c>
      <c r="BU317" s="267">
        <v>0</v>
      </c>
      <c r="BV317" s="267">
        <v>0</v>
      </c>
      <c r="BX317" s="267">
        <v>0</v>
      </c>
      <c r="BY317" s="267">
        <v>0</v>
      </c>
      <c r="CA317" s="267">
        <v>0</v>
      </c>
      <c r="CB317" s="267">
        <v>0</v>
      </c>
      <c r="CD317" s="267">
        <v>0</v>
      </c>
      <c r="CE317" s="267">
        <v>0</v>
      </c>
      <c r="CG317" s="267">
        <v>0</v>
      </c>
      <c r="CH317" s="267">
        <v>0</v>
      </c>
      <c r="CJ317" s="267">
        <v>0</v>
      </c>
      <c r="CK317" s="267">
        <v>0</v>
      </c>
    </row>
    <row r="318" spans="1:89" ht="30" x14ac:dyDescent="0.25">
      <c r="A318" s="107"/>
      <c r="B318" s="294" t="s">
        <v>1185</v>
      </c>
      <c r="C318" s="95" t="s">
        <v>2774</v>
      </c>
      <c r="D318" s="95" t="s">
        <v>950</v>
      </c>
      <c r="E318" s="282"/>
      <c r="F318" s="282"/>
      <c r="G318" s="282"/>
      <c r="H318" s="282"/>
      <c r="I318" s="282">
        <v>0</v>
      </c>
      <c r="J318" s="282">
        <v>0</v>
      </c>
      <c r="K318" s="282">
        <v>0</v>
      </c>
      <c r="L318" s="282">
        <v>0</v>
      </c>
      <c r="M318" s="282">
        <v>0</v>
      </c>
      <c r="N318" s="282">
        <v>0</v>
      </c>
      <c r="Q318" s="283">
        <f>S318+V318+Y318+AB318+AE318+AH318+AK318+AN318+AQ318+AT318+AW318+AZ318+BC318+BF318+BI318+BL318+BO318+BR318+BU318+BX318+CA318+CD318+CG318+CJ318</f>
        <v>0</v>
      </c>
      <c r="R318" s="283">
        <f>T318+W318+Z318+AC318+AF318+AI318+AL318+AO318+AR318+AU318+AX318+BA318+BD318+BG318+BJ318+BM318+BP318+BS318+BV318+BY318+CB318+CE318+CH318+CK318</f>
        <v>0</v>
      </c>
      <c r="S318" s="267">
        <v>0</v>
      </c>
      <c r="T318" s="267">
        <v>0</v>
      </c>
      <c r="V318" s="267">
        <v>0</v>
      </c>
      <c r="W318" s="267">
        <v>0</v>
      </c>
      <c r="Y318" s="267">
        <v>0</v>
      </c>
      <c r="Z318" s="267">
        <v>0</v>
      </c>
      <c r="AB318" s="267">
        <v>0</v>
      </c>
      <c r="AC318" s="267">
        <v>0</v>
      </c>
      <c r="AE318" s="267">
        <v>0</v>
      </c>
      <c r="AF318" s="267">
        <v>0</v>
      </c>
      <c r="AH318" s="267">
        <v>0</v>
      </c>
      <c r="AI318" s="267">
        <v>0</v>
      </c>
      <c r="AK318" s="267">
        <v>0</v>
      </c>
      <c r="AL318" s="267">
        <v>0</v>
      </c>
      <c r="AN318" s="267">
        <v>0</v>
      </c>
      <c r="AO318" s="267">
        <v>0</v>
      </c>
      <c r="AQ318" s="267">
        <v>0</v>
      </c>
      <c r="AR318" s="267">
        <v>0</v>
      </c>
      <c r="AT318" s="267">
        <v>0</v>
      </c>
      <c r="AU318" s="267">
        <v>0</v>
      </c>
      <c r="AW318" s="267">
        <v>0</v>
      </c>
      <c r="AX318" s="267">
        <v>0</v>
      </c>
      <c r="AZ318" s="267">
        <v>0</v>
      </c>
      <c r="BA318" s="267">
        <v>0</v>
      </c>
      <c r="BC318" s="267">
        <v>0</v>
      </c>
      <c r="BD318" s="267">
        <v>0</v>
      </c>
      <c r="BF318" s="267">
        <v>0</v>
      </c>
      <c r="BG318" s="267">
        <v>0</v>
      </c>
      <c r="BI318" s="267">
        <v>0</v>
      </c>
      <c r="BJ318" s="267">
        <v>0</v>
      </c>
      <c r="BL318" s="267">
        <v>0</v>
      </c>
      <c r="BM318" s="267">
        <v>0</v>
      </c>
      <c r="BO318" s="267">
        <v>0</v>
      </c>
      <c r="BP318" s="267">
        <v>0</v>
      </c>
      <c r="BR318" s="267">
        <v>0</v>
      </c>
      <c r="BS318" s="267">
        <v>0</v>
      </c>
      <c r="BU318" s="267">
        <v>0</v>
      </c>
      <c r="BV318" s="267">
        <v>0</v>
      </c>
      <c r="BX318" s="267">
        <v>0</v>
      </c>
      <c r="BY318" s="267">
        <v>0</v>
      </c>
      <c r="CA318" s="267">
        <v>0</v>
      </c>
      <c r="CB318" s="267">
        <v>0</v>
      </c>
      <c r="CD318" s="267">
        <v>0</v>
      </c>
      <c r="CE318" s="267">
        <v>0</v>
      </c>
      <c r="CG318" s="267">
        <v>0</v>
      </c>
      <c r="CH318" s="267">
        <v>0</v>
      </c>
      <c r="CJ318" s="267">
        <v>0</v>
      </c>
      <c r="CK318" s="267">
        <v>0</v>
      </c>
    </row>
    <row r="319" spans="1:89" x14ac:dyDescent="0.25">
      <c r="A319" s="107"/>
      <c r="B319" s="96" t="s">
        <v>1840</v>
      </c>
      <c r="C319" s="95"/>
      <c r="D319" s="95" t="s">
        <v>950</v>
      </c>
      <c r="E319" s="282"/>
      <c r="F319" s="282"/>
      <c r="G319" s="282"/>
      <c r="H319" s="282"/>
      <c r="I319" s="282">
        <f t="shared" ref="I319:N319" si="607">I320+I321</f>
        <v>898</v>
      </c>
      <c r="J319" s="282">
        <f t="shared" si="607"/>
        <v>931</v>
      </c>
      <c r="K319" s="282">
        <f t="shared" si="607"/>
        <v>932</v>
      </c>
      <c r="L319" s="282">
        <f t="shared" si="607"/>
        <v>0</v>
      </c>
      <c r="M319" s="282">
        <f t="shared" si="607"/>
        <v>0</v>
      </c>
      <c r="N319" s="282">
        <f t="shared" si="607"/>
        <v>0</v>
      </c>
      <c r="Q319" s="282">
        <f>Q320+Q321</f>
        <v>932</v>
      </c>
      <c r="R319" s="282">
        <f>R320+R321</f>
        <v>920</v>
      </c>
      <c r="S319" s="282">
        <f>S320+S321</f>
        <v>0</v>
      </c>
      <c r="T319" s="282">
        <f>T320+T321</f>
        <v>0</v>
      </c>
      <c r="V319" s="282">
        <f>V320+V321</f>
        <v>0</v>
      </c>
      <c r="W319" s="282">
        <f>W320+W321</f>
        <v>0</v>
      </c>
      <c r="Y319" s="282">
        <f>Y320+Y321</f>
        <v>0</v>
      </c>
      <c r="Z319" s="282">
        <f>Z320+Z321</f>
        <v>0</v>
      </c>
      <c r="AB319" s="282">
        <f>AB320+AB321</f>
        <v>0</v>
      </c>
      <c r="AC319" s="282">
        <f>AC320+AC321</f>
        <v>0</v>
      </c>
      <c r="AE319" s="282">
        <f>AE320+AE321</f>
        <v>0</v>
      </c>
      <c r="AF319" s="282">
        <f>AF320+AF321</f>
        <v>0</v>
      </c>
      <c r="AH319" s="282">
        <f>AH320+AH321</f>
        <v>0</v>
      </c>
      <c r="AI319" s="282">
        <f>AI320+AI321</f>
        <v>0</v>
      </c>
      <c r="AK319" s="282">
        <f>AK320+AK321</f>
        <v>0</v>
      </c>
      <c r="AL319" s="282">
        <f>AL320+AL321</f>
        <v>0</v>
      </c>
      <c r="AN319" s="282">
        <f>AN320+AN321</f>
        <v>0</v>
      </c>
      <c r="AO319" s="282">
        <f>AO320+AO321</f>
        <v>0</v>
      </c>
      <c r="AQ319" s="282">
        <f>AQ320+AQ321</f>
        <v>0</v>
      </c>
      <c r="AR319" s="282">
        <f>AR320+AR321</f>
        <v>0</v>
      </c>
      <c r="AT319" s="282">
        <f>AT320+AT321</f>
        <v>0</v>
      </c>
      <c r="AU319" s="282">
        <f>AU320+AU321</f>
        <v>0</v>
      </c>
      <c r="AW319" s="282">
        <f>AW320+AW321</f>
        <v>0</v>
      </c>
      <c r="AX319" s="282">
        <f>AX320+AX321</f>
        <v>0</v>
      </c>
      <c r="AZ319" s="282">
        <f>AZ320+AZ321</f>
        <v>0</v>
      </c>
      <c r="BA319" s="282">
        <f>BA320+BA321</f>
        <v>0</v>
      </c>
      <c r="BC319" s="282">
        <f>BC320+BC321</f>
        <v>187</v>
      </c>
      <c r="BD319" s="282">
        <f>BD320+BD321</f>
        <v>188</v>
      </c>
      <c r="BF319" s="282">
        <f>BF320+BF321</f>
        <v>191</v>
      </c>
      <c r="BG319" s="282">
        <f>BG320+BG321</f>
        <v>181</v>
      </c>
      <c r="BI319" s="282">
        <f>BI320+BI321</f>
        <v>436</v>
      </c>
      <c r="BJ319" s="282">
        <f>BJ320+BJ321</f>
        <v>424</v>
      </c>
      <c r="BL319" s="282">
        <f>BL320+BL321</f>
        <v>0</v>
      </c>
      <c r="BM319" s="282">
        <f>BM320+BM321</f>
        <v>0</v>
      </c>
      <c r="BO319" s="282">
        <f>BO320+BO321</f>
        <v>0</v>
      </c>
      <c r="BP319" s="282">
        <f>BP320+BP321</f>
        <v>0</v>
      </c>
      <c r="BR319" s="282">
        <f>BR320+BR321</f>
        <v>0</v>
      </c>
      <c r="BS319" s="282">
        <f>BS320+BS321</f>
        <v>0</v>
      </c>
      <c r="BU319" s="282">
        <f>BU320+BU321</f>
        <v>0</v>
      </c>
      <c r="BV319" s="282">
        <f>BV320+BV321</f>
        <v>0</v>
      </c>
      <c r="BX319" s="282">
        <f>BX320+BX321</f>
        <v>0</v>
      </c>
      <c r="BY319" s="282">
        <f>BY320+BY321</f>
        <v>0</v>
      </c>
      <c r="CA319" s="282">
        <f>CA320+CA321</f>
        <v>0</v>
      </c>
      <c r="CB319" s="282">
        <f>CB320+CB321</f>
        <v>0</v>
      </c>
      <c r="CD319" s="282">
        <f>CD320+CD321</f>
        <v>118</v>
      </c>
      <c r="CE319" s="282">
        <f>CE320+CE321</f>
        <v>127</v>
      </c>
      <c r="CG319" s="282">
        <f>CG320+CG321</f>
        <v>0</v>
      </c>
      <c r="CH319" s="282">
        <f>CH320+CH321</f>
        <v>0</v>
      </c>
      <c r="CJ319" s="282">
        <f>CJ320+CJ321</f>
        <v>0</v>
      </c>
      <c r="CK319" s="282">
        <f>CK320+CK321</f>
        <v>0</v>
      </c>
    </row>
    <row r="320" spans="1:89" ht="30" x14ac:dyDescent="0.25">
      <c r="A320" s="107"/>
      <c r="B320" s="294" t="s">
        <v>1183</v>
      </c>
      <c r="C320" s="95" t="s">
        <v>2774</v>
      </c>
      <c r="D320" s="95" t="s">
        <v>950</v>
      </c>
      <c r="E320" s="282"/>
      <c r="F320" s="282"/>
      <c r="G320" s="282"/>
      <c r="H320" s="282"/>
      <c r="I320" s="282">
        <v>898</v>
      </c>
      <c r="J320" s="282">
        <f>J258</f>
        <v>931</v>
      </c>
      <c r="K320" s="282">
        <f>K258</f>
        <v>932</v>
      </c>
      <c r="L320" s="282">
        <f>L258</f>
        <v>0</v>
      </c>
      <c r="M320" s="282">
        <f>M258</f>
        <v>0</v>
      </c>
      <c r="N320" s="282">
        <f>N258</f>
        <v>0</v>
      </c>
      <c r="Q320" s="283">
        <f>S320+V320+Y320+AB320+AE320+AH320+AK320+AN320+AQ320+AT320+AW320+AZ320+BC320+BF320+BI320+BL320+BO320+BR320+BU320+BX320+CA320+CD320+CG320+CJ320</f>
        <v>932</v>
      </c>
      <c r="R320" s="283">
        <f>T320+W320+Z320+AC320+AF320+AI320+AL320+AO320+AR320+AU320+AX320+BA320+BD320+BG320+BJ320+BM320+BP320+BS320+BV320+BY320+CB320+CE320+CH320+CK320</f>
        <v>920</v>
      </c>
      <c r="S320" s="283">
        <f>S258</f>
        <v>0</v>
      </c>
      <c r="T320" s="283">
        <f>T258</f>
        <v>0</v>
      </c>
      <c r="V320" s="283">
        <f>V258</f>
        <v>0</v>
      </c>
      <c r="W320" s="283">
        <f>W258</f>
        <v>0</v>
      </c>
      <c r="Y320" s="283">
        <f>Y258</f>
        <v>0</v>
      </c>
      <c r="Z320" s="283">
        <f>Z258</f>
        <v>0</v>
      </c>
      <c r="AB320" s="283">
        <f>AB258</f>
        <v>0</v>
      </c>
      <c r="AC320" s="283">
        <f>AC258</f>
        <v>0</v>
      </c>
      <c r="AE320" s="283">
        <f>AE258</f>
        <v>0</v>
      </c>
      <c r="AF320" s="283">
        <f>AF258</f>
        <v>0</v>
      </c>
      <c r="AH320" s="283">
        <f>AH258</f>
        <v>0</v>
      </c>
      <c r="AI320" s="283">
        <f>AI258</f>
        <v>0</v>
      </c>
      <c r="AK320" s="283">
        <f>AK258</f>
        <v>0</v>
      </c>
      <c r="AL320" s="283">
        <f>AL258</f>
        <v>0</v>
      </c>
      <c r="AN320" s="283">
        <f>AN258</f>
        <v>0</v>
      </c>
      <c r="AO320" s="283">
        <f>AO258</f>
        <v>0</v>
      </c>
      <c r="AQ320" s="283">
        <f>AQ258</f>
        <v>0</v>
      </c>
      <c r="AR320" s="283">
        <f>AR258</f>
        <v>0</v>
      </c>
      <c r="AT320" s="283">
        <f>AT258</f>
        <v>0</v>
      </c>
      <c r="AU320" s="283">
        <f>AU258</f>
        <v>0</v>
      </c>
      <c r="AW320" s="283">
        <f>AW258</f>
        <v>0</v>
      </c>
      <c r="AX320" s="283">
        <f>AX258</f>
        <v>0</v>
      </c>
      <c r="AZ320" s="283">
        <f>AZ258</f>
        <v>0</v>
      </c>
      <c r="BA320" s="283">
        <f>BA258</f>
        <v>0</v>
      </c>
      <c r="BC320" s="283">
        <f>BC258</f>
        <v>187</v>
      </c>
      <c r="BD320" s="283">
        <f>BD258</f>
        <v>188</v>
      </c>
      <c r="BF320" s="283">
        <f>BF258</f>
        <v>191</v>
      </c>
      <c r="BG320" s="283">
        <f>BG258</f>
        <v>181</v>
      </c>
      <c r="BI320" s="283">
        <f>BI258</f>
        <v>436</v>
      </c>
      <c r="BJ320" s="283">
        <f>BJ258</f>
        <v>424</v>
      </c>
      <c r="BL320" s="283">
        <f>BL258</f>
        <v>0</v>
      </c>
      <c r="BM320" s="283">
        <f>BM258</f>
        <v>0</v>
      </c>
      <c r="BO320" s="283">
        <f>BO258</f>
        <v>0</v>
      </c>
      <c r="BP320" s="283">
        <f>BP258</f>
        <v>0</v>
      </c>
      <c r="BR320" s="283">
        <f>BR258</f>
        <v>0</v>
      </c>
      <c r="BS320" s="283">
        <f>BS258</f>
        <v>0</v>
      </c>
      <c r="BU320" s="283">
        <f>BU258</f>
        <v>0</v>
      </c>
      <c r="BV320" s="283">
        <f>BV258</f>
        <v>0</v>
      </c>
      <c r="BX320" s="283">
        <f>BX258</f>
        <v>0</v>
      </c>
      <c r="BY320" s="283">
        <f>BY258</f>
        <v>0</v>
      </c>
      <c r="CA320" s="283">
        <f>CA258</f>
        <v>0</v>
      </c>
      <c r="CB320" s="283">
        <f>CB258</f>
        <v>0</v>
      </c>
      <c r="CD320" s="283">
        <f>CD258</f>
        <v>118</v>
      </c>
      <c r="CE320" s="283">
        <f>CE258</f>
        <v>127</v>
      </c>
      <c r="CG320" s="283">
        <f>CG258</f>
        <v>0</v>
      </c>
      <c r="CH320" s="283">
        <f>CH258</f>
        <v>0</v>
      </c>
      <c r="CJ320" s="283">
        <f>CJ258</f>
        <v>0</v>
      </c>
      <c r="CK320" s="283">
        <f>CK258</f>
        <v>0</v>
      </c>
    </row>
    <row r="321" spans="1:89" ht="30" x14ac:dyDescent="0.25">
      <c r="A321" s="107"/>
      <c r="B321" s="294" t="s">
        <v>1185</v>
      </c>
      <c r="C321" s="95" t="s">
        <v>2774</v>
      </c>
      <c r="D321" s="95" t="s">
        <v>950</v>
      </c>
      <c r="E321" s="282"/>
      <c r="F321" s="282"/>
      <c r="G321" s="282"/>
      <c r="H321" s="282"/>
      <c r="I321" s="282">
        <v>0</v>
      </c>
      <c r="J321" s="282">
        <f>J261</f>
        <v>0</v>
      </c>
      <c r="K321" s="282">
        <f>K261</f>
        <v>0</v>
      </c>
      <c r="L321" s="282">
        <f>L261</f>
        <v>0</v>
      </c>
      <c r="M321" s="282">
        <f>M261</f>
        <v>0</v>
      </c>
      <c r="N321" s="282">
        <f>N261</f>
        <v>0</v>
      </c>
      <c r="Q321" s="283">
        <f>S321+V321+Y321+AB321+AE321+AH321+AK321+AN321+AQ321+AT321+AW321+AZ321+BC321+BF321+BI321+BL321+BO321+BR321+BU321+BX321+CA321+CD321+CG321+CJ321</f>
        <v>0</v>
      </c>
      <c r="R321" s="283">
        <f>T321+W321+Z321+AC321+AF321+AI321+AL321+AO321+AR321+AU321+AX321+BA321+BD321+BG321+BJ321+BM321+BP321+BS321+BV321+BY321+CB321+CE321+CH321+CK321</f>
        <v>0</v>
      </c>
      <c r="S321" s="283">
        <f>S261</f>
        <v>0</v>
      </c>
      <c r="T321" s="283">
        <f>T261</f>
        <v>0</v>
      </c>
      <c r="V321" s="283">
        <f>V261</f>
        <v>0</v>
      </c>
      <c r="W321" s="283">
        <f>W261</f>
        <v>0</v>
      </c>
      <c r="Y321" s="283">
        <f>Y261</f>
        <v>0</v>
      </c>
      <c r="Z321" s="283">
        <f>Z261</f>
        <v>0</v>
      </c>
      <c r="AB321" s="283">
        <f>AB261</f>
        <v>0</v>
      </c>
      <c r="AC321" s="283">
        <f>AC261</f>
        <v>0</v>
      </c>
      <c r="AE321" s="283">
        <f>AE261</f>
        <v>0</v>
      </c>
      <c r="AF321" s="283">
        <f>AF261</f>
        <v>0</v>
      </c>
      <c r="AH321" s="283">
        <f>AH261</f>
        <v>0</v>
      </c>
      <c r="AI321" s="283">
        <f>AI261</f>
        <v>0</v>
      </c>
      <c r="AK321" s="283">
        <f>AK261</f>
        <v>0</v>
      </c>
      <c r="AL321" s="283">
        <f>AL261</f>
        <v>0</v>
      </c>
      <c r="AN321" s="283">
        <f>AN261</f>
        <v>0</v>
      </c>
      <c r="AO321" s="283">
        <f>AO261</f>
        <v>0</v>
      </c>
      <c r="AQ321" s="283">
        <f>AQ261</f>
        <v>0</v>
      </c>
      <c r="AR321" s="283">
        <f>AR261</f>
        <v>0</v>
      </c>
      <c r="AT321" s="283">
        <f>AT261</f>
        <v>0</v>
      </c>
      <c r="AU321" s="283">
        <f>AU261</f>
        <v>0</v>
      </c>
      <c r="AW321" s="283">
        <f>AW261</f>
        <v>0</v>
      </c>
      <c r="AX321" s="283">
        <f>AX261</f>
        <v>0</v>
      </c>
      <c r="AZ321" s="283">
        <f>AZ261</f>
        <v>0</v>
      </c>
      <c r="BA321" s="283">
        <f>BA261</f>
        <v>0</v>
      </c>
      <c r="BC321" s="283">
        <f>BC261</f>
        <v>0</v>
      </c>
      <c r="BD321" s="283">
        <f>BD261</f>
        <v>0</v>
      </c>
      <c r="BF321" s="283">
        <f>BF261</f>
        <v>0</v>
      </c>
      <c r="BG321" s="283">
        <f>BG261</f>
        <v>0</v>
      </c>
      <c r="BI321" s="283">
        <f>BI261</f>
        <v>0</v>
      </c>
      <c r="BJ321" s="283">
        <f>BJ261</f>
        <v>0</v>
      </c>
      <c r="BL321" s="283">
        <f>BL261</f>
        <v>0</v>
      </c>
      <c r="BM321" s="283">
        <f>BM261</f>
        <v>0</v>
      </c>
      <c r="BO321" s="283">
        <f>BO261</f>
        <v>0</v>
      </c>
      <c r="BP321" s="283">
        <f>BP261</f>
        <v>0</v>
      </c>
      <c r="BR321" s="283">
        <f>BR261</f>
        <v>0</v>
      </c>
      <c r="BS321" s="283">
        <f>BS261</f>
        <v>0</v>
      </c>
      <c r="BU321" s="283">
        <f>BU261</f>
        <v>0</v>
      </c>
      <c r="BV321" s="283">
        <f>BV261</f>
        <v>0</v>
      </c>
      <c r="BX321" s="283">
        <f>BX261</f>
        <v>0</v>
      </c>
      <c r="BY321" s="283">
        <f>BY261</f>
        <v>0</v>
      </c>
      <c r="CA321" s="283">
        <f>CA261</f>
        <v>0</v>
      </c>
      <c r="CB321" s="283">
        <f>CB261</f>
        <v>0</v>
      </c>
      <c r="CD321" s="283">
        <f>CD261</f>
        <v>0</v>
      </c>
      <c r="CE321" s="283">
        <f>CE261</f>
        <v>0</v>
      </c>
      <c r="CG321" s="283">
        <f>CG261</f>
        <v>0</v>
      </c>
      <c r="CH321" s="283">
        <f>CH261</f>
        <v>0</v>
      </c>
      <c r="CJ321" s="283">
        <f>CJ261</f>
        <v>0</v>
      </c>
      <c r="CK321" s="283">
        <f>CK261</f>
        <v>0</v>
      </c>
    </row>
    <row r="322" spans="1:89" ht="60" hidden="1" x14ac:dyDescent="0.25">
      <c r="A322" s="95" t="s">
        <v>1665</v>
      </c>
      <c r="B322" s="96" t="s">
        <v>1666</v>
      </c>
      <c r="C322" s="95"/>
      <c r="D322" s="95" t="s">
        <v>8</v>
      </c>
      <c r="E322" s="282"/>
      <c r="F322" s="282"/>
      <c r="G322" s="282"/>
      <c r="H322" s="282"/>
      <c r="I322" s="282"/>
      <c r="J322" s="282"/>
      <c r="K322" s="282"/>
      <c r="L322" s="282"/>
      <c r="M322" s="282"/>
      <c r="N322" s="282"/>
    </row>
    <row r="323" spans="1:89" ht="60" x14ac:dyDescent="0.25">
      <c r="A323" s="105" t="s">
        <v>160</v>
      </c>
      <c r="B323" s="290" t="s">
        <v>155</v>
      </c>
      <c r="C323" s="107"/>
      <c r="D323" s="107"/>
      <c r="E323" s="107"/>
      <c r="F323" s="107"/>
      <c r="G323" s="107"/>
      <c r="H323" s="107"/>
      <c r="I323" s="107"/>
      <c r="J323" s="107"/>
      <c r="K323" s="107"/>
      <c r="L323" s="107"/>
      <c r="M323" s="107"/>
      <c r="N323" s="107"/>
      <c r="P323" s="304"/>
      <c r="Q323" s="304"/>
      <c r="R323" s="407"/>
      <c r="S323" s="407"/>
      <c r="T323" s="318"/>
      <c r="U323" s="407"/>
      <c r="V323" s="407"/>
      <c r="W323" s="318"/>
      <c r="X323" s="407"/>
      <c r="Y323" s="407"/>
      <c r="Z323" s="318"/>
      <c r="AA323" s="407"/>
      <c r="AB323" s="407"/>
      <c r="AC323" s="318"/>
      <c r="AD323" s="407"/>
      <c r="AE323" s="407"/>
      <c r="AF323" s="318"/>
      <c r="AG323" s="407"/>
      <c r="AH323" s="407"/>
      <c r="AI323" s="318"/>
      <c r="AJ323" s="407"/>
      <c r="AK323" s="407"/>
      <c r="AL323" s="318"/>
      <c r="AM323" s="407"/>
      <c r="AN323" s="407"/>
      <c r="AO323" s="318"/>
      <c r="AP323" s="407"/>
      <c r="AQ323" s="407"/>
      <c r="AR323" s="318"/>
      <c r="AS323" s="407"/>
      <c r="AT323" s="407"/>
      <c r="AU323" s="318"/>
      <c r="AV323" s="407"/>
      <c r="AW323" s="407"/>
      <c r="AX323" s="318"/>
      <c r="AY323" s="407"/>
      <c r="AZ323" s="407"/>
      <c r="BA323" s="318"/>
      <c r="BB323" s="407"/>
      <c r="BC323" s="407"/>
      <c r="BD323" s="318"/>
      <c r="BE323" s="407"/>
      <c r="BF323" s="407"/>
      <c r="BG323" s="318"/>
      <c r="BH323" s="407"/>
      <c r="BI323" s="407"/>
      <c r="BJ323" s="318"/>
      <c r="BK323" s="407"/>
      <c r="BL323" s="407"/>
      <c r="BM323" s="318"/>
      <c r="BN323" s="407"/>
      <c r="BO323" s="407"/>
      <c r="BP323" s="318"/>
      <c r="BQ323" s="407"/>
      <c r="BR323" s="407"/>
      <c r="BS323" s="318"/>
      <c r="BT323" s="407"/>
      <c r="BU323" s="407"/>
      <c r="BV323" s="318"/>
      <c r="BW323" s="407"/>
      <c r="BX323" s="407"/>
      <c r="BY323" s="318"/>
      <c r="BZ323" s="407"/>
      <c r="CA323" s="407"/>
      <c r="CB323" s="318"/>
      <c r="CC323" s="407"/>
      <c r="CD323" s="407"/>
      <c r="CE323" s="318"/>
      <c r="CF323" s="304"/>
      <c r="CG323" s="304"/>
      <c r="CH323" s="304"/>
      <c r="CI323" s="304"/>
      <c r="CJ323" s="304"/>
      <c r="CK323" s="304"/>
    </row>
    <row r="324" spans="1:89" ht="75" x14ac:dyDescent="0.25">
      <c r="A324" s="95" t="s">
        <v>161</v>
      </c>
      <c r="B324" s="96" t="s">
        <v>1667</v>
      </c>
      <c r="C324" s="107"/>
      <c r="D324" s="95"/>
      <c r="E324" s="279"/>
      <c r="F324" s="279"/>
      <c r="G324" s="279"/>
      <c r="H324" s="279"/>
      <c r="I324" s="279"/>
      <c r="J324" s="279"/>
      <c r="K324" s="279"/>
      <c r="L324" s="279"/>
      <c r="M324" s="279"/>
      <c r="N324" s="279"/>
      <c r="O324" s="281" t="s">
        <v>162</v>
      </c>
      <c r="P324" s="304"/>
      <c r="Q324" s="304"/>
      <c r="R324" s="319"/>
      <c r="S324" s="319"/>
      <c r="T324" s="319"/>
      <c r="U324" s="319"/>
      <c r="V324" s="319"/>
      <c r="W324" s="319"/>
      <c r="X324" s="319"/>
      <c r="Y324" s="319"/>
      <c r="Z324" s="319"/>
      <c r="AA324" s="319"/>
      <c r="AB324" s="319"/>
      <c r="AC324" s="319"/>
      <c r="AD324" s="319"/>
      <c r="AE324" s="319"/>
      <c r="AF324" s="319"/>
      <c r="AG324" s="319"/>
      <c r="AH324" s="319"/>
      <c r="AI324" s="319"/>
      <c r="AJ324" s="319"/>
      <c r="AK324" s="319"/>
      <c r="AL324" s="319"/>
      <c r="AM324" s="319"/>
      <c r="AN324" s="319"/>
      <c r="AO324" s="319"/>
      <c r="AP324" s="319"/>
      <c r="AQ324" s="319"/>
      <c r="AR324" s="319"/>
      <c r="AS324" s="319"/>
      <c r="AT324" s="319"/>
      <c r="AU324" s="319"/>
      <c r="AV324" s="319"/>
      <c r="AW324" s="319"/>
      <c r="AX324" s="319"/>
      <c r="AY324" s="319"/>
      <c r="AZ324" s="319"/>
      <c r="BA324" s="319"/>
      <c r="BB324" s="319"/>
      <c r="BC324" s="319"/>
      <c r="BD324" s="319"/>
      <c r="BE324" s="319"/>
      <c r="BF324" s="319"/>
      <c r="BG324" s="319"/>
      <c r="BH324" s="319"/>
      <c r="BI324" s="319"/>
      <c r="BJ324" s="319"/>
      <c r="BK324" s="319"/>
      <c r="BL324" s="319"/>
      <c r="BM324" s="319"/>
      <c r="BN324" s="319"/>
      <c r="BO324" s="319"/>
      <c r="BP324" s="319"/>
      <c r="BQ324" s="319"/>
      <c r="BR324" s="319"/>
      <c r="BS324" s="319"/>
      <c r="BT324" s="319"/>
      <c r="BU324" s="319"/>
      <c r="BV324" s="319"/>
      <c r="BW324" s="319"/>
      <c r="BX324" s="319"/>
      <c r="BY324" s="319"/>
      <c r="BZ324" s="319"/>
      <c r="CA324" s="319"/>
      <c r="CB324" s="319"/>
      <c r="CC324" s="319"/>
      <c r="CD324" s="319"/>
      <c r="CE324" s="319"/>
      <c r="CF324" s="304"/>
      <c r="CG324" s="304"/>
      <c r="CH324" s="304"/>
      <c r="CI324" s="304"/>
      <c r="CJ324" s="304"/>
      <c r="CK324" s="304"/>
    </row>
    <row r="325" spans="1:89" x14ac:dyDescent="0.25">
      <c r="A325" s="95"/>
      <c r="B325" s="96" t="s">
        <v>1182</v>
      </c>
      <c r="C325" s="107"/>
      <c r="D325" s="95" t="s">
        <v>950</v>
      </c>
      <c r="E325" s="279">
        <f t="shared" ref="E325:J325" si="608">E328/(E341+E342)</f>
        <v>11.887467700258398</v>
      </c>
      <c r="F325" s="279">
        <f t="shared" si="608"/>
        <v>12.091223132036847</v>
      </c>
      <c r="G325" s="279">
        <f t="shared" si="608"/>
        <v>12.229998108568186</v>
      </c>
      <c r="H325" s="279">
        <f t="shared" si="608"/>
        <v>12.36590923086397</v>
      </c>
      <c r="I325" s="279">
        <f>I328/(I341+I342)</f>
        <v>11.278729141449075</v>
      </c>
      <c r="J325" s="279">
        <f t="shared" si="608"/>
        <v>12.030975084589357</v>
      </c>
      <c r="K325" s="279">
        <f>K328/(K341+K342)</f>
        <v>12.793028360191764</v>
      </c>
      <c r="L325" s="279">
        <f>L328/(L341+L342)</f>
        <v>8.2033271719038812</v>
      </c>
      <c r="M325" s="279">
        <f>M328/(M341+M342)</f>
        <v>8.117647058823529</v>
      </c>
      <c r="N325" s="279">
        <f>N328/(N341+N342)</f>
        <v>8.0221402214022142</v>
      </c>
      <c r="O325" s="281"/>
      <c r="P325" s="320"/>
      <c r="Q325" s="279">
        <f>Q328/(Q341+Q342)</f>
        <v>12.793028360191764</v>
      </c>
      <c r="R325" s="279">
        <f>R328/(R341+R342)</f>
        <v>13.025902587378756</v>
      </c>
      <c r="S325" s="279">
        <f>S328/(S341+S342)</f>
        <v>10.979843225083988</v>
      </c>
      <c r="T325" s="279">
        <f>T328/(T341+T342)</f>
        <v>10.577577184720042</v>
      </c>
      <c r="U325" s="320"/>
      <c r="V325" s="279">
        <f>V328/(V341+V342)</f>
        <v>8.8384274094158251</v>
      </c>
      <c r="W325" s="279">
        <f>W328/(W341+W342)</f>
        <v>9.4082762256193995</v>
      </c>
      <c r="X325" s="320"/>
      <c r="Y325" s="279">
        <f>Y328/(Y341+Y342)</f>
        <v>8.1693786982248522</v>
      </c>
      <c r="Z325" s="279">
        <f>Z328/(Z341+Z342)</f>
        <v>8.296409472880061</v>
      </c>
      <c r="AA325" s="320"/>
      <c r="AB325" s="279">
        <f>AB328/(AB341+AB342)</f>
        <v>10.602359759884081</v>
      </c>
      <c r="AC325" s="279">
        <f>AC328/(AC341+AC342)</f>
        <v>10.906376626146301</v>
      </c>
      <c r="AD325" s="320"/>
      <c r="AE325" s="279">
        <f>AE328/(AE341+AE342)</f>
        <v>7.2706248820086836</v>
      </c>
      <c r="AF325" s="279">
        <f>AF328/(AF341+AF342)</f>
        <v>8.249081875135019</v>
      </c>
      <c r="AG325" s="320"/>
      <c r="AH325" s="279">
        <f>AH328/(AH341+AH342)</f>
        <v>8.2840845854201444</v>
      </c>
      <c r="AI325" s="279">
        <f>AI328/(AI341+AI342)</f>
        <v>8.2111829944547132</v>
      </c>
      <c r="AJ325" s="320"/>
      <c r="AK325" s="279">
        <f>AK328/(AK341+AK342)</f>
        <v>12.654079773233448</v>
      </c>
      <c r="AL325" s="279">
        <f>AL328/(AL341+AL342)</f>
        <v>13.349947201689547</v>
      </c>
      <c r="AM325" s="320"/>
      <c r="AN325" s="279">
        <f>AN328/(AN341+AN342)</f>
        <v>13.57555416796753</v>
      </c>
      <c r="AO325" s="279">
        <f>AO328/(AO341+AO342)</f>
        <v>13.850734418420007</v>
      </c>
      <c r="AP325" s="320"/>
      <c r="AQ325" s="279">
        <f>AQ328/(AQ341+AQ342)</f>
        <v>4.9653579676674369</v>
      </c>
      <c r="AR325" s="279">
        <f>AR328/(AR341+AR342)</f>
        <v>4.9780752365566583</v>
      </c>
      <c r="AS325" s="320"/>
      <c r="AT325" s="279">
        <f>AT328/(AT341+AT342)</f>
        <v>16.73377783069413</v>
      </c>
      <c r="AU325" s="279">
        <f>AU328/(AU341+AU342)</f>
        <v>17.112104458299022</v>
      </c>
      <c r="AV325" s="320"/>
      <c r="AW325" s="279">
        <f>AW328/(AW341+AW342)</f>
        <v>11.811253082268548</v>
      </c>
      <c r="AX325" s="279">
        <f>AX328/(AX341+AX342)</f>
        <v>14.301735647530039</v>
      </c>
      <c r="AY325" s="320"/>
      <c r="AZ325" s="279">
        <f>AZ328/(AZ341+AZ342)</f>
        <v>13.382218148487626</v>
      </c>
      <c r="BA325" s="279">
        <f>BA328/(BA341+BA342)</f>
        <v>13.138712601994561</v>
      </c>
      <c r="BB325" s="320"/>
      <c r="BC325" s="279">
        <f>BC328/(BC341+BC342)</f>
        <v>13.797095947613172</v>
      </c>
      <c r="BD325" s="279">
        <f>BD328/(BD341+BD342)</f>
        <v>14.041706161137441</v>
      </c>
      <c r="BE325" s="320"/>
      <c r="BF325" s="279">
        <f>BF328/(BF341+BF342)</f>
        <v>17.08944024811165</v>
      </c>
      <c r="BG325" s="279">
        <f>BG328/(BG341+BG342)</f>
        <v>17.643728660373569</v>
      </c>
      <c r="BH325" s="320"/>
      <c r="BI325" s="279">
        <f>BI328/(BI341+BI342)</f>
        <v>15.197902741882778</v>
      </c>
      <c r="BJ325" s="279">
        <f>BJ328/(BJ341+BJ342)</f>
        <v>15.465009101678753</v>
      </c>
      <c r="BK325" s="320"/>
      <c r="BL325" s="279">
        <f>BL328/(BL341+BL342)</f>
        <v>15.431318681318681</v>
      </c>
      <c r="BM325" s="279">
        <f>BM328/(BM341+BM342)</f>
        <v>15.36558548653106</v>
      </c>
      <c r="BN325" s="320"/>
      <c r="BO325" s="279">
        <f>BO328/(BO341+BO342)</f>
        <v>14.568513923352633</v>
      </c>
      <c r="BP325" s="279">
        <f>BP328/(BP341+BP342)</f>
        <v>14.11624203821656</v>
      </c>
      <c r="BQ325" s="320"/>
      <c r="BR325" s="279">
        <f>BR328/(BR341+BR342)</f>
        <v>15.454720616570327</v>
      </c>
      <c r="BS325" s="279">
        <f>BS328/(BS341+BS342)</f>
        <v>15.242481203007518</v>
      </c>
      <c r="BT325" s="320"/>
      <c r="BU325" s="279">
        <f>BU328/(BU341+BU342)</f>
        <v>15.97011952191235</v>
      </c>
      <c r="BV325" s="279">
        <f>BV328/(BV341+BV342)</f>
        <v>15.724271844660194</v>
      </c>
      <c r="BW325" s="320"/>
      <c r="BX325" s="279">
        <f>BX328/(BX341+BX342)</f>
        <v>14.703448275862069</v>
      </c>
      <c r="BY325" s="279">
        <f>BY328/(BY341+BY342)</f>
        <v>14.062699936020472</v>
      </c>
      <c r="BZ325" s="320"/>
      <c r="CA325" s="279">
        <f>CA328/(CA341+CA342)</f>
        <v>15.503665490089601</v>
      </c>
      <c r="CB325" s="279">
        <f>CB328/(CB341+CB342)</f>
        <v>14.214372716199756</v>
      </c>
      <c r="CC325" s="320"/>
      <c r="CD325" s="279">
        <f>CD328/(CD341+CD342)</f>
        <v>10.508608747278844</v>
      </c>
      <c r="CE325" s="279">
        <f>CE328/(CE341+CE342)</f>
        <v>11.17392201361667</v>
      </c>
      <c r="CF325" s="320"/>
      <c r="CG325" s="279">
        <f>CG328/(CG341+CG342)</f>
        <v>2.8150378684186519</v>
      </c>
      <c r="CH325" s="279">
        <f>CH328/(CH341+CH342)</f>
        <v>2.6425457715780296</v>
      </c>
      <c r="CI325" s="320"/>
      <c r="CJ325" s="279">
        <f>CJ328/(CJ341+CJ342)</f>
        <v>4.8791208791208796</v>
      </c>
      <c r="CK325" s="279">
        <f>CK328/(CK341+CK342)</f>
        <v>4.0071770334928232</v>
      </c>
    </row>
    <row r="326" spans="1:89" x14ac:dyDescent="0.25">
      <c r="A326" s="95"/>
      <c r="B326" s="96" t="s">
        <v>1183</v>
      </c>
      <c r="C326" s="107"/>
      <c r="D326" s="95" t="s">
        <v>950</v>
      </c>
      <c r="E326" s="279">
        <f t="shared" ref="E326:J326" si="609">E329/E341</f>
        <v>12.980647159002942</v>
      </c>
      <c r="F326" s="279">
        <f t="shared" si="609"/>
        <v>13.195946462715105</v>
      </c>
      <c r="G326" s="279">
        <f t="shared" si="609"/>
        <v>13.356093149446078</v>
      </c>
      <c r="H326" s="279">
        <f t="shared" si="609"/>
        <v>13.405803441236513</v>
      </c>
      <c r="I326" s="279">
        <f t="shared" si="609"/>
        <v>12.181766369066571</v>
      </c>
      <c r="J326" s="279">
        <f t="shared" si="609"/>
        <v>12.918720033490539</v>
      </c>
      <c r="K326" s="279">
        <f>K329/K341</f>
        <v>13.912578487578488</v>
      </c>
      <c r="L326" s="279">
        <f>L329/L341</f>
        <v>4.5730129390018481</v>
      </c>
      <c r="M326" s="279">
        <f>M329/M341</f>
        <v>4.5496323529411766</v>
      </c>
      <c r="N326" s="279">
        <f>N329/N341</f>
        <v>4.560885608856089</v>
      </c>
      <c r="O326" s="281"/>
      <c r="P326" s="320"/>
      <c r="Q326" s="279">
        <f>Q329/Q341</f>
        <v>13.912578487578488</v>
      </c>
      <c r="R326" s="279">
        <f>R329/R341</f>
        <v>14.113095117315643</v>
      </c>
      <c r="S326" s="279">
        <f>S329/S341</f>
        <v>15.252583237657866</v>
      </c>
      <c r="T326" s="279">
        <f>T329/T341</f>
        <v>13.82082504970179</v>
      </c>
      <c r="U326" s="320"/>
      <c r="V326" s="279">
        <f>V329/V341</f>
        <v>12.127118644067796</v>
      </c>
      <c r="W326" s="279">
        <f>W329/W341</f>
        <v>11.977928692699491</v>
      </c>
      <c r="X326" s="320"/>
      <c r="Y326" s="279">
        <f>Y329/Y341</f>
        <v>11.535463756819953</v>
      </c>
      <c r="Z326" s="279">
        <f>Z329/Z341</f>
        <v>12.038635429510892</v>
      </c>
      <c r="AA326" s="320"/>
      <c r="AB326" s="279">
        <f>AB329/AB341</f>
        <v>13.923444976076555</v>
      </c>
      <c r="AC326" s="279">
        <f>AC329/AC341</f>
        <v>13.858490566037736</v>
      </c>
      <c r="AD326" s="320"/>
      <c r="AE326" s="279">
        <f>AE329/AE341</f>
        <v>9.7689290586630282</v>
      </c>
      <c r="AF326" s="279">
        <f>AF329/AF341</f>
        <v>11.913630781825624</v>
      </c>
      <c r="AG326" s="320"/>
      <c r="AH326" s="279">
        <f>AH329/AH341</f>
        <v>10.944566652001759</v>
      </c>
      <c r="AI326" s="279">
        <f>AI329/AI341</f>
        <v>10.91079295154185</v>
      </c>
      <c r="AJ326" s="320"/>
      <c r="AK326" s="279">
        <f>AK329/AK341</f>
        <v>13.054643013578623</v>
      </c>
      <c r="AL326" s="279">
        <f>AL329/AL341</f>
        <v>13.698297389330307</v>
      </c>
      <c r="AM326" s="320"/>
      <c r="AN326" s="279">
        <f>AN329/AN341</f>
        <v>15.476035848811534</v>
      </c>
      <c r="AO326" s="279">
        <f>AO329/AO341</f>
        <v>15.596198906534756</v>
      </c>
      <c r="AP326" s="320"/>
      <c r="AQ326" s="279" t="e">
        <f>AQ329/AQ341</f>
        <v>#DIV/0!</v>
      </c>
      <c r="AR326" s="279" t="e">
        <f>AR329/AR341</f>
        <v>#DIV/0!</v>
      </c>
      <c r="AS326" s="320"/>
      <c r="AT326" s="279">
        <f>AT329/AT341</f>
        <v>16.73377783069413</v>
      </c>
      <c r="AU326" s="279">
        <f>AU329/AU341</f>
        <v>17.112104458299022</v>
      </c>
      <c r="AV326" s="320"/>
      <c r="AW326" s="279">
        <f>AW329/AW341</f>
        <v>11.811253082268548</v>
      </c>
      <c r="AX326" s="279">
        <f>AX329/AX341</f>
        <v>14.301735647530039</v>
      </c>
      <c r="AY326" s="320"/>
      <c r="AZ326" s="279">
        <f>AZ329/AZ341</f>
        <v>13.382218148487626</v>
      </c>
      <c r="BA326" s="279">
        <f>BA329/BA341</f>
        <v>13.138712601994561</v>
      </c>
      <c r="BB326" s="320"/>
      <c r="BC326" s="279">
        <f>BC329/BC341</f>
        <v>13.797095947613172</v>
      </c>
      <c r="BD326" s="279">
        <f>BD329/BD341</f>
        <v>14.041706161137441</v>
      </c>
      <c r="BE326" s="320"/>
      <c r="BF326" s="279">
        <f>BF329/BF341</f>
        <v>17.08944024811165</v>
      </c>
      <c r="BG326" s="279">
        <f>BG329/BG341</f>
        <v>17.643728660373569</v>
      </c>
      <c r="BH326" s="320"/>
      <c r="BI326" s="279">
        <f>BI329/BI341</f>
        <v>15.197902741882778</v>
      </c>
      <c r="BJ326" s="279">
        <f>BJ329/BJ341</f>
        <v>15.465009101678753</v>
      </c>
      <c r="BK326" s="320"/>
      <c r="BL326" s="279">
        <f>BL329/BL341</f>
        <v>15.431318681318681</v>
      </c>
      <c r="BM326" s="279">
        <f>BM329/BM341</f>
        <v>15.36558548653106</v>
      </c>
      <c r="BN326" s="320"/>
      <c r="BO326" s="279">
        <f>BO329/BO341</f>
        <v>14.568513923352633</v>
      </c>
      <c r="BP326" s="279">
        <f>BP329/BP341</f>
        <v>14.11624203821656</v>
      </c>
      <c r="BQ326" s="320"/>
      <c r="BR326" s="279">
        <f>BR329/BR341</f>
        <v>15.454720616570327</v>
      </c>
      <c r="BS326" s="279">
        <f>BS329/BS341</f>
        <v>15.242481203007518</v>
      </c>
      <c r="BT326" s="320"/>
      <c r="BU326" s="279">
        <f>BU329/BU341</f>
        <v>15.97011952191235</v>
      </c>
      <c r="BV326" s="279">
        <f>BV329/BV341</f>
        <v>15.724271844660194</v>
      </c>
      <c r="BW326" s="320"/>
      <c r="BX326" s="279">
        <f>BX329/BX341</f>
        <v>14.703448275862069</v>
      </c>
      <c r="BY326" s="279">
        <f>BY329/BY341</f>
        <v>14.062699936020472</v>
      </c>
      <c r="BZ326" s="320"/>
      <c r="CA326" s="279">
        <f>CA329/CA341</f>
        <v>15.503665490089601</v>
      </c>
      <c r="CB326" s="279">
        <f>CB329/CB341</f>
        <v>14.214372716199756</v>
      </c>
      <c r="CC326" s="320"/>
      <c r="CD326" s="279">
        <f>CD329/CD341</f>
        <v>10.508608747278844</v>
      </c>
      <c r="CE326" s="279">
        <f>CE329/CE341</f>
        <v>11.17392201361667</v>
      </c>
      <c r="CF326" s="320"/>
      <c r="CG326" s="279">
        <f>CG329/CG341</f>
        <v>2.8915275994865213</v>
      </c>
      <c r="CH326" s="279">
        <f>CH329/CH341</f>
        <v>2.6828274597677737</v>
      </c>
      <c r="CI326" s="320"/>
      <c r="CJ326" s="279">
        <f>CJ329/CJ341</f>
        <v>4.8791208791208796</v>
      </c>
      <c r="CK326" s="279">
        <f>CK329/CK341</f>
        <v>4.0071770334928232</v>
      </c>
    </row>
    <row r="327" spans="1:89" x14ac:dyDescent="0.25">
      <c r="A327" s="95"/>
      <c r="B327" s="96" t="s">
        <v>1185</v>
      </c>
      <c r="C327" s="107"/>
      <c r="D327" s="95" t="s">
        <v>950</v>
      </c>
      <c r="E327" s="279">
        <f t="shared" ref="E327:K327" si="610">E335/E342</f>
        <v>6.3754879000780642</v>
      </c>
      <c r="F327" s="279">
        <f t="shared" si="610"/>
        <v>6.4423152131403993</v>
      </c>
      <c r="G327" s="279">
        <f t="shared" si="610"/>
        <v>6.4652777777777777</v>
      </c>
      <c r="H327" s="279">
        <f t="shared" si="610"/>
        <v>6.7126436781609193</v>
      </c>
      <c r="I327" s="279">
        <f t="shared" si="610"/>
        <v>6.2181500249803729</v>
      </c>
      <c r="J327" s="279">
        <f t="shared" si="610"/>
        <v>6.7961698680860918</v>
      </c>
      <c r="K327" s="279">
        <f t="shared" si="610"/>
        <v>6.6285606914693718</v>
      </c>
      <c r="L327" s="279" t="e">
        <f t="shared" ref="L327:M327" si="611">L335/L342</f>
        <v>#DIV/0!</v>
      </c>
      <c r="M327" s="279" t="e">
        <f t="shared" si="611"/>
        <v>#DIV/0!</v>
      </c>
      <c r="N327" s="279" t="e">
        <f t="shared" ref="N327" si="612">N335/N342</f>
        <v>#DIV/0!</v>
      </c>
      <c r="O327" s="281"/>
      <c r="P327" s="320"/>
      <c r="Q327" s="279">
        <f>Q335/Q342</f>
        <v>6.6285606914693718</v>
      </c>
      <c r="R327" s="279">
        <f>R335/R342</f>
        <v>6.7867096223265921</v>
      </c>
      <c r="S327" s="279">
        <f>S335/S342</f>
        <v>6.9125683060109289</v>
      </c>
      <c r="T327" s="279">
        <f>T335/T342</f>
        <v>6.972375690607735</v>
      </c>
      <c r="U327" s="320"/>
      <c r="V327" s="279">
        <f>V335/V342</f>
        <v>6.2931788369042421</v>
      </c>
      <c r="W327" s="279">
        <f>W335/W342</f>
        <v>7.1682289097187963</v>
      </c>
      <c r="X327" s="320"/>
      <c r="Y327" s="279">
        <f>Y335/Y342</f>
        <v>5.1301900070372977</v>
      </c>
      <c r="Z327" s="279">
        <f>Z335/Z342</f>
        <v>5.0481626828398145</v>
      </c>
      <c r="AA327" s="320"/>
      <c r="AB327" s="279">
        <f>AB335/AB342</f>
        <v>8.0700474279460046</v>
      </c>
      <c r="AC327" s="279">
        <f>AC335/AC342</f>
        <v>8.4702218762164279</v>
      </c>
      <c r="AD327" s="320"/>
      <c r="AE327" s="279">
        <f>AE335/AE342</f>
        <v>4.1733615221987312</v>
      </c>
      <c r="AF327" s="279">
        <f>AF335/AF342</f>
        <v>4.1537053979871912</v>
      </c>
      <c r="AG327" s="320"/>
      <c r="AH327" s="279">
        <f>AH335/AH342</f>
        <v>6.344611930724823</v>
      </c>
      <c r="AI327" s="279">
        <f>AI335/AI342</f>
        <v>6.2595541401273884</v>
      </c>
      <c r="AJ327" s="320"/>
      <c r="AK327" s="279">
        <f>AK335/AK342</f>
        <v>7.7506702412868647</v>
      </c>
      <c r="AL327" s="279">
        <f>AL335/AL342</f>
        <v>8.7000000000000011</v>
      </c>
      <c r="AM327" s="320"/>
      <c r="AN327" s="279">
        <f>AN335/AN342</f>
        <v>10.713866614512028</v>
      </c>
      <c r="AO327" s="279">
        <f>AO335/AO342</f>
        <v>11.12151434968451</v>
      </c>
      <c r="AP327" s="320"/>
      <c r="AQ327" s="279">
        <f>AQ335/AQ342</f>
        <v>4.9653579676674369</v>
      </c>
      <c r="AR327" s="279">
        <f>AR335/AR342</f>
        <v>4.9780752365566583</v>
      </c>
      <c r="AS327" s="320"/>
      <c r="AT327" s="279" t="e">
        <f>AT335/AT342</f>
        <v>#DIV/0!</v>
      </c>
      <c r="AU327" s="279" t="e">
        <f>AU335/AU342</f>
        <v>#DIV/0!</v>
      </c>
      <c r="AV327" s="320"/>
      <c r="AW327" s="279" t="e">
        <f>AW335/AW342</f>
        <v>#DIV/0!</v>
      </c>
      <c r="AX327" s="279" t="e">
        <f>AX335/AX342</f>
        <v>#DIV/0!</v>
      </c>
      <c r="AY327" s="320"/>
      <c r="AZ327" s="279" t="e">
        <f>AZ335/AZ342</f>
        <v>#DIV/0!</v>
      </c>
      <c r="BA327" s="279" t="e">
        <f>BA335/BA342</f>
        <v>#DIV/0!</v>
      </c>
      <c r="BB327" s="320"/>
      <c r="BC327" s="279" t="e">
        <f>BC335/BC342</f>
        <v>#DIV/0!</v>
      </c>
      <c r="BD327" s="279" t="e">
        <f>BD335/BD342</f>
        <v>#DIV/0!</v>
      </c>
      <c r="BE327" s="320"/>
      <c r="BF327" s="279" t="e">
        <f>BF335/BF342</f>
        <v>#DIV/0!</v>
      </c>
      <c r="BG327" s="279" t="e">
        <f>BG335/BG342</f>
        <v>#DIV/0!</v>
      </c>
      <c r="BH327" s="320"/>
      <c r="BI327" s="279" t="e">
        <f>BI335/BI342</f>
        <v>#DIV/0!</v>
      </c>
      <c r="BJ327" s="279" t="e">
        <f>BJ335/BJ342</f>
        <v>#DIV/0!</v>
      </c>
      <c r="BK327" s="320"/>
      <c r="BL327" s="279" t="e">
        <f>BL335/BL342</f>
        <v>#DIV/0!</v>
      </c>
      <c r="BM327" s="279" t="e">
        <f>BM335/BM342</f>
        <v>#DIV/0!</v>
      </c>
      <c r="BN327" s="320"/>
      <c r="BO327" s="279" t="e">
        <f>BO335/BO342</f>
        <v>#DIV/0!</v>
      </c>
      <c r="BP327" s="279" t="e">
        <f>BP335/BP342</f>
        <v>#DIV/0!</v>
      </c>
      <c r="BQ327" s="320"/>
      <c r="BR327" s="279" t="e">
        <f>BR335/BR342</f>
        <v>#DIV/0!</v>
      </c>
      <c r="BS327" s="279" t="e">
        <f>BS335/BS342</f>
        <v>#DIV/0!</v>
      </c>
      <c r="BT327" s="320"/>
      <c r="BU327" s="279" t="e">
        <f>BU335/BU342</f>
        <v>#DIV/0!</v>
      </c>
      <c r="BV327" s="279" t="e">
        <f>BV335/BV342</f>
        <v>#DIV/0!</v>
      </c>
      <c r="BW327" s="320"/>
      <c r="BX327" s="279" t="e">
        <f>BX335/BX342</f>
        <v>#DIV/0!</v>
      </c>
      <c r="BY327" s="279" t="e">
        <f>BY335/BY342</f>
        <v>#DIV/0!</v>
      </c>
      <c r="BZ327" s="320"/>
      <c r="CA327" s="279" t="e">
        <f>CA335/CA342</f>
        <v>#DIV/0!</v>
      </c>
      <c r="CB327" s="279" t="e">
        <f>CB335/CB342</f>
        <v>#DIV/0!</v>
      </c>
      <c r="CC327" s="320"/>
      <c r="CD327" s="279" t="e">
        <f>CD335/CD342</f>
        <v>#DIV/0!</v>
      </c>
      <c r="CE327" s="279" t="e">
        <f>CE335/CE342</f>
        <v>#DIV/0!</v>
      </c>
      <c r="CF327" s="320"/>
      <c r="CG327" s="279">
        <f>CG335/CG342</f>
        <v>2.3711980136561142</v>
      </c>
      <c r="CH327" s="279">
        <f>CH335/CH342</f>
        <v>2.4031476997578696</v>
      </c>
      <c r="CI327" s="320"/>
      <c r="CJ327" s="279" t="e">
        <f>CJ335/CJ342</f>
        <v>#DIV/0!</v>
      </c>
      <c r="CK327" s="279" t="e">
        <f>CK335/CK342</f>
        <v>#DIV/0!</v>
      </c>
    </row>
    <row r="328" spans="1:89" ht="60" x14ac:dyDescent="0.25">
      <c r="A328" s="107"/>
      <c r="B328" s="16" t="s">
        <v>156</v>
      </c>
      <c r="C328" s="95" t="s">
        <v>126</v>
      </c>
      <c r="D328" s="95" t="s">
        <v>950</v>
      </c>
      <c r="E328" s="282">
        <f t="shared" ref="E328:J328" si="613">E329+E335</f>
        <v>184018</v>
      </c>
      <c r="F328" s="282">
        <f t="shared" si="613"/>
        <v>189010</v>
      </c>
      <c r="G328" s="282">
        <f t="shared" si="613"/>
        <v>193980</v>
      </c>
      <c r="H328" s="282">
        <f t="shared" si="613"/>
        <v>200810</v>
      </c>
      <c r="I328" s="282">
        <f>I329+I335</f>
        <v>208719.65</v>
      </c>
      <c r="J328" s="282">
        <f t="shared" si="613"/>
        <v>215119.85</v>
      </c>
      <c r="K328" s="282">
        <f>K329+K335</f>
        <v>221485.7</v>
      </c>
      <c r="L328" s="282">
        <f>L329+L335</f>
        <v>4438</v>
      </c>
      <c r="M328" s="282">
        <f>M329+M335</f>
        <v>4416</v>
      </c>
      <c r="N328" s="282">
        <f>N329+N335</f>
        <v>4348</v>
      </c>
      <c r="P328" s="302"/>
      <c r="Q328" s="282">
        <f>Q329+Q335</f>
        <v>221485.7</v>
      </c>
      <c r="R328" s="282">
        <f>R329+R335</f>
        <v>226145.30000000002</v>
      </c>
      <c r="S328" s="282">
        <f>S329+S335</f>
        <v>3922</v>
      </c>
      <c r="T328" s="282">
        <f>T329+T335</f>
        <v>4042.75</v>
      </c>
      <c r="U328" s="304"/>
      <c r="V328" s="282">
        <f>V329+V335</f>
        <v>3585.75</v>
      </c>
      <c r="W328" s="282">
        <f>W329+W335</f>
        <v>3569.5</v>
      </c>
      <c r="X328" s="304"/>
      <c r="Y328" s="282">
        <f>Y329+Y335</f>
        <v>4418</v>
      </c>
      <c r="Z328" s="282">
        <f>Z329+Z335</f>
        <v>4344</v>
      </c>
      <c r="AA328" s="304"/>
      <c r="AB328" s="282">
        <f>AB329+AB335</f>
        <v>5122</v>
      </c>
      <c r="AC328" s="282">
        <f>AC329+AC335</f>
        <v>5114</v>
      </c>
      <c r="AD328" s="304"/>
      <c r="AE328" s="282">
        <f>AE329+AE335</f>
        <v>3851.25</v>
      </c>
      <c r="AF328" s="282">
        <f>AF329+AF335</f>
        <v>3818.5</v>
      </c>
      <c r="AG328" s="304"/>
      <c r="AH328" s="282">
        <f>AH329+AH335</f>
        <v>4465.95</v>
      </c>
      <c r="AI328" s="282">
        <f>AI329+AI335</f>
        <v>4442.25</v>
      </c>
      <c r="AJ328" s="304"/>
      <c r="AK328" s="282">
        <f>AK329+AK335</f>
        <v>6249.85</v>
      </c>
      <c r="AL328" s="282">
        <f>AL329+AL335</f>
        <v>6321.2000000000007</v>
      </c>
      <c r="AM328" s="304"/>
      <c r="AN328" s="282">
        <f>AN329+AN335</f>
        <v>17393</v>
      </c>
      <c r="AO328" s="282">
        <f>AO329+AO335</f>
        <v>17445</v>
      </c>
      <c r="AP328" s="304"/>
      <c r="AQ328" s="282">
        <f>AQ329+AQ335</f>
        <v>2150</v>
      </c>
      <c r="AR328" s="282">
        <f>AR329+AR335</f>
        <v>2157</v>
      </c>
      <c r="AS328" s="304"/>
      <c r="AT328" s="282">
        <f>AT329+AT335</f>
        <v>14054.7</v>
      </c>
      <c r="AU328" s="282">
        <f>AU329+AU335</f>
        <v>14547</v>
      </c>
      <c r="AV328" s="304"/>
      <c r="AW328" s="282">
        <f>AW329+AW335</f>
        <v>5269</v>
      </c>
      <c r="AX328" s="282">
        <f>AX329+AX335</f>
        <v>5356</v>
      </c>
      <c r="AY328" s="304"/>
      <c r="AZ328" s="282">
        <f>AZ329+AZ335</f>
        <v>7300</v>
      </c>
      <c r="BA328" s="282">
        <f>BA329+BA335</f>
        <v>7246</v>
      </c>
      <c r="BB328" s="304"/>
      <c r="BC328" s="282">
        <f>BC329+BC335</f>
        <v>14538</v>
      </c>
      <c r="BD328" s="282">
        <f>BD329+BD335</f>
        <v>14814</v>
      </c>
      <c r="BE328" s="304"/>
      <c r="BF328" s="282">
        <f>BF329+BF335</f>
        <v>34163.5</v>
      </c>
      <c r="BG328" s="282">
        <f>BG329+BG335</f>
        <v>35139.25</v>
      </c>
      <c r="BH328" s="304"/>
      <c r="BI328" s="282">
        <f>BI329+BI335</f>
        <v>51160.7</v>
      </c>
      <c r="BJ328" s="282">
        <f>BJ329+BJ335</f>
        <v>53522.85</v>
      </c>
      <c r="BK328" s="304"/>
      <c r="BL328" s="282">
        <f>BL329+BL335</f>
        <v>5617</v>
      </c>
      <c r="BM328" s="282">
        <f>BM329+BM335</f>
        <v>5590</v>
      </c>
      <c r="BN328" s="304"/>
      <c r="BO328" s="282">
        <f>BO329+BO335</f>
        <v>5284</v>
      </c>
      <c r="BP328" s="282">
        <f>BP329+BP335</f>
        <v>5319</v>
      </c>
      <c r="BQ328" s="304"/>
      <c r="BR328" s="282">
        <f>BR329+BR335</f>
        <v>8021</v>
      </c>
      <c r="BS328" s="282">
        <f>BS329+BS335</f>
        <v>8109</v>
      </c>
      <c r="BT328" s="304"/>
      <c r="BU328" s="282">
        <f>BU329+BU335</f>
        <v>8017</v>
      </c>
      <c r="BV328" s="282">
        <f>BV329+BV335</f>
        <v>8098</v>
      </c>
      <c r="BW328" s="304"/>
      <c r="BX328" s="282">
        <f>BX329+BX335</f>
        <v>2132</v>
      </c>
      <c r="BY328" s="282">
        <f>BY329+BY335</f>
        <v>2198</v>
      </c>
      <c r="BZ328" s="304"/>
      <c r="CA328" s="282">
        <f>CA329+CA335</f>
        <v>5710</v>
      </c>
      <c r="CB328" s="282">
        <f>CB329+CB335</f>
        <v>5835</v>
      </c>
      <c r="CC328" s="304"/>
      <c r="CD328" s="282">
        <f>CD329+CD335</f>
        <v>5310</v>
      </c>
      <c r="CE328" s="282">
        <f>CE329+CE335</f>
        <v>5416</v>
      </c>
      <c r="CF328" s="304"/>
      <c r="CG328" s="282">
        <f>CG329+CG335</f>
        <v>3085</v>
      </c>
      <c r="CH328" s="282">
        <f>CH329+CH335</f>
        <v>3031</v>
      </c>
      <c r="CI328" s="304"/>
      <c r="CJ328" s="282">
        <f>CJ329+CJ335</f>
        <v>666</v>
      </c>
      <c r="CK328" s="282">
        <f>CK329+CK335</f>
        <v>670</v>
      </c>
    </row>
    <row r="329" spans="1:89" x14ac:dyDescent="0.25">
      <c r="A329" s="321"/>
      <c r="B329" s="96" t="s">
        <v>1183</v>
      </c>
      <c r="C329" s="95"/>
      <c r="D329" s="95" t="s">
        <v>950</v>
      </c>
      <c r="E329" s="282">
        <v>167684</v>
      </c>
      <c r="F329" s="282">
        <v>172537</v>
      </c>
      <c r="G329" s="282">
        <v>177222</v>
      </c>
      <c r="H329" s="282">
        <f>H330+H331+H332</f>
        <v>183874</v>
      </c>
      <c r="I329" s="322">
        <f t="shared" ref="I329:N329" si="614">(I330+I331+I332)+0.25*I333+0.1*I334</f>
        <v>191295.15</v>
      </c>
      <c r="J329" s="322">
        <f t="shared" si="614"/>
        <v>197500.1</v>
      </c>
      <c r="K329" s="322">
        <f t="shared" si="614"/>
        <v>203847.1</v>
      </c>
      <c r="L329" s="322">
        <f t="shared" si="614"/>
        <v>2474</v>
      </c>
      <c r="M329" s="322">
        <f t="shared" si="614"/>
        <v>2475</v>
      </c>
      <c r="N329" s="322">
        <f t="shared" si="614"/>
        <v>2472</v>
      </c>
      <c r="P329" s="304"/>
      <c r="Q329" s="322">
        <f>(Q330+Q331+Q332)+0.25*Q333+0.1*Q334</f>
        <v>203847.1</v>
      </c>
      <c r="R329" s="322">
        <f>(R330+R331+R332)+0.25*R333+0.1*R334</f>
        <v>208660.7</v>
      </c>
      <c r="S329" s="322">
        <f>(S330+S331+S332)+0.25*S333+0.1*S334</f>
        <v>2657</v>
      </c>
      <c r="T329" s="322">
        <f>(T330+T331+T332)+0.25*T333+0.1*T334</f>
        <v>2780.75</v>
      </c>
      <c r="U329" s="304"/>
      <c r="V329" s="322">
        <f>(V330+V331+V332)+0.25*V333+0.1*V334</f>
        <v>2146.5</v>
      </c>
      <c r="W329" s="322">
        <f>(W330+W331+W332)+0.25*W333+0.1*W334</f>
        <v>2116.5</v>
      </c>
      <c r="X329" s="304"/>
      <c r="Y329" s="322">
        <f>(Y330+Y331+Y332)+0.25*Y333+0.1*Y334</f>
        <v>2960</v>
      </c>
      <c r="Z329" s="322">
        <f>(Z330+Z331+Z332)+0.25*Z333+0.1*Z334</f>
        <v>2929</v>
      </c>
      <c r="AA329" s="304"/>
      <c r="AB329" s="322">
        <f>(AB330+AB331+AB332)+0.25*AB333+0.1*AB334</f>
        <v>2910</v>
      </c>
      <c r="AC329" s="322">
        <f>(AC330+AC331+AC332)+0.25*AC333+0.1*AC334</f>
        <v>2938</v>
      </c>
      <c r="AD329" s="304"/>
      <c r="AE329" s="322">
        <f>(AE330+AE331+AE332)+0.25*AE333+0.1*AE334</f>
        <v>2864.25</v>
      </c>
      <c r="AF329" s="322">
        <f>(AF330+AF331+AF332)+0.25*AF333+0.1*AF334</f>
        <v>2910.5</v>
      </c>
      <c r="AG329" s="304"/>
      <c r="AH329" s="322">
        <f>(AH330+AH331+AH332)+0.25*AH333+0.1*AH334</f>
        <v>2487.6999999999998</v>
      </c>
      <c r="AI329" s="322">
        <f>(AI330+AI331+AI332)+0.25*AI333+0.1*AI334</f>
        <v>2476.75</v>
      </c>
      <c r="AJ329" s="304"/>
      <c r="AK329" s="322">
        <f>(AK330+AK331+AK332)+0.25*AK333+0.1*AK334</f>
        <v>5960.75</v>
      </c>
      <c r="AL329" s="322">
        <f>(AL330+AL331+AL332)+0.25*AL333+0.1*AL334</f>
        <v>6034.1</v>
      </c>
      <c r="AM329" s="304"/>
      <c r="AN329" s="322">
        <f>(AN330+AN331+AN332)+0.25*AN333+0.1*AN334</f>
        <v>11915</v>
      </c>
      <c r="AO329" s="322">
        <f>(AO330+AO331+AO332)+0.25*AO333+0.1*AO334</f>
        <v>11981</v>
      </c>
      <c r="AP329" s="304"/>
      <c r="AQ329" s="322">
        <f>(AQ330+AQ331+AQ332)+0.25*AQ333+0.1*AQ334</f>
        <v>0</v>
      </c>
      <c r="AR329" s="322">
        <f>(AR330+AR331+AR332)+0.25*AR333+0.1*AR334</f>
        <v>0</v>
      </c>
      <c r="AS329" s="304"/>
      <c r="AT329" s="322">
        <f>(AT330+AT331+AT332)+0.25*AT333+0.1*AT334</f>
        <v>14054.7</v>
      </c>
      <c r="AU329" s="322">
        <f>(AU330+AU331+AU332)+0.25*AU333+0.1*AU334</f>
        <v>14547</v>
      </c>
      <c r="AV329" s="304"/>
      <c r="AW329" s="322">
        <f>(AW330+AW331+AW332)+0.25*AW333+0.1*AW334</f>
        <v>5269</v>
      </c>
      <c r="AX329" s="322">
        <f>(AX330+AX331+AX332)+0.25*AX333+0.1*AX334</f>
        <v>5356</v>
      </c>
      <c r="AY329" s="304"/>
      <c r="AZ329" s="322">
        <f>(AZ330+AZ331+AZ332)+0.25*AZ333+0.1*AZ334</f>
        <v>7300</v>
      </c>
      <c r="BA329" s="322">
        <f>(BA330+BA331+BA332)+0.25*BA333+0.1*BA334</f>
        <v>7246</v>
      </c>
      <c r="BB329" s="304"/>
      <c r="BC329" s="322">
        <f>(BC330+BC331+BC332)+0.25*BC333+0.1*BC334</f>
        <v>14538</v>
      </c>
      <c r="BD329" s="322">
        <f>(BD330+BD331+BD332)+0.25*BD333+0.1*BD334</f>
        <v>14814</v>
      </c>
      <c r="BE329" s="304"/>
      <c r="BF329" s="322">
        <f>(BF330+BF331+BF332)+0.25*BF333+0.1*BF334</f>
        <v>34163.5</v>
      </c>
      <c r="BG329" s="322">
        <f>(BG330+BG331+BG332)+0.25*BG333+0.1*BG334</f>
        <v>35139.25</v>
      </c>
      <c r="BH329" s="304"/>
      <c r="BI329" s="322">
        <f>(BI330+BI331+BI332)+0.25*BI333+0.1*BI334</f>
        <v>51160.7</v>
      </c>
      <c r="BJ329" s="322">
        <f>(BJ330+BJ331+BJ332)+0.25*BJ333+0.1*BJ334</f>
        <v>53522.85</v>
      </c>
      <c r="BK329" s="304"/>
      <c r="BL329" s="322">
        <f>(BL330+BL331+BL332)+0.25*BL333+0.1*BL334</f>
        <v>5617</v>
      </c>
      <c r="BM329" s="322">
        <f>(BM330+BM331+BM332)+0.25*BM333+0.1*BM334</f>
        <v>5590</v>
      </c>
      <c r="BN329" s="304"/>
      <c r="BO329" s="322">
        <f>(BO330+BO331+BO332)+0.25*BO333+0.1*BO334</f>
        <v>5284</v>
      </c>
      <c r="BP329" s="322">
        <f>(BP330+BP331+BP332)+0.25*BP333+0.1*BP334</f>
        <v>5319</v>
      </c>
      <c r="BQ329" s="304"/>
      <c r="BR329" s="322">
        <f>(BR330+BR331+BR332)+0.25*BR333+0.1*BR334</f>
        <v>8021</v>
      </c>
      <c r="BS329" s="322">
        <f>(BS330+BS331+BS332)+0.25*BS333+0.1*BS334</f>
        <v>8109</v>
      </c>
      <c r="BT329" s="304"/>
      <c r="BU329" s="322">
        <f>(BU330+BU331+BU332)+0.25*BU333+0.1*BU334</f>
        <v>8017</v>
      </c>
      <c r="BV329" s="322">
        <f>(BV330+BV331+BV332)+0.25*BV333+0.1*BV334</f>
        <v>8098</v>
      </c>
      <c r="BW329" s="304"/>
      <c r="BX329" s="322">
        <f>(BX330+BX331+BX332)+0.25*BX333+0.1*BX334</f>
        <v>2132</v>
      </c>
      <c r="BY329" s="322">
        <f>(BY330+BY331+BY332)+0.25*BY333+0.1*BY334</f>
        <v>2198</v>
      </c>
      <c r="BZ329" s="304"/>
      <c r="CA329" s="322">
        <f>(CA330+CA331+CA332)+0.25*CA333+0.1*CA334</f>
        <v>5710</v>
      </c>
      <c r="CB329" s="322">
        <f>(CB330+CB331+CB332)+0.25*CB333+0.1*CB334</f>
        <v>5835</v>
      </c>
      <c r="CC329" s="304"/>
      <c r="CD329" s="322">
        <f>(CD330+CD331+CD332)+0.25*CD333+0.1*CD334</f>
        <v>5310</v>
      </c>
      <c r="CE329" s="322">
        <f>(CE330+CE331+CE332)+0.25*CE333+0.1*CE334</f>
        <v>5416</v>
      </c>
      <c r="CF329" s="304"/>
      <c r="CG329" s="322">
        <f>(CG330+CG331+CG332)+0.25*CG333+0.1*CG334</f>
        <v>2703</v>
      </c>
      <c r="CH329" s="322">
        <f>(CH330+CH331+CH332)+0.25*CH333+0.1*CH334</f>
        <v>2634</v>
      </c>
      <c r="CI329" s="304"/>
      <c r="CJ329" s="322">
        <f>(CJ330+CJ331+CJ332)+0.25*CJ333+0.1*CJ334</f>
        <v>666</v>
      </c>
      <c r="CK329" s="322">
        <f>(CK330+CK331+CK332)+0.25*CK333+0.1*CK334</f>
        <v>670</v>
      </c>
    </row>
    <row r="330" spans="1:89" ht="30" x14ac:dyDescent="0.25">
      <c r="A330" s="321"/>
      <c r="B330" s="312"/>
      <c r="C330" s="312" t="s">
        <v>2388</v>
      </c>
      <c r="D330" s="95"/>
      <c r="E330" s="282"/>
      <c r="F330" s="282"/>
      <c r="G330" s="282"/>
      <c r="H330" s="282">
        <f>180435-16</f>
        <v>180419</v>
      </c>
      <c r="I330" s="282">
        <v>187583</v>
      </c>
      <c r="J330" s="282">
        <v>193546</v>
      </c>
      <c r="K330" s="282">
        <f t="shared" ref="K330:M332" si="615">K237</f>
        <v>199765</v>
      </c>
      <c r="L330" s="282">
        <f t="shared" si="615"/>
        <v>2474</v>
      </c>
      <c r="M330" s="282">
        <f t="shared" si="615"/>
        <v>2475</v>
      </c>
      <c r="N330" s="282">
        <f t="shared" ref="N330" si="616">N237</f>
        <v>2472</v>
      </c>
      <c r="O330" s="286"/>
      <c r="P330" s="304"/>
      <c r="Q330" s="286">
        <f t="shared" ref="Q330:R334" si="617">S330+V330+Y330+AB330+AE330+AH330+AK330+AN330+AQ330+AT330+AW330+AZ330+BC330+BF330+BI330+BL330+BO330+BR330+BU330+BX330+CA330+CD330+CG330+CJ330</f>
        <v>199765</v>
      </c>
      <c r="R330" s="286">
        <f t="shared" si="617"/>
        <v>204600</v>
      </c>
      <c r="S330" s="286">
        <f t="shared" ref="S330:T332" si="618">S237</f>
        <v>2623</v>
      </c>
      <c r="T330" s="286">
        <f t="shared" si="618"/>
        <v>2733</v>
      </c>
      <c r="U330" s="302"/>
      <c r="V330" s="286">
        <f t="shared" ref="V330:W332" si="619">V237</f>
        <v>2144</v>
      </c>
      <c r="W330" s="286">
        <f t="shared" si="619"/>
        <v>2114</v>
      </c>
      <c r="X330" s="302"/>
      <c r="Y330" s="286">
        <f t="shared" ref="Y330:Z332" si="620">Y237</f>
        <v>2960</v>
      </c>
      <c r="Z330" s="286">
        <f t="shared" si="620"/>
        <v>2929</v>
      </c>
      <c r="AA330" s="302"/>
      <c r="AB330" s="286">
        <f t="shared" ref="AB330:AC332" si="621">AB237</f>
        <v>2910</v>
      </c>
      <c r="AC330" s="286">
        <f t="shared" si="621"/>
        <v>2938</v>
      </c>
      <c r="AD330" s="302"/>
      <c r="AE330" s="286">
        <f t="shared" ref="AE330:AF332" si="622">AE237</f>
        <v>2779</v>
      </c>
      <c r="AF330" s="286">
        <f t="shared" si="622"/>
        <v>2839</v>
      </c>
      <c r="AG330" s="302"/>
      <c r="AH330" s="286">
        <f t="shared" ref="AH330:AI332" si="623">AH237</f>
        <v>2486</v>
      </c>
      <c r="AI330" s="286">
        <f t="shared" si="623"/>
        <v>2474</v>
      </c>
      <c r="AJ330" s="302"/>
      <c r="AK330" s="286">
        <f t="shared" ref="AK330:AL332" si="624">AK237</f>
        <v>5793</v>
      </c>
      <c r="AL330" s="286">
        <f t="shared" si="624"/>
        <v>5866</v>
      </c>
      <c r="AM330" s="302"/>
      <c r="AN330" s="286">
        <f t="shared" ref="AN330:AO332" si="625">AN237</f>
        <v>11819</v>
      </c>
      <c r="AO330" s="286">
        <f t="shared" si="625"/>
        <v>11889</v>
      </c>
      <c r="AP330" s="302"/>
      <c r="AQ330" s="286">
        <f t="shared" ref="AQ330:AR332" si="626">AQ237</f>
        <v>0</v>
      </c>
      <c r="AR330" s="286">
        <f t="shared" si="626"/>
        <v>0</v>
      </c>
      <c r="AS330" s="302"/>
      <c r="AT330" s="286">
        <f t="shared" ref="AT330:AU332" si="627">AT237</f>
        <v>13883</v>
      </c>
      <c r="AU330" s="286">
        <f t="shared" si="627"/>
        <v>14407</v>
      </c>
      <c r="AV330" s="302"/>
      <c r="AW330" s="286">
        <f t="shared" ref="AW330:AX332" si="628">AW237</f>
        <v>5196</v>
      </c>
      <c r="AX330" s="286">
        <f t="shared" si="628"/>
        <v>5281</v>
      </c>
      <c r="AY330" s="302"/>
      <c r="AZ330" s="286">
        <f t="shared" ref="AZ330:BA332" si="629">AZ237</f>
        <v>7300</v>
      </c>
      <c r="BA330" s="286">
        <f t="shared" si="629"/>
        <v>7246</v>
      </c>
      <c r="BB330" s="302"/>
      <c r="BC330" s="286">
        <f t="shared" ref="BC330:BD332" si="630">BC237</f>
        <v>14385</v>
      </c>
      <c r="BD330" s="286">
        <f t="shared" si="630"/>
        <v>14670</v>
      </c>
      <c r="BE330" s="302"/>
      <c r="BF330" s="286">
        <f t="shared" ref="BF330:BG332" si="631">BF237</f>
        <v>34019</v>
      </c>
      <c r="BG330" s="286">
        <f t="shared" si="631"/>
        <v>34985</v>
      </c>
      <c r="BH330" s="302"/>
      <c r="BI330" s="286">
        <f t="shared" ref="BI330:BJ332" si="632">BI237</f>
        <v>50296</v>
      </c>
      <c r="BJ330" s="286">
        <f t="shared" si="632"/>
        <v>52650</v>
      </c>
      <c r="BK330" s="302"/>
      <c r="BL330" s="286">
        <f t="shared" ref="BL330:BM332" si="633">BL237</f>
        <v>5617</v>
      </c>
      <c r="BM330" s="286">
        <f t="shared" si="633"/>
        <v>5590</v>
      </c>
      <c r="BN330" s="302"/>
      <c r="BO330" s="286">
        <f t="shared" ref="BO330:BP332" si="634">BO237</f>
        <v>5276</v>
      </c>
      <c r="BP330" s="286">
        <f t="shared" si="634"/>
        <v>5300</v>
      </c>
      <c r="BQ330" s="302"/>
      <c r="BR330" s="286">
        <f t="shared" ref="BR330:BS332" si="635">BR237</f>
        <v>8021</v>
      </c>
      <c r="BS330" s="286">
        <f t="shared" si="635"/>
        <v>8109</v>
      </c>
      <c r="BT330" s="302"/>
      <c r="BU330" s="286">
        <f t="shared" ref="BU330:BV332" si="636">BU237</f>
        <v>7972</v>
      </c>
      <c r="BV330" s="286">
        <f t="shared" si="636"/>
        <v>8054</v>
      </c>
      <c r="BW330" s="302"/>
      <c r="BX330" s="286">
        <f t="shared" ref="BX330:BY332" si="637">BX237</f>
        <v>2132</v>
      </c>
      <c r="BY330" s="286">
        <f t="shared" si="637"/>
        <v>2198</v>
      </c>
      <c r="BZ330" s="302"/>
      <c r="CA330" s="286">
        <f t="shared" ref="CA330:CB332" si="638">CA237</f>
        <v>5700</v>
      </c>
      <c r="CB330" s="286">
        <f t="shared" si="638"/>
        <v>5824</v>
      </c>
      <c r="CC330" s="302"/>
      <c r="CD330" s="286">
        <f t="shared" ref="CD330:CE332" si="639">CD237</f>
        <v>5310</v>
      </c>
      <c r="CE330" s="286">
        <f t="shared" si="639"/>
        <v>5416</v>
      </c>
      <c r="CF330" s="302"/>
      <c r="CG330" s="286">
        <f t="shared" ref="CG330:CH332" si="640">CG237</f>
        <v>478</v>
      </c>
      <c r="CH330" s="286">
        <f t="shared" si="640"/>
        <v>418</v>
      </c>
      <c r="CI330" s="302"/>
      <c r="CJ330" s="286">
        <f t="shared" ref="CJ330:CK332" si="641">CJ237</f>
        <v>666</v>
      </c>
      <c r="CK330" s="286">
        <f t="shared" si="641"/>
        <v>670</v>
      </c>
    </row>
    <row r="331" spans="1:89" ht="30" x14ac:dyDescent="0.25">
      <c r="A331" s="321"/>
      <c r="B331" s="312"/>
      <c r="C331" s="312" t="s">
        <v>2389</v>
      </c>
      <c r="D331" s="95"/>
      <c r="E331" s="282"/>
      <c r="F331" s="282"/>
      <c r="G331" s="282"/>
      <c r="H331" s="282">
        <v>1648</v>
      </c>
      <c r="I331" s="282">
        <v>1681</v>
      </c>
      <c r="J331" s="282">
        <v>1891</v>
      </c>
      <c r="K331" s="282">
        <f t="shared" si="615"/>
        <v>1945</v>
      </c>
      <c r="L331" s="282">
        <f t="shared" si="615"/>
        <v>0</v>
      </c>
      <c r="M331" s="282">
        <f t="shared" si="615"/>
        <v>0</v>
      </c>
      <c r="N331" s="282">
        <f t="shared" ref="N331" si="642">N238</f>
        <v>0</v>
      </c>
      <c r="O331" s="286"/>
      <c r="P331" s="304"/>
      <c r="Q331" s="286">
        <f t="shared" si="617"/>
        <v>1945</v>
      </c>
      <c r="R331" s="286">
        <f t="shared" si="617"/>
        <v>1928</v>
      </c>
      <c r="S331" s="286">
        <f t="shared" si="618"/>
        <v>32</v>
      </c>
      <c r="T331" s="286">
        <f t="shared" si="618"/>
        <v>44</v>
      </c>
      <c r="U331" s="302"/>
      <c r="V331" s="286">
        <f t="shared" si="619"/>
        <v>0</v>
      </c>
      <c r="W331" s="286">
        <f t="shared" si="619"/>
        <v>0</v>
      </c>
      <c r="X331" s="302"/>
      <c r="Y331" s="286">
        <f t="shared" si="620"/>
        <v>0</v>
      </c>
      <c r="Z331" s="286">
        <f t="shared" si="620"/>
        <v>0</v>
      </c>
      <c r="AA331" s="302"/>
      <c r="AB331" s="286">
        <f t="shared" si="621"/>
        <v>0</v>
      </c>
      <c r="AC331" s="286">
        <f t="shared" si="621"/>
        <v>0</v>
      </c>
      <c r="AD331" s="302"/>
      <c r="AE331" s="286">
        <f t="shared" si="622"/>
        <v>0</v>
      </c>
      <c r="AF331" s="286">
        <f t="shared" si="622"/>
        <v>0</v>
      </c>
      <c r="AG331" s="302"/>
      <c r="AH331" s="286">
        <f t="shared" si="623"/>
        <v>0</v>
      </c>
      <c r="AI331" s="286">
        <f t="shared" si="623"/>
        <v>0</v>
      </c>
      <c r="AJ331" s="302"/>
      <c r="AK331" s="286">
        <f t="shared" si="624"/>
        <v>155</v>
      </c>
      <c r="AL331" s="286">
        <f t="shared" si="624"/>
        <v>154</v>
      </c>
      <c r="AM331" s="302"/>
      <c r="AN331" s="286">
        <f t="shared" si="625"/>
        <v>33</v>
      </c>
      <c r="AO331" s="286">
        <f t="shared" si="625"/>
        <v>24</v>
      </c>
      <c r="AP331" s="302"/>
      <c r="AQ331" s="286">
        <f t="shared" si="626"/>
        <v>0</v>
      </c>
      <c r="AR331" s="286">
        <f t="shared" si="626"/>
        <v>0</v>
      </c>
      <c r="AS331" s="302"/>
      <c r="AT331" s="286">
        <f t="shared" si="627"/>
        <v>171</v>
      </c>
      <c r="AU331" s="286">
        <f t="shared" si="627"/>
        <v>140</v>
      </c>
      <c r="AV331" s="302"/>
      <c r="AW331" s="286">
        <f t="shared" si="628"/>
        <v>63</v>
      </c>
      <c r="AX331" s="286">
        <f t="shared" si="628"/>
        <v>66</v>
      </c>
      <c r="AY331" s="302"/>
      <c r="AZ331" s="286">
        <f t="shared" si="629"/>
        <v>0</v>
      </c>
      <c r="BA331" s="286">
        <f t="shared" si="629"/>
        <v>0</v>
      </c>
      <c r="BB331" s="302"/>
      <c r="BC331" s="286">
        <f t="shared" si="630"/>
        <v>153</v>
      </c>
      <c r="BD331" s="286">
        <f t="shared" si="630"/>
        <v>144</v>
      </c>
      <c r="BE331" s="302"/>
      <c r="BF331" s="286">
        <f t="shared" si="631"/>
        <v>112</v>
      </c>
      <c r="BG331" s="286">
        <f t="shared" si="631"/>
        <v>119</v>
      </c>
      <c r="BH331" s="302"/>
      <c r="BI331" s="286">
        <f t="shared" si="632"/>
        <v>788</v>
      </c>
      <c r="BJ331" s="286">
        <f t="shared" si="632"/>
        <v>793</v>
      </c>
      <c r="BK331" s="302"/>
      <c r="BL331" s="286">
        <f t="shared" si="633"/>
        <v>0</v>
      </c>
      <c r="BM331" s="286">
        <f t="shared" si="633"/>
        <v>0</v>
      </c>
      <c r="BN331" s="302"/>
      <c r="BO331" s="286">
        <f t="shared" si="634"/>
        <v>8</v>
      </c>
      <c r="BP331" s="286">
        <f t="shared" si="634"/>
        <v>19</v>
      </c>
      <c r="BQ331" s="302"/>
      <c r="BR331" s="286">
        <f t="shared" si="635"/>
        <v>0</v>
      </c>
      <c r="BS331" s="286">
        <f t="shared" si="635"/>
        <v>0</v>
      </c>
      <c r="BT331" s="302"/>
      <c r="BU331" s="286">
        <f t="shared" si="636"/>
        <v>0</v>
      </c>
      <c r="BV331" s="286">
        <f t="shared" si="636"/>
        <v>0</v>
      </c>
      <c r="BW331" s="302"/>
      <c r="BX331" s="286">
        <f t="shared" si="637"/>
        <v>0</v>
      </c>
      <c r="BY331" s="286">
        <f t="shared" si="637"/>
        <v>0</v>
      </c>
      <c r="BZ331" s="302"/>
      <c r="CA331" s="286">
        <f t="shared" si="638"/>
        <v>10</v>
      </c>
      <c r="CB331" s="286">
        <f t="shared" si="638"/>
        <v>11</v>
      </c>
      <c r="CC331" s="302"/>
      <c r="CD331" s="286">
        <f t="shared" si="639"/>
        <v>0</v>
      </c>
      <c r="CE331" s="286">
        <f t="shared" si="639"/>
        <v>0</v>
      </c>
      <c r="CF331" s="302"/>
      <c r="CG331" s="286">
        <f t="shared" si="640"/>
        <v>420</v>
      </c>
      <c r="CH331" s="286">
        <f t="shared" si="640"/>
        <v>414</v>
      </c>
      <c r="CI331" s="302"/>
      <c r="CJ331" s="286">
        <f t="shared" si="641"/>
        <v>0</v>
      </c>
      <c r="CK331" s="286">
        <f t="shared" si="641"/>
        <v>0</v>
      </c>
    </row>
    <row r="332" spans="1:89" ht="30" x14ac:dyDescent="0.25">
      <c r="A332" s="321"/>
      <c r="B332" s="312"/>
      <c r="C332" s="312" t="s">
        <v>2390</v>
      </c>
      <c r="D332" s="95"/>
      <c r="E332" s="282"/>
      <c r="F332" s="282"/>
      <c r="G332" s="282"/>
      <c r="H332" s="282">
        <v>1807</v>
      </c>
      <c r="I332" s="282">
        <v>1865</v>
      </c>
      <c r="J332" s="282">
        <v>1926</v>
      </c>
      <c r="K332" s="282">
        <f t="shared" si="615"/>
        <v>2004</v>
      </c>
      <c r="L332" s="282">
        <f t="shared" si="615"/>
        <v>0</v>
      </c>
      <c r="M332" s="282">
        <f t="shared" si="615"/>
        <v>0</v>
      </c>
      <c r="N332" s="282">
        <f t="shared" ref="N332" si="643">N239</f>
        <v>0</v>
      </c>
      <c r="O332" s="286"/>
      <c r="P332" s="304"/>
      <c r="Q332" s="286">
        <f t="shared" si="617"/>
        <v>2004</v>
      </c>
      <c r="R332" s="286">
        <f t="shared" si="617"/>
        <v>1999</v>
      </c>
      <c r="S332" s="286">
        <f t="shared" si="618"/>
        <v>0</v>
      </c>
      <c r="T332" s="286">
        <f t="shared" si="618"/>
        <v>0</v>
      </c>
      <c r="U332" s="302"/>
      <c r="V332" s="286">
        <f t="shared" si="619"/>
        <v>0</v>
      </c>
      <c r="W332" s="286">
        <f t="shared" si="619"/>
        <v>0</v>
      </c>
      <c r="X332" s="302"/>
      <c r="Y332" s="286">
        <f t="shared" si="620"/>
        <v>0</v>
      </c>
      <c r="Z332" s="286">
        <f t="shared" si="620"/>
        <v>0</v>
      </c>
      <c r="AA332" s="302"/>
      <c r="AB332" s="286">
        <f t="shared" si="621"/>
        <v>0</v>
      </c>
      <c r="AC332" s="286">
        <f t="shared" si="621"/>
        <v>0</v>
      </c>
      <c r="AD332" s="302"/>
      <c r="AE332" s="286">
        <f t="shared" si="622"/>
        <v>74</v>
      </c>
      <c r="AF332" s="286">
        <f t="shared" si="622"/>
        <v>62</v>
      </c>
      <c r="AG332" s="302"/>
      <c r="AH332" s="286">
        <f t="shared" si="623"/>
        <v>0</v>
      </c>
      <c r="AI332" s="286">
        <f t="shared" si="623"/>
        <v>0</v>
      </c>
      <c r="AJ332" s="302"/>
      <c r="AK332" s="286">
        <f t="shared" si="624"/>
        <v>7</v>
      </c>
      <c r="AL332" s="286">
        <f t="shared" si="624"/>
        <v>7</v>
      </c>
      <c r="AM332" s="302"/>
      <c r="AN332" s="286">
        <f t="shared" si="625"/>
        <v>63</v>
      </c>
      <c r="AO332" s="286">
        <f t="shared" si="625"/>
        <v>68</v>
      </c>
      <c r="AP332" s="302"/>
      <c r="AQ332" s="286">
        <f t="shared" si="626"/>
        <v>0</v>
      </c>
      <c r="AR332" s="286">
        <f t="shared" si="626"/>
        <v>0</v>
      </c>
      <c r="AS332" s="302"/>
      <c r="AT332" s="286">
        <f t="shared" si="627"/>
        <v>0</v>
      </c>
      <c r="AU332" s="286">
        <f t="shared" si="627"/>
        <v>0</v>
      </c>
      <c r="AV332" s="302"/>
      <c r="AW332" s="286">
        <f t="shared" si="628"/>
        <v>10</v>
      </c>
      <c r="AX332" s="286">
        <f t="shared" si="628"/>
        <v>9</v>
      </c>
      <c r="AY332" s="302"/>
      <c r="AZ332" s="286">
        <f t="shared" si="629"/>
        <v>0</v>
      </c>
      <c r="BA332" s="286">
        <f t="shared" si="629"/>
        <v>0</v>
      </c>
      <c r="BB332" s="302"/>
      <c r="BC332" s="286">
        <f t="shared" si="630"/>
        <v>0</v>
      </c>
      <c r="BD332" s="286">
        <f t="shared" si="630"/>
        <v>0</v>
      </c>
      <c r="BE332" s="302"/>
      <c r="BF332" s="286">
        <f t="shared" si="631"/>
        <v>0</v>
      </c>
      <c r="BG332" s="286">
        <f t="shared" si="631"/>
        <v>7</v>
      </c>
      <c r="BH332" s="302"/>
      <c r="BI332" s="286">
        <f t="shared" si="632"/>
        <v>0</v>
      </c>
      <c r="BJ332" s="286">
        <f t="shared" si="632"/>
        <v>0</v>
      </c>
      <c r="BK332" s="302"/>
      <c r="BL332" s="286">
        <f t="shared" si="633"/>
        <v>0</v>
      </c>
      <c r="BM332" s="286">
        <f t="shared" si="633"/>
        <v>0</v>
      </c>
      <c r="BN332" s="302"/>
      <c r="BO332" s="286">
        <f t="shared" si="634"/>
        <v>0</v>
      </c>
      <c r="BP332" s="286">
        <f t="shared" si="634"/>
        <v>0</v>
      </c>
      <c r="BQ332" s="302"/>
      <c r="BR332" s="286">
        <f t="shared" si="635"/>
        <v>0</v>
      </c>
      <c r="BS332" s="286">
        <f t="shared" si="635"/>
        <v>0</v>
      </c>
      <c r="BT332" s="302"/>
      <c r="BU332" s="286">
        <f t="shared" si="636"/>
        <v>45</v>
      </c>
      <c r="BV332" s="286">
        <f t="shared" si="636"/>
        <v>44</v>
      </c>
      <c r="BW332" s="302"/>
      <c r="BX332" s="286">
        <f t="shared" si="637"/>
        <v>0</v>
      </c>
      <c r="BY332" s="286">
        <f t="shared" si="637"/>
        <v>0</v>
      </c>
      <c r="BZ332" s="302"/>
      <c r="CA332" s="286">
        <f t="shared" si="638"/>
        <v>0</v>
      </c>
      <c r="CB332" s="286">
        <f t="shared" si="638"/>
        <v>0</v>
      </c>
      <c r="CC332" s="302"/>
      <c r="CD332" s="286">
        <f t="shared" si="639"/>
        <v>0</v>
      </c>
      <c r="CE332" s="286">
        <f t="shared" si="639"/>
        <v>0</v>
      </c>
      <c r="CF332" s="302"/>
      <c r="CG332" s="286">
        <f t="shared" si="640"/>
        <v>1805</v>
      </c>
      <c r="CH332" s="286">
        <f t="shared" si="640"/>
        <v>1802</v>
      </c>
      <c r="CI332" s="302"/>
      <c r="CJ332" s="286">
        <f t="shared" si="641"/>
        <v>0</v>
      </c>
      <c r="CK332" s="286">
        <f t="shared" si="641"/>
        <v>0</v>
      </c>
    </row>
    <row r="333" spans="1:89" ht="45" x14ac:dyDescent="0.25">
      <c r="A333" s="321"/>
      <c r="B333" s="312"/>
      <c r="C333" s="312" t="s">
        <v>2391</v>
      </c>
      <c r="D333" s="95"/>
      <c r="E333" s="282"/>
      <c r="F333" s="282"/>
      <c r="G333" s="282"/>
      <c r="H333" s="282"/>
      <c r="I333" s="282">
        <v>573</v>
      </c>
      <c r="J333" s="282">
        <v>448</v>
      </c>
      <c r="K333" s="282">
        <f>K36</f>
        <v>432</v>
      </c>
      <c r="L333" s="282">
        <f>L36</f>
        <v>0</v>
      </c>
      <c r="M333" s="282">
        <f t="shared" ref="M333:N334" si="644">M36</f>
        <v>0</v>
      </c>
      <c r="N333" s="282">
        <f t="shared" si="644"/>
        <v>0</v>
      </c>
      <c r="O333" s="286"/>
      <c r="P333" s="304"/>
      <c r="Q333" s="286">
        <f t="shared" si="617"/>
        <v>432</v>
      </c>
      <c r="R333" s="286">
        <f t="shared" si="617"/>
        <v>452</v>
      </c>
      <c r="S333" s="286">
        <f>S36</f>
        <v>8</v>
      </c>
      <c r="T333" s="286">
        <f>T36</f>
        <v>15</v>
      </c>
      <c r="U333" s="302"/>
      <c r="V333" s="286">
        <f>V36</f>
        <v>10</v>
      </c>
      <c r="W333" s="286">
        <f>W36</f>
        <v>10</v>
      </c>
      <c r="X333" s="302"/>
      <c r="Y333" s="286">
        <f>Y36</f>
        <v>0</v>
      </c>
      <c r="Z333" s="286">
        <f>Z36</f>
        <v>0</v>
      </c>
      <c r="AA333" s="302"/>
      <c r="AB333" s="286">
        <f>AB36</f>
        <v>0</v>
      </c>
      <c r="AC333" s="286">
        <f>AC36</f>
        <v>0</v>
      </c>
      <c r="AD333" s="302"/>
      <c r="AE333" s="286">
        <f>AE36</f>
        <v>45</v>
      </c>
      <c r="AF333" s="286">
        <f>AF36</f>
        <v>38</v>
      </c>
      <c r="AG333" s="302"/>
      <c r="AH333" s="286">
        <f>AH36</f>
        <v>0</v>
      </c>
      <c r="AI333" s="286">
        <f>AI36</f>
        <v>11</v>
      </c>
      <c r="AJ333" s="302"/>
      <c r="AK333" s="286">
        <f>AK36</f>
        <v>23</v>
      </c>
      <c r="AL333" s="286">
        <f>AL36</f>
        <v>28</v>
      </c>
      <c r="AM333" s="302"/>
      <c r="AN333" s="286">
        <f>AN36</f>
        <v>0</v>
      </c>
      <c r="AO333" s="286">
        <f>AO36</f>
        <v>0</v>
      </c>
      <c r="AP333" s="302"/>
      <c r="AQ333" s="286">
        <f>AQ36</f>
        <v>0</v>
      </c>
      <c r="AR333" s="286">
        <f>AR36</f>
        <v>0</v>
      </c>
      <c r="AS333" s="302"/>
      <c r="AT333" s="286">
        <f>AT36</f>
        <v>0</v>
      </c>
      <c r="AU333" s="286">
        <f>AU36</f>
        <v>0</v>
      </c>
      <c r="AV333" s="302"/>
      <c r="AW333" s="286">
        <f>AW36</f>
        <v>0</v>
      </c>
      <c r="AX333" s="286">
        <f>AX36</f>
        <v>0</v>
      </c>
      <c r="AY333" s="302"/>
      <c r="AZ333" s="286">
        <f>AZ36</f>
        <v>0</v>
      </c>
      <c r="BA333" s="286">
        <f>BA36</f>
        <v>0</v>
      </c>
      <c r="BB333" s="302"/>
      <c r="BC333" s="286">
        <f>BC36</f>
        <v>0</v>
      </c>
      <c r="BD333" s="286">
        <f>BD36</f>
        <v>0</v>
      </c>
      <c r="BE333" s="302"/>
      <c r="BF333" s="286">
        <f>BF36</f>
        <v>130</v>
      </c>
      <c r="BG333" s="286">
        <f>BG36</f>
        <v>113</v>
      </c>
      <c r="BH333" s="302"/>
      <c r="BI333" s="286">
        <f>BI36</f>
        <v>216</v>
      </c>
      <c r="BJ333" s="286">
        <f>BJ36</f>
        <v>237</v>
      </c>
      <c r="BK333" s="302"/>
      <c r="BL333" s="286">
        <f>BL36</f>
        <v>0</v>
      </c>
      <c r="BM333" s="286">
        <f>BM36</f>
        <v>0</v>
      </c>
      <c r="BN333" s="302"/>
      <c r="BO333" s="286">
        <f>BO36</f>
        <v>0</v>
      </c>
      <c r="BP333" s="286">
        <f>BP36</f>
        <v>0</v>
      </c>
      <c r="BQ333" s="302"/>
      <c r="BR333" s="286">
        <f>BR36</f>
        <v>0</v>
      </c>
      <c r="BS333" s="286">
        <f>BS36</f>
        <v>0</v>
      </c>
      <c r="BT333" s="302"/>
      <c r="BU333" s="286">
        <f>BU36</f>
        <v>0</v>
      </c>
      <c r="BV333" s="286">
        <f>BV36</f>
        <v>0</v>
      </c>
      <c r="BW333" s="302"/>
      <c r="BX333" s="286">
        <f>BX36</f>
        <v>0</v>
      </c>
      <c r="BY333" s="286">
        <f>BY36</f>
        <v>0</v>
      </c>
      <c r="BZ333" s="302"/>
      <c r="CA333" s="286">
        <f>CA36</f>
        <v>0</v>
      </c>
      <c r="CB333" s="286">
        <f>CB36</f>
        <v>0</v>
      </c>
      <c r="CC333" s="302"/>
      <c r="CD333" s="286">
        <f>CD36</f>
        <v>0</v>
      </c>
      <c r="CE333" s="286">
        <f>CE36</f>
        <v>0</v>
      </c>
      <c r="CF333" s="302"/>
      <c r="CG333" s="286">
        <f>CG36</f>
        <v>0</v>
      </c>
      <c r="CH333" s="286">
        <f>CH36</f>
        <v>0</v>
      </c>
      <c r="CI333" s="302"/>
      <c r="CJ333" s="286">
        <f>CJ36</f>
        <v>0</v>
      </c>
      <c r="CK333" s="286">
        <f>CK36</f>
        <v>0</v>
      </c>
    </row>
    <row r="334" spans="1:89" ht="30" x14ac:dyDescent="0.25">
      <c r="A334" s="321"/>
      <c r="B334" s="312"/>
      <c r="C334" s="312" t="s">
        <v>2392</v>
      </c>
      <c r="D334" s="95"/>
      <c r="E334" s="282"/>
      <c r="F334" s="282"/>
      <c r="G334" s="282"/>
      <c r="H334" s="282"/>
      <c r="I334" s="282">
        <v>229</v>
      </c>
      <c r="J334" s="282">
        <v>251</v>
      </c>
      <c r="K334" s="282">
        <f>K37</f>
        <v>251</v>
      </c>
      <c r="L334" s="282">
        <f>L37</f>
        <v>0</v>
      </c>
      <c r="M334" s="282">
        <f t="shared" si="644"/>
        <v>0</v>
      </c>
      <c r="N334" s="282">
        <f t="shared" si="644"/>
        <v>0</v>
      </c>
      <c r="O334" s="286"/>
      <c r="P334" s="304"/>
      <c r="Q334" s="286">
        <f t="shared" si="617"/>
        <v>251</v>
      </c>
      <c r="R334" s="286">
        <f t="shared" si="617"/>
        <v>207</v>
      </c>
      <c r="S334" s="286">
        <f>S37</f>
        <v>0</v>
      </c>
      <c r="T334" s="286">
        <f>T37</f>
        <v>0</v>
      </c>
      <c r="U334" s="302"/>
      <c r="V334" s="286">
        <f>V37</f>
        <v>0</v>
      </c>
      <c r="W334" s="286">
        <f>W37</f>
        <v>0</v>
      </c>
      <c r="X334" s="302"/>
      <c r="Y334" s="286">
        <f>Y37</f>
        <v>0</v>
      </c>
      <c r="Z334" s="286">
        <f>Z37</f>
        <v>0</v>
      </c>
      <c r="AA334" s="302"/>
      <c r="AB334" s="286">
        <f>AB37</f>
        <v>0</v>
      </c>
      <c r="AC334" s="286">
        <f>AC37</f>
        <v>0</v>
      </c>
      <c r="AD334" s="302"/>
      <c r="AE334" s="286">
        <f>AE37</f>
        <v>0</v>
      </c>
      <c r="AF334" s="286">
        <f>AF37</f>
        <v>0</v>
      </c>
      <c r="AG334" s="302"/>
      <c r="AH334" s="286">
        <f>AH37</f>
        <v>17</v>
      </c>
      <c r="AI334" s="286">
        <f>AI37</f>
        <v>0</v>
      </c>
      <c r="AJ334" s="302"/>
      <c r="AK334" s="286">
        <f>AK37</f>
        <v>0</v>
      </c>
      <c r="AL334" s="286">
        <f>AL37</f>
        <v>1</v>
      </c>
      <c r="AM334" s="302"/>
      <c r="AN334" s="286">
        <f>AN37</f>
        <v>0</v>
      </c>
      <c r="AO334" s="286">
        <f>AO37</f>
        <v>0</v>
      </c>
      <c r="AP334" s="302"/>
      <c r="AQ334" s="286">
        <f>AQ37</f>
        <v>0</v>
      </c>
      <c r="AR334" s="286">
        <f>AR37</f>
        <v>0</v>
      </c>
      <c r="AS334" s="302"/>
      <c r="AT334" s="286">
        <f>AT37</f>
        <v>7</v>
      </c>
      <c r="AU334" s="286">
        <f>AU37</f>
        <v>0</v>
      </c>
      <c r="AV334" s="302"/>
      <c r="AW334" s="286">
        <f>AW37</f>
        <v>0</v>
      </c>
      <c r="AX334" s="286">
        <f>AX37</f>
        <v>0</v>
      </c>
      <c r="AY334" s="302"/>
      <c r="AZ334" s="286">
        <f>AZ37</f>
        <v>0</v>
      </c>
      <c r="BA334" s="286">
        <f>BA37</f>
        <v>0</v>
      </c>
      <c r="BB334" s="302"/>
      <c r="BC334" s="286">
        <f>BC37</f>
        <v>0</v>
      </c>
      <c r="BD334" s="286">
        <f>BD37</f>
        <v>0</v>
      </c>
      <c r="BE334" s="302"/>
      <c r="BF334" s="286">
        <f>BF37</f>
        <v>0</v>
      </c>
      <c r="BG334" s="286">
        <f>BG37</f>
        <v>0</v>
      </c>
      <c r="BH334" s="302"/>
      <c r="BI334" s="286">
        <f>BI37</f>
        <v>227</v>
      </c>
      <c r="BJ334" s="286">
        <f>BJ37</f>
        <v>206</v>
      </c>
      <c r="BK334" s="302"/>
      <c r="BL334" s="286">
        <f>BL37</f>
        <v>0</v>
      </c>
      <c r="BM334" s="286">
        <f>BM37</f>
        <v>0</v>
      </c>
      <c r="BN334" s="302"/>
      <c r="BO334" s="286">
        <f>BO37</f>
        <v>0</v>
      </c>
      <c r="BP334" s="286">
        <f>BP37</f>
        <v>0</v>
      </c>
      <c r="BQ334" s="302"/>
      <c r="BR334" s="286">
        <f>BR37</f>
        <v>0</v>
      </c>
      <c r="BS334" s="286">
        <f>BS37</f>
        <v>0</v>
      </c>
      <c r="BT334" s="302"/>
      <c r="BU334" s="286">
        <f>BU37</f>
        <v>0</v>
      </c>
      <c r="BV334" s="286">
        <f>BV37</f>
        <v>0</v>
      </c>
      <c r="BW334" s="302"/>
      <c r="BX334" s="286">
        <f>BX37</f>
        <v>0</v>
      </c>
      <c r="BY334" s="286">
        <f>BY37</f>
        <v>0</v>
      </c>
      <c r="BZ334" s="302"/>
      <c r="CA334" s="286">
        <f>CA37</f>
        <v>0</v>
      </c>
      <c r="CB334" s="286">
        <f>CB37</f>
        <v>0</v>
      </c>
      <c r="CC334" s="302"/>
      <c r="CD334" s="286">
        <f>CD37</f>
        <v>0</v>
      </c>
      <c r="CE334" s="286">
        <f>CE37</f>
        <v>0</v>
      </c>
      <c r="CF334" s="302"/>
      <c r="CG334" s="286">
        <f>CG37</f>
        <v>0</v>
      </c>
      <c r="CH334" s="286">
        <f>CH37</f>
        <v>0</v>
      </c>
      <c r="CI334" s="302"/>
      <c r="CJ334" s="286">
        <f>CJ37</f>
        <v>0</v>
      </c>
      <c r="CK334" s="286">
        <f>CK37</f>
        <v>0</v>
      </c>
    </row>
    <row r="335" spans="1:89" x14ac:dyDescent="0.25">
      <c r="A335" s="321"/>
      <c r="B335" s="96" t="s">
        <v>1185</v>
      </c>
      <c r="C335" s="95"/>
      <c r="D335" s="95" t="s">
        <v>950</v>
      </c>
      <c r="E335" s="282">
        <v>16334</v>
      </c>
      <c r="F335" s="282">
        <v>16473</v>
      </c>
      <c r="G335" s="282">
        <v>16758</v>
      </c>
      <c r="H335" s="282">
        <f>H336+H337+H338</f>
        <v>16936</v>
      </c>
      <c r="I335" s="322">
        <f t="shared" ref="I335:N335" si="645">(I336+I337+I338)+0.25*I339+0.1*I340</f>
        <v>17424.5</v>
      </c>
      <c r="J335" s="322">
        <f t="shared" si="645"/>
        <v>17619.75</v>
      </c>
      <c r="K335" s="322">
        <f t="shared" si="645"/>
        <v>17638.599999999999</v>
      </c>
      <c r="L335" s="322">
        <f t="shared" si="645"/>
        <v>1964</v>
      </c>
      <c r="M335" s="322">
        <f t="shared" si="645"/>
        <v>1941</v>
      </c>
      <c r="N335" s="322">
        <f t="shared" si="645"/>
        <v>1876</v>
      </c>
      <c r="P335" s="304"/>
      <c r="Q335" s="323">
        <f>(Q336+Q337+Q338)+0.25*Q339+0.1*Q340</f>
        <v>17638.599999999999</v>
      </c>
      <c r="R335" s="323">
        <f>(R336+R337+R338)+0.25*R339+0.1*R340</f>
        <v>17484.599999999999</v>
      </c>
      <c r="S335" s="323">
        <f>(S336+S337+S338)+0.25*S339+0.1*S340</f>
        <v>1265</v>
      </c>
      <c r="T335" s="323">
        <f>(T336+T337+T338)+0.25*T339+0.1*T340</f>
        <v>1262</v>
      </c>
      <c r="U335" s="304"/>
      <c r="V335" s="323">
        <f>(V336+V337+V338)+0.25*V339+0.1*V340</f>
        <v>1439.25</v>
      </c>
      <c r="W335" s="323">
        <f>(W336+W337+W338)+0.25*W339+0.1*W340</f>
        <v>1453</v>
      </c>
      <c r="X335" s="304"/>
      <c r="Y335" s="323">
        <f>(Y336+Y337+Y338)+0.25*Y339+0.1*Y340</f>
        <v>1458</v>
      </c>
      <c r="Z335" s="323">
        <f>(Z336+Z337+Z338)+0.25*Z339+0.1*Z340</f>
        <v>1415</v>
      </c>
      <c r="AA335" s="304"/>
      <c r="AB335" s="323">
        <f>(AB336+AB337+AB338)+0.25*AB339+0.1*AB340</f>
        <v>2212</v>
      </c>
      <c r="AC335" s="323">
        <f>(AC336+AC337+AC338)+0.25*AC339+0.1*AC340</f>
        <v>2176</v>
      </c>
      <c r="AD335" s="304"/>
      <c r="AE335" s="323">
        <f>(AE336+AE337+AE338)+0.25*AE339+0.1*AE340</f>
        <v>987</v>
      </c>
      <c r="AF335" s="323">
        <f>(AF336+AF337+AF338)+0.25*AF339+0.1*AF340</f>
        <v>908</v>
      </c>
      <c r="AG335" s="304"/>
      <c r="AH335" s="323">
        <f>(AH336+AH337+AH338)+0.25*AH339+0.1*AH340</f>
        <v>1978.25</v>
      </c>
      <c r="AI335" s="323">
        <f>(AI336+AI337+AI338)+0.25*AI339+0.1*AI340</f>
        <v>1965.5</v>
      </c>
      <c r="AJ335" s="304"/>
      <c r="AK335" s="323">
        <f>(AK336+AK337+AK338)+0.25*AK339+0.1*AK340</f>
        <v>289.10000000000002</v>
      </c>
      <c r="AL335" s="323">
        <f>(AL336+AL337+AL338)+0.25*AL339+0.1*AL340</f>
        <v>287.10000000000002</v>
      </c>
      <c r="AM335" s="304"/>
      <c r="AN335" s="323">
        <f>(AN336+AN337+AN338)+0.25*AN339+0.1*AN340</f>
        <v>5478</v>
      </c>
      <c r="AO335" s="323">
        <f>(AO336+AO337+AO338)+0.25*AO339+0.1*AO340</f>
        <v>5464</v>
      </c>
      <c r="AP335" s="304"/>
      <c r="AQ335" s="323">
        <f>(AQ336+AQ337+AQ338)+0.25*AQ339+0.1*AQ340</f>
        <v>2150</v>
      </c>
      <c r="AR335" s="323">
        <f>(AR336+AR337+AR338)+0.25*AR339+0.1*AR340</f>
        <v>2157</v>
      </c>
      <c r="AS335" s="304"/>
      <c r="AT335" s="323">
        <f>(AT336+AT337+AT338)+0.25*AT339+0.1*AT340</f>
        <v>0</v>
      </c>
      <c r="AU335" s="323">
        <f>(AU336+AU337+AU338)+0.25*AU339+0.1*AU340</f>
        <v>0</v>
      </c>
      <c r="AV335" s="304"/>
      <c r="AW335" s="323">
        <f>(AW336+AW337+AW338)+0.25*AW339+0.1*AW340</f>
        <v>0</v>
      </c>
      <c r="AX335" s="323">
        <f>(AX336+AX337+AX338)+0.25*AX339+0.1*AX340</f>
        <v>0</v>
      </c>
      <c r="AY335" s="304"/>
      <c r="AZ335" s="323">
        <f>(AZ336+AZ337+AZ338)+0.25*AZ339+0.1*AZ340</f>
        <v>0</v>
      </c>
      <c r="BA335" s="323">
        <f>(BA336+BA337+BA338)+0.25*BA339+0.1*BA340</f>
        <v>0</v>
      </c>
      <c r="BB335" s="304"/>
      <c r="BC335" s="323">
        <f>(BC336+BC337+BC338)+0.25*BC339+0.1*BC340</f>
        <v>0</v>
      </c>
      <c r="BD335" s="323">
        <f>(BD336+BD337+BD338)+0.25*BD339+0.1*BD340</f>
        <v>0</v>
      </c>
      <c r="BE335" s="304"/>
      <c r="BF335" s="323">
        <f>(BF336+BF337+BF338)+0.25*BF339+0.1*BF340</f>
        <v>0</v>
      </c>
      <c r="BG335" s="323">
        <f>(BG336+BG337+BG338)+0.25*BG339+0.1*BG340</f>
        <v>0</v>
      </c>
      <c r="BH335" s="304"/>
      <c r="BI335" s="323">
        <f>(BI336+BI337+BI338)+0.25*BI339+0.1*BI340</f>
        <v>0</v>
      </c>
      <c r="BJ335" s="323">
        <f>(BJ336+BJ337+BJ338)+0.25*BJ339+0.1*BJ340</f>
        <v>0</v>
      </c>
      <c r="BK335" s="304"/>
      <c r="BL335" s="323">
        <f>(BL336+BL337+BL338)+0.25*BL339+0.1*BL340</f>
        <v>0</v>
      </c>
      <c r="BM335" s="323">
        <f>(BM336+BM337+BM338)+0.25*BM339+0.1*BM340</f>
        <v>0</v>
      </c>
      <c r="BN335" s="304"/>
      <c r="BO335" s="323">
        <f>(BO336+BO337+BO338)+0.25*BO339+0.1*BO340</f>
        <v>0</v>
      </c>
      <c r="BP335" s="323">
        <f>(BP336+BP337+BP338)+0.25*BP339+0.1*BP340</f>
        <v>0</v>
      </c>
      <c r="BQ335" s="304"/>
      <c r="BR335" s="323">
        <f>(BR336+BR337+BR338)+0.25*BR339+0.1*BR340</f>
        <v>0</v>
      </c>
      <c r="BS335" s="323">
        <f>(BS336+BS337+BS338)+0.25*BS339+0.1*BS340</f>
        <v>0</v>
      </c>
      <c r="BT335" s="304"/>
      <c r="BU335" s="323">
        <f>(BU336+BU337+BU338)+0.25*BU339+0.1*BU340</f>
        <v>0</v>
      </c>
      <c r="BV335" s="323">
        <f>(BV336+BV337+BV338)+0.25*BV339+0.1*BV340</f>
        <v>0</v>
      </c>
      <c r="BW335" s="304"/>
      <c r="BX335" s="323">
        <f>(BX336+BX337+BX338)+0.25*BX339+0.1*BX340</f>
        <v>0</v>
      </c>
      <c r="BY335" s="323">
        <f>(BY336+BY337+BY338)+0.25*BY339+0.1*BY340</f>
        <v>0</v>
      </c>
      <c r="BZ335" s="304"/>
      <c r="CA335" s="323">
        <f>(CA336+CA337+CA338)+0.25*CA339+0.1*CA340</f>
        <v>0</v>
      </c>
      <c r="CB335" s="323">
        <f>(CB336+CB337+CB338)+0.25*CB339+0.1*CB340</f>
        <v>0</v>
      </c>
      <c r="CC335" s="304"/>
      <c r="CD335" s="323">
        <f>(CD336+CD337+CD338)+0.25*CD339+0.1*CD340</f>
        <v>0</v>
      </c>
      <c r="CE335" s="323">
        <f>(CE336+CE337+CE338)+0.25*CE339+0.1*CE340</f>
        <v>0</v>
      </c>
      <c r="CF335" s="304"/>
      <c r="CG335" s="323">
        <f>(CG336+CG337+CG338)+0.25*CG339+0.1*CG340</f>
        <v>382</v>
      </c>
      <c r="CH335" s="323">
        <f>(CH336+CH337+CH338)+0.25*CH339+0.1*CH340</f>
        <v>397</v>
      </c>
      <c r="CI335" s="304"/>
      <c r="CJ335" s="323">
        <f>(CJ336+CJ337+CJ338)+0.25*CJ339+0.1*CJ340</f>
        <v>0</v>
      </c>
      <c r="CK335" s="323">
        <f>(CK336+CK337+CK338)+0.25*CK339+0.1*CK340</f>
        <v>0</v>
      </c>
    </row>
    <row r="336" spans="1:89" ht="30" x14ac:dyDescent="0.25">
      <c r="A336" s="321"/>
      <c r="B336" s="312"/>
      <c r="C336" s="312" t="s">
        <v>2388</v>
      </c>
      <c r="D336" s="95"/>
      <c r="E336" s="282"/>
      <c r="F336" s="282"/>
      <c r="G336" s="282"/>
      <c r="H336" s="282">
        <v>16802</v>
      </c>
      <c r="I336" s="282">
        <v>17106</v>
      </c>
      <c r="J336" s="282">
        <v>17281</v>
      </c>
      <c r="K336" s="282">
        <f t="shared" ref="K336:M338" si="646">K241</f>
        <v>17276</v>
      </c>
      <c r="L336" s="282">
        <f t="shared" si="646"/>
        <v>1964</v>
      </c>
      <c r="M336" s="282">
        <f t="shared" si="646"/>
        <v>1941</v>
      </c>
      <c r="N336" s="282">
        <f t="shared" ref="N336" si="647">N241</f>
        <v>1876</v>
      </c>
      <c r="O336" s="286"/>
      <c r="P336" s="304"/>
      <c r="Q336" s="286">
        <f t="shared" ref="Q336:R340" si="648">S336+V336+Y336+AB336+AE336+AH336+AK336+AN336+AQ336+AT336+AW336+AZ336+BC336+BF336+BI336+BL336+BO336+BR336+BU336+BX336+CA336+CD336+CG336+CJ336</f>
        <v>17276</v>
      </c>
      <c r="R336" s="286">
        <f t="shared" si="648"/>
        <v>17125</v>
      </c>
      <c r="S336" s="286">
        <f t="shared" ref="S336:T338" si="649">S241</f>
        <v>1265</v>
      </c>
      <c r="T336" s="286">
        <f t="shared" si="649"/>
        <v>1262</v>
      </c>
      <c r="U336" s="302"/>
      <c r="V336" s="286">
        <f t="shared" ref="V336:W338" si="650">V241</f>
        <v>1417</v>
      </c>
      <c r="W336" s="286">
        <f t="shared" si="650"/>
        <v>1440</v>
      </c>
      <c r="X336" s="302"/>
      <c r="Y336" s="286">
        <f t="shared" ref="Y336:Z338" si="651">Y241</f>
        <v>1458</v>
      </c>
      <c r="Z336" s="286">
        <f t="shared" si="651"/>
        <v>1415</v>
      </c>
      <c r="AA336" s="302"/>
      <c r="AB336" s="286">
        <f t="shared" ref="AB336:AC338" si="652">AB241</f>
        <v>2212</v>
      </c>
      <c r="AC336" s="286">
        <f t="shared" si="652"/>
        <v>2176</v>
      </c>
      <c r="AD336" s="302"/>
      <c r="AE336" s="286">
        <f t="shared" ref="AE336:AF338" si="653">AE241</f>
        <v>978</v>
      </c>
      <c r="AF336" s="286">
        <f t="shared" si="653"/>
        <v>899</v>
      </c>
      <c r="AG336" s="302"/>
      <c r="AH336" s="286">
        <f t="shared" ref="AH336:AI338" si="654">AH241</f>
        <v>1978</v>
      </c>
      <c r="AI336" s="286">
        <f t="shared" si="654"/>
        <v>1964</v>
      </c>
      <c r="AJ336" s="302"/>
      <c r="AK336" s="286">
        <f t="shared" ref="AK336:AL338" si="655">AK241</f>
        <v>289</v>
      </c>
      <c r="AL336" s="286">
        <f t="shared" si="655"/>
        <v>287</v>
      </c>
      <c r="AM336" s="302"/>
      <c r="AN336" s="286">
        <f t="shared" ref="AN336:AO338" si="656">AN241</f>
        <v>5421</v>
      </c>
      <c r="AO336" s="286">
        <f t="shared" si="656"/>
        <v>5406</v>
      </c>
      <c r="AP336" s="302"/>
      <c r="AQ336" s="286">
        <f t="shared" ref="AQ336:AR338" si="657">AQ241</f>
        <v>2144</v>
      </c>
      <c r="AR336" s="286">
        <f t="shared" si="657"/>
        <v>2154</v>
      </c>
      <c r="AS336" s="302"/>
      <c r="AT336" s="286">
        <f t="shared" ref="AT336:AU338" si="658">AT241</f>
        <v>0</v>
      </c>
      <c r="AU336" s="286">
        <f t="shared" si="658"/>
        <v>0</v>
      </c>
      <c r="AV336" s="302"/>
      <c r="AW336" s="286">
        <f t="shared" ref="AW336:AX338" si="659">AW241</f>
        <v>0</v>
      </c>
      <c r="AX336" s="286">
        <f t="shared" si="659"/>
        <v>0</v>
      </c>
      <c r="AY336" s="302"/>
      <c r="AZ336" s="286">
        <f t="shared" ref="AZ336:BA338" si="660">AZ241</f>
        <v>0</v>
      </c>
      <c r="BA336" s="286">
        <f t="shared" si="660"/>
        <v>0</v>
      </c>
      <c r="BB336" s="302"/>
      <c r="BC336" s="286">
        <f t="shared" ref="BC336:BD338" si="661">BC241</f>
        <v>0</v>
      </c>
      <c r="BD336" s="286">
        <f t="shared" si="661"/>
        <v>0</v>
      </c>
      <c r="BE336" s="302"/>
      <c r="BF336" s="286">
        <f t="shared" ref="BF336:BG338" si="662">BF241</f>
        <v>0</v>
      </c>
      <c r="BG336" s="286">
        <f t="shared" si="662"/>
        <v>0</v>
      </c>
      <c r="BH336" s="302"/>
      <c r="BI336" s="286">
        <f t="shared" ref="BI336:BJ338" si="663">BI241</f>
        <v>0</v>
      </c>
      <c r="BJ336" s="286">
        <f t="shared" si="663"/>
        <v>0</v>
      </c>
      <c r="BK336" s="302"/>
      <c r="BL336" s="286">
        <f t="shared" ref="BL336:BM338" si="664">BL241</f>
        <v>0</v>
      </c>
      <c r="BM336" s="286">
        <f t="shared" si="664"/>
        <v>0</v>
      </c>
      <c r="BN336" s="302"/>
      <c r="BO336" s="286">
        <f t="shared" ref="BO336:BP338" si="665">BO241</f>
        <v>0</v>
      </c>
      <c r="BP336" s="286">
        <f t="shared" si="665"/>
        <v>0</v>
      </c>
      <c r="BQ336" s="302"/>
      <c r="BR336" s="286">
        <f t="shared" ref="BR336:BS338" si="666">BR241</f>
        <v>0</v>
      </c>
      <c r="BS336" s="286">
        <f t="shared" si="666"/>
        <v>0</v>
      </c>
      <c r="BT336" s="302"/>
      <c r="BU336" s="286">
        <f t="shared" ref="BU336:BV338" si="667">BU241</f>
        <v>0</v>
      </c>
      <c r="BV336" s="286">
        <f t="shared" si="667"/>
        <v>0</v>
      </c>
      <c r="BW336" s="302"/>
      <c r="BX336" s="286">
        <f t="shared" ref="BX336:BY338" si="668">BX241</f>
        <v>0</v>
      </c>
      <c r="BY336" s="286">
        <f t="shared" si="668"/>
        <v>0</v>
      </c>
      <c r="BZ336" s="302"/>
      <c r="CA336" s="286">
        <f t="shared" ref="CA336:CB338" si="669">CA241</f>
        <v>0</v>
      </c>
      <c r="CB336" s="286">
        <f t="shared" si="669"/>
        <v>0</v>
      </c>
      <c r="CC336" s="302"/>
      <c r="CD336" s="286">
        <f t="shared" ref="CD336:CE338" si="670">CD241</f>
        <v>0</v>
      </c>
      <c r="CE336" s="286">
        <f t="shared" si="670"/>
        <v>0</v>
      </c>
      <c r="CF336" s="302"/>
      <c r="CG336" s="286">
        <f t="shared" ref="CG336:CH338" si="671">CG241</f>
        <v>114</v>
      </c>
      <c r="CH336" s="286">
        <f t="shared" si="671"/>
        <v>122</v>
      </c>
      <c r="CI336" s="302"/>
      <c r="CJ336" s="286">
        <f t="shared" ref="CJ336:CK338" si="672">CJ241</f>
        <v>0</v>
      </c>
      <c r="CK336" s="286">
        <f t="shared" si="672"/>
        <v>0</v>
      </c>
    </row>
    <row r="337" spans="1:89" ht="30" x14ac:dyDescent="0.25">
      <c r="A337" s="321"/>
      <c r="B337" s="312"/>
      <c r="C337" s="312" t="s">
        <v>2389</v>
      </c>
      <c r="D337" s="95"/>
      <c r="E337" s="282"/>
      <c r="F337" s="282"/>
      <c r="G337" s="282"/>
      <c r="H337" s="282">
        <v>0</v>
      </c>
      <c r="I337" s="282">
        <v>0</v>
      </c>
      <c r="J337" s="282">
        <v>0</v>
      </c>
      <c r="K337" s="282">
        <f t="shared" si="646"/>
        <v>5</v>
      </c>
      <c r="L337" s="282">
        <f t="shared" si="646"/>
        <v>0</v>
      </c>
      <c r="M337" s="282">
        <f t="shared" si="646"/>
        <v>0</v>
      </c>
      <c r="N337" s="282">
        <f t="shared" ref="N337" si="673">N242</f>
        <v>0</v>
      </c>
      <c r="O337" s="286"/>
      <c r="P337" s="304"/>
      <c r="Q337" s="286">
        <f t="shared" si="648"/>
        <v>5</v>
      </c>
      <c r="R337" s="286">
        <f t="shared" si="648"/>
        <v>7</v>
      </c>
      <c r="S337" s="286">
        <f t="shared" si="649"/>
        <v>0</v>
      </c>
      <c r="T337" s="286">
        <f t="shared" si="649"/>
        <v>0</v>
      </c>
      <c r="U337" s="302"/>
      <c r="V337" s="286">
        <f t="shared" si="650"/>
        <v>0</v>
      </c>
      <c r="W337" s="286">
        <f t="shared" si="650"/>
        <v>0</v>
      </c>
      <c r="X337" s="302"/>
      <c r="Y337" s="286">
        <f t="shared" si="651"/>
        <v>0</v>
      </c>
      <c r="Z337" s="286">
        <f t="shared" si="651"/>
        <v>0</v>
      </c>
      <c r="AA337" s="302"/>
      <c r="AB337" s="286">
        <f t="shared" si="652"/>
        <v>0</v>
      </c>
      <c r="AC337" s="286">
        <f t="shared" si="652"/>
        <v>0</v>
      </c>
      <c r="AD337" s="302"/>
      <c r="AE337" s="286">
        <f t="shared" si="653"/>
        <v>0</v>
      </c>
      <c r="AF337" s="286">
        <f t="shared" si="653"/>
        <v>2</v>
      </c>
      <c r="AG337" s="302"/>
      <c r="AH337" s="286">
        <f t="shared" si="654"/>
        <v>0</v>
      </c>
      <c r="AI337" s="286">
        <f t="shared" si="654"/>
        <v>0</v>
      </c>
      <c r="AJ337" s="302"/>
      <c r="AK337" s="286">
        <f t="shared" si="655"/>
        <v>0</v>
      </c>
      <c r="AL337" s="286">
        <f t="shared" si="655"/>
        <v>0</v>
      </c>
      <c r="AM337" s="302"/>
      <c r="AN337" s="286">
        <f t="shared" si="656"/>
        <v>5</v>
      </c>
      <c r="AO337" s="286">
        <f t="shared" si="656"/>
        <v>5</v>
      </c>
      <c r="AP337" s="302"/>
      <c r="AQ337" s="286">
        <f t="shared" si="657"/>
        <v>0</v>
      </c>
      <c r="AR337" s="286">
        <f t="shared" si="657"/>
        <v>0</v>
      </c>
      <c r="AS337" s="302"/>
      <c r="AT337" s="286">
        <f t="shared" si="658"/>
        <v>0</v>
      </c>
      <c r="AU337" s="286">
        <f t="shared" si="658"/>
        <v>0</v>
      </c>
      <c r="AV337" s="302"/>
      <c r="AW337" s="286">
        <f t="shared" si="659"/>
        <v>0</v>
      </c>
      <c r="AX337" s="286">
        <f t="shared" si="659"/>
        <v>0</v>
      </c>
      <c r="AY337" s="302"/>
      <c r="AZ337" s="286">
        <f t="shared" si="660"/>
        <v>0</v>
      </c>
      <c r="BA337" s="286">
        <f t="shared" si="660"/>
        <v>0</v>
      </c>
      <c r="BB337" s="302"/>
      <c r="BC337" s="286">
        <f t="shared" si="661"/>
        <v>0</v>
      </c>
      <c r="BD337" s="286">
        <f t="shared" si="661"/>
        <v>0</v>
      </c>
      <c r="BE337" s="302"/>
      <c r="BF337" s="286">
        <f t="shared" si="662"/>
        <v>0</v>
      </c>
      <c r="BG337" s="286">
        <f t="shared" si="662"/>
        <v>0</v>
      </c>
      <c r="BH337" s="302"/>
      <c r="BI337" s="286">
        <f t="shared" si="663"/>
        <v>0</v>
      </c>
      <c r="BJ337" s="286">
        <f t="shared" si="663"/>
        <v>0</v>
      </c>
      <c r="BK337" s="302"/>
      <c r="BL337" s="286">
        <f t="shared" si="664"/>
        <v>0</v>
      </c>
      <c r="BM337" s="286">
        <f t="shared" si="664"/>
        <v>0</v>
      </c>
      <c r="BN337" s="302"/>
      <c r="BO337" s="286">
        <f t="shared" si="665"/>
        <v>0</v>
      </c>
      <c r="BP337" s="286">
        <f t="shared" si="665"/>
        <v>0</v>
      </c>
      <c r="BQ337" s="302"/>
      <c r="BR337" s="286">
        <f t="shared" si="666"/>
        <v>0</v>
      </c>
      <c r="BS337" s="286">
        <f t="shared" si="666"/>
        <v>0</v>
      </c>
      <c r="BT337" s="302"/>
      <c r="BU337" s="286">
        <f t="shared" si="667"/>
        <v>0</v>
      </c>
      <c r="BV337" s="286">
        <f t="shared" si="667"/>
        <v>0</v>
      </c>
      <c r="BW337" s="302"/>
      <c r="BX337" s="286">
        <f t="shared" si="668"/>
        <v>0</v>
      </c>
      <c r="BY337" s="286">
        <f t="shared" si="668"/>
        <v>0</v>
      </c>
      <c r="BZ337" s="302"/>
      <c r="CA337" s="286">
        <f t="shared" si="669"/>
        <v>0</v>
      </c>
      <c r="CB337" s="286">
        <f t="shared" si="669"/>
        <v>0</v>
      </c>
      <c r="CC337" s="302"/>
      <c r="CD337" s="286">
        <f t="shared" si="670"/>
        <v>0</v>
      </c>
      <c r="CE337" s="286">
        <f t="shared" si="670"/>
        <v>0</v>
      </c>
      <c r="CF337" s="302"/>
      <c r="CG337" s="286">
        <f t="shared" si="671"/>
        <v>0</v>
      </c>
      <c r="CH337" s="286">
        <f t="shared" si="671"/>
        <v>0</v>
      </c>
      <c r="CI337" s="302"/>
      <c r="CJ337" s="286">
        <f t="shared" si="672"/>
        <v>0</v>
      </c>
      <c r="CK337" s="286">
        <f t="shared" si="672"/>
        <v>0</v>
      </c>
    </row>
    <row r="338" spans="1:89" ht="30" x14ac:dyDescent="0.25">
      <c r="A338" s="321"/>
      <c r="B338" s="312"/>
      <c r="C338" s="312" t="s">
        <v>2390</v>
      </c>
      <c r="D338" s="95"/>
      <c r="E338" s="282"/>
      <c r="F338" s="282"/>
      <c r="G338" s="282"/>
      <c r="H338" s="282">
        <v>134</v>
      </c>
      <c r="I338" s="282">
        <v>312</v>
      </c>
      <c r="J338" s="282">
        <v>337</v>
      </c>
      <c r="K338" s="282">
        <f t="shared" si="646"/>
        <v>356</v>
      </c>
      <c r="L338" s="282">
        <f t="shared" si="646"/>
        <v>0</v>
      </c>
      <c r="M338" s="282">
        <f t="shared" si="646"/>
        <v>0</v>
      </c>
      <c r="N338" s="282">
        <f t="shared" ref="N338" si="674">N243</f>
        <v>0</v>
      </c>
      <c r="O338" s="286"/>
      <c r="P338" s="304"/>
      <c r="Q338" s="286">
        <f t="shared" si="648"/>
        <v>356</v>
      </c>
      <c r="R338" s="286">
        <f t="shared" si="648"/>
        <v>351</v>
      </c>
      <c r="S338" s="286">
        <f t="shared" si="649"/>
        <v>0</v>
      </c>
      <c r="T338" s="286">
        <f t="shared" si="649"/>
        <v>0</v>
      </c>
      <c r="U338" s="302"/>
      <c r="V338" s="286">
        <f t="shared" si="650"/>
        <v>21</v>
      </c>
      <c r="W338" s="286">
        <f t="shared" si="650"/>
        <v>13</v>
      </c>
      <c r="X338" s="302"/>
      <c r="Y338" s="286">
        <f t="shared" si="651"/>
        <v>0</v>
      </c>
      <c r="Z338" s="286">
        <f t="shared" si="651"/>
        <v>0</v>
      </c>
      <c r="AA338" s="302"/>
      <c r="AB338" s="286">
        <f t="shared" si="652"/>
        <v>0</v>
      </c>
      <c r="AC338" s="286">
        <f t="shared" si="652"/>
        <v>0</v>
      </c>
      <c r="AD338" s="302"/>
      <c r="AE338" s="286">
        <f t="shared" si="653"/>
        <v>9</v>
      </c>
      <c r="AF338" s="286">
        <f t="shared" si="653"/>
        <v>7</v>
      </c>
      <c r="AG338" s="302"/>
      <c r="AH338" s="286">
        <f t="shared" si="654"/>
        <v>0</v>
      </c>
      <c r="AI338" s="286">
        <f t="shared" si="654"/>
        <v>0</v>
      </c>
      <c r="AJ338" s="302"/>
      <c r="AK338" s="286">
        <f t="shared" si="655"/>
        <v>0</v>
      </c>
      <c r="AL338" s="286">
        <f t="shared" si="655"/>
        <v>0</v>
      </c>
      <c r="AM338" s="302"/>
      <c r="AN338" s="286">
        <f t="shared" si="656"/>
        <v>52</v>
      </c>
      <c r="AO338" s="286">
        <f t="shared" si="656"/>
        <v>53</v>
      </c>
      <c r="AP338" s="302"/>
      <c r="AQ338" s="286">
        <f t="shared" si="657"/>
        <v>6</v>
      </c>
      <c r="AR338" s="286">
        <f t="shared" si="657"/>
        <v>3</v>
      </c>
      <c r="AS338" s="302"/>
      <c r="AT338" s="286">
        <f t="shared" si="658"/>
        <v>0</v>
      </c>
      <c r="AU338" s="286">
        <f t="shared" si="658"/>
        <v>0</v>
      </c>
      <c r="AV338" s="302"/>
      <c r="AW338" s="286">
        <f t="shared" si="659"/>
        <v>0</v>
      </c>
      <c r="AX338" s="286">
        <f t="shared" si="659"/>
        <v>0</v>
      </c>
      <c r="AY338" s="302"/>
      <c r="AZ338" s="286">
        <f t="shared" si="660"/>
        <v>0</v>
      </c>
      <c r="BA338" s="286">
        <f t="shared" si="660"/>
        <v>0</v>
      </c>
      <c r="BB338" s="302"/>
      <c r="BC338" s="286">
        <f t="shared" si="661"/>
        <v>0</v>
      </c>
      <c r="BD338" s="286">
        <f t="shared" si="661"/>
        <v>0</v>
      </c>
      <c r="BE338" s="302"/>
      <c r="BF338" s="286">
        <f t="shared" si="662"/>
        <v>0</v>
      </c>
      <c r="BG338" s="286">
        <f t="shared" si="662"/>
        <v>0</v>
      </c>
      <c r="BH338" s="302"/>
      <c r="BI338" s="286">
        <f t="shared" si="663"/>
        <v>0</v>
      </c>
      <c r="BJ338" s="286">
        <f t="shared" si="663"/>
        <v>0</v>
      </c>
      <c r="BK338" s="302"/>
      <c r="BL338" s="286">
        <f t="shared" si="664"/>
        <v>0</v>
      </c>
      <c r="BM338" s="286">
        <f t="shared" si="664"/>
        <v>0</v>
      </c>
      <c r="BN338" s="302"/>
      <c r="BO338" s="286">
        <f t="shared" si="665"/>
        <v>0</v>
      </c>
      <c r="BP338" s="286">
        <f t="shared" si="665"/>
        <v>0</v>
      </c>
      <c r="BQ338" s="302"/>
      <c r="BR338" s="286">
        <f t="shared" si="666"/>
        <v>0</v>
      </c>
      <c r="BS338" s="286">
        <f t="shared" si="666"/>
        <v>0</v>
      </c>
      <c r="BT338" s="302"/>
      <c r="BU338" s="286">
        <f t="shared" si="667"/>
        <v>0</v>
      </c>
      <c r="BV338" s="286">
        <f t="shared" si="667"/>
        <v>0</v>
      </c>
      <c r="BW338" s="302"/>
      <c r="BX338" s="286">
        <f t="shared" si="668"/>
        <v>0</v>
      </c>
      <c r="BY338" s="286">
        <f t="shared" si="668"/>
        <v>0</v>
      </c>
      <c r="BZ338" s="302"/>
      <c r="CA338" s="286">
        <f t="shared" si="669"/>
        <v>0</v>
      </c>
      <c r="CB338" s="286">
        <f t="shared" si="669"/>
        <v>0</v>
      </c>
      <c r="CC338" s="302"/>
      <c r="CD338" s="286">
        <f t="shared" si="670"/>
        <v>0</v>
      </c>
      <c r="CE338" s="286">
        <f t="shared" si="670"/>
        <v>0</v>
      </c>
      <c r="CF338" s="302"/>
      <c r="CG338" s="286">
        <f t="shared" si="671"/>
        <v>268</v>
      </c>
      <c r="CH338" s="286">
        <f t="shared" si="671"/>
        <v>275</v>
      </c>
      <c r="CI338" s="302"/>
      <c r="CJ338" s="286">
        <f t="shared" si="672"/>
        <v>0</v>
      </c>
      <c r="CK338" s="286">
        <f t="shared" si="672"/>
        <v>0</v>
      </c>
    </row>
    <row r="339" spans="1:89" ht="45" x14ac:dyDescent="0.25">
      <c r="A339" s="321"/>
      <c r="B339" s="324"/>
      <c r="C339" s="312" t="s">
        <v>2391</v>
      </c>
      <c r="D339" s="95"/>
      <c r="E339" s="282"/>
      <c r="F339" s="282"/>
      <c r="G339" s="282"/>
      <c r="H339" s="282"/>
      <c r="I339" s="282">
        <v>26</v>
      </c>
      <c r="J339" s="282">
        <v>7</v>
      </c>
      <c r="K339" s="282">
        <f>K40</f>
        <v>6</v>
      </c>
      <c r="L339" s="282">
        <f>L40</f>
        <v>0</v>
      </c>
      <c r="M339" s="282">
        <f t="shared" ref="M339:N340" si="675">M40</f>
        <v>0</v>
      </c>
      <c r="N339" s="282">
        <f t="shared" si="675"/>
        <v>0</v>
      </c>
      <c r="P339" s="304"/>
      <c r="Q339" s="286">
        <f t="shared" si="648"/>
        <v>6</v>
      </c>
      <c r="R339" s="286">
        <f t="shared" si="648"/>
        <v>6</v>
      </c>
      <c r="S339" s="286">
        <f>S40</f>
        <v>0</v>
      </c>
      <c r="T339" s="286">
        <f>T40</f>
        <v>0</v>
      </c>
      <c r="U339" s="302"/>
      <c r="V339" s="286">
        <f>V40</f>
        <v>5</v>
      </c>
      <c r="W339" s="286">
        <f>W40</f>
        <v>0</v>
      </c>
      <c r="X339" s="302"/>
      <c r="Y339" s="286">
        <f>Y40</f>
        <v>0</v>
      </c>
      <c r="Z339" s="286">
        <f>Z40</f>
        <v>0</v>
      </c>
      <c r="AA339" s="302"/>
      <c r="AB339" s="286">
        <f>AB40</f>
        <v>0</v>
      </c>
      <c r="AC339" s="286">
        <f>AC40</f>
        <v>0</v>
      </c>
      <c r="AD339" s="302"/>
      <c r="AE339" s="286">
        <f>AE40</f>
        <v>0</v>
      </c>
      <c r="AF339" s="286">
        <f>AF40</f>
        <v>0</v>
      </c>
      <c r="AG339" s="302"/>
      <c r="AH339" s="286">
        <f>AH40</f>
        <v>1</v>
      </c>
      <c r="AI339" s="286">
        <f>AI40</f>
        <v>6</v>
      </c>
      <c r="AJ339" s="302"/>
      <c r="AK339" s="286">
        <f>AK40</f>
        <v>0</v>
      </c>
      <c r="AL339" s="286">
        <f>AL40</f>
        <v>0</v>
      </c>
      <c r="AM339" s="302"/>
      <c r="AN339" s="286">
        <f>AN40</f>
        <v>0</v>
      </c>
      <c r="AO339" s="286">
        <f>AO40</f>
        <v>0</v>
      </c>
      <c r="AP339" s="302"/>
      <c r="AQ339" s="286">
        <f>AQ40</f>
        <v>0</v>
      </c>
      <c r="AR339" s="286">
        <f>AR40</f>
        <v>0</v>
      </c>
      <c r="AS339" s="302"/>
      <c r="AT339" s="286">
        <f>AT40</f>
        <v>0</v>
      </c>
      <c r="AU339" s="286">
        <f>AU40</f>
        <v>0</v>
      </c>
      <c r="AV339" s="302"/>
      <c r="AW339" s="286">
        <f>AW40</f>
        <v>0</v>
      </c>
      <c r="AX339" s="286">
        <f>AX40</f>
        <v>0</v>
      </c>
      <c r="AY339" s="302"/>
      <c r="AZ339" s="286">
        <f>AZ40</f>
        <v>0</v>
      </c>
      <c r="BA339" s="286">
        <f>BA40</f>
        <v>0</v>
      </c>
      <c r="BB339" s="302"/>
      <c r="BC339" s="286">
        <f>BC40</f>
        <v>0</v>
      </c>
      <c r="BD339" s="286">
        <f>BD40</f>
        <v>0</v>
      </c>
      <c r="BE339" s="302"/>
      <c r="BF339" s="286">
        <f>BF40</f>
        <v>0</v>
      </c>
      <c r="BG339" s="286">
        <f>BG40</f>
        <v>0</v>
      </c>
      <c r="BH339" s="302"/>
      <c r="BI339" s="286">
        <f>BI40</f>
        <v>0</v>
      </c>
      <c r="BJ339" s="286">
        <f>BJ40</f>
        <v>0</v>
      </c>
      <c r="BK339" s="302"/>
      <c r="BL339" s="286">
        <f>BL40</f>
        <v>0</v>
      </c>
      <c r="BM339" s="286">
        <f>BM40</f>
        <v>0</v>
      </c>
      <c r="BN339" s="302"/>
      <c r="BO339" s="286">
        <f>BO40</f>
        <v>0</v>
      </c>
      <c r="BP339" s="286">
        <f>BP40</f>
        <v>0</v>
      </c>
      <c r="BQ339" s="302"/>
      <c r="BR339" s="286">
        <f>BR40</f>
        <v>0</v>
      </c>
      <c r="BS339" s="286">
        <f>BS40</f>
        <v>0</v>
      </c>
      <c r="BT339" s="302"/>
      <c r="BU339" s="286">
        <f>BU40</f>
        <v>0</v>
      </c>
      <c r="BV339" s="286">
        <f>BV40</f>
        <v>0</v>
      </c>
      <c r="BW339" s="302"/>
      <c r="BX339" s="286">
        <f>BX40</f>
        <v>0</v>
      </c>
      <c r="BY339" s="286">
        <f>BY40</f>
        <v>0</v>
      </c>
      <c r="BZ339" s="302"/>
      <c r="CA339" s="286">
        <f>CA40</f>
        <v>0</v>
      </c>
      <c r="CB339" s="286">
        <f>CB40</f>
        <v>0</v>
      </c>
      <c r="CC339" s="302"/>
      <c r="CD339" s="286">
        <f>CD40</f>
        <v>0</v>
      </c>
      <c r="CE339" s="286">
        <f>CE40</f>
        <v>0</v>
      </c>
      <c r="CF339" s="302"/>
      <c r="CG339" s="286">
        <f>CG40</f>
        <v>0</v>
      </c>
      <c r="CH339" s="286">
        <f>CH40</f>
        <v>0</v>
      </c>
      <c r="CI339" s="302"/>
      <c r="CJ339" s="286">
        <f>CJ40</f>
        <v>0</v>
      </c>
      <c r="CK339" s="286">
        <f>CK40</f>
        <v>0</v>
      </c>
    </row>
    <row r="340" spans="1:89" ht="30" x14ac:dyDescent="0.25">
      <c r="A340" s="321"/>
      <c r="B340" s="324"/>
      <c r="C340" s="312" t="s">
        <v>2392</v>
      </c>
      <c r="D340" s="95"/>
      <c r="E340" s="282"/>
      <c r="F340" s="282"/>
      <c r="G340" s="282"/>
      <c r="H340" s="282"/>
      <c r="I340" s="282">
        <v>0</v>
      </c>
      <c r="J340" s="282">
        <v>0</v>
      </c>
      <c r="K340" s="282">
        <f>K41</f>
        <v>1</v>
      </c>
      <c r="L340" s="282">
        <f>L41</f>
        <v>0</v>
      </c>
      <c r="M340" s="282">
        <f t="shared" si="675"/>
        <v>0</v>
      </c>
      <c r="N340" s="282">
        <f t="shared" si="675"/>
        <v>0</v>
      </c>
      <c r="P340" s="304"/>
      <c r="Q340" s="286">
        <f t="shared" si="648"/>
        <v>1</v>
      </c>
      <c r="R340" s="286">
        <f t="shared" si="648"/>
        <v>1</v>
      </c>
      <c r="S340" s="286">
        <f>S41</f>
        <v>0</v>
      </c>
      <c r="T340" s="286">
        <f>T41</f>
        <v>0</v>
      </c>
      <c r="U340" s="302"/>
      <c r="V340" s="286">
        <f>V41</f>
        <v>0</v>
      </c>
      <c r="W340" s="286">
        <f>W41</f>
        <v>0</v>
      </c>
      <c r="X340" s="302"/>
      <c r="Y340" s="286">
        <f>Y41</f>
        <v>0</v>
      </c>
      <c r="Z340" s="286">
        <f>Z41</f>
        <v>0</v>
      </c>
      <c r="AA340" s="302"/>
      <c r="AB340" s="286">
        <f>AB41</f>
        <v>0</v>
      </c>
      <c r="AC340" s="286">
        <f>AC41</f>
        <v>0</v>
      </c>
      <c r="AD340" s="302"/>
      <c r="AE340" s="286">
        <f>AE41</f>
        <v>0</v>
      </c>
      <c r="AF340" s="286">
        <f>AF41</f>
        <v>0</v>
      </c>
      <c r="AG340" s="302"/>
      <c r="AH340" s="286">
        <f>AH41</f>
        <v>0</v>
      </c>
      <c r="AI340" s="286">
        <f>AI41</f>
        <v>0</v>
      </c>
      <c r="AJ340" s="302"/>
      <c r="AK340" s="286">
        <f>AK41</f>
        <v>1</v>
      </c>
      <c r="AL340" s="286">
        <f>AL41</f>
        <v>1</v>
      </c>
      <c r="AM340" s="302"/>
      <c r="AN340" s="286">
        <f>AN41</f>
        <v>0</v>
      </c>
      <c r="AO340" s="286">
        <f>AO41</f>
        <v>0</v>
      </c>
      <c r="AP340" s="302"/>
      <c r="AQ340" s="286">
        <f>AQ41</f>
        <v>0</v>
      </c>
      <c r="AR340" s="286">
        <f>AR41</f>
        <v>0</v>
      </c>
      <c r="AS340" s="302"/>
      <c r="AT340" s="286">
        <f>AT41</f>
        <v>0</v>
      </c>
      <c r="AU340" s="286">
        <f>AU41</f>
        <v>0</v>
      </c>
      <c r="AV340" s="302"/>
      <c r="AW340" s="286">
        <f>AW41</f>
        <v>0</v>
      </c>
      <c r="AX340" s="286">
        <f>AX41</f>
        <v>0</v>
      </c>
      <c r="AY340" s="302"/>
      <c r="AZ340" s="286">
        <f>AZ41</f>
        <v>0</v>
      </c>
      <c r="BA340" s="286">
        <f>BA41</f>
        <v>0</v>
      </c>
      <c r="BB340" s="302"/>
      <c r="BC340" s="286">
        <f>BC41</f>
        <v>0</v>
      </c>
      <c r="BD340" s="286">
        <f>BD41</f>
        <v>0</v>
      </c>
      <c r="BE340" s="302"/>
      <c r="BF340" s="286">
        <f>BF41</f>
        <v>0</v>
      </c>
      <c r="BG340" s="286">
        <f>BG41</f>
        <v>0</v>
      </c>
      <c r="BH340" s="302"/>
      <c r="BI340" s="286">
        <f>BI41</f>
        <v>0</v>
      </c>
      <c r="BJ340" s="286">
        <f>BJ41</f>
        <v>0</v>
      </c>
      <c r="BK340" s="302"/>
      <c r="BL340" s="286">
        <f>BL41</f>
        <v>0</v>
      </c>
      <c r="BM340" s="286">
        <f>BM41</f>
        <v>0</v>
      </c>
      <c r="BN340" s="302"/>
      <c r="BO340" s="286">
        <f>BO41</f>
        <v>0</v>
      </c>
      <c r="BP340" s="286">
        <f>BP41</f>
        <v>0</v>
      </c>
      <c r="BQ340" s="302"/>
      <c r="BR340" s="286">
        <f>BR41</f>
        <v>0</v>
      </c>
      <c r="BS340" s="286">
        <f>BS41</f>
        <v>0</v>
      </c>
      <c r="BT340" s="302"/>
      <c r="BU340" s="286">
        <f>BU41</f>
        <v>0</v>
      </c>
      <c r="BV340" s="286">
        <f>BV41</f>
        <v>0</v>
      </c>
      <c r="BW340" s="302"/>
      <c r="BX340" s="286">
        <f>BX41</f>
        <v>0</v>
      </c>
      <c r="BY340" s="286">
        <f>BY41</f>
        <v>0</v>
      </c>
      <c r="BZ340" s="302"/>
      <c r="CA340" s="286">
        <f>CA41</f>
        <v>0</v>
      </c>
      <c r="CB340" s="286">
        <f>CB41</f>
        <v>0</v>
      </c>
      <c r="CC340" s="302"/>
      <c r="CD340" s="286">
        <f>CD41</f>
        <v>0</v>
      </c>
      <c r="CE340" s="286">
        <f>CE41</f>
        <v>0</v>
      </c>
      <c r="CF340" s="302"/>
      <c r="CG340" s="286">
        <f>CG41</f>
        <v>0</v>
      </c>
      <c r="CH340" s="286">
        <f>CH41</f>
        <v>0</v>
      </c>
      <c r="CI340" s="302"/>
      <c r="CJ340" s="286">
        <f>CJ41</f>
        <v>0</v>
      </c>
      <c r="CK340" s="286">
        <f>CK41</f>
        <v>0</v>
      </c>
    </row>
    <row r="341" spans="1:89" ht="30" x14ac:dyDescent="0.25">
      <c r="A341" s="419"/>
      <c r="B341" s="419" t="s">
        <v>157</v>
      </c>
      <c r="C341" s="95" t="s">
        <v>158</v>
      </c>
      <c r="D341" s="95" t="s">
        <v>950</v>
      </c>
      <c r="E341" s="282">
        <v>12918</v>
      </c>
      <c r="F341" s="282">
        <v>13075</v>
      </c>
      <c r="G341" s="282">
        <v>13269</v>
      </c>
      <c r="H341" s="282">
        <f t="shared" ref="H341:J342" si="676">H343</f>
        <v>13716</v>
      </c>
      <c r="I341" s="322">
        <f t="shared" si="676"/>
        <v>15703.4</v>
      </c>
      <c r="J341" s="322">
        <f t="shared" si="676"/>
        <v>15287.9</v>
      </c>
      <c r="K341" s="322">
        <f>K343</f>
        <v>14652</v>
      </c>
      <c r="L341" s="322">
        <f>L343</f>
        <v>541</v>
      </c>
      <c r="M341" s="322">
        <f t="shared" ref="M341:N342" si="677">M343</f>
        <v>544</v>
      </c>
      <c r="N341" s="322">
        <f t="shared" si="677"/>
        <v>542</v>
      </c>
      <c r="P341" s="304"/>
      <c r="Q341" s="322">
        <f t="shared" ref="Q341:T342" si="678">Q343</f>
        <v>14652</v>
      </c>
      <c r="R341" s="322">
        <f t="shared" si="678"/>
        <v>14784.899999999998</v>
      </c>
      <c r="S341" s="322">
        <f t="shared" si="678"/>
        <v>174.2</v>
      </c>
      <c r="T341" s="322">
        <f t="shared" si="678"/>
        <v>201.2</v>
      </c>
      <c r="U341" s="304"/>
      <c r="V341" s="322">
        <f>V343</f>
        <v>177</v>
      </c>
      <c r="W341" s="322">
        <f>W343</f>
        <v>176.7</v>
      </c>
      <c r="X341" s="304"/>
      <c r="Y341" s="322">
        <f>Y343</f>
        <v>256.60000000000002</v>
      </c>
      <c r="Z341" s="322">
        <f>Z343</f>
        <v>243.3</v>
      </c>
      <c r="AA341" s="304"/>
      <c r="AB341" s="322">
        <f>AB343</f>
        <v>209</v>
      </c>
      <c r="AC341" s="322">
        <f>AC343</f>
        <v>212</v>
      </c>
      <c r="AD341" s="304"/>
      <c r="AE341" s="322">
        <f>AE343</f>
        <v>293.2</v>
      </c>
      <c r="AF341" s="322">
        <f>AF343</f>
        <v>244.3</v>
      </c>
      <c r="AG341" s="304"/>
      <c r="AH341" s="322">
        <f>AH343</f>
        <v>227.3</v>
      </c>
      <c r="AI341" s="322">
        <f>AI343</f>
        <v>227</v>
      </c>
      <c r="AJ341" s="304"/>
      <c r="AK341" s="322">
        <f>AK343</f>
        <v>456.6</v>
      </c>
      <c r="AL341" s="322">
        <f>AL343</f>
        <v>440.5</v>
      </c>
      <c r="AM341" s="304"/>
      <c r="AN341" s="322">
        <f>AN343</f>
        <v>769.9</v>
      </c>
      <c r="AO341" s="322">
        <f>AO343</f>
        <v>768.2</v>
      </c>
      <c r="AP341" s="304"/>
      <c r="AQ341" s="322">
        <f>AQ343</f>
        <v>0</v>
      </c>
      <c r="AR341" s="322">
        <f>AR343</f>
        <v>0</v>
      </c>
      <c r="AS341" s="304"/>
      <c r="AT341" s="322">
        <f>AT343</f>
        <v>839.9</v>
      </c>
      <c r="AU341" s="322">
        <f>AU343</f>
        <v>850.1</v>
      </c>
      <c r="AV341" s="304"/>
      <c r="AW341" s="322">
        <f>AW343</f>
        <v>446.1</v>
      </c>
      <c r="AX341" s="322">
        <f>AX343</f>
        <v>374.5</v>
      </c>
      <c r="AY341" s="304"/>
      <c r="AZ341" s="322">
        <f>AZ343</f>
        <v>545.5</v>
      </c>
      <c r="BA341" s="322">
        <f>BA343</f>
        <v>551.5</v>
      </c>
      <c r="BB341" s="304"/>
      <c r="BC341" s="322">
        <f>BC343</f>
        <v>1053.7</v>
      </c>
      <c r="BD341" s="322">
        <f>BD343</f>
        <v>1055</v>
      </c>
      <c r="BE341" s="304"/>
      <c r="BF341" s="322">
        <f>BF343</f>
        <v>1999.1</v>
      </c>
      <c r="BG341" s="322">
        <f>BG343</f>
        <v>1991.6</v>
      </c>
      <c r="BH341" s="304"/>
      <c r="BI341" s="322">
        <f>BI343</f>
        <v>3366.3</v>
      </c>
      <c r="BJ341" s="322">
        <f>BJ343</f>
        <v>3460.9</v>
      </c>
      <c r="BK341" s="304"/>
      <c r="BL341" s="322">
        <f>BL343</f>
        <v>364</v>
      </c>
      <c r="BM341" s="322">
        <f>BM343</f>
        <v>363.8</v>
      </c>
      <c r="BN341" s="304"/>
      <c r="BO341" s="322">
        <f>BO343</f>
        <v>362.7</v>
      </c>
      <c r="BP341" s="322">
        <f>BP343</f>
        <v>376.8</v>
      </c>
      <c r="BQ341" s="304"/>
      <c r="BR341" s="322">
        <f>BR343</f>
        <v>519</v>
      </c>
      <c r="BS341" s="322">
        <f>BS343</f>
        <v>532</v>
      </c>
      <c r="BT341" s="304"/>
      <c r="BU341" s="322">
        <f>BU343</f>
        <v>502</v>
      </c>
      <c r="BV341" s="322">
        <f>BV343</f>
        <v>515</v>
      </c>
      <c r="BW341" s="304"/>
      <c r="BX341" s="322">
        <f>BX343</f>
        <v>145</v>
      </c>
      <c r="BY341" s="322">
        <f>BY343</f>
        <v>156.30000000000001</v>
      </c>
      <c r="BZ341" s="304"/>
      <c r="CA341" s="322">
        <f>CA343</f>
        <v>368.3</v>
      </c>
      <c r="CB341" s="322">
        <f>CB343</f>
        <v>410.5</v>
      </c>
      <c r="CC341" s="304"/>
      <c r="CD341" s="322">
        <f>CD343</f>
        <v>505.3</v>
      </c>
      <c r="CE341" s="322">
        <f>CE343</f>
        <v>484.7</v>
      </c>
      <c r="CF341" s="304"/>
      <c r="CG341" s="322">
        <f>CG343</f>
        <v>934.8</v>
      </c>
      <c r="CH341" s="322">
        <f>CH343</f>
        <v>981.8</v>
      </c>
      <c r="CI341" s="304"/>
      <c r="CJ341" s="322">
        <f>CJ343</f>
        <v>136.5</v>
      </c>
      <c r="CK341" s="322">
        <f>CK343</f>
        <v>167.2</v>
      </c>
    </row>
    <row r="342" spans="1:89" ht="30" x14ac:dyDescent="0.25">
      <c r="A342" s="421"/>
      <c r="B342" s="421"/>
      <c r="C342" s="95" t="s">
        <v>159</v>
      </c>
      <c r="D342" s="95" t="s">
        <v>950</v>
      </c>
      <c r="E342" s="282">
        <v>2562</v>
      </c>
      <c r="F342" s="282">
        <v>2557</v>
      </c>
      <c r="G342" s="282">
        <v>2592</v>
      </c>
      <c r="H342" s="282">
        <f t="shared" si="676"/>
        <v>2523</v>
      </c>
      <c r="I342" s="322">
        <f t="shared" si="676"/>
        <v>2802.2</v>
      </c>
      <c r="J342" s="322">
        <f t="shared" si="676"/>
        <v>2592.6</v>
      </c>
      <c r="K342" s="322">
        <f>K344</f>
        <v>2661</v>
      </c>
      <c r="L342" s="322">
        <f>L344</f>
        <v>0</v>
      </c>
      <c r="M342" s="322">
        <f t="shared" si="677"/>
        <v>0</v>
      </c>
      <c r="N342" s="322">
        <f t="shared" si="677"/>
        <v>0</v>
      </c>
      <c r="P342" s="304"/>
      <c r="Q342" s="322">
        <f t="shared" si="678"/>
        <v>2661</v>
      </c>
      <c r="R342" s="322">
        <f t="shared" si="678"/>
        <v>2576.2999999999997</v>
      </c>
      <c r="S342" s="322">
        <f t="shared" si="678"/>
        <v>183</v>
      </c>
      <c r="T342" s="322">
        <f t="shared" si="678"/>
        <v>181</v>
      </c>
      <c r="U342" s="304"/>
      <c r="V342" s="322">
        <f>V344</f>
        <v>228.7</v>
      </c>
      <c r="W342" s="322">
        <f>W344</f>
        <v>202.7</v>
      </c>
      <c r="X342" s="304"/>
      <c r="Y342" s="322">
        <f>Y344</f>
        <v>284.2</v>
      </c>
      <c r="Z342" s="322">
        <f>Z344</f>
        <v>280.3</v>
      </c>
      <c r="AA342" s="304"/>
      <c r="AB342" s="322">
        <f>AB344</f>
        <v>274.10000000000002</v>
      </c>
      <c r="AC342" s="322">
        <f>AC344</f>
        <v>256.89999999999998</v>
      </c>
      <c r="AD342" s="304"/>
      <c r="AE342" s="322">
        <f>AE344</f>
        <v>236.5</v>
      </c>
      <c r="AF342" s="322">
        <f>AF344</f>
        <v>218.6</v>
      </c>
      <c r="AG342" s="304"/>
      <c r="AH342" s="322">
        <f>AH344</f>
        <v>311.8</v>
      </c>
      <c r="AI342" s="322">
        <f>AI344</f>
        <v>314</v>
      </c>
      <c r="AJ342" s="304"/>
      <c r="AK342" s="322">
        <f>AK344</f>
        <v>37.299999999999997</v>
      </c>
      <c r="AL342" s="322">
        <f>AL344</f>
        <v>33</v>
      </c>
      <c r="AM342" s="304"/>
      <c r="AN342" s="322">
        <f>AN344</f>
        <v>511.3</v>
      </c>
      <c r="AO342" s="322">
        <f>AO344</f>
        <v>491.3</v>
      </c>
      <c r="AP342" s="304"/>
      <c r="AQ342" s="322">
        <f>AQ344</f>
        <v>433</v>
      </c>
      <c r="AR342" s="322">
        <f>AR344</f>
        <v>433.3</v>
      </c>
      <c r="AS342" s="304"/>
      <c r="AT342" s="322">
        <f>AT344</f>
        <v>0</v>
      </c>
      <c r="AU342" s="322">
        <f>AU344</f>
        <v>0</v>
      </c>
      <c r="AV342" s="304"/>
      <c r="AW342" s="322">
        <f>AW344</f>
        <v>0</v>
      </c>
      <c r="AX342" s="322">
        <f>AX344</f>
        <v>0</v>
      </c>
      <c r="AY342" s="304"/>
      <c r="AZ342" s="322">
        <f>AZ344</f>
        <v>0</v>
      </c>
      <c r="BA342" s="322">
        <f>BA344</f>
        <v>0</v>
      </c>
      <c r="BB342" s="304"/>
      <c r="BC342" s="322">
        <f>BC344</f>
        <v>0</v>
      </c>
      <c r="BD342" s="322">
        <f>BD344</f>
        <v>0</v>
      </c>
      <c r="BE342" s="304"/>
      <c r="BF342" s="322">
        <f>BF344</f>
        <v>0</v>
      </c>
      <c r="BG342" s="322">
        <f>BG344</f>
        <v>0</v>
      </c>
      <c r="BH342" s="304"/>
      <c r="BI342" s="322">
        <f>BI344</f>
        <v>0</v>
      </c>
      <c r="BJ342" s="322">
        <f>BJ344</f>
        <v>0</v>
      </c>
      <c r="BK342" s="304"/>
      <c r="BL342" s="322">
        <f>BL344</f>
        <v>0</v>
      </c>
      <c r="BM342" s="322">
        <f>BM344</f>
        <v>0</v>
      </c>
      <c r="BN342" s="304"/>
      <c r="BO342" s="322">
        <f>BO344</f>
        <v>0</v>
      </c>
      <c r="BP342" s="322">
        <f>BP344</f>
        <v>0</v>
      </c>
      <c r="BQ342" s="304"/>
      <c r="BR342" s="322">
        <f>BR344</f>
        <v>0</v>
      </c>
      <c r="BS342" s="322">
        <f>BS344</f>
        <v>0</v>
      </c>
      <c r="BT342" s="304"/>
      <c r="BU342" s="322">
        <f>BU344</f>
        <v>0</v>
      </c>
      <c r="BV342" s="322">
        <f>BV344</f>
        <v>0</v>
      </c>
      <c r="BW342" s="304"/>
      <c r="BX342" s="322">
        <f>BX344</f>
        <v>0</v>
      </c>
      <c r="BY342" s="322">
        <f>BY344</f>
        <v>0</v>
      </c>
      <c r="BZ342" s="304"/>
      <c r="CA342" s="322">
        <f>CA344</f>
        <v>0</v>
      </c>
      <c r="CB342" s="322">
        <f>CB344</f>
        <v>0</v>
      </c>
      <c r="CC342" s="304"/>
      <c r="CD342" s="322">
        <f>CD344</f>
        <v>0</v>
      </c>
      <c r="CE342" s="322">
        <f>CE344</f>
        <v>0</v>
      </c>
      <c r="CF342" s="304"/>
      <c r="CG342" s="322">
        <f>CG344</f>
        <v>161.1</v>
      </c>
      <c r="CH342" s="322">
        <f>CH344</f>
        <v>165.2</v>
      </c>
      <c r="CI342" s="304"/>
      <c r="CJ342" s="322">
        <f>CJ344</f>
        <v>0</v>
      </c>
      <c r="CK342" s="322">
        <f>CK344</f>
        <v>0</v>
      </c>
    </row>
    <row r="343" spans="1:89" ht="30" x14ac:dyDescent="0.25">
      <c r="A343" s="262"/>
      <c r="B343" s="95"/>
      <c r="C343" s="95" t="s">
        <v>2727</v>
      </c>
      <c r="D343" s="95"/>
      <c r="E343" s="282"/>
      <c r="F343" s="282"/>
      <c r="G343" s="282"/>
      <c r="H343" s="282">
        <f>13736-15-5</f>
        <v>13716</v>
      </c>
      <c r="I343" s="322">
        <f>15500.6+202.8</f>
        <v>15703.4</v>
      </c>
      <c r="J343" s="322">
        <f>15116.1+171.8</f>
        <v>15287.9</v>
      </c>
      <c r="K343" s="322">
        <f>14444.8+207.2</f>
        <v>14652</v>
      </c>
      <c r="L343" s="322">
        <v>541</v>
      </c>
      <c r="M343" s="322">
        <v>544</v>
      </c>
      <c r="N343" s="322">
        <v>542</v>
      </c>
      <c r="P343" s="325"/>
      <c r="Q343" s="299">
        <f>S343+V343+Y343+AB343+AE343+AH343+AK343+AN343+AQ343+AT343+AW343+AZ343+BC343+BF343+BI343+BL343+BO343+BR343+BU343+BX343+CA343+CD343+CG343+CJ343</f>
        <v>14652</v>
      </c>
      <c r="R343" s="299">
        <f>T343+W343+Z343+AC343+AF343+AI343+AL343+AO343+AR343+AU343+AX343+BA343+BD343+BG343+BJ343+BM343+BP343+BS343+BV343+BY343+CB343+CE343+CH343+CK343</f>
        <v>14784.899999999998</v>
      </c>
      <c r="S343" s="326">
        <v>174.2</v>
      </c>
      <c r="T343" s="326">
        <v>201.2</v>
      </c>
      <c r="U343" s="326"/>
      <c r="V343" s="326">
        <v>177</v>
      </c>
      <c r="W343" s="326">
        <v>176.7</v>
      </c>
      <c r="X343" s="326"/>
      <c r="Y343" s="326">
        <v>256.60000000000002</v>
      </c>
      <c r="Z343" s="326">
        <v>243.3</v>
      </c>
      <c r="AA343" s="326"/>
      <c r="AB343" s="326">
        <v>209</v>
      </c>
      <c r="AC343" s="326">
        <v>212</v>
      </c>
      <c r="AD343" s="326"/>
      <c r="AE343" s="326">
        <v>293.2</v>
      </c>
      <c r="AF343" s="326">
        <v>244.3</v>
      </c>
      <c r="AG343" s="326"/>
      <c r="AH343" s="326">
        <v>227.3</v>
      </c>
      <c r="AI343" s="326">
        <v>227</v>
      </c>
      <c r="AJ343" s="326"/>
      <c r="AK343" s="326">
        <v>456.6</v>
      </c>
      <c r="AL343" s="326">
        <v>440.5</v>
      </c>
      <c r="AM343" s="326"/>
      <c r="AN343" s="326">
        <v>769.9</v>
      </c>
      <c r="AO343" s="326">
        <v>768.2</v>
      </c>
      <c r="AP343" s="326"/>
      <c r="AQ343" s="326">
        <v>0</v>
      </c>
      <c r="AR343" s="326">
        <v>0</v>
      </c>
      <c r="AS343" s="326"/>
      <c r="AT343" s="326">
        <v>839.9</v>
      </c>
      <c r="AU343" s="326">
        <v>850.1</v>
      </c>
      <c r="AV343" s="326"/>
      <c r="AW343" s="326">
        <v>446.1</v>
      </c>
      <c r="AX343" s="326">
        <v>374.5</v>
      </c>
      <c r="AY343" s="326"/>
      <c r="AZ343" s="326">
        <v>545.5</v>
      </c>
      <c r="BA343" s="326">
        <v>551.5</v>
      </c>
      <c r="BB343" s="326"/>
      <c r="BC343" s="326">
        <v>1053.7</v>
      </c>
      <c r="BD343" s="326">
        <v>1055</v>
      </c>
      <c r="BE343" s="326"/>
      <c r="BF343" s="326">
        <v>1999.1</v>
      </c>
      <c r="BG343" s="326">
        <v>1991.6</v>
      </c>
      <c r="BH343" s="326"/>
      <c r="BI343" s="326">
        <v>3366.3</v>
      </c>
      <c r="BJ343" s="326">
        <v>3460.9</v>
      </c>
      <c r="BK343" s="326"/>
      <c r="BL343" s="326">
        <v>364</v>
      </c>
      <c r="BM343" s="326">
        <v>363.8</v>
      </c>
      <c r="BN343" s="326"/>
      <c r="BO343" s="326">
        <v>362.7</v>
      </c>
      <c r="BP343" s="326">
        <v>376.8</v>
      </c>
      <c r="BQ343" s="326"/>
      <c r="BR343" s="326">
        <v>519</v>
      </c>
      <c r="BS343" s="326">
        <v>532</v>
      </c>
      <c r="BT343" s="326"/>
      <c r="BU343" s="326">
        <v>502</v>
      </c>
      <c r="BV343" s="326">
        <v>515</v>
      </c>
      <c r="BW343" s="326"/>
      <c r="BX343" s="326">
        <v>145</v>
      </c>
      <c r="BY343" s="326">
        <v>156.30000000000001</v>
      </c>
      <c r="BZ343" s="326"/>
      <c r="CA343" s="326">
        <v>368.3</v>
      </c>
      <c r="CB343" s="326">
        <v>410.5</v>
      </c>
      <c r="CC343" s="326"/>
      <c r="CD343" s="326">
        <v>505.3</v>
      </c>
      <c r="CE343" s="326">
        <v>484.7</v>
      </c>
      <c r="CF343" s="326"/>
      <c r="CG343" s="326">
        <v>934.8</v>
      </c>
      <c r="CH343" s="326">
        <v>981.8</v>
      </c>
      <c r="CI343" s="326"/>
      <c r="CJ343" s="299">
        <v>136.5</v>
      </c>
      <c r="CK343" s="299">
        <v>167.2</v>
      </c>
    </row>
    <row r="344" spans="1:89" ht="30" x14ac:dyDescent="0.25">
      <c r="A344" s="262"/>
      <c r="B344" s="95"/>
      <c r="C344" s="95" t="s">
        <v>2727</v>
      </c>
      <c r="D344" s="95"/>
      <c r="E344" s="282"/>
      <c r="F344" s="282"/>
      <c r="G344" s="282"/>
      <c r="H344" s="282">
        <v>2523</v>
      </c>
      <c r="I344" s="322">
        <f>2756.7+45.5</f>
        <v>2802.2</v>
      </c>
      <c r="J344" s="322">
        <f>2553.9+38.7</f>
        <v>2592.6</v>
      </c>
      <c r="K344" s="322">
        <f>2609.4+51.6</f>
        <v>2661</v>
      </c>
      <c r="L344" s="322">
        <v>0</v>
      </c>
      <c r="M344" s="322">
        <v>0</v>
      </c>
      <c r="N344" s="322">
        <v>0</v>
      </c>
      <c r="P344" s="304"/>
      <c r="Q344" s="299">
        <f>S344+V344+Y344+AB344+AE344+AH344+AK344+AN344+AQ344+AT344+AW344+AZ344+BC344+BF344+BI344+BL344+BO344+BR344+BU344+BX344+CA344+CD344+CG344+CJ344</f>
        <v>2661</v>
      </c>
      <c r="R344" s="299">
        <f>T344+W344+Z344+AC344+AF344+AI344+AL344+AO344+AR344+AU344+AX344+BA344+BD344+BG344+BJ344+BM344+BP344+BS344+BV344+BY344+CB344+CE344+CH344+CK344</f>
        <v>2576.2999999999997</v>
      </c>
      <c r="S344" s="326">
        <v>183</v>
      </c>
      <c r="T344" s="326">
        <v>181</v>
      </c>
      <c r="U344" s="326"/>
      <c r="V344" s="326">
        <v>228.7</v>
      </c>
      <c r="W344" s="326">
        <v>202.7</v>
      </c>
      <c r="X344" s="326"/>
      <c r="Y344" s="326">
        <v>284.2</v>
      </c>
      <c r="Z344" s="326">
        <v>280.3</v>
      </c>
      <c r="AA344" s="326"/>
      <c r="AB344" s="326">
        <v>274.10000000000002</v>
      </c>
      <c r="AC344" s="326">
        <v>256.89999999999998</v>
      </c>
      <c r="AD344" s="326"/>
      <c r="AE344" s="326">
        <v>236.5</v>
      </c>
      <c r="AF344" s="326">
        <v>218.6</v>
      </c>
      <c r="AG344" s="326"/>
      <c r="AH344" s="326">
        <v>311.8</v>
      </c>
      <c r="AI344" s="326">
        <v>314</v>
      </c>
      <c r="AJ344" s="326"/>
      <c r="AK344" s="326">
        <v>37.299999999999997</v>
      </c>
      <c r="AL344" s="326">
        <v>33</v>
      </c>
      <c r="AM344" s="326"/>
      <c r="AN344" s="326">
        <v>511.3</v>
      </c>
      <c r="AO344" s="326">
        <v>491.3</v>
      </c>
      <c r="AP344" s="326"/>
      <c r="AQ344" s="326">
        <v>433</v>
      </c>
      <c r="AR344" s="326">
        <v>433.3</v>
      </c>
      <c r="AS344" s="326"/>
      <c r="AT344" s="326">
        <v>0</v>
      </c>
      <c r="AU344" s="326">
        <v>0</v>
      </c>
      <c r="AV344" s="326"/>
      <c r="AW344" s="326">
        <v>0</v>
      </c>
      <c r="AX344" s="326">
        <v>0</v>
      </c>
      <c r="AY344" s="326"/>
      <c r="AZ344" s="326">
        <v>0</v>
      </c>
      <c r="BA344" s="326">
        <v>0</v>
      </c>
      <c r="BB344" s="326"/>
      <c r="BC344" s="326">
        <v>0</v>
      </c>
      <c r="BD344" s="326">
        <v>0</v>
      </c>
      <c r="BE344" s="326"/>
      <c r="BF344" s="326">
        <v>0</v>
      </c>
      <c r="BG344" s="326">
        <v>0</v>
      </c>
      <c r="BH344" s="326"/>
      <c r="BI344" s="326">
        <v>0</v>
      </c>
      <c r="BJ344" s="326">
        <v>0</v>
      </c>
      <c r="BK344" s="326"/>
      <c r="BL344" s="326">
        <v>0</v>
      </c>
      <c r="BM344" s="326">
        <v>0</v>
      </c>
      <c r="BN344" s="326"/>
      <c r="BO344" s="326">
        <v>0</v>
      </c>
      <c r="BP344" s="326">
        <v>0</v>
      </c>
      <c r="BQ344" s="326"/>
      <c r="BR344" s="326">
        <v>0</v>
      </c>
      <c r="BS344" s="326">
        <v>0</v>
      </c>
      <c r="BT344" s="326"/>
      <c r="BU344" s="326">
        <v>0</v>
      </c>
      <c r="BV344" s="326">
        <v>0</v>
      </c>
      <c r="BW344" s="326"/>
      <c r="BX344" s="326">
        <v>0</v>
      </c>
      <c r="BY344" s="326">
        <v>0</v>
      </c>
      <c r="BZ344" s="326"/>
      <c r="CA344" s="326">
        <v>0</v>
      </c>
      <c r="CB344" s="326">
        <v>0</v>
      </c>
      <c r="CC344" s="326"/>
      <c r="CD344" s="326">
        <v>0</v>
      </c>
      <c r="CE344" s="326">
        <v>0</v>
      </c>
      <c r="CF344" s="326"/>
      <c r="CG344" s="326">
        <v>161.1</v>
      </c>
      <c r="CH344" s="326">
        <v>165.2</v>
      </c>
      <c r="CI344" s="326"/>
      <c r="CJ344" s="299">
        <v>0</v>
      </c>
      <c r="CK344" s="299">
        <v>0</v>
      </c>
    </row>
    <row r="345" spans="1:89" x14ac:dyDescent="0.25">
      <c r="A345" s="95"/>
      <c r="B345" s="96" t="s">
        <v>1184</v>
      </c>
      <c r="C345" s="107"/>
      <c r="D345" s="95" t="s">
        <v>950</v>
      </c>
      <c r="E345" s="279">
        <f t="shared" ref="E345:J345" si="679">E348/(E357+E358)</f>
        <v>8.956989247311828</v>
      </c>
      <c r="F345" s="279">
        <f t="shared" si="679"/>
        <v>9.5978260869565215</v>
      </c>
      <c r="G345" s="279">
        <f t="shared" si="679"/>
        <v>9.875</v>
      </c>
      <c r="H345" s="279">
        <f t="shared" si="679"/>
        <v>11.828571428571429</v>
      </c>
      <c r="I345" s="279">
        <f t="shared" si="679"/>
        <v>10.369515011547344</v>
      </c>
      <c r="J345" s="279">
        <f t="shared" si="679"/>
        <v>10.603644646924828</v>
      </c>
      <c r="K345" s="279">
        <f>K348/(K357+K358)</f>
        <v>11.029585798816568</v>
      </c>
      <c r="L345" s="279" t="e">
        <f>L348/(L357+L358)</f>
        <v>#DIV/0!</v>
      </c>
      <c r="M345" s="279" t="e">
        <f>M348/(M357+M358)</f>
        <v>#DIV/0!</v>
      </c>
      <c r="N345" s="279" t="e">
        <f>N348/(N357+N358)</f>
        <v>#DIV/0!</v>
      </c>
      <c r="P345" s="320"/>
      <c r="Q345" s="279">
        <f>Q348/(Q357+Q358)</f>
        <v>11.029585798816568</v>
      </c>
      <c r="R345" s="279">
        <f>R348/(R357+R358)</f>
        <v>10.407239819004523</v>
      </c>
      <c r="S345" s="279" t="e">
        <f>S348/(S357+S358)</f>
        <v>#DIV/0!</v>
      </c>
      <c r="T345" s="279" t="e">
        <f>T348/(T357+T358)</f>
        <v>#DIV/0!</v>
      </c>
      <c r="U345" s="320"/>
      <c r="V345" s="279" t="e">
        <f>V348/(V357+V358)</f>
        <v>#DIV/0!</v>
      </c>
      <c r="W345" s="279" t="e">
        <f>W348/(W357+W358)</f>
        <v>#DIV/0!</v>
      </c>
      <c r="X345" s="320"/>
      <c r="Y345" s="279" t="e">
        <f>Y348/(Y357+Y358)</f>
        <v>#DIV/0!</v>
      </c>
      <c r="Z345" s="279" t="e">
        <f>Z348/(Z357+Z358)</f>
        <v>#DIV/0!</v>
      </c>
      <c r="AA345" s="320"/>
      <c r="AB345" s="279" t="e">
        <f>AB348/(AB357+AB358)</f>
        <v>#DIV/0!</v>
      </c>
      <c r="AC345" s="279" t="e">
        <f>AC348/(AC357+AC358)</f>
        <v>#DIV/0!</v>
      </c>
      <c r="AD345" s="320"/>
      <c r="AE345" s="279" t="e">
        <f>AE348/(AE357+AE358)</f>
        <v>#DIV/0!</v>
      </c>
      <c r="AF345" s="279" t="e">
        <f>AF348/(AF357+AF358)</f>
        <v>#DIV/0!</v>
      </c>
      <c r="AG345" s="320"/>
      <c r="AH345" s="279" t="e">
        <f>AH348/(AH357+AH358)</f>
        <v>#DIV/0!</v>
      </c>
      <c r="AI345" s="279" t="e">
        <f>AI348/(AI357+AI358)</f>
        <v>#DIV/0!</v>
      </c>
      <c r="AJ345" s="320"/>
      <c r="AK345" s="279" t="e">
        <f>AK348/(AK357+AK358)</f>
        <v>#DIV/0!</v>
      </c>
      <c r="AL345" s="279" t="e">
        <f>AL348/(AL357+AL358)</f>
        <v>#DIV/0!</v>
      </c>
      <c r="AM345" s="320"/>
      <c r="AN345" s="279" t="e">
        <f>AN348/(AN357+AN358)</f>
        <v>#DIV/0!</v>
      </c>
      <c r="AO345" s="279" t="e">
        <f>AO348/(AO357+AO358)</f>
        <v>#DIV/0!</v>
      </c>
      <c r="AP345" s="320"/>
      <c r="AQ345" s="279" t="e">
        <f>AQ348/(AQ357+AQ358)</f>
        <v>#DIV/0!</v>
      </c>
      <c r="AR345" s="279" t="e">
        <f>AR348/(AR357+AR358)</f>
        <v>#DIV/0!</v>
      </c>
      <c r="AS345" s="320"/>
      <c r="AT345" s="279" t="e">
        <f>AT348/(AT357+AT358)</f>
        <v>#DIV/0!</v>
      </c>
      <c r="AU345" s="279" t="e">
        <f>AU348/(AU357+AU358)</f>
        <v>#DIV/0!</v>
      </c>
      <c r="AV345" s="320"/>
      <c r="AW345" s="279" t="e">
        <f>AW348/(AW357+AW358)</f>
        <v>#DIV/0!</v>
      </c>
      <c r="AX345" s="279" t="e">
        <f>AX348/(AX357+AX358)</f>
        <v>#DIV/0!</v>
      </c>
      <c r="AY345" s="320"/>
      <c r="AZ345" s="279" t="e">
        <f>AZ348/(AZ357+AZ358)</f>
        <v>#DIV/0!</v>
      </c>
      <c r="BA345" s="279" t="e">
        <f>BA348/(BA357+BA358)</f>
        <v>#DIV/0!</v>
      </c>
      <c r="BB345" s="320"/>
      <c r="BC345" s="279">
        <f>BC348/(BC357+BC358)</f>
        <v>9.5897435897435894</v>
      </c>
      <c r="BD345" s="279">
        <f>BD348/(BD357+BD358)</f>
        <v>9.1707317073170724</v>
      </c>
      <c r="BE345" s="320"/>
      <c r="BF345" s="279">
        <f>BF348/(BF357+BF358)</f>
        <v>12.32258064516129</v>
      </c>
      <c r="BG345" s="279">
        <f>BG348/(BG357+BG358)</f>
        <v>12.066666666666666</v>
      </c>
      <c r="BH345" s="320"/>
      <c r="BI345" s="279">
        <f>BI348/(BI357+BI358)</f>
        <v>13.212121212121213</v>
      </c>
      <c r="BJ345" s="279">
        <f>BJ348/(BJ357+BJ358)</f>
        <v>13.25</v>
      </c>
      <c r="BK345" s="320"/>
      <c r="BL345" s="279" t="e">
        <f>BL348/(BL357+BL358)</f>
        <v>#DIV/0!</v>
      </c>
      <c r="BM345" s="279" t="e">
        <f>BM348/(BM357+BM358)</f>
        <v>#DIV/0!</v>
      </c>
      <c r="BN345" s="320"/>
      <c r="BO345" s="279" t="e">
        <f>BO348/(BO357+BO358)</f>
        <v>#DIV/0!</v>
      </c>
      <c r="BP345" s="279" t="e">
        <f>BP348/(BP357+BP358)</f>
        <v>#DIV/0!</v>
      </c>
      <c r="BQ345" s="320"/>
      <c r="BR345" s="279" t="e">
        <f>BR348/(BR357+BR358)</f>
        <v>#DIV/0!</v>
      </c>
      <c r="BS345" s="279" t="e">
        <f>BS348/(BS357+BS358)</f>
        <v>#DIV/0!</v>
      </c>
      <c r="BT345" s="320"/>
      <c r="BU345" s="279" t="e">
        <f>BU348/(BU357+BU358)</f>
        <v>#DIV/0!</v>
      </c>
      <c r="BV345" s="279" t="e">
        <f>BV348/(BV357+BV358)</f>
        <v>#DIV/0!</v>
      </c>
      <c r="BW345" s="320"/>
      <c r="BX345" s="279" t="e">
        <f>BX348/(BX357+BX358)</f>
        <v>#DIV/0!</v>
      </c>
      <c r="BY345" s="279" t="e">
        <f>BY348/(BY357+BY358)</f>
        <v>#DIV/0!</v>
      </c>
      <c r="BZ345" s="320"/>
      <c r="CA345" s="279" t="e">
        <f>CA348/(CA357+CA358)</f>
        <v>#DIV/0!</v>
      </c>
      <c r="CB345" s="279" t="e">
        <f>CB348/(CB357+CB358)</f>
        <v>#DIV/0!</v>
      </c>
      <c r="CC345" s="320"/>
      <c r="CD345" s="279">
        <f>CD348/(CD357+CD358)</f>
        <v>7.1515151515151514</v>
      </c>
      <c r="CE345" s="279">
        <f>CE348/(CE357+CE358)</f>
        <v>6.0765550239234454</v>
      </c>
      <c r="CF345" s="320"/>
      <c r="CG345" s="279" t="e">
        <f>CG348/(CG357+CG358)</f>
        <v>#DIV/0!</v>
      </c>
      <c r="CH345" s="279" t="e">
        <f>CH348/(CH357+CH358)</f>
        <v>#DIV/0!</v>
      </c>
      <c r="CI345" s="320"/>
      <c r="CJ345" s="279" t="e">
        <f>CJ348/(CJ357+CJ358)</f>
        <v>#DIV/0!</v>
      </c>
      <c r="CK345" s="279" t="e">
        <f>CK348/(CK357+CK358)</f>
        <v>#DIV/0!</v>
      </c>
    </row>
    <row r="346" spans="1:89" x14ac:dyDescent="0.25">
      <c r="A346" s="95"/>
      <c r="B346" s="96" t="s">
        <v>1183</v>
      </c>
      <c r="C346" s="107"/>
      <c r="D346" s="95" t="s">
        <v>950</v>
      </c>
      <c r="E346" s="279">
        <f t="shared" ref="E346:K346" si="680">E349/E357</f>
        <v>8.956989247311828</v>
      </c>
      <c r="F346" s="279">
        <f t="shared" si="680"/>
        <v>9.5978260869565215</v>
      </c>
      <c r="G346" s="279">
        <f t="shared" si="680"/>
        <v>9.875</v>
      </c>
      <c r="H346" s="279">
        <f t="shared" si="680"/>
        <v>11.828571428571429</v>
      </c>
      <c r="I346" s="279">
        <f t="shared" si="680"/>
        <v>10.369515011547344</v>
      </c>
      <c r="J346" s="279">
        <f t="shared" si="680"/>
        <v>10.603644646924828</v>
      </c>
      <c r="K346" s="279">
        <f t="shared" si="680"/>
        <v>11.029585798816568</v>
      </c>
      <c r="L346" s="279" t="e">
        <f t="shared" ref="L346:M346" si="681">L349/L357</f>
        <v>#DIV/0!</v>
      </c>
      <c r="M346" s="279" t="e">
        <f t="shared" si="681"/>
        <v>#DIV/0!</v>
      </c>
      <c r="N346" s="279" t="e">
        <f t="shared" ref="N346" si="682">N349/N357</f>
        <v>#DIV/0!</v>
      </c>
      <c r="P346" s="320"/>
      <c r="Q346" s="279">
        <f>Q349/Q357</f>
        <v>11.029585798816568</v>
      </c>
      <c r="R346" s="279">
        <f>R349/R357</f>
        <v>10.407239819004523</v>
      </c>
      <c r="S346" s="279" t="e">
        <f>S349/S357</f>
        <v>#DIV/0!</v>
      </c>
      <c r="T346" s="279" t="e">
        <f>T349/T357</f>
        <v>#DIV/0!</v>
      </c>
      <c r="U346" s="320"/>
      <c r="V346" s="279" t="e">
        <f>V349/V357</f>
        <v>#DIV/0!</v>
      </c>
      <c r="W346" s="279" t="e">
        <f>W349/W357</f>
        <v>#DIV/0!</v>
      </c>
      <c r="X346" s="320"/>
      <c r="Y346" s="279" t="e">
        <f>Y349/Y357</f>
        <v>#DIV/0!</v>
      </c>
      <c r="Z346" s="279" t="e">
        <f>Z349/Z357</f>
        <v>#DIV/0!</v>
      </c>
      <c r="AA346" s="320"/>
      <c r="AB346" s="279" t="e">
        <f>AB349/AB357</f>
        <v>#DIV/0!</v>
      </c>
      <c r="AC346" s="279" t="e">
        <f>AC349/AC357</f>
        <v>#DIV/0!</v>
      </c>
      <c r="AD346" s="320"/>
      <c r="AE346" s="279" t="e">
        <f>AE349/AE357</f>
        <v>#DIV/0!</v>
      </c>
      <c r="AF346" s="279" t="e">
        <f>AF349/AF357</f>
        <v>#DIV/0!</v>
      </c>
      <c r="AG346" s="320"/>
      <c r="AH346" s="279" t="e">
        <f>AH349/AH357</f>
        <v>#DIV/0!</v>
      </c>
      <c r="AI346" s="279" t="e">
        <f>AI349/AI357</f>
        <v>#DIV/0!</v>
      </c>
      <c r="AJ346" s="320"/>
      <c r="AK346" s="279" t="e">
        <f>AK349/AK357</f>
        <v>#DIV/0!</v>
      </c>
      <c r="AL346" s="279" t="e">
        <f>AL349/AL357</f>
        <v>#DIV/0!</v>
      </c>
      <c r="AM346" s="320"/>
      <c r="AN346" s="279" t="e">
        <f>AN349/AN357</f>
        <v>#DIV/0!</v>
      </c>
      <c r="AO346" s="279" t="e">
        <f>AO349/AO357</f>
        <v>#DIV/0!</v>
      </c>
      <c r="AP346" s="320"/>
      <c r="AQ346" s="279" t="e">
        <f>AQ349/AQ357</f>
        <v>#DIV/0!</v>
      </c>
      <c r="AR346" s="279" t="e">
        <f>AR349/AR357</f>
        <v>#DIV/0!</v>
      </c>
      <c r="AS346" s="320"/>
      <c r="AT346" s="279" t="e">
        <f>AT349/AT357</f>
        <v>#DIV/0!</v>
      </c>
      <c r="AU346" s="279" t="e">
        <f>AU349/AU357</f>
        <v>#DIV/0!</v>
      </c>
      <c r="AV346" s="320"/>
      <c r="AW346" s="279" t="e">
        <f>AW349/AW357</f>
        <v>#DIV/0!</v>
      </c>
      <c r="AX346" s="279" t="e">
        <f>AX349/AX357</f>
        <v>#DIV/0!</v>
      </c>
      <c r="AY346" s="320"/>
      <c r="AZ346" s="279" t="e">
        <f>AZ349/AZ357</f>
        <v>#DIV/0!</v>
      </c>
      <c r="BA346" s="279" t="e">
        <f>BA349/BA357</f>
        <v>#DIV/0!</v>
      </c>
      <c r="BB346" s="320"/>
      <c r="BC346" s="279">
        <f>BC349/BC357</f>
        <v>9.5897435897435894</v>
      </c>
      <c r="BD346" s="279">
        <f>BD349/BD357</f>
        <v>9.1707317073170724</v>
      </c>
      <c r="BE346" s="320"/>
      <c r="BF346" s="279">
        <f>BF349/BF357</f>
        <v>12.32258064516129</v>
      </c>
      <c r="BG346" s="279">
        <f>BG349/BG357</f>
        <v>12.066666666666666</v>
      </c>
      <c r="BH346" s="320"/>
      <c r="BI346" s="279">
        <f>BI349/BI357</f>
        <v>13.212121212121213</v>
      </c>
      <c r="BJ346" s="279">
        <f>BJ349/BJ357</f>
        <v>13.25</v>
      </c>
      <c r="BK346" s="320"/>
      <c r="BL346" s="279" t="e">
        <f>BL349/BL357</f>
        <v>#DIV/0!</v>
      </c>
      <c r="BM346" s="279" t="e">
        <f>BM349/BM357</f>
        <v>#DIV/0!</v>
      </c>
      <c r="BN346" s="320"/>
      <c r="BO346" s="279" t="e">
        <f>BO349/BO357</f>
        <v>#DIV/0!</v>
      </c>
      <c r="BP346" s="279" t="e">
        <f>BP349/BP357</f>
        <v>#DIV/0!</v>
      </c>
      <c r="BQ346" s="320"/>
      <c r="BR346" s="279" t="e">
        <f>BR349/BR357</f>
        <v>#DIV/0!</v>
      </c>
      <c r="BS346" s="279" t="e">
        <f>BS349/BS357</f>
        <v>#DIV/0!</v>
      </c>
      <c r="BT346" s="320"/>
      <c r="BU346" s="279" t="e">
        <f>BU349/BU357</f>
        <v>#DIV/0!</v>
      </c>
      <c r="BV346" s="279" t="e">
        <f>BV349/BV357</f>
        <v>#DIV/0!</v>
      </c>
      <c r="BW346" s="320"/>
      <c r="BX346" s="279" t="e">
        <f>BX349/BX357</f>
        <v>#DIV/0!</v>
      </c>
      <c r="BY346" s="279" t="e">
        <f>BY349/BY357</f>
        <v>#DIV/0!</v>
      </c>
      <c r="BZ346" s="320"/>
      <c r="CA346" s="279" t="e">
        <f>CA349/CA357</f>
        <v>#DIV/0!</v>
      </c>
      <c r="CB346" s="279" t="e">
        <f>CB349/CB357</f>
        <v>#DIV/0!</v>
      </c>
      <c r="CC346" s="320"/>
      <c r="CD346" s="279">
        <f>CD349/CD357</f>
        <v>7.1515151515151514</v>
      </c>
      <c r="CE346" s="279">
        <f>CE349/CE357</f>
        <v>6.0765550239234454</v>
      </c>
      <c r="CF346" s="320"/>
      <c r="CG346" s="279" t="e">
        <f>CG349/CG357</f>
        <v>#DIV/0!</v>
      </c>
      <c r="CH346" s="279" t="e">
        <f>CH349/CH357</f>
        <v>#DIV/0!</v>
      </c>
      <c r="CI346" s="320"/>
      <c r="CJ346" s="279" t="e">
        <f>CJ349/CJ357</f>
        <v>#DIV/0!</v>
      </c>
      <c r="CK346" s="279" t="e">
        <f>CK349/CK357</f>
        <v>#DIV/0!</v>
      </c>
    </row>
    <row r="347" spans="1:89" x14ac:dyDescent="0.25">
      <c r="A347" s="95"/>
      <c r="B347" s="96" t="s">
        <v>1185</v>
      </c>
      <c r="C347" s="107"/>
      <c r="D347" s="95" t="s">
        <v>950</v>
      </c>
      <c r="E347" s="279" t="e">
        <f t="shared" ref="E347:K347" si="683">E353/E358</f>
        <v>#DIV/0!</v>
      </c>
      <c r="F347" s="279" t="e">
        <f t="shared" si="683"/>
        <v>#DIV/0!</v>
      </c>
      <c r="G347" s="279" t="e">
        <f t="shared" si="683"/>
        <v>#DIV/0!</v>
      </c>
      <c r="H347" s="279" t="e">
        <f t="shared" si="683"/>
        <v>#DIV/0!</v>
      </c>
      <c r="I347" s="279" t="e">
        <f t="shared" si="683"/>
        <v>#DIV/0!</v>
      </c>
      <c r="J347" s="279" t="e">
        <f t="shared" si="683"/>
        <v>#DIV/0!</v>
      </c>
      <c r="K347" s="279" t="e">
        <f t="shared" si="683"/>
        <v>#DIV/0!</v>
      </c>
      <c r="L347" s="279" t="e">
        <f t="shared" ref="L347:M347" si="684">L353/L358</f>
        <v>#DIV/0!</v>
      </c>
      <c r="M347" s="279" t="e">
        <f t="shared" si="684"/>
        <v>#DIV/0!</v>
      </c>
      <c r="N347" s="279" t="e">
        <f t="shared" ref="N347" si="685">N353/N358</f>
        <v>#DIV/0!</v>
      </c>
      <c r="P347" s="320"/>
      <c r="Q347" s="279" t="e">
        <f>Q353/Q358</f>
        <v>#DIV/0!</v>
      </c>
      <c r="R347" s="279" t="e">
        <f>R353/R358</f>
        <v>#DIV/0!</v>
      </c>
      <c r="S347" s="279" t="e">
        <f>S353/S358</f>
        <v>#DIV/0!</v>
      </c>
      <c r="T347" s="279" t="e">
        <f>T353/T358</f>
        <v>#DIV/0!</v>
      </c>
      <c r="U347" s="320"/>
      <c r="V347" s="279" t="e">
        <f>V353/V358</f>
        <v>#DIV/0!</v>
      </c>
      <c r="W347" s="279" t="e">
        <f>W353/W358</f>
        <v>#DIV/0!</v>
      </c>
      <c r="X347" s="320"/>
      <c r="Y347" s="279" t="e">
        <f>Y353/Y358</f>
        <v>#DIV/0!</v>
      </c>
      <c r="Z347" s="279" t="e">
        <f>Z353/Z358</f>
        <v>#DIV/0!</v>
      </c>
      <c r="AA347" s="320"/>
      <c r="AB347" s="279" t="e">
        <f>AB353/AB358</f>
        <v>#DIV/0!</v>
      </c>
      <c r="AC347" s="279" t="e">
        <f>AC353/AC358</f>
        <v>#DIV/0!</v>
      </c>
      <c r="AD347" s="320"/>
      <c r="AE347" s="279" t="e">
        <f>AE353/AE358</f>
        <v>#DIV/0!</v>
      </c>
      <c r="AF347" s="279" t="e">
        <f>AF353/AF358</f>
        <v>#DIV/0!</v>
      </c>
      <c r="AG347" s="320"/>
      <c r="AH347" s="279" t="e">
        <f>AH353/AH358</f>
        <v>#DIV/0!</v>
      </c>
      <c r="AI347" s="279" t="e">
        <f>AI353/AI358</f>
        <v>#DIV/0!</v>
      </c>
      <c r="AJ347" s="320"/>
      <c r="AK347" s="279" t="e">
        <f>AK353/AK358</f>
        <v>#DIV/0!</v>
      </c>
      <c r="AL347" s="279" t="e">
        <f>AL353/AL358</f>
        <v>#DIV/0!</v>
      </c>
      <c r="AM347" s="320"/>
      <c r="AN347" s="279" t="e">
        <f>AN353/AN358</f>
        <v>#DIV/0!</v>
      </c>
      <c r="AO347" s="279" t="e">
        <f>AO353/AO358</f>
        <v>#DIV/0!</v>
      </c>
      <c r="AP347" s="320"/>
      <c r="AQ347" s="279" t="e">
        <f>AQ353/AQ358</f>
        <v>#DIV/0!</v>
      </c>
      <c r="AR347" s="279" t="e">
        <f>AR353/AR358</f>
        <v>#DIV/0!</v>
      </c>
      <c r="AS347" s="320"/>
      <c r="AT347" s="279" t="e">
        <f>AT353/AT358</f>
        <v>#DIV/0!</v>
      </c>
      <c r="AU347" s="279" t="e">
        <f>AU353/AU358</f>
        <v>#DIV/0!</v>
      </c>
      <c r="AV347" s="320"/>
      <c r="AW347" s="279" t="e">
        <f>AW353/AW358</f>
        <v>#DIV/0!</v>
      </c>
      <c r="AX347" s="279" t="e">
        <f>AX353/AX358</f>
        <v>#DIV/0!</v>
      </c>
      <c r="AY347" s="320"/>
      <c r="AZ347" s="279" t="e">
        <f>AZ353/AZ358</f>
        <v>#DIV/0!</v>
      </c>
      <c r="BA347" s="279" t="e">
        <f>BA353/BA358</f>
        <v>#DIV/0!</v>
      </c>
      <c r="BB347" s="320"/>
      <c r="BC347" s="279" t="e">
        <f>BC353/BC358</f>
        <v>#DIV/0!</v>
      </c>
      <c r="BD347" s="279" t="e">
        <f>BD353/BD358</f>
        <v>#DIV/0!</v>
      </c>
      <c r="BE347" s="320"/>
      <c r="BF347" s="279" t="e">
        <f>BF353/BF358</f>
        <v>#DIV/0!</v>
      </c>
      <c r="BG347" s="279" t="e">
        <f>BG353/BG358</f>
        <v>#DIV/0!</v>
      </c>
      <c r="BH347" s="320"/>
      <c r="BI347" s="279" t="e">
        <f>BI353/BI358</f>
        <v>#DIV/0!</v>
      </c>
      <c r="BJ347" s="279" t="e">
        <f>BJ353/BJ358</f>
        <v>#DIV/0!</v>
      </c>
      <c r="BK347" s="320"/>
      <c r="BL347" s="279" t="e">
        <f>BL353/BL358</f>
        <v>#DIV/0!</v>
      </c>
      <c r="BM347" s="279" t="e">
        <f>BM353/BM358</f>
        <v>#DIV/0!</v>
      </c>
      <c r="BN347" s="320"/>
      <c r="BO347" s="279" t="e">
        <f>BO353/BO358</f>
        <v>#DIV/0!</v>
      </c>
      <c r="BP347" s="279" t="e">
        <f>BP353/BP358</f>
        <v>#DIV/0!</v>
      </c>
      <c r="BQ347" s="320"/>
      <c r="BR347" s="279" t="e">
        <f>BR353/BR358</f>
        <v>#DIV/0!</v>
      </c>
      <c r="BS347" s="279" t="e">
        <f>BS353/BS358</f>
        <v>#DIV/0!</v>
      </c>
      <c r="BT347" s="320"/>
      <c r="BU347" s="279" t="e">
        <f>BU353/BU358</f>
        <v>#DIV/0!</v>
      </c>
      <c r="BV347" s="279" t="e">
        <f>BV353/BV358</f>
        <v>#DIV/0!</v>
      </c>
      <c r="BW347" s="320"/>
      <c r="BX347" s="279" t="e">
        <f>BX353/BX358</f>
        <v>#DIV/0!</v>
      </c>
      <c r="BY347" s="279" t="e">
        <f>BY353/BY358</f>
        <v>#DIV/0!</v>
      </c>
      <c r="BZ347" s="320"/>
      <c r="CA347" s="279" t="e">
        <f>CA353/CA358</f>
        <v>#DIV/0!</v>
      </c>
      <c r="CB347" s="279" t="e">
        <f>CB353/CB358</f>
        <v>#DIV/0!</v>
      </c>
      <c r="CC347" s="320"/>
      <c r="CD347" s="279" t="e">
        <f>CD353/CD358</f>
        <v>#DIV/0!</v>
      </c>
      <c r="CE347" s="279" t="e">
        <f>CE353/CE358</f>
        <v>#DIV/0!</v>
      </c>
      <c r="CF347" s="320"/>
      <c r="CG347" s="279" t="e">
        <f>CG353/CG358</f>
        <v>#DIV/0!</v>
      </c>
      <c r="CH347" s="279" t="e">
        <f>CH353/CH358</f>
        <v>#DIV/0!</v>
      </c>
      <c r="CI347" s="320"/>
      <c r="CJ347" s="279" t="e">
        <f>CJ353/CJ358</f>
        <v>#DIV/0!</v>
      </c>
      <c r="CK347" s="279" t="e">
        <f>CK353/CK358</f>
        <v>#DIV/0!</v>
      </c>
    </row>
    <row r="348" spans="1:89" ht="60" x14ac:dyDescent="0.25">
      <c r="A348" s="107"/>
      <c r="B348" s="16" t="s">
        <v>156</v>
      </c>
      <c r="C348" s="95" t="s">
        <v>126</v>
      </c>
      <c r="D348" s="95" t="s">
        <v>950</v>
      </c>
      <c r="E348" s="282">
        <f t="shared" ref="E348:J348" si="686">E349+E353</f>
        <v>833</v>
      </c>
      <c r="F348" s="282">
        <f t="shared" si="686"/>
        <v>883</v>
      </c>
      <c r="G348" s="282">
        <f t="shared" si="686"/>
        <v>948</v>
      </c>
      <c r="H348" s="282">
        <f t="shared" si="686"/>
        <v>828</v>
      </c>
      <c r="I348" s="282">
        <f t="shared" si="686"/>
        <v>898</v>
      </c>
      <c r="J348" s="282">
        <f t="shared" si="686"/>
        <v>931</v>
      </c>
      <c r="K348" s="282">
        <f>K349+K353</f>
        <v>932</v>
      </c>
      <c r="L348" s="282">
        <f>L349+L353</f>
        <v>0</v>
      </c>
      <c r="M348" s="282">
        <f>M349+M353</f>
        <v>0</v>
      </c>
      <c r="N348" s="282">
        <f>N349+N353</f>
        <v>0</v>
      </c>
      <c r="P348" s="302"/>
      <c r="Q348" s="282">
        <f>Q349+Q353</f>
        <v>932</v>
      </c>
      <c r="R348" s="282">
        <f>R349+R353</f>
        <v>920</v>
      </c>
      <c r="S348" s="282">
        <f>S349+S353</f>
        <v>0</v>
      </c>
      <c r="T348" s="282">
        <f>T349+T353</f>
        <v>0</v>
      </c>
      <c r="U348" s="304"/>
      <c r="V348" s="282">
        <f>V349+V353</f>
        <v>0</v>
      </c>
      <c r="W348" s="282">
        <f>W349+W353</f>
        <v>0</v>
      </c>
      <c r="X348" s="304"/>
      <c r="Y348" s="282">
        <f>Y349+Y353</f>
        <v>0</v>
      </c>
      <c r="Z348" s="282">
        <f>Z349+Z353</f>
        <v>0</v>
      </c>
      <c r="AA348" s="304"/>
      <c r="AB348" s="282">
        <f>AB349+AB353</f>
        <v>0</v>
      </c>
      <c r="AC348" s="282">
        <f>AC349+AC353</f>
        <v>0</v>
      </c>
      <c r="AD348" s="304"/>
      <c r="AE348" s="282">
        <f>AE349+AE353</f>
        <v>0</v>
      </c>
      <c r="AF348" s="282">
        <f>AF349+AF353</f>
        <v>0</v>
      </c>
      <c r="AG348" s="304"/>
      <c r="AH348" s="282">
        <f>AH349+AH353</f>
        <v>0</v>
      </c>
      <c r="AI348" s="282">
        <f>AI349+AI353</f>
        <v>0</v>
      </c>
      <c r="AJ348" s="304"/>
      <c r="AK348" s="282">
        <f>AK349+AK353</f>
        <v>0</v>
      </c>
      <c r="AL348" s="282">
        <f>AL349+AL353</f>
        <v>0</v>
      </c>
      <c r="AM348" s="304"/>
      <c r="AN348" s="282">
        <f>AN349+AN353</f>
        <v>0</v>
      </c>
      <c r="AO348" s="282">
        <f>AO349+AO353</f>
        <v>0</v>
      </c>
      <c r="AP348" s="304"/>
      <c r="AQ348" s="282">
        <f>AQ349+AQ353</f>
        <v>0</v>
      </c>
      <c r="AR348" s="282">
        <f>AR349+AR353</f>
        <v>0</v>
      </c>
      <c r="AS348" s="304"/>
      <c r="AT348" s="282">
        <f>AT349+AT353</f>
        <v>0</v>
      </c>
      <c r="AU348" s="282">
        <f>AU349+AU353</f>
        <v>0</v>
      </c>
      <c r="AV348" s="304"/>
      <c r="AW348" s="282">
        <f>AW349+AW353</f>
        <v>0</v>
      </c>
      <c r="AX348" s="282">
        <f>AX349+AX353</f>
        <v>0</v>
      </c>
      <c r="AY348" s="304"/>
      <c r="AZ348" s="282">
        <f>AZ349+AZ353</f>
        <v>0</v>
      </c>
      <c r="BA348" s="282">
        <f>BA349+BA353</f>
        <v>0</v>
      </c>
      <c r="BB348" s="304"/>
      <c r="BC348" s="282">
        <f>BC349+BC353</f>
        <v>187</v>
      </c>
      <c r="BD348" s="282">
        <f>BD349+BD353</f>
        <v>188</v>
      </c>
      <c r="BE348" s="304"/>
      <c r="BF348" s="282">
        <f>BF349+BF353</f>
        <v>191</v>
      </c>
      <c r="BG348" s="282">
        <f>BG349+BG353</f>
        <v>181</v>
      </c>
      <c r="BH348" s="304"/>
      <c r="BI348" s="282">
        <f>BI349+BI353</f>
        <v>436</v>
      </c>
      <c r="BJ348" s="282">
        <f>BJ349+BJ353</f>
        <v>424</v>
      </c>
      <c r="BK348" s="304"/>
      <c r="BL348" s="282">
        <f>BL349+BL353</f>
        <v>0</v>
      </c>
      <c r="BM348" s="282">
        <f>BM349+BM353</f>
        <v>0</v>
      </c>
      <c r="BN348" s="304"/>
      <c r="BO348" s="282">
        <f>BO349+BO353</f>
        <v>0</v>
      </c>
      <c r="BP348" s="282">
        <f>BP349+BP353</f>
        <v>0</v>
      </c>
      <c r="BQ348" s="304"/>
      <c r="BR348" s="282">
        <f>BR349+BR353</f>
        <v>0</v>
      </c>
      <c r="BS348" s="282">
        <f>BS349+BS353</f>
        <v>0</v>
      </c>
      <c r="BT348" s="304"/>
      <c r="BU348" s="282">
        <f>BU349+BU353</f>
        <v>0</v>
      </c>
      <c r="BV348" s="282">
        <f>BV349+BV353</f>
        <v>0</v>
      </c>
      <c r="BW348" s="304"/>
      <c r="BX348" s="282">
        <f>BX349+BX353</f>
        <v>0</v>
      </c>
      <c r="BY348" s="282">
        <f>BY349+BY353</f>
        <v>0</v>
      </c>
      <c r="BZ348" s="304"/>
      <c r="CA348" s="282">
        <f>CA349+CA353</f>
        <v>0</v>
      </c>
      <c r="CB348" s="282">
        <f>CB349+CB353</f>
        <v>0</v>
      </c>
      <c r="CC348" s="304"/>
      <c r="CD348" s="282">
        <f>CD349+CD353</f>
        <v>118</v>
      </c>
      <c r="CE348" s="282">
        <f>CE349+CE353</f>
        <v>127</v>
      </c>
      <c r="CF348" s="304"/>
      <c r="CG348" s="282">
        <f>CG349+CG353</f>
        <v>0</v>
      </c>
      <c r="CH348" s="282">
        <f>CH349+CH353</f>
        <v>0</v>
      </c>
      <c r="CI348" s="304"/>
      <c r="CJ348" s="282">
        <f>CJ349+CJ353</f>
        <v>0</v>
      </c>
      <c r="CK348" s="282">
        <f>CK349+CK353</f>
        <v>0</v>
      </c>
    </row>
    <row r="349" spans="1:89" x14ac:dyDescent="0.25">
      <c r="A349" s="321"/>
      <c r="B349" s="96" t="s">
        <v>1183</v>
      </c>
      <c r="C349" s="95"/>
      <c r="D349" s="95" t="s">
        <v>950</v>
      </c>
      <c r="E349" s="282">
        <v>833</v>
      </c>
      <c r="F349" s="282">
        <v>883</v>
      </c>
      <c r="G349" s="282">
        <v>948</v>
      </c>
      <c r="H349" s="282">
        <f>H350+H351+H352</f>
        <v>828</v>
      </c>
      <c r="I349" s="282">
        <f>I350+I351+I352</f>
        <v>898</v>
      </c>
      <c r="J349" s="282">
        <f>J350+J351+J352</f>
        <v>931</v>
      </c>
      <c r="K349" s="282">
        <f>K350+K351+K352</f>
        <v>932</v>
      </c>
      <c r="L349" s="282">
        <f>L350+L351+L352</f>
        <v>0</v>
      </c>
      <c r="M349" s="282">
        <f t="shared" ref="M349:N349" si="687">M350+M351+M352</f>
        <v>0</v>
      </c>
      <c r="N349" s="282">
        <f t="shared" si="687"/>
        <v>0</v>
      </c>
      <c r="P349" s="304"/>
      <c r="Q349" s="282">
        <f>Q350+Q351+Q352</f>
        <v>932</v>
      </c>
      <c r="R349" s="282">
        <f>R350+R351+R352</f>
        <v>920</v>
      </c>
      <c r="S349" s="282">
        <f>S350+S351+S352</f>
        <v>0</v>
      </c>
      <c r="T349" s="282">
        <f>T350+T351+T352</f>
        <v>0</v>
      </c>
      <c r="U349" s="304"/>
      <c r="V349" s="282">
        <f>V350+V351+V352</f>
        <v>0</v>
      </c>
      <c r="W349" s="282">
        <f>W350+W351+W352</f>
        <v>0</v>
      </c>
      <c r="X349" s="304"/>
      <c r="Y349" s="282">
        <f>Y350+Y351+Y352</f>
        <v>0</v>
      </c>
      <c r="Z349" s="282">
        <f>Z350+Z351+Z352</f>
        <v>0</v>
      </c>
      <c r="AA349" s="304"/>
      <c r="AB349" s="282">
        <f>AB350+AB351+AB352</f>
        <v>0</v>
      </c>
      <c r="AC349" s="282">
        <f>AC350+AC351+AC352</f>
        <v>0</v>
      </c>
      <c r="AD349" s="304"/>
      <c r="AE349" s="282">
        <f>AE350+AE351+AE352</f>
        <v>0</v>
      </c>
      <c r="AF349" s="282">
        <f>AF350+AF351+AF352</f>
        <v>0</v>
      </c>
      <c r="AG349" s="304"/>
      <c r="AH349" s="282">
        <f>AH350+AH351+AH352</f>
        <v>0</v>
      </c>
      <c r="AI349" s="282">
        <f>AI350+AI351+AI352</f>
        <v>0</v>
      </c>
      <c r="AJ349" s="304"/>
      <c r="AK349" s="282">
        <f>AK350+AK351+AK352</f>
        <v>0</v>
      </c>
      <c r="AL349" s="282">
        <f>AL350+AL351+AL352</f>
        <v>0</v>
      </c>
      <c r="AM349" s="304"/>
      <c r="AN349" s="282">
        <f>AN350+AN351+AN352</f>
        <v>0</v>
      </c>
      <c r="AO349" s="282">
        <f>AO350+AO351+AO352</f>
        <v>0</v>
      </c>
      <c r="AP349" s="304"/>
      <c r="AQ349" s="282">
        <f>AQ350+AQ351+AQ352</f>
        <v>0</v>
      </c>
      <c r="AR349" s="282">
        <f>AR350+AR351+AR352</f>
        <v>0</v>
      </c>
      <c r="AS349" s="304"/>
      <c r="AT349" s="282">
        <f>AT350+AT351+AT352</f>
        <v>0</v>
      </c>
      <c r="AU349" s="282">
        <f>AU350+AU351+AU352</f>
        <v>0</v>
      </c>
      <c r="AV349" s="304"/>
      <c r="AW349" s="282">
        <f>AW350+AW351+AW352</f>
        <v>0</v>
      </c>
      <c r="AX349" s="282">
        <f>AX350+AX351+AX352</f>
        <v>0</v>
      </c>
      <c r="AY349" s="304"/>
      <c r="AZ349" s="282">
        <f>AZ350+AZ351+AZ352</f>
        <v>0</v>
      </c>
      <c r="BA349" s="282">
        <f>BA350+BA351+BA352</f>
        <v>0</v>
      </c>
      <c r="BB349" s="304"/>
      <c r="BC349" s="282">
        <f>BC350+BC351+BC352</f>
        <v>187</v>
      </c>
      <c r="BD349" s="282">
        <f>BD350+BD351+BD352</f>
        <v>188</v>
      </c>
      <c r="BE349" s="304"/>
      <c r="BF349" s="282">
        <f>BF350+BF351+BF352</f>
        <v>191</v>
      </c>
      <c r="BG349" s="282">
        <f>BG350+BG351+BG352</f>
        <v>181</v>
      </c>
      <c r="BH349" s="304"/>
      <c r="BI349" s="282">
        <f>BI350+BI351+BI352</f>
        <v>436</v>
      </c>
      <c r="BJ349" s="282">
        <f>BJ350+BJ351+BJ352</f>
        <v>424</v>
      </c>
      <c r="BK349" s="304"/>
      <c r="BL349" s="282">
        <f>BL350+BL351+BL352</f>
        <v>0</v>
      </c>
      <c r="BM349" s="282">
        <f>BM350+BM351+BM352</f>
        <v>0</v>
      </c>
      <c r="BN349" s="304"/>
      <c r="BO349" s="282">
        <f>BO350+BO351+BO352</f>
        <v>0</v>
      </c>
      <c r="BP349" s="282">
        <f>BP350+BP351+BP352</f>
        <v>0</v>
      </c>
      <c r="BQ349" s="304"/>
      <c r="BR349" s="282">
        <f>BR350+BR351+BR352</f>
        <v>0</v>
      </c>
      <c r="BS349" s="282">
        <f>BS350+BS351+BS352</f>
        <v>0</v>
      </c>
      <c r="BT349" s="304"/>
      <c r="BU349" s="282">
        <f>BU350+BU351+BU352</f>
        <v>0</v>
      </c>
      <c r="BV349" s="282">
        <f>BV350+BV351+BV352</f>
        <v>0</v>
      </c>
      <c r="BW349" s="304"/>
      <c r="BX349" s="282">
        <f>BX350+BX351+BX352</f>
        <v>0</v>
      </c>
      <c r="BY349" s="282">
        <f>BY350+BY351+BY352</f>
        <v>0</v>
      </c>
      <c r="BZ349" s="304"/>
      <c r="CA349" s="282">
        <f>CA350+CA351+CA352</f>
        <v>0</v>
      </c>
      <c r="CB349" s="282">
        <f>CB350+CB351+CB352</f>
        <v>0</v>
      </c>
      <c r="CC349" s="304"/>
      <c r="CD349" s="282">
        <f>CD350+CD351+CD352</f>
        <v>118</v>
      </c>
      <c r="CE349" s="282">
        <f>CE350+CE351+CE352</f>
        <v>127</v>
      </c>
      <c r="CF349" s="304"/>
      <c r="CG349" s="282">
        <f>CG350+CG351+CG352</f>
        <v>0</v>
      </c>
      <c r="CH349" s="282">
        <f>CH350+CH351+CH352</f>
        <v>0</v>
      </c>
      <c r="CI349" s="304"/>
      <c r="CJ349" s="282">
        <f>CJ350+CJ351+CJ352</f>
        <v>0</v>
      </c>
      <c r="CK349" s="282">
        <f>CK350+CK351+CK352</f>
        <v>0</v>
      </c>
    </row>
    <row r="350" spans="1:89" ht="30" x14ac:dyDescent="0.25">
      <c r="A350" s="321"/>
      <c r="B350" s="312"/>
      <c r="C350" s="312" t="s">
        <v>1489</v>
      </c>
      <c r="D350" s="95"/>
      <c r="E350" s="282"/>
      <c r="F350" s="282"/>
      <c r="G350" s="282"/>
      <c r="H350" s="282">
        <v>828</v>
      </c>
      <c r="I350" s="282">
        <v>898</v>
      </c>
      <c r="J350" s="282">
        <f t="shared" ref="J350:K352" si="688">J56</f>
        <v>931</v>
      </c>
      <c r="K350" s="282">
        <f t="shared" si="688"/>
        <v>932</v>
      </c>
      <c r="L350" s="282">
        <f t="shared" ref="L350:M352" si="689">L56</f>
        <v>0</v>
      </c>
      <c r="M350" s="282">
        <f t="shared" si="689"/>
        <v>0</v>
      </c>
      <c r="N350" s="282">
        <f t="shared" ref="N350" si="690">N56</f>
        <v>0</v>
      </c>
      <c r="P350" s="304"/>
      <c r="Q350" s="283">
        <f t="shared" ref="Q350:R352" si="691">S350+V350+Y350+AB350+AE350+AH350+AK350+AN350+AQ350+AT350+AW350+AZ350+BC350+BF350+BI350+BL350+BO350+BR350+BU350+BX350+CA350+CD350+CG350+CJ350</f>
        <v>932</v>
      </c>
      <c r="R350" s="283">
        <f t="shared" si="691"/>
        <v>920</v>
      </c>
      <c r="S350" s="283">
        <f t="shared" ref="S350:T352" si="692">S56</f>
        <v>0</v>
      </c>
      <c r="T350" s="283">
        <f t="shared" si="692"/>
        <v>0</v>
      </c>
      <c r="U350" s="283"/>
      <c r="V350" s="283">
        <f t="shared" ref="V350:W352" si="693">V56</f>
        <v>0</v>
      </c>
      <c r="W350" s="283">
        <f t="shared" si="693"/>
        <v>0</v>
      </c>
      <c r="Y350" s="283">
        <f t="shared" ref="Y350:Z352" si="694">Y56</f>
        <v>0</v>
      </c>
      <c r="Z350" s="283">
        <f t="shared" si="694"/>
        <v>0</v>
      </c>
      <c r="AB350" s="283">
        <f t="shared" ref="AB350:AC352" si="695">AB56</f>
        <v>0</v>
      </c>
      <c r="AC350" s="283">
        <f t="shared" si="695"/>
        <v>0</v>
      </c>
      <c r="AD350" s="283"/>
      <c r="AE350" s="283">
        <f t="shared" ref="AE350:AF352" si="696">AE56</f>
        <v>0</v>
      </c>
      <c r="AF350" s="283">
        <f t="shared" si="696"/>
        <v>0</v>
      </c>
      <c r="AH350" s="283">
        <f t="shared" ref="AH350:AI352" si="697">AH56</f>
        <v>0</v>
      </c>
      <c r="AI350" s="283">
        <f t="shared" si="697"/>
        <v>0</v>
      </c>
      <c r="AK350" s="283">
        <f t="shared" ref="AK350:AL352" si="698">AK56</f>
        <v>0</v>
      </c>
      <c r="AL350" s="283">
        <f t="shared" si="698"/>
        <v>0</v>
      </c>
      <c r="AM350" s="283"/>
      <c r="AN350" s="283">
        <f t="shared" ref="AN350:AO352" si="699">AN56</f>
        <v>0</v>
      </c>
      <c r="AO350" s="283">
        <f t="shared" si="699"/>
        <v>0</v>
      </c>
      <c r="AQ350" s="283">
        <f t="shared" ref="AQ350:AR352" si="700">AQ56</f>
        <v>0</v>
      </c>
      <c r="AR350" s="283">
        <f t="shared" si="700"/>
        <v>0</v>
      </c>
      <c r="AT350" s="283">
        <f t="shared" ref="AT350:AU352" si="701">AT56</f>
        <v>0</v>
      </c>
      <c r="AU350" s="283">
        <f t="shared" si="701"/>
        <v>0</v>
      </c>
      <c r="AV350" s="283"/>
      <c r="AW350" s="283">
        <f t="shared" ref="AW350:AX352" si="702">AW56</f>
        <v>0</v>
      </c>
      <c r="AX350" s="283">
        <f t="shared" si="702"/>
        <v>0</v>
      </c>
      <c r="AZ350" s="283">
        <f t="shared" ref="AZ350:BA352" si="703">AZ56</f>
        <v>0</v>
      </c>
      <c r="BA350" s="283">
        <f t="shared" si="703"/>
        <v>0</v>
      </c>
      <c r="BC350" s="283">
        <f t="shared" ref="BC350:BD352" si="704">BC56</f>
        <v>187</v>
      </c>
      <c r="BD350" s="283">
        <f t="shared" si="704"/>
        <v>188</v>
      </c>
      <c r="BE350" s="283"/>
      <c r="BF350" s="283">
        <f t="shared" ref="BF350:BG352" si="705">BF56</f>
        <v>191</v>
      </c>
      <c r="BG350" s="283">
        <f t="shared" si="705"/>
        <v>181</v>
      </c>
      <c r="BI350" s="283">
        <f t="shared" ref="BI350:BJ352" si="706">BI56</f>
        <v>436</v>
      </c>
      <c r="BJ350" s="283">
        <f t="shared" si="706"/>
        <v>424</v>
      </c>
      <c r="BL350" s="283">
        <f t="shared" ref="BL350:BM352" si="707">BL56</f>
        <v>0</v>
      </c>
      <c r="BM350" s="283">
        <f t="shared" si="707"/>
        <v>0</v>
      </c>
      <c r="BN350" s="283"/>
      <c r="BO350" s="283">
        <f t="shared" ref="BO350:BP352" si="708">BO56</f>
        <v>0</v>
      </c>
      <c r="BP350" s="283">
        <f t="shared" si="708"/>
        <v>0</v>
      </c>
      <c r="BR350" s="283">
        <f t="shared" ref="BR350:BS352" si="709">BR56</f>
        <v>0</v>
      </c>
      <c r="BS350" s="283">
        <f t="shared" si="709"/>
        <v>0</v>
      </c>
      <c r="BU350" s="283">
        <f t="shared" ref="BU350:BV352" si="710">BU56</f>
        <v>0</v>
      </c>
      <c r="BV350" s="283">
        <f t="shared" si="710"/>
        <v>0</v>
      </c>
      <c r="BW350" s="283"/>
      <c r="BX350" s="283">
        <f t="shared" ref="BX350:BY352" si="711">BX56</f>
        <v>0</v>
      </c>
      <c r="BY350" s="283">
        <f t="shared" si="711"/>
        <v>0</v>
      </c>
      <c r="CA350" s="283">
        <f t="shared" ref="CA350:CB352" si="712">CA56</f>
        <v>0</v>
      </c>
      <c r="CB350" s="283">
        <f t="shared" si="712"/>
        <v>0</v>
      </c>
      <c r="CD350" s="283">
        <f t="shared" ref="CD350:CE352" si="713">CD56</f>
        <v>118</v>
      </c>
      <c r="CE350" s="283">
        <f t="shared" si="713"/>
        <v>127</v>
      </c>
      <c r="CF350" s="283"/>
      <c r="CG350" s="283">
        <f t="shared" ref="CG350:CH352" si="714">CG56</f>
        <v>0</v>
      </c>
      <c r="CH350" s="283">
        <f t="shared" si="714"/>
        <v>0</v>
      </c>
      <c r="CJ350" s="283">
        <f t="shared" ref="CJ350:CK352" si="715">CJ56</f>
        <v>0</v>
      </c>
      <c r="CK350" s="283">
        <f t="shared" si="715"/>
        <v>0</v>
      </c>
    </row>
    <row r="351" spans="1:89" ht="30" x14ac:dyDescent="0.25">
      <c r="A351" s="321"/>
      <c r="B351" s="312"/>
      <c r="C351" s="312" t="s">
        <v>1490</v>
      </c>
      <c r="D351" s="95"/>
      <c r="E351" s="282"/>
      <c r="F351" s="282"/>
      <c r="G351" s="282"/>
      <c r="H351" s="282">
        <v>0</v>
      </c>
      <c r="I351" s="282">
        <v>0</v>
      </c>
      <c r="J351" s="282">
        <f t="shared" si="688"/>
        <v>0</v>
      </c>
      <c r="K351" s="282">
        <f t="shared" si="688"/>
        <v>0</v>
      </c>
      <c r="L351" s="282">
        <f t="shared" ref="L351" si="716">L57</f>
        <v>0</v>
      </c>
      <c r="M351" s="282">
        <f t="shared" si="689"/>
        <v>0</v>
      </c>
      <c r="N351" s="282">
        <f t="shared" ref="N351" si="717">N57</f>
        <v>0</v>
      </c>
      <c r="P351" s="304"/>
      <c r="Q351" s="283">
        <f t="shared" si="691"/>
        <v>0</v>
      </c>
      <c r="R351" s="283">
        <f t="shared" si="691"/>
        <v>0</v>
      </c>
      <c r="S351" s="283">
        <f t="shared" si="692"/>
        <v>0</v>
      </c>
      <c r="T351" s="283">
        <f t="shared" si="692"/>
        <v>0</v>
      </c>
      <c r="U351" s="283"/>
      <c r="V351" s="283">
        <f t="shared" si="693"/>
        <v>0</v>
      </c>
      <c r="W351" s="283">
        <f t="shared" si="693"/>
        <v>0</v>
      </c>
      <c r="Y351" s="283">
        <f t="shared" si="694"/>
        <v>0</v>
      </c>
      <c r="Z351" s="283">
        <f t="shared" si="694"/>
        <v>0</v>
      </c>
      <c r="AB351" s="283">
        <f t="shared" si="695"/>
        <v>0</v>
      </c>
      <c r="AC351" s="283">
        <f t="shared" si="695"/>
        <v>0</v>
      </c>
      <c r="AD351" s="283"/>
      <c r="AE351" s="283">
        <f t="shared" si="696"/>
        <v>0</v>
      </c>
      <c r="AF351" s="283">
        <f t="shared" si="696"/>
        <v>0</v>
      </c>
      <c r="AH351" s="283">
        <f t="shared" si="697"/>
        <v>0</v>
      </c>
      <c r="AI351" s="283">
        <f t="shared" si="697"/>
        <v>0</v>
      </c>
      <c r="AK351" s="283">
        <f t="shared" si="698"/>
        <v>0</v>
      </c>
      <c r="AL351" s="283">
        <f t="shared" si="698"/>
        <v>0</v>
      </c>
      <c r="AM351" s="283"/>
      <c r="AN351" s="283">
        <f t="shared" si="699"/>
        <v>0</v>
      </c>
      <c r="AO351" s="283">
        <f t="shared" si="699"/>
        <v>0</v>
      </c>
      <c r="AQ351" s="283">
        <f t="shared" si="700"/>
        <v>0</v>
      </c>
      <c r="AR351" s="283">
        <f t="shared" si="700"/>
        <v>0</v>
      </c>
      <c r="AT351" s="283">
        <f t="shared" si="701"/>
        <v>0</v>
      </c>
      <c r="AU351" s="283">
        <f t="shared" si="701"/>
        <v>0</v>
      </c>
      <c r="AV351" s="283"/>
      <c r="AW351" s="283">
        <f t="shared" si="702"/>
        <v>0</v>
      </c>
      <c r="AX351" s="283">
        <f t="shared" si="702"/>
        <v>0</v>
      </c>
      <c r="AZ351" s="283">
        <f t="shared" si="703"/>
        <v>0</v>
      </c>
      <c r="BA351" s="283">
        <f t="shared" si="703"/>
        <v>0</v>
      </c>
      <c r="BC351" s="283">
        <f t="shared" si="704"/>
        <v>0</v>
      </c>
      <c r="BD351" s="283">
        <f t="shared" si="704"/>
        <v>0</v>
      </c>
      <c r="BE351" s="283"/>
      <c r="BF351" s="283">
        <f t="shared" si="705"/>
        <v>0</v>
      </c>
      <c r="BG351" s="283">
        <f t="shared" si="705"/>
        <v>0</v>
      </c>
      <c r="BI351" s="283">
        <f t="shared" si="706"/>
        <v>0</v>
      </c>
      <c r="BJ351" s="283">
        <f t="shared" si="706"/>
        <v>0</v>
      </c>
      <c r="BL351" s="283">
        <f t="shared" si="707"/>
        <v>0</v>
      </c>
      <c r="BM351" s="283">
        <f t="shared" si="707"/>
        <v>0</v>
      </c>
      <c r="BN351" s="283"/>
      <c r="BO351" s="283">
        <f t="shared" si="708"/>
        <v>0</v>
      </c>
      <c r="BP351" s="283">
        <f t="shared" si="708"/>
        <v>0</v>
      </c>
      <c r="BR351" s="283">
        <f t="shared" si="709"/>
        <v>0</v>
      </c>
      <c r="BS351" s="283">
        <f t="shared" si="709"/>
        <v>0</v>
      </c>
      <c r="BU351" s="283">
        <f t="shared" si="710"/>
        <v>0</v>
      </c>
      <c r="BV351" s="283">
        <f t="shared" si="710"/>
        <v>0</v>
      </c>
      <c r="BW351" s="283"/>
      <c r="BX351" s="283">
        <f t="shared" si="711"/>
        <v>0</v>
      </c>
      <c r="BY351" s="283">
        <f t="shared" si="711"/>
        <v>0</v>
      </c>
      <c r="CA351" s="283">
        <f t="shared" si="712"/>
        <v>0</v>
      </c>
      <c r="CB351" s="283">
        <f t="shared" si="712"/>
        <v>0</v>
      </c>
      <c r="CD351" s="283">
        <f t="shared" si="713"/>
        <v>0</v>
      </c>
      <c r="CE351" s="283">
        <f t="shared" si="713"/>
        <v>0</v>
      </c>
      <c r="CF351" s="283"/>
      <c r="CG351" s="283">
        <f t="shared" si="714"/>
        <v>0</v>
      </c>
      <c r="CH351" s="283">
        <f t="shared" si="714"/>
        <v>0</v>
      </c>
      <c r="CJ351" s="283">
        <f t="shared" si="715"/>
        <v>0</v>
      </c>
      <c r="CK351" s="283">
        <f t="shared" si="715"/>
        <v>0</v>
      </c>
    </row>
    <row r="352" spans="1:89" ht="30" x14ac:dyDescent="0.25">
      <c r="A352" s="321"/>
      <c r="B352" s="312"/>
      <c r="C352" s="312" t="s">
        <v>1491</v>
      </c>
      <c r="D352" s="95"/>
      <c r="E352" s="282"/>
      <c r="F352" s="282"/>
      <c r="G352" s="282"/>
      <c r="H352" s="282">
        <v>0</v>
      </c>
      <c r="I352" s="282">
        <v>0</v>
      </c>
      <c r="J352" s="282">
        <f t="shared" si="688"/>
        <v>0</v>
      </c>
      <c r="K352" s="282">
        <f t="shared" si="688"/>
        <v>0</v>
      </c>
      <c r="L352" s="282">
        <f t="shared" ref="L352" si="718">L58</f>
        <v>0</v>
      </c>
      <c r="M352" s="282">
        <f t="shared" si="689"/>
        <v>0</v>
      </c>
      <c r="N352" s="282">
        <f t="shared" ref="N352" si="719">N58</f>
        <v>0</v>
      </c>
      <c r="P352" s="304"/>
      <c r="Q352" s="283">
        <f t="shared" si="691"/>
        <v>0</v>
      </c>
      <c r="R352" s="283">
        <f t="shared" si="691"/>
        <v>0</v>
      </c>
      <c r="S352" s="283">
        <f t="shared" si="692"/>
        <v>0</v>
      </c>
      <c r="T352" s="283">
        <f t="shared" si="692"/>
        <v>0</v>
      </c>
      <c r="U352" s="283"/>
      <c r="V352" s="283">
        <f t="shared" si="693"/>
        <v>0</v>
      </c>
      <c r="W352" s="283">
        <f t="shared" si="693"/>
        <v>0</v>
      </c>
      <c r="Y352" s="283">
        <f t="shared" si="694"/>
        <v>0</v>
      </c>
      <c r="Z352" s="283">
        <f t="shared" si="694"/>
        <v>0</v>
      </c>
      <c r="AB352" s="283">
        <f t="shared" si="695"/>
        <v>0</v>
      </c>
      <c r="AC352" s="283">
        <f t="shared" si="695"/>
        <v>0</v>
      </c>
      <c r="AD352" s="283"/>
      <c r="AE352" s="283">
        <f t="shared" si="696"/>
        <v>0</v>
      </c>
      <c r="AF352" s="283">
        <f t="shared" si="696"/>
        <v>0</v>
      </c>
      <c r="AH352" s="283">
        <f t="shared" si="697"/>
        <v>0</v>
      </c>
      <c r="AI352" s="283">
        <f t="shared" si="697"/>
        <v>0</v>
      </c>
      <c r="AK352" s="283">
        <f t="shared" si="698"/>
        <v>0</v>
      </c>
      <c r="AL352" s="283">
        <f t="shared" si="698"/>
        <v>0</v>
      </c>
      <c r="AM352" s="283"/>
      <c r="AN352" s="283">
        <f t="shared" si="699"/>
        <v>0</v>
      </c>
      <c r="AO352" s="283">
        <f t="shared" si="699"/>
        <v>0</v>
      </c>
      <c r="AQ352" s="283">
        <f t="shared" si="700"/>
        <v>0</v>
      </c>
      <c r="AR352" s="283">
        <f t="shared" si="700"/>
        <v>0</v>
      </c>
      <c r="AT352" s="283">
        <f t="shared" si="701"/>
        <v>0</v>
      </c>
      <c r="AU352" s="283">
        <f t="shared" si="701"/>
        <v>0</v>
      </c>
      <c r="AV352" s="283"/>
      <c r="AW352" s="283">
        <f t="shared" si="702"/>
        <v>0</v>
      </c>
      <c r="AX352" s="283">
        <f t="shared" si="702"/>
        <v>0</v>
      </c>
      <c r="AZ352" s="283">
        <f t="shared" si="703"/>
        <v>0</v>
      </c>
      <c r="BA352" s="283">
        <f t="shared" si="703"/>
        <v>0</v>
      </c>
      <c r="BC352" s="283">
        <f t="shared" si="704"/>
        <v>0</v>
      </c>
      <c r="BD352" s="283">
        <f t="shared" si="704"/>
        <v>0</v>
      </c>
      <c r="BE352" s="283"/>
      <c r="BF352" s="283">
        <f t="shared" si="705"/>
        <v>0</v>
      </c>
      <c r="BG352" s="283">
        <f t="shared" si="705"/>
        <v>0</v>
      </c>
      <c r="BI352" s="283">
        <f t="shared" si="706"/>
        <v>0</v>
      </c>
      <c r="BJ352" s="283">
        <f t="shared" si="706"/>
        <v>0</v>
      </c>
      <c r="BL352" s="283">
        <f t="shared" si="707"/>
        <v>0</v>
      </c>
      <c r="BM352" s="283">
        <f t="shared" si="707"/>
        <v>0</v>
      </c>
      <c r="BN352" s="283"/>
      <c r="BO352" s="283">
        <f t="shared" si="708"/>
        <v>0</v>
      </c>
      <c r="BP352" s="283">
        <f t="shared" si="708"/>
        <v>0</v>
      </c>
      <c r="BR352" s="283">
        <f t="shared" si="709"/>
        <v>0</v>
      </c>
      <c r="BS352" s="283">
        <f t="shared" si="709"/>
        <v>0</v>
      </c>
      <c r="BU352" s="283">
        <f t="shared" si="710"/>
        <v>0</v>
      </c>
      <c r="BV352" s="283">
        <f t="shared" si="710"/>
        <v>0</v>
      </c>
      <c r="BW352" s="283"/>
      <c r="BX352" s="283">
        <f t="shared" si="711"/>
        <v>0</v>
      </c>
      <c r="BY352" s="283">
        <f t="shared" si="711"/>
        <v>0</v>
      </c>
      <c r="CA352" s="283">
        <f t="shared" si="712"/>
        <v>0</v>
      </c>
      <c r="CB352" s="283">
        <f t="shared" si="712"/>
        <v>0</v>
      </c>
      <c r="CD352" s="283">
        <f t="shared" si="713"/>
        <v>0</v>
      </c>
      <c r="CE352" s="283">
        <f t="shared" si="713"/>
        <v>0</v>
      </c>
      <c r="CF352" s="283"/>
      <c r="CG352" s="283">
        <f t="shared" si="714"/>
        <v>0</v>
      </c>
      <c r="CH352" s="283">
        <f t="shared" si="714"/>
        <v>0</v>
      </c>
      <c r="CJ352" s="283">
        <f t="shared" si="715"/>
        <v>0</v>
      </c>
      <c r="CK352" s="283">
        <f t="shared" si="715"/>
        <v>0</v>
      </c>
    </row>
    <row r="353" spans="1:98" x14ac:dyDescent="0.25">
      <c r="A353" s="321"/>
      <c r="B353" s="96" t="s">
        <v>1185</v>
      </c>
      <c r="C353" s="95"/>
      <c r="D353" s="95" t="s">
        <v>950</v>
      </c>
      <c r="E353" s="282">
        <v>0</v>
      </c>
      <c r="F353" s="282">
        <v>0</v>
      </c>
      <c r="G353" s="282">
        <v>0</v>
      </c>
      <c r="H353" s="282">
        <f>H354+H355+H356</f>
        <v>0</v>
      </c>
      <c r="I353" s="282">
        <f>I354+I355+I356</f>
        <v>0</v>
      </c>
      <c r="J353" s="282">
        <f>J354+J355+J356</f>
        <v>0</v>
      </c>
      <c r="K353" s="282">
        <f>K354+K355+K356</f>
        <v>0</v>
      </c>
      <c r="L353" s="282">
        <f>L354+L355+L356</f>
        <v>0</v>
      </c>
      <c r="M353" s="282">
        <f t="shared" ref="M353:N353" si="720">M354+M355+M356</f>
        <v>0</v>
      </c>
      <c r="N353" s="282">
        <f t="shared" si="720"/>
        <v>0</v>
      </c>
      <c r="P353" s="304"/>
      <c r="Q353" s="282">
        <f>Q354+Q355+Q356</f>
        <v>0</v>
      </c>
      <c r="R353" s="282">
        <f>R354+R355+R356</f>
        <v>0</v>
      </c>
      <c r="S353" s="282">
        <f>S354+S355+S356</f>
        <v>0</v>
      </c>
      <c r="T353" s="282">
        <f>T354+T355+T356</f>
        <v>0</v>
      </c>
      <c r="U353" s="304"/>
      <c r="V353" s="282">
        <f>V354+V355+V356</f>
        <v>0</v>
      </c>
      <c r="W353" s="282">
        <f>W354+W355+W356</f>
        <v>0</v>
      </c>
      <c r="X353" s="304"/>
      <c r="Y353" s="282">
        <f>Y354+Y355+Y356</f>
        <v>0</v>
      </c>
      <c r="Z353" s="282">
        <f>Z354+Z355+Z356</f>
        <v>0</v>
      </c>
      <c r="AA353" s="304"/>
      <c r="AB353" s="282">
        <f>AB354+AB355+AB356</f>
        <v>0</v>
      </c>
      <c r="AC353" s="282">
        <f>AC354+AC355+AC356</f>
        <v>0</v>
      </c>
      <c r="AD353" s="304"/>
      <c r="AE353" s="282">
        <f>AE354+AE355+AE356</f>
        <v>0</v>
      </c>
      <c r="AF353" s="282">
        <f>AF354+AF355+AF356</f>
        <v>0</v>
      </c>
      <c r="AG353" s="304"/>
      <c r="AH353" s="282">
        <f>AH354+AH355+AH356</f>
        <v>0</v>
      </c>
      <c r="AI353" s="282">
        <f>AI354+AI355+AI356</f>
        <v>0</v>
      </c>
      <c r="AJ353" s="304"/>
      <c r="AK353" s="282">
        <f>AK354+AK355+AK356</f>
        <v>0</v>
      </c>
      <c r="AL353" s="282">
        <f>AL354+AL355+AL356</f>
        <v>0</v>
      </c>
      <c r="AM353" s="304"/>
      <c r="AN353" s="282">
        <f>AN354+AN355+AN356</f>
        <v>0</v>
      </c>
      <c r="AO353" s="282">
        <f>AO354+AO355+AO356</f>
        <v>0</v>
      </c>
      <c r="AP353" s="304"/>
      <c r="AQ353" s="282">
        <f>AQ354+AQ355+AQ356</f>
        <v>0</v>
      </c>
      <c r="AR353" s="282">
        <f>AR354+AR355+AR356</f>
        <v>0</v>
      </c>
      <c r="AS353" s="304"/>
      <c r="AT353" s="282">
        <f>AT354+AT355+AT356</f>
        <v>0</v>
      </c>
      <c r="AU353" s="282">
        <f>AU354+AU355+AU356</f>
        <v>0</v>
      </c>
      <c r="AV353" s="304"/>
      <c r="AW353" s="282">
        <f>AW354+AW355+AW356</f>
        <v>0</v>
      </c>
      <c r="AX353" s="282">
        <f>AX354+AX355+AX356</f>
        <v>0</v>
      </c>
      <c r="AY353" s="304"/>
      <c r="AZ353" s="282">
        <f>AZ354+AZ355+AZ356</f>
        <v>0</v>
      </c>
      <c r="BA353" s="282">
        <f>BA354+BA355+BA356</f>
        <v>0</v>
      </c>
      <c r="BB353" s="304"/>
      <c r="BC353" s="282">
        <f>BC354+BC355+BC356</f>
        <v>0</v>
      </c>
      <c r="BD353" s="282">
        <f>BD354+BD355+BD356</f>
        <v>0</v>
      </c>
      <c r="BE353" s="304"/>
      <c r="BF353" s="282">
        <f>BF354+BF355+BF356</f>
        <v>0</v>
      </c>
      <c r="BG353" s="282">
        <f>BG354+BG355+BG356</f>
        <v>0</v>
      </c>
      <c r="BH353" s="304"/>
      <c r="BI353" s="282">
        <f>BI354+BI355+BI356</f>
        <v>0</v>
      </c>
      <c r="BJ353" s="282">
        <f>BJ354+BJ355+BJ356</f>
        <v>0</v>
      </c>
      <c r="BK353" s="304"/>
      <c r="BL353" s="282">
        <f>BL354+BL355+BL356</f>
        <v>0</v>
      </c>
      <c r="BM353" s="282">
        <f>BM354+BM355+BM356</f>
        <v>0</v>
      </c>
      <c r="BN353" s="304"/>
      <c r="BO353" s="282">
        <f>BO354+BO355+BO356</f>
        <v>0</v>
      </c>
      <c r="BP353" s="282">
        <f>BP354+BP355+BP356</f>
        <v>0</v>
      </c>
      <c r="BQ353" s="304"/>
      <c r="BR353" s="282">
        <f>BR354+BR355+BR356</f>
        <v>0</v>
      </c>
      <c r="BS353" s="282">
        <f>BS354+BS355+BS356</f>
        <v>0</v>
      </c>
      <c r="BT353" s="304"/>
      <c r="BU353" s="282">
        <f>BU354+BU355+BU356</f>
        <v>0</v>
      </c>
      <c r="BV353" s="282">
        <f>BV354+BV355+BV356</f>
        <v>0</v>
      </c>
      <c r="BW353" s="304"/>
      <c r="BX353" s="282">
        <f>BX354+BX355+BX356</f>
        <v>0</v>
      </c>
      <c r="BY353" s="282">
        <f>BY354+BY355+BY356</f>
        <v>0</v>
      </c>
      <c r="BZ353" s="304"/>
      <c r="CA353" s="282">
        <f>CA354+CA355+CA356</f>
        <v>0</v>
      </c>
      <c r="CB353" s="282">
        <f>CB354+CB355+CB356</f>
        <v>0</v>
      </c>
      <c r="CC353" s="304"/>
      <c r="CD353" s="282">
        <f>CD354+CD355+CD356</f>
        <v>0</v>
      </c>
      <c r="CE353" s="282">
        <f>CE354+CE355+CE356</f>
        <v>0</v>
      </c>
      <c r="CF353" s="304"/>
      <c r="CG353" s="282">
        <f>CG354+CG355+CG356</f>
        <v>0</v>
      </c>
      <c r="CH353" s="282">
        <f>CH354+CH355+CH356</f>
        <v>0</v>
      </c>
      <c r="CI353" s="304"/>
      <c r="CJ353" s="282">
        <f>CJ354+CJ355+CJ356</f>
        <v>0</v>
      </c>
      <c r="CK353" s="282">
        <f>CK354+CK355+CK356</f>
        <v>0</v>
      </c>
    </row>
    <row r="354" spans="1:98" ht="30" x14ac:dyDescent="0.25">
      <c r="A354" s="321"/>
      <c r="B354" s="312"/>
      <c r="C354" s="312" t="s">
        <v>1489</v>
      </c>
      <c r="D354" s="95"/>
      <c r="E354" s="282"/>
      <c r="F354" s="282"/>
      <c r="G354" s="282"/>
      <c r="H354" s="282">
        <v>0</v>
      </c>
      <c r="I354" s="282">
        <v>0</v>
      </c>
      <c r="J354" s="282">
        <f t="shared" ref="J354:K356" si="721">J60</f>
        <v>0</v>
      </c>
      <c r="K354" s="282">
        <f t="shared" si="721"/>
        <v>0</v>
      </c>
      <c r="L354" s="282">
        <f t="shared" ref="L354:M356" si="722">L60</f>
        <v>0</v>
      </c>
      <c r="M354" s="282">
        <f t="shared" si="722"/>
        <v>0</v>
      </c>
      <c r="N354" s="282">
        <f t="shared" ref="N354" si="723">N60</f>
        <v>0</v>
      </c>
      <c r="P354" s="304"/>
      <c r="Q354" s="283">
        <f t="shared" ref="Q354:R356" si="724">S354+V354+Y354+AB354+AE354+AH354+AK354+AN354+AQ354+AT354+AW354+AZ354+BC354+BF354+BI354+BL354+BO354+BR354+BU354+BX354+CA354+CD354+CG354+CJ354</f>
        <v>0</v>
      </c>
      <c r="R354" s="283">
        <f t="shared" si="724"/>
        <v>0</v>
      </c>
      <c r="S354" s="283">
        <f t="shared" ref="S354:T356" si="725">S60</f>
        <v>0</v>
      </c>
      <c r="T354" s="283">
        <f t="shared" si="725"/>
        <v>0</v>
      </c>
      <c r="U354" s="304"/>
      <c r="V354" s="283">
        <f t="shared" ref="V354:W356" si="726">V60</f>
        <v>0</v>
      </c>
      <c r="W354" s="283">
        <f t="shared" si="726"/>
        <v>0</v>
      </c>
      <c r="X354" s="304"/>
      <c r="Y354" s="283">
        <f t="shared" ref="Y354:Z356" si="727">Y60</f>
        <v>0</v>
      </c>
      <c r="Z354" s="283">
        <f t="shared" si="727"/>
        <v>0</v>
      </c>
      <c r="AA354" s="304"/>
      <c r="AB354" s="283">
        <f t="shared" ref="AB354:AC356" si="728">AB60</f>
        <v>0</v>
      </c>
      <c r="AC354" s="283">
        <f t="shared" si="728"/>
        <v>0</v>
      </c>
      <c r="AD354" s="304"/>
      <c r="AE354" s="283">
        <f t="shared" ref="AE354:AF356" si="729">AE60</f>
        <v>0</v>
      </c>
      <c r="AF354" s="283">
        <f t="shared" si="729"/>
        <v>0</v>
      </c>
      <c r="AG354" s="304"/>
      <c r="AH354" s="283">
        <f t="shared" ref="AH354:AI356" si="730">AH60</f>
        <v>0</v>
      </c>
      <c r="AI354" s="283">
        <f t="shared" si="730"/>
        <v>0</v>
      </c>
      <c r="AJ354" s="304"/>
      <c r="AK354" s="283">
        <f t="shared" ref="AK354:AL356" si="731">AK60</f>
        <v>0</v>
      </c>
      <c r="AL354" s="283">
        <f t="shared" si="731"/>
        <v>0</v>
      </c>
      <c r="AM354" s="304"/>
      <c r="AN354" s="283">
        <f t="shared" ref="AN354:AO356" si="732">AN60</f>
        <v>0</v>
      </c>
      <c r="AO354" s="283">
        <f t="shared" si="732"/>
        <v>0</v>
      </c>
      <c r="AP354" s="304"/>
      <c r="AQ354" s="283">
        <f t="shared" ref="AQ354:AR356" si="733">AQ60</f>
        <v>0</v>
      </c>
      <c r="AR354" s="283">
        <f t="shared" si="733"/>
        <v>0</v>
      </c>
      <c r="AS354" s="304"/>
      <c r="AT354" s="283">
        <f t="shared" ref="AT354:AU356" si="734">AT60</f>
        <v>0</v>
      </c>
      <c r="AU354" s="283">
        <f t="shared" si="734"/>
        <v>0</v>
      </c>
      <c r="AV354" s="304"/>
      <c r="AW354" s="283">
        <f t="shared" ref="AW354:AX356" si="735">AW60</f>
        <v>0</v>
      </c>
      <c r="AX354" s="283">
        <f t="shared" si="735"/>
        <v>0</v>
      </c>
      <c r="AY354" s="304"/>
      <c r="AZ354" s="283">
        <f t="shared" ref="AZ354:BA356" si="736">AZ60</f>
        <v>0</v>
      </c>
      <c r="BA354" s="283">
        <f t="shared" si="736"/>
        <v>0</v>
      </c>
      <c r="BB354" s="304"/>
      <c r="BC354" s="283">
        <f t="shared" ref="BC354:BD356" si="737">BC60</f>
        <v>0</v>
      </c>
      <c r="BD354" s="283">
        <f t="shared" si="737"/>
        <v>0</v>
      </c>
      <c r="BE354" s="304"/>
      <c r="BF354" s="283">
        <f t="shared" ref="BF354:BG356" si="738">BF60</f>
        <v>0</v>
      </c>
      <c r="BG354" s="283">
        <f t="shared" si="738"/>
        <v>0</v>
      </c>
      <c r="BH354" s="304"/>
      <c r="BI354" s="283">
        <f t="shared" ref="BI354:BJ356" si="739">BI60</f>
        <v>0</v>
      </c>
      <c r="BJ354" s="283">
        <f t="shared" si="739"/>
        <v>0</v>
      </c>
      <c r="BK354" s="304"/>
      <c r="BL354" s="283">
        <f t="shared" ref="BL354:BM356" si="740">BL60</f>
        <v>0</v>
      </c>
      <c r="BM354" s="283">
        <f t="shared" si="740"/>
        <v>0</v>
      </c>
      <c r="BN354" s="304"/>
      <c r="BO354" s="283">
        <f t="shared" ref="BO354:BP356" si="741">BO60</f>
        <v>0</v>
      </c>
      <c r="BP354" s="283">
        <f t="shared" si="741"/>
        <v>0</v>
      </c>
      <c r="BQ354" s="304"/>
      <c r="BR354" s="283">
        <f t="shared" ref="BR354:BS356" si="742">BR60</f>
        <v>0</v>
      </c>
      <c r="BS354" s="283">
        <f t="shared" si="742"/>
        <v>0</v>
      </c>
      <c r="BT354" s="304"/>
      <c r="BU354" s="283">
        <f t="shared" ref="BU354:BV356" si="743">BU60</f>
        <v>0</v>
      </c>
      <c r="BV354" s="283">
        <f t="shared" si="743"/>
        <v>0</v>
      </c>
      <c r="BW354" s="304"/>
      <c r="BX354" s="283">
        <f t="shared" ref="BX354:BY356" si="744">BX60</f>
        <v>0</v>
      </c>
      <c r="BY354" s="283">
        <f t="shared" si="744"/>
        <v>0</v>
      </c>
      <c r="BZ354" s="304"/>
      <c r="CA354" s="283">
        <f t="shared" ref="CA354:CB356" si="745">CA60</f>
        <v>0</v>
      </c>
      <c r="CB354" s="283">
        <f t="shared" si="745"/>
        <v>0</v>
      </c>
      <c r="CC354" s="304"/>
      <c r="CD354" s="283">
        <f t="shared" ref="CD354:CE356" si="746">CD60</f>
        <v>0</v>
      </c>
      <c r="CE354" s="283">
        <f t="shared" si="746"/>
        <v>0</v>
      </c>
      <c r="CF354" s="304"/>
      <c r="CG354" s="283">
        <f t="shared" ref="CG354:CH356" si="747">CG60</f>
        <v>0</v>
      </c>
      <c r="CH354" s="283">
        <f t="shared" si="747"/>
        <v>0</v>
      </c>
      <c r="CI354" s="304"/>
      <c r="CJ354" s="283">
        <f t="shared" ref="CJ354:CK356" si="748">CJ60</f>
        <v>0</v>
      </c>
      <c r="CK354" s="283">
        <f t="shared" si="748"/>
        <v>0</v>
      </c>
      <c r="CM354" s="304"/>
      <c r="CN354" s="304"/>
      <c r="CO354" s="304"/>
      <c r="CP354" s="304"/>
      <c r="CQ354" s="304"/>
      <c r="CR354" s="304"/>
      <c r="CS354" s="304"/>
      <c r="CT354" s="304"/>
    </row>
    <row r="355" spans="1:98" ht="30" x14ac:dyDescent="0.25">
      <c r="A355" s="321"/>
      <c r="B355" s="312"/>
      <c r="C355" s="312" t="s">
        <v>1490</v>
      </c>
      <c r="D355" s="95"/>
      <c r="E355" s="282"/>
      <c r="F355" s="282"/>
      <c r="G355" s="282"/>
      <c r="H355" s="282">
        <v>0</v>
      </c>
      <c r="I355" s="282">
        <v>0</v>
      </c>
      <c r="J355" s="282">
        <f t="shared" si="721"/>
        <v>0</v>
      </c>
      <c r="K355" s="282">
        <f t="shared" si="721"/>
        <v>0</v>
      </c>
      <c r="L355" s="282">
        <f t="shared" ref="L355" si="749">L61</f>
        <v>0</v>
      </c>
      <c r="M355" s="282">
        <f t="shared" si="722"/>
        <v>0</v>
      </c>
      <c r="N355" s="282">
        <f t="shared" ref="N355" si="750">N61</f>
        <v>0</v>
      </c>
      <c r="P355" s="304"/>
      <c r="Q355" s="283">
        <f t="shared" si="724"/>
        <v>0</v>
      </c>
      <c r="R355" s="283">
        <f t="shared" si="724"/>
        <v>0</v>
      </c>
      <c r="S355" s="283">
        <f t="shared" si="725"/>
        <v>0</v>
      </c>
      <c r="T355" s="283">
        <f t="shared" si="725"/>
        <v>0</v>
      </c>
      <c r="U355" s="304"/>
      <c r="V355" s="283">
        <f t="shared" si="726"/>
        <v>0</v>
      </c>
      <c r="W355" s="283">
        <f t="shared" si="726"/>
        <v>0</v>
      </c>
      <c r="X355" s="304"/>
      <c r="Y355" s="283">
        <f t="shared" si="727"/>
        <v>0</v>
      </c>
      <c r="Z355" s="283">
        <f t="shared" si="727"/>
        <v>0</v>
      </c>
      <c r="AA355" s="304"/>
      <c r="AB355" s="283">
        <f t="shared" si="728"/>
        <v>0</v>
      </c>
      <c r="AC355" s="283">
        <f t="shared" si="728"/>
        <v>0</v>
      </c>
      <c r="AD355" s="304"/>
      <c r="AE355" s="283">
        <f t="shared" si="729"/>
        <v>0</v>
      </c>
      <c r="AF355" s="283">
        <f t="shared" si="729"/>
        <v>0</v>
      </c>
      <c r="AG355" s="304"/>
      <c r="AH355" s="283">
        <f t="shared" si="730"/>
        <v>0</v>
      </c>
      <c r="AI355" s="283">
        <f t="shared" si="730"/>
        <v>0</v>
      </c>
      <c r="AJ355" s="304"/>
      <c r="AK355" s="283">
        <f t="shared" si="731"/>
        <v>0</v>
      </c>
      <c r="AL355" s="283">
        <f t="shared" si="731"/>
        <v>0</v>
      </c>
      <c r="AM355" s="304"/>
      <c r="AN355" s="283">
        <f t="shared" si="732"/>
        <v>0</v>
      </c>
      <c r="AO355" s="283">
        <f t="shared" si="732"/>
        <v>0</v>
      </c>
      <c r="AP355" s="304"/>
      <c r="AQ355" s="283">
        <f t="shared" si="733"/>
        <v>0</v>
      </c>
      <c r="AR355" s="283">
        <f t="shared" si="733"/>
        <v>0</v>
      </c>
      <c r="AS355" s="304"/>
      <c r="AT355" s="283">
        <f t="shared" si="734"/>
        <v>0</v>
      </c>
      <c r="AU355" s="283">
        <f t="shared" si="734"/>
        <v>0</v>
      </c>
      <c r="AV355" s="304"/>
      <c r="AW355" s="283">
        <f t="shared" si="735"/>
        <v>0</v>
      </c>
      <c r="AX355" s="283">
        <f t="shared" si="735"/>
        <v>0</v>
      </c>
      <c r="AY355" s="304"/>
      <c r="AZ355" s="283">
        <f t="shared" si="736"/>
        <v>0</v>
      </c>
      <c r="BA355" s="283">
        <f t="shared" si="736"/>
        <v>0</v>
      </c>
      <c r="BB355" s="304"/>
      <c r="BC355" s="283">
        <f t="shared" si="737"/>
        <v>0</v>
      </c>
      <c r="BD355" s="283">
        <f t="shared" si="737"/>
        <v>0</v>
      </c>
      <c r="BE355" s="304"/>
      <c r="BF355" s="283">
        <f t="shared" si="738"/>
        <v>0</v>
      </c>
      <c r="BG355" s="283">
        <f t="shared" si="738"/>
        <v>0</v>
      </c>
      <c r="BH355" s="304"/>
      <c r="BI355" s="283">
        <f t="shared" si="739"/>
        <v>0</v>
      </c>
      <c r="BJ355" s="283">
        <f t="shared" si="739"/>
        <v>0</v>
      </c>
      <c r="BK355" s="304"/>
      <c r="BL355" s="283">
        <f t="shared" si="740"/>
        <v>0</v>
      </c>
      <c r="BM355" s="283">
        <f t="shared" si="740"/>
        <v>0</v>
      </c>
      <c r="BN355" s="304"/>
      <c r="BO355" s="283">
        <f t="shared" si="741"/>
        <v>0</v>
      </c>
      <c r="BP355" s="283">
        <f t="shared" si="741"/>
        <v>0</v>
      </c>
      <c r="BQ355" s="304"/>
      <c r="BR355" s="283">
        <f t="shared" si="742"/>
        <v>0</v>
      </c>
      <c r="BS355" s="283">
        <f t="shared" si="742"/>
        <v>0</v>
      </c>
      <c r="BT355" s="304"/>
      <c r="BU355" s="283">
        <f t="shared" si="743"/>
        <v>0</v>
      </c>
      <c r="BV355" s="283">
        <f t="shared" si="743"/>
        <v>0</v>
      </c>
      <c r="BW355" s="304"/>
      <c r="BX355" s="283">
        <f t="shared" si="744"/>
        <v>0</v>
      </c>
      <c r="BY355" s="283">
        <f t="shared" si="744"/>
        <v>0</v>
      </c>
      <c r="BZ355" s="304"/>
      <c r="CA355" s="283">
        <f t="shared" si="745"/>
        <v>0</v>
      </c>
      <c r="CB355" s="283">
        <f t="shared" si="745"/>
        <v>0</v>
      </c>
      <c r="CC355" s="304"/>
      <c r="CD355" s="283">
        <f t="shared" si="746"/>
        <v>0</v>
      </c>
      <c r="CE355" s="283">
        <f t="shared" si="746"/>
        <v>0</v>
      </c>
      <c r="CF355" s="304"/>
      <c r="CG355" s="283">
        <f t="shared" si="747"/>
        <v>0</v>
      </c>
      <c r="CH355" s="283">
        <f t="shared" si="747"/>
        <v>0</v>
      </c>
      <c r="CI355" s="304"/>
      <c r="CJ355" s="283">
        <f t="shared" si="748"/>
        <v>0</v>
      </c>
      <c r="CK355" s="283">
        <f t="shared" si="748"/>
        <v>0</v>
      </c>
      <c r="CM355" s="304"/>
      <c r="CN355" s="304"/>
      <c r="CO355" s="304"/>
      <c r="CP355" s="304"/>
      <c r="CQ355" s="304"/>
      <c r="CR355" s="304"/>
      <c r="CS355" s="304"/>
      <c r="CT355" s="304"/>
    </row>
    <row r="356" spans="1:98" ht="30" x14ac:dyDescent="0.25">
      <c r="A356" s="321"/>
      <c r="B356" s="312"/>
      <c r="C356" s="312" t="s">
        <v>1491</v>
      </c>
      <c r="D356" s="95"/>
      <c r="E356" s="282"/>
      <c r="F356" s="282"/>
      <c r="G356" s="282"/>
      <c r="H356" s="282">
        <v>0</v>
      </c>
      <c r="I356" s="282">
        <v>0</v>
      </c>
      <c r="J356" s="282">
        <f t="shared" si="721"/>
        <v>0</v>
      </c>
      <c r="K356" s="282">
        <f t="shared" si="721"/>
        <v>0</v>
      </c>
      <c r="L356" s="282">
        <f t="shared" ref="L356" si="751">L62</f>
        <v>0</v>
      </c>
      <c r="M356" s="282">
        <f t="shared" si="722"/>
        <v>0</v>
      </c>
      <c r="N356" s="282">
        <f t="shared" ref="N356" si="752">N62</f>
        <v>0</v>
      </c>
      <c r="P356" s="304"/>
      <c r="Q356" s="283">
        <f t="shared" si="724"/>
        <v>0</v>
      </c>
      <c r="R356" s="283">
        <f t="shared" si="724"/>
        <v>0</v>
      </c>
      <c r="S356" s="283">
        <f t="shared" si="725"/>
        <v>0</v>
      </c>
      <c r="T356" s="283">
        <f t="shared" si="725"/>
        <v>0</v>
      </c>
      <c r="U356" s="304"/>
      <c r="V356" s="283">
        <f t="shared" si="726"/>
        <v>0</v>
      </c>
      <c r="W356" s="283">
        <f t="shared" si="726"/>
        <v>0</v>
      </c>
      <c r="X356" s="304"/>
      <c r="Y356" s="283">
        <f t="shared" si="727"/>
        <v>0</v>
      </c>
      <c r="Z356" s="283">
        <f t="shared" si="727"/>
        <v>0</v>
      </c>
      <c r="AA356" s="304"/>
      <c r="AB356" s="283">
        <f t="shared" si="728"/>
        <v>0</v>
      </c>
      <c r="AC356" s="283">
        <f t="shared" si="728"/>
        <v>0</v>
      </c>
      <c r="AD356" s="304"/>
      <c r="AE356" s="283">
        <f t="shared" si="729"/>
        <v>0</v>
      </c>
      <c r="AF356" s="283">
        <f t="shared" si="729"/>
        <v>0</v>
      </c>
      <c r="AG356" s="304"/>
      <c r="AH356" s="283">
        <f t="shared" si="730"/>
        <v>0</v>
      </c>
      <c r="AI356" s="283">
        <f t="shared" si="730"/>
        <v>0</v>
      </c>
      <c r="AJ356" s="304"/>
      <c r="AK356" s="283">
        <f t="shared" si="731"/>
        <v>0</v>
      </c>
      <c r="AL356" s="283">
        <f t="shared" si="731"/>
        <v>0</v>
      </c>
      <c r="AM356" s="304"/>
      <c r="AN356" s="283">
        <f t="shared" si="732"/>
        <v>0</v>
      </c>
      <c r="AO356" s="283">
        <f t="shared" si="732"/>
        <v>0</v>
      </c>
      <c r="AP356" s="304"/>
      <c r="AQ356" s="283">
        <f t="shared" si="733"/>
        <v>0</v>
      </c>
      <c r="AR356" s="283">
        <f t="shared" si="733"/>
        <v>0</v>
      </c>
      <c r="AS356" s="304"/>
      <c r="AT356" s="283">
        <f t="shared" si="734"/>
        <v>0</v>
      </c>
      <c r="AU356" s="283">
        <f t="shared" si="734"/>
        <v>0</v>
      </c>
      <c r="AV356" s="304"/>
      <c r="AW356" s="283">
        <f t="shared" si="735"/>
        <v>0</v>
      </c>
      <c r="AX356" s="283">
        <f t="shared" si="735"/>
        <v>0</v>
      </c>
      <c r="AY356" s="304"/>
      <c r="AZ356" s="283">
        <f t="shared" si="736"/>
        <v>0</v>
      </c>
      <c r="BA356" s="283">
        <f t="shared" si="736"/>
        <v>0</v>
      </c>
      <c r="BB356" s="304"/>
      <c r="BC356" s="283">
        <f t="shared" si="737"/>
        <v>0</v>
      </c>
      <c r="BD356" s="283">
        <f t="shared" si="737"/>
        <v>0</v>
      </c>
      <c r="BE356" s="304"/>
      <c r="BF356" s="283">
        <f t="shared" si="738"/>
        <v>0</v>
      </c>
      <c r="BG356" s="283">
        <f t="shared" si="738"/>
        <v>0</v>
      </c>
      <c r="BH356" s="304"/>
      <c r="BI356" s="283">
        <f t="shared" si="739"/>
        <v>0</v>
      </c>
      <c r="BJ356" s="283">
        <f t="shared" si="739"/>
        <v>0</v>
      </c>
      <c r="BK356" s="304"/>
      <c r="BL356" s="283">
        <f t="shared" si="740"/>
        <v>0</v>
      </c>
      <c r="BM356" s="283">
        <f t="shared" si="740"/>
        <v>0</v>
      </c>
      <c r="BN356" s="304"/>
      <c r="BO356" s="283">
        <f t="shared" si="741"/>
        <v>0</v>
      </c>
      <c r="BP356" s="283">
        <f t="shared" si="741"/>
        <v>0</v>
      </c>
      <c r="BQ356" s="304"/>
      <c r="BR356" s="283">
        <f t="shared" si="742"/>
        <v>0</v>
      </c>
      <c r="BS356" s="283">
        <f t="shared" si="742"/>
        <v>0</v>
      </c>
      <c r="BT356" s="304"/>
      <c r="BU356" s="283">
        <f t="shared" si="743"/>
        <v>0</v>
      </c>
      <c r="BV356" s="283">
        <f t="shared" si="743"/>
        <v>0</v>
      </c>
      <c r="BW356" s="304"/>
      <c r="BX356" s="283">
        <f t="shared" si="744"/>
        <v>0</v>
      </c>
      <c r="BY356" s="283">
        <f t="shared" si="744"/>
        <v>0</v>
      </c>
      <c r="BZ356" s="304"/>
      <c r="CA356" s="283">
        <f t="shared" si="745"/>
        <v>0</v>
      </c>
      <c r="CB356" s="283">
        <f t="shared" si="745"/>
        <v>0</v>
      </c>
      <c r="CC356" s="304"/>
      <c r="CD356" s="283">
        <f t="shared" si="746"/>
        <v>0</v>
      </c>
      <c r="CE356" s="283">
        <f t="shared" si="746"/>
        <v>0</v>
      </c>
      <c r="CF356" s="304"/>
      <c r="CG356" s="283">
        <f t="shared" si="747"/>
        <v>0</v>
      </c>
      <c r="CH356" s="283">
        <f t="shared" si="747"/>
        <v>0</v>
      </c>
      <c r="CI356" s="304"/>
      <c r="CJ356" s="283">
        <f t="shared" si="748"/>
        <v>0</v>
      </c>
      <c r="CK356" s="283">
        <f t="shared" si="748"/>
        <v>0</v>
      </c>
      <c r="CM356" s="304"/>
      <c r="CN356" s="304"/>
      <c r="CO356" s="304"/>
      <c r="CP356" s="304"/>
      <c r="CQ356" s="304"/>
      <c r="CR356" s="304"/>
      <c r="CS356" s="304"/>
      <c r="CT356" s="304"/>
    </row>
    <row r="357" spans="1:98" ht="30" x14ac:dyDescent="0.25">
      <c r="A357" s="419"/>
      <c r="B357" s="419" t="s">
        <v>157</v>
      </c>
      <c r="C357" s="95" t="s">
        <v>158</v>
      </c>
      <c r="D357" s="95" t="s">
        <v>950</v>
      </c>
      <c r="E357" s="282">
        <v>93</v>
      </c>
      <c r="F357" s="282">
        <v>92</v>
      </c>
      <c r="G357" s="282">
        <v>96</v>
      </c>
      <c r="H357" s="282">
        <f t="shared" ref="H357:J358" si="753">H359</f>
        <v>70</v>
      </c>
      <c r="I357" s="322">
        <f t="shared" si="753"/>
        <v>86.6</v>
      </c>
      <c r="J357" s="322">
        <f t="shared" si="753"/>
        <v>87.800000000000011</v>
      </c>
      <c r="K357" s="322">
        <f>K359</f>
        <v>84.5</v>
      </c>
      <c r="L357" s="322">
        <f>L359</f>
        <v>0</v>
      </c>
      <c r="M357" s="322">
        <f t="shared" ref="M357:N358" si="754">M359</f>
        <v>0</v>
      </c>
      <c r="N357" s="322">
        <f t="shared" si="754"/>
        <v>0</v>
      </c>
      <c r="P357" s="304"/>
      <c r="Q357" s="322">
        <f t="shared" ref="Q357:T358" si="755">Q359</f>
        <v>84.5</v>
      </c>
      <c r="R357" s="322">
        <f t="shared" si="755"/>
        <v>88.4</v>
      </c>
      <c r="S357" s="322">
        <f t="shared" si="755"/>
        <v>0</v>
      </c>
      <c r="T357" s="322">
        <f t="shared" si="755"/>
        <v>0</v>
      </c>
      <c r="U357" s="304"/>
      <c r="V357" s="322">
        <f>V359</f>
        <v>0</v>
      </c>
      <c r="W357" s="322">
        <f>W359</f>
        <v>0</v>
      </c>
      <c r="X357" s="304"/>
      <c r="Y357" s="322">
        <f>Y359</f>
        <v>0</v>
      </c>
      <c r="Z357" s="322">
        <f>Z359</f>
        <v>0</v>
      </c>
      <c r="AA357" s="304"/>
      <c r="AB357" s="322">
        <f>AB359</f>
        <v>0</v>
      </c>
      <c r="AC357" s="322">
        <f>AC359</f>
        <v>0</v>
      </c>
      <c r="AD357" s="304"/>
      <c r="AE357" s="322">
        <f>AE359</f>
        <v>0</v>
      </c>
      <c r="AF357" s="322">
        <f>AF359</f>
        <v>0</v>
      </c>
      <c r="AG357" s="304"/>
      <c r="AH357" s="322">
        <f>AH359</f>
        <v>0</v>
      </c>
      <c r="AI357" s="322">
        <f>AI359</f>
        <v>0</v>
      </c>
      <c r="AJ357" s="304"/>
      <c r="AK357" s="322">
        <f>AK359</f>
        <v>0</v>
      </c>
      <c r="AL357" s="322">
        <f>AL359</f>
        <v>0</v>
      </c>
      <c r="AM357" s="304"/>
      <c r="AN357" s="322">
        <f>AN359</f>
        <v>0</v>
      </c>
      <c r="AO357" s="322">
        <f>AO359</f>
        <v>0</v>
      </c>
      <c r="AP357" s="304"/>
      <c r="AQ357" s="322">
        <f>AQ359</f>
        <v>0</v>
      </c>
      <c r="AR357" s="322">
        <f>AR359</f>
        <v>0</v>
      </c>
      <c r="AS357" s="304"/>
      <c r="AT357" s="322">
        <f>AT359</f>
        <v>0</v>
      </c>
      <c r="AU357" s="322">
        <f>AU359</f>
        <v>0</v>
      </c>
      <c r="AV357" s="304"/>
      <c r="AW357" s="322">
        <f>AW359</f>
        <v>0</v>
      </c>
      <c r="AX357" s="322">
        <f>AX359</f>
        <v>0</v>
      </c>
      <c r="AY357" s="304"/>
      <c r="AZ357" s="322">
        <f>AZ359</f>
        <v>0</v>
      </c>
      <c r="BA357" s="322">
        <f>BA359</f>
        <v>0</v>
      </c>
      <c r="BB357" s="304"/>
      <c r="BC357" s="322">
        <f>BC359</f>
        <v>19.5</v>
      </c>
      <c r="BD357" s="322">
        <f>BD359</f>
        <v>20.5</v>
      </c>
      <c r="BE357" s="304"/>
      <c r="BF357" s="322">
        <f>BF359</f>
        <v>15.5</v>
      </c>
      <c r="BG357" s="322">
        <f>BG359</f>
        <v>15</v>
      </c>
      <c r="BH357" s="304"/>
      <c r="BI357" s="322">
        <f>BI359</f>
        <v>33</v>
      </c>
      <c r="BJ357" s="322">
        <f>BJ359</f>
        <v>32</v>
      </c>
      <c r="BK357" s="304"/>
      <c r="BL357" s="322">
        <f>BL359</f>
        <v>0</v>
      </c>
      <c r="BM357" s="322">
        <f>BM359</f>
        <v>0</v>
      </c>
      <c r="BN357" s="304"/>
      <c r="BO357" s="322">
        <f>BO359</f>
        <v>0</v>
      </c>
      <c r="BP357" s="322">
        <f>BP359</f>
        <v>0</v>
      </c>
      <c r="BQ357" s="304"/>
      <c r="BR357" s="322">
        <f>BR359</f>
        <v>0</v>
      </c>
      <c r="BS357" s="322">
        <f>BS359</f>
        <v>0</v>
      </c>
      <c r="BT357" s="304"/>
      <c r="BU357" s="322">
        <f>BU359</f>
        <v>0</v>
      </c>
      <c r="BV357" s="322">
        <f>BV359</f>
        <v>0</v>
      </c>
      <c r="BW357" s="304"/>
      <c r="BX357" s="322">
        <f>BX359</f>
        <v>0</v>
      </c>
      <c r="BY357" s="322">
        <f>BY359</f>
        <v>0</v>
      </c>
      <c r="BZ357" s="304"/>
      <c r="CA357" s="322">
        <f>CA359</f>
        <v>0</v>
      </c>
      <c r="CB357" s="322">
        <f>CB359</f>
        <v>0</v>
      </c>
      <c r="CC357" s="304"/>
      <c r="CD357" s="322">
        <f>CD359</f>
        <v>16.5</v>
      </c>
      <c r="CE357" s="322">
        <f>CE359</f>
        <v>20.9</v>
      </c>
      <c r="CF357" s="304"/>
      <c r="CG357" s="322">
        <f>CG359</f>
        <v>0</v>
      </c>
      <c r="CH357" s="322">
        <f>CH359</f>
        <v>0</v>
      </c>
      <c r="CI357" s="304"/>
      <c r="CJ357" s="322">
        <f>CJ359</f>
        <v>0</v>
      </c>
      <c r="CK357" s="322">
        <f>CK359</f>
        <v>0</v>
      </c>
    </row>
    <row r="358" spans="1:98" ht="30" x14ac:dyDescent="0.25">
      <c r="A358" s="421"/>
      <c r="B358" s="421"/>
      <c r="C358" s="95" t="s">
        <v>159</v>
      </c>
      <c r="D358" s="95" t="s">
        <v>950</v>
      </c>
      <c r="E358" s="282">
        <v>0</v>
      </c>
      <c r="F358" s="282">
        <v>0</v>
      </c>
      <c r="G358" s="282">
        <v>0</v>
      </c>
      <c r="H358" s="282">
        <f t="shared" si="753"/>
        <v>0</v>
      </c>
      <c r="I358" s="322">
        <f t="shared" si="753"/>
        <v>0</v>
      </c>
      <c r="J358" s="322">
        <f t="shared" si="753"/>
        <v>0</v>
      </c>
      <c r="K358" s="322">
        <f>K360</f>
        <v>0</v>
      </c>
      <c r="L358" s="322">
        <f>L360</f>
        <v>0</v>
      </c>
      <c r="M358" s="322">
        <f t="shared" si="754"/>
        <v>0</v>
      </c>
      <c r="N358" s="322">
        <f t="shared" si="754"/>
        <v>0</v>
      </c>
      <c r="P358" s="304"/>
      <c r="Q358" s="322">
        <f t="shared" si="755"/>
        <v>0</v>
      </c>
      <c r="R358" s="322">
        <f t="shared" si="755"/>
        <v>0</v>
      </c>
      <c r="S358" s="322">
        <f t="shared" si="755"/>
        <v>0</v>
      </c>
      <c r="T358" s="322">
        <f t="shared" si="755"/>
        <v>0</v>
      </c>
      <c r="U358" s="304"/>
      <c r="V358" s="322">
        <f>V360</f>
        <v>0</v>
      </c>
      <c r="W358" s="322">
        <f>W360</f>
        <v>0</v>
      </c>
      <c r="X358" s="304"/>
      <c r="Y358" s="322">
        <f>Y360</f>
        <v>0</v>
      </c>
      <c r="Z358" s="322">
        <f>Z360</f>
        <v>0</v>
      </c>
      <c r="AA358" s="304"/>
      <c r="AB358" s="322">
        <f>AB360</f>
        <v>0</v>
      </c>
      <c r="AC358" s="322">
        <f>AC360</f>
        <v>0</v>
      </c>
      <c r="AD358" s="304"/>
      <c r="AE358" s="322">
        <f>AE360</f>
        <v>0</v>
      </c>
      <c r="AF358" s="322">
        <f>AF360</f>
        <v>0</v>
      </c>
      <c r="AG358" s="304"/>
      <c r="AH358" s="322">
        <f>AH360</f>
        <v>0</v>
      </c>
      <c r="AI358" s="322">
        <f>AI360</f>
        <v>0</v>
      </c>
      <c r="AJ358" s="304"/>
      <c r="AK358" s="322">
        <f>AK360</f>
        <v>0</v>
      </c>
      <c r="AL358" s="322">
        <f>AL360</f>
        <v>0</v>
      </c>
      <c r="AM358" s="304"/>
      <c r="AN358" s="322">
        <f>AN360</f>
        <v>0</v>
      </c>
      <c r="AO358" s="322">
        <f>AO360</f>
        <v>0</v>
      </c>
      <c r="AP358" s="304"/>
      <c r="AQ358" s="322">
        <f>AQ360</f>
        <v>0</v>
      </c>
      <c r="AR358" s="322">
        <f>AR360</f>
        <v>0</v>
      </c>
      <c r="AS358" s="304"/>
      <c r="AT358" s="322">
        <f>AT360</f>
        <v>0</v>
      </c>
      <c r="AU358" s="322">
        <f>AU360</f>
        <v>0</v>
      </c>
      <c r="AV358" s="304"/>
      <c r="AW358" s="322">
        <f>AW360</f>
        <v>0</v>
      </c>
      <c r="AX358" s="322">
        <f>AX360</f>
        <v>0</v>
      </c>
      <c r="AY358" s="304"/>
      <c r="AZ358" s="322">
        <f>AZ360</f>
        <v>0</v>
      </c>
      <c r="BA358" s="322">
        <f>BA360</f>
        <v>0</v>
      </c>
      <c r="BB358" s="304"/>
      <c r="BC358" s="322">
        <f>BC360</f>
        <v>0</v>
      </c>
      <c r="BD358" s="322">
        <f>BD360</f>
        <v>0</v>
      </c>
      <c r="BE358" s="304"/>
      <c r="BF358" s="322">
        <f>BF360</f>
        <v>0</v>
      </c>
      <c r="BG358" s="322">
        <f>BG360</f>
        <v>0</v>
      </c>
      <c r="BH358" s="304"/>
      <c r="BI358" s="322">
        <f>BI360</f>
        <v>0</v>
      </c>
      <c r="BJ358" s="322">
        <f>BJ360</f>
        <v>0</v>
      </c>
      <c r="BK358" s="304"/>
      <c r="BL358" s="322">
        <f>BL360</f>
        <v>0</v>
      </c>
      <c r="BM358" s="322">
        <f>BM360</f>
        <v>0</v>
      </c>
      <c r="BN358" s="304"/>
      <c r="BO358" s="322">
        <f>BO360</f>
        <v>0</v>
      </c>
      <c r="BP358" s="322">
        <f>BP360</f>
        <v>0</v>
      </c>
      <c r="BQ358" s="304"/>
      <c r="BR358" s="322">
        <f>BR360</f>
        <v>0</v>
      </c>
      <c r="BS358" s="322">
        <f>BS360</f>
        <v>0</v>
      </c>
      <c r="BT358" s="304"/>
      <c r="BU358" s="322">
        <f>BU360</f>
        <v>0</v>
      </c>
      <c r="BV358" s="322">
        <f>BV360</f>
        <v>0</v>
      </c>
      <c r="BW358" s="304"/>
      <c r="BX358" s="322">
        <f>BX360</f>
        <v>0</v>
      </c>
      <c r="BY358" s="322">
        <f>BY360</f>
        <v>0</v>
      </c>
      <c r="BZ358" s="304"/>
      <c r="CA358" s="322">
        <f>CA360</f>
        <v>0</v>
      </c>
      <c r="CB358" s="322">
        <f>CB360</f>
        <v>0</v>
      </c>
      <c r="CC358" s="304"/>
      <c r="CD358" s="322">
        <f>CD360</f>
        <v>0</v>
      </c>
      <c r="CE358" s="322">
        <f>CE360</f>
        <v>0</v>
      </c>
      <c r="CF358" s="304"/>
      <c r="CG358" s="322">
        <f>CG360</f>
        <v>0</v>
      </c>
      <c r="CH358" s="322">
        <f>CH360</f>
        <v>0</v>
      </c>
      <c r="CI358" s="304"/>
      <c r="CJ358" s="322">
        <f>CJ360</f>
        <v>0</v>
      </c>
      <c r="CK358" s="322">
        <f>CK360</f>
        <v>0</v>
      </c>
    </row>
    <row r="359" spans="1:98" ht="30" x14ac:dyDescent="0.25">
      <c r="A359" s="262"/>
      <c r="B359" s="95"/>
      <c r="C359" s="95" t="s">
        <v>2393</v>
      </c>
      <c r="D359" s="95"/>
      <c r="E359" s="282"/>
      <c r="F359" s="282"/>
      <c r="G359" s="282"/>
      <c r="H359" s="282">
        <v>70</v>
      </c>
      <c r="I359" s="322">
        <f>77+9.6</f>
        <v>86.6</v>
      </c>
      <c r="J359" s="322">
        <f>75.4+12.4</f>
        <v>87.800000000000011</v>
      </c>
      <c r="K359" s="322">
        <f>72.4+12.1</f>
        <v>84.5</v>
      </c>
      <c r="L359" s="322">
        <v>0</v>
      </c>
      <c r="M359" s="322">
        <v>0</v>
      </c>
      <c r="N359" s="322">
        <v>0</v>
      </c>
      <c r="Q359" s="296">
        <f>S359+V359+Y359+AB359+AE359+AH359+AK359+AN359+AQ359+AT359+AW359+AZ359+BC359+BF359+BI359+BL359+BO359+BR359+BU359+BX359+CA359+CD359+CG359+CJ359</f>
        <v>84.5</v>
      </c>
      <c r="R359" s="296">
        <f>T359+W359+Z359+AC359+AF359+AI359+AL359+AO359+AR359+AU359+AX359+BA359+BD359+BG359+BJ359+BM359+BP359+BS359+BV359+BY359+CB359+CE359+CH359+CK359</f>
        <v>88.4</v>
      </c>
      <c r="S359" s="304">
        <v>0</v>
      </c>
      <c r="T359" s="304">
        <v>0</v>
      </c>
      <c r="U359" s="304"/>
      <c r="V359" s="304">
        <v>0</v>
      </c>
      <c r="W359" s="304">
        <v>0</v>
      </c>
      <c r="X359" s="304"/>
      <c r="Y359" s="304">
        <v>0</v>
      </c>
      <c r="Z359" s="304">
        <v>0</v>
      </c>
      <c r="AA359" s="304"/>
      <c r="AB359" s="304">
        <v>0</v>
      </c>
      <c r="AC359" s="304">
        <v>0</v>
      </c>
      <c r="AD359" s="304"/>
      <c r="AE359" s="304">
        <v>0</v>
      </c>
      <c r="AF359" s="304">
        <v>0</v>
      </c>
      <c r="AG359" s="304"/>
      <c r="AH359" s="304">
        <v>0</v>
      </c>
      <c r="AI359" s="304">
        <v>0</v>
      </c>
      <c r="AJ359" s="304"/>
      <c r="AK359" s="304">
        <v>0</v>
      </c>
      <c r="AL359" s="304">
        <v>0</v>
      </c>
      <c r="AM359" s="304"/>
      <c r="AN359" s="304">
        <v>0</v>
      </c>
      <c r="AO359" s="304">
        <v>0</v>
      </c>
      <c r="AP359" s="304"/>
      <c r="AQ359" s="304">
        <v>0</v>
      </c>
      <c r="AR359" s="304">
        <v>0</v>
      </c>
      <c r="AS359" s="304"/>
      <c r="AT359" s="304">
        <v>0</v>
      </c>
      <c r="AU359" s="304">
        <v>0</v>
      </c>
      <c r="AV359" s="304"/>
      <c r="AW359" s="304">
        <v>0</v>
      </c>
      <c r="AX359" s="304">
        <v>0</v>
      </c>
      <c r="AY359" s="304"/>
      <c r="AZ359" s="304">
        <v>0</v>
      </c>
      <c r="BA359" s="304">
        <v>0</v>
      </c>
      <c r="BB359" s="304"/>
      <c r="BC359" s="304">
        <v>19.5</v>
      </c>
      <c r="BD359" s="304">
        <v>20.5</v>
      </c>
      <c r="BE359" s="304"/>
      <c r="BF359" s="304">
        <v>15.5</v>
      </c>
      <c r="BG359" s="304">
        <v>15</v>
      </c>
      <c r="BH359" s="304"/>
      <c r="BI359" s="304">
        <v>33</v>
      </c>
      <c r="BJ359" s="304">
        <v>32</v>
      </c>
      <c r="BK359" s="304"/>
      <c r="BL359" s="304">
        <v>0</v>
      </c>
      <c r="BM359" s="304">
        <v>0</v>
      </c>
      <c r="BN359" s="304"/>
      <c r="BO359" s="304">
        <v>0</v>
      </c>
      <c r="BP359" s="304">
        <v>0</v>
      </c>
      <c r="BQ359" s="304"/>
      <c r="BR359" s="304">
        <v>0</v>
      </c>
      <c r="BS359" s="304">
        <v>0</v>
      </c>
      <c r="BT359" s="304"/>
      <c r="BU359" s="304">
        <v>0</v>
      </c>
      <c r="BV359" s="304">
        <v>0</v>
      </c>
      <c r="BW359" s="304"/>
      <c r="BX359" s="304">
        <v>0</v>
      </c>
      <c r="BY359" s="304">
        <v>0</v>
      </c>
      <c r="BZ359" s="304"/>
      <c r="CA359" s="304">
        <v>0</v>
      </c>
      <c r="CB359" s="304">
        <v>0</v>
      </c>
      <c r="CC359" s="304"/>
      <c r="CD359" s="304">
        <v>16.5</v>
      </c>
      <c r="CE359" s="304">
        <v>20.9</v>
      </c>
      <c r="CF359" s="304"/>
      <c r="CG359" s="304">
        <v>0</v>
      </c>
      <c r="CH359" s="304">
        <v>0</v>
      </c>
      <c r="CI359" s="304"/>
      <c r="CJ359" s="304">
        <v>0</v>
      </c>
      <c r="CK359" s="304">
        <v>0</v>
      </c>
    </row>
    <row r="360" spans="1:98" ht="30" x14ac:dyDescent="0.25">
      <c r="A360" s="262"/>
      <c r="B360" s="95"/>
      <c r="C360" s="95" t="s">
        <v>2393</v>
      </c>
      <c r="D360" s="95"/>
      <c r="E360" s="282"/>
      <c r="F360" s="282"/>
      <c r="G360" s="282"/>
      <c r="H360" s="282">
        <v>0</v>
      </c>
      <c r="I360" s="322">
        <v>0</v>
      </c>
      <c r="J360" s="322">
        <v>0</v>
      </c>
      <c r="K360" s="322">
        <v>0</v>
      </c>
      <c r="L360" s="322">
        <v>0</v>
      </c>
      <c r="M360" s="322">
        <v>0</v>
      </c>
      <c r="N360" s="322">
        <v>0</v>
      </c>
      <c r="Q360" s="296">
        <f>S360+V360+Y360+AB360+AE360+AH360+AK360+AN360+AQ360+AT360+AW360+AZ360+BC360+BF360+BI360+BL360+BO360+BR360+BU360+BX360+CA360+CD360+CG360+CJ360</f>
        <v>0</v>
      </c>
      <c r="R360" s="296">
        <f>T360+W360+Z360+AC360+AF360+AI360+AL360+AO360+AR360+AU360+AX360+BA360+BD360+BG360+BJ360+BM360+BP360+BS360+BV360+BY360+CB360+CE360+CH360+CK360</f>
        <v>0</v>
      </c>
      <c r="S360" s="304">
        <v>0</v>
      </c>
      <c r="T360" s="304">
        <v>0</v>
      </c>
      <c r="U360" s="304"/>
      <c r="V360" s="304">
        <v>0</v>
      </c>
      <c r="W360" s="304">
        <v>0</v>
      </c>
      <c r="X360" s="304"/>
      <c r="Y360" s="304">
        <v>0</v>
      </c>
      <c r="Z360" s="304">
        <v>0</v>
      </c>
      <c r="AA360" s="304"/>
      <c r="AB360" s="304">
        <v>0</v>
      </c>
      <c r="AC360" s="304">
        <v>0</v>
      </c>
      <c r="AD360" s="304"/>
      <c r="AE360" s="304">
        <v>0</v>
      </c>
      <c r="AF360" s="304">
        <v>0</v>
      </c>
      <c r="AG360" s="304"/>
      <c r="AH360" s="304">
        <v>0</v>
      </c>
      <c r="AI360" s="304">
        <v>0</v>
      </c>
      <c r="AJ360" s="304"/>
      <c r="AK360" s="304">
        <v>0</v>
      </c>
      <c r="AL360" s="304">
        <v>0</v>
      </c>
      <c r="AM360" s="304"/>
      <c r="AN360" s="304">
        <v>0</v>
      </c>
      <c r="AO360" s="304">
        <v>0</v>
      </c>
      <c r="AP360" s="304"/>
      <c r="AQ360" s="304">
        <v>0</v>
      </c>
      <c r="AR360" s="304">
        <v>0</v>
      </c>
      <c r="AS360" s="304"/>
      <c r="AT360" s="304">
        <v>0</v>
      </c>
      <c r="AU360" s="304">
        <v>0</v>
      </c>
      <c r="AV360" s="304"/>
      <c r="AW360" s="304">
        <v>0</v>
      </c>
      <c r="AX360" s="304">
        <v>0</v>
      </c>
      <c r="AY360" s="304"/>
      <c r="AZ360" s="304">
        <v>0</v>
      </c>
      <c r="BA360" s="304">
        <v>0</v>
      </c>
      <c r="BB360" s="304"/>
      <c r="BC360" s="304">
        <v>0</v>
      </c>
      <c r="BD360" s="304">
        <v>0</v>
      </c>
      <c r="BE360" s="304"/>
      <c r="BF360" s="304">
        <v>0</v>
      </c>
      <c r="BG360" s="304">
        <v>0</v>
      </c>
      <c r="BH360" s="304"/>
      <c r="BI360" s="304">
        <v>0</v>
      </c>
      <c r="BJ360" s="304">
        <v>0</v>
      </c>
      <c r="BK360" s="304"/>
      <c r="BL360" s="304">
        <v>0</v>
      </c>
      <c r="BM360" s="304">
        <v>0</v>
      </c>
      <c r="BN360" s="304"/>
      <c r="BO360" s="304">
        <v>0</v>
      </c>
      <c r="BP360" s="304">
        <v>0</v>
      </c>
      <c r="BQ360" s="304"/>
      <c r="BR360" s="304">
        <v>0</v>
      </c>
      <c r="BS360" s="304">
        <v>0</v>
      </c>
      <c r="BT360" s="304"/>
      <c r="BU360" s="304">
        <v>0</v>
      </c>
      <c r="BV360" s="304">
        <v>0</v>
      </c>
      <c r="BW360" s="304"/>
      <c r="BX360" s="304">
        <v>0</v>
      </c>
      <c r="BY360" s="304">
        <v>0</v>
      </c>
      <c r="BZ360" s="304"/>
      <c r="CA360" s="304">
        <v>0</v>
      </c>
      <c r="CB360" s="304">
        <v>0</v>
      </c>
      <c r="CC360" s="304"/>
      <c r="CD360" s="304">
        <v>0</v>
      </c>
      <c r="CE360" s="304">
        <v>0</v>
      </c>
      <c r="CF360" s="304"/>
      <c r="CG360" s="304">
        <v>0</v>
      </c>
      <c r="CH360" s="304">
        <v>0</v>
      </c>
      <c r="CI360" s="304"/>
      <c r="CJ360" s="304">
        <v>0</v>
      </c>
      <c r="CK360" s="304">
        <v>0</v>
      </c>
    </row>
    <row r="361" spans="1:98" ht="75" x14ac:dyDescent="0.25">
      <c r="A361" s="95" t="s">
        <v>163</v>
      </c>
      <c r="B361" s="96" t="s">
        <v>1668</v>
      </c>
      <c r="C361" s="107"/>
      <c r="D361" s="95"/>
      <c r="E361" s="279"/>
      <c r="F361" s="279"/>
      <c r="G361" s="279"/>
      <c r="H361" s="279"/>
      <c r="I361" s="279"/>
      <c r="J361" s="279"/>
      <c r="K361" s="279"/>
      <c r="L361" s="279"/>
      <c r="M361" s="279"/>
      <c r="N361" s="279"/>
      <c r="O361" s="281" t="s">
        <v>140</v>
      </c>
    </row>
    <row r="362" spans="1:98" x14ac:dyDescent="0.25">
      <c r="A362" s="95"/>
      <c r="B362" s="96" t="s">
        <v>1182</v>
      </c>
      <c r="C362" s="107"/>
      <c r="D362" s="95" t="s">
        <v>8</v>
      </c>
      <c r="E362" s="279">
        <f t="shared" ref="E362:J362" si="756">(E365+E366)/(E373+E374)*100</f>
        <v>21.128246753246753</v>
      </c>
      <c r="F362" s="279">
        <f t="shared" si="756"/>
        <v>21.817890349470982</v>
      </c>
      <c r="G362" s="279">
        <f t="shared" si="756"/>
        <v>22.460487649908664</v>
      </c>
      <c r="H362" s="279">
        <f t="shared" si="756"/>
        <v>22.654176424668229</v>
      </c>
      <c r="I362" s="279">
        <f t="shared" si="756"/>
        <v>23.163013275702376</v>
      </c>
      <c r="J362" s="279">
        <f t="shared" si="756"/>
        <v>24.034302193215453</v>
      </c>
      <c r="K362" s="279">
        <f>(K365+K366)/(K373+K374)*100</f>
        <v>24.574355883682387</v>
      </c>
      <c r="L362" s="279">
        <f>(L365+L366)/(L373+L374)*100</f>
        <v>20.59496567505721</v>
      </c>
      <c r="M362" s="279">
        <f>(M365+M366)/(M373+M374)*100</f>
        <v>21.088435374149661</v>
      </c>
      <c r="N362" s="279">
        <f>(N365+N366)/(N373+N374)*100</f>
        <v>19.908466819221967</v>
      </c>
      <c r="O362" s="281"/>
      <c r="Q362" s="279">
        <f>(Q365+Q366)/(Q373+Q374)*100</f>
        <v>24.574355883682387</v>
      </c>
      <c r="R362" s="279">
        <f>(R365+R366)/(R373+R374)*100</f>
        <v>24.900830776139511</v>
      </c>
      <c r="S362" s="279">
        <f>(S365+S366)/(S373+S374)*100</f>
        <v>21.212121212121211</v>
      </c>
      <c r="T362" s="279">
        <f>(T365+T366)/(T373+T374)*100</f>
        <v>19.485294117647058</v>
      </c>
      <c r="V362" s="279">
        <f>(V365+V366)/(V373+V374)*100</f>
        <v>21.527777777777779</v>
      </c>
      <c r="W362" s="279">
        <f>(W365+W366)/(W373+W374)*100</f>
        <v>20.274914089347078</v>
      </c>
      <c r="Y362" s="279">
        <f>(Y365+Y366)/(Y373+Y374)*100</f>
        <v>15.702479338842975</v>
      </c>
      <c r="Z362" s="279">
        <f>(Z365+Z366)/(Z373+Z374)*100</f>
        <v>17.344173441734416</v>
      </c>
      <c r="AB362" s="279">
        <f>(AB365+AB366)/(AB373+AB374)*100</f>
        <v>26.598465473145783</v>
      </c>
      <c r="AC362" s="279">
        <f>(AC365+AC366)/(AC373+AC374)*100</f>
        <v>26.410256410256412</v>
      </c>
      <c r="AE362" s="279">
        <f>(AE365+AE366)/(AE373+AE374)*100</f>
        <v>16.519174041297934</v>
      </c>
      <c r="AF362" s="279">
        <f>(AF365+AF366)/(AF373+AF374)*100</f>
        <v>16.770186335403729</v>
      </c>
      <c r="AH362" s="279">
        <f>(AH365+AH366)/(AH373+AH374)*100</f>
        <v>20.79646017699115</v>
      </c>
      <c r="AI362" s="279">
        <f>(AI365+AI366)/(AI373+AI374)*100</f>
        <v>20.59496567505721</v>
      </c>
      <c r="AK362" s="279">
        <f>(AK365+AK366)/(AK373+AK374)*100</f>
        <v>16.312056737588655</v>
      </c>
      <c r="AL362" s="279">
        <f>(AL365+AL366)/(AL373+AL374)*100</f>
        <v>16.421568627450981</v>
      </c>
      <c r="AN362" s="279">
        <f>(AN365+AN366)/(AN373+AN374)*100</f>
        <v>21.92723697148476</v>
      </c>
      <c r="AO362" s="279">
        <f>(AO365+AO366)/(AO373+AO374)*100</f>
        <v>23.446893787575153</v>
      </c>
      <c r="AQ362" s="279">
        <f>(AQ365+AQ366)/(AQ373+AQ374)*100</f>
        <v>17.75700934579439</v>
      </c>
      <c r="AR362" s="279">
        <f>(AR365+AR366)/(AR373+AR374)*100</f>
        <v>20.615384615384617</v>
      </c>
      <c r="AT362" s="279">
        <f>(AT365+AT366)/(AT373+AT374)*100</f>
        <v>33.541341653666144</v>
      </c>
      <c r="AU362" s="279">
        <f>(AU365+AU366)/(AU373+AU374)*100</f>
        <v>32.822085889570552</v>
      </c>
      <c r="AW362" s="279">
        <f>(AW365+AW366)/(AW373+AW374)*100</f>
        <v>22.054380664652566</v>
      </c>
      <c r="AX362" s="279">
        <f>(AX365+AX366)/(AX373+AX374)*100</f>
        <v>23.423423423423422</v>
      </c>
      <c r="AZ362" s="279">
        <f>(AZ365+AZ366)/(AZ373+AZ374)*100</f>
        <v>18.894009216589861</v>
      </c>
      <c r="BA362" s="279">
        <f>(BA365+BA366)/(BA373+BA374)*100</f>
        <v>19.437939110070257</v>
      </c>
      <c r="BC362" s="279">
        <f>(BC365+BC366)/(BC373+BC374)*100</f>
        <v>27.417218543046356</v>
      </c>
      <c r="BD362" s="279">
        <f>(BD365+BD366)/(BD373+BD374)*100</f>
        <v>26.923076923076923</v>
      </c>
      <c r="BF362" s="279">
        <f>(BF365+BF366)/(BF373+BF374)*100</f>
        <v>24.89651094027203</v>
      </c>
      <c r="BG362" s="279">
        <f>(BG365+BG366)/(BG373+BG374)*100</f>
        <v>25.350467289719624</v>
      </c>
      <c r="BI362" s="279">
        <f>(BI365+BI366)/(BI373+BI374)*100</f>
        <v>32.267769838285069</v>
      </c>
      <c r="BJ362" s="279">
        <f>(BJ365+BJ366)/(BJ373+BJ374)*100</f>
        <v>32.974777448071215</v>
      </c>
      <c r="BL362" s="279">
        <f>(BL365+BL366)/(BL373+BL374)*100</f>
        <v>19.736842105263158</v>
      </c>
      <c r="BM362" s="279">
        <f>(BM365+BM366)/(BM373+BM374)*100</f>
        <v>18.983050847457626</v>
      </c>
      <c r="BO362" s="279">
        <f>(BO365+BO366)/(BO373+BO374)*100</f>
        <v>18.791946308724832</v>
      </c>
      <c r="BP362" s="279">
        <f>(BP365+BP366)/(BP373+BP374)*100</f>
        <v>20.317460317460316</v>
      </c>
      <c r="BR362" s="279">
        <f>(BR365+BR366)/(BR373+BR374)*100</f>
        <v>22.197309417040358</v>
      </c>
      <c r="BS362" s="279">
        <f>(BS365+BS366)/(BS373+BS374)*100</f>
        <v>20.742358078602621</v>
      </c>
      <c r="BU362" s="279">
        <f>(BU365+BU366)/(BU373+BU374)*100</f>
        <v>24.827586206896552</v>
      </c>
      <c r="BV362" s="279">
        <f>(BV365+BV366)/(BV373+BV374)*100</f>
        <v>24.439461883408072</v>
      </c>
      <c r="BX362" s="279">
        <f>(BX365+BX366)/(BX373+BX374)*100</f>
        <v>16.260162601626014</v>
      </c>
      <c r="BY362" s="279">
        <f>(BY365+BY366)/(BY373+BY374)*100</f>
        <v>19.083969465648856</v>
      </c>
      <c r="CA362" s="279">
        <f>(CA365+CA366)/(CA373+CA374)*100</f>
        <v>24.561403508771928</v>
      </c>
      <c r="CB362" s="279">
        <f>(CB365+CB366)/(CB373+CB374)*100</f>
        <v>21.708185053380781</v>
      </c>
      <c r="CD362" s="279">
        <f>(CD365+CD366)/(CD373+CD374)*100</f>
        <v>20.060790273556233</v>
      </c>
      <c r="CE362" s="279">
        <f>(CE365+CE366)/(CE373+CE374)*100</f>
        <v>21.451104100946374</v>
      </c>
      <c r="CG362" s="279">
        <f>(CG365+CG366)/(CG373+CG374)*100</f>
        <v>20.33898305084746</v>
      </c>
      <c r="CH362" s="279">
        <f>(CH365+CH366)/(CH373+CH374)*100</f>
        <v>20.472440944881889</v>
      </c>
      <c r="CJ362" s="279">
        <f>(CJ365+CJ366)/(CJ373+CJ374)*100</f>
        <v>30.526315789473685</v>
      </c>
      <c r="CK362" s="279">
        <f>(CK365+CK366)/(CK373+CK374)*100</f>
        <v>27.835051546391753</v>
      </c>
    </row>
    <row r="363" spans="1:98" x14ac:dyDescent="0.25">
      <c r="A363" s="95"/>
      <c r="B363" s="96" t="s">
        <v>1183</v>
      </c>
      <c r="C363" s="107"/>
      <c r="D363" s="95" t="s">
        <v>8</v>
      </c>
      <c r="E363" s="279">
        <f t="shared" ref="E363:G364" si="757">E365/E373*100</f>
        <v>20.955493607613189</v>
      </c>
      <c r="F363" s="279">
        <f t="shared" si="757"/>
        <v>21.722243273967411</v>
      </c>
      <c r="G363" s="279">
        <f t="shared" si="757"/>
        <v>22.561032644280235</v>
      </c>
      <c r="H363" s="279">
        <f t="shared" ref="H363:K364" si="758">H365/H373*100</f>
        <v>23.024336888159695</v>
      </c>
      <c r="I363" s="279">
        <f t="shared" si="758"/>
        <v>23.715984862137322</v>
      </c>
      <c r="J363" s="279">
        <f t="shared" si="758"/>
        <v>24.688961440042352</v>
      </c>
      <c r="K363" s="279">
        <f t="shared" si="758"/>
        <v>25.345944999124193</v>
      </c>
      <c r="L363" s="279">
        <f t="shared" ref="L363:M364" si="759">L365/L373*100</f>
        <v>47.872340425531917</v>
      </c>
      <c r="M363" s="279">
        <f t="shared" si="759"/>
        <v>49.732620320855617</v>
      </c>
      <c r="N363" s="279">
        <f t="shared" ref="N363" si="760">N365/N373*100</f>
        <v>46.276595744680847</v>
      </c>
      <c r="O363" s="281"/>
      <c r="Q363" s="279">
        <f t="shared" ref="Q363:S364" si="761">Q365/Q373*100</f>
        <v>25.345944999124193</v>
      </c>
      <c r="R363" s="279">
        <f t="shared" si="761"/>
        <v>25.598542678695352</v>
      </c>
      <c r="S363" s="279">
        <f>S365/S373*100</f>
        <v>19.745222929936308</v>
      </c>
      <c r="T363" s="279">
        <f>T365/T373*100</f>
        <v>20.245398773006134</v>
      </c>
      <c r="V363" s="279">
        <f>V365/V373*100</f>
        <v>17.1875</v>
      </c>
      <c r="W363" s="279">
        <f>W365/W373*100</f>
        <v>15.748031496062993</v>
      </c>
      <c r="Y363" s="279">
        <f>Y365/Y373*100</f>
        <v>15.979381443298967</v>
      </c>
      <c r="Z363" s="279">
        <f>Z365/Z373*100</f>
        <v>18.229166666666664</v>
      </c>
      <c r="AB363" s="279">
        <f>AB365/AB373*100</f>
        <v>29.444444444444446</v>
      </c>
      <c r="AC363" s="279">
        <f>AC365/AC373*100</f>
        <v>28.571428571428569</v>
      </c>
      <c r="AE363" s="279">
        <f>AE365/AE373*100</f>
        <v>17.20430107526882</v>
      </c>
      <c r="AF363" s="279">
        <f>AF365/AF373*100</f>
        <v>18.181818181818183</v>
      </c>
      <c r="AH363" s="279">
        <f>AH365/AH373*100</f>
        <v>22.335025380710661</v>
      </c>
      <c r="AI363" s="279">
        <f>AI365/AI373*100</f>
        <v>19.148936170212767</v>
      </c>
      <c r="AK363" s="279">
        <f>AK365/AK373*100</f>
        <v>15.601023017902813</v>
      </c>
      <c r="AL363" s="279">
        <f>AL365/AL373*100</f>
        <v>16.05263157894737</v>
      </c>
      <c r="AN363" s="279">
        <f>AN365/AN373*100</f>
        <v>23.802163833075735</v>
      </c>
      <c r="AO363" s="279">
        <f>AO365/AO373*100</f>
        <v>25.038880248833596</v>
      </c>
      <c r="AQ363" s="279" t="e">
        <f>AQ365/AQ373*100</f>
        <v>#DIV/0!</v>
      </c>
      <c r="AR363" s="279" t="e">
        <f>AR365/AR373*100</f>
        <v>#DIV/0!</v>
      </c>
      <c r="AT363" s="279">
        <f>AT365/AT373*100</f>
        <v>33.541341653666144</v>
      </c>
      <c r="AU363" s="279">
        <f>AU365/AU373*100</f>
        <v>32.822085889570552</v>
      </c>
      <c r="AW363" s="279">
        <f>AW365/AW373*100</f>
        <v>22.054380664652566</v>
      </c>
      <c r="AX363" s="279">
        <f>AX365/AX373*100</f>
        <v>23.423423423423422</v>
      </c>
      <c r="AZ363" s="279">
        <f>AZ365/AZ373*100</f>
        <v>18.894009216589861</v>
      </c>
      <c r="BA363" s="279">
        <f>BA365/BA373*100</f>
        <v>19.437939110070257</v>
      </c>
      <c r="BC363" s="279">
        <f>BC365/BC373*100</f>
        <v>27.417218543046356</v>
      </c>
      <c r="BD363" s="279">
        <f>BD365/BD373*100</f>
        <v>26.923076923076923</v>
      </c>
      <c r="BF363" s="279">
        <f>BF365/BF373*100</f>
        <v>24.89651094027203</v>
      </c>
      <c r="BG363" s="279">
        <f>BG365/BG373*100</f>
        <v>25.350467289719624</v>
      </c>
      <c r="BI363" s="279">
        <f>BI365/BI373*100</f>
        <v>32.267769838285069</v>
      </c>
      <c r="BJ363" s="279">
        <f>BJ365/BJ373*100</f>
        <v>32.974777448071215</v>
      </c>
      <c r="BL363" s="279">
        <f>BL365/BL373*100</f>
        <v>19.736842105263158</v>
      </c>
      <c r="BM363" s="279">
        <f>BM365/BM373*100</f>
        <v>18.983050847457626</v>
      </c>
      <c r="BO363" s="279">
        <f>BO365/BO373*100</f>
        <v>18.791946308724832</v>
      </c>
      <c r="BP363" s="279">
        <f>BP365/BP373*100</f>
        <v>20.317460317460316</v>
      </c>
      <c r="BR363" s="279">
        <f>BR365/BR373*100</f>
        <v>22.197309417040358</v>
      </c>
      <c r="BS363" s="279">
        <f>BS365/BS373*100</f>
        <v>20.742358078602621</v>
      </c>
      <c r="BU363" s="279">
        <f>BU365/BU373*100</f>
        <v>24.827586206896552</v>
      </c>
      <c r="BV363" s="279">
        <f>BV365/BV373*100</f>
        <v>24.439461883408072</v>
      </c>
      <c r="BX363" s="279">
        <f>BX365/BX373*100</f>
        <v>16.260162601626014</v>
      </c>
      <c r="BY363" s="279">
        <f>BY365/BY373*100</f>
        <v>19.083969465648856</v>
      </c>
      <c r="CA363" s="279">
        <f>CA365/CA373*100</f>
        <v>24.561403508771928</v>
      </c>
      <c r="CB363" s="279">
        <f>CB365/CB373*100</f>
        <v>21.708185053380781</v>
      </c>
      <c r="CD363" s="279">
        <f>CD365/CD373*100</f>
        <v>20.060790273556233</v>
      </c>
      <c r="CE363" s="279">
        <f>CE365/CE373*100</f>
        <v>21.451104100946374</v>
      </c>
      <c r="CG363" s="279">
        <f>CG365/CG373*100</f>
        <v>19.921875</v>
      </c>
      <c r="CH363" s="279">
        <f>CH365/CH373*100</f>
        <v>20.471014492753621</v>
      </c>
      <c r="CJ363" s="279">
        <f>CJ365/CJ373*100</f>
        <v>30.526315789473685</v>
      </c>
      <c r="CK363" s="279">
        <f>CK365/CK373*100</f>
        <v>27.835051546391753</v>
      </c>
    </row>
    <row r="364" spans="1:98" x14ac:dyDescent="0.25">
      <c r="A364" s="95"/>
      <c r="B364" s="96" t="s">
        <v>1185</v>
      </c>
      <c r="C364" s="107"/>
      <c r="D364" s="95" t="s">
        <v>8</v>
      </c>
      <c r="E364" s="279">
        <f t="shared" si="757"/>
        <v>22.065727699530516</v>
      </c>
      <c r="F364" s="279">
        <f t="shared" si="757"/>
        <v>22.34375</v>
      </c>
      <c r="G364" s="279">
        <f t="shared" si="757"/>
        <v>21.894736842105264</v>
      </c>
      <c r="H364" s="279">
        <f t="shared" si="758"/>
        <v>20.44589450788472</v>
      </c>
      <c r="I364" s="279">
        <f t="shared" si="758"/>
        <v>19.860064585575888</v>
      </c>
      <c r="J364" s="279">
        <f t="shared" si="758"/>
        <v>20.010845986984815</v>
      </c>
      <c r="K364" s="279">
        <f t="shared" si="758"/>
        <v>19.827586206896552</v>
      </c>
      <c r="L364" s="279">
        <f t="shared" ref="L364" si="762">L366/L374*100</f>
        <v>0</v>
      </c>
      <c r="M364" s="279">
        <f t="shared" si="759"/>
        <v>0</v>
      </c>
      <c r="N364" s="279">
        <f t="shared" ref="N364" si="763">N366/N374*100</f>
        <v>0</v>
      </c>
      <c r="O364" s="281"/>
      <c r="Q364" s="279">
        <f>Q366/Q374*100</f>
        <v>19.827586206896552</v>
      </c>
      <c r="R364" s="279">
        <f t="shared" si="761"/>
        <v>20.512820512820511</v>
      </c>
      <c r="S364" s="279">
        <f t="shared" si="761"/>
        <v>23.364485981308412</v>
      </c>
      <c r="T364" s="279">
        <f>T366/T374*100</f>
        <v>18.348623853211009</v>
      </c>
      <c r="V364" s="279">
        <f>V366/V374*100</f>
        <v>25</v>
      </c>
      <c r="W364" s="279">
        <f>W366/W374*100</f>
        <v>23.780487804878049</v>
      </c>
      <c r="Y364" s="279">
        <f>Y366/Y374*100</f>
        <v>15.384615384615385</v>
      </c>
      <c r="Z364" s="279">
        <f>Z366/Z374*100</f>
        <v>16.38418079096045</v>
      </c>
      <c r="AB364" s="279">
        <f>AB366/AB374*100</f>
        <v>24.170616113744074</v>
      </c>
      <c r="AC364" s="279">
        <f>AC366/AC374*100</f>
        <v>24.519230769230766</v>
      </c>
      <c r="AE364" s="279">
        <f>AE366/AE374*100</f>
        <v>15.686274509803921</v>
      </c>
      <c r="AF364" s="279">
        <f>AF366/AF374*100</f>
        <v>14.814814814814813</v>
      </c>
      <c r="AH364" s="279">
        <f>AH366/AH374*100</f>
        <v>19.607843137254903</v>
      </c>
      <c r="AI364" s="279">
        <f>AI366/AI374*100</f>
        <v>21.686746987951807</v>
      </c>
      <c r="AK364" s="279">
        <f>AK366/AK374*100</f>
        <v>25</v>
      </c>
      <c r="AL364" s="279">
        <f>AL366/AL374*100</f>
        <v>21.428571428571427</v>
      </c>
      <c r="AN364" s="279">
        <f>AN366/AN374*100</f>
        <v>18.648648648648649</v>
      </c>
      <c r="AO364" s="279">
        <f>AO366/AO374*100</f>
        <v>20.56338028169014</v>
      </c>
      <c r="AQ364" s="279">
        <f>AQ366/AQ374*100</f>
        <v>17.75700934579439</v>
      </c>
      <c r="AR364" s="279">
        <f>AR366/AR374*100</f>
        <v>20.615384615384617</v>
      </c>
      <c r="AT364" s="279" t="e">
        <f>AT366/AT374*100</f>
        <v>#DIV/0!</v>
      </c>
      <c r="AU364" s="279" t="e">
        <f>AU366/AU374*100</f>
        <v>#DIV/0!</v>
      </c>
      <c r="AW364" s="279" t="e">
        <f>AW366/AW374*100</f>
        <v>#DIV/0!</v>
      </c>
      <c r="AX364" s="279" t="e">
        <f>AX366/AX374*100</f>
        <v>#DIV/0!</v>
      </c>
      <c r="AZ364" s="279" t="e">
        <f>AZ366/AZ374*100</f>
        <v>#DIV/0!</v>
      </c>
      <c r="BA364" s="279" t="e">
        <f>BA366/BA374*100</f>
        <v>#DIV/0!</v>
      </c>
      <c r="BC364" s="279" t="e">
        <f>BC366/BC374*100</f>
        <v>#DIV/0!</v>
      </c>
      <c r="BD364" s="279" t="e">
        <f>BD366/BD374*100</f>
        <v>#DIV/0!</v>
      </c>
      <c r="BF364" s="279" t="e">
        <f>BF366/BF374*100</f>
        <v>#DIV/0!</v>
      </c>
      <c r="BG364" s="279" t="e">
        <f>BG366/BG374*100</f>
        <v>#DIV/0!</v>
      </c>
      <c r="BI364" s="279" t="e">
        <f>BI366/BI374*100</f>
        <v>#DIV/0!</v>
      </c>
      <c r="BJ364" s="279" t="e">
        <f>BJ366/BJ374*100</f>
        <v>#DIV/0!</v>
      </c>
      <c r="BL364" s="279" t="e">
        <f>BL366/BL374*100</f>
        <v>#DIV/0!</v>
      </c>
      <c r="BM364" s="279" t="e">
        <f>BM366/BM374*100</f>
        <v>#DIV/0!</v>
      </c>
      <c r="BO364" s="279" t="e">
        <f>BO366/BO374*100</f>
        <v>#DIV/0!</v>
      </c>
      <c r="BP364" s="279" t="e">
        <f>BP366/BP374*100</f>
        <v>#DIV/0!</v>
      </c>
      <c r="BR364" s="279" t="e">
        <f>BR366/BR374*100</f>
        <v>#DIV/0!</v>
      </c>
      <c r="BS364" s="279" t="e">
        <f>BS366/BS374*100</f>
        <v>#DIV/0!</v>
      </c>
      <c r="BU364" s="279" t="e">
        <f>BU366/BU374*100</f>
        <v>#DIV/0!</v>
      </c>
      <c r="BV364" s="279" t="e">
        <f>BV366/BV374*100</f>
        <v>#DIV/0!</v>
      </c>
      <c r="BX364" s="279" t="e">
        <f>BX366/BX374*100</f>
        <v>#DIV/0!</v>
      </c>
      <c r="BY364" s="279" t="e">
        <f>BY366/BY374*100</f>
        <v>#DIV/0!</v>
      </c>
      <c r="CA364" s="279" t="e">
        <f>CA366/CA374*100</f>
        <v>#DIV/0!</v>
      </c>
      <c r="CB364" s="279" t="e">
        <f>CB366/CB374*100</f>
        <v>#DIV/0!</v>
      </c>
      <c r="CD364" s="279" t="e">
        <f>CD366/CD374*100</f>
        <v>#DIV/0!</v>
      </c>
      <c r="CE364" s="279" t="e">
        <f>CE366/CE374*100</f>
        <v>#DIV/0!</v>
      </c>
      <c r="CG364" s="279">
        <f>CG366/CG374*100</f>
        <v>23.076923076923077</v>
      </c>
      <c r="CH364" s="279">
        <f>CH366/CH374*100</f>
        <v>20.481927710843372</v>
      </c>
      <c r="CJ364" s="279" t="e">
        <f>CJ366/CJ374*100</f>
        <v>#DIV/0!</v>
      </c>
      <c r="CK364" s="279" t="e">
        <f>CK366/CK374*100</f>
        <v>#DIV/0!</v>
      </c>
    </row>
    <row r="365" spans="1:98" ht="30" x14ac:dyDescent="0.25">
      <c r="A365" s="419"/>
      <c r="B365" s="419" t="s">
        <v>164</v>
      </c>
      <c r="C365" s="95" t="s">
        <v>165</v>
      </c>
      <c r="D365" s="95" t="s">
        <v>950</v>
      </c>
      <c r="E365" s="291">
        <v>2180</v>
      </c>
      <c r="F365" s="291">
        <v>2293</v>
      </c>
      <c r="G365" s="291">
        <v>2412</v>
      </c>
      <c r="H365" s="291">
        <f>H367+H368+H369</f>
        <v>2526</v>
      </c>
      <c r="I365" s="291">
        <f>I367+I368+I369</f>
        <v>2632</v>
      </c>
      <c r="J365" s="291">
        <f>J367+J368+J369</f>
        <v>2798</v>
      </c>
      <c r="K365" s="291">
        <f>K367+K368+K369</f>
        <v>2894</v>
      </c>
      <c r="L365" s="291">
        <f>L367+L368+L369</f>
        <v>90</v>
      </c>
      <c r="M365" s="291">
        <f t="shared" ref="M365:N365" si="764">M367+M368+M369</f>
        <v>93</v>
      </c>
      <c r="N365" s="291">
        <f t="shared" si="764"/>
        <v>87</v>
      </c>
      <c r="O365" s="283"/>
      <c r="Q365" s="291">
        <f>Q367+Q368+Q369</f>
        <v>2894</v>
      </c>
      <c r="R365" s="291">
        <f>R367+R368+R369</f>
        <v>2951</v>
      </c>
      <c r="S365" s="291">
        <f>S367+S368+S369</f>
        <v>31</v>
      </c>
      <c r="T365" s="291">
        <f>T367+T368+T369</f>
        <v>33</v>
      </c>
      <c r="V365" s="291">
        <f>V367+V368+V369</f>
        <v>22</v>
      </c>
      <c r="W365" s="291">
        <f>W367+W368+W369</f>
        <v>20</v>
      </c>
      <c r="Y365" s="291">
        <f>Y367+Y368+Y369</f>
        <v>31</v>
      </c>
      <c r="Z365" s="291">
        <f>Z367+Z368+Z369</f>
        <v>35</v>
      </c>
      <c r="AB365" s="291">
        <f>AB367+AB368+AB369</f>
        <v>53</v>
      </c>
      <c r="AC365" s="291">
        <f>AC367+AC368+AC369</f>
        <v>52</v>
      </c>
      <c r="AE365" s="291">
        <f>AE367+AE368+AE369</f>
        <v>32</v>
      </c>
      <c r="AF365" s="291">
        <f>AF367+AF368+AF369</f>
        <v>34</v>
      </c>
      <c r="AH365" s="291">
        <f>AH367+AH368+AH369</f>
        <v>44</v>
      </c>
      <c r="AI365" s="291">
        <f>AI367+AI368+AI369</f>
        <v>36</v>
      </c>
      <c r="AK365" s="291">
        <f>AK367+AK368+AK369</f>
        <v>61</v>
      </c>
      <c r="AL365" s="291">
        <f>AL367+AL368+AL369</f>
        <v>61</v>
      </c>
      <c r="AN365" s="291">
        <f>AN367+AN368+AN369</f>
        <v>154</v>
      </c>
      <c r="AO365" s="291">
        <f>AO367+AO368+AO369</f>
        <v>161</v>
      </c>
      <c r="AQ365" s="291">
        <f>AQ367+AQ368+AQ369</f>
        <v>0</v>
      </c>
      <c r="AR365" s="291">
        <f>AR367+AR368+AR369</f>
        <v>0</v>
      </c>
      <c r="AT365" s="291">
        <f>AT367+AT368+AT369</f>
        <v>215</v>
      </c>
      <c r="AU365" s="291">
        <f>AU367+AU368+AU369</f>
        <v>214</v>
      </c>
      <c r="AW365" s="291">
        <f>AW367+AW368+AW369</f>
        <v>73</v>
      </c>
      <c r="AX365" s="291">
        <f>AX367+AX368+AX369</f>
        <v>78</v>
      </c>
      <c r="AZ365" s="291">
        <f>AZ367+AZ368+AZ369</f>
        <v>82</v>
      </c>
      <c r="BA365" s="291">
        <f>BA367+BA368+BA369</f>
        <v>83</v>
      </c>
      <c r="BC365" s="291">
        <f>BC367+BC368+BC369</f>
        <v>207</v>
      </c>
      <c r="BD365" s="291">
        <f>BD367+BD368+BD369</f>
        <v>203</v>
      </c>
      <c r="BF365" s="291">
        <f>BF367+BF368+BF369</f>
        <v>421</v>
      </c>
      <c r="BG365" s="291">
        <f>BG367+BG368+BG369</f>
        <v>434</v>
      </c>
      <c r="BI365" s="291">
        <f>BI367+BI368+BI369</f>
        <v>858</v>
      </c>
      <c r="BJ365" s="291">
        <f>BJ367+BJ368+BJ369</f>
        <v>889</v>
      </c>
      <c r="BL365" s="291">
        <f>BL367+BL368+BL369</f>
        <v>60</v>
      </c>
      <c r="BM365" s="291">
        <f>BM367+BM368+BM369</f>
        <v>56</v>
      </c>
      <c r="BO365" s="291">
        <f>BO367+BO368+BO369</f>
        <v>56</v>
      </c>
      <c r="BP365" s="291">
        <f>BP367+BP368+BP369</f>
        <v>64</v>
      </c>
      <c r="BR365" s="291">
        <f>BR367+BR368+BR369</f>
        <v>99</v>
      </c>
      <c r="BS365" s="291">
        <f>BS367+BS368+BS369</f>
        <v>95</v>
      </c>
      <c r="BU365" s="291">
        <f>BU367+BU368+BU369</f>
        <v>108</v>
      </c>
      <c r="BV365" s="291">
        <f>BV367+BV368+BV369</f>
        <v>109</v>
      </c>
      <c r="BX365" s="291">
        <f>BX367+BX368+BX369</f>
        <v>20</v>
      </c>
      <c r="BY365" s="291">
        <f>BY367+BY368+BY369</f>
        <v>25</v>
      </c>
      <c r="CA365" s="291">
        <f>CA367+CA368+CA369</f>
        <v>70</v>
      </c>
      <c r="CB365" s="291">
        <f>CB367+CB368+CB369</f>
        <v>61</v>
      </c>
      <c r="CD365" s="291">
        <f>CD367+CD368+CD369</f>
        <v>66</v>
      </c>
      <c r="CE365" s="291">
        <f>CE367+CE368+CE369</f>
        <v>68</v>
      </c>
      <c r="CG365" s="291">
        <f>CG367+CG368+CG369</f>
        <v>102</v>
      </c>
      <c r="CH365" s="291">
        <f>CH367+CH368+CH369</f>
        <v>113</v>
      </c>
      <c r="CJ365" s="291">
        <f>CJ367+CJ368+CJ369</f>
        <v>29</v>
      </c>
      <c r="CK365" s="291">
        <f>CK367+CK368+CK369</f>
        <v>27</v>
      </c>
    </row>
    <row r="366" spans="1:98" ht="30" x14ac:dyDescent="0.25">
      <c r="A366" s="421"/>
      <c r="B366" s="421"/>
      <c r="C366" s="95" t="s">
        <v>166</v>
      </c>
      <c r="D366" s="95" t="s">
        <v>950</v>
      </c>
      <c r="E366" s="282">
        <v>423</v>
      </c>
      <c r="F366" s="282">
        <v>429</v>
      </c>
      <c r="G366" s="282">
        <v>416</v>
      </c>
      <c r="H366" s="291">
        <f>H370+H371+H372</f>
        <v>376</v>
      </c>
      <c r="I366" s="291">
        <f>I370+I371+I372</f>
        <v>369</v>
      </c>
      <c r="J366" s="291">
        <f>J370+J371+J372</f>
        <v>369</v>
      </c>
      <c r="K366" s="291">
        <f>K370+K371+K372</f>
        <v>368</v>
      </c>
      <c r="L366" s="291">
        <f>L370+L371+L372</f>
        <v>0</v>
      </c>
      <c r="M366" s="291">
        <f t="shared" ref="M366:N366" si="765">M370+M371+M372</f>
        <v>0</v>
      </c>
      <c r="N366" s="291">
        <f t="shared" si="765"/>
        <v>0</v>
      </c>
      <c r="O366" s="283"/>
      <c r="Q366" s="291">
        <f>Q370+Q371+Q372</f>
        <v>368</v>
      </c>
      <c r="R366" s="291">
        <f>R370+R371+R372</f>
        <v>376</v>
      </c>
      <c r="S366" s="291">
        <f>S370+S371+S372</f>
        <v>25</v>
      </c>
      <c r="T366" s="291">
        <f>T370+T371+T372</f>
        <v>20</v>
      </c>
      <c r="V366" s="291">
        <f>V370+V371+V372</f>
        <v>40</v>
      </c>
      <c r="W366" s="291">
        <f>W370+W371+W372</f>
        <v>39</v>
      </c>
      <c r="Y366" s="291">
        <f>Y370+Y371+Y372</f>
        <v>26</v>
      </c>
      <c r="Z366" s="291">
        <f>Z370+Z371+Z372</f>
        <v>29</v>
      </c>
      <c r="AB366" s="291">
        <f>AB370+AB371+AB372</f>
        <v>51</v>
      </c>
      <c r="AC366" s="291">
        <f>AC370+AC371+AC372</f>
        <v>51</v>
      </c>
      <c r="AE366" s="291">
        <f>AE370+AE371+AE372</f>
        <v>24</v>
      </c>
      <c r="AF366" s="291">
        <f>AF370+AF371+AF372</f>
        <v>20</v>
      </c>
      <c r="AH366" s="291">
        <f>AH370+AH371+AH372</f>
        <v>50</v>
      </c>
      <c r="AI366" s="291">
        <f>AI370+AI371+AI372</f>
        <v>54</v>
      </c>
      <c r="AK366" s="291">
        <f>AK370+AK371+AK372</f>
        <v>8</v>
      </c>
      <c r="AL366" s="291">
        <f>AL370+AL371+AL372</f>
        <v>6</v>
      </c>
      <c r="AN366" s="291">
        <f>AN370+AN371+AN372</f>
        <v>69</v>
      </c>
      <c r="AO366" s="291">
        <f>AO370+AO371+AO372</f>
        <v>73</v>
      </c>
      <c r="AQ366" s="291">
        <f>AQ370+AQ371+AQ372</f>
        <v>57</v>
      </c>
      <c r="AR366" s="291">
        <f>AR370+AR371+AR372</f>
        <v>67</v>
      </c>
      <c r="AT366" s="291">
        <f>AT370+AT371+AT372</f>
        <v>0</v>
      </c>
      <c r="AU366" s="291">
        <f>AU370+AU371+AU372</f>
        <v>0</v>
      </c>
      <c r="AW366" s="291">
        <f>AW370+AW371+AW372</f>
        <v>0</v>
      </c>
      <c r="AX366" s="291">
        <f>AX370+AX371+AX372</f>
        <v>0</v>
      </c>
      <c r="AZ366" s="291">
        <f>AZ370+AZ371+AZ372</f>
        <v>0</v>
      </c>
      <c r="BA366" s="291">
        <f>BA370+BA371+BA372</f>
        <v>0</v>
      </c>
      <c r="BC366" s="291">
        <f>BC370+BC371+BC372</f>
        <v>0</v>
      </c>
      <c r="BD366" s="291">
        <f>BD370+BD371+BD372</f>
        <v>0</v>
      </c>
      <c r="BF366" s="291">
        <f>BF370+BF371+BF372</f>
        <v>0</v>
      </c>
      <c r="BG366" s="291">
        <f>BG370+BG371+BG372</f>
        <v>0</v>
      </c>
      <c r="BI366" s="291">
        <f>BI370+BI371+BI372</f>
        <v>0</v>
      </c>
      <c r="BJ366" s="291">
        <f>BJ370+BJ371+BJ372</f>
        <v>0</v>
      </c>
      <c r="BL366" s="291">
        <f>BL370+BL371+BL372</f>
        <v>0</v>
      </c>
      <c r="BM366" s="291">
        <f>BM370+BM371+BM372</f>
        <v>0</v>
      </c>
      <c r="BO366" s="291">
        <f>BO370+BO371+BO372</f>
        <v>0</v>
      </c>
      <c r="BP366" s="291">
        <f>BP370+BP371+BP372</f>
        <v>0</v>
      </c>
      <c r="BR366" s="291">
        <f>BR370+BR371+BR372</f>
        <v>0</v>
      </c>
      <c r="BS366" s="291">
        <f>BS370+BS371+BS372</f>
        <v>0</v>
      </c>
      <c r="BU366" s="291">
        <f>BU370+BU371+BU372</f>
        <v>0</v>
      </c>
      <c r="BV366" s="291">
        <f>BV370+BV371+BV372</f>
        <v>0</v>
      </c>
      <c r="BX366" s="291">
        <f>BX370+BX371+BX372</f>
        <v>0</v>
      </c>
      <c r="BY366" s="291">
        <f>BY370+BY371+BY372</f>
        <v>0</v>
      </c>
      <c r="CA366" s="291">
        <f>CA370+CA371+CA372</f>
        <v>0</v>
      </c>
      <c r="CB366" s="291">
        <f>CB370+CB371+CB372</f>
        <v>0</v>
      </c>
      <c r="CD366" s="291">
        <f>CD370+CD371+CD372</f>
        <v>0</v>
      </c>
      <c r="CE366" s="291">
        <f>CE370+CE371+CE372</f>
        <v>0</v>
      </c>
      <c r="CG366" s="291">
        <f>CG370+CG371+CG372</f>
        <v>18</v>
      </c>
      <c r="CH366" s="291">
        <f>CH370+CH371+CH372</f>
        <v>17</v>
      </c>
      <c r="CJ366" s="291">
        <f>CJ370+CJ371+CJ372</f>
        <v>0</v>
      </c>
      <c r="CK366" s="291">
        <f>CK370+CK371+CK372</f>
        <v>0</v>
      </c>
    </row>
    <row r="367" spans="1:98" ht="30" x14ac:dyDescent="0.25">
      <c r="A367" s="312"/>
      <c r="B367" s="312"/>
      <c r="C367" s="312" t="s">
        <v>1495</v>
      </c>
      <c r="D367" s="95"/>
      <c r="E367" s="282"/>
      <c r="F367" s="282"/>
      <c r="G367" s="282"/>
      <c r="H367" s="282">
        <v>533</v>
      </c>
      <c r="I367" s="282">
        <v>550</v>
      </c>
      <c r="J367" s="282">
        <v>589</v>
      </c>
      <c r="K367" s="282">
        <v>678</v>
      </c>
      <c r="L367" s="282">
        <v>18</v>
      </c>
      <c r="M367" s="282">
        <v>14</v>
      </c>
      <c r="N367" s="282">
        <v>20</v>
      </c>
      <c r="O367" s="283"/>
      <c r="Q367" s="286">
        <f t="shared" ref="Q367:Q372" si="766">S367+V367+Y367+AB367+AE367+AH367+AK367+AN367+AQ367+AT367+AW367+AZ367+BC367+BF367+BI367+BL367+BO367+BR367+BU367+BX367+CA367+CD367+CG367+CJ367</f>
        <v>678</v>
      </c>
      <c r="R367" s="286">
        <f t="shared" ref="R367:R372" si="767">T367+W367+Z367+AC367+AF367+AI367+AL367+AO367+AR367+AU367+AX367+BA367+BD367+BG367+BJ367+BM367+BP367+BS367+BV367+BY367+CB367+CE367+CH367+CK367</f>
        <v>752</v>
      </c>
      <c r="S367" s="286">
        <v>4</v>
      </c>
      <c r="T367" s="286">
        <v>9</v>
      </c>
      <c r="U367" s="286"/>
      <c r="V367" s="286">
        <v>5</v>
      </c>
      <c r="W367" s="286">
        <v>3</v>
      </c>
      <c r="X367" s="286"/>
      <c r="Y367" s="286">
        <v>8</v>
      </c>
      <c r="Z367" s="286">
        <v>11</v>
      </c>
      <c r="AA367" s="286"/>
      <c r="AB367" s="286">
        <v>6</v>
      </c>
      <c r="AC367" s="286">
        <v>7</v>
      </c>
      <c r="AD367" s="286"/>
      <c r="AE367" s="286">
        <v>8</v>
      </c>
      <c r="AF367" s="286">
        <v>3</v>
      </c>
      <c r="AG367" s="286"/>
      <c r="AH367" s="286">
        <v>7</v>
      </c>
      <c r="AI367" s="286">
        <v>6</v>
      </c>
      <c r="AJ367" s="286"/>
      <c r="AK367" s="286">
        <v>10</v>
      </c>
      <c r="AL367" s="286">
        <v>15</v>
      </c>
      <c r="AM367" s="286"/>
      <c r="AN367" s="286">
        <v>34</v>
      </c>
      <c r="AO367" s="286">
        <v>35</v>
      </c>
      <c r="AP367" s="286"/>
      <c r="AQ367" s="286">
        <v>0</v>
      </c>
      <c r="AR367" s="286">
        <v>0</v>
      </c>
      <c r="AS367" s="286"/>
      <c r="AT367" s="286">
        <v>51</v>
      </c>
      <c r="AU367" s="286">
        <v>72</v>
      </c>
      <c r="AV367" s="286"/>
      <c r="AW367" s="286">
        <v>26</v>
      </c>
      <c r="AX367" s="286">
        <v>22</v>
      </c>
      <c r="AY367" s="286"/>
      <c r="AZ367" s="286">
        <v>15</v>
      </c>
      <c r="BA367" s="286">
        <v>14</v>
      </c>
      <c r="BB367" s="286"/>
      <c r="BC367" s="286">
        <v>38</v>
      </c>
      <c r="BD367" s="286">
        <v>44</v>
      </c>
      <c r="BE367" s="286"/>
      <c r="BF367" s="286">
        <v>106</v>
      </c>
      <c r="BG367" s="286">
        <v>118</v>
      </c>
      <c r="BH367" s="286"/>
      <c r="BI367" s="286">
        <v>239</v>
      </c>
      <c r="BJ367" s="286">
        <v>258</v>
      </c>
      <c r="BK367" s="286"/>
      <c r="BL367" s="286">
        <v>13</v>
      </c>
      <c r="BM367" s="286">
        <v>12</v>
      </c>
      <c r="BN367" s="286"/>
      <c r="BO367" s="286">
        <v>9</v>
      </c>
      <c r="BP367" s="286">
        <v>17</v>
      </c>
      <c r="BQ367" s="286"/>
      <c r="BR367" s="286">
        <v>32</v>
      </c>
      <c r="BS367" s="286">
        <v>27</v>
      </c>
      <c r="BT367" s="286"/>
      <c r="BU367" s="286">
        <v>20</v>
      </c>
      <c r="BV367" s="286">
        <v>22</v>
      </c>
      <c r="BW367" s="286"/>
      <c r="BX367" s="286">
        <v>3</v>
      </c>
      <c r="BY367" s="286">
        <v>8</v>
      </c>
      <c r="BZ367" s="286"/>
      <c r="CA367" s="286">
        <v>12</v>
      </c>
      <c r="CB367" s="286">
        <v>10</v>
      </c>
      <c r="CC367" s="286"/>
      <c r="CD367" s="286">
        <v>9</v>
      </c>
      <c r="CE367" s="286">
        <v>12</v>
      </c>
      <c r="CF367" s="286"/>
      <c r="CG367" s="286">
        <v>17</v>
      </c>
      <c r="CH367" s="286">
        <v>22</v>
      </c>
      <c r="CI367" s="286"/>
      <c r="CJ367" s="286">
        <v>6</v>
      </c>
      <c r="CK367" s="286">
        <v>5</v>
      </c>
    </row>
    <row r="368" spans="1:98" ht="30" x14ac:dyDescent="0.25">
      <c r="A368" s="312"/>
      <c r="B368" s="312"/>
      <c r="C368" s="312" t="s">
        <v>1496</v>
      </c>
      <c r="D368" s="95"/>
      <c r="E368" s="282"/>
      <c r="F368" s="282"/>
      <c r="G368" s="282"/>
      <c r="H368" s="282">
        <v>1047</v>
      </c>
      <c r="I368" s="282">
        <v>1069</v>
      </c>
      <c r="J368" s="282">
        <v>1099</v>
      </c>
      <c r="K368" s="282">
        <v>1026</v>
      </c>
      <c r="L368" s="282">
        <v>25</v>
      </c>
      <c r="M368" s="282">
        <v>33</v>
      </c>
      <c r="N368" s="282">
        <v>23</v>
      </c>
      <c r="O368" s="283"/>
      <c r="P368" s="283"/>
      <c r="Q368" s="286">
        <f t="shared" si="766"/>
        <v>1026</v>
      </c>
      <c r="R368" s="286">
        <f t="shared" si="767"/>
        <v>1015</v>
      </c>
      <c r="S368" s="286">
        <v>5</v>
      </c>
      <c r="T368" s="286">
        <v>6</v>
      </c>
      <c r="U368" s="286"/>
      <c r="V368" s="286">
        <v>4</v>
      </c>
      <c r="W368" s="286">
        <v>7</v>
      </c>
      <c r="X368" s="286"/>
      <c r="Y368" s="286">
        <v>9</v>
      </c>
      <c r="Z368" s="286">
        <v>10</v>
      </c>
      <c r="AA368" s="286"/>
      <c r="AB368" s="286">
        <v>25</v>
      </c>
      <c r="AC368" s="286">
        <v>15</v>
      </c>
      <c r="AD368" s="286"/>
      <c r="AE368" s="286">
        <v>12</v>
      </c>
      <c r="AF368" s="286">
        <v>15</v>
      </c>
      <c r="AG368" s="286"/>
      <c r="AH368" s="286">
        <v>14</v>
      </c>
      <c r="AI368" s="286">
        <v>12</v>
      </c>
      <c r="AJ368" s="286"/>
      <c r="AK368" s="286">
        <v>18</v>
      </c>
      <c r="AL368" s="286">
        <v>19</v>
      </c>
      <c r="AM368" s="286"/>
      <c r="AN368" s="286">
        <v>51</v>
      </c>
      <c r="AO368" s="286">
        <v>53</v>
      </c>
      <c r="AP368" s="286"/>
      <c r="AQ368" s="286">
        <v>0</v>
      </c>
      <c r="AR368" s="286">
        <v>0</v>
      </c>
      <c r="AS368" s="286"/>
      <c r="AT368" s="286">
        <v>68</v>
      </c>
      <c r="AU368" s="286">
        <v>54</v>
      </c>
      <c r="AV368" s="286"/>
      <c r="AW368" s="286">
        <v>19</v>
      </c>
      <c r="AX368" s="286">
        <v>24</v>
      </c>
      <c r="AY368" s="286"/>
      <c r="AZ368" s="286">
        <v>25</v>
      </c>
      <c r="BA368" s="286">
        <v>27</v>
      </c>
      <c r="BB368" s="286"/>
      <c r="BC368" s="286">
        <v>92</v>
      </c>
      <c r="BD368" s="286">
        <v>78</v>
      </c>
      <c r="BE368" s="286"/>
      <c r="BF368" s="286">
        <v>159</v>
      </c>
      <c r="BG368" s="286">
        <v>166</v>
      </c>
      <c r="BH368" s="286"/>
      <c r="BI368" s="286">
        <v>325</v>
      </c>
      <c r="BJ368" s="286">
        <v>331</v>
      </c>
      <c r="BK368" s="286"/>
      <c r="BL368" s="286">
        <v>27</v>
      </c>
      <c r="BM368" s="286">
        <v>25</v>
      </c>
      <c r="BN368" s="286"/>
      <c r="BO368" s="286">
        <v>16</v>
      </c>
      <c r="BP368" s="286">
        <v>14</v>
      </c>
      <c r="BQ368" s="286"/>
      <c r="BR368" s="286">
        <v>30</v>
      </c>
      <c r="BS368" s="286">
        <v>32</v>
      </c>
      <c r="BT368" s="286"/>
      <c r="BU368" s="286">
        <v>35</v>
      </c>
      <c r="BV368" s="286">
        <v>35</v>
      </c>
      <c r="BW368" s="286"/>
      <c r="BX368" s="286">
        <v>6</v>
      </c>
      <c r="BY368" s="286">
        <v>5</v>
      </c>
      <c r="BZ368" s="286"/>
      <c r="CA368" s="286">
        <v>27</v>
      </c>
      <c r="CB368" s="286">
        <v>23</v>
      </c>
      <c r="CC368" s="286"/>
      <c r="CD368" s="286">
        <v>19</v>
      </c>
      <c r="CE368" s="286">
        <v>20</v>
      </c>
      <c r="CF368" s="286"/>
      <c r="CG368" s="286">
        <v>29</v>
      </c>
      <c r="CH368" s="286">
        <v>36</v>
      </c>
      <c r="CI368" s="286"/>
      <c r="CJ368" s="286">
        <v>11</v>
      </c>
      <c r="CK368" s="286">
        <v>8</v>
      </c>
    </row>
    <row r="369" spans="1:89" ht="30" x14ac:dyDescent="0.25">
      <c r="A369" s="312"/>
      <c r="B369" s="312"/>
      <c r="C369" s="312" t="s">
        <v>1497</v>
      </c>
      <c r="D369" s="95"/>
      <c r="E369" s="282"/>
      <c r="F369" s="282"/>
      <c r="G369" s="282"/>
      <c r="H369" s="282">
        <v>946</v>
      </c>
      <c r="I369" s="282">
        <v>1013</v>
      </c>
      <c r="J369" s="282">
        <v>1110</v>
      </c>
      <c r="K369" s="282">
        <v>1190</v>
      </c>
      <c r="L369" s="282">
        <v>47</v>
      </c>
      <c r="M369" s="282">
        <v>46</v>
      </c>
      <c r="N369" s="282">
        <v>44</v>
      </c>
      <c r="O369" s="283"/>
      <c r="P369" s="283"/>
      <c r="Q369" s="286">
        <f t="shared" si="766"/>
        <v>1190</v>
      </c>
      <c r="R369" s="286">
        <f t="shared" si="767"/>
        <v>1184</v>
      </c>
      <c r="S369" s="286">
        <v>22</v>
      </c>
      <c r="T369" s="286">
        <v>18</v>
      </c>
      <c r="U369" s="286"/>
      <c r="V369" s="286">
        <v>13</v>
      </c>
      <c r="W369" s="286">
        <v>10</v>
      </c>
      <c r="X369" s="286"/>
      <c r="Y369" s="286">
        <v>14</v>
      </c>
      <c r="Z369" s="286">
        <v>14</v>
      </c>
      <c r="AA369" s="286"/>
      <c r="AB369" s="286">
        <v>22</v>
      </c>
      <c r="AC369" s="286">
        <v>30</v>
      </c>
      <c r="AD369" s="286"/>
      <c r="AE369" s="286">
        <v>12</v>
      </c>
      <c r="AF369" s="286">
        <v>16</v>
      </c>
      <c r="AG369" s="286"/>
      <c r="AH369" s="286">
        <v>23</v>
      </c>
      <c r="AI369" s="286">
        <v>18</v>
      </c>
      <c r="AJ369" s="286"/>
      <c r="AK369" s="286">
        <v>33</v>
      </c>
      <c r="AL369" s="286">
        <v>27</v>
      </c>
      <c r="AM369" s="286"/>
      <c r="AN369" s="286">
        <v>69</v>
      </c>
      <c r="AO369" s="286">
        <v>73</v>
      </c>
      <c r="AP369" s="286"/>
      <c r="AQ369" s="286">
        <v>0</v>
      </c>
      <c r="AR369" s="286">
        <v>0</v>
      </c>
      <c r="AS369" s="286"/>
      <c r="AT369" s="286">
        <v>96</v>
      </c>
      <c r="AU369" s="286">
        <v>88</v>
      </c>
      <c r="AV369" s="286"/>
      <c r="AW369" s="286">
        <v>28</v>
      </c>
      <c r="AX369" s="286">
        <v>32</v>
      </c>
      <c r="AY369" s="286"/>
      <c r="AZ369" s="286">
        <v>42</v>
      </c>
      <c r="BA369" s="286">
        <v>42</v>
      </c>
      <c r="BB369" s="286"/>
      <c r="BC369" s="286">
        <v>77</v>
      </c>
      <c r="BD369" s="286">
        <v>81</v>
      </c>
      <c r="BE369" s="286"/>
      <c r="BF369" s="286">
        <v>156</v>
      </c>
      <c r="BG369" s="286">
        <v>150</v>
      </c>
      <c r="BH369" s="286"/>
      <c r="BI369" s="286">
        <v>294</v>
      </c>
      <c r="BJ369" s="286">
        <v>300</v>
      </c>
      <c r="BK369" s="286"/>
      <c r="BL369" s="286">
        <v>20</v>
      </c>
      <c r="BM369" s="286">
        <v>19</v>
      </c>
      <c r="BN369" s="286"/>
      <c r="BO369" s="286">
        <v>31</v>
      </c>
      <c r="BP369" s="286">
        <v>33</v>
      </c>
      <c r="BQ369" s="286"/>
      <c r="BR369" s="286">
        <v>37</v>
      </c>
      <c r="BS369" s="286">
        <v>36</v>
      </c>
      <c r="BT369" s="286"/>
      <c r="BU369" s="286">
        <v>53</v>
      </c>
      <c r="BV369" s="286">
        <v>52</v>
      </c>
      <c r="BW369" s="286"/>
      <c r="BX369" s="286">
        <v>11</v>
      </c>
      <c r="BY369" s="286">
        <v>12</v>
      </c>
      <c r="BZ369" s="286"/>
      <c r="CA369" s="286">
        <v>31</v>
      </c>
      <c r="CB369" s="286">
        <v>28</v>
      </c>
      <c r="CC369" s="286"/>
      <c r="CD369" s="286">
        <v>38</v>
      </c>
      <c r="CE369" s="286">
        <v>36</v>
      </c>
      <c r="CF369" s="286"/>
      <c r="CG369" s="286">
        <v>56</v>
      </c>
      <c r="CH369" s="286">
        <v>55</v>
      </c>
      <c r="CI369" s="286"/>
      <c r="CJ369" s="286">
        <v>12</v>
      </c>
      <c r="CK369" s="286">
        <v>14</v>
      </c>
    </row>
    <row r="370" spans="1:89" ht="30" x14ac:dyDescent="0.25">
      <c r="A370" s="312"/>
      <c r="B370" s="312"/>
      <c r="C370" s="312" t="s">
        <v>1495</v>
      </c>
      <c r="D370" s="95"/>
      <c r="E370" s="282"/>
      <c r="F370" s="282"/>
      <c r="G370" s="282"/>
      <c r="H370" s="282">
        <v>50</v>
      </c>
      <c r="I370" s="282">
        <v>43</v>
      </c>
      <c r="J370" s="282">
        <v>47</v>
      </c>
      <c r="K370" s="282">
        <v>53</v>
      </c>
      <c r="L370" s="282">
        <v>0</v>
      </c>
      <c r="M370" s="282">
        <v>0</v>
      </c>
      <c r="N370" s="282">
        <v>0</v>
      </c>
      <c r="O370" s="283"/>
      <c r="Q370" s="286">
        <f t="shared" si="766"/>
        <v>53</v>
      </c>
      <c r="R370" s="286">
        <f t="shared" si="767"/>
        <v>58</v>
      </c>
      <c r="S370" s="302">
        <v>5</v>
      </c>
      <c r="T370" s="286">
        <v>1</v>
      </c>
      <c r="U370" s="286"/>
      <c r="V370" s="302">
        <v>7</v>
      </c>
      <c r="W370" s="286">
        <v>6</v>
      </c>
      <c r="X370" s="286"/>
      <c r="Y370" s="302">
        <v>0</v>
      </c>
      <c r="Z370" s="286">
        <v>2</v>
      </c>
      <c r="AA370" s="286"/>
      <c r="AB370" s="302">
        <v>10</v>
      </c>
      <c r="AC370" s="286">
        <v>7</v>
      </c>
      <c r="AD370" s="286"/>
      <c r="AE370" s="302">
        <v>5</v>
      </c>
      <c r="AF370" s="286">
        <v>4</v>
      </c>
      <c r="AG370" s="286"/>
      <c r="AH370" s="302">
        <v>6</v>
      </c>
      <c r="AI370" s="286">
        <v>12</v>
      </c>
      <c r="AJ370" s="286"/>
      <c r="AK370" s="302">
        <v>0</v>
      </c>
      <c r="AL370" s="286">
        <v>0</v>
      </c>
      <c r="AM370" s="286"/>
      <c r="AN370" s="302">
        <v>12</v>
      </c>
      <c r="AO370" s="286">
        <v>19</v>
      </c>
      <c r="AP370" s="286"/>
      <c r="AQ370" s="302">
        <v>7</v>
      </c>
      <c r="AR370" s="286">
        <v>6</v>
      </c>
      <c r="AS370" s="286"/>
      <c r="AT370" s="286">
        <v>0</v>
      </c>
      <c r="AU370" s="286">
        <v>0</v>
      </c>
      <c r="AV370" s="286"/>
      <c r="AW370" s="286">
        <v>0</v>
      </c>
      <c r="AX370" s="286">
        <v>0</v>
      </c>
      <c r="AY370" s="286"/>
      <c r="AZ370" s="286">
        <v>0</v>
      </c>
      <c r="BA370" s="286">
        <v>0</v>
      </c>
      <c r="BB370" s="286"/>
      <c r="BC370" s="286">
        <v>0</v>
      </c>
      <c r="BD370" s="286">
        <v>0</v>
      </c>
      <c r="BE370" s="286"/>
      <c r="BF370" s="286">
        <v>0</v>
      </c>
      <c r="BG370" s="286">
        <v>0</v>
      </c>
      <c r="BH370" s="286"/>
      <c r="BI370" s="286">
        <v>0</v>
      </c>
      <c r="BJ370" s="286">
        <v>0</v>
      </c>
      <c r="BK370" s="286"/>
      <c r="BL370" s="286">
        <v>0</v>
      </c>
      <c r="BM370" s="286">
        <v>0</v>
      </c>
      <c r="BN370" s="286"/>
      <c r="BO370" s="286">
        <v>0</v>
      </c>
      <c r="BP370" s="286">
        <v>0</v>
      </c>
      <c r="BQ370" s="286"/>
      <c r="BR370" s="286">
        <v>0</v>
      </c>
      <c r="BS370" s="286">
        <v>0</v>
      </c>
      <c r="BT370" s="286"/>
      <c r="BU370" s="286">
        <v>0</v>
      </c>
      <c r="BV370" s="286">
        <v>0</v>
      </c>
      <c r="BW370" s="286"/>
      <c r="BX370" s="286">
        <v>0</v>
      </c>
      <c r="BY370" s="286">
        <v>0</v>
      </c>
      <c r="BZ370" s="286"/>
      <c r="CA370" s="286">
        <v>0</v>
      </c>
      <c r="CB370" s="286">
        <v>0</v>
      </c>
      <c r="CC370" s="286"/>
      <c r="CD370" s="286">
        <v>0</v>
      </c>
      <c r="CE370" s="286">
        <v>0</v>
      </c>
      <c r="CF370" s="286"/>
      <c r="CG370" s="302">
        <v>1</v>
      </c>
      <c r="CH370" s="286">
        <v>1</v>
      </c>
      <c r="CI370" s="286"/>
      <c r="CJ370" s="286">
        <v>0</v>
      </c>
      <c r="CK370" s="286">
        <v>0</v>
      </c>
    </row>
    <row r="371" spans="1:89" ht="30" x14ac:dyDescent="0.25">
      <c r="A371" s="312"/>
      <c r="B371" s="312"/>
      <c r="C371" s="312" t="s">
        <v>1496</v>
      </c>
      <c r="D371" s="95"/>
      <c r="E371" s="282"/>
      <c r="F371" s="282"/>
      <c r="G371" s="282"/>
      <c r="H371" s="282">
        <v>155</v>
      </c>
      <c r="I371" s="282">
        <v>147</v>
      </c>
      <c r="J371" s="282">
        <v>153</v>
      </c>
      <c r="K371" s="282">
        <v>144</v>
      </c>
      <c r="L371" s="282">
        <v>0</v>
      </c>
      <c r="M371" s="282">
        <v>0</v>
      </c>
      <c r="N371" s="282">
        <v>0</v>
      </c>
      <c r="O371" s="283"/>
      <c r="Q371" s="286">
        <f t="shared" si="766"/>
        <v>144</v>
      </c>
      <c r="R371" s="286">
        <f t="shared" si="767"/>
        <v>128</v>
      </c>
      <c r="S371" s="302">
        <v>9</v>
      </c>
      <c r="T371" s="286">
        <v>11</v>
      </c>
      <c r="U371" s="286"/>
      <c r="V371" s="302">
        <v>17</v>
      </c>
      <c r="W371" s="286">
        <v>15</v>
      </c>
      <c r="X371" s="286"/>
      <c r="Y371" s="302">
        <v>10</v>
      </c>
      <c r="Z371" s="286">
        <v>12</v>
      </c>
      <c r="AA371" s="286"/>
      <c r="AB371" s="302">
        <v>19</v>
      </c>
      <c r="AC371" s="286">
        <v>19</v>
      </c>
      <c r="AD371" s="286"/>
      <c r="AE371" s="302">
        <v>8</v>
      </c>
      <c r="AF371" s="286">
        <v>5</v>
      </c>
      <c r="AG371" s="286"/>
      <c r="AH371" s="302">
        <v>17</v>
      </c>
      <c r="AI371" s="286">
        <v>13</v>
      </c>
      <c r="AJ371" s="286"/>
      <c r="AK371" s="302">
        <v>0</v>
      </c>
      <c r="AL371" s="286">
        <v>0</v>
      </c>
      <c r="AM371" s="286"/>
      <c r="AN371" s="302">
        <v>35</v>
      </c>
      <c r="AO371" s="286">
        <v>24</v>
      </c>
      <c r="AP371" s="286"/>
      <c r="AQ371" s="302">
        <v>21</v>
      </c>
      <c r="AR371" s="286">
        <v>21</v>
      </c>
      <c r="AS371" s="286"/>
      <c r="AT371" s="286">
        <v>0</v>
      </c>
      <c r="AU371" s="286">
        <v>0</v>
      </c>
      <c r="AV371" s="286"/>
      <c r="AW371" s="286">
        <v>0</v>
      </c>
      <c r="AX371" s="286">
        <v>0</v>
      </c>
      <c r="AY371" s="286"/>
      <c r="AZ371" s="286">
        <v>0</v>
      </c>
      <c r="BA371" s="286">
        <v>0</v>
      </c>
      <c r="BB371" s="286"/>
      <c r="BC371" s="286">
        <v>0</v>
      </c>
      <c r="BD371" s="286">
        <v>0</v>
      </c>
      <c r="BE371" s="286"/>
      <c r="BF371" s="286">
        <v>0</v>
      </c>
      <c r="BG371" s="286">
        <v>0</v>
      </c>
      <c r="BH371" s="286"/>
      <c r="BI371" s="286">
        <v>0</v>
      </c>
      <c r="BJ371" s="286">
        <v>0</v>
      </c>
      <c r="BK371" s="286"/>
      <c r="BL371" s="286">
        <v>0</v>
      </c>
      <c r="BM371" s="286">
        <v>0</v>
      </c>
      <c r="BN371" s="286"/>
      <c r="BO371" s="286">
        <v>0</v>
      </c>
      <c r="BP371" s="286">
        <v>0</v>
      </c>
      <c r="BQ371" s="286"/>
      <c r="BR371" s="286">
        <v>0</v>
      </c>
      <c r="BS371" s="286">
        <v>0</v>
      </c>
      <c r="BT371" s="286"/>
      <c r="BU371" s="286">
        <v>0</v>
      </c>
      <c r="BV371" s="286">
        <v>0</v>
      </c>
      <c r="BW371" s="286"/>
      <c r="BX371" s="286">
        <v>0</v>
      </c>
      <c r="BY371" s="286">
        <v>0</v>
      </c>
      <c r="BZ371" s="286"/>
      <c r="CA371" s="286">
        <v>0</v>
      </c>
      <c r="CB371" s="286">
        <v>0</v>
      </c>
      <c r="CC371" s="286"/>
      <c r="CD371" s="286">
        <v>0</v>
      </c>
      <c r="CE371" s="286">
        <v>0</v>
      </c>
      <c r="CF371" s="286"/>
      <c r="CG371" s="302">
        <v>8</v>
      </c>
      <c r="CH371" s="286">
        <v>8</v>
      </c>
      <c r="CI371" s="286"/>
      <c r="CJ371" s="286">
        <v>0</v>
      </c>
      <c r="CK371" s="286">
        <v>0</v>
      </c>
    </row>
    <row r="372" spans="1:89" ht="30" x14ac:dyDescent="0.25">
      <c r="A372" s="312"/>
      <c r="B372" s="312"/>
      <c r="C372" s="312" t="s">
        <v>1497</v>
      </c>
      <c r="D372" s="95"/>
      <c r="E372" s="282"/>
      <c r="F372" s="282"/>
      <c r="G372" s="282"/>
      <c r="H372" s="282">
        <v>171</v>
      </c>
      <c r="I372" s="282">
        <v>179</v>
      </c>
      <c r="J372" s="282">
        <v>169</v>
      </c>
      <c r="K372" s="282">
        <v>171</v>
      </c>
      <c r="L372" s="282">
        <v>0</v>
      </c>
      <c r="M372" s="282">
        <v>0</v>
      </c>
      <c r="N372" s="282">
        <v>0</v>
      </c>
      <c r="O372" s="283"/>
      <c r="Q372" s="286">
        <f t="shared" si="766"/>
        <v>171</v>
      </c>
      <c r="R372" s="286">
        <f t="shared" si="767"/>
        <v>190</v>
      </c>
      <c r="S372" s="302">
        <v>11</v>
      </c>
      <c r="T372" s="286">
        <v>8</v>
      </c>
      <c r="U372" s="286"/>
      <c r="V372" s="302">
        <v>16</v>
      </c>
      <c r="W372" s="286">
        <v>18</v>
      </c>
      <c r="X372" s="286"/>
      <c r="Y372" s="302">
        <v>16</v>
      </c>
      <c r="Z372" s="286">
        <v>15</v>
      </c>
      <c r="AA372" s="286"/>
      <c r="AB372" s="302">
        <v>22</v>
      </c>
      <c r="AC372" s="286">
        <v>25</v>
      </c>
      <c r="AD372" s="286"/>
      <c r="AE372" s="302">
        <v>11</v>
      </c>
      <c r="AF372" s="286">
        <v>11</v>
      </c>
      <c r="AG372" s="286"/>
      <c r="AH372" s="302">
        <v>27</v>
      </c>
      <c r="AI372" s="286">
        <v>29</v>
      </c>
      <c r="AJ372" s="286"/>
      <c r="AK372" s="302">
        <v>8</v>
      </c>
      <c r="AL372" s="286">
        <v>6</v>
      </c>
      <c r="AM372" s="286"/>
      <c r="AN372" s="302">
        <v>22</v>
      </c>
      <c r="AO372" s="286">
        <v>30</v>
      </c>
      <c r="AP372" s="286"/>
      <c r="AQ372" s="302">
        <v>29</v>
      </c>
      <c r="AR372" s="286">
        <v>40</v>
      </c>
      <c r="AS372" s="286"/>
      <c r="AT372" s="286">
        <v>0</v>
      </c>
      <c r="AU372" s="286">
        <v>0</v>
      </c>
      <c r="AV372" s="286"/>
      <c r="AW372" s="286">
        <v>0</v>
      </c>
      <c r="AX372" s="286">
        <v>0</v>
      </c>
      <c r="AY372" s="286"/>
      <c r="AZ372" s="286">
        <v>0</v>
      </c>
      <c r="BA372" s="286">
        <v>0</v>
      </c>
      <c r="BB372" s="286"/>
      <c r="BC372" s="286">
        <v>0</v>
      </c>
      <c r="BD372" s="286">
        <v>0</v>
      </c>
      <c r="BE372" s="286"/>
      <c r="BF372" s="286">
        <v>0</v>
      </c>
      <c r="BG372" s="286">
        <v>0</v>
      </c>
      <c r="BH372" s="286"/>
      <c r="BI372" s="286">
        <v>0</v>
      </c>
      <c r="BJ372" s="286">
        <v>0</v>
      </c>
      <c r="BK372" s="286"/>
      <c r="BL372" s="286">
        <v>0</v>
      </c>
      <c r="BM372" s="286">
        <v>0</v>
      </c>
      <c r="BN372" s="286"/>
      <c r="BO372" s="286">
        <v>0</v>
      </c>
      <c r="BP372" s="286">
        <v>0</v>
      </c>
      <c r="BQ372" s="286"/>
      <c r="BR372" s="286">
        <v>0</v>
      </c>
      <c r="BS372" s="286">
        <v>0</v>
      </c>
      <c r="BT372" s="286"/>
      <c r="BU372" s="286">
        <v>0</v>
      </c>
      <c r="BV372" s="286">
        <v>0</v>
      </c>
      <c r="BW372" s="286"/>
      <c r="BX372" s="286">
        <v>0</v>
      </c>
      <c r="BY372" s="286">
        <v>0</v>
      </c>
      <c r="BZ372" s="286"/>
      <c r="CA372" s="286">
        <v>0</v>
      </c>
      <c r="CB372" s="286">
        <v>0</v>
      </c>
      <c r="CC372" s="286"/>
      <c r="CD372" s="286">
        <v>0</v>
      </c>
      <c r="CE372" s="286">
        <v>0</v>
      </c>
      <c r="CF372" s="286"/>
      <c r="CG372" s="302">
        <v>9</v>
      </c>
      <c r="CH372" s="286">
        <v>8</v>
      </c>
      <c r="CI372" s="286"/>
      <c r="CJ372" s="286">
        <v>0</v>
      </c>
      <c r="CK372" s="286">
        <v>0</v>
      </c>
    </row>
    <row r="373" spans="1:89" ht="30" x14ac:dyDescent="0.25">
      <c r="A373" s="419"/>
      <c r="B373" s="419" t="s">
        <v>167</v>
      </c>
      <c r="C373" s="95" t="s">
        <v>168</v>
      </c>
      <c r="D373" s="95" t="s">
        <v>950</v>
      </c>
      <c r="E373" s="282">
        <v>10403</v>
      </c>
      <c r="F373" s="282">
        <v>10556</v>
      </c>
      <c r="G373" s="282">
        <v>10691</v>
      </c>
      <c r="H373" s="282">
        <f t="shared" ref="H373:J374" si="768">H375</f>
        <v>10971</v>
      </c>
      <c r="I373" s="282">
        <f t="shared" si="768"/>
        <v>11098</v>
      </c>
      <c r="J373" s="282">
        <f t="shared" si="768"/>
        <v>11333</v>
      </c>
      <c r="K373" s="282">
        <f>K375</f>
        <v>11418</v>
      </c>
      <c r="L373" s="282">
        <f>L375</f>
        <v>188</v>
      </c>
      <c r="M373" s="282">
        <f t="shared" ref="M373:N374" si="769">M375</f>
        <v>187</v>
      </c>
      <c r="N373" s="282">
        <f t="shared" si="769"/>
        <v>188</v>
      </c>
      <c r="Q373" s="282">
        <f t="shared" ref="Q373:T374" si="770">Q375</f>
        <v>11418</v>
      </c>
      <c r="R373" s="282">
        <f t="shared" si="770"/>
        <v>11528</v>
      </c>
      <c r="S373" s="282">
        <f t="shared" si="770"/>
        <v>157</v>
      </c>
      <c r="T373" s="282">
        <f t="shared" si="770"/>
        <v>163</v>
      </c>
      <c r="U373" s="286"/>
      <c r="V373" s="282">
        <f>V375</f>
        <v>128</v>
      </c>
      <c r="W373" s="282">
        <f>W375</f>
        <v>127</v>
      </c>
      <c r="X373" s="286"/>
      <c r="Y373" s="282">
        <f>Y375</f>
        <v>194</v>
      </c>
      <c r="Z373" s="282">
        <f>Z375</f>
        <v>192</v>
      </c>
      <c r="AA373" s="286"/>
      <c r="AB373" s="282">
        <f>AB375</f>
        <v>180</v>
      </c>
      <c r="AC373" s="282">
        <f>AC375</f>
        <v>182</v>
      </c>
      <c r="AD373" s="286"/>
      <c r="AE373" s="282">
        <f>AE375</f>
        <v>186</v>
      </c>
      <c r="AF373" s="282">
        <f>AF375</f>
        <v>187</v>
      </c>
      <c r="AG373" s="286"/>
      <c r="AH373" s="282">
        <f>AH375</f>
        <v>197</v>
      </c>
      <c r="AI373" s="282">
        <f>AI375</f>
        <v>188</v>
      </c>
      <c r="AJ373" s="286"/>
      <c r="AK373" s="282">
        <f>AK375</f>
        <v>391</v>
      </c>
      <c r="AL373" s="282">
        <f>AL375</f>
        <v>380</v>
      </c>
      <c r="AM373" s="286"/>
      <c r="AN373" s="282">
        <f>AN375</f>
        <v>647</v>
      </c>
      <c r="AO373" s="282">
        <f>AO375</f>
        <v>643</v>
      </c>
      <c r="AP373" s="286"/>
      <c r="AQ373" s="282">
        <f>AQ375</f>
        <v>0</v>
      </c>
      <c r="AR373" s="282">
        <f>AR375</f>
        <v>0</v>
      </c>
      <c r="AS373" s="286"/>
      <c r="AT373" s="282">
        <f>AT375</f>
        <v>641</v>
      </c>
      <c r="AU373" s="282">
        <f>AU375</f>
        <v>652</v>
      </c>
      <c r="AV373" s="286"/>
      <c r="AW373" s="282">
        <f>AW375</f>
        <v>331</v>
      </c>
      <c r="AX373" s="282">
        <f>AX375</f>
        <v>333</v>
      </c>
      <c r="AY373" s="286"/>
      <c r="AZ373" s="282">
        <f>AZ375</f>
        <v>434</v>
      </c>
      <c r="BA373" s="282">
        <f>BA375</f>
        <v>427</v>
      </c>
      <c r="BB373" s="286"/>
      <c r="BC373" s="282">
        <f>BC375</f>
        <v>755</v>
      </c>
      <c r="BD373" s="282">
        <f>BD375</f>
        <v>754</v>
      </c>
      <c r="BE373" s="286"/>
      <c r="BF373" s="282">
        <f>BF375</f>
        <v>1691</v>
      </c>
      <c r="BG373" s="282">
        <f>BG375</f>
        <v>1712</v>
      </c>
      <c r="BH373" s="286"/>
      <c r="BI373" s="282">
        <f>BI375</f>
        <v>2659</v>
      </c>
      <c r="BJ373" s="282">
        <f>BJ375</f>
        <v>2696</v>
      </c>
      <c r="BK373" s="286"/>
      <c r="BL373" s="282">
        <f>BL375</f>
        <v>304</v>
      </c>
      <c r="BM373" s="282">
        <f>BM375</f>
        <v>295</v>
      </c>
      <c r="BN373" s="286"/>
      <c r="BO373" s="282">
        <f>BO375</f>
        <v>298</v>
      </c>
      <c r="BP373" s="282">
        <f>BP375</f>
        <v>315</v>
      </c>
      <c r="BQ373" s="286"/>
      <c r="BR373" s="282">
        <f>BR375</f>
        <v>446</v>
      </c>
      <c r="BS373" s="282">
        <f>BS375</f>
        <v>458</v>
      </c>
      <c r="BT373" s="286"/>
      <c r="BU373" s="282">
        <f>BU375</f>
        <v>435</v>
      </c>
      <c r="BV373" s="282">
        <f>BV375</f>
        <v>446</v>
      </c>
      <c r="BW373" s="286"/>
      <c r="BX373" s="282">
        <f>BX375</f>
        <v>123</v>
      </c>
      <c r="BY373" s="282">
        <f>BY375</f>
        <v>131</v>
      </c>
      <c r="BZ373" s="286"/>
      <c r="CA373" s="282">
        <f>CA375</f>
        <v>285</v>
      </c>
      <c r="CB373" s="282">
        <f>CB375</f>
        <v>281</v>
      </c>
      <c r="CC373" s="286"/>
      <c r="CD373" s="282">
        <f>CD375</f>
        <v>329</v>
      </c>
      <c r="CE373" s="282">
        <f>CE375</f>
        <v>317</v>
      </c>
      <c r="CF373" s="286"/>
      <c r="CG373" s="282">
        <f>CG375</f>
        <v>512</v>
      </c>
      <c r="CH373" s="282">
        <f>CH375</f>
        <v>552</v>
      </c>
      <c r="CI373" s="286"/>
      <c r="CJ373" s="282">
        <f>CJ375</f>
        <v>95</v>
      </c>
      <c r="CK373" s="282">
        <f>CK375</f>
        <v>97</v>
      </c>
    </row>
    <row r="374" spans="1:89" ht="30" x14ac:dyDescent="0.25">
      <c r="A374" s="421"/>
      <c r="B374" s="421"/>
      <c r="C374" s="95" t="s">
        <v>169</v>
      </c>
      <c r="D374" s="95" t="s">
        <v>950</v>
      </c>
      <c r="E374" s="282">
        <v>1917</v>
      </c>
      <c r="F374" s="282">
        <v>1920</v>
      </c>
      <c r="G374" s="282">
        <v>1900</v>
      </c>
      <c r="H374" s="282">
        <f t="shared" si="768"/>
        <v>1839</v>
      </c>
      <c r="I374" s="282">
        <f t="shared" si="768"/>
        <v>1858</v>
      </c>
      <c r="J374" s="282">
        <f t="shared" si="768"/>
        <v>1844</v>
      </c>
      <c r="K374" s="282">
        <f>K376</f>
        <v>1856</v>
      </c>
      <c r="L374" s="282">
        <f>L376</f>
        <v>249</v>
      </c>
      <c r="M374" s="282">
        <f t="shared" si="769"/>
        <v>254</v>
      </c>
      <c r="N374" s="282">
        <f t="shared" si="769"/>
        <v>249</v>
      </c>
      <c r="Q374" s="282">
        <f t="shared" si="770"/>
        <v>1856</v>
      </c>
      <c r="R374" s="282">
        <f t="shared" si="770"/>
        <v>1833</v>
      </c>
      <c r="S374" s="282">
        <f t="shared" si="770"/>
        <v>107</v>
      </c>
      <c r="T374" s="282">
        <f t="shared" si="770"/>
        <v>109</v>
      </c>
      <c r="U374" s="286"/>
      <c r="V374" s="282">
        <f>V376</f>
        <v>160</v>
      </c>
      <c r="W374" s="282">
        <f>W376</f>
        <v>164</v>
      </c>
      <c r="X374" s="286"/>
      <c r="Y374" s="282">
        <f>Y376</f>
        <v>169</v>
      </c>
      <c r="Z374" s="282">
        <f>Z376</f>
        <v>177</v>
      </c>
      <c r="AA374" s="286"/>
      <c r="AB374" s="282">
        <f>AB376</f>
        <v>211</v>
      </c>
      <c r="AC374" s="282">
        <f>AC376</f>
        <v>208</v>
      </c>
      <c r="AD374" s="286"/>
      <c r="AE374" s="282">
        <f>AE376</f>
        <v>153</v>
      </c>
      <c r="AF374" s="282">
        <f>AF376</f>
        <v>135</v>
      </c>
      <c r="AG374" s="286"/>
      <c r="AH374" s="282">
        <f>AH376</f>
        <v>255</v>
      </c>
      <c r="AI374" s="282">
        <f>AI376</f>
        <v>249</v>
      </c>
      <c r="AJ374" s="286"/>
      <c r="AK374" s="282">
        <f>AK376</f>
        <v>32</v>
      </c>
      <c r="AL374" s="282">
        <f>AL376</f>
        <v>28</v>
      </c>
      <c r="AM374" s="286"/>
      <c r="AN374" s="282">
        <f>AN376</f>
        <v>370</v>
      </c>
      <c r="AO374" s="282">
        <f>AO376</f>
        <v>355</v>
      </c>
      <c r="AP374" s="286"/>
      <c r="AQ374" s="282">
        <f>AQ376</f>
        <v>321</v>
      </c>
      <c r="AR374" s="282">
        <f>AR376</f>
        <v>325</v>
      </c>
      <c r="AS374" s="286"/>
      <c r="AT374" s="282">
        <f>AT376</f>
        <v>0</v>
      </c>
      <c r="AU374" s="282">
        <f>AU376</f>
        <v>0</v>
      </c>
      <c r="AV374" s="286"/>
      <c r="AW374" s="282">
        <f>AW376</f>
        <v>0</v>
      </c>
      <c r="AX374" s="282">
        <f>AX376</f>
        <v>0</v>
      </c>
      <c r="AY374" s="286"/>
      <c r="AZ374" s="282">
        <f>AZ376</f>
        <v>0</v>
      </c>
      <c r="BA374" s="282">
        <f>BA376</f>
        <v>0</v>
      </c>
      <c r="BB374" s="286"/>
      <c r="BC374" s="282">
        <f>BC376</f>
        <v>0</v>
      </c>
      <c r="BD374" s="282">
        <f>BD376</f>
        <v>0</v>
      </c>
      <c r="BE374" s="286"/>
      <c r="BF374" s="282">
        <f>BF376</f>
        <v>0</v>
      </c>
      <c r="BG374" s="282">
        <f>BG376</f>
        <v>0</v>
      </c>
      <c r="BH374" s="286"/>
      <c r="BI374" s="282">
        <f>BI376</f>
        <v>0</v>
      </c>
      <c r="BJ374" s="282">
        <f>BJ376</f>
        <v>0</v>
      </c>
      <c r="BK374" s="286"/>
      <c r="BL374" s="282">
        <f>BL376</f>
        <v>0</v>
      </c>
      <c r="BM374" s="282">
        <f>BM376</f>
        <v>0</v>
      </c>
      <c r="BN374" s="286"/>
      <c r="BO374" s="282">
        <f>BO376</f>
        <v>0</v>
      </c>
      <c r="BP374" s="282">
        <f>BP376</f>
        <v>0</v>
      </c>
      <c r="BQ374" s="286"/>
      <c r="BR374" s="282">
        <f>BR376</f>
        <v>0</v>
      </c>
      <c r="BS374" s="282">
        <f>BS376</f>
        <v>0</v>
      </c>
      <c r="BT374" s="286"/>
      <c r="BU374" s="282">
        <f>BU376</f>
        <v>0</v>
      </c>
      <c r="BV374" s="282">
        <f>BV376</f>
        <v>0</v>
      </c>
      <c r="BW374" s="286"/>
      <c r="BX374" s="282">
        <f>BX376</f>
        <v>0</v>
      </c>
      <c r="BY374" s="282">
        <f>BY376</f>
        <v>0</v>
      </c>
      <c r="BZ374" s="286"/>
      <c r="CA374" s="282">
        <f>CA376</f>
        <v>0</v>
      </c>
      <c r="CB374" s="282">
        <f>CB376</f>
        <v>0</v>
      </c>
      <c r="CC374" s="286"/>
      <c r="CD374" s="282">
        <f>CD376</f>
        <v>0</v>
      </c>
      <c r="CE374" s="282">
        <f>CE376</f>
        <v>0</v>
      </c>
      <c r="CF374" s="286"/>
      <c r="CG374" s="282">
        <f>CG376</f>
        <v>78</v>
      </c>
      <c r="CH374" s="282">
        <f>CH376</f>
        <v>83</v>
      </c>
      <c r="CI374" s="286"/>
      <c r="CJ374" s="282">
        <f>CJ376</f>
        <v>0</v>
      </c>
      <c r="CK374" s="282">
        <f>CK376</f>
        <v>0</v>
      </c>
    </row>
    <row r="375" spans="1:89" ht="30" x14ac:dyDescent="0.25">
      <c r="A375" s="262"/>
      <c r="B375" s="312"/>
      <c r="C375" s="312" t="s">
        <v>1498</v>
      </c>
      <c r="D375" s="95"/>
      <c r="E375" s="282"/>
      <c r="F375" s="282"/>
      <c r="G375" s="282"/>
      <c r="H375" s="282">
        <v>10971</v>
      </c>
      <c r="I375" s="282">
        <f>11168-70</f>
        <v>11098</v>
      </c>
      <c r="J375" s="282">
        <v>11333</v>
      </c>
      <c r="K375" s="282">
        <v>11418</v>
      </c>
      <c r="L375" s="282">
        <v>188</v>
      </c>
      <c r="M375" s="282">
        <v>187</v>
      </c>
      <c r="N375" s="282">
        <v>188</v>
      </c>
      <c r="O375" s="286"/>
      <c r="Q375" s="286">
        <f>S375+V375+Y375+AB375+AE375+AH375+AK375+AN375+AQ375+AT375+AW375+AZ375+BC375+BF375+BI375+BL375+BO375+BR375+BU375+BX375+CA375+CD375+CG375+CJ375</f>
        <v>11418</v>
      </c>
      <c r="R375" s="286">
        <f>T375+W375+Z375+AC375+AF375+AI375+AL375+AO375+AR375+AU375+AX375+BA375+BD375+BG375+BJ375+BM375+BP375+BS375+BV375+BY375+CB375+CE375+CH375+CK375</f>
        <v>11528</v>
      </c>
      <c r="S375" s="286">
        <v>157</v>
      </c>
      <c r="T375" s="286">
        <v>163</v>
      </c>
      <c r="U375" s="286"/>
      <c r="V375" s="286">
        <v>128</v>
      </c>
      <c r="W375" s="286">
        <v>127</v>
      </c>
      <c r="X375" s="286"/>
      <c r="Y375" s="286">
        <v>194</v>
      </c>
      <c r="Z375" s="286">
        <v>192</v>
      </c>
      <c r="AA375" s="286"/>
      <c r="AB375" s="286">
        <v>180</v>
      </c>
      <c r="AC375" s="286">
        <v>182</v>
      </c>
      <c r="AD375" s="286"/>
      <c r="AE375" s="286">
        <v>186</v>
      </c>
      <c r="AF375" s="286">
        <v>187</v>
      </c>
      <c r="AG375" s="286"/>
      <c r="AH375" s="286">
        <v>197</v>
      </c>
      <c r="AI375" s="286">
        <v>188</v>
      </c>
      <c r="AJ375" s="286"/>
      <c r="AK375" s="286">
        <v>391</v>
      </c>
      <c r="AL375" s="286">
        <v>380</v>
      </c>
      <c r="AM375" s="286"/>
      <c r="AN375" s="286">
        <v>647</v>
      </c>
      <c r="AO375" s="286">
        <v>643</v>
      </c>
      <c r="AP375" s="286"/>
      <c r="AQ375" s="286">
        <v>0</v>
      </c>
      <c r="AR375" s="286">
        <v>0</v>
      </c>
      <c r="AS375" s="286"/>
      <c r="AT375" s="302">
        <v>641</v>
      </c>
      <c r="AU375" s="286">
        <v>652</v>
      </c>
      <c r="AV375" s="286"/>
      <c r="AW375" s="302">
        <v>331</v>
      </c>
      <c r="AX375" s="286">
        <v>333</v>
      </c>
      <c r="AY375" s="286"/>
      <c r="AZ375" s="302">
        <v>434</v>
      </c>
      <c r="BA375" s="286">
        <v>427</v>
      </c>
      <c r="BB375" s="286"/>
      <c r="BC375" s="302">
        <v>755</v>
      </c>
      <c r="BD375" s="286">
        <v>754</v>
      </c>
      <c r="BE375" s="286"/>
      <c r="BF375" s="302">
        <v>1691</v>
      </c>
      <c r="BG375" s="286">
        <v>1712</v>
      </c>
      <c r="BH375" s="286"/>
      <c r="BI375" s="302">
        <v>2659</v>
      </c>
      <c r="BJ375" s="286">
        <v>2696</v>
      </c>
      <c r="BK375" s="286"/>
      <c r="BL375" s="302">
        <v>304</v>
      </c>
      <c r="BM375" s="286">
        <v>295</v>
      </c>
      <c r="BN375" s="286"/>
      <c r="BO375" s="302">
        <v>298</v>
      </c>
      <c r="BP375" s="286">
        <v>315</v>
      </c>
      <c r="BQ375" s="286"/>
      <c r="BR375" s="302">
        <v>446</v>
      </c>
      <c r="BS375" s="286">
        <v>458</v>
      </c>
      <c r="BT375" s="286"/>
      <c r="BU375" s="302">
        <v>435</v>
      </c>
      <c r="BV375" s="286">
        <v>446</v>
      </c>
      <c r="BW375" s="286"/>
      <c r="BX375" s="302">
        <v>123</v>
      </c>
      <c r="BY375" s="286">
        <v>131</v>
      </c>
      <c r="BZ375" s="286"/>
      <c r="CA375" s="302">
        <v>285</v>
      </c>
      <c r="CB375" s="286">
        <v>281</v>
      </c>
      <c r="CC375" s="286"/>
      <c r="CD375" s="302">
        <v>329</v>
      </c>
      <c r="CE375" s="286">
        <v>317</v>
      </c>
      <c r="CF375" s="286"/>
      <c r="CG375" s="286">
        <v>512</v>
      </c>
      <c r="CH375" s="286">
        <v>552</v>
      </c>
      <c r="CI375" s="286"/>
      <c r="CJ375" s="286">
        <v>95</v>
      </c>
      <c r="CK375" s="286">
        <v>97</v>
      </c>
    </row>
    <row r="376" spans="1:89" ht="30" x14ac:dyDescent="0.25">
      <c r="A376" s="262"/>
      <c r="B376" s="312"/>
      <c r="C376" s="312" t="s">
        <v>1498</v>
      </c>
      <c r="D376" s="95"/>
      <c r="E376" s="282"/>
      <c r="F376" s="282"/>
      <c r="G376" s="282"/>
      <c r="H376" s="282">
        <v>1839</v>
      </c>
      <c r="I376" s="282">
        <v>1858</v>
      </c>
      <c r="J376" s="282">
        <v>1844</v>
      </c>
      <c r="K376" s="282">
        <v>1856</v>
      </c>
      <c r="L376" s="282">
        <v>249</v>
      </c>
      <c r="M376" s="282">
        <v>254</v>
      </c>
      <c r="N376" s="282">
        <v>249</v>
      </c>
      <c r="Q376" s="286">
        <f>S376+V376+Y376+AB376+AE376+AH376+AK376+AN376+AQ376+AT376+AW376+AZ376+BC376+BF376+BI376+BL376+BO376+BR376+BU376+BX376+CA376+CD376+CG376+CJ376</f>
        <v>1856</v>
      </c>
      <c r="R376" s="286">
        <f>T376+W376+Z376+AC376+AF376+AI376+AL376+AO376+AR376+AU376+AX376+BA376+BD376+BG376+BJ376+BM376+BP376+BS376+BV376+BY376+CB376+CE376+CH376+CK376</f>
        <v>1833</v>
      </c>
      <c r="S376" s="286">
        <v>107</v>
      </c>
      <c r="T376" s="286">
        <v>109</v>
      </c>
      <c r="U376" s="286"/>
      <c r="V376" s="286">
        <v>160</v>
      </c>
      <c r="W376" s="286">
        <v>164</v>
      </c>
      <c r="X376" s="286"/>
      <c r="Y376" s="286">
        <v>169</v>
      </c>
      <c r="Z376" s="286">
        <v>177</v>
      </c>
      <c r="AA376" s="286"/>
      <c r="AB376" s="286">
        <v>211</v>
      </c>
      <c r="AC376" s="286">
        <v>208</v>
      </c>
      <c r="AD376" s="286"/>
      <c r="AE376" s="286">
        <v>153</v>
      </c>
      <c r="AF376" s="286">
        <v>135</v>
      </c>
      <c r="AG376" s="286"/>
      <c r="AH376" s="286">
        <v>255</v>
      </c>
      <c r="AI376" s="286">
        <v>249</v>
      </c>
      <c r="AJ376" s="286"/>
      <c r="AK376" s="286">
        <v>32</v>
      </c>
      <c r="AL376" s="286">
        <v>28</v>
      </c>
      <c r="AM376" s="286"/>
      <c r="AN376" s="286">
        <v>370</v>
      </c>
      <c r="AO376" s="286">
        <v>355</v>
      </c>
      <c r="AP376" s="286"/>
      <c r="AQ376" s="286">
        <v>321</v>
      </c>
      <c r="AR376" s="286">
        <v>325</v>
      </c>
      <c r="AS376" s="286"/>
      <c r="AT376" s="286">
        <v>0</v>
      </c>
      <c r="AU376" s="286">
        <v>0</v>
      </c>
      <c r="AV376" s="286"/>
      <c r="AW376" s="286">
        <v>0</v>
      </c>
      <c r="AX376" s="286">
        <v>0</v>
      </c>
      <c r="AY376" s="286"/>
      <c r="AZ376" s="286">
        <v>0</v>
      </c>
      <c r="BA376" s="286">
        <v>0</v>
      </c>
      <c r="BB376" s="286"/>
      <c r="BC376" s="286">
        <v>0</v>
      </c>
      <c r="BD376" s="286">
        <v>0</v>
      </c>
      <c r="BE376" s="286"/>
      <c r="BF376" s="286">
        <v>0</v>
      </c>
      <c r="BG376" s="286">
        <v>0</v>
      </c>
      <c r="BH376" s="286"/>
      <c r="BI376" s="286">
        <v>0</v>
      </c>
      <c r="BJ376" s="286">
        <v>0</v>
      </c>
      <c r="BK376" s="286"/>
      <c r="BL376" s="286">
        <v>0</v>
      </c>
      <c r="BM376" s="286">
        <v>0</v>
      </c>
      <c r="BN376" s="286"/>
      <c r="BO376" s="286">
        <v>0</v>
      </c>
      <c r="BP376" s="286">
        <v>0</v>
      </c>
      <c r="BQ376" s="286"/>
      <c r="BR376" s="286">
        <v>0</v>
      </c>
      <c r="BS376" s="286">
        <v>0</v>
      </c>
      <c r="BT376" s="286"/>
      <c r="BU376" s="286">
        <v>0</v>
      </c>
      <c r="BV376" s="286">
        <v>0</v>
      </c>
      <c r="BW376" s="286"/>
      <c r="BX376" s="286">
        <v>0</v>
      </c>
      <c r="BY376" s="286">
        <v>0</v>
      </c>
      <c r="BZ376" s="286"/>
      <c r="CA376" s="286">
        <v>0</v>
      </c>
      <c r="CB376" s="286">
        <v>0</v>
      </c>
      <c r="CC376" s="286"/>
      <c r="CD376" s="286">
        <v>0</v>
      </c>
      <c r="CE376" s="286">
        <v>0</v>
      </c>
      <c r="CF376" s="286"/>
      <c r="CG376" s="286">
        <v>78</v>
      </c>
      <c r="CH376" s="286">
        <v>83</v>
      </c>
      <c r="CI376" s="286"/>
      <c r="CJ376" s="302">
        <v>0</v>
      </c>
      <c r="CK376" s="302">
        <v>0</v>
      </c>
    </row>
    <row r="377" spans="1:89" x14ac:dyDescent="0.25">
      <c r="A377" s="95"/>
      <c r="B377" s="96" t="s">
        <v>1184</v>
      </c>
      <c r="C377" s="107"/>
      <c r="D377" s="95" t="s">
        <v>8</v>
      </c>
      <c r="E377" s="279">
        <f t="shared" ref="E377:J377" si="771">(E380+E381)/(E388+E389)*100</f>
        <v>20.689655172413794</v>
      </c>
      <c r="F377" s="279">
        <f t="shared" si="771"/>
        <v>16.470588235294116</v>
      </c>
      <c r="G377" s="279">
        <f t="shared" si="771"/>
        <v>11.111111111111111</v>
      </c>
      <c r="H377" s="279">
        <f t="shared" si="771"/>
        <v>14.0625</v>
      </c>
      <c r="I377" s="279">
        <f t="shared" si="771"/>
        <v>20</v>
      </c>
      <c r="J377" s="279">
        <f t="shared" si="771"/>
        <v>20.547945205479451</v>
      </c>
      <c r="K377" s="279">
        <f>(K380+K381)/(K388+K389)*100</f>
        <v>13.23529411764706</v>
      </c>
      <c r="L377" s="279" t="e">
        <f>(L380+L381)/(L388+L389)*100</f>
        <v>#DIV/0!</v>
      </c>
      <c r="M377" s="279" t="e">
        <f>(M380+M381)/(M388+M389)*100</f>
        <v>#DIV/0!</v>
      </c>
      <c r="N377" s="279" t="e">
        <f>(N380+N381)/(N388+N389)*100</f>
        <v>#DIV/0!</v>
      </c>
      <c r="Q377" s="279">
        <f>(Q380+Q381)/(Q388+Q389)*100</f>
        <v>13.23529411764706</v>
      </c>
      <c r="R377" s="279">
        <f>(R380+R381)/(R388+R389)*100</f>
        <v>11.76470588235294</v>
      </c>
      <c r="S377" s="279" t="e">
        <f>(S380+S381)/(S388+S389)*100</f>
        <v>#DIV/0!</v>
      </c>
      <c r="T377" s="279" t="e">
        <f>(T380+T381)/(T388+T389)*100</f>
        <v>#DIV/0!</v>
      </c>
      <c r="V377" s="279" t="e">
        <f>(V380+V381)/(V388+V389)*100</f>
        <v>#DIV/0!</v>
      </c>
      <c r="W377" s="279" t="e">
        <f>(W380+W381)/(W388+W389)*100</f>
        <v>#DIV/0!</v>
      </c>
      <c r="Y377" s="279" t="e">
        <f>(Y380+Y381)/(Y388+Y389)*100</f>
        <v>#DIV/0!</v>
      </c>
      <c r="Z377" s="279" t="e">
        <f>(Z380+Z381)/(Z388+Z389)*100</f>
        <v>#DIV/0!</v>
      </c>
      <c r="AB377" s="279" t="e">
        <f>(AB380+AB381)/(AB388+AB389)*100</f>
        <v>#DIV/0!</v>
      </c>
      <c r="AC377" s="279" t="e">
        <f>(AC380+AC381)/(AC388+AC389)*100</f>
        <v>#DIV/0!</v>
      </c>
      <c r="AE377" s="279" t="e">
        <f>(AE380+AE381)/(AE388+AE389)*100</f>
        <v>#DIV/0!</v>
      </c>
      <c r="AF377" s="279" t="e">
        <f>(AF380+AF381)/(AF388+AF389)*100</f>
        <v>#DIV/0!</v>
      </c>
      <c r="AH377" s="279" t="e">
        <f>(AH380+AH381)/(AH388+AH389)*100</f>
        <v>#DIV/0!</v>
      </c>
      <c r="AI377" s="279" t="e">
        <f>(AI380+AI381)/(AI388+AI389)*100</f>
        <v>#DIV/0!</v>
      </c>
      <c r="AK377" s="279" t="e">
        <f>(AK380+AK381)/(AK388+AK389)*100</f>
        <v>#DIV/0!</v>
      </c>
      <c r="AL377" s="279" t="e">
        <f>(AL380+AL381)/(AL388+AL389)*100</f>
        <v>#DIV/0!</v>
      </c>
      <c r="AN377" s="279" t="e">
        <f>(AN380+AN381)/(AN388+AN389)*100</f>
        <v>#DIV/0!</v>
      </c>
      <c r="AO377" s="279" t="e">
        <f>(AO380+AO381)/(AO388+AO389)*100</f>
        <v>#DIV/0!</v>
      </c>
      <c r="AQ377" s="279" t="e">
        <f>(AQ380+AQ381)/(AQ388+AQ389)*100</f>
        <v>#DIV/0!</v>
      </c>
      <c r="AR377" s="279" t="e">
        <f>(AR380+AR381)/(AR388+AR389)*100</f>
        <v>#DIV/0!</v>
      </c>
      <c r="AT377" s="279" t="e">
        <f>(AT380+AT381)/(AT388+AT389)*100</f>
        <v>#DIV/0!</v>
      </c>
      <c r="AU377" s="279" t="e">
        <f>(AU380+AU381)/(AU388+AU389)*100</f>
        <v>#DIV/0!</v>
      </c>
      <c r="AW377" s="279" t="e">
        <f>(AW380+AW381)/(AW388+AW389)*100</f>
        <v>#DIV/0!</v>
      </c>
      <c r="AX377" s="279" t="e">
        <f>(AX380+AX381)/(AX388+AX389)*100</f>
        <v>#DIV/0!</v>
      </c>
      <c r="AZ377" s="279" t="e">
        <f>(AZ380+AZ381)/(AZ388+AZ389)*100</f>
        <v>#DIV/0!</v>
      </c>
      <c r="BA377" s="279" t="e">
        <f>(BA380+BA381)/(BA388+BA389)*100</f>
        <v>#DIV/0!</v>
      </c>
      <c r="BC377" s="279">
        <f>(BC380+BC381)/(BC388+BC389)*100</f>
        <v>7.6923076923076925</v>
      </c>
      <c r="BD377" s="279">
        <f>(BD380+BD381)/(BD388+BD389)*100</f>
        <v>7.6923076923076925</v>
      </c>
      <c r="BF377" s="279">
        <f>(BF380+BF381)/(BF388+BF389)*100</f>
        <v>18.181818181818183</v>
      </c>
      <c r="BG377" s="279">
        <f>(BG380+BG381)/(BG388+BG389)*100</f>
        <v>27.27272727272727</v>
      </c>
      <c r="BI377" s="279">
        <f>(BI380+BI381)/(BI388+BI389)*100</f>
        <v>13.333333333333334</v>
      </c>
      <c r="BJ377" s="279">
        <f>(BJ380+BJ381)/(BJ388+BJ389)*100</f>
        <v>10.344827586206897</v>
      </c>
      <c r="BL377" s="279" t="e">
        <f>(BL380+BL381)/(BL388+BL389)*100</f>
        <v>#DIV/0!</v>
      </c>
      <c r="BM377" s="279" t="e">
        <f>(BM380+BM381)/(BM388+BM389)*100</f>
        <v>#DIV/0!</v>
      </c>
      <c r="BO377" s="279" t="e">
        <f>(BO380+BO381)/(BO388+BO389)*100</f>
        <v>#DIV/0!</v>
      </c>
      <c r="BP377" s="279" t="e">
        <f>(BP380+BP381)/(BP388+BP389)*100</f>
        <v>#DIV/0!</v>
      </c>
      <c r="BR377" s="279" t="e">
        <f>(BR380+BR381)/(BR388+BR389)*100</f>
        <v>#DIV/0!</v>
      </c>
      <c r="BS377" s="279" t="e">
        <f>(BS380+BS381)/(BS388+BS389)*100</f>
        <v>#DIV/0!</v>
      </c>
      <c r="BU377" s="279" t="e">
        <f>(BU380+BU381)/(BU388+BU389)*100</f>
        <v>#DIV/0!</v>
      </c>
      <c r="BV377" s="279" t="e">
        <f>(BV380+BV381)/(BV388+BV389)*100</f>
        <v>#DIV/0!</v>
      </c>
      <c r="BX377" s="279" t="e">
        <f>(BX380+BX381)/(BX388+BX389)*100</f>
        <v>#DIV/0!</v>
      </c>
      <c r="BY377" s="279" t="e">
        <f>(BY380+BY381)/(BY388+BY389)*100</f>
        <v>#DIV/0!</v>
      </c>
      <c r="CA377" s="279" t="e">
        <f>(CA380+CA381)/(CA388+CA389)*100</f>
        <v>#DIV/0!</v>
      </c>
      <c r="CB377" s="279" t="e">
        <f>(CB380+CB381)/(CB388+CB389)*100</f>
        <v>#DIV/0!</v>
      </c>
      <c r="CD377" s="279">
        <f>(CD380+CD381)/(CD388+CD389)*100</f>
        <v>14.285714285714285</v>
      </c>
      <c r="CE377" s="279">
        <f>(CE380+CE381)/(CE388+CE389)*100</f>
        <v>6.666666666666667</v>
      </c>
      <c r="CG377" s="279" t="e">
        <f>(CG380+CG381)/(CG388+CG389)*100</f>
        <v>#DIV/0!</v>
      </c>
      <c r="CH377" s="279" t="e">
        <f>(CH380+CH381)/(CH388+CH389)*100</f>
        <v>#DIV/0!</v>
      </c>
      <c r="CJ377" s="279" t="e">
        <f>(CJ380+CJ381)/(CJ388+CJ389)*100</f>
        <v>#DIV/0!</v>
      </c>
      <c r="CK377" s="279" t="e">
        <f>(CK380+CK381)/(CK388+CK389)*100</f>
        <v>#DIV/0!</v>
      </c>
    </row>
    <row r="378" spans="1:89" x14ac:dyDescent="0.25">
      <c r="A378" s="95"/>
      <c r="B378" s="96" t="s">
        <v>1183</v>
      </c>
      <c r="C378" s="107"/>
      <c r="D378" s="95" t="s">
        <v>8</v>
      </c>
      <c r="E378" s="279">
        <f t="shared" ref="E378:G379" si="772">E380/E388*100</f>
        <v>20.689655172413794</v>
      </c>
      <c r="F378" s="279">
        <f t="shared" si="772"/>
        <v>16.470588235294116</v>
      </c>
      <c r="G378" s="279">
        <f t="shared" si="772"/>
        <v>11.111111111111111</v>
      </c>
      <c r="H378" s="279">
        <f t="shared" ref="H378:K379" si="773">H380/H388*100</f>
        <v>14.0625</v>
      </c>
      <c r="I378" s="279">
        <f t="shared" si="773"/>
        <v>20</v>
      </c>
      <c r="J378" s="279">
        <f t="shared" si="773"/>
        <v>20.547945205479451</v>
      </c>
      <c r="K378" s="279">
        <f t="shared" si="773"/>
        <v>13.23529411764706</v>
      </c>
      <c r="L378" s="279" t="e">
        <f t="shared" ref="L378:M379" si="774">L380/L388*100</f>
        <v>#DIV/0!</v>
      </c>
      <c r="M378" s="279" t="e">
        <f t="shared" si="774"/>
        <v>#DIV/0!</v>
      </c>
      <c r="N378" s="279" t="e">
        <f t="shared" ref="N378" si="775">N380/N388*100</f>
        <v>#DIV/0!</v>
      </c>
      <c r="Q378" s="279">
        <f t="shared" ref="Q378:S379" si="776">Q380/Q388*100</f>
        <v>13.23529411764706</v>
      </c>
      <c r="R378" s="279">
        <f t="shared" si="776"/>
        <v>11.76470588235294</v>
      </c>
      <c r="S378" s="279" t="e">
        <f>S380/S388*100</f>
        <v>#DIV/0!</v>
      </c>
      <c r="T378" s="279" t="e">
        <f>T380/T388*100</f>
        <v>#DIV/0!</v>
      </c>
      <c r="V378" s="279" t="e">
        <f>V380/V388*100</f>
        <v>#DIV/0!</v>
      </c>
      <c r="W378" s="279" t="e">
        <f>W380/W388*100</f>
        <v>#DIV/0!</v>
      </c>
      <c r="Y378" s="279" t="e">
        <f>Y380/Y388*100</f>
        <v>#DIV/0!</v>
      </c>
      <c r="Z378" s="279" t="e">
        <f>Z380/Z388*100</f>
        <v>#DIV/0!</v>
      </c>
      <c r="AB378" s="279" t="e">
        <f>AB380/AB388*100</f>
        <v>#DIV/0!</v>
      </c>
      <c r="AC378" s="279" t="e">
        <f>AC380/AC388*100</f>
        <v>#DIV/0!</v>
      </c>
      <c r="AE378" s="279" t="e">
        <f>AE380/AE388*100</f>
        <v>#DIV/0!</v>
      </c>
      <c r="AF378" s="279" t="e">
        <f>AF380/AF388*100</f>
        <v>#DIV/0!</v>
      </c>
      <c r="AH378" s="279" t="e">
        <f>AH380/AH388*100</f>
        <v>#DIV/0!</v>
      </c>
      <c r="AI378" s="279" t="e">
        <f>AI380/AI388*100</f>
        <v>#DIV/0!</v>
      </c>
      <c r="AK378" s="279" t="e">
        <f>AK380/AK388*100</f>
        <v>#DIV/0!</v>
      </c>
      <c r="AL378" s="279" t="e">
        <f>AL380/AL388*100</f>
        <v>#DIV/0!</v>
      </c>
      <c r="AN378" s="279" t="e">
        <f>AN380/AN388*100</f>
        <v>#DIV/0!</v>
      </c>
      <c r="AO378" s="279" t="e">
        <f>AO380/AO388*100</f>
        <v>#DIV/0!</v>
      </c>
      <c r="AQ378" s="279" t="e">
        <f>AQ380/AQ388*100</f>
        <v>#DIV/0!</v>
      </c>
      <c r="AR378" s="279" t="e">
        <f>AR380/AR388*100</f>
        <v>#DIV/0!</v>
      </c>
      <c r="AT378" s="279" t="e">
        <f>AT380/AT388*100</f>
        <v>#DIV/0!</v>
      </c>
      <c r="AU378" s="279" t="e">
        <f>AU380/AU388*100</f>
        <v>#DIV/0!</v>
      </c>
      <c r="AW378" s="279" t="e">
        <f>AW380/AW388*100</f>
        <v>#DIV/0!</v>
      </c>
      <c r="AX378" s="279" t="e">
        <f>AX380/AX388*100</f>
        <v>#DIV/0!</v>
      </c>
      <c r="AZ378" s="279" t="e">
        <f>AZ380/AZ388*100</f>
        <v>#DIV/0!</v>
      </c>
      <c r="BA378" s="279" t="e">
        <f>BA380/BA388*100</f>
        <v>#DIV/0!</v>
      </c>
      <c r="BC378" s="279">
        <f>BC380/BC388*100</f>
        <v>7.6923076923076925</v>
      </c>
      <c r="BD378" s="279">
        <f>BD380/BD388*100</f>
        <v>7.6923076923076925</v>
      </c>
      <c r="BF378" s="279">
        <f>BF380/BF388*100</f>
        <v>18.181818181818183</v>
      </c>
      <c r="BG378" s="279">
        <f>BG380/BG388*100</f>
        <v>27.27272727272727</v>
      </c>
      <c r="BI378" s="279">
        <f>BI380/BI388*100</f>
        <v>13.333333333333334</v>
      </c>
      <c r="BJ378" s="279">
        <f>BJ380/BJ388*100</f>
        <v>10.344827586206897</v>
      </c>
      <c r="BL378" s="279" t="e">
        <f>BL380/BL388*100</f>
        <v>#DIV/0!</v>
      </c>
      <c r="BM378" s="279" t="e">
        <f>BM380/BM388*100</f>
        <v>#DIV/0!</v>
      </c>
      <c r="BO378" s="279" t="e">
        <f>BO380/BO388*100</f>
        <v>#DIV/0!</v>
      </c>
      <c r="BP378" s="279" t="e">
        <f>BP380/BP388*100</f>
        <v>#DIV/0!</v>
      </c>
      <c r="BR378" s="279" t="e">
        <f>BR380/BR388*100</f>
        <v>#DIV/0!</v>
      </c>
      <c r="BS378" s="279" t="e">
        <f>BS380/BS388*100</f>
        <v>#DIV/0!</v>
      </c>
      <c r="BU378" s="279" t="e">
        <f>BU380/BU388*100</f>
        <v>#DIV/0!</v>
      </c>
      <c r="BV378" s="279" t="e">
        <f>BV380/BV388*100</f>
        <v>#DIV/0!</v>
      </c>
      <c r="BX378" s="279" t="e">
        <f>BX380/BX388*100</f>
        <v>#DIV/0!</v>
      </c>
      <c r="BY378" s="279" t="e">
        <f>BY380/BY388*100</f>
        <v>#DIV/0!</v>
      </c>
      <c r="CA378" s="279" t="e">
        <f>CA380/CA388*100</f>
        <v>#DIV/0!</v>
      </c>
      <c r="CB378" s="279" t="e">
        <f>CB380/CB388*100</f>
        <v>#DIV/0!</v>
      </c>
      <c r="CD378" s="279">
        <f>CD380/CD388*100</f>
        <v>14.285714285714285</v>
      </c>
      <c r="CE378" s="279">
        <f>CE380/CE388*100</f>
        <v>6.666666666666667</v>
      </c>
      <c r="CG378" s="279" t="e">
        <f>CG380/CG388*100</f>
        <v>#DIV/0!</v>
      </c>
      <c r="CH378" s="279" t="e">
        <f>CH380/CH388*100</f>
        <v>#DIV/0!</v>
      </c>
      <c r="CJ378" s="279" t="e">
        <f>CJ380/CJ388*100</f>
        <v>#DIV/0!</v>
      </c>
      <c r="CK378" s="279" t="e">
        <f>CK380/CK388*100</f>
        <v>#DIV/0!</v>
      </c>
    </row>
    <row r="379" spans="1:89" x14ac:dyDescent="0.25">
      <c r="A379" s="95"/>
      <c r="B379" s="96" t="s">
        <v>1185</v>
      </c>
      <c r="C379" s="107"/>
      <c r="D379" s="95" t="s">
        <v>8</v>
      </c>
      <c r="E379" s="279" t="e">
        <f t="shared" si="772"/>
        <v>#DIV/0!</v>
      </c>
      <c r="F379" s="279" t="e">
        <f t="shared" si="772"/>
        <v>#DIV/0!</v>
      </c>
      <c r="G379" s="279" t="e">
        <f t="shared" si="772"/>
        <v>#DIV/0!</v>
      </c>
      <c r="H379" s="279" t="e">
        <f t="shared" si="773"/>
        <v>#DIV/0!</v>
      </c>
      <c r="I379" s="279" t="e">
        <f t="shared" si="773"/>
        <v>#DIV/0!</v>
      </c>
      <c r="J379" s="279" t="e">
        <f t="shared" si="773"/>
        <v>#DIV/0!</v>
      </c>
      <c r="K379" s="279" t="e">
        <f t="shared" si="773"/>
        <v>#DIV/0!</v>
      </c>
      <c r="L379" s="279" t="e">
        <f t="shared" ref="L379" si="777">L381/L389*100</f>
        <v>#DIV/0!</v>
      </c>
      <c r="M379" s="279" t="e">
        <f t="shared" si="774"/>
        <v>#DIV/0!</v>
      </c>
      <c r="N379" s="279" t="e">
        <f t="shared" ref="N379" si="778">N381/N389*100</f>
        <v>#DIV/0!</v>
      </c>
      <c r="Q379" s="279" t="e">
        <f>Q381/Q389*100</f>
        <v>#DIV/0!</v>
      </c>
      <c r="R379" s="279" t="e">
        <f t="shared" si="776"/>
        <v>#DIV/0!</v>
      </c>
      <c r="S379" s="279" t="e">
        <f t="shared" si="776"/>
        <v>#DIV/0!</v>
      </c>
      <c r="T379" s="279" t="e">
        <f>T381/T389*100</f>
        <v>#DIV/0!</v>
      </c>
      <c r="V379" s="279" t="e">
        <f>V381/V389*100</f>
        <v>#DIV/0!</v>
      </c>
      <c r="W379" s="279" t="e">
        <f>W381/W389*100</f>
        <v>#DIV/0!</v>
      </c>
      <c r="Y379" s="279" t="e">
        <f>Y381/Y389*100</f>
        <v>#DIV/0!</v>
      </c>
      <c r="Z379" s="279" t="e">
        <f>Z381/Z389*100</f>
        <v>#DIV/0!</v>
      </c>
      <c r="AB379" s="279" t="e">
        <f>AB381/AB389*100</f>
        <v>#DIV/0!</v>
      </c>
      <c r="AC379" s="279" t="e">
        <f>AC381/AC389*100</f>
        <v>#DIV/0!</v>
      </c>
      <c r="AE379" s="279" t="e">
        <f>AE381/AE389*100</f>
        <v>#DIV/0!</v>
      </c>
      <c r="AF379" s="279" t="e">
        <f>AF381/AF389*100</f>
        <v>#DIV/0!</v>
      </c>
      <c r="AH379" s="279" t="e">
        <f>AH381/AH389*100</f>
        <v>#DIV/0!</v>
      </c>
      <c r="AI379" s="279" t="e">
        <f>AI381/AI389*100</f>
        <v>#DIV/0!</v>
      </c>
      <c r="AK379" s="279" t="e">
        <f>AK381/AK389*100</f>
        <v>#DIV/0!</v>
      </c>
      <c r="AL379" s="279" t="e">
        <f>AL381/AL389*100</f>
        <v>#DIV/0!</v>
      </c>
      <c r="AN379" s="279" t="e">
        <f>AN381/AN389*100</f>
        <v>#DIV/0!</v>
      </c>
      <c r="AO379" s="279" t="e">
        <f>AO381/AO389*100</f>
        <v>#DIV/0!</v>
      </c>
      <c r="AQ379" s="279" t="e">
        <f>AQ381/AQ389*100</f>
        <v>#DIV/0!</v>
      </c>
      <c r="AR379" s="279" t="e">
        <f>AR381/AR389*100</f>
        <v>#DIV/0!</v>
      </c>
      <c r="AT379" s="279" t="e">
        <f>AT381/AT389*100</f>
        <v>#DIV/0!</v>
      </c>
      <c r="AU379" s="279" t="e">
        <f>AU381/AU389*100</f>
        <v>#DIV/0!</v>
      </c>
      <c r="AW379" s="279" t="e">
        <f>AW381/AW389*100</f>
        <v>#DIV/0!</v>
      </c>
      <c r="AX379" s="279" t="e">
        <f>AX381/AX389*100</f>
        <v>#DIV/0!</v>
      </c>
      <c r="AZ379" s="279" t="e">
        <f>AZ381/AZ389*100</f>
        <v>#DIV/0!</v>
      </c>
      <c r="BA379" s="279" t="e">
        <f>BA381/BA389*100</f>
        <v>#DIV/0!</v>
      </c>
      <c r="BC379" s="279" t="e">
        <f>BC381/BC389*100</f>
        <v>#DIV/0!</v>
      </c>
      <c r="BD379" s="279" t="e">
        <f>BD381/BD389*100</f>
        <v>#DIV/0!</v>
      </c>
      <c r="BF379" s="279" t="e">
        <f>BF381/BF389*100</f>
        <v>#DIV/0!</v>
      </c>
      <c r="BG379" s="279" t="e">
        <f>BG381/BG389*100</f>
        <v>#DIV/0!</v>
      </c>
      <c r="BI379" s="279" t="e">
        <f>BI381/BI389*100</f>
        <v>#DIV/0!</v>
      </c>
      <c r="BJ379" s="279" t="e">
        <f>BJ381/BJ389*100</f>
        <v>#DIV/0!</v>
      </c>
      <c r="BL379" s="279" t="e">
        <f>BL381/BL389*100</f>
        <v>#DIV/0!</v>
      </c>
      <c r="BM379" s="279" t="e">
        <f>BM381/BM389*100</f>
        <v>#DIV/0!</v>
      </c>
      <c r="BO379" s="279" t="e">
        <f>BO381/BO389*100</f>
        <v>#DIV/0!</v>
      </c>
      <c r="BP379" s="279" t="e">
        <f>BP381/BP389*100</f>
        <v>#DIV/0!</v>
      </c>
      <c r="BR379" s="279" t="e">
        <f>BR381/BR389*100</f>
        <v>#DIV/0!</v>
      </c>
      <c r="BS379" s="279" t="e">
        <f>BS381/BS389*100</f>
        <v>#DIV/0!</v>
      </c>
      <c r="BU379" s="279" t="e">
        <f>BU381/BU389*100</f>
        <v>#DIV/0!</v>
      </c>
      <c r="BV379" s="279" t="e">
        <f>BV381/BV389*100</f>
        <v>#DIV/0!</v>
      </c>
      <c r="BX379" s="279" t="e">
        <f>BX381/BX389*100</f>
        <v>#DIV/0!</v>
      </c>
      <c r="BY379" s="279" t="e">
        <f>BY381/BY389*100</f>
        <v>#DIV/0!</v>
      </c>
      <c r="CA379" s="279" t="e">
        <f>CA381/CA389*100</f>
        <v>#DIV/0!</v>
      </c>
      <c r="CB379" s="279" t="e">
        <f>CB381/CB389*100</f>
        <v>#DIV/0!</v>
      </c>
      <c r="CD379" s="279" t="e">
        <f>CD381/CD389*100</f>
        <v>#DIV/0!</v>
      </c>
      <c r="CE379" s="279" t="e">
        <f>CE381/CE389*100</f>
        <v>#DIV/0!</v>
      </c>
      <c r="CG379" s="279" t="e">
        <f>CG381/CG389*100</f>
        <v>#DIV/0!</v>
      </c>
      <c r="CH379" s="279" t="e">
        <f>CH381/CH389*100</f>
        <v>#DIV/0!</v>
      </c>
      <c r="CJ379" s="279" t="e">
        <f>CJ381/CJ389*100</f>
        <v>#DIV/0!</v>
      </c>
      <c r="CK379" s="279" t="e">
        <f>CK381/CK389*100</f>
        <v>#DIV/0!</v>
      </c>
    </row>
    <row r="380" spans="1:89" ht="30" x14ac:dyDescent="0.25">
      <c r="A380" s="419"/>
      <c r="B380" s="419" t="s">
        <v>164</v>
      </c>
      <c r="C380" s="95" t="s">
        <v>165</v>
      </c>
      <c r="D380" s="95" t="s">
        <v>950</v>
      </c>
      <c r="E380" s="282">
        <v>18</v>
      </c>
      <c r="F380" s="282">
        <v>14</v>
      </c>
      <c r="G380" s="282">
        <v>10</v>
      </c>
      <c r="H380" s="282">
        <f>H382+H383+H384</f>
        <v>9</v>
      </c>
      <c r="I380" s="282">
        <f>I382+I383+I384</f>
        <v>14</v>
      </c>
      <c r="J380" s="282">
        <f>J382+J383+J384</f>
        <v>15</v>
      </c>
      <c r="K380" s="282">
        <f>K382+K383+K384</f>
        <v>9</v>
      </c>
      <c r="L380" s="282">
        <f>L382+L383+L384</f>
        <v>0</v>
      </c>
      <c r="M380" s="282">
        <f t="shared" ref="M380:N380" si="779">M382+M383+M384</f>
        <v>0</v>
      </c>
      <c r="N380" s="282">
        <f t="shared" si="779"/>
        <v>0</v>
      </c>
      <c r="Q380" s="282">
        <f>Q382+Q383+Q384</f>
        <v>9</v>
      </c>
      <c r="R380" s="282">
        <f>R382+R383+R384</f>
        <v>8</v>
      </c>
      <c r="S380" s="282">
        <f>S382+S383+S384</f>
        <v>0</v>
      </c>
      <c r="T380" s="282">
        <f>T382+T383+T384</f>
        <v>0</v>
      </c>
      <c r="V380" s="282">
        <f>V382+V383+V384</f>
        <v>0</v>
      </c>
      <c r="W380" s="282">
        <f>W382+W383+W384</f>
        <v>0</v>
      </c>
      <c r="Y380" s="282">
        <f>Y382+Y383+Y384</f>
        <v>0</v>
      </c>
      <c r="Z380" s="282">
        <f>Z382+Z383+Z384</f>
        <v>0</v>
      </c>
      <c r="AB380" s="282">
        <f>AB382+AB383+AB384</f>
        <v>0</v>
      </c>
      <c r="AC380" s="282">
        <f>AC382+AC383+AC384</f>
        <v>0</v>
      </c>
      <c r="AE380" s="282">
        <f>AE382+AE383+AE384</f>
        <v>0</v>
      </c>
      <c r="AF380" s="282">
        <f>AF382+AF383+AF384</f>
        <v>0</v>
      </c>
      <c r="AH380" s="282">
        <f>AH382+AH383+AH384</f>
        <v>0</v>
      </c>
      <c r="AI380" s="282">
        <f>AI382+AI383+AI384</f>
        <v>0</v>
      </c>
      <c r="AK380" s="282">
        <f>AK382+AK383+AK384</f>
        <v>0</v>
      </c>
      <c r="AL380" s="282">
        <f>AL382+AL383+AL384</f>
        <v>0</v>
      </c>
      <c r="AN380" s="282">
        <f>AN382+AN383+AN384</f>
        <v>0</v>
      </c>
      <c r="AO380" s="282">
        <f>AO382+AO383+AO384</f>
        <v>0</v>
      </c>
      <c r="AQ380" s="282">
        <f>AQ382+AQ383+AQ384</f>
        <v>0</v>
      </c>
      <c r="AR380" s="282">
        <f>AR382+AR383+AR384</f>
        <v>0</v>
      </c>
      <c r="AT380" s="282">
        <f>AT382+AT383+AT384</f>
        <v>0</v>
      </c>
      <c r="AU380" s="282">
        <f>AU382+AU383+AU384</f>
        <v>0</v>
      </c>
      <c r="AW380" s="282">
        <f>AW382+AW383+AW384</f>
        <v>0</v>
      </c>
      <c r="AX380" s="282">
        <f>AX382+AX383+AX384</f>
        <v>0</v>
      </c>
      <c r="AZ380" s="282">
        <f>AZ382+AZ383+AZ384</f>
        <v>0</v>
      </c>
      <c r="BA380" s="282">
        <f>BA382+BA383+BA384</f>
        <v>0</v>
      </c>
      <c r="BC380" s="282">
        <f>BC382+BC383+BC384</f>
        <v>1</v>
      </c>
      <c r="BD380" s="282">
        <f>BD382+BD383+BD384</f>
        <v>1</v>
      </c>
      <c r="BF380" s="282">
        <f>BF382+BF383+BF384</f>
        <v>2</v>
      </c>
      <c r="BG380" s="282">
        <f>BG382+BG383+BG384</f>
        <v>3</v>
      </c>
      <c r="BI380" s="282">
        <f>BI382+BI383+BI384</f>
        <v>4</v>
      </c>
      <c r="BJ380" s="282">
        <f>BJ382+BJ383+BJ384</f>
        <v>3</v>
      </c>
      <c r="BL380" s="282">
        <f>BL382+BL383+BL384</f>
        <v>0</v>
      </c>
      <c r="BM380" s="282">
        <f>BM382+BM383+BM384</f>
        <v>0</v>
      </c>
      <c r="BO380" s="282">
        <f>BO382+BO383+BO384</f>
        <v>0</v>
      </c>
      <c r="BP380" s="282">
        <f>BP382+BP383+BP384</f>
        <v>0</v>
      </c>
      <c r="BR380" s="282">
        <f>BR382+BR383+BR384</f>
        <v>0</v>
      </c>
      <c r="BS380" s="282">
        <f>BS382+BS383+BS384</f>
        <v>0</v>
      </c>
      <c r="BU380" s="282">
        <f>BU382+BU383+BU384</f>
        <v>0</v>
      </c>
      <c r="BV380" s="282">
        <f>BV382+BV383+BV384</f>
        <v>0</v>
      </c>
      <c r="BX380" s="282">
        <f>BX382+BX383+BX384</f>
        <v>0</v>
      </c>
      <c r="BY380" s="282">
        <f>BY382+BY383+BY384</f>
        <v>0</v>
      </c>
      <c r="CA380" s="282">
        <f>CA382+CA383+CA384</f>
        <v>0</v>
      </c>
      <c r="CB380" s="282">
        <f>CB382+CB383+CB384</f>
        <v>0</v>
      </c>
      <c r="CD380" s="282">
        <f>CD382+CD383+CD384</f>
        <v>2</v>
      </c>
      <c r="CE380" s="282">
        <f>CE382+CE383+CE384</f>
        <v>1</v>
      </c>
      <c r="CG380" s="282">
        <f>CG382+CG383+CG384</f>
        <v>0</v>
      </c>
      <c r="CH380" s="282">
        <f>CH382+CH383+CH384</f>
        <v>0</v>
      </c>
      <c r="CJ380" s="282">
        <f>CJ382+CJ383+CJ384</f>
        <v>0</v>
      </c>
      <c r="CK380" s="282">
        <f>CK382+CK383+CK384</f>
        <v>0</v>
      </c>
    </row>
    <row r="381" spans="1:89" ht="30" x14ac:dyDescent="0.25">
      <c r="A381" s="421"/>
      <c r="B381" s="421"/>
      <c r="C381" s="95" t="s">
        <v>166</v>
      </c>
      <c r="D381" s="95" t="s">
        <v>950</v>
      </c>
      <c r="E381" s="282">
        <v>0</v>
      </c>
      <c r="F381" s="282">
        <v>0</v>
      </c>
      <c r="G381" s="282">
        <v>0</v>
      </c>
      <c r="H381" s="282">
        <f>H385+H386+H387</f>
        <v>0</v>
      </c>
      <c r="I381" s="282">
        <f>I385+I386+I387</f>
        <v>0</v>
      </c>
      <c r="J381" s="282">
        <f>J385+J386+J387</f>
        <v>0</v>
      </c>
      <c r="K381" s="282">
        <f>K385+K386+K387</f>
        <v>0</v>
      </c>
      <c r="L381" s="282">
        <f>L385+L386+L387</f>
        <v>0</v>
      </c>
      <c r="M381" s="282">
        <f t="shared" ref="M381:N381" si="780">M385+M386+M387</f>
        <v>0</v>
      </c>
      <c r="N381" s="282">
        <f t="shared" si="780"/>
        <v>0</v>
      </c>
      <c r="Q381" s="282">
        <f>Q385+Q386+Q387</f>
        <v>0</v>
      </c>
      <c r="R381" s="282">
        <f>R385+R386+R387</f>
        <v>0</v>
      </c>
      <c r="S381" s="282">
        <f>S385+S386+S387</f>
        <v>0</v>
      </c>
      <c r="T381" s="282">
        <f>T385+T386+T387</f>
        <v>0</v>
      </c>
      <c r="V381" s="282">
        <f>V385+V386+V387</f>
        <v>0</v>
      </c>
      <c r="W381" s="282">
        <f>W385+W386+W387</f>
        <v>0</v>
      </c>
      <c r="Y381" s="282">
        <f>Y385+Y386+Y387</f>
        <v>0</v>
      </c>
      <c r="Z381" s="282">
        <f>Z385+Z386+Z387</f>
        <v>0</v>
      </c>
      <c r="AB381" s="282">
        <f>AB385+AB386+AB387</f>
        <v>0</v>
      </c>
      <c r="AC381" s="282">
        <f>AC385+AC386+AC387</f>
        <v>0</v>
      </c>
      <c r="AE381" s="282">
        <f>AE385+AE386+AE387</f>
        <v>0</v>
      </c>
      <c r="AF381" s="282">
        <f>AF385+AF386+AF387</f>
        <v>0</v>
      </c>
      <c r="AH381" s="282">
        <f>AH385+AH386+AH387</f>
        <v>0</v>
      </c>
      <c r="AI381" s="282">
        <f>AI385+AI386+AI387</f>
        <v>0</v>
      </c>
      <c r="AK381" s="282">
        <f>AK385+AK386+AK387</f>
        <v>0</v>
      </c>
      <c r="AL381" s="282">
        <f>AL385+AL386+AL387</f>
        <v>0</v>
      </c>
      <c r="AN381" s="282">
        <f>AN385+AN386+AN387</f>
        <v>0</v>
      </c>
      <c r="AO381" s="282">
        <f>AO385+AO386+AO387</f>
        <v>0</v>
      </c>
      <c r="AQ381" s="282">
        <f>AQ385+AQ386+AQ387</f>
        <v>0</v>
      </c>
      <c r="AR381" s="282">
        <f>AR385+AR386+AR387</f>
        <v>0</v>
      </c>
      <c r="AT381" s="282">
        <f>AT385+AT386+AT387</f>
        <v>0</v>
      </c>
      <c r="AU381" s="282">
        <f>AU385+AU386+AU387</f>
        <v>0</v>
      </c>
      <c r="AW381" s="282">
        <f>AW385+AW386+AW387</f>
        <v>0</v>
      </c>
      <c r="AX381" s="282">
        <f>AX385+AX386+AX387</f>
        <v>0</v>
      </c>
      <c r="AZ381" s="282">
        <f>AZ385+AZ386+AZ387</f>
        <v>0</v>
      </c>
      <c r="BA381" s="282">
        <f>BA385+BA386+BA387</f>
        <v>0</v>
      </c>
      <c r="BC381" s="282">
        <f>BC385+BC386+BC387</f>
        <v>0</v>
      </c>
      <c r="BD381" s="282">
        <f>BD385+BD386+BD387</f>
        <v>0</v>
      </c>
      <c r="BF381" s="282">
        <f>BF385+BF386+BF387</f>
        <v>0</v>
      </c>
      <c r="BG381" s="282">
        <f>BG385+BG386+BG387</f>
        <v>0</v>
      </c>
      <c r="BI381" s="282">
        <f>BI385+BI386+BI387</f>
        <v>0</v>
      </c>
      <c r="BJ381" s="282">
        <f>BJ385+BJ386+BJ387</f>
        <v>0</v>
      </c>
      <c r="BL381" s="282">
        <f>BL385+BL386+BL387</f>
        <v>0</v>
      </c>
      <c r="BM381" s="282">
        <f>BM385+BM386+BM387</f>
        <v>0</v>
      </c>
      <c r="BO381" s="282">
        <f>BO385+BO386+BO387</f>
        <v>0</v>
      </c>
      <c r="BP381" s="282">
        <f>BP385+BP386+BP387</f>
        <v>0</v>
      </c>
      <c r="BR381" s="282">
        <f>BR385+BR386+BR387</f>
        <v>0</v>
      </c>
      <c r="BS381" s="282">
        <f>BS385+BS386+BS387</f>
        <v>0</v>
      </c>
      <c r="BU381" s="282">
        <f>BU385+BU386+BU387</f>
        <v>0</v>
      </c>
      <c r="BV381" s="282">
        <f>BV385+BV386+BV387</f>
        <v>0</v>
      </c>
      <c r="BX381" s="282">
        <f>BX385+BX386+BX387</f>
        <v>0</v>
      </c>
      <c r="BY381" s="282">
        <f>BY385+BY386+BY387</f>
        <v>0</v>
      </c>
      <c r="CA381" s="282">
        <f>CA385+CA386+CA387</f>
        <v>0</v>
      </c>
      <c r="CB381" s="282">
        <f>CB385+CB386+CB387</f>
        <v>0</v>
      </c>
      <c r="CD381" s="282">
        <f>CD385+CD386+CD387</f>
        <v>0</v>
      </c>
      <c r="CE381" s="282">
        <f>CE385+CE386+CE387</f>
        <v>0</v>
      </c>
      <c r="CG381" s="282">
        <f>CG385+CG386+CG387</f>
        <v>0</v>
      </c>
      <c r="CH381" s="282">
        <f>CH385+CH386+CH387</f>
        <v>0</v>
      </c>
      <c r="CJ381" s="282">
        <f>CJ385+CJ386+CJ387</f>
        <v>0</v>
      </c>
      <c r="CK381" s="282">
        <f>CK385+CK386+CK387</f>
        <v>0</v>
      </c>
    </row>
    <row r="382" spans="1:89" ht="30" x14ac:dyDescent="0.25">
      <c r="A382" s="312"/>
      <c r="B382" s="312"/>
      <c r="C382" s="312" t="s">
        <v>1495</v>
      </c>
      <c r="D382" s="95"/>
      <c r="E382" s="282"/>
      <c r="F382" s="282"/>
      <c r="G382" s="282"/>
      <c r="H382" s="282">
        <v>1</v>
      </c>
      <c r="I382" s="282">
        <v>2</v>
      </c>
      <c r="J382" s="282">
        <v>2</v>
      </c>
      <c r="K382" s="282">
        <v>0</v>
      </c>
      <c r="L382" s="282">
        <v>0</v>
      </c>
      <c r="M382" s="282">
        <v>0</v>
      </c>
      <c r="N382" s="282">
        <v>0</v>
      </c>
      <c r="Q382" s="283">
        <f t="shared" ref="Q382:Q387" si="781">S382+V382+Y382+AB382+AE382+AH382+AK382+AN382+AQ382+AT382+AW382+AZ382+BC382+BF382+BI382+BL382+BO382+BR382+BU382+BX382+CA382+CD382+CG382+CJ382</f>
        <v>0</v>
      </c>
      <c r="R382" s="283">
        <f t="shared" ref="R382:R387" si="782">T382+W382+Z382+AC382+AF382+AI382+AL382+AO382+AR382+AU382+AX382+BA382+BD382+BG382+BJ382+BM382+BP382+BS382+BV382+BY382+CB382+CE382+CH382+CK382</f>
        <v>1</v>
      </c>
      <c r="S382" s="304">
        <v>0</v>
      </c>
      <c r="T382" s="304">
        <v>0</v>
      </c>
      <c r="U382" s="304"/>
      <c r="V382" s="304">
        <v>0</v>
      </c>
      <c r="W382" s="304">
        <v>0</v>
      </c>
      <c r="X382" s="304"/>
      <c r="Y382" s="304">
        <v>0</v>
      </c>
      <c r="Z382" s="304">
        <v>0</v>
      </c>
      <c r="AA382" s="304"/>
      <c r="AB382" s="304">
        <v>0</v>
      </c>
      <c r="AC382" s="304">
        <v>0</v>
      </c>
      <c r="AD382" s="304"/>
      <c r="AE382" s="304">
        <v>0</v>
      </c>
      <c r="AF382" s="304">
        <v>0</v>
      </c>
      <c r="AG382" s="304"/>
      <c r="AH382" s="304">
        <v>0</v>
      </c>
      <c r="AI382" s="304">
        <v>0</v>
      </c>
      <c r="AJ382" s="304"/>
      <c r="AK382" s="304">
        <v>0</v>
      </c>
      <c r="AL382" s="304">
        <v>0</v>
      </c>
      <c r="AM382" s="304"/>
      <c r="AN382" s="304">
        <v>0</v>
      </c>
      <c r="AO382" s="304">
        <v>0</v>
      </c>
      <c r="AP382" s="304"/>
      <c r="AQ382" s="304">
        <v>0</v>
      </c>
      <c r="AR382" s="304">
        <v>0</v>
      </c>
      <c r="AS382" s="304"/>
      <c r="AT382" s="304">
        <v>0</v>
      </c>
      <c r="AU382" s="304">
        <v>0</v>
      </c>
      <c r="AV382" s="304"/>
      <c r="AW382" s="304">
        <v>0</v>
      </c>
      <c r="AX382" s="304">
        <v>0</v>
      </c>
      <c r="AY382" s="304"/>
      <c r="AZ382" s="304">
        <v>0</v>
      </c>
      <c r="BA382" s="304">
        <v>0</v>
      </c>
      <c r="BB382" s="304"/>
      <c r="BC382" s="304">
        <v>0</v>
      </c>
      <c r="BD382" s="304">
        <v>0</v>
      </c>
      <c r="BE382" s="304"/>
      <c r="BF382" s="304">
        <v>0</v>
      </c>
      <c r="BG382" s="304">
        <v>1</v>
      </c>
      <c r="BH382" s="304"/>
      <c r="BI382" s="304">
        <v>0</v>
      </c>
      <c r="BJ382" s="304">
        <v>0</v>
      </c>
      <c r="BK382" s="304"/>
      <c r="BL382" s="304">
        <v>0</v>
      </c>
      <c r="BM382" s="304">
        <v>0</v>
      </c>
      <c r="BN382" s="304"/>
      <c r="BO382" s="304">
        <v>0</v>
      </c>
      <c r="BP382" s="304">
        <v>0</v>
      </c>
      <c r="BQ382" s="304"/>
      <c r="BR382" s="304">
        <v>0</v>
      </c>
      <c r="BS382" s="304">
        <v>0</v>
      </c>
      <c r="BT382" s="304"/>
      <c r="BU382" s="304">
        <v>0</v>
      </c>
      <c r="BV382" s="304">
        <v>0</v>
      </c>
      <c r="BW382" s="304"/>
      <c r="BX382" s="304">
        <v>0</v>
      </c>
      <c r="BY382" s="304">
        <v>0</v>
      </c>
      <c r="BZ382" s="304"/>
      <c r="CA382" s="304">
        <v>0</v>
      </c>
      <c r="CB382" s="304">
        <v>0</v>
      </c>
      <c r="CC382" s="304"/>
      <c r="CD382" s="304">
        <v>0</v>
      </c>
      <c r="CE382" s="304">
        <v>0</v>
      </c>
      <c r="CF382" s="304"/>
      <c r="CG382" s="304">
        <v>0</v>
      </c>
      <c r="CH382" s="304">
        <v>0</v>
      </c>
      <c r="CI382" s="304"/>
      <c r="CJ382" s="304">
        <v>0</v>
      </c>
      <c r="CK382" s="304">
        <v>0</v>
      </c>
    </row>
    <row r="383" spans="1:89" ht="30" x14ac:dyDescent="0.25">
      <c r="A383" s="312"/>
      <c r="B383" s="312"/>
      <c r="C383" s="312" t="s">
        <v>1496</v>
      </c>
      <c r="D383" s="95"/>
      <c r="E383" s="282"/>
      <c r="F383" s="282"/>
      <c r="G383" s="282"/>
      <c r="H383" s="282">
        <v>4</v>
      </c>
      <c r="I383" s="282">
        <v>5</v>
      </c>
      <c r="J383" s="282">
        <v>8</v>
      </c>
      <c r="K383" s="282">
        <v>6</v>
      </c>
      <c r="L383" s="282">
        <v>0</v>
      </c>
      <c r="M383" s="282">
        <v>0</v>
      </c>
      <c r="N383" s="282">
        <v>0</v>
      </c>
      <c r="Q383" s="283">
        <f t="shared" si="781"/>
        <v>6</v>
      </c>
      <c r="R383" s="283">
        <f t="shared" si="782"/>
        <v>5</v>
      </c>
      <c r="S383" s="304">
        <v>0</v>
      </c>
      <c r="T383" s="304">
        <v>0</v>
      </c>
      <c r="U383" s="304"/>
      <c r="V383" s="304">
        <v>0</v>
      </c>
      <c r="W383" s="304">
        <v>0</v>
      </c>
      <c r="X383" s="304"/>
      <c r="Y383" s="304">
        <v>0</v>
      </c>
      <c r="Z383" s="304">
        <v>0</v>
      </c>
      <c r="AA383" s="304"/>
      <c r="AB383" s="304">
        <v>0</v>
      </c>
      <c r="AC383" s="304">
        <v>0</v>
      </c>
      <c r="AD383" s="304"/>
      <c r="AE383" s="304">
        <v>0</v>
      </c>
      <c r="AF383" s="304">
        <v>0</v>
      </c>
      <c r="AG383" s="304"/>
      <c r="AH383" s="304">
        <v>0</v>
      </c>
      <c r="AI383" s="304">
        <v>0</v>
      </c>
      <c r="AJ383" s="304"/>
      <c r="AK383" s="304">
        <v>0</v>
      </c>
      <c r="AL383" s="304">
        <v>0</v>
      </c>
      <c r="AM383" s="304"/>
      <c r="AN383" s="304">
        <v>0</v>
      </c>
      <c r="AO383" s="304">
        <v>0</v>
      </c>
      <c r="AP383" s="304"/>
      <c r="AQ383" s="304">
        <v>0</v>
      </c>
      <c r="AR383" s="304">
        <v>0</v>
      </c>
      <c r="AS383" s="304"/>
      <c r="AT383" s="304">
        <v>0</v>
      </c>
      <c r="AU383" s="304">
        <v>0</v>
      </c>
      <c r="AV383" s="304"/>
      <c r="AW383" s="304">
        <v>0</v>
      </c>
      <c r="AX383" s="304">
        <v>0</v>
      </c>
      <c r="AY383" s="304"/>
      <c r="AZ383" s="304">
        <v>0</v>
      </c>
      <c r="BA383" s="304">
        <v>0</v>
      </c>
      <c r="BB383" s="304"/>
      <c r="BC383" s="304">
        <v>1</v>
      </c>
      <c r="BD383" s="304">
        <v>1</v>
      </c>
      <c r="BE383" s="304"/>
      <c r="BF383" s="304">
        <v>0</v>
      </c>
      <c r="BG383" s="304">
        <v>0</v>
      </c>
      <c r="BH383" s="304"/>
      <c r="BI383" s="304">
        <v>4</v>
      </c>
      <c r="BJ383" s="304">
        <v>3</v>
      </c>
      <c r="BK383" s="304"/>
      <c r="BL383" s="304">
        <v>0</v>
      </c>
      <c r="BM383" s="304">
        <v>0</v>
      </c>
      <c r="BN383" s="304"/>
      <c r="BO383" s="304">
        <v>0</v>
      </c>
      <c r="BP383" s="304">
        <v>0</v>
      </c>
      <c r="BQ383" s="304"/>
      <c r="BR383" s="304">
        <v>0</v>
      </c>
      <c r="BS383" s="304">
        <v>0</v>
      </c>
      <c r="BT383" s="304"/>
      <c r="BU383" s="304">
        <v>0</v>
      </c>
      <c r="BV383" s="304">
        <v>0</v>
      </c>
      <c r="BW383" s="304"/>
      <c r="BX383" s="304">
        <v>0</v>
      </c>
      <c r="BY383" s="304">
        <v>0</v>
      </c>
      <c r="BZ383" s="304"/>
      <c r="CA383" s="304">
        <v>0</v>
      </c>
      <c r="CB383" s="304">
        <v>0</v>
      </c>
      <c r="CC383" s="304"/>
      <c r="CD383" s="304">
        <v>1</v>
      </c>
      <c r="CE383" s="304">
        <v>1</v>
      </c>
      <c r="CF383" s="304"/>
      <c r="CG383" s="304">
        <v>0</v>
      </c>
      <c r="CH383" s="304">
        <v>0</v>
      </c>
      <c r="CI383" s="304"/>
      <c r="CJ383" s="304">
        <v>0</v>
      </c>
      <c r="CK383" s="304">
        <v>0</v>
      </c>
    </row>
    <row r="384" spans="1:89" ht="30" x14ac:dyDescent="0.25">
      <c r="A384" s="312"/>
      <c r="B384" s="312"/>
      <c r="C384" s="312" t="s">
        <v>1497</v>
      </c>
      <c r="D384" s="95"/>
      <c r="E384" s="282"/>
      <c r="F384" s="282"/>
      <c r="G384" s="282"/>
      <c r="H384" s="282">
        <v>4</v>
      </c>
      <c r="I384" s="282">
        <v>7</v>
      </c>
      <c r="J384" s="282">
        <v>5</v>
      </c>
      <c r="K384" s="282">
        <v>3</v>
      </c>
      <c r="L384" s="282">
        <v>0</v>
      </c>
      <c r="M384" s="282">
        <v>0</v>
      </c>
      <c r="N384" s="282">
        <v>0</v>
      </c>
      <c r="Q384" s="283">
        <f t="shared" si="781"/>
        <v>3</v>
      </c>
      <c r="R384" s="283">
        <f t="shared" si="782"/>
        <v>2</v>
      </c>
      <c r="S384" s="304">
        <v>0</v>
      </c>
      <c r="T384" s="304">
        <v>0</v>
      </c>
      <c r="U384" s="304"/>
      <c r="V384" s="304">
        <v>0</v>
      </c>
      <c r="W384" s="304">
        <v>0</v>
      </c>
      <c r="X384" s="304"/>
      <c r="Y384" s="304">
        <v>0</v>
      </c>
      <c r="Z384" s="304">
        <v>0</v>
      </c>
      <c r="AA384" s="304"/>
      <c r="AB384" s="304">
        <v>0</v>
      </c>
      <c r="AC384" s="304">
        <v>0</v>
      </c>
      <c r="AD384" s="304"/>
      <c r="AE384" s="304">
        <v>0</v>
      </c>
      <c r="AF384" s="304">
        <v>0</v>
      </c>
      <c r="AG384" s="304"/>
      <c r="AH384" s="304">
        <v>0</v>
      </c>
      <c r="AI384" s="304">
        <v>0</v>
      </c>
      <c r="AJ384" s="304"/>
      <c r="AK384" s="304">
        <v>0</v>
      </c>
      <c r="AL384" s="304">
        <v>0</v>
      </c>
      <c r="AM384" s="304"/>
      <c r="AN384" s="304">
        <v>0</v>
      </c>
      <c r="AO384" s="304">
        <v>0</v>
      </c>
      <c r="AP384" s="304"/>
      <c r="AQ384" s="304">
        <v>0</v>
      </c>
      <c r="AR384" s="304">
        <v>0</v>
      </c>
      <c r="AS384" s="304"/>
      <c r="AT384" s="304">
        <v>0</v>
      </c>
      <c r="AU384" s="304">
        <v>0</v>
      </c>
      <c r="AV384" s="304"/>
      <c r="AW384" s="304">
        <v>0</v>
      </c>
      <c r="AX384" s="304">
        <v>0</v>
      </c>
      <c r="AY384" s="304"/>
      <c r="AZ384" s="304">
        <v>0</v>
      </c>
      <c r="BA384" s="304">
        <v>0</v>
      </c>
      <c r="BB384" s="304"/>
      <c r="BC384" s="304">
        <v>0</v>
      </c>
      <c r="BD384" s="304">
        <v>0</v>
      </c>
      <c r="BE384" s="304"/>
      <c r="BF384" s="304">
        <v>2</v>
      </c>
      <c r="BG384" s="304">
        <v>2</v>
      </c>
      <c r="BH384" s="304"/>
      <c r="BI384" s="304">
        <v>0</v>
      </c>
      <c r="BJ384" s="304">
        <v>0</v>
      </c>
      <c r="BK384" s="304"/>
      <c r="BL384" s="304">
        <v>0</v>
      </c>
      <c r="BM384" s="304">
        <v>0</v>
      </c>
      <c r="BN384" s="304"/>
      <c r="BO384" s="304">
        <v>0</v>
      </c>
      <c r="BP384" s="304">
        <v>0</v>
      </c>
      <c r="BQ384" s="304"/>
      <c r="BR384" s="304">
        <v>0</v>
      </c>
      <c r="BS384" s="304">
        <v>0</v>
      </c>
      <c r="BT384" s="304"/>
      <c r="BU384" s="304">
        <v>0</v>
      </c>
      <c r="BV384" s="304">
        <v>0</v>
      </c>
      <c r="BW384" s="304"/>
      <c r="BX384" s="304">
        <v>0</v>
      </c>
      <c r="BY384" s="304">
        <v>0</v>
      </c>
      <c r="BZ384" s="304"/>
      <c r="CA384" s="304">
        <v>0</v>
      </c>
      <c r="CB384" s="304">
        <v>0</v>
      </c>
      <c r="CC384" s="304"/>
      <c r="CD384" s="304">
        <v>1</v>
      </c>
      <c r="CE384" s="304">
        <v>0</v>
      </c>
      <c r="CF384" s="304"/>
      <c r="CG384" s="304">
        <v>0</v>
      </c>
      <c r="CH384" s="304">
        <v>0</v>
      </c>
      <c r="CI384" s="304"/>
      <c r="CJ384" s="304">
        <v>0</v>
      </c>
      <c r="CK384" s="304">
        <v>0</v>
      </c>
    </row>
    <row r="385" spans="1:89" ht="30" x14ac:dyDescent="0.25">
      <c r="A385" s="312"/>
      <c r="B385" s="312"/>
      <c r="C385" s="312" t="s">
        <v>1495</v>
      </c>
      <c r="D385" s="95"/>
      <c r="E385" s="282"/>
      <c r="F385" s="282"/>
      <c r="G385" s="282"/>
      <c r="H385" s="282">
        <v>0</v>
      </c>
      <c r="I385" s="282">
        <v>0</v>
      </c>
      <c r="J385" s="282">
        <v>0</v>
      </c>
      <c r="K385" s="282">
        <v>0</v>
      </c>
      <c r="L385" s="282">
        <v>0</v>
      </c>
      <c r="M385" s="282">
        <v>0</v>
      </c>
      <c r="N385" s="282">
        <v>0</v>
      </c>
      <c r="Q385" s="283">
        <f t="shared" si="781"/>
        <v>0</v>
      </c>
      <c r="R385" s="283">
        <f t="shared" si="782"/>
        <v>0</v>
      </c>
      <c r="S385" s="304">
        <v>0</v>
      </c>
      <c r="T385" s="304">
        <v>0</v>
      </c>
      <c r="U385" s="304"/>
      <c r="V385" s="304">
        <v>0</v>
      </c>
      <c r="W385" s="304">
        <v>0</v>
      </c>
      <c r="X385" s="304"/>
      <c r="Y385" s="304">
        <v>0</v>
      </c>
      <c r="Z385" s="304">
        <v>0</v>
      </c>
      <c r="AA385" s="304"/>
      <c r="AB385" s="304">
        <v>0</v>
      </c>
      <c r="AC385" s="304">
        <v>0</v>
      </c>
      <c r="AD385" s="304"/>
      <c r="AE385" s="304">
        <v>0</v>
      </c>
      <c r="AF385" s="304">
        <v>0</v>
      </c>
      <c r="AG385" s="304"/>
      <c r="AH385" s="304">
        <v>0</v>
      </c>
      <c r="AI385" s="304">
        <v>0</v>
      </c>
      <c r="AJ385" s="304"/>
      <c r="AK385" s="304">
        <v>0</v>
      </c>
      <c r="AL385" s="304">
        <v>0</v>
      </c>
      <c r="AM385" s="304"/>
      <c r="AN385" s="304">
        <v>0</v>
      </c>
      <c r="AO385" s="304">
        <v>0</v>
      </c>
      <c r="AP385" s="304"/>
      <c r="AQ385" s="304">
        <v>0</v>
      </c>
      <c r="AR385" s="304">
        <v>0</v>
      </c>
      <c r="AS385" s="304"/>
      <c r="AT385" s="304">
        <v>0</v>
      </c>
      <c r="AU385" s="304">
        <v>0</v>
      </c>
      <c r="AV385" s="304"/>
      <c r="AW385" s="304">
        <v>0</v>
      </c>
      <c r="AX385" s="304">
        <v>0</v>
      </c>
      <c r="AY385" s="304"/>
      <c r="AZ385" s="304">
        <v>0</v>
      </c>
      <c r="BA385" s="304">
        <v>0</v>
      </c>
      <c r="BB385" s="304"/>
      <c r="BC385" s="304">
        <v>0</v>
      </c>
      <c r="BD385" s="304"/>
      <c r="BE385" s="304"/>
      <c r="BF385" s="304">
        <v>0</v>
      </c>
      <c r="BG385" s="304"/>
      <c r="BH385" s="304"/>
      <c r="BI385" s="304">
        <v>0</v>
      </c>
      <c r="BJ385" s="304"/>
      <c r="BK385" s="304"/>
      <c r="BL385" s="304">
        <v>0</v>
      </c>
      <c r="BM385" s="304">
        <v>0</v>
      </c>
      <c r="BN385" s="304"/>
      <c r="BO385" s="304">
        <v>0</v>
      </c>
      <c r="BP385" s="304">
        <v>0</v>
      </c>
      <c r="BQ385" s="304"/>
      <c r="BR385" s="304">
        <v>0</v>
      </c>
      <c r="BS385" s="304">
        <v>0</v>
      </c>
      <c r="BT385" s="304"/>
      <c r="BU385" s="304">
        <v>0</v>
      </c>
      <c r="BV385" s="304">
        <v>0</v>
      </c>
      <c r="BW385" s="304"/>
      <c r="BX385" s="304">
        <v>0</v>
      </c>
      <c r="BY385" s="304">
        <v>0</v>
      </c>
      <c r="BZ385" s="304"/>
      <c r="CA385" s="304">
        <v>0</v>
      </c>
      <c r="CB385" s="304">
        <v>0</v>
      </c>
      <c r="CC385" s="304"/>
      <c r="CD385" s="304">
        <v>0</v>
      </c>
      <c r="CE385" s="304"/>
      <c r="CF385" s="304"/>
      <c r="CG385" s="304">
        <v>0</v>
      </c>
      <c r="CH385" s="304">
        <v>0</v>
      </c>
      <c r="CI385" s="304"/>
      <c r="CJ385" s="304">
        <v>0</v>
      </c>
      <c r="CK385" s="304">
        <v>0</v>
      </c>
    </row>
    <row r="386" spans="1:89" ht="30" x14ac:dyDescent="0.25">
      <c r="A386" s="312"/>
      <c r="B386" s="312"/>
      <c r="C386" s="312" t="s">
        <v>1496</v>
      </c>
      <c r="D386" s="95"/>
      <c r="E386" s="282"/>
      <c r="F386" s="282"/>
      <c r="G386" s="282"/>
      <c r="H386" s="282">
        <v>0</v>
      </c>
      <c r="I386" s="282">
        <v>0</v>
      </c>
      <c r="J386" s="282">
        <v>0</v>
      </c>
      <c r="K386" s="282">
        <v>0</v>
      </c>
      <c r="L386" s="282">
        <v>0</v>
      </c>
      <c r="M386" s="282">
        <v>0</v>
      </c>
      <c r="N386" s="282">
        <v>0</v>
      </c>
      <c r="Q386" s="283">
        <f t="shared" si="781"/>
        <v>0</v>
      </c>
      <c r="R386" s="283">
        <f t="shared" si="782"/>
        <v>0</v>
      </c>
      <c r="S386" s="304">
        <v>0</v>
      </c>
      <c r="T386" s="304">
        <v>0</v>
      </c>
      <c r="U386" s="304"/>
      <c r="V386" s="304">
        <v>0</v>
      </c>
      <c r="W386" s="304">
        <v>0</v>
      </c>
      <c r="X386" s="304"/>
      <c r="Y386" s="304">
        <v>0</v>
      </c>
      <c r="Z386" s="304">
        <v>0</v>
      </c>
      <c r="AA386" s="304"/>
      <c r="AB386" s="304">
        <v>0</v>
      </c>
      <c r="AC386" s="304">
        <v>0</v>
      </c>
      <c r="AD386" s="304"/>
      <c r="AE386" s="304">
        <v>0</v>
      </c>
      <c r="AF386" s="304">
        <v>0</v>
      </c>
      <c r="AG386" s="304"/>
      <c r="AH386" s="304">
        <v>0</v>
      </c>
      <c r="AI386" s="304">
        <v>0</v>
      </c>
      <c r="AJ386" s="304"/>
      <c r="AK386" s="304">
        <v>0</v>
      </c>
      <c r="AL386" s="304">
        <v>0</v>
      </c>
      <c r="AM386" s="304"/>
      <c r="AN386" s="304">
        <v>0</v>
      </c>
      <c r="AO386" s="304">
        <v>0</v>
      </c>
      <c r="AP386" s="304"/>
      <c r="AQ386" s="304">
        <v>0</v>
      </c>
      <c r="AR386" s="304">
        <v>0</v>
      </c>
      <c r="AS386" s="304"/>
      <c r="AT386" s="304">
        <v>0</v>
      </c>
      <c r="AU386" s="304">
        <v>0</v>
      </c>
      <c r="AV386" s="304"/>
      <c r="AW386" s="304">
        <v>0</v>
      </c>
      <c r="AX386" s="304">
        <v>0</v>
      </c>
      <c r="AY386" s="304"/>
      <c r="AZ386" s="304">
        <v>0</v>
      </c>
      <c r="BA386" s="304">
        <v>0</v>
      </c>
      <c r="BB386" s="304"/>
      <c r="BC386" s="304">
        <v>0</v>
      </c>
      <c r="BD386" s="304"/>
      <c r="BE386" s="304"/>
      <c r="BF386" s="304">
        <v>0</v>
      </c>
      <c r="BG386" s="304"/>
      <c r="BH386" s="304"/>
      <c r="BI386" s="304">
        <v>0</v>
      </c>
      <c r="BJ386" s="304"/>
      <c r="BK386" s="304"/>
      <c r="BL386" s="304">
        <v>0</v>
      </c>
      <c r="BM386" s="304">
        <v>0</v>
      </c>
      <c r="BN386" s="304"/>
      <c r="BO386" s="304">
        <v>0</v>
      </c>
      <c r="BP386" s="304">
        <v>0</v>
      </c>
      <c r="BQ386" s="304"/>
      <c r="BR386" s="304">
        <v>0</v>
      </c>
      <c r="BS386" s="304">
        <v>0</v>
      </c>
      <c r="BT386" s="304"/>
      <c r="BU386" s="304">
        <v>0</v>
      </c>
      <c r="BV386" s="304">
        <v>0</v>
      </c>
      <c r="BW386" s="304"/>
      <c r="BX386" s="304">
        <v>0</v>
      </c>
      <c r="BY386" s="304">
        <v>0</v>
      </c>
      <c r="BZ386" s="304"/>
      <c r="CA386" s="304">
        <v>0</v>
      </c>
      <c r="CB386" s="304">
        <v>0</v>
      </c>
      <c r="CC386" s="304"/>
      <c r="CD386" s="304">
        <v>0</v>
      </c>
      <c r="CE386" s="304"/>
      <c r="CF386" s="304"/>
      <c r="CG386" s="304">
        <v>0</v>
      </c>
      <c r="CH386" s="304">
        <v>0</v>
      </c>
      <c r="CI386" s="304"/>
      <c r="CJ386" s="304">
        <v>0</v>
      </c>
      <c r="CK386" s="304">
        <v>0</v>
      </c>
    </row>
    <row r="387" spans="1:89" ht="30" x14ac:dyDescent="0.25">
      <c r="A387" s="312"/>
      <c r="B387" s="312"/>
      <c r="C387" s="312" t="s">
        <v>1497</v>
      </c>
      <c r="D387" s="95"/>
      <c r="E387" s="282"/>
      <c r="F387" s="282"/>
      <c r="G387" s="282"/>
      <c r="H387" s="282">
        <v>0</v>
      </c>
      <c r="I387" s="282">
        <v>0</v>
      </c>
      <c r="J387" s="282">
        <v>0</v>
      </c>
      <c r="K387" s="282">
        <v>0</v>
      </c>
      <c r="L387" s="282">
        <v>0</v>
      </c>
      <c r="M387" s="282">
        <v>0</v>
      </c>
      <c r="N387" s="282">
        <v>0</v>
      </c>
      <c r="Q387" s="283">
        <f t="shared" si="781"/>
        <v>0</v>
      </c>
      <c r="R387" s="283">
        <f t="shared" si="782"/>
        <v>0</v>
      </c>
      <c r="S387" s="304">
        <v>0</v>
      </c>
      <c r="T387" s="304">
        <v>0</v>
      </c>
      <c r="U387" s="304"/>
      <c r="V387" s="304">
        <v>0</v>
      </c>
      <c r="W387" s="304">
        <v>0</v>
      </c>
      <c r="X387" s="304"/>
      <c r="Y387" s="304">
        <v>0</v>
      </c>
      <c r="Z387" s="304">
        <v>0</v>
      </c>
      <c r="AA387" s="304"/>
      <c r="AB387" s="304">
        <v>0</v>
      </c>
      <c r="AC387" s="304">
        <v>0</v>
      </c>
      <c r="AD387" s="304"/>
      <c r="AE387" s="304">
        <v>0</v>
      </c>
      <c r="AF387" s="304">
        <v>0</v>
      </c>
      <c r="AG387" s="304"/>
      <c r="AH387" s="304">
        <v>0</v>
      </c>
      <c r="AI387" s="304">
        <v>0</v>
      </c>
      <c r="AJ387" s="304"/>
      <c r="AK387" s="304">
        <v>0</v>
      </c>
      <c r="AL387" s="304">
        <v>0</v>
      </c>
      <c r="AM387" s="304"/>
      <c r="AN387" s="304">
        <v>0</v>
      </c>
      <c r="AO387" s="304">
        <v>0</v>
      </c>
      <c r="AP387" s="304"/>
      <c r="AQ387" s="304">
        <v>0</v>
      </c>
      <c r="AR387" s="304">
        <v>0</v>
      </c>
      <c r="AS387" s="304"/>
      <c r="AT387" s="304">
        <v>0</v>
      </c>
      <c r="AU387" s="304">
        <v>0</v>
      </c>
      <c r="AV387" s="304"/>
      <c r="AW387" s="304">
        <v>0</v>
      </c>
      <c r="AX387" s="304">
        <v>0</v>
      </c>
      <c r="AY387" s="304"/>
      <c r="AZ387" s="304">
        <v>0</v>
      </c>
      <c r="BA387" s="304">
        <v>0</v>
      </c>
      <c r="BB387" s="304"/>
      <c r="BC387" s="304">
        <v>0</v>
      </c>
      <c r="BD387" s="304"/>
      <c r="BE387" s="304"/>
      <c r="BF387" s="304">
        <v>0</v>
      </c>
      <c r="BG387" s="304"/>
      <c r="BH387" s="304"/>
      <c r="BI387" s="304">
        <v>0</v>
      </c>
      <c r="BJ387" s="304"/>
      <c r="BK387" s="304"/>
      <c r="BL387" s="304">
        <v>0</v>
      </c>
      <c r="BM387" s="304">
        <v>0</v>
      </c>
      <c r="BN387" s="304"/>
      <c r="BO387" s="304">
        <v>0</v>
      </c>
      <c r="BP387" s="304">
        <v>0</v>
      </c>
      <c r="BQ387" s="304"/>
      <c r="BR387" s="304">
        <v>0</v>
      </c>
      <c r="BS387" s="304">
        <v>0</v>
      </c>
      <c r="BT387" s="304"/>
      <c r="BU387" s="304">
        <v>0</v>
      </c>
      <c r="BV387" s="304">
        <v>0</v>
      </c>
      <c r="BW387" s="304"/>
      <c r="BX387" s="304">
        <v>0</v>
      </c>
      <c r="BY387" s="304">
        <v>0</v>
      </c>
      <c r="BZ387" s="304"/>
      <c r="CA387" s="304">
        <v>0</v>
      </c>
      <c r="CB387" s="304">
        <v>0</v>
      </c>
      <c r="CC387" s="304"/>
      <c r="CD387" s="304">
        <v>0</v>
      </c>
      <c r="CE387" s="304"/>
      <c r="CF387" s="304"/>
      <c r="CG387" s="304">
        <v>0</v>
      </c>
      <c r="CH387" s="304">
        <v>0</v>
      </c>
      <c r="CI387" s="304"/>
      <c r="CJ387" s="304">
        <v>0</v>
      </c>
      <c r="CK387" s="304">
        <v>0</v>
      </c>
    </row>
    <row r="388" spans="1:89" ht="30" x14ac:dyDescent="0.25">
      <c r="A388" s="419"/>
      <c r="B388" s="419" t="s">
        <v>167</v>
      </c>
      <c r="C388" s="95" t="s">
        <v>168</v>
      </c>
      <c r="D388" s="95" t="s">
        <v>950</v>
      </c>
      <c r="E388" s="282">
        <v>87</v>
      </c>
      <c r="F388" s="282">
        <v>85</v>
      </c>
      <c r="G388" s="282">
        <v>90</v>
      </c>
      <c r="H388" s="282">
        <f t="shared" ref="H388:J389" si="783">H390</f>
        <v>64</v>
      </c>
      <c r="I388" s="282">
        <f t="shared" si="783"/>
        <v>70</v>
      </c>
      <c r="J388" s="282">
        <f t="shared" si="783"/>
        <v>73</v>
      </c>
      <c r="K388" s="282">
        <f>K390</f>
        <v>68</v>
      </c>
      <c r="L388" s="282">
        <f>L390</f>
        <v>0</v>
      </c>
      <c r="M388" s="282">
        <f t="shared" ref="M388:N389" si="784">M390</f>
        <v>0</v>
      </c>
      <c r="N388" s="282">
        <f t="shared" si="784"/>
        <v>0</v>
      </c>
      <c r="Q388" s="282">
        <f t="shared" ref="Q388:T389" si="785">Q390</f>
        <v>68</v>
      </c>
      <c r="R388" s="282">
        <f t="shared" si="785"/>
        <v>68</v>
      </c>
      <c r="S388" s="282">
        <f t="shared" si="785"/>
        <v>0</v>
      </c>
      <c r="T388" s="282">
        <f t="shared" si="785"/>
        <v>0</v>
      </c>
      <c r="V388" s="282">
        <f>V390</f>
        <v>0</v>
      </c>
      <c r="W388" s="282">
        <f>W390</f>
        <v>0</v>
      </c>
      <c r="Y388" s="282">
        <f>Y390</f>
        <v>0</v>
      </c>
      <c r="Z388" s="282">
        <f>Z390</f>
        <v>0</v>
      </c>
      <c r="AB388" s="282">
        <f>AB390</f>
        <v>0</v>
      </c>
      <c r="AC388" s="282">
        <f>AC390</f>
        <v>0</v>
      </c>
      <c r="AE388" s="282">
        <f>AE390</f>
        <v>0</v>
      </c>
      <c r="AF388" s="282">
        <f>AF390</f>
        <v>0</v>
      </c>
      <c r="AH388" s="282">
        <f>AH390</f>
        <v>0</v>
      </c>
      <c r="AI388" s="282">
        <f>AI390</f>
        <v>0</v>
      </c>
      <c r="AK388" s="282">
        <f>AK390</f>
        <v>0</v>
      </c>
      <c r="AL388" s="282">
        <f>AL390</f>
        <v>0</v>
      </c>
      <c r="AN388" s="282">
        <f>AN390</f>
        <v>0</v>
      </c>
      <c r="AO388" s="282">
        <f>AO390</f>
        <v>0</v>
      </c>
      <c r="AQ388" s="282">
        <f>AQ390</f>
        <v>0</v>
      </c>
      <c r="AR388" s="282">
        <f>AR390</f>
        <v>0</v>
      </c>
      <c r="AT388" s="282">
        <f>AT390</f>
        <v>0</v>
      </c>
      <c r="AU388" s="282">
        <f>AU390</f>
        <v>0</v>
      </c>
      <c r="AW388" s="282">
        <f>AW390</f>
        <v>0</v>
      </c>
      <c r="AX388" s="282">
        <f>AX390</f>
        <v>0</v>
      </c>
      <c r="AZ388" s="282">
        <f>AZ390</f>
        <v>0</v>
      </c>
      <c r="BA388" s="282">
        <f>BA390</f>
        <v>0</v>
      </c>
      <c r="BC388" s="282">
        <f>BC390</f>
        <v>13</v>
      </c>
      <c r="BD388" s="282">
        <f>BD390</f>
        <v>13</v>
      </c>
      <c r="BF388" s="282">
        <f>BF390</f>
        <v>11</v>
      </c>
      <c r="BG388" s="282">
        <f>BG390</f>
        <v>11</v>
      </c>
      <c r="BI388" s="282">
        <f>BI390</f>
        <v>30</v>
      </c>
      <c r="BJ388" s="282">
        <f>BJ390</f>
        <v>29</v>
      </c>
      <c r="BL388" s="282">
        <f>BL390</f>
        <v>0</v>
      </c>
      <c r="BM388" s="282">
        <f>BM390</f>
        <v>0</v>
      </c>
      <c r="BO388" s="282">
        <f>BO390</f>
        <v>0</v>
      </c>
      <c r="BP388" s="282">
        <f>BP390</f>
        <v>0</v>
      </c>
      <c r="BR388" s="282">
        <f>BR390</f>
        <v>0</v>
      </c>
      <c r="BS388" s="282">
        <f>BS390</f>
        <v>0</v>
      </c>
      <c r="BU388" s="282">
        <f>BU390</f>
        <v>0</v>
      </c>
      <c r="BV388" s="282">
        <f>BV390</f>
        <v>0</v>
      </c>
      <c r="BX388" s="282">
        <f>BX390</f>
        <v>0</v>
      </c>
      <c r="BY388" s="282">
        <f>BY390</f>
        <v>0</v>
      </c>
      <c r="CA388" s="282">
        <f>CA390</f>
        <v>0</v>
      </c>
      <c r="CB388" s="282">
        <f>CB390</f>
        <v>0</v>
      </c>
      <c r="CD388" s="282">
        <f>CD390</f>
        <v>14</v>
      </c>
      <c r="CE388" s="282">
        <f>CE390</f>
        <v>15</v>
      </c>
      <c r="CG388" s="282">
        <f>CG390</f>
        <v>0</v>
      </c>
      <c r="CH388" s="282">
        <f>CH390</f>
        <v>0</v>
      </c>
      <c r="CJ388" s="282">
        <f>CJ390</f>
        <v>0</v>
      </c>
      <c r="CK388" s="282">
        <f>CK390</f>
        <v>0</v>
      </c>
    </row>
    <row r="389" spans="1:89" ht="30" x14ac:dyDescent="0.25">
      <c r="A389" s="421"/>
      <c r="B389" s="421"/>
      <c r="C389" s="95" t="s">
        <v>169</v>
      </c>
      <c r="D389" s="95" t="s">
        <v>950</v>
      </c>
      <c r="E389" s="282">
        <v>0</v>
      </c>
      <c r="F389" s="282">
        <v>0</v>
      </c>
      <c r="G389" s="282">
        <v>0</v>
      </c>
      <c r="H389" s="282">
        <f t="shared" si="783"/>
        <v>0</v>
      </c>
      <c r="I389" s="282">
        <f t="shared" si="783"/>
        <v>0</v>
      </c>
      <c r="J389" s="282">
        <f t="shared" si="783"/>
        <v>0</v>
      </c>
      <c r="K389" s="282">
        <f>K391</f>
        <v>0</v>
      </c>
      <c r="L389" s="282">
        <f>L391</f>
        <v>0</v>
      </c>
      <c r="M389" s="282">
        <f t="shared" si="784"/>
        <v>0</v>
      </c>
      <c r="N389" s="282">
        <f t="shared" si="784"/>
        <v>0</v>
      </c>
      <c r="Q389" s="282">
        <f t="shared" si="785"/>
        <v>0</v>
      </c>
      <c r="R389" s="282">
        <f t="shared" si="785"/>
        <v>0</v>
      </c>
      <c r="S389" s="282">
        <f t="shared" si="785"/>
        <v>0</v>
      </c>
      <c r="T389" s="282">
        <f t="shared" si="785"/>
        <v>0</v>
      </c>
      <c r="V389" s="282">
        <f>V391</f>
        <v>0</v>
      </c>
      <c r="W389" s="282">
        <f>W391</f>
        <v>0</v>
      </c>
      <c r="Y389" s="282">
        <f>Y391</f>
        <v>0</v>
      </c>
      <c r="Z389" s="282">
        <f>Z391</f>
        <v>0</v>
      </c>
      <c r="AB389" s="282">
        <f>AB391</f>
        <v>0</v>
      </c>
      <c r="AC389" s="282">
        <f>AC391</f>
        <v>0</v>
      </c>
      <c r="AE389" s="282">
        <f>AE391</f>
        <v>0</v>
      </c>
      <c r="AF389" s="282">
        <f>AF391</f>
        <v>0</v>
      </c>
      <c r="AH389" s="282">
        <f>AH391</f>
        <v>0</v>
      </c>
      <c r="AI389" s="282">
        <f>AI391</f>
        <v>0</v>
      </c>
      <c r="AK389" s="282">
        <f>AK391</f>
        <v>0</v>
      </c>
      <c r="AL389" s="282">
        <f>AL391</f>
        <v>0</v>
      </c>
      <c r="AN389" s="282">
        <f>AN391</f>
        <v>0</v>
      </c>
      <c r="AO389" s="282">
        <f>AO391</f>
        <v>0</v>
      </c>
      <c r="AQ389" s="282">
        <f>AQ391</f>
        <v>0</v>
      </c>
      <c r="AR389" s="282">
        <f>AR391</f>
        <v>0</v>
      </c>
      <c r="AT389" s="282">
        <f>AT391</f>
        <v>0</v>
      </c>
      <c r="AU389" s="282">
        <f>AU391</f>
        <v>0</v>
      </c>
      <c r="AW389" s="282">
        <f>AW391</f>
        <v>0</v>
      </c>
      <c r="AX389" s="282">
        <f>AX391</f>
        <v>0</v>
      </c>
      <c r="AZ389" s="282">
        <f>AZ391</f>
        <v>0</v>
      </c>
      <c r="BA389" s="282">
        <f>BA391</f>
        <v>0</v>
      </c>
      <c r="BC389" s="282">
        <f>BC391</f>
        <v>0</v>
      </c>
      <c r="BD389" s="282">
        <f>BD391</f>
        <v>0</v>
      </c>
      <c r="BF389" s="282">
        <f>BF391</f>
        <v>0</v>
      </c>
      <c r="BG389" s="282">
        <f>BG391</f>
        <v>0</v>
      </c>
      <c r="BI389" s="282">
        <f>BI391</f>
        <v>0</v>
      </c>
      <c r="BJ389" s="282">
        <f>BJ391</f>
        <v>0</v>
      </c>
      <c r="BL389" s="282">
        <f>BL391</f>
        <v>0</v>
      </c>
      <c r="BM389" s="282">
        <f>BM391</f>
        <v>0</v>
      </c>
      <c r="BO389" s="282">
        <f>BO391</f>
        <v>0</v>
      </c>
      <c r="BP389" s="282">
        <f>BP391</f>
        <v>0</v>
      </c>
      <c r="BR389" s="282">
        <f>BR391</f>
        <v>0</v>
      </c>
      <c r="BS389" s="282">
        <f>BS391</f>
        <v>0</v>
      </c>
      <c r="BU389" s="282">
        <f>BU391</f>
        <v>0</v>
      </c>
      <c r="BV389" s="282">
        <f>BV391</f>
        <v>0</v>
      </c>
      <c r="BX389" s="282">
        <f>BX391</f>
        <v>0</v>
      </c>
      <c r="BY389" s="282">
        <f>BY391</f>
        <v>0</v>
      </c>
      <c r="CA389" s="282">
        <f>CA391</f>
        <v>0</v>
      </c>
      <c r="CB389" s="282">
        <f>CB391</f>
        <v>0</v>
      </c>
      <c r="CD389" s="282">
        <f>CD391</f>
        <v>0</v>
      </c>
      <c r="CE389" s="282">
        <f>CE391</f>
        <v>0</v>
      </c>
      <c r="CG389" s="282">
        <f>CG391</f>
        <v>0</v>
      </c>
      <c r="CH389" s="282">
        <f>CH391</f>
        <v>0</v>
      </c>
      <c r="CJ389" s="282">
        <f>CJ391</f>
        <v>0</v>
      </c>
      <c r="CK389" s="282">
        <f>CK391</f>
        <v>0</v>
      </c>
    </row>
    <row r="390" spans="1:89" ht="30" x14ac:dyDescent="0.25">
      <c r="A390" s="262"/>
      <c r="B390" s="312"/>
      <c r="C390" s="312" t="s">
        <v>1498</v>
      </c>
      <c r="D390" s="95"/>
      <c r="E390" s="282"/>
      <c r="F390" s="282"/>
      <c r="G390" s="282"/>
      <c r="H390" s="282">
        <v>64</v>
      </c>
      <c r="I390" s="282">
        <v>70</v>
      </c>
      <c r="J390" s="282">
        <v>73</v>
      </c>
      <c r="K390" s="282">
        <v>68</v>
      </c>
      <c r="L390" s="282">
        <v>0</v>
      </c>
      <c r="M390" s="282">
        <v>0</v>
      </c>
      <c r="N390" s="282">
        <v>0</v>
      </c>
      <c r="Q390" s="283">
        <f>S390+V390+Y390+AB390+AE390+AH390+AK390+AN390+AQ390+AT390+AW390+AZ390+BC390+BF390+BI390+BL390+BO390+BR390+BU390+BX390+CA390+CD390+CG390+CJ390</f>
        <v>68</v>
      </c>
      <c r="R390" s="283">
        <f>T390+W390+Z390+AC390+AF390+AI390+AL390+AO390+AR390+AU390+AX390+BA390+BD390+BG390+BJ390+BM390+BP390+BS390+BV390+BY390+CB390+CE390+CH390+CK390</f>
        <v>68</v>
      </c>
      <c r="S390" s="304">
        <v>0</v>
      </c>
      <c r="T390" s="304">
        <v>0</v>
      </c>
      <c r="U390" s="304"/>
      <c r="V390" s="304">
        <v>0</v>
      </c>
      <c r="W390" s="304">
        <v>0</v>
      </c>
      <c r="X390" s="304"/>
      <c r="Y390" s="304">
        <v>0</v>
      </c>
      <c r="Z390" s="304">
        <v>0</v>
      </c>
      <c r="AA390" s="304"/>
      <c r="AB390" s="304">
        <v>0</v>
      </c>
      <c r="AC390" s="304">
        <v>0</v>
      </c>
      <c r="AD390" s="304"/>
      <c r="AE390" s="304">
        <v>0</v>
      </c>
      <c r="AF390" s="304">
        <v>0</v>
      </c>
      <c r="AG390" s="304"/>
      <c r="AH390" s="304">
        <v>0</v>
      </c>
      <c r="AI390" s="304">
        <v>0</v>
      </c>
      <c r="AJ390" s="304"/>
      <c r="AK390" s="304">
        <v>0</v>
      </c>
      <c r="AL390" s="304">
        <v>0</v>
      </c>
      <c r="AM390" s="304"/>
      <c r="AN390" s="304">
        <v>0</v>
      </c>
      <c r="AO390" s="304">
        <v>0</v>
      </c>
      <c r="AP390" s="304"/>
      <c r="AQ390" s="304">
        <v>0</v>
      </c>
      <c r="AR390" s="304">
        <v>0</v>
      </c>
      <c r="AS390" s="304"/>
      <c r="AT390" s="304">
        <v>0</v>
      </c>
      <c r="AU390" s="304">
        <v>0</v>
      </c>
      <c r="AV390" s="304"/>
      <c r="AW390" s="304">
        <v>0</v>
      </c>
      <c r="AX390" s="304">
        <v>0</v>
      </c>
      <c r="AY390" s="304"/>
      <c r="AZ390" s="304">
        <v>0</v>
      </c>
      <c r="BA390" s="304">
        <v>0</v>
      </c>
      <c r="BB390" s="304"/>
      <c r="BC390" s="304">
        <v>13</v>
      </c>
      <c r="BD390" s="304">
        <v>13</v>
      </c>
      <c r="BE390" s="304"/>
      <c r="BF390" s="304">
        <v>11</v>
      </c>
      <c r="BG390" s="304">
        <v>11</v>
      </c>
      <c r="BH390" s="304"/>
      <c r="BI390" s="304">
        <v>30</v>
      </c>
      <c r="BJ390" s="304">
        <v>29</v>
      </c>
      <c r="BK390" s="304"/>
      <c r="BL390" s="304">
        <v>0</v>
      </c>
      <c r="BM390" s="304">
        <v>0</v>
      </c>
      <c r="BN390" s="304"/>
      <c r="BO390" s="304">
        <v>0</v>
      </c>
      <c r="BP390" s="304">
        <v>0</v>
      </c>
      <c r="BQ390" s="304"/>
      <c r="BR390" s="304">
        <v>0</v>
      </c>
      <c r="BS390" s="304">
        <v>0</v>
      </c>
      <c r="BT390" s="304"/>
      <c r="BU390" s="304">
        <v>0</v>
      </c>
      <c r="BV390" s="304">
        <v>0</v>
      </c>
      <c r="BW390" s="304"/>
      <c r="BX390" s="304">
        <v>0</v>
      </c>
      <c r="BY390" s="304">
        <v>0</v>
      </c>
      <c r="BZ390" s="304"/>
      <c r="CA390" s="304">
        <v>0</v>
      </c>
      <c r="CB390" s="304">
        <v>0</v>
      </c>
      <c r="CC390" s="304"/>
      <c r="CD390" s="304">
        <v>14</v>
      </c>
      <c r="CE390" s="304">
        <v>15</v>
      </c>
      <c r="CF390" s="304"/>
      <c r="CG390" s="304">
        <v>0</v>
      </c>
      <c r="CH390" s="304">
        <v>0</v>
      </c>
      <c r="CI390" s="304"/>
      <c r="CJ390" s="304">
        <v>0</v>
      </c>
      <c r="CK390" s="304">
        <v>0</v>
      </c>
    </row>
    <row r="391" spans="1:89" ht="30" x14ac:dyDescent="0.25">
      <c r="A391" s="262"/>
      <c r="B391" s="312"/>
      <c r="C391" s="312" t="s">
        <v>1498</v>
      </c>
      <c r="D391" s="95"/>
      <c r="E391" s="282"/>
      <c r="F391" s="282"/>
      <c r="G391" s="282"/>
      <c r="H391" s="282">
        <v>0</v>
      </c>
      <c r="I391" s="282">
        <v>0</v>
      </c>
      <c r="J391" s="282">
        <v>0</v>
      </c>
      <c r="K391" s="282">
        <v>0</v>
      </c>
      <c r="L391" s="282">
        <v>0</v>
      </c>
      <c r="M391" s="282">
        <v>0</v>
      </c>
      <c r="N391" s="282">
        <v>0</v>
      </c>
      <c r="Q391" s="283">
        <f>S391+V391+Y391+AB391+AE391+AH391+AK391+AN391+AQ391+AT391+AW391+AZ391+BC391+BF391+BI391+BL391+BO391+BR391+BU391+BX391+CA391+CD391+CG391+CJ391</f>
        <v>0</v>
      </c>
      <c r="R391" s="283">
        <f>T391+W391+Z391+AC391+AF391+AI391+AL391+AO391+AR391+AU391+AX391+BA391+BD391+BG391+BJ391+BM391+BP391+BS391+BV391+BY391+CB391+CE391+CH391+CK391</f>
        <v>0</v>
      </c>
      <c r="S391" s="304">
        <v>0</v>
      </c>
      <c r="T391" s="304">
        <v>0</v>
      </c>
      <c r="U391" s="304"/>
      <c r="V391" s="304">
        <v>0</v>
      </c>
      <c r="W391" s="304">
        <v>0</v>
      </c>
      <c r="X391" s="304"/>
      <c r="Y391" s="304">
        <v>0</v>
      </c>
      <c r="Z391" s="304">
        <v>0</v>
      </c>
      <c r="AA391" s="304"/>
      <c r="AB391" s="304">
        <v>0</v>
      </c>
      <c r="AC391" s="304">
        <v>0</v>
      </c>
      <c r="AD391" s="304"/>
      <c r="AE391" s="304">
        <v>0</v>
      </c>
      <c r="AF391" s="304">
        <v>0</v>
      </c>
      <c r="AG391" s="304"/>
      <c r="AH391" s="304">
        <v>0</v>
      </c>
      <c r="AI391" s="304">
        <v>0</v>
      </c>
      <c r="AJ391" s="304"/>
      <c r="AK391" s="304">
        <v>0</v>
      </c>
      <c r="AL391" s="304">
        <v>0</v>
      </c>
      <c r="AM391" s="304"/>
      <c r="AN391" s="304">
        <v>0</v>
      </c>
      <c r="AO391" s="304">
        <v>0</v>
      </c>
      <c r="AP391" s="304"/>
      <c r="AQ391" s="304">
        <v>0</v>
      </c>
      <c r="AR391" s="304">
        <v>0</v>
      </c>
      <c r="AS391" s="304"/>
      <c r="AT391" s="304">
        <v>0</v>
      </c>
      <c r="AU391" s="304">
        <v>0</v>
      </c>
      <c r="AV391" s="304"/>
      <c r="AW391" s="304">
        <v>0</v>
      </c>
      <c r="AX391" s="304">
        <v>0</v>
      </c>
      <c r="AY391" s="304"/>
      <c r="AZ391" s="304">
        <v>0</v>
      </c>
      <c r="BA391" s="304">
        <v>0</v>
      </c>
      <c r="BB391" s="304"/>
      <c r="BC391" s="304">
        <v>0</v>
      </c>
      <c r="BD391" s="304">
        <v>0</v>
      </c>
      <c r="BE391" s="304"/>
      <c r="BF391" s="304">
        <v>0</v>
      </c>
      <c r="BG391" s="304">
        <v>0</v>
      </c>
      <c r="BH391" s="304"/>
      <c r="BI391" s="304">
        <v>0</v>
      </c>
      <c r="BJ391" s="304">
        <v>0</v>
      </c>
      <c r="BK391" s="304"/>
      <c r="BL391" s="304">
        <v>0</v>
      </c>
      <c r="BM391" s="304">
        <v>0</v>
      </c>
      <c r="BN391" s="304"/>
      <c r="BO391" s="304">
        <v>0</v>
      </c>
      <c r="BP391" s="304">
        <v>0</v>
      </c>
      <c r="BQ391" s="304"/>
      <c r="BR391" s="304">
        <v>0</v>
      </c>
      <c r="BS391" s="304">
        <v>0</v>
      </c>
      <c r="BT391" s="304"/>
      <c r="BU391" s="304">
        <v>0</v>
      </c>
      <c r="BV391" s="304">
        <v>0</v>
      </c>
      <c r="BW391" s="304"/>
      <c r="BX391" s="304">
        <v>0</v>
      </c>
      <c r="BY391" s="304">
        <v>0</v>
      </c>
      <c r="BZ391" s="304"/>
      <c r="CA391" s="304">
        <v>0</v>
      </c>
      <c r="CB391" s="304">
        <v>0</v>
      </c>
      <c r="CC391" s="304"/>
      <c r="CD391" s="304">
        <v>0</v>
      </c>
      <c r="CE391" s="304">
        <v>0</v>
      </c>
      <c r="CF391" s="304"/>
      <c r="CG391" s="304">
        <v>0</v>
      </c>
      <c r="CH391" s="304">
        <v>0</v>
      </c>
      <c r="CI391" s="304"/>
      <c r="CJ391" s="304">
        <v>0</v>
      </c>
      <c r="CK391" s="304">
        <v>0</v>
      </c>
    </row>
    <row r="392" spans="1:89" ht="90" x14ac:dyDescent="0.25">
      <c r="A392" s="95" t="s">
        <v>170</v>
      </c>
      <c r="B392" s="300" t="s">
        <v>1669</v>
      </c>
      <c r="C392" s="95"/>
      <c r="D392" s="95"/>
      <c r="E392" s="280"/>
      <c r="F392" s="280"/>
      <c r="G392" s="280"/>
      <c r="H392" s="280"/>
      <c r="I392" s="280"/>
      <c r="J392" s="280"/>
      <c r="K392" s="280"/>
      <c r="L392" s="280"/>
      <c r="M392" s="280"/>
      <c r="N392" s="280"/>
      <c r="O392" s="281" t="s">
        <v>23</v>
      </c>
    </row>
    <row r="393" spans="1:89" x14ac:dyDescent="0.25">
      <c r="A393" s="265"/>
      <c r="B393" s="96" t="s">
        <v>1115</v>
      </c>
      <c r="C393" s="95"/>
      <c r="D393" s="95" t="s">
        <v>8</v>
      </c>
      <c r="E393" s="279">
        <v>105.6</v>
      </c>
      <c r="F393" s="279">
        <v>105.07</v>
      </c>
      <c r="G393" s="279">
        <v>111.46</v>
      </c>
      <c r="H393" s="279">
        <v>106.74</v>
      </c>
      <c r="I393" s="279">
        <v>102.91</v>
      </c>
      <c r="J393" s="279">
        <v>101.21</v>
      </c>
      <c r="K393" s="279">
        <v>103.81</v>
      </c>
      <c r="L393" s="279"/>
      <c r="M393" s="279"/>
      <c r="N393" s="279"/>
      <c r="O393" s="281"/>
      <c r="Q393" s="279">
        <f>Q396/Q395*100</f>
        <v>103.8124787224165</v>
      </c>
      <c r="R393" s="279">
        <f>R396/R395*100</f>
        <v>103.4373484236055</v>
      </c>
      <c r="S393" s="279">
        <f>S396/S395*100</f>
        <v>108.37176193865865</v>
      </c>
      <c r="T393" s="279">
        <f>T396/T395*100</f>
        <v>106.07143382082751</v>
      </c>
      <c r="V393" s="279">
        <f>V396/V395*100</f>
        <v>104.37312370400174</v>
      </c>
      <c r="W393" s="279">
        <f>W396/W395*100</f>
        <v>102.28132578819726</v>
      </c>
      <c r="Y393" s="279">
        <f>Y396/Y395*100</f>
        <v>88.98533007334963</v>
      </c>
      <c r="Z393" s="279">
        <f>Z396/Z395*100</f>
        <v>93.569633276989777</v>
      </c>
      <c r="AB393" s="279">
        <f>AB396/AB395*100</f>
        <v>98.685896443935505</v>
      </c>
      <c r="AC393" s="279">
        <f>AC396/AC395*100</f>
        <v>99.285367825384</v>
      </c>
      <c r="AE393" s="279">
        <f>AE396/AE395*100</f>
        <v>93.228312339450952</v>
      </c>
      <c r="AF393" s="279">
        <f>AF396/AF395*100</f>
        <v>91.935327405012117</v>
      </c>
      <c r="AH393" s="279">
        <f>AH396/AH395*100</f>
        <v>94.002042648014609</v>
      </c>
      <c r="AI393" s="279">
        <f>AI396/AI395*100</f>
        <v>93.824796060851028</v>
      </c>
      <c r="AK393" s="279">
        <f>AK396/AK395*100</f>
        <v>99.213890006499341</v>
      </c>
      <c r="AL393" s="279">
        <f>AL396/AL395*100</f>
        <v>96.89159991181009</v>
      </c>
      <c r="AN393" s="279">
        <f>AN396/AN395*100</f>
        <v>109.08978366500573</v>
      </c>
      <c r="AO393" s="279">
        <f>AO396/AO395*100</f>
        <v>107.18747703387963</v>
      </c>
      <c r="AQ393" s="279">
        <f>AQ396/AQ395*100</f>
        <v>96.417628671350315</v>
      </c>
      <c r="AR393" s="279">
        <f>AR396/AR395*100</f>
        <v>96.265304622620704</v>
      </c>
      <c r="AT393" s="279">
        <f>AT396/AT395*100</f>
        <v>100.6869177679428</v>
      </c>
      <c r="AU393" s="279">
        <f>AU396/AU395*100</f>
        <v>99.836554714485189</v>
      </c>
      <c r="AW393" s="279">
        <f>AW396/AW395*100</f>
        <v>95.404506205317077</v>
      </c>
      <c r="AX393" s="279">
        <f>AX396/AX395*100</f>
        <v>96.917028000293968</v>
      </c>
      <c r="AZ393" s="279">
        <f>AZ396/AZ395*100</f>
        <v>95.497353842344708</v>
      </c>
      <c r="BA393" s="279">
        <f>BA396/BA395*100</f>
        <v>93.890791504372757</v>
      </c>
      <c r="BC393" s="279">
        <f>BC396/BC395*100</f>
        <v>102.80214168549411</v>
      </c>
      <c r="BD393" s="279">
        <f>BD396/BD395*100</f>
        <v>103.79598735944735</v>
      </c>
      <c r="BF393" s="279">
        <f>BF396/BF395*100</f>
        <v>101.44842313763114</v>
      </c>
      <c r="BG393" s="279">
        <f>BG396/BG395*100</f>
        <v>99.373851693981038</v>
      </c>
      <c r="BI393" s="279">
        <f>BI396/BI395*100</f>
        <v>116.81934944755656</v>
      </c>
      <c r="BJ393" s="279">
        <f>BJ396/BJ395*100</f>
        <v>119.72220180789299</v>
      </c>
      <c r="BL393" s="279">
        <f>BL396/BL395*100</f>
        <v>95.237689950790752</v>
      </c>
      <c r="BM393" s="279">
        <f>BM396/BM395*100</f>
        <v>90.460057323436473</v>
      </c>
      <c r="BO393" s="279">
        <f>BO396/BO395*100</f>
        <v>99.111757605768929</v>
      </c>
      <c r="BP393" s="279">
        <f>BP396/BP395*100</f>
        <v>98.542514882045992</v>
      </c>
      <c r="BR393" s="279">
        <f>BR396/BR395*100</f>
        <v>99.18990436693386</v>
      </c>
      <c r="BS393" s="279">
        <f>BS396/BS395*100</f>
        <v>97.259204821048002</v>
      </c>
      <c r="BU393" s="279">
        <f>BU396/BU395*100</f>
        <v>104.7555012224939</v>
      </c>
      <c r="BV393" s="279">
        <f>BV396/BV395*100</f>
        <v>101.05034173587124</v>
      </c>
      <c r="BX393" s="279">
        <f>BX396/BX395*100</f>
        <v>100.13509331187522</v>
      </c>
      <c r="BY393" s="279">
        <f>BY396/BY395*100</f>
        <v>98.23252737561549</v>
      </c>
      <c r="CA393" s="279">
        <f>CA396/CA395*100</f>
        <v>104.98901302961841</v>
      </c>
      <c r="CB393" s="279">
        <f>CB396/CB395*100</f>
        <v>105.62431101638863</v>
      </c>
      <c r="CD393" s="279">
        <f>CD396/CD395*100</f>
        <v>95.575810095633059</v>
      </c>
      <c r="CE393" s="279">
        <f>CE396/CE395*100</f>
        <v>95.945175277430735</v>
      </c>
      <c r="CG393" s="279" t="e">
        <f>CG396/CG395*100</f>
        <v>#DIV/0!</v>
      </c>
      <c r="CH393" s="279" t="e">
        <f>CH396/CH395*100</f>
        <v>#DIV/0!</v>
      </c>
      <c r="CJ393" s="279" t="e">
        <f>CJ396/CJ395*100</f>
        <v>#DIV/0!</v>
      </c>
      <c r="CK393" s="279" t="e">
        <f>CK396/CK395*100</f>
        <v>#DIV/0!</v>
      </c>
    </row>
    <row r="394" spans="1:89" x14ac:dyDescent="0.25">
      <c r="A394" s="265"/>
      <c r="B394" s="16" t="s">
        <v>179</v>
      </c>
      <c r="C394" s="95"/>
      <c r="D394" s="95" t="s">
        <v>8</v>
      </c>
      <c r="E394" s="279">
        <v>111.33</v>
      </c>
      <c r="F394" s="279" t="s">
        <v>1412</v>
      </c>
      <c r="G394" s="279" t="s">
        <v>1412</v>
      </c>
      <c r="H394" s="279" t="s">
        <v>1412</v>
      </c>
      <c r="I394" s="279" t="s">
        <v>1412</v>
      </c>
      <c r="J394" s="279" t="s">
        <v>1412</v>
      </c>
      <c r="K394" s="279" t="s">
        <v>1412</v>
      </c>
      <c r="L394" s="279" t="s">
        <v>1412</v>
      </c>
      <c r="M394" s="279" t="s">
        <v>1412</v>
      </c>
      <c r="N394" s="279" t="s">
        <v>1412</v>
      </c>
      <c r="O394" s="281"/>
    </row>
    <row r="395" spans="1:89" ht="75" x14ac:dyDescent="0.25">
      <c r="A395" s="262"/>
      <c r="B395" s="16" t="s">
        <v>171</v>
      </c>
      <c r="C395" s="95" t="s">
        <v>172</v>
      </c>
      <c r="D395" s="95" t="s">
        <v>1114</v>
      </c>
      <c r="E395" s="280"/>
      <c r="F395" s="280"/>
      <c r="G395" s="280"/>
      <c r="H395" s="280"/>
      <c r="I395" s="280"/>
      <c r="J395" s="280"/>
      <c r="K395" s="280"/>
      <c r="L395" s="280">
        <v>408038.1</v>
      </c>
      <c r="M395" s="280">
        <v>510597.2</v>
      </c>
      <c r="N395" s="280">
        <v>548214</v>
      </c>
      <c r="Q395" s="267">
        <v>64622</v>
      </c>
      <c r="R395" s="267">
        <v>68035</v>
      </c>
      <c r="S395" s="267">
        <v>64622</v>
      </c>
      <c r="T395" s="267">
        <v>68035</v>
      </c>
      <c r="V395" s="267">
        <v>64622</v>
      </c>
      <c r="W395" s="267">
        <v>68035</v>
      </c>
      <c r="Y395" s="267">
        <v>64622</v>
      </c>
      <c r="Z395" s="267">
        <v>68035</v>
      </c>
      <c r="AB395" s="267">
        <v>64622</v>
      </c>
      <c r="AC395" s="267">
        <v>68035</v>
      </c>
      <c r="AE395" s="267">
        <v>64622</v>
      </c>
      <c r="AF395" s="267">
        <v>68035</v>
      </c>
      <c r="AH395" s="267">
        <v>64622</v>
      </c>
      <c r="AI395" s="267">
        <v>68035</v>
      </c>
      <c r="AK395" s="267">
        <v>64622</v>
      </c>
      <c r="AL395" s="267">
        <v>68035</v>
      </c>
      <c r="AN395" s="267">
        <v>64622</v>
      </c>
      <c r="AO395" s="267">
        <v>68035</v>
      </c>
      <c r="AQ395" s="267">
        <v>64622</v>
      </c>
      <c r="AR395" s="267">
        <v>68035</v>
      </c>
      <c r="AT395" s="267">
        <v>64622</v>
      </c>
      <c r="AU395" s="267">
        <v>68035</v>
      </c>
      <c r="AW395" s="267">
        <v>64622</v>
      </c>
      <c r="AX395" s="267">
        <v>68035</v>
      </c>
      <c r="AZ395" s="267">
        <v>64622</v>
      </c>
      <c r="BA395" s="267">
        <v>68035</v>
      </c>
      <c r="BC395" s="267">
        <v>64622</v>
      </c>
      <c r="BD395" s="267">
        <v>68035</v>
      </c>
      <c r="BF395" s="267">
        <v>64622</v>
      </c>
      <c r="BG395" s="267">
        <v>68035</v>
      </c>
      <c r="BI395" s="267">
        <v>64622</v>
      </c>
      <c r="BJ395" s="267">
        <v>68035</v>
      </c>
      <c r="BL395" s="267">
        <v>64622</v>
      </c>
      <c r="BM395" s="267">
        <v>68035</v>
      </c>
      <c r="BO395" s="267">
        <v>64622</v>
      </c>
      <c r="BP395" s="267">
        <v>68035</v>
      </c>
      <c r="BR395" s="267">
        <v>64622</v>
      </c>
      <c r="BS395" s="267">
        <v>68035</v>
      </c>
      <c r="BU395" s="267">
        <v>64622</v>
      </c>
      <c r="BV395" s="267">
        <v>68035</v>
      </c>
      <c r="BX395" s="267">
        <v>64622</v>
      </c>
      <c r="BY395" s="267">
        <v>68035</v>
      </c>
      <c r="CA395" s="267">
        <v>64622</v>
      </c>
      <c r="CB395" s="267">
        <v>68035</v>
      </c>
      <c r="CD395" s="267">
        <v>64622</v>
      </c>
      <c r="CE395" s="267">
        <v>68035</v>
      </c>
    </row>
    <row r="396" spans="1:89" ht="75" x14ac:dyDescent="0.25">
      <c r="A396" s="262"/>
      <c r="B396" s="16" t="s">
        <v>173</v>
      </c>
      <c r="C396" s="95" t="s">
        <v>174</v>
      </c>
      <c r="D396" s="95" t="s">
        <v>1114</v>
      </c>
      <c r="E396" s="291"/>
      <c r="F396" s="291"/>
      <c r="G396" s="291"/>
      <c r="H396" s="291"/>
      <c r="I396" s="291"/>
      <c r="J396" s="291"/>
      <c r="K396" s="291"/>
      <c r="L396" s="291">
        <v>351816</v>
      </c>
      <c r="M396" s="291">
        <v>435970.82</v>
      </c>
      <c r="N396" s="291">
        <v>475034.2</v>
      </c>
      <c r="Q396" s="327">
        <v>67085.7</v>
      </c>
      <c r="R396" s="327">
        <v>70373.600000000006</v>
      </c>
      <c r="S396" s="267">
        <v>70032</v>
      </c>
      <c r="T396" s="267">
        <v>72165.7</v>
      </c>
      <c r="V396" s="267">
        <v>67448</v>
      </c>
      <c r="W396" s="267">
        <v>69587.100000000006</v>
      </c>
      <c r="Y396" s="267">
        <v>57504.1</v>
      </c>
      <c r="Z396" s="267">
        <v>63660.1</v>
      </c>
      <c r="AB396" s="267">
        <v>63772.800000000003</v>
      </c>
      <c r="AC396" s="267">
        <v>67548.800000000003</v>
      </c>
      <c r="AE396" s="267">
        <v>60246</v>
      </c>
      <c r="AF396" s="267">
        <v>62548.2</v>
      </c>
      <c r="AH396" s="267">
        <v>60746</v>
      </c>
      <c r="AI396" s="267">
        <v>63833.7</v>
      </c>
      <c r="AK396" s="267">
        <v>64114</v>
      </c>
      <c r="AL396" s="267">
        <v>65920.2</v>
      </c>
      <c r="AN396" s="267">
        <v>70496</v>
      </c>
      <c r="AO396" s="267">
        <v>72925</v>
      </c>
      <c r="AQ396" s="267">
        <v>62307</v>
      </c>
      <c r="AR396" s="267">
        <v>65494.1</v>
      </c>
      <c r="AT396" s="267">
        <v>65065.9</v>
      </c>
      <c r="AU396" s="267">
        <v>67923.8</v>
      </c>
      <c r="AW396" s="267">
        <v>61652.3</v>
      </c>
      <c r="AX396" s="267">
        <v>65937.5</v>
      </c>
      <c r="AZ396" s="267">
        <v>61712.3</v>
      </c>
      <c r="BA396" s="267">
        <v>63878.6</v>
      </c>
      <c r="BC396" s="267">
        <v>66432.800000000003</v>
      </c>
      <c r="BD396" s="267">
        <v>70617.600000000006</v>
      </c>
      <c r="BF396" s="267">
        <v>65558</v>
      </c>
      <c r="BG396" s="267">
        <v>67609</v>
      </c>
      <c r="BI396" s="267">
        <v>75491</v>
      </c>
      <c r="BJ396" s="267">
        <v>81453</v>
      </c>
      <c r="BL396" s="267">
        <v>61544.5</v>
      </c>
      <c r="BM396" s="267">
        <v>61544.5</v>
      </c>
      <c r="BO396" s="267">
        <v>64048</v>
      </c>
      <c r="BP396" s="267">
        <v>67043.399999999994</v>
      </c>
      <c r="BR396" s="267">
        <v>64098.5</v>
      </c>
      <c r="BS396" s="267">
        <v>66170.3</v>
      </c>
      <c r="BU396" s="267">
        <v>67695.100000000006</v>
      </c>
      <c r="BV396" s="267">
        <v>68749.600000000006</v>
      </c>
      <c r="BX396" s="267">
        <v>64709.3</v>
      </c>
      <c r="BY396" s="267">
        <v>66832.5</v>
      </c>
      <c r="CA396" s="267">
        <v>67846</v>
      </c>
      <c r="CB396" s="267">
        <v>71861.5</v>
      </c>
      <c r="CD396" s="267">
        <v>61763</v>
      </c>
      <c r="CE396" s="267">
        <v>65276.3</v>
      </c>
      <c r="CG396" s="327"/>
    </row>
    <row r="397" spans="1:89" ht="60" x14ac:dyDescent="0.25">
      <c r="A397" s="262"/>
      <c r="B397" s="16" t="s">
        <v>44</v>
      </c>
      <c r="C397" s="95" t="s">
        <v>45</v>
      </c>
      <c r="D397" s="95" t="s">
        <v>950</v>
      </c>
      <c r="E397" s="291"/>
      <c r="F397" s="291"/>
      <c r="G397" s="291"/>
      <c r="H397" s="291"/>
      <c r="I397" s="291"/>
      <c r="J397" s="291"/>
      <c r="K397" s="291"/>
      <c r="L397" s="291">
        <v>537.5</v>
      </c>
      <c r="M397" s="291">
        <v>491.7</v>
      </c>
      <c r="N397" s="291">
        <v>541.70000000000005</v>
      </c>
    </row>
    <row r="398" spans="1:89" ht="60" x14ac:dyDescent="0.25">
      <c r="A398" s="262"/>
      <c r="B398" s="16" t="s">
        <v>175</v>
      </c>
      <c r="C398" s="95" t="s">
        <v>176</v>
      </c>
      <c r="D398" s="95" t="s">
        <v>950</v>
      </c>
      <c r="E398" s="291"/>
      <c r="F398" s="291"/>
      <c r="G398" s="291"/>
      <c r="H398" s="291"/>
      <c r="I398" s="291"/>
      <c r="J398" s="291"/>
      <c r="K398" s="291"/>
      <c r="L398" s="291">
        <v>442</v>
      </c>
      <c r="M398" s="291">
        <v>442.5</v>
      </c>
      <c r="N398" s="291">
        <v>442.5</v>
      </c>
    </row>
    <row r="399" spans="1:89" ht="30" x14ac:dyDescent="0.25">
      <c r="A399" s="262"/>
      <c r="B399" s="16" t="s">
        <v>177</v>
      </c>
      <c r="C399" s="95" t="s">
        <v>178</v>
      </c>
      <c r="D399" s="285" t="s">
        <v>1212</v>
      </c>
      <c r="E399" s="291"/>
      <c r="F399" s="291"/>
      <c r="G399" s="291"/>
      <c r="H399" s="291"/>
      <c r="I399" s="291"/>
      <c r="J399" s="291"/>
      <c r="K399" s="291"/>
      <c r="L399" s="291">
        <v>56839</v>
      </c>
      <c r="M399" s="291">
        <v>55885.3</v>
      </c>
      <c r="N399" s="291">
        <v>63688.1</v>
      </c>
    </row>
    <row r="400" spans="1:89" ht="75" x14ac:dyDescent="0.25">
      <c r="A400" s="328" t="s">
        <v>1670</v>
      </c>
      <c r="B400" s="300" t="s">
        <v>1671</v>
      </c>
      <c r="C400" s="95"/>
      <c r="D400" s="285"/>
      <c r="E400" s="291"/>
      <c r="F400" s="291"/>
      <c r="G400" s="291"/>
      <c r="H400" s="291"/>
      <c r="I400" s="291"/>
      <c r="J400" s="291"/>
      <c r="K400" s="291"/>
      <c r="L400" s="291"/>
      <c r="M400" s="291"/>
      <c r="N400" s="291"/>
    </row>
    <row r="401" spans="1:89" x14ac:dyDescent="0.25">
      <c r="A401" s="328"/>
      <c r="B401" s="96" t="s">
        <v>1182</v>
      </c>
      <c r="C401" s="95"/>
      <c r="D401" s="329" t="s">
        <v>8</v>
      </c>
      <c r="E401" s="291"/>
      <c r="F401" s="291"/>
      <c r="G401" s="291"/>
      <c r="H401" s="291"/>
      <c r="I401" s="279">
        <f>I404/I407*100</f>
        <v>55.518146926132914</v>
      </c>
      <c r="J401" s="279">
        <f t="shared" ref="I401:J403" si="786">J404/J407*100</f>
        <v>55.34578761820039</v>
      </c>
      <c r="K401" s="279">
        <f>K404/K407*100</f>
        <v>55.42873865964296</v>
      </c>
      <c r="L401" s="279">
        <f t="shared" ref="K401:M403" si="787">L404/L407*100</f>
        <v>46.527777777777779</v>
      </c>
      <c r="M401" s="279">
        <f>M404/M407*100</f>
        <v>46.655376799322603</v>
      </c>
      <c r="N401" s="279">
        <f>N404/N407*100</f>
        <v>46.010186757215621</v>
      </c>
      <c r="Q401" s="279">
        <f t="shared" ref="Q401:T403" si="788">Q404/Q407*100</f>
        <v>55.42873865964296</v>
      </c>
      <c r="R401" s="279">
        <f t="shared" si="788"/>
        <v>55.341551104262962</v>
      </c>
      <c r="S401" s="279">
        <f t="shared" si="788"/>
        <v>52.136752136752143</v>
      </c>
      <c r="T401" s="279">
        <f t="shared" si="788"/>
        <v>52.132049518569467</v>
      </c>
      <c r="V401" s="279">
        <f t="shared" ref="V401:W403" si="789">V404/V407*100</f>
        <v>47.880299251870326</v>
      </c>
      <c r="W401" s="279">
        <f t="shared" si="789"/>
        <v>48.157560355781449</v>
      </c>
      <c r="Y401" s="279">
        <f t="shared" ref="Y401:Z403" si="790">Y404/Y407*100</f>
        <v>44.070796460176993</v>
      </c>
      <c r="Z401" s="279">
        <f t="shared" si="790"/>
        <v>44.601769911504427</v>
      </c>
      <c r="AB401" s="279">
        <f t="shared" ref="AB401:AC403" si="791">AB404/AB407*100</f>
        <v>50.743099787685772</v>
      </c>
      <c r="AC401" s="279">
        <f t="shared" si="791"/>
        <v>51.216931216931215</v>
      </c>
      <c r="AE401" s="279">
        <f t="shared" ref="AE401:AF403" si="792">AE404/AE407*100</f>
        <v>42.570281124497996</v>
      </c>
      <c r="AF401" s="279">
        <f t="shared" si="792"/>
        <v>41.396508728179548</v>
      </c>
      <c r="AH401" s="279">
        <f t="shared" ref="AH401:AI403" si="793">AH404/AH407*100</f>
        <v>47.089041095890408</v>
      </c>
      <c r="AI401" s="279">
        <f t="shared" si="793"/>
        <v>46.527777777777779</v>
      </c>
      <c r="AK401" s="279">
        <f t="shared" ref="AK401:AL403" si="794">AK404/AK407*100</f>
        <v>55.227272727272727</v>
      </c>
      <c r="AL401" s="279">
        <f t="shared" si="794"/>
        <v>53.733031674208142</v>
      </c>
      <c r="AN401" s="279">
        <f t="shared" ref="AN401:AO403" si="795">AN404/AN407*100</f>
        <v>55.935173017958832</v>
      </c>
      <c r="AO401" s="279">
        <f t="shared" si="795"/>
        <v>55.737704918032783</v>
      </c>
      <c r="AQ401" s="279">
        <f t="shared" ref="AQ401:AR403" si="796">AQ404/AQ407*100</f>
        <v>44.587352625937839</v>
      </c>
      <c r="AR401" s="279">
        <f t="shared" si="796"/>
        <v>43.874345549738223</v>
      </c>
      <c r="AT401" s="279">
        <f t="shared" ref="AT401:AU403" si="797">AT404/AT407*100</f>
        <v>51.797175866495508</v>
      </c>
      <c r="AU401" s="279">
        <f t="shared" si="797"/>
        <v>52.25281602002503</v>
      </c>
      <c r="AW401" s="279">
        <f t="shared" ref="AW401:AX403" si="798">AW404/AW407*100</f>
        <v>59.311424100156493</v>
      </c>
      <c r="AX401" s="279">
        <f t="shared" si="798"/>
        <v>58.604651162790702</v>
      </c>
      <c r="AZ401" s="279">
        <f t="shared" ref="AZ401:BA403" si="799">AZ404/AZ407*100</f>
        <v>54.54545454545454</v>
      </c>
      <c r="BA401" s="279">
        <f t="shared" si="799"/>
        <v>54.682779456193352</v>
      </c>
      <c r="BC401" s="279">
        <f t="shared" ref="BC401:BD403" si="800">BC404/BC407*100</f>
        <v>60.508083140877602</v>
      </c>
      <c r="BD401" s="279">
        <f t="shared" si="800"/>
        <v>59.500850822461715</v>
      </c>
      <c r="BF401" s="279">
        <f t="shared" ref="BF401:BG403" si="801">BF404/BF407*100</f>
        <v>58.13333333333334</v>
      </c>
      <c r="BG401" s="279">
        <f t="shared" si="801"/>
        <v>58.090803259604193</v>
      </c>
      <c r="BI401" s="279">
        <f t="shared" ref="BI401:BJ403" si="802">BI404/BI407*100</f>
        <v>64.003073376872848</v>
      </c>
      <c r="BJ401" s="279">
        <f t="shared" si="802"/>
        <v>64.02313864526964</v>
      </c>
      <c r="BL401" s="279">
        <f t="shared" ref="BL401:BM403" si="803">BL404/BL407*100</f>
        <v>56.64556962025317</v>
      </c>
      <c r="BM401" s="279">
        <f t="shared" si="803"/>
        <v>56.730769230769226</v>
      </c>
      <c r="BO401" s="279">
        <f t="shared" ref="BO401:BP403" si="804">BO404/BO407*100</f>
        <v>58.56905158069884</v>
      </c>
      <c r="BP401" s="279">
        <f t="shared" si="804"/>
        <v>60.227272727272727</v>
      </c>
      <c r="BR401" s="279">
        <f t="shared" ref="BR401:BS403" si="805">BR404/BR407*100</f>
        <v>55.816435432230527</v>
      </c>
      <c r="BS401" s="279">
        <f t="shared" si="805"/>
        <v>56.276595744680847</v>
      </c>
      <c r="BU401" s="279">
        <f t="shared" ref="BU401:BV403" si="806">BU404/BU407*100</f>
        <v>62.068965517241381</v>
      </c>
      <c r="BV401" s="279">
        <f t="shared" si="806"/>
        <v>62.362971985383673</v>
      </c>
      <c r="BX401" s="279">
        <f t="shared" ref="BX401:BY403" si="807">BX404/BX407*100</f>
        <v>54.13533834586466</v>
      </c>
      <c r="BY401" s="279">
        <f t="shared" si="807"/>
        <v>56.569343065693431</v>
      </c>
      <c r="CA401" s="279">
        <f t="shared" ref="CA401:CB403" si="808">CA404/CA407*100</f>
        <v>52.5035765379113</v>
      </c>
      <c r="CB401" s="279">
        <f t="shared" si="808"/>
        <v>50.683229813664596</v>
      </c>
      <c r="CD401" s="279">
        <f t="shared" ref="CD401:CE403" si="809">CD404/CD407*100</f>
        <v>50.753768844221106</v>
      </c>
      <c r="CE401" s="279">
        <f t="shared" si="809"/>
        <v>49.898785425101217</v>
      </c>
      <c r="CG401" s="279">
        <f t="shared" ref="CG401:CH403" si="810">CG404/CG407*100</f>
        <v>59.162588363240886</v>
      </c>
      <c r="CH401" s="279">
        <f t="shared" si="810"/>
        <v>58.986666666666665</v>
      </c>
      <c r="CJ401" s="279">
        <f t="shared" ref="CJ401:CK403" si="811">CJ404/CJ407*100</f>
        <v>38.356164383561641</v>
      </c>
      <c r="CK401" s="279">
        <f t="shared" si="811"/>
        <v>39.466666666666669</v>
      </c>
    </row>
    <row r="402" spans="1:89" x14ac:dyDescent="0.25">
      <c r="A402" s="328"/>
      <c r="B402" s="96" t="s">
        <v>1183</v>
      </c>
      <c r="C402" s="95"/>
      <c r="D402" s="329" t="s">
        <v>8</v>
      </c>
      <c r="E402" s="291"/>
      <c r="F402" s="291"/>
      <c r="G402" s="291"/>
      <c r="H402" s="291"/>
      <c r="I402" s="279">
        <f t="shared" si="786"/>
        <v>58.150332538587023</v>
      </c>
      <c r="J402" s="279">
        <f t="shared" si="786"/>
        <v>57.968705315193858</v>
      </c>
      <c r="K402" s="279">
        <f t="shared" si="787"/>
        <v>57.910375843238036</v>
      </c>
      <c r="L402" s="279">
        <f t="shared" si="787"/>
        <v>52.028639618138428</v>
      </c>
      <c r="M402" s="279">
        <f t="shared" si="787"/>
        <v>50.881057268722465</v>
      </c>
      <c r="N402" s="279">
        <f t="shared" ref="N402" si="812">N405/N408*100</f>
        <v>50</v>
      </c>
      <c r="Q402" s="279">
        <f t="shared" si="788"/>
        <v>57.910375843238036</v>
      </c>
      <c r="R402" s="279">
        <f t="shared" si="788"/>
        <v>57.731674671285724</v>
      </c>
      <c r="S402" s="279">
        <f t="shared" si="788"/>
        <v>61.774744027303754</v>
      </c>
      <c r="T402" s="279">
        <f t="shared" si="788"/>
        <v>60.371517027863774</v>
      </c>
      <c r="V402" s="279">
        <f t="shared" si="789"/>
        <v>52.238805970149251</v>
      </c>
      <c r="W402" s="279">
        <f t="shared" si="789"/>
        <v>52.777777777777779</v>
      </c>
      <c r="Y402" s="279">
        <f t="shared" si="790"/>
        <v>53.061224489795919</v>
      </c>
      <c r="Z402" s="279">
        <f t="shared" si="790"/>
        <v>52.183908045977013</v>
      </c>
      <c r="AB402" s="279">
        <f t="shared" si="791"/>
        <v>60</v>
      </c>
      <c r="AC402" s="279">
        <f t="shared" si="791"/>
        <v>60.79545454545454</v>
      </c>
      <c r="AE402" s="279">
        <f t="shared" si="792"/>
        <v>45.78125</v>
      </c>
      <c r="AF402" s="279">
        <f t="shared" si="792"/>
        <v>43.093093093093096</v>
      </c>
      <c r="AH402" s="279">
        <f t="shared" si="793"/>
        <v>52.358490566037744</v>
      </c>
      <c r="AI402" s="279">
        <f t="shared" si="793"/>
        <v>52.028639618138428</v>
      </c>
      <c r="AK402" s="279">
        <f t="shared" si="794"/>
        <v>55.227552275522754</v>
      </c>
      <c r="AL402" s="279">
        <f t="shared" si="794"/>
        <v>53.902439024390247</v>
      </c>
      <c r="AN402" s="279">
        <f t="shared" si="795"/>
        <v>59.425911559348336</v>
      </c>
      <c r="AO402" s="279">
        <f t="shared" si="795"/>
        <v>59.242072699149261</v>
      </c>
      <c r="AQ402" s="279" t="e">
        <f t="shared" si="796"/>
        <v>#DIV/0!</v>
      </c>
      <c r="AR402" s="279" t="e">
        <f t="shared" si="796"/>
        <v>#DIV/0!</v>
      </c>
      <c r="AT402" s="279">
        <f t="shared" si="797"/>
        <v>51.797175866495508</v>
      </c>
      <c r="AU402" s="279">
        <f t="shared" si="797"/>
        <v>52.25281602002503</v>
      </c>
      <c r="AW402" s="279">
        <f t="shared" si="798"/>
        <v>59.311424100156493</v>
      </c>
      <c r="AX402" s="279">
        <f t="shared" si="798"/>
        <v>58.604651162790702</v>
      </c>
      <c r="AZ402" s="279">
        <f t="shared" si="799"/>
        <v>54.54545454545454</v>
      </c>
      <c r="BA402" s="279">
        <f t="shared" si="799"/>
        <v>54.682779456193352</v>
      </c>
      <c r="BC402" s="279">
        <f t="shared" si="800"/>
        <v>60.508083140877602</v>
      </c>
      <c r="BD402" s="279">
        <f t="shared" si="800"/>
        <v>59.500850822461715</v>
      </c>
      <c r="BF402" s="279">
        <f t="shared" si="801"/>
        <v>58.13333333333334</v>
      </c>
      <c r="BG402" s="279">
        <f t="shared" si="801"/>
        <v>58.090803259604193</v>
      </c>
      <c r="BI402" s="279">
        <f t="shared" si="802"/>
        <v>64.003073376872848</v>
      </c>
      <c r="BJ402" s="279">
        <f t="shared" si="802"/>
        <v>64.02313864526964</v>
      </c>
      <c r="BL402" s="279">
        <f t="shared" si="803"/>
        <v>56.64556962025317</v>
      </c>
      <c r="BM402" s="279">
        <f t="shared" si="803"/>
        <v>56.730769230769226</v>
      </c>
      <c r="BO402" s="279">
        <f t="shared" si="804"/>
        <v>58.56905158069884</v>
      </c>
      <c r="BP402" s="279">
        <f t="shared" si="804"/>
        <v>60.227272727272727</v>
      </c>
      <c r="BR402" s="279">
        <f t="shared" si="805"/>
        <v>55.816435432230527</v>
      </c>
      <c r="BS402" s="279">
        <f t="shared" si="805"/>
        <v>56.276595744680847</v>
      </c>
      <c r="BU402" s="279">
        <f t="shared" si="806"/>
        <v>62.068965517241381</v>
      </c>
      <c r="BV402" s="279">
        <f t="shared" si="806"/>
        <v>62.362971985383673</v>
      </c>
      <c r="BX402" s="279">
        <f t="shared" si="807"/>
        <v>54.13533834586466</v>
      </c>
      <c r="BY402" s="279">
        <f t="shared" si="807"/>
        <v>56.569343065693431</v>
      </c>
      <c r="CA402" s="279">
        <f t="shared" si="808"/>
        <v>52.5035765379113</v>
      </c>
      <c r="CB402" s="279">
        <f t="shared" si="808"/>
        <v>50.683229813664596</v>
      </c>
      <c r="CD402" s="279">
        <f t="shared" si="809"/>
        <v>50.753768844221106</v>
      </c>
      <c r="CE402" s="279">
        <f t="shared" si="809"/>
        <v>49.898785425101217</v>
      </c>
      <c r="CG402" s="279">
        <f t="shared" si="810"/>
        <v>61.672240802675582</v>
      </c>
      <c r="CH402" s="279">
        <f t="shared" si="810"/>
        <v>61.513372472276586</v>
      </c>
      <c r="CJ402" s="279">
        <f t="shared" si="811"/>
        <v>38.356164383561641</v>
      </c>
      <c r="CK402" s="279">
        <f t="shared" si="811"/>
        <v>39.466666666666669</v>
      </c>
    </row>
    <row r="403" spans="1:89" x14ac:dyDescent="0.25">
      <c r="A403" s="328"/>
      <c r="B403" s="96" t="s">
        <v>1185</v>
      </c>
      <c r="C403" s="95"/>
      <c r="D403" s="329" t="s">
        <v>8</v>
      </c>
      <c r="E403" s="291"/>
      <c r="F403" s="291"/>
      <c r="G403" s="291"/>
      <c r="H403" s="291"/>
      <c r="I403" s="279">
        <f t="shared" si="786"/>
        <v>44.659188955996548</v>
      </c>
      <c r="J403" s="279">
        <f t="shared" si="786"/>
        <v>44.416070820565203</v>
      </c>
      <c r="K403" s="279">
        <f t="shared" si="787"/>
        <v>44.862369635835186</v>
      </c>
      <c r="L403" s="279">
        <f t="shared" si="787"/>
        <v>43.383356070941339</v>
      </c>
      <c r="M403" s="279">
        <f t="shared" si="787"/>
        <v>44.016506189821179</v>
      </c>
      <c r="N403" s="279">
        <f t="shared" ref="N403" si="813">N406/N409*100</f>
        <v>43.435754189944134</v>
      </c>
      <c r="Q403" s="279">
        <f t="shared" si="788"/>
        <v>44.862369635835186</v>
      </c>
      <c r="R403" s="279">
        <f t="shared" si="788"/>
        <v>44.782608695652179</v>
      </c>
      <c r="S403" s="279">
        <f t="shared" si="788"/>
        <v>45.232273838630803</v>
      </c>
      <c r="T403" s="279">
        <f t="shared" si="788"/>
        <v>45.544554455445549</v>
      </c>
      <c r="V403" s="279">
        <f t="shared" si="789"/>
        <v>44.75374732334047</v>
      </c>
      <c r="W403" s="279">
        <f t="shared" si="789"/>
        <v>44.9244060475162</v>
      </c>
      <c r="Y403" s="279">
        <f t="shared" si="790"/>
        <v>38.316400580551523</v>
      </c>
      <c r="Z403" s="279">
        <f t="shared" si="790"/>
        <v>39.856115107913666</v>
      </c>
      <c r="AB403" s="279">
        <f t="shared" si="791"/>
        <v>45.393634840871023</v>
      </c>
      <c r="AC403" s="279">
        <f t="shared" si="791"/>
        <v>45.531197301854974</v>
      </c>
      <c r="AE403" s="279">
        <f t="shared" si="792"/>
        <v>39.173553719008261</v>
      </c>
      <c r="AF403" s="279">
        <f t="shared" si="792"/>
        <v>39.292364990689009</v>
      </c>
      <c r="AH403" s="279">
        <f t="shared" si="793"/>
        <v>44.086021505376344</v>
      </c>
      <c r="AI403" s="279">
        <f t="shared" si="793"/>
        <v>43.383356070941339</v>
      </c>
      <c r="AK403" s="279">
        <f t="shared" si="794"/>
        <v>55.223880597014926</v>
      </c>
      <c r="AL403" s="279">
        <f t="shared" si="794"/>
        <v>51.5625</v>
      </c>
      <c r="AN403" s="279">
        <f t="shared" si="795"/>
        <v>51.408450704225352</v>
      </c>
      <c r="AO403" s="279">
        <f t="shared" si="795"/>
        <v>51.037344398340245</v>
      </c>
      <c r="AQ403" s="279">
        <f t="shared" si="796"/>
        <v>44.587352625937839</v>
      </c>
      <c r="AR403" s="279">
        <f t="shared" si="796"/>
        <v>43.874345549738223</v>
      </c>
      <c r="AT403" s="279" t="e">
        <f t="shared" si="797"/>
        <v>#DIV/0!</v>
      </c>
      <c r="AU403" s="279" t="e">
        <f t="shared" si="797"/>
        <v>#DIV/0!</v>
      </c>
      <c r="AW403" s="279" t="e">
        <f t="shared" si="798"/>
        <v>#DIV/0!</v>
      </c>
      <c r="AX403" s="279" t="e">
        <f t="shared" si="798"/>
        <v>#DIV/0!</v>
      </c>
      <c r="AZ403" s="279" t="e">
        <f t="shared" si="799"/>
        <v>#DIV/0!</v>
      </c>
      <c r="BA403" s="279" t="e">
        <f t="shared" si="799"/>
        <v>#DIV/0!</v>
      </c>
      <c r="BC403" s="279" t="e">
        <f t="shared" si="800"/>
        <v>#DIV/0!</v>
      </c>
      <c r="BD403" s="279" t="e">
        <f t="shared" si="800"/>
        <v>#DIV/0!</v>
      </c>
      <c r="BF403" s="279" t="e">
        <f t="shared" si="801"/>
        <v>#DIV/0!</v>
      </c>
      <c r="BG403" s="279" t="e">
        <f t="shared" si="801"/>
        <v>#DIV/0!</v>
      </c>
      <c r="BI403" s="279" t="e">
        <f t="shared" si="802"/>
        <v>#DIV/0!</v>
      </c>
      <c r="BJ403" s="279" t="e">
        <f t="shared" si="802"/>
        <v>#DIV/0!</v>
      </c>
      <c r="BL403" s="279" t="e">
        <f t="shared" si="803"/>
        <v>#DIV/0!</v>
      </c>
      <c r="BM403" s="279" t="e">
        <f t="shared" si="803"/>
        <v>#DIV/0!</v>
      </c>
      <c r="BO403" s="279" t="e">
        <f t="shared" si="804"/>
        <v>#DIV/0!</v>
      </c>
      <c r="BP403" s="279" t="e">
        <f t="shared" si="804"/>
        <v>#DIV/0!</v>
      </c>
      <c r="BR403" s="279" t="e">
        <f t="shared" si="805"/>
        <v>#DIV/0!</v>
      </c>
      <c r="BS403" s="279" t="e">
        <f t="shared" si="805"/>
        <v>#DIV/0!</v>
      </c>
      <c r="BU403" s="279" t="e">
        <f t="shared" si="806"/>
        <v>#DIV/0!</v>
      </c>
      <c r="BV403" s="279" t="e">
        <f t="shared" si="806"/>
        <v>#DIV/0!</v>
      </c>
      <c r="BX403" s="279" t="e">
        <f t="shared" si="807"/>
        <v>#DIV/0!</v>
      </c>
      <c r="BY403" s="279" t="e">
        <f t="shared" si="807"/>
        <v>#DIV/0!</v>
      </c>
      <c r="CA403" s="279" t="e">
        <f t="shared" si="808"/>
        <v>#DIV/0!</v>
      </c>
      <c r="CB403" s="279" t="e">
        <f t="shared" si="808"/>
        <v>#DIV/0!</v>
      </c>
      <c r="CD403" s="279" t="e">
        <f t="shared" si="809"/>
        <v>#DIV/0!</v>
      </c>
      <c r="CE403" s="279" t="e">
        <f t="shared" si="809"/>
        <v>#DIV/0!</v>
      </c>
      <c r="CG403" s="279">
        <f t="shared" si="810"/>
        <v>48.255813953488378</v>
      </c>
      <c r="CH403" s="279">
        <f t="shared" si="810"/>
        <v>47.66081871345029</v>
      </c>
      <c r="CJ403" s="279" t="e">
        <f t="shared" si="811"/>
        <v>#DIV/0!</v>
      </c>
      <c r="CK403" s="279" t="e">
        <f t="shared" si="811"/>
        <v>#DIV/0!</v>
      </c>
    </row>
    <row r="404" spans="1:89" x14ac:dyDescent="0.25">
      <c r="A404" s="328"/>
      <c r="B404" s="96" t="s">
        <v>1841</v>
      </c>
      <c r="C404" s="95"/>
      <c r="D404" s="329" t="s">
        <v>950</v>
      </c>
      <c r="E404" s="291"/>
      <c r="F404" s="291"/>
      <c r="G404" s="291"/>
      <c r="H404" s="291"/>
      <c r="I404" s="282">
        <f t="shared" ref="I404:N404" si="814">I405+I406</f>
        <v>16490</v>
      </c>
      <c r="J404" s="282">
        <f t="shared" si="814"/>
        <v>16798</v>
      </c>
      <c r="K404" s="282">
        <f t="shared" si="814"/>
        <v>17046</v>
      </c>
      <c r="L404" s="282">
        <f t="shared" si="814"/>
        <v>536</v>
      </c>
      <c r="M404" s="282">
        <f t="shared" si="814"/>
        <v>551</v>
      </c>
      <c r="N404" s="282">
        <f t="shared" si="814"/>
        <v>542</v>
      </c>
      <c r="O404" s="286"/>
      <c r="Q404" s="282">
        <f>Q405+Q406</f>
        <v>17046</v>
      </c>
      <c r="R404" s="282">
        <f>R405+R406</f>
        <v>17240</v>
      </c>
      <c r="S404" s="282">
        <f>S405+S406</f>
        <v>366</v>
      </c>
      <c r="T404" s="282">
        <f>T405+T406</f>
        <v>379</v>
      </c>
      <c r="V404" s="282">
        <f>V405+V406</f>
        <v>384</v>
      </c>
      <c r="W404" s="282">
        <f>W405+W406</f>
        <v>379</v>
      </c>
      <c r="Y404" s="282">
        <f>Y405+Y406</f>
        <v>498</v>
      </c>
      <c r="Z404" s="282">
        <f>Z405+Z406</f>
        <v>504</v>
      </c>
      <c r="AB404" s="282">
        <f>AB405+AB406</f>
        <v>478</v>
      </c>
      <c r="AC404" s="282">
        <f>AC405+AC406</f>
        <v>484</v>
      </c>
      <c r="AE404" s="282">
        <f>AE405+AE406</f>
        <v>530</v>
      </c>
      <c r="AF404" s="282">
        <f>AF405+AF406</f>
        <v>498</v>
      </c>
      <c r="AH404" s="282">
        <f>AH405+AH406</f>
        <v>550</v>
      </c>
      <c r="AI404" s="282">
        <f>AI405+AI406</f>
        <v>536</v>
      </c>
      <c r="AK404" s="282">
        <f>AK405+AK406</f>
        <v>486</v>
      </c>
      <c r="AL404" s="282">
        <f>AL405+AL406</f>
        <v>475</v>
      </c>
      <c r="AN404" s="282">
        <f>AN405+AN406</f>
        <v>1277</v>
      </c>
      <c r="AO404" s="282">
        <f>AO405+AO406</f>
        <v>1258</v>
      </c>
      <c r="AQ404" s="282">
        <f>AQ405+AQ406</f>
        <v>416</v>
      </c>
      <c r="AR404" s="282">
        <f>AR405+AR406</f>
        <v>419</v>
      </c>
      <c r="AT404" s="282">
        <f>AT405+AT406</f>
        <v>807</v>
      </c>
      <c r="AU404" s="282">
        <f>AU405+AU406</f>
        <v>835</v>
      </c>
      <c r="AW404" s="282">
        <f>AW405+AW406</f>
        <v>379</v>
      </c>
      <c r="AX404" s="282">
        <f>AX405+AX406</f>
        <v>378</v>
      </c>
      <c r="AZ404" s="282">
        <f>AZ405+AZ406</f>
        <v>552</v>
      </c>
      <c r="BA404" s="282">
        <f>BA405+BA406</f>
        <v>543</v>
      </c>
      <c r="BC404" s="282">
        <f>BC405+BC406</f>
        <v>1048</v>
      </c>
      <c r="BD404" s="282">
        <f>BD405+BD406</f>
        <v>1049</v>
      </c>
      <c r="BF404" s="282">
        <f>BF405+BF406</f>
        <v>1962</v>
      </c>
      <c r="BG404" s="282">
        <f>BG405+BG406</f>
        <v>1996</v>
      </c>
      <c r="BI404" s="282">
        <f>BI405+BI406</f>
        <v>3332</v>
      </c>
      <c r="BJ404" s="282">
        <f>BJ405+BJ406</f>
        <v>3431</v>
      </c>
      <c r="BL404" s="282">
        <f>BL405+BL406</f>
        <v>358</v>
      </c>
      <c r="BM404" s="282">
        <f>BM405+BM406</f>
        <v>354</v>
      </c>
      <c r="BO404" s="282">
        <f>BO405+BO406</f>
        <v>352</v>
      </c>
      <c r="BP404" s="282">
        <f>BP405+BP406</f>
        <v>371</v>
      </c>
      <c r="BR404" s="282">
        <f>BR405+BR406</f>
        <v>523</v>
      </c>
      <c r="BS404" s="282">
        <f>BS405+BS406</f>
        <v>529</v>
      </c>
      <c r="BU404" s="282">
        <f>BU405+BU406</f>
        <v>504</v>
      </c>
      <c r="BV404" s="282">
        <f>BV405+BV406</f>
        <v>512</v>
      </c>
      <c r="BX404" s="282">
        <f>BX405+BX406</f>
        <v>144</v>
      </c>
      <c r="BY404" s="282">
        <f>BY405+BY406</f>
        <v>155</v>
      </c>
      <c r="CA404" s="282">
        <f>CA405+CA406</f>
        <v>367</v>
      </c>
      <c r="CB404" s="282">
        <f>CB405+CB406</f>
        <v>408</v>
      </c>
      <c r="CD404" s="282">
        <f>CD405+CD406</f>
        <v>505</v>
      </c>
      <c r="CE404" s="282">
        <f>CE405+CE406</f>
        <v>493</v>
      </c>
      <c r="CG404" s="282">
        <f>CG405+CG406</f>
        <v>1088</v>
      </c>
      <c r="CH404" s="282">
        <f>CH405+CH406</f>
        <v>1106</v>
      </c>
      <c r="CJ404" s="282">
        <f>CJ405+CJ406</f>
        <v>140</v>
      </c>
      <c r="CK404" s="282">
        <f>CK405+CK406</f>
        <v>148</v>
      </c>
    </row>
    <row r="405" spans="1:89" ht="30" x14ac:dyDescent="0.25">
      <c r="A405" s="328"/>
      <c r="B405" s="96" t="s">
        <v>1183</v>
      </c>
      <c r="C405" s="312" t="s">
        <v>1843</v>
      </c>
      <c r="D405" s="329" t="s">
        <v>950</v>
      </c>
      <c r="E405" s="291"/>
      <c r="F405" s="291"/>
      <c r="G405" s="291"/>
      <c r="H405" s="291"/>
      <c r="I405" s="282">
        <f>13979-77</f>
        <v>13902</v>
      </c>
      <c r="J405" s="282">
        <v>14189</v>
      </c>
      <c r="K405" s="282">
        <v>14422</v>
      </c>
      <c r="L405" s="282">
        <v>218</v>
      </c>
      <c r="M405" s="282">
        <v>231</v>
      </c>
      <c r="N405" s="282">
        <v>231</v>
      </c>
      <c r="Q405" s="286">
        <f>S405+V405+Y405+AB405+AE405+AH405+AK405+AN405+AQ405+AT405+AW405+AZ405+BC405+BF405+BI405+BL405+BO405+BR405+BU405+BX405+CA405+CD405+CG405+CJ405</f>
        <v>14422</v>
      </c>
      <c r="R405" s="286">
        <f>T405+W405+Z405+AC405+AF405+AI405+AL405+AO405+AR405+AU405+AX405+BA405+BD405+BG405+BJ405+BM405+BP405+BS405+BV405+BY405+CB405+CE405+CH405+CK405</f>
        <v>14665</v>
      </c>
      <c r="S405" s="286">
        <v>181</v>
      </c>
      <c r="T405" s="286">
        <v>195</v>
      </c>
      <c r="U405" s="286"/>
      <c r="V405" s="286">
        <v>175</v>
      </c>
      <c r="W405" s="286">
        <v>171</v>
      </c>
      <c r="X405" s="286"/>
      <c r="Y405" s="286">
        <v>234</v>
      </c>
      <c r="Z405" s="286">
        <v>227</v>
      </c>
      <c r="AA405" s="286"/>
      <c r="AB405" s="286">
        <v>207</v>
      </c>
      <c r="AC405" s="286">
        <v>214</v>
      </c>
      <c r="AD405" s="286"/>
      <c r="AE405" s="286">
        <v>293</v>
      </c>
      <c r="AF405" s="286">
        <v>287</v>
      </c>
      <c r="AG405" s="286"/>
      <c r="AH405" s="286">
        <v>222</v>
      </c>
      <c r="AI405" s="286">
        <v>218</v>
      </c>
      <c r="AJ405" s="286"/>
      <c r="AK405" s="286">
        <v>449</v>
      </c>
      <c r="AL405" s="286">
        <v>442</v>
      </c>
      <c r="AM405" s="286"/>
      <c r="AN405" s="286">
        <v>766</v>
      </c>
      <c r="AO405" s="286">
        <v>766</v>
      </c>
      <c r="AP405" s="286"/>
      <c r="AQ405" s="286">
        <v>0</v>
      </c>
      <c r="AR405" s="286">
        <v>0</v>
      </c>
      <c r="AS405" s="286"/>
      <c r="AT405" s="286">
        <v>807</v>
      </c>
      <c r="AU405" s="286">
        <v>835</v>
      </c>
      <c r="AV405" s="286"/>
      <c r="AW405" s="286">
        <v>379</v>
      </c>
      <c r="AX405" s="286">
        <v>378</v>
      </c>
      <c r="AY405" s="286"/>
      <c r="AZ405" s="286">
        <v>552</v>
      </c>
      <c r="BA405" s="286">
        <v>543</v>
      </c>
      <c r="BB405" s="286"/>
      <c r="BC405" s="286">
        <v>1048</v>
      </c>
      <c r="BD405" s="286">
        <v>1049</v>
      </c>
      <c r="BE405" s="286"/>
      <c r="BF405" s="286">
        <v>1962</v>
      </c>
      <c r="BG405" s="286">
        <v>1996</v>
      </c>
      <c r="BH405" s="286"/>
      <c r="BI405" s="286">
        <v>3332</v>
      </c>
      <c r="BJ405" s="286">
        <v>3431</v>
      </c>
      <c r="BK405" s="286"/>
      <c r="BL405" s="286">
        <v>358</v>
      </c>
      <c r="BM405" s="286">
        <v>354</v>
      </c>
      <c r="BN405" s="286"/>
      <c r="BO405" s="286">
        <v>352</v>
      </c>
      <c r="BP405" s="286">
        <v>371</v>
      </c>
      <c r="BQ405" s="286"/>
      <c r="BR405" s="286">
        <v>523</v>
      </c>
      <c r="BS405" s="286">
        <v>529</v>
      </c>
      <c r="BT405" s="286"/>
      <c r="BU405" s="286">
        <v>504</v>
      </c>
      <c r="BV405" s="286">
        <v>512</v>
      </c>
      <c r="BW405" s="286"/>
      <c r="BX405" s="286">
        <v>144</v>
      </c>
      <c r="BY405" s="286">
        <v>155</v>
      </c>
      <c r="BZ405" s="286"/>
      <c r="CA405" s="286">
        <v>367</v>
      </c>
      <c r="CB405" s="286">
        <v>408</v>
      </c>
      <c r="CC405" s="286"/>
      <c r="CD405" s="286">
        <v>505</v>
      </c>
      <c r="CE405" s="286">
        <v>493</v>
      </c>
      <c r="CF405" s="286"/>
      <c r="CG405" s="286">
        <v>922</v>
      </c>
      <c r="CH405" s="286">
        <v>943</v>
      </c>
      <c r="CI405" s="286"/>
      <c r="CJ405" s="286">
        <v>140</v>
      </c>
      <c r="CK405" s="286">
        <v>148</v>
      </c>
    </row>
    <row r="406" spans="1:89" ht="30" x14ac:dyDescent="0.25">
      <c r="A406" s="328"/>
      <c r="B406" s="96" t="s">
        <v>1185</v>
      </c>
      <c r="C406" s="312" t="s">
        <v>1843</v>
      </c>
      <c r="D406" s="329" t="s">
        <v>950</v>
      </c>
      <c r="E406" s="291"/>
      <c r="F406" s="291"/>
      <c r="G406" s="291"/>
      <c r="H406" s="291"/>
      <c r="I406" s="282">
        <v>2588</v>
      </c>
      <c r="J406" s="282">
        <v>2609</v>
      </c>
      <c r="K406" s="282">
        <v>2624</v>
      </c>
      <c r="L406" s="282">
        <v>318</v>
      </c>
      <c r="M406" s="282">
        <v>320</v>
      </c>
      <c r="N406" s="282">
        <v>311</v>
      </c>
      <c r="Q406" s="286">
        <f>S406+V406+Y406+AB406+AE406+AH406+AK406+AN406+AQ406+AT406+AW406+AZ406+BC406+BF406+BI406+BL406+BO406+BR406+BU406+BX406+CA406+CD406+CG406+CJ406</f>
        <v>2624</v>
      </c>
      <c r="R406" s="286">
        <f>T406+W406+Z406+AC406+AF406+AI406+AL406+AO406+AR406+AU406+AX406+BA406+BD406+BG406+BJ406+BM406+BP406+BS406+BV406+BY406+CB406+CE406+CH406+CK406</f>
        <v>2575</v>
      </c>
      <c r="S406" s="286">
        <v>185</v>
      </c>
      <c r="T406" s="286">
        <v>184</v>
      </c>
      <c r="U406" s="286"/>
      <c r="V406" s="286">
        <v>209</v>
      </c>
      <c r="W406" s="286">
        <v>208</v>
      </c>
      <c r="X406" s="286"/>
      <c r="Y406" s="286">
        <v>264</v>
      </c>
      <c r="Z406" s="286">
        <v>277</v>
      </c>
      <c r="AA406" s="286"/>
      <c r="AB406" s="286">
        <v>271</v>
      </c>
      <c r="AC406" s="286">
        <v>270</v>
      </c>
      <c r="AD406" s="286"/>
      <c r="AE406" s="286">
        <v>237</v>
      </c>
      <c r="AF406" s="286">
        <v>211</v>
      </c>
      <c r="AG406" s="286"/>
      <c r="AH406" s="286">
        <v>328</v>
      </c>
      <c r="AI406" s="286">
        <v>318</v>
      </c>
      <c r="AJ406" s="286"/>
      <c r="AK406" s="286">
        <v>37</v>
      </c>
      <c r="AL406" s="286">
        <v>33</v>
      </c>
      <c r="AM406" s="286"/>
      <c r="AN406" s="286">
        <v>511</v>
      </c>
      <c r="AO406" s="286">
        <v>492</v>
      </c>
      <c r="AP406" s="286"/>
      <c r="AQ406" s="286">
        <v>416</v>
      </c>
      <c r="AR406" s="286">
        <v>419</v>
      </c>
      <c r="AS406" s="286"/>
      <c r="AT406" s="286">
        <v>0</v>
      </c>
      <c r="AU406" s="286">
        <v>0</v>
      </c>
      <c r="AV406" s="286"/>
      <c r="AW406" s="286">
        <v>0</v>
      </c>
      <c r="AX406" s="286">
        <v>0</v>
      </c>
      <c r="AY406" s="286"/>
      <c r="AZ406" s="286">
        <v>0</v>
      </c>
      <c r="BA406" s="286">
        <v>0</v>
      </c>
      <c r="BB406" s="286"/>
      <c r="BC406" s="286">
        <v>0</v>
      </c>
      <c r="BD406" s="286">
        <v>0</v>
      </c>
      <c r="BE406" s="286"/>
      <c r="BF406" s="286">
        <v>0</v>
      </c>
      <c r="BG406" s="286">
        <v>0</v>
      </c>
      <c r="BH406" s="286"/>
      <c r="BI406" s="286">
        <v>0</v>
      </c>
      <c r="BJ406" s="286">
        <v>0</v>
      </c>
      <c r="BK406" s="286"/>
      <c r="BL406" s="286">
        <v>0</v>
      </c>
      <c r="BM406" s="286">
        <v>0</v>
      </c>
      <c r="BN406" s="286"/>
      <c r="BO406" s="286">
        <v>0</v>
      </c>
      <c r="BP406" s="286">
        <v>0</v>
      </c>
      <c r="BQ406" s="286"/>
      <c r="BR406" s="286">
        <v>0</v>
      </c>
      <c r="BS406" s="286">
        <v>0</v>
      </c>
      <c r="BT406" s="286"/>
      <c r="BU406" s="286">
        <v>0</v>
      </c>
      <c r="BV406" s="286">
        <v>0</v>
      </c>
      <c r="BW406" s="286"/>
      <c r="BX406" s="286">
        <v>0</v>
      </c>
      <c r="BY406" s="286">
        <v>0</v>
      </c>
      <c r="BZ406" s="286"/>
      <c r="CA406" s="286">
        <v>0</v>
      </c>
      <c r="CB406" s="286">
        <v>0</v>
      </c>
      <c r="CC406" s="286"/>
      <c r="CD406" s="286">
        <v>0</v>
      </c>
      <c r="CE406" s="286">
        <v>0</v>
      </c>
      <c r="CF406" s="286"/>
      <c r="CG406" s="286">
        <v>166</v>
      </c>
      <c r="CH406" s="286">
        <v>163</v>
      </c>
      <c r="CI406" s="286"/>
      <c r="CJ406" s="286">
        <v>0</v>
      </c>
      <c r="CK406" s="286">
        <v>0</v>
      </c>
    </row>
    <row r="407" spans="1:89" ht="30" x14ac:dyDescent="0.25">
      <c r="A407" s="328"/>
      <c r="B407" s="96" t="s">
        <v>1842</v>
      </c>
      <c r="C407" s="95"/>
      <c r="D407" s="329" t="s">
        <v>950</v>
      </c>
      <c r="E407" s="291"/>
      <c r="F407" s="291"/>
      <c r="G407" s="291"/>
      <c r="H407" s="291"/>
      <c r="I407" s="282">
        <f>I408+I409</f>
        <v>29702</v>
      </c>
      <c r="J407" s="282">
        <f>J408+J409</f>
        <v>30351</v>
      </c>
      <c r="K407" s="282">
        <f>K408+K409</f>
        <v>30753</v>
      </c>
      <c r="L407" s="282">
        <f>L408+L409</f>
        <v>1152</v>
      </c>
      <c r="M407" s="282">
        <v>1181</v>
      </c>
      <c r="N407" s="282">
        <v>1178</v>
      </c>
      <c r="O407" s="286"/>
      <c r="Q407" s="282">
        <f>Q408+Q409</f>
        <v>30753</v>
      </c>
      <c r="R407" s="282">
        <f>R408+R409</f>
        <v>31152</v>
      </c>
      <c r="S407" s="282">
        <f>S408+S409</f>
        <v>702</v>
      </c>
      <c r="T407" s="282">
        <f>T408+T409</f>
        <v>727</v>
      </c>
      <c r="U407" s="286"/>
      <c r="V407" s="282">
        <f>V408+V409</f>
        <v>802</v>
      </c>
      <c r="W407" s="282">
        <f>W408+W409</f>
        <v>787</v>
      </c>
      <c r="X407" s="286"/>
      <c r="Y407" s="282">
        <f>Y408+Y409</f>
        <v>1130</v>
      </c>
      <c r="Z407" s="282">
        <f>Z408+Z409</f>
        <v>1130</v>
      </c>
      <c r="AA407" s="286"/>
      <c r="AB407" s="282">
        <f>AB408+AB409</f>
        <v>942</v>
      </c>
      <c r="AC407" s="282">
        <f>AC408+AC409</f>
        <v>945</v>
      </c>
      <c r="AD407" s="286"/>
      <c r="AE407" s="282">
        <f>AE408+AE409</f>
        <v>1245</v>
      </c>
      <c r="AF407" s="282">
        <f>AF408+AF409</f>
        <v>1203</v>
      </c>
      <c r="AG407" s="286"/>
      <c r="AH407" s="282">
        <f>AH408+AH409</f>
        <v>1168</v>
      </c>
      <c r="AI407" s="282">
        <f>AI408+AI409</f>
        <v>1152</v>
      </c>
      <c r="AJ407" s="286"/>
      <c r="AK407" s="282">
        <f>AK408+AK409</f>
        <v>880</v>
      </c>
      <c r="AL407" s="282">
        <f>AL408+AL409</f>
        <v>884</v>
      </c>
      <c r="AM407" s="286"/>
      <c r="AN407" s="282">
        <f>AN408+AN409</f>
        <v>2283</v>
      </c>
      <c r="AO407" s="282">
        <f>AO408+AO409</f>
        <v>2257</v>
      </c>
      <c r="AP407" s="286"/>
      <c r="AQ407" s="282">
        <f>AQ408+AQ409</f>
        <v>933</v>
      </c>
      <c r="AR407" s="282">
        <f>AR408+AR409</f>
        <v>955</v>
      </c>
      <c r="AS407" s="286"/>
      <c r="AT407" s="282">
        <f>AT408+AT409</f>
        <v>1558</v>
      </c>
      <c r="AU407" s="282">
        <f>AU408+AU409</f>
        <v>1598</v>
      </c>
      <c r="AV407" s="286"/>
      <c r="AW407" s="282">
        <f>AW408+AW409</f>
        <v>639</v>
      </c>
      <c r="AX407" s="282">
        <f>AX408+AX409</f>
        <v>645</v>
      </c>
      <c r="AY407" s="286"/>
      <c r="AZ407" s="282">
        <f>AZ408+AZ409</f>
        <v>1012</v>
      </c>
      <c r="BA407" s="282">
        <f>BA408+BA409</f>
        <v>993</v>
      </c>
      <c r="BB407" s="286"/>
      <c r="BC407" s="282">
        <f>BC408+BC409</f>
        <v>1732</v>
      </c>
      <c r="BD407" s="282">
        <f>BD408+BD409</f>
        <v>1763</v>
      </c>
      <c r="BE407" s="286"/>
      <c r="BF407" s="282">
        <f>BF408+BF409</f>
        <v>3375</v>
      </c>
      <c r="BG407" s="282">
        <f>BG408+BG409</f>
        <v>3436</v>
      </c>
      <c r="BH407" s="286"/>
      <c r="BI407" s="282">
        <f>BI408+BI409</f>
        <v>5206</v>
      </c>
      <c r="BJ407" s="282">
        <f>BJ408+BJ409</f>
        <v>5359</v>
      </c>
      <c r="BK407" s="286"/>
      <c r="BL407" s="282">
        <f>BL408+BL409</f>
        <v>632</v>
      </c>
      <c r="BM407" s="282">
        <f>BM408+BM409</f>
        <v>624</v>
      </c>
      <c r="BN407" s="286"/>
      <c r="BO407" s="282">
        <f>BO408+BO409</f>
        <v>601</v>
      </c>
      <c r="BP407" s="282">
        <f>BP408+BP409</f>
        <v>616</v>
      </c>
      <c r="BQ407" s="286"/>
      <c r="BR407" s="282">
        <f>BR408+BR409</f>
        <v>937</v>
      </c>
      <c r="BS407" s="282">
        <f>BS408+BS409</f>
        <v>940</v>
      </c>
      <c r="BT407" s="286"/>
      <c r="BU407" s="282">
        <f>BU408+BU409</f>
        <v>812</v>
      </c>
      <c r="BV407" s="282">
        <f>BV408+BV409</f>
        <v>821</v>
      </c>
      <c r="BW407" s="286"/>
      <c r="BX407" s="282">
        <f>BX408+BX409</f>
        <v>266</v>
      </c>
      <c r="BY407" s="282">
        <f>BY408+BY409</f>
        <v>274</v>
      </c>
      <c r="BZ407" s="286"/>
      <c r="CA407" s="282">
        <f>CA408+CA409</f>
        <v>699</v>
      </c>
      <c r="CB407" s="282">
        <f>CB408+CB409</f>
        <v>805</v>
      </c>
      <c r="CC407" s="286"/>
      <c r="CD407" s="282">
        <f>CD408+CD409</f>
        <v>995</v>
      </c>
      <c r="CE407" s="282">
        <f>CE408+CE409</f>
        <v>988</v>
      </c>
      <c r="CF407" s="286"/>
      <c r="CG407" s="282">
        <f>CG408+CG409</f>
        <v>1839</v>
      </c>
      <c r="CH407" s="282">
        <f>CH408+CH409</f>
        <v>1875</v>
      </c>
      <c r="CI407" s="286"/>
      <c r="CJ407" s="282">
        <f>CJ408+CJ409</f>
        <v>365</v>
      </c>
      <c r="CK407" s="282">
        <f>CK408+CK409</f>
        <v>375</v>
      </c>
    </row>
    <row r="408" spans="1:89" ht="30" x14ac:dyDescent="0.25">
      <c r="A408" s="328"/>
      <c r="B408" s="96" t="s">
        <v>1183</v>
      </c>
      <c r="C408" s="312" t="s">
        <v>1844</v>
      </c>
      <c r="D408" s="329" t="s">
        <v>950</v>
      </c>
      <c r="E408" s="291"/>
      <c r="F408" s="291"/>
      <c r="G408" s="291"/>
      <c r="H408" s="291"/>
      <c r="I408" s="282">
        <f>24034-127</f>
        <v>23907</v>
      </c>
      <c r="J408" s="282">
        <v>24477</v>
      </c>
      <c r="K408" s="282">
        <v>24904</v>
      </c>
      <c r="L408" s="282">
        <v>419</v>
      </c>
      <c r="M408" s="282">
        <v>454</v>
      </c>
      <c r="N408" s="282">
        <v>462</v>
      </c>
      <c r="P408" s="286"/>
      <c r="Q408" s="286">
        <f>S408+V408+Y408+AB408+AE408+AH408+AK408+AN408+AQ408+AT408+AW408+AZ408+BC408+BF408+BI408+BL408+BO408+BR408+BU408+BX408+CA408+CD408+CG408+CJ408</f>
        <v>24904</v>
      </c>
      <c r="R408" s="286">
        <f>T408+W408+Z408+AC408+AF408+AI408+AL408+AO408+AR408+AU408+AX408+BA408+BD408+BG408+BJ408+BM408+BP408+BS408+BV408+BY408+CB408+CE408+CH408+CK408</f>
        <v>25402</v>
      </c>
      <c r="S408" s="286">
        <v>293</v>
      </c>
      <c r="T408" s="286">
        <v>323</v>
      </c>
      <c r="U408" s="286"/>
      <c r="V408" s="286">
        <v>335</v>
      </c>
      <c r="W408" s="286">
        <v>324</v>
      </c>
      <c r="X408" s="286"/>
      <c r="Y408" s="286">
        <v>441</v>
      </c>
      <c r="Z408" s="286">
        <v>435</v>
      </c>
      <c r="AA408" s="286"/>
      <c r="AB408" s="286">
        <v>345</v>
      </c>
      <c r="AC408" s="286">
        <v>352</v>
      </c>
      <c r="AD408" s="286"/>
      <c r="AE408" s="286">
        <v>640</v>
      </c>
      <c r="AF408" s="286">
        <v>666</v>
      </c>
      <c r="AG408" s="286"/>
      <c r="AH408" s="286">
        <v>424</v>
      </c>
      <c r="AI408" s="286">
        <v>419</v>
      </c>
      <c r="AJ408" s="286"/>
      <c r="AK408" s="286">
        <v>813</v>
      </c>
      <c r="AL408" s="286">
        <v>820</v>
      </c>
      <c r="AM408" s="286"/>
      <c r="AN408" s="286">
        <v>1289</v>
      </c>
      <c r="AO408" s="286">
        <v>1293</v>
      </c>
      <c r="AP408" s="286"/>
      <c r="AQ408" s="286">
        <v>0</v>
      </c>
      <c r="AR408" s="286">
        <v>0</v>
      </c>
      <c r="AS408" s="286"/>
      <c r="AT408" s="286">
        <v>1558</v>
      </c>
      <c r="AU408" s="286">
        <v>1598</v>
      </c>
      <c r="AV408" s="286"/>
      <c r="AW408" s="286">
        <v>639</v>
      </c>
      <c r="AX408" s="286">
        <v>645</v>
      </c>
      <c r="AY408" s="286"/>
      <c r="AZ408" s="286">
        <v>1012</v>
      </c>
      <c r="BA408" s="286">
        <v>993</v>
      </c>
      <c r="BB408" s="286"/>
      <c r="BC408" s="286">
        <v>1732</v>
      </c>
      <c r="BD408" s="286">
        <v>1763</v>
      </c>
      <c r="BE408" s="286"/>
      <c r="BF408" s="286">
        <v>3375</v>
      </c>
      <c r="BG408" s="286">
        <v>3436</v>
      </c>
      <c r="BH408" s="286"/>
      <c r="BI408" s="286">
        <v>5206</v>
      </c>
      <c r="BJ408" s="286">
        <v>5359</v>
      </c>
      <c r="BK408" s="286"/>
      <c r="BL408" s="286">
        <v>632</v>
      </c>
      <c r="BM408" s="286">
        <v>624</v>
      </c>
      <c r="BN408" s="286"/>
      <c r="BO408" s="286">
        <v>601</v>
      </c>
      <c r="BP408" s="286">
        <v>616</v>
      </c>
      <c r="BQ408" s="286"/>
      <c r="BR408" s="286">
        <v>937</v>
      </c>
      <c r="BS408" s="286">
        <v>940</v>
      </c>
      <c r="BT408" s="286"/>
      <c r="BU408" s="286">
        <v>812</v>
      </c>
      <c r="BV408" s="286">
        <v>821</v>
      </c>
      <c r="BW408" s="286"/>
      <c r="BX408" s="286">
        <v>266</v>
      </c>
      <c r="BY408" s="286">
        <v>274</v>
      </c>
      <c r="BZ408" s="286"/>
      <c r="CA408" s="286">
        <v>699</v>
      </c>
      <c r="CB408" s="286">
        <v>805</v>
      </c>
      <c r="CC408" s="286"/>
      <c r="CD408" s="286">
        <v>995</v>
      </c>
      <c r="CE408" s="286">
        <v>988</v>
      </c>
      <c r="CF408" s="286"/>
      <c r="CG408" s="286">
        <v>1495</v>
      </c>
      <c r="CH408" s="286">
        <v>1533</v>
      </c>
      <c r="CI408" s="286"/>
      <c r="CJ408" s="286">
        <v>365</v>
      </c>
      <c r="CK408" s="286">
        <v>375</v>
      </c>
    </row>
    <row r="409" spans="1:89" ht="30" x14ac:dyDescent="0.25">
      <c r="A409" s="328"/>
      <c r="B409" s="96" t="s">
        <v>1185</v>
      </c>
      <c r="C409" s="312" t="s">
        <v>1844</v>
      </c>
      <c r="D409" s="329" t="s">
        <v>950</v>
      </c>
      <c r="E409" s="291"/>
      <c r="F409" s="291"/>
      <c r="G409" s="291"/>
      <c r="H409" s="291"/>
      <c r="I409" s="282">
        <v>5795</v>
      </c>
      <c r="J409" s="282">
        <v>5874</v>
      </c>
      <c r="K409" s="282">
        <v>5849</v>
      </c>
      <c r="L409" s="282">
        <v>733</v>
      </c>
      <c r="M409" s="282">
        <v>727</v>
      </c>
      <c r="N409" s="282">
        <v>716</v>
      </c>
      <c r="P409" s="286"/>
      <c r="Q409" s="286">
        <f>S409+V409+Y409+AB409+AE409+AH409+AK409+AN409+AQ409+AT409+AW409+AZ409+BC409+BF409+BI409+BL409+BO409+BR409+BU409+BX409+CA409+CD409+CG409+CJ409</f>
        <v>5849</v>
      </c>
      <c r="R409" s="286">
        <f>T409+W409+Z409+AC409+AF409+AI409+AL409+AO409+AR409+AU409+AX409+BA409+BD409+BG409+BJ409+BM409+BP409+BS409+BV409+BY409+CB409+CE409+CH409+CK409</f>
        <v>5750</v>
      </c>
      <c r="S409" s="286">
        <v>409</v>
      </c>
      <c r="T409" s="286">
        <v>404</v>
      </c>
      <c r="U409" s="286"/>
      <c r="V409" s="286">
        <v>467</v>
      </c>
      <c r="W409" s="286">
        <v>463</v>
      </c>
      <c r="X409" s="286"/>
      <c r="Y409" s="286">
        <v>689</v>
      </c>
      <c r="Z409" s="286">
        <v>695</v>
      </c>
      <c r="AA409" s="286"/>
      <c r="AB409" s="286">
        <v>597</v>
      </c>
      <c r="AC409" s="286">
        <v>593</v>
      </c>
      <c r="AD409" s="286"/>
      <c r="AE409" s="286">
        <v>605</v>
      </c>
      <c r="AF409" s="286">
        <v>537</v>
      </c>
      <c r="AG409" s="286"/>
      <c r="AH409" s="286">
        <v>744</v>
      </c>
      <c r="AI409" s="286">
        <v>733</v>
      </c>
      <c r="AJ409" s="286"/>
      <c r="AK409" s="286">
        <v>67</v>
      </c>
      <c r="AL409" s="286">
        <v>64</v>
      </c>
      <c r="AM409" s="286"/>
      <c r="AN409" s="286">
        <v>994</v>
      </c>
      <c r="AO409" s="286">
        <v>964</v>
      </c>
      <c r="AP409" s="286"/>
      <c r="AQ409" s="286">
        <v>933</v>
      </c>
      <c r="AR409" s="286">
        <v>955</v>
      </c>
      <c r="AS409" s="286"/>
      <c r="AT409" s="302">
        <v>0</v>
      </c>
      <c r="AU409" s="286">
        <v>0</v>
      </c>
      <c r="AV409" s="286"/>
      <c r="AW409" s="302">
        <v>0</v>
      </c>
      <c r="AX409" s="286">
        <v>0</v>
      </c>
      <c r="AY409" s="286"/>
      <c r="AZ409" s="302">
        <v>0</v>
      </c>
      <c r="BA409" s="286">
        <v>0</v>
      </c>
      <c r="BB409" s="286"/>
      <c r="BC409" s="302">
        <v>0</v>
      </c>
      <c r="BD409" s="286">
        <v>0</v>
      </c>
      <c r="BE409" s="286"/>
      <c r="BF409" s="302">
        <v>0</v>
      </c>
      <c r="BG409" s="286">
        <v>0</v>
      </c>
      <c r="BH409" s="286"/>
      <c r="BI409" s="302">
        <v>0</v>
      </c>
      <c r="BJ409" s="286">
        <v>0</v>
      </c>
      <c r="BK409" s="286"/>
      <c r="BL409" s="302">
        <v>0</v>
      </c>
      <c r="BM409" s="286">
        <v>0</v>
      </c>
      <c r="BN409" s="286"/>
      <c r="BO409" s="302">
        <v>0</v>
      </c>
      <c r="BP409" s="286">
        <v>0</v>
      </c>
      <c r="BQ409" s="286"/>
      <c r="BR409" s="302">
        <v>0</v>
      </c>
      <c r="BS409" s="286">
        <v>0</v>
      </c>
      <c r="BT409" s="286"/>
      <c r="BU409" s="302">
        <v>0</v>
      </c>
      <c r="BV409" s="286">
        <v>0</v>
      </c>
      <c r="BW409" s="286"/>
      <c r="BX409" s="302">
        <v>0</v>
      </c>
      <c r="BY409" s="286">
        <v>0</v>
      </c>
      <c r="BZ409" s="286"/>
      <c r="CA409" s="302">
        <v>0</v>
      </c>
      <c r="CB409" s="286">
        <v>0</v>
      </c>
      <c r="CC409" s="286"/>
      <c r="CD409" s="302">
        <v>0</v>
      </c>
      <c r="CE409" s="286">
        <v>0</v>
      </c>
      <c r="CF409" s="286"/>
      <c r="CG409" s="286">
        <v>344</v>
      </c>
      <c r="CH409" s="286">
        <v>342</v>
      </c>
      <c r="CI409" s="286"/>
      <c r="CJ409" s="302">
        <v>0</v>
      </c>
      <c r="CK409" s="302">
        <v>0</v>
      </c>
    </row>
    <row r="410" spans="1:89" x14ac:dyDescent="0.25">
      <c r="A410" s="328"/>
      <c r="B410" s="96" t="s">
        <v>1302</v>
      </c>
      <c r="C410" s="95"/>
      <c r="D410" s="329" t="s">
        <v>8</v>
      </c>
      <c r="E410" s="291"/>
      <c r="F410" s="291"/>
      <c r="G410" s="291"/>
      <c r="H410" s="291"/>
      <c r="I410" s="279">
        <f t="shared" ref="I410:J412" si="815">I413/I416*100</f>
        <v>60.629921259842526</v>
      </c>
      <c r="J410" s="279">
        <f t="shared" si="815"/>
        <v>61.65413533834586</v>
      </c>
      <c r="K410" s="279">
        <f t="shared" ref="K410:M412" si="816">K413/K416*100</f>
        <v>61.417322834645674</v>
      </c>
      <c r="L410" s="279" t="e">
        <f t="shared" si="816"/>
        <v>#DIV/0!</v>
      </c>
      <c r="M410" s="279" t="e">
        <f t="shared" si="816"/>
        <v>#DIV/0!</v>
      </c>
      <c r="N410" s="279" t="e">
        <f t="shared" ref="N410" si="817">N413/N416*100</f>
        <v>#DIV/0!</v>
      </c>
      <c r="Q410" s="279">
        <f t="shared" ref="Q410:T412" si="818">Q413/Q416*100</f>
        <v>61.417322834645674</v>
      </c>
      <c r="R410" s="279">
        <f t="shared" si="818"/>
        <v>59.375</v>
      </c>
      <c r="S410" s="279" t="e">
        <f t="shared" si="818"/>
        <v>#DIV/0!</v>
      </c>
      <c r="T410" s="279" t="e">
        <f t="shared" si="818"/>
        <v>#DIV/0!</v>
      </c>
      <c r="V410" s="279" t="e">
        <f t="shared" ref="V410:W412" si="819">V413/V416*100</f>
        <v>#DIV/0!</v>
      </c>
      <c r="W410" s="279" t="e">
        <f t="shared" si="819"/>
        <v>#DIV/0!</v>
      </c>
      <c r="Y410" s="279" t="e">
        <f t="shared" ref="Y410:Z412" si="820">Y413/Y416*100</f>
        <v>#DIV/0!</v>
      </c>
      <c r="Z410" s="279" t="e">
        <f t="shared" si="820"/>
        <v>#DIV/0!</v>
      </c>
      <c r="AB410" s="279" t="e">
        <f t="shared" ref="AB410:AC412" si="821">AB413/AB416*100</f>
        <v>#DIV/0!</v>
      </c>
      <c r="AC410" s="279" t="e">
        <f t="shared" si="821"/>
        <v>#DIV/0!</v>
      </c>
      <c r="AE410" s="279" t="e">
        <f t="shared" ref="AE410:AF412" si="822">AE413/AE416*100</f>
        <v>#DIV/0!</v>
      </c>
      <c r="AF410" s="279" t="e">
        <f t="shared" si="822"/>
        <v>#DIV/0!</v>
      </c>
      <c r="AH410" s="279" t="e">
        <f t="shared" ref="AH410:AI412" si="823">AH413/AH416*100</f>
        <v>#DIV/0!</v>
      </c>
      <c r="AI410" s="279" t="e">
        <f t="shared" si="823"/>
        <v>#DIV/0!</v>
      </c>
      <c r="AK410" s="279" t="e">
        <f t="shared" ref="AK410:AL412" si="824">AK413/AK416*100</f>
        <v>#DIV/0!</v>
      </c>
      <c r="AL410" s="279" t="e">
        <f t="shared" si="824"/>
        <v>#DIV/0!</v>
      </c>
      <c r="AN410" s="279" t="e">
        <f t="shared" ref="AN410:AO412" si="825">AN413/AN416*100</f>
        <v>#DIV/0!</v>
      </c>
      <c r="AO410" s="279" t="e">
        <f t="shared" si="825"/>
        <v>#DIV/0!</v>
      </c>
      <c r="AQ410" s="279" t="e">
        <f t="shared" ref="AQ410:AR412" si="826">AQ413/AQ416*100</f>
        <v>#DIV/0!</v>
      </c>
      <c r="AR410" s="279" t="e">
        <f t="shared" si="826"/>
        <v>#DIV/0!</v>
      </c>
      <c r="AT410" s="279" t="e">
        <f t="shared" ref="AT410:AU412" si="827">AT413/AT416*100</f>
        <v>#DIV/0!</v>
      </c>
      <c r="AU410" s="279" t="e">
        <f t="shared" si="827"/>
        <v>#DIV/0!</v>
      </c>
      <c r="AW410" s="279" t="e">
        <f t="shared" ref="AW410:AX412" si="828">AW413/AW416*100</f>
        <v>#DIV/0!</v>
      </c>
      <c r="AX410" s="279" t="e">
        <f t="shared" si="828"/>
        <v>#DIV/0!</v>
      </c>
      <c r="AZ410" s="279" t="e">
        <f t="shared" ref="AZ410:BA412" si="829">AZ413/AZ416*100</f>
        <v>#DIV/0!</v>
      </c>
      <c r="BA410" s="279" t="e">
        <f t="shared" si="829"/>
        <v>#DIV/0!</v>
      </c>
      <c r="BC410" s="279">
        <f t="shared" ref="BC410:BD412" si="830">BC413/BC416*100</f>
        <v>58.333333333333336</v>
      </c>
      <c r="BD410" s="279">
        <f t="shared" si="830"/>
        <v>58.333333333333336</v>
      </c>
      <c r="BF410" s="279">
        <f t="shared" ref="BF410:BG412" si="831">BF413/BF416*100</f>
        <v>46.666666666666664</v>
      </c>
      <c r="BG410" s="279">
        <f t="shared" si="831"/>
        <v>42.857142857142854</v>
      </c>
      <c r="BI410" s="279">
        <f t="shared" ref="BI410:BJ412" si="832">BI413/BI416*100</f>
        <v>62.264150943396224</v>
      </c>
      <c r="BJ410" s="279">
        <f t="shared" si="832"/>
        <v>60.784313725490193</v>
      </c>
      <c r="BL410" s="279" t="e">
        <f t="shared" ref="BL410:BM412" si="833">BL413/BL416*100</f>
        <v>#DIV/0!</v>
      </c>
      <c r="BM410" s="279" t="e">
        <f t="shared" si="833"/>
        <v>#DIV/0!</v>
      </c>
      <c r="BO410" s="279" t="e">
        <f t="shared" ref="BO410:BP412" si="834">BO413/BO416*100</f>
        <v>#DIV/0!</v>
      </c>
      <c r="BP410" s="279" t="e">
        <f t="shared" si="834"/>
        <v>#DIV/0!</v>
      </c>
      <c r="BR410" s="279" t="e">
        <f t="shared" ref="BR410:BS412" si="835">BR413/BR416*100</f>
        <v>#DIV/0!</v>
      </c>
      <c r="BS410" s="279" t="e">
        <f t="shared" si="835"/>
        <v>#DIV/0!</v>
      </c>
      <c r="BU410" s="279" t="e">
        <f t="shared" ref="BU410:BV412" si="836">BU413/BU416*100</f>
        <v>#DIV/0!</v>
      </c>
      <c r="BV410" s="279" t="e">
        <f t="shared" si="836"/>
        <v>#DIV/0!</v>
      </c>
      <c r="BX410" s="279" t="e">
        <f t="shared" ref="BX410:BY412" si="837">BX413/BX416*100</f>
        <v>#DIV/0!</v>
      </c>
      <c r="BY410" s="279" t="e">
        <f t="shared" si="837"/>
        <v>#DIV/0!</v>
      </c>
      <c r="CA410" s="279" t="e">
        <f t="shared" ref="CA410:CB412" si="838">CA413/CA416*100</f>
        <v>#DIV/0!</v>
      </c>
      <c r="CB410" s="279" t="e">
        <f t="shared" si="838"/>
        <v>#DIV/0!</v>
      </c>
      <c r="CD410" s="279">
        <f t="shared" ref="CD410:CE412" si="839">CD413/CD416*100</f>
        <v>85</v>
      </c>
      <c r="CE410" s="279">
        <f t="shared" si="839"/>
        <v>76</v>
      </c>
      <c r="CG410" s="279" t="e">
        <f t="shared" ref="CG410:CH412" si="840">CG413/CG416*100</f>
        <v>#DIV/0!</v>
      </c>
      <c r="CH410" s="279" t="e">
        <f t="shared" si="840"/>
        <v>#DIV/0!</v>
      </c>
      <c r="CJ410" s="279" t="e">
        <f t="shared" ref="CJ410:CK412" si="841">CJ413/CJ416*100</f>
        <v>#DIV/0!</v>
      </c>
      <c r="CK410" s="279" t="e">
        <f t="shared" si="841"/>
        <v>#DIV/0!</v>
      </c>
    </row>
    <row r="411" spans="1:89" x14ac:dyDescent="0.25">
      <c r="A411" s="328"/>
      <c r="B411" s="96" t="s">
        <v>1303</v>
      </c>
      <c r="C411" s="95"/>
      <c r="D411" s="329" t="s">
        <v>8</v>
      </c>
      <c r="E411" s="291"/>
      <c r="F411" s="291"/>
      <c r="G411" s="291"/>
      <c r="H411" s="291"/>
      <c r="I411" s="279">
        <f t="shared" si="815"/>
        <v>60.629921259842526</v>
      </c>
      <c r="J411" s="279">
        <f t="shared" si="815"/>
        <v>61.65413533834586</v>
      </c>
      <c r="K411" s="279">
        <f t="shared" si="816"/>
        <v>61.417322834645674</v>
      </c>
      <c r="L411" s="279" t="e">
        <f t="shared" si="816"/>
        <v>#DIV/0!</v>
      </c>
      <c r="M411" s="279" t="e">
        <f t="shared" si="816"/>
        <v>#DIV/0!</v>
      </c>
      <c r="N411" s="279" t="e">
        <f t="shared" ref="N411" si="842">N414/N417*100</f>
        <v>#DIV/0!</v>
      </c>
      <c r="Q411" s="279">
        <f t="shared" si="818"/>
        <v>61.417322834645674</v>
      </c>
      <c r="R411" s="279">
        <f t="shared" si="818"/>
        <v>59.375</v>
      </c>
      <c r="S411" s="279" t="e">
        <f t="shared" si="818"/>
        <v>#DIV/0!</v>
      </c>
      <c r="T411" s="279" t="e">
        <f t="shared" si="818"/>
        <v>#DIV/0!</v>
      </c>
      <c r="V411" s="279" t="e">
        <f t="shared" si="819"/>
        <v>#DIV/0!</v>
      </c>
      <c r="W411" s="279" t="e">
        <f t="shared" si="819"/>
        <v>#DIV/0!</v>
      </c>
      <c r="Y411" s="279" t="e">
        <f t="shared" si="820"/>
        <v>#DIV/0!</v>
      </c>
      <c r="Z411" s="279" t="e">
        <f t="shared" si="820"/>
        <v>#DIV/0!</v>
      </c>
      <c r="AB411" s="279" t="e">
        <f t="shared" si="821"/>
        <v>#DIV/0!</v>
      </c>
      <c r="AC411" s="279" t="e">
        <f t="shared" si="821"/>
        <v>#DIV/0!</v>
      </c>
      <c r="AE411" s="279" t="e">
        <f t="shared" si="822"/>
        <v>#DIV/0!</v>
      </c>
      <c r="AF411" s="279" t="e">
        <f t="shared" si="822"/>
        <v>#DIV/0!</v>
      </c>
      <c r="AH411" s="279" t="e">
        <f t="shared" si="823"/>
        <v>#DIV/0!</v>
      </c>
      <c r="AI411" s="279" t="e">
        <f t="shared" si="823"/>
        <v>#DIV/0!</v>
      </c>
      <c r="AK411" s="279" t="e">
        <f t="shared" si="824"/>
        <v>#DIV/0!</v>
      </c>
      <c r="AL411" s="279" t="e">
        <f t="shared" si="824"/>
        <v>#DIV/0!</v>
      </c>
      <c r="AN411" s="279" t="e">
        <f t="shared" si="825"/>
        <v>#DIV/0!</v>
      </c>
      <c r="AO411" s="279" t="e">
        <f t="shared" si="825"/>
        <v>#DIV/0!</v>
      </c>
      <c r="AQ411" s="279" t="e">
        <f t="shared" si="826"/>
        <v>#DIV/0!</v>
      </c>
      <c r="AR411" s="279" t="e">
        <f t="shared" si="826"/>
        <v>#DIV/0!</v>
      </c>
      <c r="AT411" s="279" t="e">
        <f t="shared" si="827"/>
        <v>#DIV/0!</v>
      </c>
      <c r="AU411" s="279" t="e">
        <f t="shared" si="827"/>
        <v>#DIV/0!</v>
      </c>
      <c r="AW411" s="279" t="e">
        <f t="shared" si="828"/>
        <v>#DIV/0!</v>
      </c>
      <c r="AX411" s="279" t="e">
        <f t="shared" si="828"/>
        <v>#DIV/0!</v>
      </c>
      <c r="AZ411" s="279" t="e">
        <f t="shared" si="829"/>
        <v>#DIV/0!</v>
      </c>
      <c r="BA411" s="279" t="e">
        <f t="shared" si="829"/>
        <v>#DIV/0!</v>
      </c>
      <c r="BC411" s="279">
        <f t="shared" si="830"/>
        <v>58.333333333333336</v>
      </c>
      <c r="BD411" s="279">
        <f t="shared" si="830"/>
        <v>58.333333333333336</v>
      </c>
      <c r="BF411" s="279">
        <f t="shared" si="831"/>
        <v>46.666666666666664</v>
      </c>
      <c r="BG411" s="279">
        <f t="shared" si="831"/>
        <v>42.857142857142854</v>
      </c>
      <c r="BI411" s="279">
        <f t="shared" si="832"/>
        <v>62.264150943396224</v>
      </c>
      <c r="BJ411" s="279">
        <f t="shared" si="832"/>
        <v>60.784313725490193</v>
      </c>
      <c r="BL411" s="279" t="e">
        <f t="shared" si="833"/>
        <v>#DIV/0!</v>
      </c>
      <c r="BM411" s="279" t="e">
        <f t="shared" si="833"/>
        <v>#DIV/0!</v>
      </c>
      <c r="BO411" s="279" t="e">
        <f t="shared" si="834"/>
        <v>#DIV/0!</v>
      </c>
      <c r="BP411" s="279" t="e">
        <f t="shared" si="834"/>
        <v>#DIV/0!</v>
      </c>
      <c r="BR411" s="279" t="e">
        <f t="shared" si="835"/>
        <v>#DIV/0!</v>
      </c>
      <c r="BS411" s="279" t="e">
        <f t="shared" si="835"/>
        <v>#DIV/0!</v>
      </c>
      <c r="BU411" s="279" t="e">
        <f t="shared" si="836"/>
        <v>#DIV/0!</v>
      </c>
      <c r="BV411" s="279" t="e">
        <f t="shared" si="836"/>
        <v>#DIV/0!</v>
      </c>
      <c r="BX411" s="279" t="e">
        <f t="shared" si="837"/>
        <v>#DIV/0!</v>
      </c>
      <c r="BY411" s="279" t="e">
        <f t="shared" si="837"/>
        <v>#DIV/0!</v>
      </c>
      <c r="CA411" s="279" t="e">
        <f t="shared" si="838"/>
        <v>#DIV/0!</v>
      </c>
      <c r="CB411" s="279" t="e">
        <f t="shared" si="838"/>
        <v>#DIV/0!</v>
      </c>
      <c r="CD411" s="279">
        <f t="shared" si="839"/>
        <v>85</v>
      </c>
      <c r="CE411" s="279">
        <f t="shared" si="839"/>
        <v>76</v>
      </c>
      <c r="CG411" s="279" t="e">
        <f t="shared" si="840"/>
        <v>#DIV/0!</v>
      </c>
      <c r="CH411" s="279" t="e">
        <f t="shared" si="840"/>
        <v>#DIV/0!</v>
      </c>
      <c r="CJ411" s="279" t="e">
        <f t="shared" si="841"/>
        <v>#DIV/0!</v>
      </c>
      <c r="CK411" s="279" t="e">
        <f t="shared" si="841"/>
        <v>#DIV/0!</v>
      </c>
    </row>
    <row r="412" spans="1:89" x14ac:dyDescent="0.25">
      <c r="A412" s="328"/>
      <c r="B412" s="96" t="s">
        <v>1304</v>
      </c>
      <c r="C412" s="95"/>
      <c r="D412" s="329" t="s">
        <v>8</v>
      </c>
      <c r="E412" s="291"/>
      <c r="F412" s="291"/>
      <c r="G412" s="291"/>
      <c r="H412" s="291"/>
      <c r="I412" s="279" t="e">
        <f t="shared" si="815"/>
        <v>#DIV/0!</v>
      </c>
      <c r="J412" s="279" t="e">
        <f t="shared" si="815"/>
        <v>#DIV/0!</v>
      </c>
      <c r="K412" s="279" t="e">
        <f t="shared" si="816"/>
        <v>#DIV/0!</v>
      </c>
      <c r="L412" s="279" t="e">
        <f t="shared" si="816"/>
        <v>#DIV/0!</v>
      </c>
      <c r="M412" s="279" t="e">
        <f t="shared" si="816"/>
        <v>#DIV/0!</v>
      </c>
      <c r="N412" s="279" t="e">
        <f t="shared" ref="N412" si="843">N415/N418*100</f>
        <v>#DIV/0!</v>
      </c>
      <c r="Q412" s="279" t="e">
        <f t="shared" si="818"/>
        <v>#DIV/0!</v>
      </c>
      <c r="R412" s="279" t="e">
        <f t="shared" si="818"/>
        <v>#DIV/0!</v>
      </c>
      <c r="S412" s="279" t="e">
        <f t="shared" si="818"/>
        <v>#DIV/0!</v>
      </c>
      <c r="T412" s="279" t="e">
        <f t="shared" si="818"/>
        <v>#DIV/0!</v>
      </c>
      <c r="V412" s="279" t="e">
        <f t="shared" si="819"/>
        <v>#DIV/0!</v>
      </c>
      <c r="W412" s="279" t="e">
        <f t="shared" si="819"/>
        <v>#DIV/0!</v>
      </c>
      <c r="Y412" s="279" t="e">
        <f t="shared" si="820"/>
        <v>#DIV/0!</v>
      </c>
      <c r="Z412" s="279" t="e">
        <f t="shared" si="820"/>
        <v>#DIV/0!</v>
      </c>
      <c r="AB412" s="279" t="e">
        <f t="shared" si="821"/>
        <v>#DIV/0!</v>
      </c>
      <c r="AC412" s="279" t="e">
        <f t="shared" si="821"/>
        <v>#DIV/0!</v>
      </c>
      <c r="AE412" s="279" t="e">
        <f t="shared" si="822"/>
        <v>#DIV/0!</v>
      </c>
      <c r="AF412" s="279" t="e">
        <f t="shared" si="822"/>
        <v>#DIV/0!</v>
      </c>
      <c r="AH412" s="279" t="e">
        <f t="shared" si="823"/>
        <v>#DIV/0!</v>
      </c>
      <c r="AI412" s="279" t="e">
        <f t="shared" si="823"/>
        <v>#DIV/0!</v>
      </c>
      <c r="AK412" s="279" t="e">
        <f t="shared" si="824"/>
        <v>#DIV/0!</v>
      </c>
      <c r="AL412" s="279" t="e">
        <f t="shared" si="824"/>
        <v>#DIV/0!</v>
      </c>
      <c r="AN412" s="279" t="e">
        <f t="shared" si="825"/>
        <v>#DIV/0!</v>
      </c>
      <c r="AO412" s="279" t="e">
        <f t="shared" si="825"/>
        <v>#DIV/0!</v>
      </c>
      <c r="AQ412" s="279" t="e">
        <f t="shared" si="826"/>
        <v>#DIV/0!</v>
      </c>
      <c r="AR412" s="279" t="e">
        <f t="shared" si="826"/>
        <v>#DIV/0!</v>
      </c>
      <c r="AT412" s="279" t="e">
        <f t="shared" si="827"/>
        <v>#DIV/0!</v>
      </c>
      <c r="AU412" s="279" t="e">
        <f t="shared" si="827"/>
        <v>#DIV/0!</v>
      </c>
      <c r="AW412" s="279" t="e">
        <f t="shared" si="828"/>
        <v>#DIV/0!</v>
      </c>
      <c r="AX412" s="279" t="e">
        <f t="shared" si="828"/>
        <v>#DIV/0!</v>
      </c>
      <c r="AZ412" s="279" t="e">
        <f t="shared" si="829"/>
        <v>#DIV/0!</v>
      </c>
      <c r="BA412" s="279" t="e">
        <f t="shared" si="829"/>
        <v>#DIV/0!</v>
      </c>
      <c r="BC412" s="279" t="e">
        <f t="shared" si="830"/>
        <v>#DIV/0!</v>
      </c>
      <c r="BD412" s="279" t="e">
        <f t="shared" si="830"/>
        <v>#DIV/0!</v>
      </c>
      <c r="BF412" s="279" t="e">
        <f t="shared" si="831"/>
        <v>#DIV/0!</v>
      </c>
      <c r="BG412" s="279" t="e">
        <f t="shared" si="831"/>
        <v>#DIV/0!</v>
      </c>
      <c r="BI412" s="279" t="e">
        <f t="shared" si="832"/>
        <v>#DIV/0!</v>
      </c>
      <c r="BJ412" s="279" t="e">
        <f t="shared" si="832"/>
        <v>#DIV/0!</v>
      </c>
      <c r="BL412" s="279" t="e">
        <f t="shared" si="833"/>
        <v>#DIV/0!</v>
      </c>
      <c r="BM412" s="279" t="e">
        <f t="shared" si="833"/>
        <v>#DIV/0!</v>
      </c>
      <c r="BO412" s="279" t="e">
        <f t="shared" si="834"/>
        <v>#DIV/0!</v>
      </c>
      <c r="BP412" s="279" t="e">
        <f t="shared" si="834"/>
        <v>#DIV/0!</v>
      </c>
      <c r="BR412" s="279" t="e">
        <f t="shared" si="835"/>
        <v>#DIV/0!</v>
      </c>
      <c r="BS412" s="279" t="e">
        <f t="shared" si="835"/>
        <v>#DIV/0!</v>
      </c>
      <c r="BU412" s="279" t="e">
        <f t="shared" si="836"/>
        <v>#DIV/0!</v>
      </c>
      <c r="BV412" s="279" t="e">
        <f t="shared" si="836"/>
        <v>#DIV/0!</v>
      </c>
      <c r="BX412" s="279" t="e">
        <f t="shared" si="837"/>
        <v>#DIV/0!</v>
      </c>
      <c r="BY412" s="279" t="e">
        <f t="shared" si="837"/>
        <v>#DIV/0!</v>
      </c>
      <c r="CA412" s="279" t="e">
        <f t="shared" si="838"/>
        <v>#DIV/0!</v>
      </c>
      <c r="CB412" s="279" t="e">
        <f t="shared" si="838"/>
        <v>#DIV/0!</v>
      </c>
      <c r="CD412" s="279" t="e">
        <f t="shared" si="839"/>
        <v>#DIV/0!</v>
      </c>
      <c r="CE412" s="279" t="e">
        <f t="shared" si="839"/>
        <v>#DIV/0!</v>
      </c>
      <c r="CG412" s="279" t="e">
        <f t="shared" si="840"/>
        <v>#DIV/0!</v>
      </c>
      <c r="CH412" s="279" t="e">
        <f t="shared" si="840"/>
        <v>#DIV/0!</v>
      </c>
      <c r="CJ412" s="279" t="e">
        <f t="shared" si="841"/>
        <v>#DIV/0!</v>
      </c>
      <c r="CK412" s="279" t="e">
        <f t="shared" si="841"/>
        <v>#DIV/0!</v>
      </c>
    </row>
    <row r="413" spans="1:89" x14ac:dyDescent="0.25">
      <c r="A413" s="328"/>
      <c r="B413" s="96" t="s">
        <v>1841</v>
      </c>
      <c r="C413" s="95"/>
      <c r="D413" s="329" t="s">
        <v>950</v>
      </c>
      <c r="E413" s="291"/>
      <c r="F413" s="291"/>
      <c r="G413" s="291"/>
      <c r="H413" s="291"/>
      <c r="I413" s="282">
        <f t="shared" ref="I413:N413" si="844">I414+I415</f>
        <v>77</v>
      </c>
      <c r="J413" s="282">
        <f t="shared" si="844"/>
        <v>82</v>
      </c>
      <c r="K413" s="282">
        <f t="shared" si="844"/>
        <v>78</v>
      </c>
      <c r="L413" s="282">
        <f t="shared" si="844"/>
        <v>0</v>
      </c>
      <c r="M413" s="282">
        <f t="shared" si="844"/>
        <v>0</v>
      </c>
      <c r="N413" s="282">
        <f t="shared" si="844"/>
        <v>0</v>
      </c>
      <c r="Q413" s="282">
        <f>Q414+Q415</f>
        <v>78</v>
      </c>
      <c r="R413" s="282">
        <f>R414+R415</f>
        <v>76</v>
      </c>
      <c r="S413" s="282">
        <f>S414+S415</f>
        <v>0</v>
      </c>
      <c r="T413" s="282">
        <f>T414+T415</f>
        <v>0</v>
      </c>
      <c r="V413" s="282">
        <f>V414+V415</f>
        <v>0</v>
      </c>
      <c r="W413" s="282">
        <f>W414+W415</f>
        <v>0</v>
      </c>
      <c r="Y413" s="282">
        <f>Y414+Y415</f>
        <v>0</v>
      </c>
      <c r="Z413" s="282">
        <f>Z414+Z415</f>
        <v>0</v>
      </c>
      <c r="AB413" s="282">
        <f>AB414+AB415</f>
        <v>0</v>
      </c>
      <c r="AC413" s="282">
        <f>AC414+AC415</f>
        <v>0</v>
      </c>
      <c r="AE413" s="282">
        <f>AE414+AE415</f>
        <v>0</v>
      </c>
      <c r="AF413" s="282">
        <f>AF414+AF415</f>
        <v>0</v>
      </c>
      <c r="AH413" s="282">
        <f>AH414+AH415</f>
        <v>0</v>
      </c>
      <c r="AI413" s="282">
        <f>AI414+AI415</f>
        <v>0</v>
      </c>
      <c r="AK413" s="282">
        <f>AK414+AK415</f>
        <v>0</v>
      </c>
      <c r="AL413" s="282">
        <f>AL414+AL415</f>
        <v>0</v>
      </c>
      <c r="AN413" s="282">
        <f>AN414+AN415</f>
        <v>0</v>
      </c>
      <c r="AO413" s="282">
        <f>AO414+AO415</f>
        <v>0</v>
      </c>
      <c r="AQ413" s="282">
        <f>AQ414+AQ415</f>
        <v>0</v>
      </c>
      <c r="AR413" s="282">
        <f>AR414+AR415</f>
        <v>0</v>
      </c>
      <c r="AT413" s="282">
        <f>AT414+AT415</f>
        <v>0</v>
      </c>
      <c r="AU413" s="282">
        <f>AU414+AU415</f>
        <v>0</v>
      </c>
      <c r="AW413" s="282">
        <f>AW414+AW415</f>
        <v>0</v>
      </c>
      <c r="AX413" s="282">
        <f>AX414+AX415</f>
        <v>0</v>
      </c>
      <c r="AZ413" s="282">
        <f>AZ414+AZ415</f>
        <v>0</v>
      </c>
      <c r="BA413" s="282">
        <f>BA414+BA415</f>
        <v>0</v>
      </c>
      <c r="BC413" s="282">
        <f>BC414+BC415</f>
        <v>14</v>
      </c>
      <c r="BD413" s="282">
        <f>BD414+BD415</f>
        <v>14</v>
      </c>
      <c r="BF413" s="282">
        <f>BF414+BF415</f>
        <v>14</v>
      </c>
      <c r="BG413" s="282">
        <f>BG414+BG415</f>
        <v>12</v>
      </c>
      <c r="BI413" s="282">
        <f>BI414+BI415</f>
        <v>33</v>
      </c>
      <c r="BJ413" s="282">
        <f>BJ414+BJ415</f>
        <v>31</v>
      </c>
      <c r="BL413" s="282">
        <f>BL414+BL415</f>
        <v>0</v>
      </c>
      <c r="BM413" s="282">
        <f>BM414+BM415</f>
        <v>0</v>
      </c>
      <c r="BO413" s="282">
        <f>BO414+BO415</f>
        <v>0</v>
      </c>
      <c r="BP413" s="282">
        <f>BP414+BP415</f>
        <v>0</v>
      </c>
      <c r="BR413" s="282">
        <f>BR414+BR415</f>
        <v>0</v>
      </c>
      <c r="BS413" s="282">
        <f>BS414+BS415</f>
        <v>0</v>
      </c>
      <c r="BU413" s="282">
        <f>BU414+BU415</f>
        <v>0</v>
      </c>
      <c r="BV413" s="282">
        <f>BV414+BV415</f>
        <v>0</v>
      </c>
      <c r="BX413" s="282">
        <f>BX414+BX415</f>
        <v>0</v>
      </c>
      <c r="BY413" s="282">
        <f>BY414+BY415</f>
        <v>0</v>
      </c>
      <c r="CA413" s="282">
        <f>CA414+CA415</f>
        <v>0</v>
      </c>
      <c r="CB413" s="282">
        <f>CB414+CB415</f>
        <v>0</v>
      </c>
      <c r="CD413" s="282">
        <f>CD414+CD415</f>
        <v>17</v>
      </c>
      <c r="CE413" s="282">
        <f>CE414+CE415</f>
        <v>19</v>
      </c>
      <c r="CG413" s="282">
        <f>CG414+CG415</f>
        <v>0</v>
      </c>
      <c r="CH413" s="282">
        <f>CH414+CH415</f>
        <v>0</v>
      </c>
      <c r="CJ413" s="282">
        <f>CJ414+CJ415</f>
        <v>0</v>
      </c>
      <c r="CK413" s="282">
        <f>CK414+CK415</f>
        <v>0</v>
      </c>
    </row>
    <row r="414" spans="1:89" ht="30" x14ac:dyDescent="0.25">
      <c r="A414" s="328"/>
      <c r="B414" s="96" t="s">
        <v>1183</v>
      </c>
      <c r="C414" s="312" t="s">
        <v>1843</v>
      </c>
      <c r="D414" s="329" t="s">
        <v>950</v>
      </c>
      <c r="E414" s="291"/>
      <c r="F414" s="291"/>
      <c r="G414" s="291"/>
      <c r="H414" s="291"/>
      <c r="I414" s="282">
        <v>77</v>
      </c>
      <c r="J414" s="282">
        <v>82</v>
      </c>
      <c r="K414" s="282">
        <v>78</v>
      </c>
      <c r="L414" s="282">
        <v>0</v>
      </c>
      <c r="M414" s="282">
        <v>0</v>
      </c>
      <c r="N414" s="282">
        <v>0</v>
      </c>
      <c r="Q414" s="283">
        <f>S414+V414+Y414+AB414+AE414+AH414+AK414+AN414+AQ414+AT414+AW414+AZ414+BC414+BF414+BI414+BL414+BO414+BR414+BU414+BX414+CA414+CD414+CG414+CJ414</f>
        <v>78</v>
      </c>
      <c r="R414" s="283">
        <f>T414+W414+Z414+AC414+AF414+AI414+AL414+AO414+AR414+AU414+AX414+BA414+BD414+BG414+BJ414+BM414+BP414+BS414+BV414+BY414+CB414+CE414+CH414+CK414</f>
        <v>76</v>
      </c>
      <c r="S414" s="304">
        <v>0</v>
      </c>
      <c r="T414" s="304">
        <v>0</v>
      </c>
      <c r="U414" s="304"/>
      <c r="V414" s="304">
        <v>0</v>
      </c>
      <c r="W414" s="304">
        <v>0</v>
      </c>
      <c r="X414" s="304"/>
      <c r="Y414" s="304">
        <v>0</v>
      </c>
      <c r="Z414" s="304">
        <v>0</v>
      </c>
      <c r="AA414" s="304"/>
      <c r="AB414" s="304">
        <v>0</v>
      </c>
      <c r="AC414" s="304">
        <v>0</v>
      </c>
      <c r="AD414" s="304"/>
      <c r="AE414" s="304">
        <v>0</v>
      </c>
      <c r="AF414" s="304">
        <v>0</v>
      </c>
      <c r="AG414" s="304"/>
      <c r="AH414" s="304">
        <v>0</v>
      </c>
      <c r="AI414" s="304">
        <v>0</v>
      </c>
      <c r="AJ414" s="304"/>
      <c r="AK414" s="304">
        <v>0</v>
      </c>
      <c r="AL414" s="304">
        <v>0</v>
      </c>
      <c r="AM414" s="304"/>
      <c r="AN414" s="304">
        <v>0</v>
      </c>
      <c r="AO414" s="304">
        <v>0</v>
      </c>
      <c r="AP414" s="304"/>
      <c r="AQ414" s="304">
        <v>0</v>
      </c>
      <c r="AR414" s="304">
        <v>0</v>
      </c>
      <c r="AS414" s="304"/>
      <c r="AT414" s="304">
        <v>0</v>
      </c>
      <c r="AU414" s="304">
        <v>0</v>
      </c>
      <c r="AV414" s="304"/>
      <c r="AW414" s="304">
        <v>0</v>
      </c>
      <c r="AX414" s="304">
        <v>0</v>
      </c>
      <c r="AY414" s="304"/>
      <c r="AZ414" s="304">
        <v>0</v>
      </c>
      <c r="BA414" s="304">
        <v>0</v>
      </c>
      <c r="BB414" s="304"/>
      <c r="BC414" s="304">
        <v>14</v>
      </c>
      <c r="BD414" s="304">
        <v>14</v>
      </c>
      <c r="BE414" s="304"/>
      <c r="BF414" s="304">
        <v>14</v>
      </c>
      <c r="BG414" s="304">
        <v>12</v>
      </c>
      <c r="BH414" s="304"/>
      <c r="BI414" s="304">
        <v>33</v>
      </c>
      <c r="BJ414" s="304">
        <v>31</v>
      </c>
      <c r="BK414" s="304"/>
      <c r="BL414" s="304">
        <v>0</v>
      </c>
      <c r="BM414" s="304">
        <v>0</v>
      </c>
      <c r="BN414" s="304"/>
      <c r="BO414" s="304">
        <v>0</v>
      </c>
      <c r="BP414" s="304">
        <v>0</v>
      </c>
      <c r="BQ414" s="304"/>
      <c r="BR414" s="304">
        <v>0</v>
      </c>
      <c r="BS414" s="304">
        <v>0</v>
      </c>
      <c r="BT414" s="304"/>
      <c r="BU414" s="304">
        <v>0</v>
      </c>
      <c r="BV414" s="304">
        <v>0</v>
      </c>
      <c r="BW414" s="304"/>
      <c r="BX414" s="304">
        <v>0</v>
      </c>
      <c r="BY414" s="304">
        <v>0</v>
      </c>
      <c r="BZ414" s="304"/>
      <c r="CA414" s="304">
        <v>0</v>
      </c>
      <c r="CB414" s="304">
        <v>0</v>
      </c>
      <c r="CC414" s="304"/>
      <c r="CD414" s="304">
        <v>17</v>
      </c>
      <c r="CE414" s="304">
        <v>19</v>
      </c>
      <c r="CF414" s="304"/>
      <c r="CG414" s="304">
        <v>0</v>
      </c>
      <c r="CH414" s="304">
        <v>0</v>
      </c>
      <c r="CI414" s="304"/>
      <c r="CJ414" s="304">
        <v>0</v>
      </c>
      <c r="CK414" s="304">
        <v>0</v>
      </c>
    </row>
    <row r="415" spans="1:89" ht="30" x14ac:dyDescent="0.25">
      <c r="A415" s="328"/>
      <c r="B415" s="96" t="s">
        <v>1185</v>
      </c>
      <c r="C415" s="312" t="s">
        <v>1843</v>
      </c>
      <c r="D415" s="329" t="s">
        <v>950</v>
      </c>
      <c r="E415" s="291"/>
      <c r="F415" s="291"/>
      <c r="G415" s="291"/>
      <c r="H415" s="291"/>
      <c r="I415" s="282">
        <v>0</v>
      </c>
      <c r="J415" s="282">
        <v>0</v>
      </c>
      <c r="K415" s="282">
        <v>0</v>
      </c>
      <c r="L415" s="282">
        <v>0</v>
      </c>
      <c r="M415" s="282">
        <v>0</v>
      </c>
      <c r="N415" s="282">
        <v>0</v>
      </c>
      <c r="Q415" s="283">
        <f>S415+V415+Y415+AB415+AE415+AH415+AK415+AN415+AQ415+AT415+AW415+AZ415+BC415+BF415+BI415+BL415+BO415+BR415+BU415+BX415+CA415+CD415+CG415+CJ415</f>
        <v>0</v>
      </c>
      <c r="R415" s="283">
        <f>T415+W415+Z415+AC415+AF415+AI415+AL415+AO415+AR415+AU415+AX415+BA415+BD415+BG415+BJ415+BM415+BP415+BS415+BV415+BY415+CB415+CE415+CH415+CK415</f>
        <v>0</v>
      </c>
      <c r="S415" s="304">
        <v>0</v>
      </c>
      <c r="T415" s="304">
        <v>0</v>
      </c>
      <c r="U415" s="304"/>
      <c r="V415" s="304">
        <v>0</v>
      </c>
      <c r="W415" s="304">
        <v>0</v>
      </c>
      <c r="X415" s="304"/>
      <c r="Y415" s="304">
        <v>0</v>
      </c>
      <c r="Z415" s="304">
        <v>0</v>
      </c>
      <c r="AA415" s="304"/>
      <c r="AB415" s="304">
        <v>0</v>
      </c>
      <c r="AC415" s="304">
        <v>0</v>
      </c>
      <c r="AD415" s="304"/>
      <c r="AE415" s="304">
        <v>0</v>
      </c>
      <c r="AF415" s="304">
        <v>0</v>
      </c>
      <c r="AG415" s="304"/>
      <c r="AH415" s="304">
        <v>0</v>
      </c>
      <c r="AI415" s="304">
        <v>0</v>
      </c>
      <c r="AJ415" s="304"/>
      <c r="AK415" s="304">
        <v>0</v>
      </c>
      <c r="AL415" s="304">
        <v>0</v>
      </c>
      <c r="AM415" s="304"/>
      <c r="AN415" s="304">
        <v>0</v>
      </c>
      <c r="AO415" s="304">
        <v>0</v>
      </c>
      <c r="AP415" s="304"/>
      <c r="AQ415" s="304">
        <v>0</v>
      </c>
      <c r="AR415" s="304">
        <v>0</v>
      </c>
      <c r="AS415" s="304"/>
      <c r="AT415" s="304">
        <v>0</v>
      </c>
      <c r="AU415" s="304">
        <v>0</v>
      </c>
      <c r="AV415" s="304"/>
      <c r="AW415" s="304">
        <v>0</v>
      </c>
      <c r="AX415" s="304">
        <v>0</v>
      </c>
      <c r="AY415" s="304"/>
      <c r="AZ415" s="304">
        <v>0</v>
      </c>
      <c r="BA415" s="304">
        <v>0</v>
      </c>
      <c r="BB415" s="304"/>
      <c r="BC415" s="304">
        <v>0</v>
      </c>
      <c r="BD415" s="304">
        <v>0</v>
      </c>
      <c r="BE415" s="304"/>
      <c r="BF415" s="304">
        <v>0</v>
      </c>
      <c r="BG415" s="304">
        <v>0</v>
      </c>
      <c r="BH415" s="304"/>
      <c r="BI415" s="304">
        <v>0</v>
      </c>
      <c r="BJ415" s="304">
        <v>0</v>
      </c>
      <c r="BK415" s="304"/>
      <c r="BL415" s="304">
        <v>0</v>
      </c>
      <c r="BM415" s="304">
        <v>0</v>
      </c>
      <c r="BN415" s="304"/>
      <c r="BO415" s="304">
        <v>0</v>
      </c>
      <c r="BP415" s="304">
        <v>0</v>
      </c>
      <c r="BQ415" s="304"/>
      <c r="BR415" s="304">
        <v>0</v>
      </c>
      <c r="BS415" s="304">
        <v>0</v>
      </c>
      <c r="BT415" s="304"/>
      <c r="BU415" s="304">
        <v>0</v>
      </c>
      <c r="BV415" s="304">
        <v>0</v>
      </c>
      <c r="BW415" s="304"/>
      <c r="BX415" s="304">
        <v>0</v>
      </c>
      <c r="BY415" s="304">
        <v>0</v>
      </c>
      <c r="BZ415" s="304"/>
      <c r="CA415" s="304">
        <v>0</v>
      </c>
      <c r="CB415" s="304">
        <v>0</v>
      </c>
      <c r="CC415" s="304"/>
      <c r="CD415" s="304">
        <v>0</v>
      </c>
      <c r="CE415" s="304">
        <v>0</v>
      </c>
      <c r="CF415" s="304"/>
      <c r="CG415" s="304">
        <v>0</v>
      </c>
      <c r="CH415" s="304">
        <v>0</v>
      </c>
      <c r="CI415" s="304"/>
      <c r="CJ415" s="304">
        <v>0</v>
      </c>
      <c r="CK415" s="304">
        <v>0</v>
      </c>
    </row>
    <row r="416" spans="1:89" ht="30" x14ac:dyDescent="0.25">
      <c r="A416" s="328"/>
      <c r="B416" s="96" t="s">
        <v>1842</v>
      </c>
      <c r="C416" s="95"/>
      <c r="D416" s="329" t="s">
        <v>950</v>
      </c>
      <c r="E416" s="291"/>
      <c r="F416" s="291"/>
      <c r="G416" s="291"/>
      <c r="H416" s="291"/>
      <c r="I416" s="282">
        <f t="shared" ref="I416:N416" si="845">I417+I418</f>
        <v>127</v>
      </c>
      <c r="J416" s="282">
        <f t="shared" si="845"/>
        <v>133</v>
      </c>
      <c r="K416" s="282">
        <f t="shared" si="845"/>
        <v>127</v>
      </c>
      <c r="L416" s="282">
        <f t="shared" si="845"/>
        <v>0</v>
      </c>
      <c r="M416" s="282">
        <f t="shared" si="845"/>
        <v>0</v>
      </c>
      <c r="N416" s="282">
        <f t="shared" si="845"/>
        <v>0</v>
      </c>
      <c r="Q416" s="282">
        <f>Q417+Q418</f>
        <v>127</v>
      </c>
      <c r="R416" s="282">
        <f>R417+R418</f>
        <v>128</v>
      </c>
      <c r="S416" s="282">
        <f>S417+S418</f>
        <v>0</v>
      </c>
      <c r="T416" s="282">
        <f>T417+T418</f>
        <v>0</v>
      </c>
      <c r="V416" s="282">
        <f>V417+V418</f>
        <v>0</v>
      </c>
      <c r="W416" s="282">
        <f>W417+W418</f>
        <v>0</v>
      </c>
      <c r="Y416" s="282">
        <f>Y417+Y418</f>
        <v>0</v>
      </c>
      <c r="Z416" s="282">
        <f>Z417+Z418</f>
        <v>0</v>
      </c>
      <c r="AB416" s="282">
        <f>AB417+AB418</f>
        <v>0</v>
      </c>
      <c r="AC416" s="282">
        <f>AC417+AC418</f>
        <v>0</v>
      </c>
      <c r="AE416" s="282">
        <f>AE417+AE418</f>
        <v>0</v>
      </c>
      <c r="AF416" s="282">
        <f>AF417+AF418</f>
        <v>0</v>
      </c>
      <c r="AH416" s="282">
        <f>AH417+AH418</f>
        <v>0</v>
      </c>
      <c r="AI416" s="282">
        <f>AI417+AI418</f>
        <v>0</v>
      </c>
      <c r="AK416" s="282">
        <f>AK417+AK418</f>
        <v>0</v>
      </c>
      <c r="AL416" s="282">
        <f>AL417+AL418</f>
        <v>0</v>
      </c>
      <c r="AN416" s="282">
        <f>AN417+AN418</f>
        <v>0</v>
      </c>
      <c r="AO416" s="282">
        <f>AO417+AO418</f>
        <v>0</v>
      </c>
      <c r="AQ416" s="282">
        <f>AQ417+AQ418</f>
        <v>0</v>
      </c>
      <c r="AR416" s="282">
        <f>AR417+AR418</f>
        <v>0</v>
      </c>
      <c r="AT416" s="282">
        <f>AT417+AT418</f>
        <v>0</v>
      </c>
      <c r="AU416" s="282">
        <f>AU417+AU418</f>
        <v>0</v>
      </c>
      <c r="AW416" s="282">
        <f>AW417+AW418</f>
        <v>0</v>
      </c>
      <c r="AX416" s="282">
        <f>AX417+AX418</f>
        <v>0</v>
      </c>
      <c r="AZ416" s="282">
        <f>AZ417+AZ418</f>
        <v>0</v>
      </c>
      <c r="BA416" s="282">
        <f>BA417+BA418</f>
        <v>0</v>
      </c>
      <c r="BC416" s="282">
        <f>BC417+BC418</f>
        <v>24</v>
      </c>
      <c r="BD416" s="282">
        <f>BD417+BD418</f>
        <v>24</v>
      </c>
      <c r="BF416" s="282">
        <f>BF417+BF418</f>
        <v>30</v>
      </c>
      <c r="BG416" s="282">
        <f>BG417+BG418</f>
        <v>28</v>
      </c>
      <c r="BI416" s="282">
        <f>BI417+BI418</f>
        <v>53</v>
      </c>
      <c r="BJ416" s="282">
        <f>BJ417+BJ418</f>
        <v>51</v>
      </c>
      <c r="BL416" s="282">
        <f>BL417+BL418</f>
        <v>0</v>
      </c>
      <c r="BM416" s="282">
        <f>BM417+BM418</f>
        <v>0</v>
      </c>
      <c r="BO416" s="282">
        <f>BO417+BO418</f>
        <v>0</v>
      </c>
      <c r="BP416" s="282">
        <f>BP417+BP418</f>
        <v>0</v>
      </c>
      <c r="BR416" s="282">
        <f>BR417+BR418</f>
        <v>0</v>
      </c>
      <c r="BS416" s="282">
        <f>BS417+BS418</f>
        <v>0</v>
      </c>
      <c r="BU416" s="282">
        <f>BU417+BU418</f>
        <v>0</v>
      </c>
      <c r="BV416" s="282">
        <f>BV417+BV418</f>
        <v>0</v>
      </c>
      <c r="BX416" s="282">
        <f>BX417+BX418</f>
        <v>0</v>
      </c>
      <c r="BY416" s="282">
        <f>BY417+BY418</f>
        <v>0</v>
      </c>
      <c r="CA416" s="282">
        <f>CA417+CA418</f>
        <v>0</v>
      </c>
      <c r="CB416" s="282">
        <f>CB417+CB418</f>
        <v>0</v>
      </c>
      <c r="CD416" s="282">
        <f>CD417+CD418</f>
        <v>20</v>
      </c>
      <c r="CE416" s="282">
        <f>CE417+CE418</f>
        <v>25</v>
      </c>
      <c r="CG416" s="282">
        <f>CG417+CG418</f>
        <v>0</v>
      </c>
      <c r="CH416" s="282">
        <f>CH417+CH418</f>
        <v>0</v>
      </c>
      <c r="CJ416" s="282">
        <f>CJ417+CJ418</f>
        <v>0</v>
      </c>
      <c r="CK416" s="282">
        <f>CK417+CK418</f>
        <v>0</v>
      </c>
    </row>
    <row r="417" spans="1:89" ht="30" x14ac:dyDescent="0.25">
      <c r="A417" s="328"/>
      <c r="B417" s="96" t="s">
        <v>1183</v>
      </c>
      <c r="C417" s="312" t="s">
        <v>1844</v>
      </c>
      <c r="D417" s="329" t="s">
        <v>950</v>
      </c>
      <c r="E417" s="291"/>
      <c r="F417" s="291"/>
      <c r="G417" s="291"/>
      <c r="H417" s="291"/>
      <c r="I417" s="282">
        <v>127</v>
      </c>
      <c r="J417" s="282">
        <v>133</v>
      </c>
      <c r="K417" s="282">
        <v>127</v>
      </c>
      <c r="L417" s="282">
        <v>0</v>
      </c>
      <c r="M417" s="282">
        <v>0</v>
      </c>
      <c r="N417" s="282">
        <v>0</v>
      </c>
      <c r="Q417" s="283">
        <f>S417+V417+Y417+AB417+AE417+AH417+AK417+AN417+AQ417+AT417+AW417+AZ417+BC417+BF417+BI417+BL417+BO417+BR417+BU417+BX417+CA417+CD417+CG417+CJ417</f>
        <v>127</v>
      </c>
      <c r="R417" s="283">
        <f>T417+W417+Z417+AC417+AF417+AI417+AL417+AO417+AR417+AU417+AX417+BA417+BD417+BG417+BJ417+BM417+BP417+BS417+BV417+BY417+CB417+CE417+CH417+CK417</f>
        <v>128</v>
      </c>
      <c r="S417" s="304">
        <v>0</v>
      </c>
      <c r="T417" s="304">
        <v>0</v>
      </c>
      <c r="U417" s="304"/>
      <c r="V417" s="304">
        <v>0</v>
      </c>
      <c r="W417" s="304">
        <v>0</v>
      </c>
      <c r="X417" s="304"/>
      <c r="Y417" s="304">
        <v>0</v>
      </c>
      <c r="Z417" s="304">
        <v>0</v>
      </c>
      <c r="AA417" s="304"/>
      <c r="AB417" s="304">
        <v>0</v>
      </c>
      <c r="AC417" s="304">
        <v>0</v>
      </c>
      <c r="AD417" s="304"/>
      <c r="AE417" s="304">
        <v>0</v>
      </c>
      <c r="AF417" s="304">
        <v>0</v>
      </c>
      <c r="AG417" s="304"/>
      <c r="AH417" s="304">
        <v>0</v>
      </c>
      <c r="AI417" s="304">
        <v>0</v>
      </c>
      <c r="AJ417" s="304"/>
      <c r="AK417" s="304">
        <v>0</v>
      </c>
      <c r="AL417" s="304">
        <v>0</v>
      </c>
      <c r="AM417" s="304"/>
      <c r="AN417" s="304">
        <v>0</v>
      </c>
      <c r="AO417" s="304">
        <v>0</v>
      </c>
      <c r="AP417" s="304"/>
      <c r="AQ417" s="304">
        <v>0</v>
      </c>
      <c r="AR417" s="304">
        <v>0</v>
      </c>
      <c r="AS417" s="304"/>
      <c r="AT417" s="304">
        <v>0</v>
      </c>
      <c r="AU417" s="304">
        <v>0</v>
      </c>
      <c r="AV417" s="304"/>
      <c r="AW417" s="304">
        <v>0</v>
      </c>
      <c r="AX417" s="304">
        <v>0</v>
      </c>
      <c r="AY417" s="304"/>
      <c r="AZ417" s="304">
        <v>0</v>
      </c>
      <c r="BA417" s="304">
        <v>0</v>
      </c>
      <c r="BB417" s="304"/>
      <c r="BC417" s="304">
        <v>24</v>
      </c>
      <c r="BD417" s="304">
        <v>24</v>
      </c>
      <c r="BE417" s="304"/>
      <c r="BF417" s="304">
        <v>30</v>
      </c>
      <c r="BG417" s="304">
        <v>28</v>
      </c>
      <c r="BH417" s="304"/>
      <c r="BI417" s="304">
        <v>53</v>
      </c>
      <c r="BJ417" s="304">
        <v>51</v>
      </c>
      <c r="BK417" s="304"/>
      <c r="BL417" s="304">
        <v>0</v>
      </c>
      <c r="BM417" s="304">
        <v>0</v>
      </c>
      <c r="BN417" s="304"/>
      <c r="BO417" s="304">
        <v>0</v>
      </c>
      <c r="BP417" s="304">
        <v>0</v>
      </c>
      <c r="BQ417" s="304"/>
      <c r="BR417" s="304">
        <v>0</v>
      </c>
      <c r="BS417" s="304">
        <v>0</v>
      </c>
      <c r="BT417" s="304"/>
      <c r="BU417" s="304">
        <v>0</v>
      </c>
      <c r="BV417" s="304">
        <v>0</v>
      </c>
      <c r="BW417" s="304"/>
      <c r="BX417" s="304">
        <v>0</v>
      </c>
      <c r="BY417" s="304">
        <v>0</v>
      </c>
      <c r="BZ417" s="304"/>
      <c r="CA417" s="304">
        <v>0</v>
      </c>
      <c r="CB417" s="304">
        <v>0</v>
      </c>
      <c r="CC417" s="304"/>
      <c r="CD417" s="304">
        <v>20</v>
      </c>
      <c r="CE417" s="304">
        <v>25</v>
      </c>
      <c r="CF417" s="304"/>
      <c r="CG417" s="304">
        <v>0</v>
      </c>
      <c r="CH417" s="304">
        <v>0</v>
      </c>
      <c r="CI417" s="304"/>
      <c r="CJ417" s="304">
        <v>0</v>
      </c>
      <c r="CK417" s="304">
        <v>0</v>
      </c>
    </row>
    <row r="418" spans="1:89" ht="30" x14ac:dyDescent="0.25">
      <c r="A418" s="328"/>
      <c r="B418" s="96" t="s">
        <v>1185</v>
      </c>
      <c r="C418" s="312" t="s">
        <v>1844</v>
      </c>
      <c r="D418" s="329" t="s">
        <v>950</v>
      </c>
      <c r="E418" s="291"/>
      <c r="F418" s="291"/>
      <c r="G418" s="291"/>
      <c r="H418" s="291"/>
      <c r="I418" s="282">
        <v>0</v>
      </c>
      <c r="J418" s="282">
        <v>0</v>
      </c>
      <c r="K418" s="282">
        <v>0</v>
      </c>
      <c r="L418" s="282">
        <v>0</v>
      </c>
      <c r="M418" s="282">
        <v>0</v>
      </c>
      <c r="N418" s="282">
        <v>0</v>
      </c>
      <c r="Q418" s="283">
        <f>S418+V418+Y418+AB418+AE418+AH418+AK418+AN418+AQ418+AT418+AW418+AZ418+BC418+BF418+BI418+BL418+BO418+BR418+BU418+BX418+CA418+CD418+CG418+CJ418</f>
        <v>0</v>
      </c>
      <c r="R418" s="283">
        <f>T418+W418+Z418+AC418+AF418+AI418+AL418+AO418+AR418+AU418+AX418+BA418+BD418+BG418+BJ418+BM418+BP418+BS418+BV418+BY418+CB418+CE418+CH418+CK418</f>
        <v>0</v>
      </c>
      <c r="S418" s="304">
        <v>0</v>
      </c>
      <c r="T418" s="304">
        <v>0</v>
      </c>
      <c r="U418" s="304"/>
      <c r="V418" s="304">
        <v>0</v>
      </c>
      <c r="W418" s="304">
        <v>0</v>
      </c>
      <c r="X418" s="304"/>
      <c r="Y418" s="304">
        <v>0</v>
      </c>
      <c r="Z418" s="304">
        <v>0</v>
      </c>
      <c r="AA418" s="304"/>
      <c r="AB418" s="304">
        <v>0</v>
      </c>
      <c r="AC418" s="304">
        <v>0</v>
      </c>
      <c r="AD418" s="304"/>
      <c r="AE418" s="304">
        <v>0</v>
      </c>
      <c r="AF418" s="304">
        <v>0</v>
      </c>
      <c r="AG418" s="304"/>
      <c r="AH418" s="304">
        <v>0</v>
      </c>
      <c r="AI418" s="304">
        <v>0</v>
      </c>
      <c r="AJ418" s="304"/>
      <c r="AK418" s="304">
        <v>0</v>
      </c>
      <c r="AL418" s="304">
        <v>0</v>
      </c>
      <c r="AM418" s="304"/>
      <c r="AN418" s="304">
        <v>0</v>
      </c>
      <c r="AO418" s="304">
        <v>0</v>
      </c>
      <c r="AP418" s="304"/>
      <c r="AQ418" s="304">
        <v>0</v>
      </c>
      <c r="AR418" s="304">
        <v>0</v>
      </c>
      <c r="AS418" s="304"/>
      <c r="AT418" s="304">
        <v>0</v>
      </c>
      <c r="AU418" s="304">
        <v>0</v>
      </c>
      <c r="AV418" s="304"/>
      <c r="AW418" s="304">
        <v>0</v>
      </c>
      <c r="AX418" s="304">
        <v>0</v>
      </c>
      <c r="AY418" s="304"/>
      <c r="AZ418" s="304">
        <v>0</v>
      </c>
      <c r="BA418" s="304">
        <v>0</v>
      </c>
      <c r="BB418" s="304"/>
      <c r="BC418" s="304">
        <v>0</v>
      </c>
      <c r="BD418" s="304">
        <v>0</v>
      </c>
      <c r="BE418" s="304"/>
      <c r="BF418" s="304">
        <v>0</v>
      </c>
      <c r="BG418" s="304">
        <v>0</v>
      </c>
      <c r="BH418" s="304"/>
      <c r="BI418" s="304">
        <v>0</v>
      </c>
      <c r="BJ418" s="304">
        <v>0</v>
      </c>
      <c r="BK418" s="304"/>
      <c r="BL418" s="304">
        <v>0</v>
      </c>
      <c r="BM418" s="304">
        <v>0</v>
      </c>
      <c r="BN418" s="304"/>
      <c r="BO418" s="304">
        <v>0</v>
      </c>
      <c r="BP418" s="304">
        <v>0</v>
      </c>
      <c r="BQ418" s="304"/>
      <c r="BR418" s="304">
        <v>0</v>
      </c>
      <c r="BS418" s="304">
        <v>0</v>
      </c>
      <c r="BT418" s="304"/>
      <c r="BU418" s="304">
        <v>0</v>
      </c>
      <c r="BV418" s="304">
        <v>0</v>
      </c>
      <c r="BW418" s="304"/>
      <c r="BX418" s="304">
        <v>0</v>
      </c>
      <c r="BY418" s="304">
        <v>0</v>
      </c>
      <c r="BZ418" s="304"/>
      <c r="CA418" s="304">
        <v>0</v>
      </c>
      <c r="CB418" s="304">
        <v>0</v>
      </c>
      <c r="CC418" s="304"/>
      <c r="CD418" s="304">
        <v>0</v>
      </c>
      <c r="CE418" s="304">
        <v>0</v>
      </c>
      <c r="CF418" s="304"/>
      <c r="CG418" s="304">
        <v>0</v>
      </c>
      <c r="CH418" s="304">
        <v>0</v>
      </c>
      <c r="CI418" s="304"/>
      <c r="CJ418" s="304">
        <v>0</v>
      </c>
      <c r="CK418" s="304">
        <v>0</v>
      </c>
    </row>
    <row r="419" spans="1:89" ht="75" x14ac:dyDescent="0.25">
      <c r="A419" s="328" t="s">
        <v>1672</v>
      </c>
      <c r="B419" s="96" t="s">
        <v>1673</v>
      </c>
      <c r="C419" s="312"/>
      <c r="D419" s="329"/>
      <c r="E419" s="291"/>
      <c r="F419" s="291"/>
      <c r="G419" s="291"/>
      <c r="H419" s="291"/>
      <c r="I419" s="282"/>
      <c r="J419" s="282"/>
      <c r="K419" s="282"/>
      <c r="L419" s="282"/>
      <c r="M419" s="282"/>
      <c r="N419" s="282"/>
    </row>
    <row r="420" spans="1:89" x14ac:dyDescent="0.25">
      <c r="A420" s="328"/>
      <c r="B420" s="96" t="s">
        <v>1182</v>
      </c>
      <c r="C420" s="312"/>
      <c r="D420" s="329"/>
      <c r="E420" s="291"/>
      <c r="F420" s="291"/>
      <c r="G420" s="291"/>
      <c r="H420" s="291"/>
      <c r="I420" s="282"/>
      <c r="J420" s="282"/>
      <c r="K420" s="282"/>
      <c r="L420" s="282"/>
      <c r="M420" s="282"/>
      <c r="N420" s="282"/>
    </row>
    <row r="421" spans="1:89" x14ac:dyDescent="0.25">
      <c r="A421" s="328"/>
      <c r="B421" s="96" t="s">
        <v>1674</v>
      </c>
      <c r="C421" s="312"/>
      <c r="D421" s="329"/>
      <c r="E421" s="291"/>
      <c r="F421" s="291"/>
      <c r="G421" s="291"/>
      <c r="H421" s="291"/>
      <c r="I421" s="287"/>
      <c r="J421" s="287"/>
      <c r="K421" s="287"/>
      <c r="L421" s="287"/>
      <c r="M421" s="287"/>
      <c r="N421" s="287"/>
    </row>
    <row r="422" spans="1:89" x14ac:dyDescent="0.25">
      <c r="A422" s="328"/>
      <c r="B422" s="96" t="s">
        <v>1675</v>
      </c>
      <c r="C422" s="312"/>
      <c r="D422" s="329" t="s">
        <v>8</v>
      </c>
      <c r="E422" s="291"/>
      <c r="F422" s="291"/>
      <c r="G422" s="291"/>
      <c r="H422" s="291"/>
      <c r="I422" s="287">
        <f>I449/$I$460*100</f>
        <v>73.556231003039514</v>
      </c>
      <c r="J422" s="287">
        <f>J449/$J$460*100</f>
        <v>72.615384615384613</v>
      </c>
      <c r="K422" s="287">
        <f>K449/$K$460*100</f>
        <v>72.8125</v>
      </c>
      <c r="L422" s="287">
        <f>L449/$L$460*100</f>
        <v>38.888888888888893</v>
      </c>
      <c r="M422" s="287">
        <f>M449/$M$460*100</f>
        <v>38.888888888888893</v>
      </c>
      <c r="N422" s="287">
        <f>N449/$M$460*100</f>
        <v>50</v>
      </c>
      <c r="O422" s="283"/>
      <c r="Q422" s="287">
        <f>Q449/Q460*100</f>
        <v>72.8125</v>
      </c>
      <c r="R422" s="287">
        <f>R449/R460*100</f>
        <v>71.962616822429908</v>
      </c>
      <c r="S422" s="287">
        <f>S449/S460*100</f>
        <v>90</v>
      </c>
      <c r="T422" s="287">
        <f>T449/T460*100</f>
        <v>81.818181818181827</v>
      </c>
      <c r="V422" s="287">
        <f>V449/V460*100</f>
        <v>43.75</v>
      </c>
      <c r="W422" s="287">
        <f>W449/W460*100</f>
        <v>31.25</v>
      </c>
      <c r="Y422" s="287">
        <f>Y449/Y460*100</f>
        <v>40</v>
      </c>
      <c r="Z422" s="287">
        <f>Z449/Z460*100</f>
        <v>46.666666666666664</v>
      </c>
      <c r="AB422" s="287">
        <f>AB449/AB460*100</f>
        <v>53.846153846153847</v>
      </c>
      <c r="AC422" s="287">
        <f>AC449/AC460*100</f>
        <v>53.846153846153847</v>
      </c>
      <c r="AE422" s="287">
        <f>AE449/AE460*100</f>
        <v>64.705882352941174</v>
      </c>
      <c r="AF422" s="287">
        <f>AF449/AF460*100</f>
        <v>56.25</v>
      </c>
      <c r="AH422" s="287">
        <f>AH449/AH460*100</f>
        <v>44.444444444444443</v>
      </c>
      <c r="AI422" s="287">
        <f>AI449/AI460*100</f>
        <v>33.333333333333329</v>
      </c>
      <c r="AK422" s="287">
        <f>AK449/AK460*100</f>
        <v>81.818181818181827</v>
      </c>
      <c r="AL422" s="287">
        <f>AL449/AL460*100</f>
        <v>72.727272727272734</v>
      </c>
      <c r="AN422" s="287">
        <f>AN449/AN460*100</f>
        <v>78.260869565217391</v>
      </c>
      <c r="AO422" s="287">
        <f>AO449/AO460*100</f>
        <v>82.608695652173907</v>
      </c>
      <c r="AQ422" s="287">
        <f>AQ449/AQ460*100</f>
        <v>17.391304347826086</v>
      </c>
      <c r="AR422" s="287">
        <f>AR449/AR460*100</f>
        <v>20.833333333333336</v>
      </c>
      <c r="AT422" s="287">
        <f>AT449/AT460*100</f>
        <v>100</v>
      </c>
      <c r="AU422" s="287">
        <f>AU449/AU460*100</f>
        <v>100</v>
      </c>
      <c r="AW422" s="287">
        <f>AW449/AW460*100</f>
        <v>100</v>
      </c>
      <c r="AX422" s="287">
        <f>AX449/AX460*100</f>
        <v>100</v>
      </c>
      <c r="AZ422" s="287">
        <f>AZ449/AZ460*100</f>
        <v>85.714285714285708</v>
      </c>
      <c r="BA422" s="287">
        <f>BA449/BA460*100</f>
        <v>85.714285714285708</v>
      </c>
      <c r="BC422" s="287">
        <f>BC449/BC460*100</f>
        <v>80</v>
      </c>
      <c r="BD422" s="287">
        <f>BD449/BD460*100</f>
        <v>86.666666666666671</v>
      </c>
      <c r="BF422" s="287">
        <f>BF449/BF460*100</f>
        <v>90.909090909090907</v>
      </c>
      <c r="BG422" s="287">
        <f>BG449/BG460*100</f>
        <v>90.909090909090907</v>
      </c>
      <c r="BI422" s="287">
        <f>BI449/BI460*100</f>
        <v>97.297297297297305</v>
      </c>
      <c r="BJ422" s="287">
        <f>BJ449/BJ460*100</f>
        <v>94.594594594594597</v>
      </c>
      <c r="BL422" s="287">
        <f>BL449/BL460*100</f>
        <v>100</v>
      </c>
      <c r="BM422" s="287">
        <f>BM449/BM460*100</f>
        <v>100</v>
      </c>
      <c r="BO422" s="287">
        <f>BO449/BO460*100</f>
        <v>100</v>
      </c>
      <c r="BP422" s="287">
        <f>BP449/BP460*100</f>
        <v>100</v>
      </c>
      <c r="BR422" s="287">
        <f>BR449/BR460*100</f>
        <v>100</v>
      </c>
      <c r="BS422" s="287">
        <f>BS449/BS460*100</f>
        <v>100</v>
      </c>
      <c r="BU422" s="287">
        <f>BU449/BU460*100</f>
        <v>85.714285714285708</v>
      </c>
      <c r="BV422" s="287">
        <f>BV449/BV460*100</f>
        <v>100</v>
      </c>
      <c r="BX422" s="287">
        <f>BX449/BX460*100</f>
        <v>100</v>
      </c>
      <c r="BY422" s="287">
        <f>BY449/BY460*100</f>
        <v>100</v>
      </c>
      <c r="CA422" s="287">
        <f>CA449/CA460*100</f>
        <v>83.333333333333343</v>
      </c>
      <c r="CB422" s="287">
        <f>CB449/CB460*100</f>
        <v>71.428571428571431</v>
      </c>
      <c r="CD422" s="287">
        <f>CD449/CD460*100</f>
        <v>100</v>
      </c>
      <c r="CE422" s="287">
        <f>CE449/CE460*100</f>
        <v>100</v>
      </c>
      <c r="CG422" s="287">
        <f>CG449/CG460*100</f>
        <v>69.565217391304344</v>
      </c>
      <c r="CH422" s="287">
        <f>CH449/CH460*100</f>
        <v>73.91304347826086</v>
      </c>
      <c r="CJ422" s="287">
        <f>CJ449/CJ460*100</f>
        <v>0</v>
      </c>
      <c r="CK422" s="287">
        <f>CK449/CK460*100</f>
        <v>33.333333333333329</v>
      </c>
    </row>
    <row r="423" spans="1:89" x14ac:dyDescent="0.25">
      <c r="A423" s="328"/>
      <c r="B423" s="96" t="s">
        <v>1676</v>
      </c>
      <c r="C423" s="312"/>
      <c r="D423" s="329" t="s">
        <v>8</v>
      </c>
      <c r="E423" s="291"/>
      <c r="F423" s="291"/>
      <c r="G423" s="291"/>
      <c r="H423" s="291"/>
      <c r="I423" s="287">
        <f>I450/$I$460*100</f>
        <v>73.556231003039514</v>
      </c>
      <c r="J423" s="287">
        <f>J450/$J$460*100</f>
        <v>72.615384615384613</v>
      </c>
      <c r="K423" s="287">
        <f>K450/$K$460*100</f>
        <v>72.5</v>
      </c>
      <c r="L423" s="287">
        <f>L450/$L$460*100</f>
        <v>38.888888888888893</v>
      </c>
      <c r="M423" s="287">
        <f>M450/$M$460*100</f>
        <v>38.888888888888893</v>
      </c>
      <c r="N423" s="287">
        <f>N450/$M$460*100</f>
        <v>50</v>
      </c>
      <c r="O423" s="283"/>
      <c r="Q423" s="287">
        <f>Q450/Q460*100</f>
        <v>72.5</v>
      </c>
      <c r="R423" s="287">
        <f>R450/R460*100</f>
        <v>71.651090342679126</v>
      </c>
      <c r="S423" s="287">
        <f>S450/S460*100</f>
        <v>90</v>
      </c>
      <c r="T423" s="287">
        <f>T450/T460*100</f>
        <v>81.818181818181827</v>
      </c>
      <c r="V423" s="287">
        <f>V450/V460*100</f>
        <v>43.75</v>
      </c>
      <c r="W423" s="287">
        <f>W450/W460*100</f>
        <v>31.25</v>
      </c>
      <c r="Y423" s="287">
        <f>Y450/Y460*100</f>
        <v>40</v>
      </c>
      <c r="Z423" s="287">
        <f>Z450/Z460*100</f>
        <v>46.666666666666664</v>
      </c>
      <c r="AB423" s="287">
        <f>AB450/AB460*100</f>
        <v>53.846153846153847</v>
      </c>
      <c r="AC423" s="287">
        <f>AC450/AC460*100</f>
        <v>53.846153846153847</v>
      </c>
      <c r="AE423" s="287">
        <f>AE450/AE460*100</f>
        <v>64.705882352941174</v>
      </c>
      <c r="AF423" s="287">
        <f>AF450/AF460*100</f>
        <v>56.25</v>
      </c>
      <c r="AH423" s="287">
        <f>AH450/AH460*100</f>
        <v>44.444444444444443</v>
      </c>
      <c r="AI423" s="287">
        <f>AI450/AI460*100</f>
        <v>33.333333333333329</v>
      </c>
      <c r="AK423" s="287">
        <f>AK450/AK460*100</f>
        <v>81.818181818181827</v>
      </c>
      <c r="AL423" s="287">
        <f>AL450/AL460*100</f>
        <v>72.727272727272734</v>
      </c>
      <c r="AN423" s="287">
        <f>AN450/AN460*100</f>
        <v>78.260869565217391</v>
      </c>
      <c r="AO423" s="287">
        <f>AO450/AO460*100</f>
        <v>82.608695652173907</v>
      </c>
      <c r="AQ423" s="287">
        <f>AQ450/AQ460*100</f>
        <v>13.043478260869565</v>
      </c>
      <c r="AR423" s="287">
        <f>AR450/AR460*100</f>
        <v>16.666666666666664</v>
      </c>
      <c r="AT423" s="287">
        <f>AT450/AT460*100</f>
        <v>100</v>
      </c>
      <c r="AU423" s="287">
        <f>AU450/AU460*100</f>
        <v>100</v>
      </c>
      <c r="AW423" s="287">
        <f>AW450/AW460*100</f>
        <v>100</v>
      </c>
      <c r="AX423" s="287">
        <f>AX450/AX460*100</f>
        <v>100</v>
      </c>
      <c r="AZ423" s="287">
        <f>AZ450/AZ460*100</f>
        <v>85.714285714285708</v>
      </c>
      <c r="BA423" s="287">
        <f>BA450/BA460*100</f>
        <v>85.714285714285708</v>
      </c>
      <c r="BC423" s="287">
        <f>BC450/BC460*100</f>
        <v>80</v>
      </c>
      <c r="BD423" s="287">
        <f>BD450/BD460*100</f>
        <v>86.666666666666671</v>
      </c>
      <c r="BF423" s="287">
        <f>BF450/BF460*100</f>
        <v>90.909090909090907</v>
      </c>
      <c r="BG423" s="287">
        <f>BG450/BG460*100</f>
        <v>90.909090909090907</v>
      </c>
      <c r="BI423" s="287">
        <f>BI450/BI460*100</f>
        <v>97.297297297297305</v>
      </c>
      <c r="BJ423" s="287">
        <f>BJ450/BJ460*100</f>
        <v>94.594594594594597</v>
      </c>
      <c r="BL423" s="287">
        <f>BL450/BL460*100</f>
        <v>100</v>
      </c>
      <c r="BM423" s="287">
        <f>BM450/BM460*100</f>
        <v>100</v>
      </c>
      <c r="BO423" s="287">
        <f>BO450/BO460*100</f>
        <v>100</v>
      </c>
      <c r="BP423" s="287">
        <f>BP450/BP460*100</f>
        <v>100</v>
      </c>
      <c r="BR423" s="287">
        <f>BR450/BR460*100</f>
        <v>100</v>
      </c>
      <c r="BS423" s="287">
        <f>BS450/BS460*100</f>
        <v>100</v>
      </c>
      <c r="BU423" s="287">
        <f>BU450/BU460*100</f>
        <v>85.714285714285708</v>
      </c>
      <c r="BV423" s="287">
        <f>BV450/BV460*100</f>
        <v>100</v>
      </c>
      <c r="BX423" s="287">
        <f>BX450/BX460*100</f>
        <v>100</v>
      </c>
      <c r="BY423" s="287">
        <f>BY450/BY460*100</f>
        <v>100</v>
      </c>
      <c r="CA423" s="287">
        <f>CA450/CA460*100</f>
        <v>83.333333333333343</v>
      </c>
      <c r="CB423" s="287">
        <f>CB450/CB460*100</f>
        <v>71.428571428571431</v>
      </c>
      <c r="CD423" s="287">
        <f>CD450/CD460*100</f>
        <v>100</v>
      </c>
      <c r="CE423" s="287">
        <f>CE450/CE460*100</f>
        <v>100</v>
      </c>
      <c r="CG423" s="287">
        <f>CG450/CG460*100</f>
        <v>69.565217391304344</v>
      </c>
      <c r="CH423" s="287">
        <f>CH450/CH460*100</f>
        <v>73.91304347826086</v>
      </c>
      <c r="CJ423" s="287">
        <f>CJ450/CJ460*100</f>
        <v>0</v>
      </c>
      <c r="CK423" s="287">
        <f>CK450/CK460*100</f>
        <v>33.333333333333329</v>
      </c>
    </row>
    <row r="424" spans="1:89" x14ac:dyDescent="0.25">
      <c r="A424" s="328"/>
      <c r="B424" s="96" t="s">
        <v>1677</v>
      </c>
      <c r="C424" s="312"/>
      <c r="D424" s="329"/>
      <c r="E424" s="291"/>
      <c r="F424" s="291"/>
      <c r="G424" s="291"/>
      <c r="H424" s="291"/>
      <c r="I424" s="287"/>
      <c r="J424" s="287"/>
      <c r="K424" s="287"/>
      <c r="L424" s="287"/>
      <c r="M424" s="287"/>
      <c r="N424" s="287"/>
      <c r="Q424" s="287"/>
      <c r="R424" s="287"/>
      <c r="S424" s="287"/>
      <c r="T424" s="287"/>
      <c r="V424" s="287"/>
      <c r="W424" s="287"/>
      <c r="Y424" s="287"/>
      <c r="Z424" s="287"/>
      <c r="AB424" s="287"/>
      <c r="AC424" s="287"/>
      <c r="AE424" s="287"/>
      <c r="AF424" s="287"/>
      <c r="AH424" s="287"/>
      <c r="AI424" s="287"/>
      <c r="AK424" s="287"/>
      <c r="AL424" s="287"/>
      <c r="AN424" s="287"/>
      <c r="AO424" s="287"/>
      <c r="AQ424" s="287"/>
      <c r="AR424" s="287"/>
      <c r="AT424" s="287"/>
      <c r="AU424" s="287"/>
      <c r="AW424" s="287"/>
      <c r="AX424" s="287"/>
      <c r="AZ424" s="287"/>
      <c r="BA424" s="287"/>
      <c r="BC424" s="287"/>
      <c r="BD424" s="287"/>
      <c r="BF424" s="287"/>
      <c r="BG424" s="287"/>
      <c r="BI424" s="287"/>
      <c r="BJ424" s="287"/>
      <c r="BL424" s="287"/>
      <c r="BM424" s="287"/>
      <c r="BO424" s="287"/>
      <c r="BP424" s="287"/>
      <c r="BR424" s="287"/>
      <c r="BS424" s="287"/>
      <c r="BU424" s="287"/>
      <c r="BV424" s="287"/>
      <c r="BX424" s="287"/>
      <c r="BY424" s="287"/>
      <c r="CA424" s="287"/>
      <c r="CB424" s="287"/>
      <c r="CD424" s="287"/>
      <c r="CE424" s="287"/>
      <c r="CG424" s="287"/>
      <c r="CH424" s="287"/>
      <c r="CJ424" s="287"/>
      <c r="CK424" s="287"/>
    </row>
    <row r="425" spans="1:89" x14ac:dyDescent="0.25">
      <c r="A425" s="328"/>
      <c r="B425" s="96" t="s">
        <v>1675</v>
      </c>
      <c r="C425" s="312"/>
      <c r="D425" s="329" t="s">
        <v>8</v>
      </c>
      <c r="E425" s="291"/>
      <c r="F425" s="291"/>
      <c r="G425" s="291"/>
      <c r="H425" s="291"/>
      <c r="I425" s="287">
        <f>I452/$I$460*100</f>
        <v>82.066869300911847</v>
      </c>
      <c r="J425" s="287">
        <f>J452/$J$460*100</f>
        <v>82.461538461538467</v>
      </c>
      <c r="K425" s="287">
        <f>K452/$K$460*100</f>
        <v>83.125</v>
      </c>
      <c r="L425" s="287">
        <f>L452/$L$460*100</f>
        <v>66.666666666666657</v>
      </c>
      <c r="M425" s="287">
        <f>M452/$M$460*100</f>
        <v>61.111111111111114</v>
      </c>
      <c r="N425" s="287">
        <f>N452/$M$460*100</f>
        <v>50</v>
      </c>
      <c r="O425" s="283"/>
      <c r="Q425" s="287">
        <f>Q452/Q460*100</f>
        <v>83.125</v>
      </c>
      <c r="R425" s="287">
        <f>R452/R460*100</f>
        <v>83.800623052959494</v>
      </c>
      <c r="S425" s="287">
        <f>S452/S460*100</f>
        <v>70</v>
      </c>
      <c r="T425" s="287">
        <f>T452/T460*100</f>
        <v>81.818181818181827</v>
      </c>
      <c r="V425" s="287">
        <f>V452/V460*100</f>
        <v>50</v>
      </c>
      <c r="W425" s="287">
        <f>W452/W460*100</f>
        <v>68.75</v>
      </c>
      <c r="Y425" s="287">
        <f>Y452/Y460*100</f>
        <v>73.333333333333329</v>
      </c>
      <c r="Z425" s="287">
        <f>Z452/Z460*100</f>
        <v>73.333333333333329</v>
      </c>
      <c r="AB425" s="287">
        <f>AB452/AB460*100</f>
        <v>76.923076923076934</v>
      </c>
      <c r="AC425" s="287">
        <f>AC452/AC460*100</f>
        <v>76.923076923076934</v>
      </c>
      <c r="AE425" s="287">
        <f>AE452/AE460*100</f>
        <v>52.941176470588239</v>
      </c>
      <c r="AF425" s="287">
        <f>AF452/AF460*100</f>
        <v>56.25</v>
      </c>
      <c r="AH425" s="287">
        <f>AH452/AH460*100</f>
        <v>50</v>
      </c>
      <c r="AI425" s="287">
        <f>AI452/AI460*100</f>
        <v>55.555555555555557</v>
      </c>
      <c r="AK425" s="287">
        <f>AK452/AK460*100</f>
        <v>100</v>
      </c>
      <c r="AL425" s="287">
        <f>AL452/AL460*100</f>
        <v>100</v>
      </c>
      <c r="AN425" s="287">
        <f>AN452/AN460*100</f>
        <v>95.652173913043484</v>
      </c>
      <c r="AO425" s="287">
        <f>AO452/AO460*100</f>
        <v>91.304347826086953</v>
      </c>
      <c r="AQ425" s="287">
        <f>AQ452/AQ460*100</f>
        <v>47.826086956521742</v>
      </c>
      <c r="AR425" s="287">
        <f>AR452/AR460*100</f>
        <v>41.666666666666671</v>
      </c>
      <c r="AT425" s="287">
        <f>AT452/AT460*100</f>
        <v>100</v>
      </c>
      <c r="AU425" s="287">
        <f>AU452/AU460*100</f>
        <v>100</v>
      </c>
      <c r="AW425" s="287">
        <f>AW452/AW460*100</f>
        <v>100</v>
      </c>
      <c r="AX425" s="287">
        <f>AX452/AX460*100</f>
        <v>100</v>
      </c>
      <c r="AZ425" s="287">
        <f>AZ452/AZ460*100</f>
        <v>100</v>
      </c>
      <c r="BA425" s="287">
        <f>BA452/BA460*100</f>
        <v>100</v>
      </c>
      <c r="BC425" s="287">
        <f>BC452/BC460*100</f>
        <v>100</v>
      </c>
      <c r="BD425" s="287">
        <f>BD452/BD460*100</f>
        <v>80</v>
      </c>
      <c r="BF425" s="287">
        <f>BF452/BF460*100</f>
        <v>96.969696969696969</v>
      </c>
      <c r="BG425" s="287">
        <f>BG452/BG460*100</f>
        <v>96.969696969696969</v>
      </c>
      <c r="BI425" s="287">
        <f>BI452/BI460*100</f>
        <v>97.297297297297305</v>
      </c>
      <c r="BJ425" s="287">
        <f>BJ452/BJ460*100</f>
        <v>100</v>
      </c>
      <c r="BL425" s="287">
        <f>BL452/BL460*100</f>
        <v>100</v>
      </c>
      <c r="BM425" s="287">
        <f>BM452/BM460*100</f>
        <v>100</v>
      </c>
      <c r="BO425" s="287">
        <f>BO452/BO460*100</f>
        <v>100</v>
      </c>
      <c r="BP425" s="287">
        <f>BP452/BP460*100</f>
        <v>100</v>
      </c>
      <c r="BR425" s="287">
        <f>BR452/BR460*100</f>
        <v>100</v>
      </c>
      <c r="BS425" s="287">
        <f>BS452/BS460*100</f>
        <v>100</v>
      </c>
      <c r="BU425" s="287">
        <f>BU452/BU460*100</f>
        <v>100</v>
      </c>
      <c r="BV425" s="287">
        <f>BV452/BV460*100</f>
        <v>100</v>
      </c>
      <c r="BX425" s="287">
        <f>BX452/BX460*100</f>
        <v>100</v>
      </c>
      <c r="BY425" s="287">
        <f>BY452/BY460*100</f>
        <v>100</v>
      </c>
      <c r="CA425" s="287">
        <f>CA452/CA460*100</f>
        <v>83.333333333333343</v>
      </c>
      <c r="CB425" s="287">
        <f>CB452/CB460*100</f>
        <v>85.714285714285708</v>
      </c>
      <c r="CD425" s="287">
        <f>CD452/CD460*100</f>
        <v>100</v>
      </c>
      <c r="CE425" s="287">
        <f>CE452/CE460*100</f>
        <v>100</v>
      </c>
      <c r="CG425" s="287">
        <f>CG452/CG460*100</f>
        <v>91.304347826086953</v>
      </c>
      <c r="CH425" s="287">
        <f>CH452/CH460*100</f>
        <v>91.304347826086953</v>
      </c>
      <c r="CJ425" s="287">
        <f>CJ452/CJ460*100</f>
        <v>66.666666666666657</v>
      </c>
      <c r="CK425" s="287">
        <f>CK452/CK460*100</f>
        <v>100</v>
      </c>
    </row>
    <row r="426" spans="1:89" x14ac:dyDescent="0.25">
      <c r="A426" s="328"/>
      <c r="B426" s="96" t="s">
        <v>1676</v>
      </c>
      <c r="C426" s="312"/>
      <c r="D426" s="329" t="s">
        <v>8</v>
      </c>
      <c r="E426" s="291"/>
      <c r="F426" s="291"/>
      <c r="G426" s="291"/>
      <c r="H426" s="291"/>
      <c r="I426" s="287">
        <f>I453/$I$460*100</f>
        <v>81.155015197568389</v>
      </c>
      <c r="J426" s="287">
        <f>J453/$J$460*100</f>
        <v>82.15384615384616</v>
      </c>
      <c r="K426" s="287">
        <f>K453/$K$460*100</f>
        <v>83.125</v>
      </c>
      <c r="L426" s="287">
        <f>L453/$L$460*100</f>
        <v>66.666666666666657</v>
      </c>
      <c r="M426" s="287">
        <f>M453/$M$460*100</f>
        <v>61.111111111111114</v>
      </c>
      <c r="N426" s="287">
        <f>N453/$M$460*100</f>
        <v>50</v>
      </c>
      <c r="O426" s="283"/>
      <c r="Q426" s="287">
        <f>Q453/Q460*100</f>
        <v>83.125</v>
      </c>
      <c r="R426" s="287">
        <f>R453/R460*100</f>
        <v>83.489096573208727</v>
      </c>
      <c r="S426" s="287">
        <f>S453/S460*100</f>
        <v>70</v>
      </c>
      <c r="T426" s="287">
        <f>T453/T460*100</f>
        <v>81.818181818181827</v>
      </c>
      <c r="V426" s="287">
        <f>V453/V460*100</f>
        <v>50</v>
      </c>
      <c r="W426" s="287">
        <f>W453/W460*100</f>
        <v>62.5</v>
      </c>
      <c r="Y426" s="287">
        <f>Y453/Y460*100</f>
        <v>73.333333333333329</v>
      </c>
      <c r="Z426" s="287">
        <f>Z453/Z460*100</f>
        <v>73.333333333333329</v>
      </c>
      <c r="AB426" s="287">
        <f>AB453/AB460*100</f>
        <v>76.923076923076934</v>
      </c>
      <c r="AC426" s="287">
        <f>AC453/AC460*100</f>
        <v>76.923076923076934</v>
      </c>
      <c r="AE426" s="287">
        <f>AE453/AE460*100</f>
        <v>52.941176470588239</v>
      </c>
      <c r="AF426" s="287">
        <f>AF453/AF460*100</f>
        <v>56.25</v>
      </c>
      <c r="AH426" s="287">
        <f>AH453/AH460*100</f>
        <v>50</v>
      </c>
      <c r="AI426" s="287">
        <f>AI453/AI460*100</f>
        <v>55.555555555555557</v>
      </c>
      <c r="AK426" s="287">
        <f>AK453/AK460*100</f>
        <v>100</v>
      </c>
      <c r="AL426" s="287">
        <f>AL453/AL460*100</f>
        <v>100</v>
      </c>
      <c r="AN426" s="287">
        <f>AN453/AN460*100</f>
        <v>95.652173913043484</v>
      </c>
      <c r="AO426" s="287">
        <f>AO453/AO460*100</f>
        <v>91.304347826086953</v>
      </c>
      <c r="AQ426" s="287">
        <f>AQ453/AQ460*100</f>
        <v>47.826086956521742</v>
      </c>
      <c r="AR426" s="287">
        <f>AR453/AR460*100</f>
        <v>41.666666666666671</v>
      </c>
      <c r="AT426" s="287">
        <f>AT453/AT460*100</f>
        <v>100</v>
      </c>
      <c r="AU426" s="287">
        <f>AU453/AU460*100</f>
        <v>100</v>
      </c>
      <c r="AW426" s="287">
        <f>AW453/AW460*100</f>
        <v>100</v>
      </c>
      <c r="AX426" s="287">
        <f>AX453/AX460*100</f>
        <v>100</v>
      </c>
      <c r="AZ426" s="287">
        <f>AZ453/AZ460*100</f>
        <v>100</v>
      </c>
      <c r="BA426" s="287">
        <f>BA453/BA460*100</f>
        <v>100</v>
      </c>
      <c r="BC426" s="287">
        <f>BC453/BC460*100</f>
        <v>100</v>
      </c>
      <c r="BD426" s="287">
        <f>BD453/BD460*100</f>
        <v>80</v>
      </c>
      <c r="BF426" s="287">
        <f>BF453/BF460*100</f>
        <v>96.969696969696969</v>
      </c>
      <c r="BG426" s="287">
        <f>BG453/BG460*100</f>
        <v>96.969696969696969</v>
      </c>
      <c r="BI426" s="287">
        <f>BI453/BI460*100</f>
        <v>97.297297297297305</v>
      </c>
      <c r="BJ426" s="287">
        <f>BJ453/BJ460*100</f>
        <v>100</v>
      </c>
      <c r="BL426" s="287">
        <f>BL453/BL460*100</f>
        <v>100</v>
      </c>
      <c r="BM426" s="287">
        <f>BM453/BM460*100</f>
        <v>100</v>
      </c>
      <c r="BO426" s="287">
        <f>BO453/BO460*100</f>
        <v>100</v>
      </c>
      <c r="BP426" s="287">
        <f>BP453/BP460*100</f>
        <v>100</v>
      </c>
      <c r="BR426" s="287">
        <f>BR453/BR460*100</f>
        <v>100</v>
      </c>
      <c r="BS426" s="287">
        <f>BS453/BS460*100</f>
        <v>100</v>
      </c>
      <c r="BU426" s="287">
        <f>BU453/BU460*100</f>
        <v>100</v>
      </c>
      <c r="BV426" s="287">
        <f>BV453/BV460*100</f>
        <v>100</v>
      </c>
      <c r="BX426" s="287">
        <f>BX453/BX460*100</f>
        <v>100</v>
      </c>
      <c r="BY426" s="287">
        <f>BY453/BY460*100</f>
        <v>100</v>
      </c>
      <c r="CA426" s="287">
        <f>CA453/CA460*100</f>
        <v>83.333333333333343</v>
      </c>
      <c r="CB426" s="287">
        <f>CB453/CB460*100</f>
        <v>85.714285714285708</v>
      </c>
      <c r="CD426" s="287">
        <f>CD453/CD460*100</f>
        <v>100</v>
      </c>
      <c r="CE426" s="287">
        <f>CE453/CE460*100</f>
        <v>100</v>
      </c>
      <c r="CG426" s="287">
        <f>CG453/CG460*100</f>
        <v>91.304347826086953</v>
      </c>
      <c r="CH426" s="287">
        <f>CH453/CH460*100</f>
        <v>91.304347826086953</v>
      </c>
      <c r="CJ426" s="287">
        <f>CJ453/CJ460*100</f>
        <v>66.666666666666657</v>
      </c>
      <c r="CK426" s="287">
        <f>CK453/CK460*100</f>
        <v>100</v>
      </c>
    </row>
    <row r="427" spans="1:89" x14ac:dyDescent="0.25">
      <c r="A427" s="328"/>
      <c r="B427" s="96" t="s">
        <v>1678</v>
      </c>
      <c r="C427" s="312"/>
      <c r="D427" s="329"/>
      <c r="E427" s="291"/>
      <c r="F427" s="291"/>
      <c r="G427" s="291"/>
      <c r="H427" s="291"/>
      <c r="I427" s="287"/>
      <c r="J427" s="287"/>
      <c r="K427" s="287"/>
      <c r="L427" s="287"/>
      <c r="M427" s="287"/>
      <c r="N427" s="287"/>
      <c r="Q427" s="287"/>
      <c r="R427" s="287"/>
      <c r="S427" s="287"/>
      <c r="T427" s="287"/>
      <c r="V427" s="287"/>
      <c r="W427" s="287"/>
      <c r="Y427" s="287"/>
      <c r="Z427" s="287"/>
      <c r="AB427" s="287"/>
      <c r="AC427" s="287"/>
      <c r="AE427" s="287"/>
      <c r="AF427" s="287"/>
      <c r="AH427" s="287"/>
      <c r="AI427" s="287"/>
      <c r="AK427" s="287"/>
      <c r="AL427" s="287"/>
      <c r="AN427" s="287"/>
      <c r="AO427" s="287"/>
      <c r="AQ427" s="287"/>
      <c r="AR427" s="287"/>
      <c r="AT427" s="287"/>
      <c r="AU427" s="287"/>
      <c r="AW427" s="287"/>
      <c r="AX427" s="287"/>
      <c r="AZ427" s="287"/>
      <c r="BA427" s="287"/>
      <c r="BC427" s="287"/>
      <c r="BD427" s="287"/>
      <c r="BF427" s="287"/>
      <c r="BG427" s="287"/>
      <c r="BI427" s="287"/>
      <c r="BJ427" s="287"/>
      <c r="BL427" s="287"/>
      <c r="BM427" s="287"/>
      <c r="BO427" s="287"/>
      <c r="BP427" s="287"/>
      <c r="BR427" s="287"/>
      <c r="BS427" s="287"/>
      <c r="BU427" s="287"/>
      <c r="BV427" s="287"/>
      <c r="BX427" s="287"/>
      <c r="BY427" s="287"/>
      <c r="CA427" s="287"/>
      <c r="CB427" s="287"/>
      <c r="CD427" s="287"/>
      <c r="CE427" s="287"/>
      <c r="CG427" s="287"/>
      <c r="CH427" s="287"/>
      <c r="CJ427" s="287"/>
      <c r="CK427" s="287"/>
    </row>
    <row r="428" spans="1:89" x14ac:dyDescent="0.25">
      <c r="A428" s="328"/>
      <c r="B428" s="96" t="s">
        <v>1675</v>
      </c>
      <c r="C428" s="312"/>
      <c r="D428" s="329" t="s">
        <v>8</v>
      </c>
      <c r="E428" s="291"/>
      <c r="F428" s="291"/>
      <c r="G428" s="291"/>
      <c r="H428" s="291"/>
      <c r="I428" s="287">
        <f>I455/$I$460*100</f>
        <v>60.182370820668694</v>
      </c>
      <c r="J428" s="287">
        <f>J455/$J$460*100</f>
        <v>62.769230769230766</v>
      </c>
      <c r="K428" s="287">
        <f>K455/$K$460*100</f>
        <v>65</v>
      </c>
      <c r="L428" s="287">
        <f>L455/$L$460*100</f>
        <v>33.333333333333329</v>
      </c>
      <c r="M428" s="287">
        <f>M455/$M$460*100</f>
        <v>33.333333333333329</v>
      </c>
      <c r="N428" s="287">
        <f>N455/$M$460*100</f>
        <v>38.888888888888893</v>
      </c>
      <c r="O428" s="283"/>
      <c r="Q428" s="287">
        <f>Q455/Q460*100</f>
        <v>65</v>
      </c>
      <c r="R428" s="287">
        <f>R455/R460*100</f>
        <v>67.912772585669785</v>
      </c>
      <c r="S428" s="287">
        <f>S455/S460*100</f>
        <v>80</v>
      </c>
      <c r="T428" s="287">
        <f>T455/T460*100</f>
        <v>63.636363636363633</v>
      </c>
      <c r="V428" s="287">
        <f>V455/V460*100</f>
        <v>25</v>
      </c>
      <c r="W428" s="287">
        <f>W455/W460*100</f>
        <v>25</v>
      </c>
      <c r="Y428" s="287">
        <f>Y455/Y460*100</f>
        <v>46.666666666666664</v>
      </c>
      <c r="Z428" s="287">
        <f>Z455/Z460*100</f>
        <v>53.333333333333336</v>
      </c>
      <c r="AB428" s="287">
        <f>AB455/AB460*100</f>
        <v>69.230769230769226</v>
      </c>
      <c r="AC428" s="287">
        <f>AC455/AC460*100</f>
        <v>76.923076923076934</v>
      </c>
      <c r="AE428" s="287">
        <f>AE455/AE460*100</f>
        <v>47.058823529411761</v>
      </c>
      <c r="AF428" s="287">
        <f>AF455/AF460*100</f>
        <v>50</v>
      </c>
      <c r="AH428" s="287">
        <f>AH455/AH460*100</f>
        <v>27.777777777777779</v>
      </c>
      <c r="AI428" s="287">
        <f>AI455/AI460*100</f>
        <v>33.333333333333329</v>
      </c>
      <c r="AK428" s="287">
        <f>AK455/AK460*100</f>
        <v>81.818181818181827</v>
      </c>
      <c r="AL428" s="287">
        <f>AL455/AL460*100</f>
        <v>100</v>
      </c>
      <c r="AN428" s="287">
        <f>AN455/AN460*100</f>
        <v>86.956521739130437</v>
      </c>
      <c r="AO428" s="287">
        <f>AO455/AO460*100</f>
        <v>82.608695652173907</v>
      </c>
      <c r="AQ428" s="287">
        <f>AQ455/AQ460*100</f>
        <v>43.478260869565219</v>
      </c>
      <c r="AR428" s="287">
        <f>AR455/AR460*100</f>
        <v>41.666666666666671</v>
      </c>
      <c r="AT428" s="287">
        <f>AT455/AT460*100</f>
        <v>100</v>
      </c>
      <c r="AU428" s="287">
        <f>AU455/AU460*100</f>
        <v>100</v>
      </c>
      <c r="AW428" s="287">
        <f>AW455/AW460*100</f>
        <v>83.333333333333343</v>
      </c>
      <c r="AX428" s="287">
        <f>AX455/AX460*100</f>
        <v>66.666666666666657</v>
      </c>
      <c r="AZ428" s="287">
        <f>AZ455/AZ460*100</f>
        <v>100</v>
      </c>
      <c r="BA428" s="287">
        <f>BA455/BA460*100</f>
        <v>100</v>
      </c>
      <c r="BC428" s="287">
        <f>BC455/BC460*100</f>
        <v>93.333333333333329</v>
      </c>
      <c r="BD428" s="287">
        <f>BD455/BD460*100</f>
        <v>86.666666666666671</v>
      </c>
      <c r="BF428" s="287">
        <f>BF455/BF460*100</f>
        <v>51.515151515151516</v>
      </c>
      <c r="BG428" s="287">
        <f>BG455/BG460*100</f>
        <v>54.54545454545454</v>
      </c>
      <c r="BI428" s="287">
        <f>BI455/BI460*100</f>
        <v>75.675675675675677</v>
      </c>
      <c r="BJ428" s="287">
        <f>BJ455/BJ460*100</f>
        <v>86.486486486486484</v>
      </c>
      <c r="BL428" s="287">
        <f>BL455/BL460*100</f>
        <v>50</v>
      </c>
      <c r="BM428" s="287">
        <f>BM455/BM460*100</f>
        <v>50</v>
      </c>
      <c r="BO428" s="287">
        <f>BO455/BO460*100</f>
        <v>83.333333333333343</v>
      </c>
      <c r="BP428" s="287">
        <f>BP455/BP460*100</f>
        <v>83.333333333333343</v>
      </c>
      <c r="BR428" s="287">
        <f>BR455/BR460*100</f>
        <v>62.5</v>
      </c>
      <c r="BS428" s="287">
        <f>BS455/BS460*100</f>
        <v>85.714285714285708</v>
      </c>
      <c r="BU428" s="287">
        <f>BU455/BU460*100</f>
        <v>100</v>
      </c>
      <c r="BV428" s="287">
        <f>BV455/BV460*100</f>
        <v>100</v>
      </c>
      <c r="BX428" s="287">
        <f>BX455/BX460*100</f>
        <v>33.333333333333329</v>
      </c>
      <c r="BY428" s="287">
        <f>BY455/BY460*100</f>
        <v>66.666666666666657</v>
      </c>
      <c r="CA428" s="287">
        <f>CA455/CA460*100</f>
        <v>83.333333333333343</v>
      </c>
      <c r="CB428" s="287">
        <f>CB455/CB460*100</f>
        <v>100</v>
      </c>
      <c r="CD428" s="287">
        <f>CD455/CD460*100</f>
        <v>100</v>
      </c>
      <c r="CE428" s="287">
        <f>CE455/CE460*100</f>
        <v>100</v>
      </c>
      <c r="CG428" s="287">
        <f>CG455/CG460*100</f>
        <v>73.91304347826086</v>
      </c>
      <c r="CH428" s="287">
        <f>CH455/CH460*100</f>
        <v>73.91304347826086</v>
      </c>
      <c r="CJ428" s="287">
        <f>CJ455/CJ460*100</f>
        <v>0</v>
      </c>
      <c r="CK428" s="287">
        <f>CK455/CK460*100</f>
        <v>0</v>
      </c>
    </row>
    <row r="429" spans="1:89" x14ac:dyDescent="0.25">
      <c r="A429" s="328"/>
      <c r="B429" s="96" t="s">
        <v>1679</v>
      </c>
      <c r="C429" s="312"/>
      <c r="D429" s="329" t="s">
        <v>8</v>
      </c>
      <c r="E429" s="291"/>
      <c r="F429" s="291"/>
      <c r="G429" s="291"/>
      <c r="H429" s="291"/>
      <c r="I429" s="287">
        <f>I456/$I$460*100</f>
        <v>58.054711246200611</v>
      </c>
      <c r="J429" s="287">
        <f>J456/$J$460*100</f>
        <v>60.615384615384613</v>
      </c>
      <c r="K429" s="287">
        <f>K456/$K$460*100</f>
        <v>63.125</v>
      </c>
      <c r="L429" s="287">
        <f>L456/$L$460*100</f>
        <v>27.777777777777779</v>
      </c>
      <c r="M429" s="287">
        <f>M456/$M$460*100</f>
        <v>33.333333333333329</v>
      </c>
      <c r="N429" s="287">
        <f>N456/$M$460*100</f>
        <v>38.888888888888893</v>
      </c>
      <c r="O429" s="283"/>
      <c r="Q429" s="287">
        <f>Q456/Q460*100</f>
        <v>63.125</v>
      </c>
      <c r="R429" s="287">
        <f>R456/R460*100</f>
        <v>64.797507788161994</v>
      </c>
      <c r="S429" s="287">
        <f>S456/S460*100</f>
        <v>80</v>
      </c>
      <c r="T429" s="287">
        <f>T456/T460*100</f>
        <v>63.636363636363633</v>
      </c>
      <c r="V429" s="287">
        <f>V456/V460*100</f>
        <v>25</v>
      </c>
      <c r="W429" s="287">
        <f>W456/W460*100</f>
        <v>25</v>
      </c>
      <c r="Y429" s="287">
        <f>Y456/Y460*100</f>
        <v>46.666666666666664</v>
      </c>
      <c r="Z429" s="287">
        <f>Z456/Z460*100</f>
        <v>53.333333333333336</v>
      </c>
      <c r="AB429" s="287">
        <f>AB456/AB460*100</f>
        <v>69.230769230769226</v>
      </c>
      <c r="AC429" s="287">
        <f>AC456/AC460*100</f>
        <v>76.923076923076934</v>
      </c>
      <c r="AE429" s="287">
        <f>AE456/AE460*100</f>
        <v>35.294117647058826</v>
      </c>
      <c r="AF429" s="287">
        <f>AF456/AF460*100</f>
        <v>37.5</v>
      </c>
      <c r="AH429" s="287">
        <f>AH456/AH460*100</f>
        <v>22.222222222222221</v>
      </c>
      <c r="AI429" s="287">
        <f>AI456/AI460*100</f>
        <v>27.777777777777779</v>
      </c>
      <c r="AK429" s="287">
        <f>AK456/AK460*100</f>
        <v>81.818181818181827</v>
      </c>
      <c r="AL429" s="287">
        <f>AL456/AL460*100</f>
        <v>100</v>
      </c>
      <c r="AN429" s="287">
        <f>AN456/AN460*100</f>
        <v>86.956521739130437</v>
      </c>
      <c r="AO429" s="287">
        <f>AO456/AO460*100</f>
        <v>82.608695652173907</v>
      </c>
      <c r="AQ429" s="287">
        <f>AQ456/AQ460*100</f>
        <v>34.782608695652172</v>
      </c>
      <c r="AR429" s="287">
        <f>AR456/AR460*100</f>
        <v>33.333333333333329</v>
      </c>
      <c r="AT429" s="287">
        <f>AT456/AT460*100</f>
        <v>100</v>
      </c>
      <c r="AU429" s="287">
        <f>AU456/AU460*100</f>
        <v>100</v>
      </c>
      <c r="AW429" s="287">
        <f>AW456/AW460*100</f>
        <v>83.333333333333343</v>
      </c>
      <c r="AX429" s="287">
        <f>AX456/AX460*100</f>
        <v>66.666666666666657</v>
      </c>
      <c r="AZ429" s="287">
        <f>AZ456/AZ460*100</f>
        <v>100</v>
      </c>
      <c r="BA429" s="287">
        <f>BA456/BA460*100</f>
        <v>100</v>
      </c>
      <c r="BC429" s="287">
        <f>BC456/BC460*100</f>
        <v>93.333333333333329</v>
      </c>
      <c r="BD429" s="287">
        <f>BD456/BD460*100</f>
        <v>86.666666666666671</v>
      </c>
      <c r="BF429" s="287">
        <f>BF456/BF460*100</f>
        <v>51.515151515151516</v>
      </c>
      <c r="BG429" s="287">
        <f>BG456/BG460*100</f>
        <v>54.54545454545454</v>
      </c>
      <c r="BI429" s="287">
        <f>BI456/BI460*100</f>
        <v>75.675675675675677</v>
      </c>
      <c r="BJ429" s="287">
        <f>BJ456/BJ460*100</f>
        <v>75.675675675675677</v>
      </c>
      <c r="BL429" s="287">
        <f>BL456/BL460*100</f>
        <v>50</v>
      </c>
      <c r="BM429" s="287">
        <f>BM456/BM460*100</f>
        <v>50</v>
      </c>
      <c r="BO429" s="287">
        <f>BO456/BO460*100</f>
        <v>66.666666666666657</v>
      </c>
      <c r="BP429" s="287">
        <f>BP456/BP460*100</f>
        <v>66.666666666666657</v>
      </c>
      <c r="BR429" s="287">
        <f>BR456/BR460*100</f>
        <v>62.5</v>
      </c>
      <c r="BS429" s="287">
        <f>BS456/BS460*100</f>
        <v>85.714285714285708</v>
      </c>
      <c r="BU429" s="287">
        <f>BU456/BU460*100</f>
        <v>100</v>
      </c>
      <c r="BV429" s="287">
        <f>BV456/BV460*100</f>
        <v>100</v>
      </c>
      <c r="BX429" s="287">
        <f>BX456/BX460*100</f>
        <v>33.333333333333329</v>
      </c>
      <c r="BY429" s="287">
        <f>BY456/BY460*100</f>
        <v>66.666666666666657</v>
      </c>
      <c r="CA429" s="287">
        <f>CA456/CA460*100</f>
        <v>83.333333333333343</v>
      </c>
      <c r="CB429" s="287">
        <f>CB456/CB460*100</f>
        <v>100</v>
      </c>
      <c r="CD429" s="287">
        <f>CD456/CD460*100</f>
        <v>100</v>
      </c>
      <c r="CE429" s="287">
        <f>CE456/CE460*100</f>
        <v>100</v>
      </c>
      <c r="CG429" s="287">
        <f>CG456/CG460*100</f>
        <v>73.91304347826086</v>
      </c>
      <c r="CH429" s="287">
        <f>CH456/CH460*100</f>
        <v>73.91304347826086</v>
      </c>
      <c r="CJ429" s="287">
        <f>CJ456/CJ460*100</f>
        <v>0</v>
      </c>
      <c r="CK429" s="287">
        <f>CK456/CK460*100</f>
        <v>0</v>
      </c>
    </row>
    <row r="430" spans="1:89" x14ac:dyDescent="0.25">
      <c r="A430" s="328"/>
      <c r="B430" s="96" t="s">
        <v>2521</v>
      </c>
      <c r="C430" s="312"/>
      <c r="D430" s="329"/>
      <c r="E430" s="291"/>
      <c r="F430" s="291"/>
      <c r="G430" s="291"/>
      <c r="H430" s="291"/>
      <c r="I430" s="287"/>
      <c r="J430" s="287"/>
      <c r="K430" s="287"/>
      <c r="L430" s="287"/>
      <c r="M430" s="287"/>
      <c r="N430" s="287"/>
      <c r="Q430" s="287"/>
      <c r="R430" s="287"/>
      <c r="S430" s="287"/>
      <c r="T430" s="287"/>
      <c r="V430" s="287"/>
      <c r="W430" s="287"/>
      <c r="Y430" s="287"/>
      <c r="Z430" s="287"/>
      <c r="AB430" s="287"/>
      <c r="AC430" s="287"/>
      <c r="AE430" s="287"/>
      <c r="AF430" s="287"/>
      <c r="AH430" s="287"/>
      <c r="AI430" s="287"/>
      <c r="AK430" s="287"/>
      <c r="AL430" s="287"/>
      <c r="AN430" s="287"/>
      <c r="AO430" s="287"/>
      <c r="AQ430" s="287"/>
      <c r="AR430" s="287"/>
      <c r="AT430" s="287"/>
      <c r="AU430" s="287"/>
      <c r="AW430" s="287"/>
      <c r="AX430" s="287"/>
      <c r="AZ430" s="287"/>
      <c r="BA430" s="287"/>
      <c r="BC430" s="287"/>
      <c r="BD430" s="287"/>
      <c r="BF430" s="287"/>
      <c r="BG430" s="287"/>
      <c r="BI430" s="287"/>
      <c r="BJ430" s="287"/>
      <c r="BL430" s="287"/>
      <c r="BM430" s="287"/>
      <c r="BO430" s="287"/>
      <c r="BP430" s="287"/>
      <c r="BR430" s="287"/>
      <c r="BS430" s="287"/>
      <c r="BU430" s="287"/>
      <c r="BV430" s="287"/>
      <c r="BX430" s="287"/>
      <c r="BY430" s="287"/>
      <c r="CA430" s="287"/>
      <c r="CB430" s="287"/>
      <c r="CD430" s="287"/>
      <c r="CE430" s="287"/>
      <c r="CG430" s="287"/>
      <c r="CH430" s="287"/>
      <c r="CJ430" s="287"/>
      <c r="CK430" s="287"/>
    </row>
    <row r="431" spans="1:89" x14ac:dyDescent="0.25">
      <c r="A431" s="328"/>
      <c r="B431" s="96" t="s">
        <v>1675</v>
      </c>
      <c r="C431" s="312"/>
      <c r="D431" s="329" t="s">
        <v>8</v>
      </c>
      <c r="E431" s="291"/>
      <c r="F431" s="291"/>
      <c r="G431" s="291"/>
      <c r="H431" s="291"/>
      <c r="I431" s="279">
        <f>I458/$I$460*100</f>
        <v>18.541033434650455</v>
      </c>
      <c r="J431" s="279">
        <f>J458/$J$460*100</f>
        <v>16.307692307692307</v>
      </c>
      <c r="K431" s="279">
        <f>K458/$K$460*100</f>
        <v>22.8125</v>
      </c>
      <c r="L431" s="279">
        <f>L458/$L$460*100</f>
        <v>5.5555555555555554</v>
      </c>
      <c r="M431" s="279">
        <f>M458/$M$460*100</f>
        <v>5.5555555555555554</v>
      </c>
      <c r="N431" s="279">
        <f>N458/$M$460*100</f>
        <v>5.5555555555555554</v>
      </c>
      <c r="O431" s="283"/>
      <c r="Q431" s="287">
        <f>Q458/Q460*100</f>
        <v>22.8125</v>
      </c>
      <c r="R431" s="287">
        <f>R458/R460*100</f>
        <v>26.791277258566975</v>
      </c>
      <c r="S431" s="287">
        <f>S458/S460*100</f>
        <v>20</v>
      </c>
      <c r="T431" s="287">
        <f>T458/T460*100</f>
        <v>18.181818181818183</v>
      </c>
      <c r="V431" s="287">
        <f>V458/V460*100</f>
        <v>6.25</v>
      </c>
      <c r="W431" s="287">
        <f>W458/W460*100</f>
        <v>6.25</v>
      </c>
      <c r="Y431" s="287">
        <f>Y458/Y460*100</f>
        <v>13.333333333333334</v>
      </c>
      <c r="Z431" s="287">
        <f>Z458/Z460*100</f>
        <v>6.666666666666667</v>
      </c>
      <c r="AB431" s="287">
        <f>AB458/AB460*100</f>
        <v>7.6923076923076925</v>
      </c>
      <c r="AC431" s="287">
        <f>AC458/AC460*100</f>
        <v>7.6923076923076925</v>
      </c>
      <c r="AE431" s="287">
        <f>AE458/AE460*100</f>
        <v>11.76470588235294</v>
      </c>
      <c r="AF431" s="287">
        <f>AF458/AF460*100</f>
        <v>18.75</v>
      </c>
      <c r="AH431" s="287">
        <f>AH458/AH460*100</f>
        <v>0</v>
      </c>
      <c r="AI431" s="287">
        <f>AI458/AI460*100</f>
        <v>5.5555555555555554</v>
      </c>
      <c r="AK431" s="287">
        <f>AK458/AK460*100</f>
        <v>27.27272727272727</v>
      </c>
      <c r="AL431" s="287">
        <f>AL458/AL460*100</f>
        <v>27.27272727272727</v>
      </c>
      <c r="AN431" s="287">
        <f>AN458/AN460*100</f>
        <v>30.434782608695656</v>
      </c>
      <c r="AO431" s="287">
        <f>AO458/AO460*100</f>
        <v>47.826086956521742</v>
      </c>
      <c r="AQ431" s="287">
        <f>AQ458/AQ460*100</f>
        <v>0</v>
      </c>
      <c r="AR431" s="287">
        <f>AR458/AR460*100</f>
        <v>0</v>
      </c>
      <c r="AT431" s="287">
        <f>AT458/AT460*100</f>
        <v>55.555555555555557</v>
      </c>
      <c r="AU431" s="287">
        <f>AU458/AU460*100</f>
        <v>55.555555555555557</v>
      </c>
      <c r="AW431" s="287">
        <f>AW458/AW460*100</f>
        <v>16.666666666666664</v>
      </c>
      <c r="AX431" s="287">
        <f>AX458/AX460*100</f>
        <v>33.333333333333329</v>
      </c>
      <c r="AZ431" s="287">
        <f>AZ458/AZ460*100</f>
        <v>42.857142857142854</v>
      </c>
      <c r="BA431" s="287">
        <f>BA458/BA460*100</f>
        <v>42.857142857142854</v>
      </c>
      <c r="BC431" s="287">
        <f>BC458/BC460*100</f>
        <v>20</v>
      </c>
      <c r="BD431" s="287">
        <f>BD458/BD460*100</f>
        <v>33.333333333333329</v>
      </c>
      <c r="BF431" s="287">
        <f>BF458/BF460*100</f>
        <v>0</v>
      </c>
      <c r="BG431" s="287">
        <f>BG458/BG460*100</f>
        <v>0</v>
      </c>
      <c r="BI431" s="287">
        <f>BI458/BI460*100</f>
        <v>45.945945945945951</v>
      </c>
      <c r="BJ431" s="287">
        <f>BJ458/BJ460*100</f>
        <v>48.648648648648653</v>
      </c>
      <c r="BL431" s="287">
        <f>BL458/BL460*100</f>
        <v>0</v>
      </c>
      <c r="BM431" s="287">
        <f>BM458/BM460*100</f>
        <v>0</v>
      </c>
      <c r="BO431" s="287">
        <f>BO458/BO460*100</f>
        <v>16.666666666666664</v>
      </c>
      <c r="BP431" s="287">
        <f>BP458/BP460*100</f>
        <v>50</v>
      </c>
      <c r="BR431" s="287">
        <f>BR458/BR460*100</f>
        <v>25</v>
      </c>
      <c r="BS431" s="287">
        <f>BS458/BS460*100</f>
        <v>28.571428571428569</v>
      </c>
      <c r="BU431" s="287">
        <f>BU458/BU460*100</f>
        <v>28.571428571428569</v>
      </c>
      <c r="BV431" s="287">
        <f>BV458/BV460*100</f>
        <v>42.857142857142854</v>
      </c>
      <c r="BX431" s="287">
        <f>BX458/BX460*100</f>
        <v>33.333333333333329</v>
      </c>
      <c r="BY431" s="287">
        <f>BY458/BY460*100</f>
        <v>33.333333333333329</v>
      </c>
      <c r="CA431" s="287">
        <f>CA458/CA460*100</f>
        <v>50</v>
      </c>
      <c r="CB431" s="287">
        <f>CB458/CB460*100</f>
        <v>57.142857142857139</v>
      </c>
      <c r="CD431" s="287">
        <f>CD458/CD460*100</f>
        <v>0</v>
      </c>
      <c r="CE431" s="287">
        <f>CE458/CE460*100</f>
        <v>0</v>
      </c>
      <c r="CG431" s="287">
        <f>CG458/CG460*100</f>
        <v>73.91304347826086</v>
      </c>
      <c r="CH431" s="287">
        <f>CH458/CH460*100</f>
        <v>73.91304347826086</v>
      </c>
      <c r="CJ431" s="287">
        <f>CJ458/CJ460*100</f>
        <v>0</v>
      </c>
      <c r="CK431" s="287">
        <f>CK458/CK460*100</f>
        <v>0</v>
      </c>
    </row>
    <row r="432" spans="1:89" x14ac:dyDescent="0.25">
      <c r="A432" s="328"/>
      <c r="B432" s="96" t="s">
        <v>1679</v>
      </c>
      <c r="C432" s="312"/>
      <c r="D432" s="329" t="s">
        <v>8</v>
      </c>
      <c r="E432" s="291"/>
      <c r="F432" s="291"/>
      <c r="G432" s="291"/>
      <c r="H432" s="291"/>
      <c r="I432" s="279">
        <f>I459/$I$460*100</f>
        <v>17.62917933130699</v>
      </c>
      <c r="J432" s="279">
        <f>J459/$J$460*100</f>
        <v>15.692307692307692</v>
      </c>
      <c r="K432" s="279">
        <f>K459/$K$460*100</f>
        <v>22.1875</v>
      </c>
      <c r="L432" s="279">
        <f>L459/$L$460*100</f>
        <v>5.5555555555555554</v>
      </c>
      <c r="M432" s="279">
        <f>M459/$M$460*100</f>
        <v>5.5555555555555554</v>
      </c>
      <c r="N432" s="279">
        <f>N459/$M$460*100</f>
        <v>5.5555555555555554</v>
      </c>
      <c r="O432" s="283"/>
      <c r="Q432" s="287">
        <f>Q459/Q460*100</f>
        <v>22.1875</v>
      </c>
      <c r="R432" s="287">
        <f>R459/R460*100</f>
        <v>25.85669781931464</v>
      </c>
      <c r="S432" s="287">
        <f>S459/S460*100</f>
        <v>20</v>
      </c>
      <c r="T432" s="287">
        <f>T459/T460*100</f>
        <v>18.181818181818183</v>
      </c>
      <c r="V432" s="287">
        <f>V459/V460*100</f>
        <v>6.25</v>
      </c>
      <c r="W432" s="287">
        <f>W459/W460*100</f>
        <v>6.25</v>
      </c>
      <c r="Y432" s="287">
        <f>Y459/Y460*100</f>
        <v>13.333333333333334</v>
      </c>
      <c r="Z432" s="287">
        <f>Z459/Z460*100</f>
        <v>6.666666666666667</v>
      </c>
      <c r="AB432" s="287">
        <f>AB459/AB460*100</f>
        <v>7.6923076923076925</v>
      </c>
      <c r="AC432" s="287">
        <f>AC459/AC460*100</f>
        <v>7.6923076923076925</v>
      </c>
      <c r="AE432" s="287">
        <f>AE459/AE460*100</f>
        <v>11.76470588235294</v>
      </c>
      <c r="AF432" s="287">
        <f>AF459/AF460*100</f>
        <v>12.5</v>
      </c>
      <c r="AH432" s="287">
        <f>AH459/AH460*100</f>
        <v>0</v>
      </c>
      <c r="AI432" s="287">
        <f>AI459/AI460*100</f>
        <v>5.5555555555555554</v>
      </c>
      <c r="AK432" s="287">
        <f>AK459/AK460*100</f>
        <v>27.27272727272727</v>
      </c>
      <c r="AL432" s="287">
        <f>AL459/AL460*100</f>
        <v>27.27272727272727</v>
      </c>
      <c r="AN432" s="287">
        <f>AN459/AN460*100</f>
        <v>26.086956521739129</v>
      </c>
      <c r="AO432" s="287">
        <f>AO459/AO460*100</f>
        <v>43.478260869565219</v>
      </c>
      <c r="AQ432" s="287">
        <f>AQ459/AQ460*100</f>
        <v>0</v>
      </c>
      <c r="AR432" s="287">
        <f>AR459/AR460*100</f>
        <v>0</v>
      </c>
      <c r="AT432" s="287">
        <f>AT459/AT460*100</f>
        <v>55.555555555555557</v>
      </c>
      <c r="AU432" s="287">
        <f>AU459/AU460*100</f>
        <v>55.555555555555557</v>
      </c>
      <c r="AW432" s="287">
        <f>AW459/AW460*100</f>
        <v>16.666666666666664</v>
      </c>
      <c r="AX432" s="287">
        <f>AX459/AX460*100</f>
        <v>33.333333333333329</v>
      </c>
      <c r="AZ432" s="287">
        <f>AZ459/AZ460*100</f>
        <v>42.857142857142854</v>
      </c>
      <c r="BA432" s="287">
        <f>BA459/BA460*100</f>
        <v>42.857142857142854</v>
      </c>
      <c r="BC432" s="287">
        <f>BC459/BC460*100</f>
        <v>20</v>
      </c>
      <c r="BD432" s="287">
        <f>BD459/BD460*100</f>
        <v>33.333333333333329</v>
      </c>
      <c r="BF432" s="287">
        <f>BF459/BF460*100</f>
        <v>0</v>
      </c>
      <c r="BG432" s="287">
        <f>BG459/BG460*100</f>
        <v>0</v>
      </c>
      <c r="BI432" s="287">
        <f>BI459/BI460*100</f>
        <v>43.243243243243242</v>
      </c>
      <c r="BJ432" s="287">
        <f>BJ459/BJ460*100</f>
        <v>45.945945945945951</v>
      </c>
      <c r="BL432" s="287">
        <f>BL459/BL460*100</f>
        <v>0</v>
      </c>
      <c r="BM432" s="287">
        <f>BM459/BM460*100</f>
        <v>0</v>
      </c>
      <c r="BO432" s="287">
        <f>BO459/BO460*100</f>
        <v>16.666666666666664</v>
      </c>
      <c r="BP432" s="287">
        <f>BP459/BP460*100</f>
        <v>50</v>
      </c>
      <c r="BR432" s="287">
        <f>BR459/BR460*100</f>
        <v>25</v>
      </c>
      <c r="BS432" s="287">
        <f>BS459/BS460*100</f>
        <v>28.571428571428569</v>
      </c>
      <c r="BU432" s="287">
        <f>BU459/BU460*100</f>
        <v>28.571428571428569</v>
      </c>
      <c r="BV432" s="287">
        <f>BV459/BV460*100</f>
        <v>42.857142857142854</v>
      </c>
      <c r="BX432" s="287">
        <f>BX459/BX460*100</f>
        <v>33.333333333333329</v>
      </c>
      <c r="BY432" s="287">
        <f>BY459/BY460*100</f>
        <v>33.333333333333329</v>
      </c>
      <c r="CA432" s="287">
        <f>CA459/CA460*100</f>
        <v>50</v>
      </c>
      <c r="CB432" s="287">
        <f>CB459/CB460*100</f>
        <v>57.142857142857139</v>
      </c>
      <c r="CD432" s="287">
        <f>CD459/CD460*100</f>
        <v>0</v>
      </c>
      <c r="CE432" s="287">
        <f>CE459/CE460*100</f>
        <v>0</v>
      </c>
      <c r="CG432" s="287">
        <f>CG459/CG460*100</f>
        <v>73.91304347826086</v>
      </c>
      <c r="CH432" s="287">
        <f>CH459/CH460*100</f>
        <v>73.91304347826086</v>
      </c>
      <c r="CJ432" s="287">
        <f>CJ459/CJ460*100</f>
        <v>0</v>
      </c>
      <c r="CK432" s="287">
        <f>CK459/CK460*100</f>
        <v>0</v>
      </c>
    </row>
    <row r="433" spans="1:89" x14ac:dyDescent="0.25">
      <c r="A433" s="328"/>
      <c r="B433" s="96" t="s">
        <v>1184</v>
      </c>
      <c r="C433" s="312"/>
      <c r="D433" s="329"/>
      <c r="E433" s="291"/>
      <c r="F433" s="291"/>
      <c r="G433" s="291"/>
      <c r="H433" s="291"/>
      <c r="I433" s="282"/>
      <c r="J433" s="282"/>
      <c r="K433" s="282"/>
      <c r="L433" s="282"/>
      <c r="M433" s="282"/>
      <c r="N433" s="282"/>
      <c r="Q433" s="282"/>
      <c r="R433" s="282"/>
      <c r="S433" s="282"/>
      <c r="T433" s="282"/>
      <c r="V433" s="282"/>
      <c r="W433" s="282"/>
      <c r="Y433" s="282"/>
      <c r="Z433" s="282"/>
      <c r="AB433" s="282"/>
      <c r="AC433" s="282"/>
      <c r="AE433" s="282"/>
      <c r="AF433" s="282"/>
      <c r="AH433" s="282"/>
      <c r="AI433" s="282"/>
      <c r="AK433" s="282"/>
      <c r="AL433" s="282"/>
      <c r="AN433" s="282"/>
      <c r="AO433" s="282"/>
      <c r="AQ433" s="282"/>
      <c r="AR433" s="282"/>
      <c r="AT433" s="282"/>
      <c r="AU433" s="282"/>
      <c r="AW433" s="282"/>
      <c r="AX433" s="282"/>
      <c r="AZ433" s="282"/>
      <c r="BA433" s="282"/>
      <c r="BC433" s="282"/>
      <c r="BD433" s="282"/>
      <c r="BF433" s="282"/>
      <c r="BG433" s="282"/>
      <c r="BI433" s="282"/>
      <c r="BJ433" s="282"/>
      <c r="BL433" s="282"/>
      <c r="BM433" s="282"/>
      <c r="BO433" s="282"/>
      <c r="BP433" s="282"/>
      <c r="BR433" s="282"/>
      <c r="BS433" s="282"/>
      <c r="BU433" s="282"/>
      <c r="BV433" s="282"/>
      <c r="BX433" s="282"/>
      <c r="BY433" s="282"/>
      <c r="CA433" s="282"/>
      <c r="CB433" s="282"/>
      <c r="CD433" s="282"/>
      <c r="CE433" s="282"/>
      <c r="CG433" s="282"/>
      <c r="CH433" s="282"/>
      <c r="CJ433" s="282"/>
      <c r="CK433" s="282"/>
    </row>
    <row r="434" spans="1:89" x14ac:dyDescent="0.25">
      <c r="A434" s="328"/>
      <c r="B434" s="96" t="s">
        <v>1674</v>
      </c>
      <c r="C434" s="312"/>
      <c r="D434" s="329"/>
      <c r="E434" s="291"/>
      <c r="F434" s="291"/>
      <c r="G434" s="291"/>
      <c r="H434" s="291"/>
      <c r="I434" s="287"/>
      <c r="J434" s="287"/>
      <c r="K434" s="287"/>
      <c r="L434" s="287"/>
      <c r="M434" s="287"/>
      <c r="N434" s="287"/>
      <c r="Q434" s="287"/>
      <c r="R434" s="287"/>
      <c r="S434" s="287"/>
      <c r="T434" s="287"/>
      <c r="V434" s="287"/>
      <c r="W434" s="287"/>
      <c r="Y434" s="287"/>
      <c r="Z434" s="287"/>
      <c r="AB434" s="287"/>
      <c r="AC434" s="287"/>
      <c r="AE434" s="287"/>
      <c r="AF434" s="287"/>
      <c r="AH434" s="287"/>
      <c r="AI434" s="287"/>
      <c r="AK434" s="287"/>
      <c r="AL434" s="287"/>
      <c r="AN434" s="287"/>
      <c r="AO434" s="287"/>
      <c r="AQ434" s="287"/>
      <c r="AR434" s="287"/>
      <c r="AT434" s="287"/>
      <c r="AU434" s="287"/>
      <c r="AW434" s="287"/>
      <c r="AX434" s="287"/>
      <c r="AZ434" s="287"/>
      <c r="BA434" s="287"/>
      <c r="BC434" s="287"/>
      <c r="BD434" s="287"/>
      <c r="BF434" s="287"/>
      <c r="BG434" s="287"/>
      <c r="BI434" s="287"/>
      <c r="BJ434" s="287"/>
      <c r="BL434" s="287"/>
      <c r="BM434" s="287"/>
      <c r="BO434" s="287"/>
      <c r="BP434" s="287"/>
      <c r="BR434" s="287"/>
      <c r="BS434" s="287"/>
      <c r="BU434" s="287"/>
      <c r="BV434" s="287"/>
      <c r="BX434" s="287"/>
      <c r="BY434" s="287"/>
      <c r="CA434" s="287"/>
      <c r="CB434" s="287"/>
      <c r="CD434" s="287"/>
      <c r="CE434" s="287"/>
      <c r="CG434" s="287"/>
      <c r="CH434" s="287"/>
      <c r="CJ434" s="287"/>
      <c r="CK434" s="287"/>
    </row>
    <row r="435" spans="1:89" x14ac:dyDescent="0.25">
      <c r="A435" s="328"/>
      <c r="B435" s="96" t="s">
        <v>1675</v>
      </c>
      <c r="C435" s="312"/>
      <c r="D435" s="329" t="s">
        <v>8</v>
      </c>
      <c r="E435" s="291"/>
      <c r="F435" s="291"/>
      <c r="G435" s="291"/>
      <c r="H435" s="291"/>
      <c r="I435" s="287">
        <f>I464/$I$475*100</f>
        <v>25</v>
      </c>
      <c r="J435" s="287">
        <f>J464/$J$475*100</f>
        <v>0</v>
      </c>
      <c r="K435" s="287">
        <f>K464/$K$475*100</f>
        <v>25</v>
      </c>
      <c r="L435" s="287" t="e">
        <f>L464/$L$475*100</f>
        <v>#DIV/0!</v>
      </c>
      <c r="M435" s="287" t="e">
        <f>M464/$M$475*100</f>
        <v>#DIV/0!</v>
      </c>
      <c r="N435" s="287" t="e">
        <f>N464/$M$475*100</f>
        <v>#DIV/0!</v>
      </c>
      <c r="Q435" s="287">
        <f>Q464/Q475*100</f>
        <v>25</v>
      </c>
      <c r="R435" s="287">
        <f>R464/R475*100</f>
        <v>0</v>
      </c>
      <c r="S435" s="287" t="e">
        <f>S464/S475*100</f>
        <v>#DIV/0!</v>
      </c>
      <c r="T435" s="287" t="e">
        <f>T464/T475*100</f>
        <v>#DIV/0!</v>
      </c>
      <c r="V435" s="287" t="e">
        <f>V464/V475*100</f>
        <v>#DIV/0!</v>
      </c>
      <c r="W435" s="287" t="e">
        <f>W464/W475*100</f>
        <v>#DIV/0!</v>
      </c>
      <c r="Y435" s="287" t="e">
        <f>Y464/Y475*100</f>
        <v>#DIV/0!</v>
      </c>
      <c r="Z435" s="287" t="e">
        <f>Z464/Z475*100</f>
        <v>#DIV/0!</v>
      </c>
      <c r="AB435" s="287" t="e">
        <f>AB464/AB475*100</f>
        <v>#DIV/0!</v>
      </c>
      <c r="AC435" s="287" t="e">
        <f>AC464/AC475*100</f>
        <v>#DIV/0!</v>
      </c>
      <c r="AE435" s="287" t="e">
        <f>AE464/AE475*100</f>
        <v>#DIV/0!</v>
      </c>
      <c r="AF435" s="287" t="e">
        <f>AF464/AF475*100</f>
        <v>#DIV/0!</v>
      </c>
      <c r="AH435" s="287" t="e">
        <f>AH464/AH475*100</f>
        <v>#DIV/0!</v>
      </c>
      <c r="AI435" s="287" t="e">
        <f>AI464/AI475*100</f>
        <v>#DIV/0!</v>
      </c>
      <c r="AK435" s="287" t="e">
        <f>AK464/AK475*100</f>
        <v>#DIV/0!</v>
      </c>
      <c r="AL435" s="287" t="e">
        <f>AL464/AL475*100</f>
        <v>#DIV/0!</v>
      </c>
      <c r="AN435" s="287" t="e">
        <f>AN464/AN475*100</f>
        <v>#DIV/0!</v>
      </c>
      <c r="AO435" s="287" t="e">
        <f>AO464/AO475*100</f>
        <v>#DIV/0!</v>
      </c>
      <c r="AQ435" s="287" t="e">
        <f>AQ464/AQ475*100</f>
        <v>#DIV/0!</v>
      </c>
      <c r="AR435" s="287" t="e">
        <f>AR464/AR475*100</f>
        <v>#DIV/0!</v>
      </c>
      <c r="AT435" s="287" t="e">
        <f>AT464/AT475*100</f>
        <v>#DIV/0!</v>
      </c>
      <c r="AU435" s="287" t="e">
        <f>AU464/AU475*100</f>
        <v>#DIV/0!</v>
      </c>
      <c r="AW435" s="287" t="e">
        <f>AW464/AW475*100</f>
        <v>#DIV/0!</v>
      </c>
      <c r="AX435" s="287" t="e">
        <f>AX464/AX475*100</f>
        <v>#DIV/0!</v>
      </c>
      <c r="AZ435" s="287" t="e">
        <f>AZ464/AZ475*100</f>
        <v>#DIV/0!</v>
      </c>
      <c r="BA435" s="287" t="e">
        <f>BA464/BA475*100</f>
        <v>#DIV/0!</v>
      </c>
      <c r="BC435" s="287">
        <f>BC464/BC475*100</f>
        <v>0</v>
      </c>
      <c r="BD435" s="287">
        <f>BD464/BD475*100</f>
        <v>0</v>
      </c>
      <c r="BF435" s="287">
        <f>BF464/BF475*100</f>
        <v>100</v>
      </c>
      <c r="BG435" s="287">
        <f>BG464/BG475*100</f>
        <v>0</v>
      </c>
      <c r="BI435" s="287">
        <f>BI464/BI475*100</f>
        <v>0</v>
      </c>
      <c r="BJ435" s="287">
        <f>BJ464/BJ475*100</f>
        <v>0</v>
      </c>
      <c r="BL435" s="287" t="e">
        <f>BL464/BL475*100</f>
        <v>#DIV/0!</v>
      </c>
      <c r="BM435" s="287" t="e">
        <f>BM464/BM475*100</f>
        <v>#DIV/0!</v>
      </c>
      <c r="BO435" s="287" t="e">
        <f>BO464/BO475*100</f>
        <v>#DIV/0!</v>
      </c>
      <c r="BP435" s="287" t="e">
        <f>BP464/BP475*100</f>
        <v>#DIV/0!</v>
      </c>
      <c r="BR435" s="287" t="e">
        <f>BR464/BR475*100</f>
        <v>#DIV/0!</v>
      </c>
      <c r="BS435" s="287" t="e">
        <f>BS464/BS475*100</f>
        <v>#DIV/0!</v>
      </c>
      <c r="BU435" s="287" t="e">
        <f>BU464/BU475*100</f>
        <v>#DIV/0!</v>
      </c>
      <c r="BV435" s="287" t="e">
        <f>BV464/BV475*100</f>
        <v>#DIV/0!</v>
      </c>
      <c r="BX435" s="287" t="e">
        <f>BX464/BX475*100</f>
        <v>#DIV/0!</v>
      </c>
      <c r="BY435" s="287" t="e">
        <f>BY464/BY475*100</f>
        <v>#DIV/0!</v>
      </c>
      <c r="CA435" s="287" t="e">
        <f>CA464/CA475*100</f>
        <v>#DIV/0!</v>
      </c>
      <c r="CB435" s="287" t="e">
        <f>CB464/CB475*100</f>
        <v>#DIV/0!</v>
      </c>
      <c r="CD435" s="287">
        <f>CD464/CD475*100</f>
        <v>0</v>
      </c>
      <c r="CE435" s="287">
        <f>CE464/CE475*100</f>
        <v>0</v>
      </c>
      <c r="CG435" s="287" t="e">
        <f>CG464/CG475*100</f>
        <v>#DIV/0!</v>
      </c>
      <c r="CH435" s="287" t="e">
        <f>CH464/CH475*100</f>
        <v>#DIV/0!</v>
      </c>
      <c r="CJ435" s="287" t="e">
        <f>CJ464/CJ475*100</f>
        <v>#DIV/0!</v>
      </c>
      <c r="CK435" s="287" t="e">
        <f>CK464/CK475*100</f>
        <v>#DIV/0!</v>
      </c>
    </row>
    <row r="436" spans="1:89" x14ac:dyDescent="0.25">
      <c r="A436" s="328"/>
      <c r="B436" s="96" t="s">
        <v>1676</v>
      </c>
      <c r="C436" s="312"/>
      <c r="D436" s="329" t="s">
        <v>8</v>
      </c>
      <c r="E436" s="291"/>
      <c r="F436" s="291"/>
      <c r="G436" s="291"/>
      <c r="H436" s="291"/>
      <c r="I436" s="287">
        <f>I465/$I$475*100</f>
        <v>25</v>
      </c>
      <c r="J436" s="287">
        <f>J465/$J$475*100</f>
        <v>0</v>
      </c>
      <c r="K436" s="287">
        <f>K465/$K$475*100</f>
        <v>25</v>
      </c>
      <c r="L436" s="287" t="e">
        <f>L465/$L$475*100</f>
        <v>#DIV/0!</v>
      </c>
      <c r="M436" s="287" t="e">
        <f>M465/$M$475*100</f>
        <v>#DIV/0!</v>
      </c>
      <c r="N436" s="287" t="e">
        <f>N465/$M$475*100</f>
        <v>#DIV/0!</v>
      </c>
      <c r="Q436" s="287">
        <f>Q465/Q475*100</f>
        <v>25</v>
      </c>
      <c r="R436" s="287">
        <f>R465/R475*100</f>
        <v>0</v>
      </c>
      <c r="S436" s="287" t="e">
        <f>S465/S475*100</f>
        <v>#DIV/0!</v>
      </c>
      <c r="T436" s="287" t="e">
        <f>T465/T475*100</f>
        <v>#DIV/0!</v>
      </c>
      <c r="V436" s="287" t="e">
        <f>V465/V475*100</f>
        <v>#DIV/0!</v>
      </c>
      <c r="W436" s="287" t="e">
        <f>W465/W475*100</f>
        <v>#DIV/0!</v>
      </c>
      <c r="Y436" s="287" t="e">
        <f>Y465/Y475*100</f>
        <v>#DIV/0!</v>
      </c>
      <c r="Z436" s="287" t="e">
        <f>Z465/Z475*100</f>
        <v>#DIV/0!</v>
      </c>
      <c r="AB436" s="287" t="e">
        <f>AB465/AB475*100</f>
        <v>#DIV/0!</v>
      </c>
      <c r="AC436" s="287" t="e">
        <f>AC465/AC475*100</f>
        <v>#DIV/0!</v>
      </c>
      <c r="AE436" s="287" t="e">
        <f>AE465/AE475*100</f>
        <v>#DIV/0!</v>
      </c>
      <c r="AF436" s="287" t="e">
        <f>AF465/AF475*100</f>
        <v>#DIV/0!</v>
      </c>
      <c r="AH436" s="287" t="e">
        <f>AH465/AH475*100</f>
        <v>#DIV/0!</v>
      </c>
      <c r="AI436" s="287" t="e">
        <f>AI465/AI475*100</f>
        <v>#DIV/0!</v>
      </c>
      <c r="AK436" s="287" t="e">
        <f>AK465/AK475*100</f>
        <v>#DIV/0!</v>
      </c>
      <c r="AL436" s="287" t="e">
        <f>AL465/AL475*100</f>
        <v>#DIV/0!</v>
      </c>
      <c r="AN436" s="287" t="e">
        <f>AN465/AN475*100</f>
        <v>#DIV/0!</v>
      </c>
      <c r="AO436" s="287" t="e">
        <f>AO465/AO475*100</f>
        <v>#DIV/0!</v>
      </c>
      <c r="AQ436" s="287" t="e">
        <f>AQ465/AQ475*100</f>
        <v>#DIV/0!</v>
      </c>
      <c r="AR436" s="287" t="e">
        <f>AR465/AR475*100</f>
        <v>#DIV/0!</v>
      </c>
      <c r="AT436" s="287" t="e">
        <f>AT465/AT475*100</f>
        <v>#DIV/0!</v>
      </c>
      <c r="AU436" s="287" t="e">
        <f>AU465/AU475*100</f>
        <v>#DIV/0!</v>
      </c>
      <c r="AW436" s="287" t="e">
        <f>AW465/AW475*100</f>
        <v>#DIV/0!</v>
      </c>
      <c r="AX436" s="287" t="e">
        <f>AX465/AX475*100</f>
        <v>#DIV/0!</v>
      </c>
      <c r="AZ436" s="287" t="e">
        <f>AZ465/AZ475*100</f>
        <v>#DIV/0!</v>
      </c>
      <c r="BA436" s="287" t="e">
        <f>BA465/BA475*100</f>
        <v>#DIV/0!</v>
      </c>
      <c r="BC436" s="287">
        <f>BC465/BC475*100</f>
        <v>0</v>
      </c>
      <c r="BD436" s="287">
        <f>BD465/BD475*100</f>
        <v>0</v>
      </c>
      <c r="BF436" s="287">
        <f>BF465/BF475*100</f>
        <v>100</v>
      </c>
      <c r="BG436" s="287">
        <f>BG465/BG475*100</f>
        <v>0</v>
      </c>
      <c r="BI436" s="287">
        <f>BI465/BI475*100</f>
        <v>0</v>
      </c>
      <c r="BJ436" s="287">
        <f>BJ465/BJ475*100</f>
        <v>0</v>
      </c>
      <c r="BL436" s="287" t="e">
        <f>BL465/BL475*100</f>
        <v>#DIV/0!</v>
      </c>
      <c r="BM436" s="287" t="e">
        <f>BM465/BM475*100</f>
        <v>#DIV/0!</v>
      </c>
      <c r="BO436" s="287" t="e">
        <f>BO465/BO475*100</f>
        <v>#DIV/0!</v>
      </c>
      <c r="BP436" s="287" t="e">
        <f>BP465/BP475*100</f>
        <v>#DIV/0!</v>
      </c>
      <c r="BR436" s="287" t="e">
        <f>BR465/BR475*100</f>
        <v>#DIV/0!</v>
      </c>
      <c r="BS436" s="287" t="e">
        <f>BS465/BS475*100</f>
        <v>#DIV/0!</v>
      </c>
      <c r="BU436" s="287" t="e">
        <f>BU465/BU475*100</f>
        <v>#DIV/0!</v>
      </c>
      <c r="BV436" s="287" t="e">
        <f>BV465/BV475*100</f>
        <v>#DIV/0!</v>
      </c>
      <c r="BX436" s="287" t="e">
        <f>BX465/BX475*100</f>
        <v>#DIV/0!</v>
      </c>
      <c r="BY436" s="287" t="e">
        <f>BY465/BY475*100</f>
        <v>#DIV/0!</v>
      </c>
      <c r="CA436" s="287" t="e">
        <f>CA465/CA475*100</f>
        <v>#DIV/0!</v>
      </c>
      <c r="CB436" s="287" t="e">
        <f>CB465/CB475*100</f>
        <v>#DIV/0!</v>
      </c>
      <c r="CD436" s="287">
        <f>CD465/CD475*100</f>
        <v>0</v>
      </c>
      <c r="CE436" s="287">
        <f>CE465/CE475*100</f>
        <v>0</v>
      </c>
      <c r="CG436" s="287" t="e">
        <f>CG465/CG475*100</f>
        <v>#DIV/0!</v>
      </c>
      <c r="CH436" s="287" t="e">
        <f>CH465/CH475*100</f>
        <v>#DIV/0!</v>
      </c>
      <c r="CJ436" s="287" t="e">
        <f>CJ465/CJ475*100</f>
        <v>#DIV/0!</v>
      </c>
      <c r="CK436" s="287" t="e">
        <f>CK465/CK475*100</f>
        <v>#DIV/0!</v>
      </c>
    </row>
    <row r="437" spans="1:89" x14ac:dyDescent="0.25">
      <c r="A437" s="328"/>
      <c r="B437" s="96" t="s">
        <v>1677</v>
      </c>
      <c r="C437" s="312"/>
      <c r="D437" s="329"/>
      <c r="E437" s="291"/>
      <c r="F437" s="291"/>
      <c r="G437" s="291"/>
      <c r="H437" s="291"/>
      <c r="I437" s="287"/>
      <c r="J437" s="287"/>
      <c r="K437" s="287"/>
      <c r="L437" s="287"/>
      <c r="M437" s="287"/>
      <c r="N437" s="287"/>
      <c r="Q437" s="287"/>
      <c r="R437" s="287"/>
      <c r="S437" s="287"/>
      <c r="T437" s="287"/>
      <c r="V437" s="287"/>
      <c r="W437" s="287"/>
      <c r="Y437" s="287"/>
      <c r="Z437" s="287"/>
      <c r="AB437" s="287"/>
      <c r="AC437" s="287"/>
      <c r="AE437" s="287"/>
      <c r="AF437" s="287"/>
      <c r="AH437" s="287"/>
      <c r="AI437" s="287"/>
      <c r="AK437" s="287"/>
      <c r="AL437" s="287"/>
      <c r="AN437" s="287"/>
      <c r="AO437" s="287"/>
      <c r="AQ437" s="287"/>
      <c r="AR437" s="287"/>
      <c r="AT437" s="287"/>
      <c r="AU437" s="287"/>
      <c r="AW437" s="287"/>
      <c r="AX437" s="287"/>
      <c r="AZ437" s="287"/>
      <c r="BA437" s="287"/>
      <c r="BC437" s="287"/>
      <c r="BD437" s="287"/>
      <c r="BF437" s="287"/>
      <c r="BG437" s="287"/>
      <c r="BI437" s="287"/>
      <c r="BJ437" s="287"/>
      <c r="BL437" s="287"/>
      <c r="BM437" s="287"/>
      <c r="BO437" s="287"/>
      <c r="BP437" s="287"/>
      <c r="BR437" s="287"/>
      <c r="BS437" s="287"/>
      <c r="BU437" s="287"/>
      <c r="BV437" s="287"/>
      <c r="BX437" s="287"/>
      <c r="BY437" s="287"/>
      <c r="CA437" s="287"/>
      <c r="CB437" s="287"/>
      <c r="CD437" s="287"/>
      <c r="CE437" s="287"/>
      <c r="CG437" s="287"/>
      <c r="CH437" s="287"/>
      <c r="CJ437" s="287"/>
      <c r="CK437" s="287"/>
    </row>
    <row r="438" spans="1:89" x14ac:dyDescent="0.25">
      <c r="A438" s="328"/>
      <c r="B438" s="96" t="s">
        <v>1675</v>
      </c>
      <c r="C438" s="312"/>
      <c r="D438" s="329" t="s">
        <v>8</v>
      </c>
      <c r="E438" s="291"/>
      <c r="F438" s="291"/>
      <c r="G438" s="291"/>
      <c r="H438" s="291"/>
      <c r="I438" s="287">
        <f>I467/$I$475*100</f>
        <v>25</v>
      </c>
      <c r="J438" s="287">
        <f>J467/$J$475*100</f>
        <v>25</v>
      </c>
      <c r="K438" s="287">
        <f>K467/$K$475*100</f>
        <v>25</v>
      </c>
      <c r="L438" s="287" t="e">
        <f>L467/$L$475*100</f>
        <v>#DIV/0!</v>
      </c>
      <c r="M438" s="287" t="e">
        <f>M467/$M$475*100</f>
        <v>#DIV/0!</v>
      </c>
      <c r="N438" s="287" t="e">
        <f>N467/$M$475*100</f>
        <v>#DIV/0!</v>
      </c>
      <c r="Q438" s="287">
        <f>Q467/Q475*100</f>
        <v>25</v>
      </c>
      <c r="R438" s="287">
        <f>R467/R475*100</f>
        <v>50</v>
      </c>
      <c r="S438" s="287" t="e">
        <f>S467/S475*100</f>
        <v>#DIV/0!</v>
      </c>
      <c r="T438" s="287" t="e">
        <f>T467/T475*100</f>
        <v>#DIV/0!</v>
      </c>
      <c r="V438" s="287" t="e">
        <f>V467/V475*100</f>
        <v>#DIV/0!</v>
      </c>
      <c r="W438" s="287" t="e">
        <f>W467/W475*100</f>
        <v>#DIV/0!</v>
      </c>
      <c r="Y438" s="287" t="e">
        <f>Y467/Y475*100</f>
        <v>#DIV/0!</v>
      </c>
      <c r="Z438" s="287" t="e">
        <f>Z467/Z475*100</f>
        <v>#DIV/0!</v>
      </c>
      <c r="AB438" s="287" t="e">
        <f>AB467/AB475*100</f>
        <v>#DIV/0!</v>
      </c>
      <c r="AC438" s="287" t="e">
        <f>AC467/AC475*100</f>
        <v>#DIV/0!</v>
      </c>
      <c r="AE438" s="287" t="e">
        <f>AE467/AE475*100</f>
        <v>#DIV/0!</v>
      </c>
      <c r="AF438" s="287" t="e">
        <f>AF467/AF475*100</f>
        <v>#DIV/0!</v>
      </c>
      <c r="AH438" s="287" t="e">
        <f>AH467/AH475*100</f>
        <v>#DIV/0!</v>
      </c>
      <c r="AI438" s="287" t="e">
        <f>AI467/AI475*100</f>
        <v>#DIV/0!</v>
      </c>
      <c r="AK438" s="287" t="e">
        <f>AK467/AK475*100</f>
        <v>#DIV/0!</v>
      </c>
      <c r="AL438" s="287" t="e">
        <f>AL467/AL475*100</f>
        <v>#DIV/0!</v>
      </c>
      <c r="AN438" s="287" t="e">
        <f>AN467/AN475*100</f>
        <v>#DIV/0!</v>
      </c>
      <c r="AO438" s="287" t="e">
        <f>AO467/AO475*100</f>
        <v>#DIV/0!</v>
      </c>
      <c r="AQ438" s="287" t="e">
        <f>AQ467/AQ475*100</f>
        <v>#DIV/0!</v>
      </c>
      <c r="AR438" s="287" t="e">
        <f>AR467/AR475*100</f>
        <v>#DIV/0!</v>
      </c>
      <c r="AT438" s="287" t="e">
        <f>AT467/AT475*100</f>
        <v>#DIV/0!</v>
      </c>
      <c r="AU438" s="287" t="e">
        <f>AU467/AU475*100</f>
        <v>#DIV/0!</v>
      </c>
      <c r="AW438" s="287" t="e">
        <f>AW467/AW475*100</f>
        <v>#DIV/0!</v>
      </c>
      <c r="AX438" s="287" t="e">
        <f>AX467/AX475*100</f>
        <v>#DIV/0!</v>
      </c>
      <c r="AZ438" s="287" t="e">
        <f>AZ467/AZ475*100</f>
        <v>#DIV/0!</v>
      </c>
      <c r="BA438" s="287" t="e">
        <f>BA467/BA475*100</f>
        <v>#DIV/0!</v>
      </c>
      <c r="BC438" s="287">
        <f>BC467/BC475*100</f>
        <v>0</v>
      </c>
      <c r="BD438" s="287">
        <f>BD467/BD475*100</f>
        <v>0</v>
      </c>
      <c r="BF438" s="287">
        <f>BF467/BF475*100</f>
        <v>100</v>
      </c>
      <c r="BG438" s="287">
        <f>BG467/BG475*100</f>
        <v>100</v>
      </c>
      <c r="BI438" s="287">
        <f>BI467/BI475*100</f>
        <v>0</v>
      </c>
      <c r="BJ438" s="287">
        <f>BJ467/BJ475*100</f>
        <v>0</v>
      </c>
      <c r="BL438" s="287" t="e">
        <f>BL467/BL475*100</f>
        <v>#DIV/0!</v>
      </c>
      <c r="BM438" s="287" t="e">
        <f>BM467/BM475*100</f>
        <v>#DIV/0!</v>
      </c>
      <c r="BO438" s="287" t="e">
        <f>BO467/BO475*100</f>
        <v>#DIV/0!</v>
      </c>
      <c r="BP438" s="287" t="e">
        <f>BP467/BP475*100</f>
        <v>#DIV/0!</v>
      </c>
      <c r="BR438" s="287" t="e">
        <f>BR467/BR475*100</f>
        <v>#DIV/0!</v>
      </c>
      <c r="BS438" s="287" t="e">
        <f>BS467/BS475*100</f>
        <v>#DIV/0!</v>
      </c>
      <c r="BU438" s="287" t="e">
        <f>BU467/BU475*100</f>
        <v>#DIV/0!</v>
      </c>
      <c r="BV438" s="287" t="e">
        <f>BV467/BV475*100</f>
        <v>#DIV/0!</v>
      </c>
      <c r="BX438" s="287" t="e">
        <f>BX467/BX475*100</f>
        <v>#DIV/0!</v>
      </c>
      <c r="BY438" s="287" t="e">
        <f>BY467/BY475*100</f>
        <v>#DIV/0!</v>
      </c>
      <c r="CA438" s="287" t="e">
        <f>CA467/CA475*100</f>
        <v>#DIV/0!</v>
      </c>
      <c r="CB438" s="287" t="e">
        <f>CB467/CB475*100</f>
        <v>#DIV/0!</v>
      </c>
      <c r="CD438" s="287">
        <f>CD467/CD475*100</f>
        <v>0</v>
      </c>
      <c r="CE438" s="287">
        <f>CE467/CE475*100</f>
        <v>100</v>
      </c>
      <c r="CG438" s="287" t="e">
        <f>CG467/CG475*100</f>
        <v>#DIV/0!</v>
      </c>
      <c r="CH438" s="287" t="e">
        <f>CH467/CH475*100</f>
        <v>#DIV/0!</v>
      </c>
      <c r="CJ438" s="287" t="e">
        <f>CJ467/CJ475*100</f>
        <v>#DIV/0!</v>
      </c>
      <c r="CK438" s="287" t="e">
        <f>CK467/CK475*100</f>
        <v>#DIV/0!</v>
      </c>
    </row>
    <row r="439" spans="1:89" x14ac:dyDescent="0.25">
      <c r="A439" s="328"/>
      <c r="B439" s="96" t="s">
        <v>1676</v>
      </c>
      <c r="C439" s="312"/>
      <c r="D439" s="329" t="s">
        <v>8</v>
      </c>
      <c r="E439" s="291"/>
      <c r="F439" s="291"/>
      <c r="G439" s="291"/>
      <c r="H439" s="291"/>
      <c r="I439" s="287">
        <f>I468/$I$475*100</f>
        <v>0</v>
      </c>
      <c r="J439" s="287">
        <f>J468/$J$475*100</f>
        <v>0</v>
      </c>
      <c r="K439" s="287">
        <f>K468/$K$475*100</f>
        <v>0</v>
      </c>
      <c r="L439" s="287" t="e">
        <f>L468/$L$475*100</f>
        <v>#DIV/0!</v>
      </c>
      <c r="M439" s="287" t="e">
        <f>M468/$M$475*100</f>
        <v>#DIV/0!</v>
      </c>
      <c r="N439" s="287" t="e">
        <f>N468/$M$475*100</f>
        <v>#DIV/0!</v>
      </c>
      <c r="Q439" s="287">
        <f>Q468/Q475*100</f>
        <v>0</v>
      </c>
      <c r="R439" s="287">
        <f>R468/R475*100</f>
        <v>25</v>
      </c>
      <c r="S439" s="287" t="e">
        <f>S468/S475*100</f>
        <v>#DIV/0!</v>
      </c>
      <c r="T439" s="287" t="e">
        <f>T468/T475*100</f>
        <v>#DIV/0!</v>
      </c>
      <c r="V439" s="287" t="e">
        <f>V468/V475*100</f>
        <v>#DIV/0!</v>
      </c>
      <c r="W439" s="287" t="e">
        <f>W468/W475*100</f>
        <v>#DIV/0!</v>
      </c>
      <c r="Y439" s="287" t="e">
        <f>Y468/Y475*100</f>
        <v>#DIV/0!</v>
      </c>
      <c r="Z439" s="287" t="e">
        <f>Z468/Z475*100</f>
        <v>#DIV/0!</v>
      </c>
      <c r="AB439" s="287" t="e">
        <f>AB468/AB475*100</f>
        <v>#DIV/0!</v>
      </c>
      <c r="AC439" s="287" t="e">
        <f>AC468/AC475*100</f>
        <v>#DIV/0!</v>
      </c>
      <c r="AE439" s="287" t="e">
        <f>AE468/AE475*100</f>
        <v>#DIV/0!</v>
      </c>
      <c r="AF439" s="287" t="e">
        <f>AF468/AF475*100</f>
        <v>#DIV/0!</v>
      </c>
      <c r="AH439" s="287" t="e">
        <f>AH468/AH475*100</f>
        <v>#DIV/0!</v>
      </c>
      <c r="AI439" s="287" t="e">
        <f>AI468/AI475*100</f>
        <v>#DIV/0!</v>
      </c>
      <c r="AK439" s="287" t="e">
        <f>AK468/AK475*100</f>
        <v>#DIV/0!</v>
      </c>
      <c r="AL439" s="287" t="e">
        <f>AL468/AL475*100</f>
        <v>#DIV/0!</v>
      </c>
      <c r="AN439" s="287" t="e">
        <f>AN468/AN475*100</f>
        <v>#DIV/0!</v>
      </c>
      <c r="AO439" s="287" t="e">
        <f>AO468/AO475*100</f>
        <v>#DIV/0!</v>
      </c>
      <c r="AQ439" s="287" t="e">
        <f>AQ468/AQ475*100</f>
        <v>#DIV/0!</v>
      </c>
      <c r="AR439" s="287" t="e">
        <f>AR468/AR475*100</f>
        <v>#DIV/0!</v>
      </c>
      <c r="AT439" s="287" t="e">
        <f>AT468/AT475*100</f>
        <v>#DIV/0!</v>
      </c>
      <c r="AU439" s="287" t="e">
        <f>AU468/AU475*100</f>
        <v>#DIV/0!</v>
      </c>
      <c r="AW439" s="287" t="e">
        <f>AW468/AW475*100</f>
        <v>#DIV/0!</v>
      </c>
      <c r="AX439" s="287" t="e">
        <f>AX468/AX475*100</f>
        <v>#DIV/0!</v>
      </c>
      <c r="AZ439" s="287" t="e">
        <f>AZ468/AZ475*100</f>
        <v>#DIV/0!</v>
      </c>
      <c r="BA439" s="287" t="e">
        <f>BA468/BA475*100</f>
        <v>#DIV/0!</v>
      </c>
      <c r="BC439" s="287">
        <f>BC468/BC475*100</f>
        <v>0</v>
      </c>
      <c r="BD439" s="287">
        <f>BD468/BD475*100</f>
        <v>0</v>
      </c>
      <c r="BF439" s="287">
        <f>BF468/BF475*100</f>
        <v>0</v>
      </c>
      <c r="BG439" s="287">
        <f>BG468/BG475*100</f>
        <v>0</v>
      </c>
      <c r="BI439" s="287">
        <f>BI468/BI475*100</f>
        <v>0</v>
      </c>
      <c r="BJ439" s="287">
        <f>BJ468/BJ475*100</f>
        <v>0</v>
      </c>
      <c r="BL439" s="287" t="e">
        <f>BL468/BL475*100</f>
        <v>#DIV/0!</v>
      </c>
      <c r="BM439" s="287" t="e">
        <f>BM468/BM475*100</f>
        <v>#DIV/0!</v>
      </c>
      <c r="BO439" s="287" t="e">
        <f>BO468/BO475*100</f>
        <v>#DIV/0!</v>
      </c>
      <c r="BP439" s="287" t="e">
        <f>BP468/BP475*100</f>
        <v>#DIV/0!</v>
      </c>
      <c r="BR439" s="287" t="e">
        <f>BR468/BR475*100</f>
        <v>#DIV/0!</v>
      </c>
      <c r="BS439" s="287" t="e">
        <f>BS468/BS475*100</f>
        <v>#DIV/0!</v>
      </c>
      <c r="BU439" s="287" t="e">
        <f>BU468/BU475*100</f>
        <v>#DIV/0!</v>
      </c>
      <c r="BV439" s="287" t="e">
        <f>BV468/BV475*100</f>
        <v>#DIV/0!</v>
      </c>
      <c r="BX439" s="287" t="e">
        <f>BX468/BX475*100</f>
        <v>#DIV/0!</v>
      </c>
      <c r="BY439" s="287" t="e">
        <f>BY468/BY475*100</f>
        <v>#DIV/0!</v>
      </c>
      <c r="CA439" s="287" t="e">
        <f>CA468/CA475*100</f>
        <v>#DIV/0!</v>
      </c>
      <c r="CB439" s="287" t="e">
        <f>CB468/CB475*100</f>
        <v>#DIV/0!</v>
      </c>
      <c r="CD439" s="287">
        <f>CD468/CD475*100</f>
        <v>0</v>
      </c>
      <c r="CE439" s="287">
        <f>CE468/CE475*100</f>
        <v>100</v>
      </c>
      <c r="CG439" s="287" t="e">
        <f>CG468/CG475*100</f>
        <v>#DIV/0!</v>
      </c>
      <c r="CH439" s="287" t="e">
        <f>CH468/CH475*100</f>
        <v>#DIV/0!</v>
      </c>
      <c r="CJ439" s="287" t="e">
        <f>CJ468/CJ475*100</f>
        <v>#DIV/0!</v>
      </c>
      <c r="CK439" s="287" t="e">
        <f>CK468/CK475*100</f>
        <v>#DIV/0!</v>
      </c>
    </row>
    <row r="440" spans="1:89" x14ac:dyDescent="0.25">
      <c r="A440" s="328"/>
      <c r="B440" s="96" t="s">
        <v>1678</v>
      </c>
      <c r="C440" s="312"/>
      <c r="D440" s="329"/>
      <c r="E440" s="291"/>
      <c r="F440" s="291"/>
      <c r="G440" s="291"/>
      <c r="H440" s="291"/>
      <c r="I440" s="287"/>
      <c r="J440" s="287"/>
      <c r="K440" s="287"/>
      <c r="L440" s="287"/>
      <c r="M440" s="287"/>
      <c r="N440" s="287"/>
      <c r="Q440" s="287"/>
      <c r="R440" s="287"/>
      <c r="S440" s="287"/>
      <c r="T440" s="287"/>
      <c r="V440" s="287"/>
      <c r="W440" s="287"/>
      <c r="Y440" s="287"/>
      <c r="Z440" s="287"/>
      <c r="AB440" s="287"/>
      <c r="AC440" s="287"/>
      <c r="AE440" s="287"/>
      <c r="AF440" s="287"/>
      <c r="AH440" s="287"/>
      <c r="AI440" s="287"/>
      <c r="AK440" s="287"/>
      <c r="AL440" s="287"/>
      <c r="AN440" s="287"/>
      <c r="AO440" s="287"/>
      <c r="AQ440" s="287"/>
      <c r="AR440" s="287"/>
      <c r="AT440" s="287"/>
      <c r="AU440" s="287"/>
      <c r="AW440" s="287"/>
      <c r="AX440" s="287"/>
      <c r="AZ440" s="287"/>
      <c r="BA440" s="287"/>
      <c r="BC440" s="287"/>
      <c r="BD440" s="287"/>
      <c r="BF440" s="287"/>
      <c r="BG440" s="287"/>
      <c r="BI440" s="287"/>
      <c r="BJ440" s="287"/>
      <c r="BL440" s="287"/>
      <c r="BM440" s="287"/>
      <c r="BO440" s="287"/>
      <c r="BP440" s="287"/>
      <c r="BR440" s="287"/>
      <c r="BS440" s="287"/>
      <c r="BU440" s="287"/>
      <c r="BV440" s="287"/>
      <c r="BX440" s="287"/>
      <c r="BY440" s="287"/>
      <c r="CA440" s="287"/>
      <c r="CB440" s="287"/>
      <c r="CD440" s="287"/>
      <c r="CE440" s="287"/>
      <c r="CG440" s="287"/>
      <c r="CH440" s="287"/>
      <c r="CJ440" s="287"/>
      <c r="CK440" s="287"/>
    </row>
    <row r="441" spans="1:89" x14ac:dyDescent="0.25">
      <c r="A441" s="328"/>
      <c r="B441" s="96" t="s">
        <v>1675</v>
      </c>
      <c r="C441" s="312"/>
      <c r="D441" s="329" t="s">
        <v>8</v>
      </c>
      <c r="E441" s="291"/>
      <c r="F441" s="291"/>
      <c r="G441" s="291"/>
      <c r="H441" s="291"/>
      <c r="I441" s="287">
        <f>I470/$I$475*100</f>
        <v>0</v>
      </c>
      <c r="J441" s="287">
        <f>J470/$J$475*100</f>
        <v>0</v>
      </c>
      <c r="K441" s="287">
        <f>K470/$K$475*100</f>
        <v>0</v>
      </c>
      <c r="L441" s="287" t="e">
        <f>L470/$L$475*100</f>
        <v>#DIV/0!</v>
      </c>
      <c r="M441" s="287" t="e">
        <f>M470/$M$475*100</f>
        <v>#DIV/0!</v>
      </c>
      <c r="N441" s="287" t="e">
        <f>N470/$M$475*100</f>
        <v>#DIV/0!</v>
      </c>
      <c r="Q441" s="287">
        <f>Q470/Q475*100</f>
        <v>0</v>
      </c>
      <c r="R441" s="287">
        <f>R470/R475*100</f>
        <v>0</v>
      </c>
      <c r="S441" s="287" t="e">
        <f>S470/S475*100</f>
        <v>#DIV/0!</v>
      </c>
      <c r="T441" s="287" t="e">
        <f>T470/T475*100</f>
        <v>#DIV/0!</v>
      </c>
      <c r="V441" s="287" t="e">
        <f>V470/V475*100</f>
        <v>#DIV/0!</v>
      </c>
      <c r="W441" s="287" t="e">
        <f>W470/W475*100</f>
        <v>#DIV/0!</v>
      </c>
      <c r="Y441" s="287" t="e">
        <f>Y470/Y475*100</f>
        <v>#DIV/0!</v>
      </c>
      <c r="Z441" s="287" t="e">
        <f>Z470/Z475*100</f>
        <v>#DIV/0!</v>
      </c>
      <c r="AB441" s="287" t="e">
        <f>AB470/AB475*100</f>
        <v>#DIV/0!</v>
      </c>
      <c r="AC441" s="287" t="e">
        <f>AC470/AC475*100</f>
        <v>#DIV/0!</v>
      </c>
      <c r="AE441" s="287" t="e">
        <f>AE470/AE475*100</f>
        <v>#DIV/0!</v>
      </c>
      <c r="AF441" s="287" t="e">
        <f>AF470/AF475*100</f>
        <v>#DIV/0!</v>
      </c>
      <c r="AH441" s="287" t="e">
        <f>AH470/AH475*100</f>
        <v>#DIV/0!</v>
      </c>
      <c r="AI441" s="287" t="e">
        <f>AI470/AI475*100</f>
        <v>#DIV/0!</v>
      </c>
      <c r="AK441" s="287" t="e">
        <f>AK470/AK475*100</f>
        <v>#DIV/0!</v>
      </c>
      <c r="AL441" s="287" t="e">
        <f>AL470/AL475*100</f>
        <v>#DIV/0!</v>
      </c>
      <c r="AN441" s="287" t="e">
        <f>AN470/AN475*100</f>
        <v>#DIV/0!</v>
      </c>
      <c r="AO441" s="287" t="e">
        <f>AO470/AO475*100</f>
        <v>#DIV/0!</v>
      </c>
      <c r="AQ441" s="287" t="e">
        <f>AQ470/AQ475*100</f>
        <v>#DIV/0!</v>
      </c>
      <c r="AR441" s="287" t="e">
        <f>AR470/AR475*100</f>
        <v>#DIV/0!</v>
      </c>
      <c r="AT441" s="287" t="e">
        <f>AT470/AT475*100</f>
        <v>#DIV/0!</v>
      </c>
      <c r="AU441" s="287" t="e">
        <f>AU470/AU475*100</f>
        <v>#DIV/0!</v>
      </c>
      <c r="AW441" s="287" t="e">
        <f>AW470/AW475*100</f>
        <v>#DIV/0!</v>
      </c>
      <c r="AX441" s="287" t="e">
        <f>AX470/AX475*100</f>
        <v>#DIV/0!</v>
      </c>
      <c r="AZ441" s="287" t="e">
        <f>AZ470/AZ475*100</f>
        <v>#DIV/0!</v>
      </c>
      <c r="BA441" s="287" t="e">
        <f>BA470/BA475*100</f>
        <v>#DIV/0!</v>
      </c>
      <c r="BC441" s="287">
        <f>BC470/BC475*100</f>
        <v>0</v>
      </c>
      <c r="BD441" s="287">
        <f>BD470/BD475*100</f>
        <v>0</v>
      </c>
      <c r="BF441" s="287">
        <f>BF470/BF475*100</f>
        <v>0</v>
      </c>
      <c r="BG441" s="287">
        <f>BG470/BG475*100</f>
        <v>0</v>
      </c>
      <c r="BI441" s="287">
        <f>BI470/BI475*100</f>
        <v>0</v>
      </c>
      <c r="BJ441" s="287">
        <f>BJ470/BJ475*100</f>
        <v>0</v>
      </c>
      <c r="BL441" s="287" t="e">
        <f>BL470/BL475*100</f>
        <v>#DIV/0!</v>
      </c>
      <c r="BM441" s="287" t="e">
        <f>BM470/BM475*100</f>
        <v>#DIV/0!</v>
      </c>
      <c r="BO441" s="287" t="e">
        <f>BO470/BO475*100</f>
        <v>#DIV/0!</v>
      </c>
      <c r="BP441" s="287" t="e">
        <f>BP470/BP475*100</f>
        <v>#DIV/0!</v>
      </c>
      <c r="BR441" s="287" t="e">
        <f>BR470/BR475*100</f>
        <v>#DIV/0!</v>
      </c>
      <c r="BS441" s="287" t="e">
        <f>BS470/BS475*100</f>
        <v>#DIV/0!</v>
      </c>
      <c r="BU441" s="287" t="e">
        <f>BU470/BU475*100</f>
        <v>#DIV/0!</v>
      </c>
      <c r="BV441" s="287" t="e">
        <f>BV470/BV475*100</f>
        <v>#DIV/0!</v>
      </c>
      <c r="BX441" s="287" t="e">
        <f>BX470/BX475*100</f>
        <v>#DIV/0!</v>
      </c>
      <c r="BY441" s="287" t="e">
        <f>BY470/BY475*100</f>
        <v>#DIV/0!</v>
      </c>
      <c r="CA441" s="287" t="e">
        <f>CA470/CA475*100</f>
        <v>#DIV/0!</v>
      </c>
      <c r="CB441" s="287" t="e">
        <f>CB470/CB475*100</f>
        <v>#DIV/0!</v>
      </c>
      <c r="CD441" s="287">
        <f>CD470/CD475*100</f>
        <v>0</v>
      </c>
      <c r="CE441" s="287">
        <f>CE470/CE475*100</f>
        <v>0</v>
      </c>
      <c r="CG441" s="287" t="e">
        <f>CG470/CG475*100</f>
        <v>#DIV/0!</v>
      </c>
      <c r="CH441" s="287" t="e">
        <f>CH470/CH475*100</f>
        <v>#DIV/0!</v>
      </c>
      <c r="CJ441" s="287" t="e">
        <f>CJ470/CJ475*100</f>
        <v>#DIV/0!</v>
      </c>
      <c r="CK441" s="287" t="e">
        <f>CK470/CK475*100</f>
        <v>#DIV/0!</v>
      </c>
    </row>
    <row r="442" spans="1:89" x14ac:dyDescent="0.25">
      <c r="A442" s="328"/>
      <c r="B442" s="96" t="s">
        <v>1679</v>
      </c>
      <c r="C442" s="312"/>
      <c r="D442" s="329" t="s">
        <v>8</v>
      </c>
      <c r="E442" s="291"/>
      <c r="F442" s="291"/>
      <c r="G442" s="291"/>
      <c r="H442" s="291"/>
      <c r="I442" s="287">
        <f>I471/$I$475*100</f>
        <v>0</v>
      </c>
      <c r="J442" s="287">
        <f>J471/$J$475*100</f>
        <v>0</v>
      </c>
      <c r="K442" s="287">
        <f>K471/$K$475*100</f>
        <v>0</v>
      </c>
      <c r="L442" s="287" t="e">
        <f>L471/$L$475*100</f>
        <v>#DIV/0!</v>
      </c>
      <c r="M442" s="287" t="e">
        <f>M471/$M$475*100</f>
        <v>#DIV/0!</v>
      </c>
      <c r="N442" s="287" t="e">
        <f>N471/$M$475*100</f>
        <v>#DIV/0!</v>
      </c>
      <c r="Q442" s="287">
        <f>Q471/Q475*100</f>
        <v>0</v>
      </c>
      <c r="R442" s="287">
        <f>R471/R475*100</f>
        <v>0</v>
      </c>
      <c r="S442" s="287" t="e">
        <f>S471/S475*100</f>
        <v>#DIV/0!</v>
      </c>
      <c r="T442" s="287" t="e">
        <f>T471/T475*100</f>
        <v>#DIV/0!</v>
      </c>
      <c r="V442" s="287" t="e">
        <f>V471/V475*100</f>
        <v>#DIV/0!</v>
      </c>
      <c r="W442" s="287" t="e">
        <f>W471/W475*100</f>
        <v>#DIV/0!</v>
      </c>
      <c r="Y442" s="287" t="e">
        <f>Y471/Y475*100</f>
        <v>#DIV/0!</v>
      </c>
      <c r="Z442" s="287" t="e">
        <f>Z471/Z475*100</f>
        <v>#DIV/0!</v>
      </c>
      <c r="AB442" s="287" t="e">
        <f>AB471/AB475*100</f>
        <v>#DIV/0!</v>
      </c>
      <c r="AC442" s="287" t="e">
        <f>AC471/AC475*100</f>
        <v>#DIV/0!</v>
      </c>
      <c r="AE442" s="287" t="e">
        <f>AE471/AE475*100</f>
        <v>#DIV/0!</v>
      </c>
      <c r="AF442" s="287" t="e">
        <f>AF471/AF475*100</f>
        <v>#DIV/0!</v>
      </c>
      <c r="AH442" s="287" t="e">
        <f>AH471/AH475*100</f>
        <v>#DIV/0!</v>
      </c>
      <c r="AI442" s="287" t="e">
        <f>AI471/AI475*100</f>
        <v>#DIV/0!</v>
      </c>
      <c r="AK442" s="287" t="e">
        <f>AK471/AK475*100</f>
        <v>#DIV/0!</v>
      </c>
      <c r="AL442" s="287" t="e">
        <f>AL471/AL475*100</f>
        <v>#DIV/0!</v>
      </c>
      <c r="AN442" s="287" t="e">
        <f>AN471/AN475*100</f>
        <v>#DIV/0!</v>
      </c>
      <c r="AO442" s="287" t="e">
        <f>AO471/AO475*100</f>
        <v>#DIV/0!</v>
      </c>
      <c r="AQ442" s="287" t="e">
        <f>AQ471/AQ475*100</f>
        <v>#DIV/0!</v>
      </c>
      <c r="AR442" s="287" t="e">
        <f>AR471/AR475*100</f>
        <v>#DIV/0!</v>
      </c>
      <c r="AT442" s="287" t="e">
        <f>AT471/AT475*100</f>
        <v>#DIV/0!</v>
      </c>
      <c r="AU442" s="287" t="e">
        <f>AU471/AU475*100</f>
        <v>#DIV/0!</v>
      </c>
      <c r="AW442" s="287" t="e">
        <f>AW471/AW475*100</f>
        <v>#DIV/0!</v>
      </c>
      <c r="AX442" s="287" t="e">
        <f>AX471/AX475*100</f>
        <v>#DIV/0!</v>
      </c>
      <c r="AZ442" s="287" t="e">
        <f>AZ471/AZ475*100</f>
        <v>#DIV/0!</v>
      </c>
      <c r="BA442" s="287" t="e">
        <f>BA471/BA475*100</f>
        <v>#DIV/0!</v>
      </c>
      <c r="BC442" s="287">
        <f>BC471/BC475*100</f>
        <v>0</v>
      </c>
      <c r="BD442" s="287">
        <f>BD471/BD475*100</f>
        <v>0</v>
      </c>
      <c r="BF442" s="287">
        <f>BF471/BF475*100</f>
        <v>0</v>
      </c>
      <c r="BG442" s="287">
        <f>BG471/BG475*100</f>
        <v>0</v>
      </c>
      <c r="BI442" s="287">
        <f>BI471/BI475*100</f>
        <v>0</v>
      </c>
      <c r="BJ442" s="287">
        <f>BJ471/BJ475*100</f>
        <v>0</v>
      </c>
      <c r="BL442" s="287" t="e">
        <f>BL471/BL475*100</f>
        <v>#DIV/0!</v>
      </c>
      <c r="BM442" s="287" t="e">
        <f>BM471/BM475*100</f>
        <v>#DIV/0!</v>
      </c>
      <c r="BO442" s="287" t="e">
        <f>BO471/BO475*100</f>
        <v>#DIV/0!</v>
      </c>
      <c r="BP442" s="287" t="e">
        <f>BP471/BP475*100</f>
        <v>#DIV/0!</v>
      </c>
      <c r="BR442" s="287" t="e">
        <f>BR471/BR475*100</f>
        <v>#DIV/0!</v>
      </c>
      <c r="BS442" s="287" t="e">
        <f>BS471/BS475*100</f>
        <v>#DIV/0!</v>
      </c>
      <c r="BU442" s="287" t="e">
        <f>BU471/BU475*100</f>
        <v>#DIV/0!</v>
      </c>
      <c r="BV442" s="287" t="e">
        <f>BV471/BV475*100</f>
        <v>#DIV/0!</v>
      </c>
      <c r="BX442" s="287" t="e">
        <f>BX471/BX475*100</f>
        <v>#DIV/0!</v>
      </c>
      <c r="BY442" s="287" t="e">
        <f>BY471/BY475*100</f>
        <v>#DIV/0!</v>
      </c>
      <c r="CA442" s="287" t="e">
        <f>CA471/CA475*100</f>
        <v>#DIV/0!</v>
      </c>
      <c r="CB442" s="287" t="e">
        <f>CB471/CB475*100</f>
        <v>#DIV/0!</v>
      </c>
      <c r="CD442" s="287">
        <f>CD471/CD475*100</f>
        <v>0</v>
      </c>
      <c r="CE442" s="287">
        <f>CE471/CE475*100</f>
        <v>0</v>
      </c>
      <c r="CG442" s="287" t="e">
        <f>CG471/CG475*100</f>
        <v>#DIV/0!</v>
      </c>
      <c r="CH442" s="287" t="e">
        <f>CH471/CH475*100</f>
        <v>#DIV/0!</v>
      </c>
      <c r="CJ442" s="287" t="e">
        <f>CJ471/CJ475*100</f>
        <v>#DIV/0!</v>
      </c>
      <c r="CK442" s="287" t="e">
        <f>CK471/CK475*100</f>
        <v>#DIV/0!</v>
      </c>
    </row>
    <row r="443" spans="1:89" x14ac:dyDescent="0.25">
      <c r="A443" s="328"/>
      <c r="B443" s="96" t="s">
        <v>2521</v>
      </c>
      <c r="C443" s="312"/>
      <c r="D443" s="329"/>
      <c r="E443" s="291"/>
      <c r="F443" s="291"/>
      <c r="G443" s="291"/>
      <c r="H443" s="291"/>
      <c r="I443" s="287"/>
      <c r="J443" s="287"/>
      <c r="K443" s="287"/>
      <c r="L443" s="287"/>
      <c r="M443" s="287"/>
      <c r="N443" s="287"/>
      <c r="Q443" s="287"/>
      <c r="R443" s="287"/>
      <c r="S443" s="287"/>
      <c r="T443" s="287"/>
      <c r="V443" s="287"/>
      <c r="W443" s="287"/>
      <c r="Y443" s="287"/>
      <c r="Z443" s="287"/>
      <c r="AB443" s="287"/>
      <c r="AC443" s="287"/>
      <c r="AE443" s="287"/>
      <c r="AF443" s="287"/>
      <c r="AH443" s="287"/>
      <c r="AI443" s="287"/>
      <c r="AK443" s="287"/>
      <c r="AL443" s="287"/>
      <c r="AN443" s="287"/>
      <c r="AO443" s="287"/>
      <c r="AQ443" s="287"/>
      <c r="AR443" s="287"/>
      <c r="AT443" s="287"/>
      <c r="AU443" s="287"/>
      <c r="AW443" s="287"/>
      <c r="AX443" s="287"/>
      <c r="AZ443" s="287"/>
      <c r="BA443" s="287"/>
      <c r="BC443" s="287"/>
      <c r="BD443" s="287"/>
      <c r="BF443" s="287"/>
      <c r="BG443" s="287"/>
      <c r="BI443" s="287"/>
      <c r="BJ443" s="287"/>
      <c r="BL443" s="287"/>
      <c r="BM443" s="287"/>
      <c r="BO443" s="287"/>
      <c r="BP443" s="287"/>
      <c r="BR443" s="287"/>
      <c r="BS443" s="287"/>
      <c r="BU443" s="287"/>
      <c r="BV443" s="287"/>
      <c r="BX443" s="287"/>
      <c r="BY443" s="287"/>
      <c r="CA443" s="287"/>
      <c r="CB443" s="287"/>
      <c r="CD443" s="287"/>
      <c r="CE443" s="287"/>
      <c r="CG443" s="287"/>
      <c r="CH443" s="287"/>
      <c r="CJ443" s="287"/>
      <c r="CK443" s="287"/>
    </row>
    <row r="444" spans="1:89" x14ac:dyDescent="0.25">
      <c r="A444" s="328"/>
      <c r="B444" s="96" t="s">
        <v>1675</v>
      </c>
      <c r="C444" s="312"/>
      <c r="D444" s="329" t="s">
        <v>8</v>
      </c>
      <c r="E444" s="291"/>
      <c r="F444" s="291"/>
      <c r="G444" s="291"/>
      <c r="H444" s="291"/>
      <c r="I444" s="287">
        <f>I473/$I$475*100</f>
        <v>0</v>
      </c>
      <c r="J444" s="287">
        <f>J473/$J$475*100</f>
        <v>0</v>
      </c>
      <c r="K444" s="287">
        <f>K473/$K$475*100</f>
        <v>0</v>
      </c>
      <c r="L444" s="287" t="e">
        <f>L473/$L$475*100</f>
        <v>#DIV/0!</v>
      </c>
      <c r="M444" s="287" t="e">
        <f>M473/$M$475*100</f>
        <v>#DIV/0!</v>
      </c>
      <c r="N444" s="287" t="e">
        <f>N473/$M$475*100</f>
        <v>#DIV/0!</v>
      </c>
      <c r="Q444" s="287">
        <f>Q473/Q475*100</f>
        <v>0</v>
      </c>
      <c r="R444" s="287">
        <f>R473/R475*100</f>
        <v>0</v>
      </c>
      <c r="S444" s="287" t="e">
        <f>S473/S475*100</f>
        <v>#DIV/0!</v>
      </c>
      <c r="T444" s="287" t="e">
        <f>T473/T475*100</f>
        <v>#DIV/0!</v>
      </c>
      <c r="V444" s="287" t="e">
        <f>V473/V475*100</f>
        <v>#DIV/0!</v>
      </c>
      <c r="W444" s="287" t="e">
        <f>W473/W475*100</f>
        <v>#DIV/0!</v>
      </c>
      <c r="Y444" s="287" t="e">
        <f>Y473/Y475*100</f>
        <v>#DIV/0!</v>
      </c>
      <c r="Z444" s="287" t="e">
        <f>Z473/Z475*100</f>
        <v>#DIV/0!</v>
      </c>
      <c r="AB444" s="287" t="e">
        <f>AB473/AB475*100</f>
        <v>#DIV/0!</v>
      </c>
      <c r="AC444" s="287" t="e">
        <f>AC473/AC475*100</f>
        <v>#DIV/0!</v>
      </c>
      <c r="AE444" s="287" t="e">
        <f>AE473/AE475*100</f>
        <v>#DIV/0!</v>
      </c>
      <c r="AF444" s="287" t="e">
        <f>AF473/AF475*100</f>
        <v>#DIV/0!</v>
      </c>
      <c r="AH444" s="287" t="e">
        <f>AH473/AH475*100</f>
        <v>#DIV/0!</v>
      </c>
      <c r="AI444" s="287" t="e">
        <f>AI473/AI475*100</f>
        <v>#DIV/0!</v>
      </c>
      <c r="AK444" s="287" t="e">
        <f>AK473/AK475*100</f>
        <v>#DIV/0!</v>
      </c>
      <c r="AL444" s="287" t="e">
        <f>AL473/AL475*100</f>
        <v>#DIV/0!</v>
      </c>
      <c r="AN444" s="287" t="e">
        <f>AN473/AN475*100</f>
        <v>#DIV/0!</v>
      </c>
      <c r="AO444" s="287" t="e">
        <f>AO473/AO475*100</f>
        <v>#DIV/0!</v>
      </c>
      <c r="AQ444" s="287" t="e">
        <f>AQ473/AQ475*100</f>
        <v>#DIV/0!</v>
      </c>
      <c r="AR444" s="287" t="e">
        <f>AR473/AR475*100</f>
        <v>#DIV/0!</v>
      </c>
      <c r="AT444" s="287" t="e">
        <f>AT473/AT475*100</f>
        <v>#DIV/0!</v>
      </c>
      <c r="AU444" s="287" t="e">
        <f>AU473/AU475*100</f>
        <v>#DIV/0!</v>
      </c>
      <c r="AW444" s="287" t="e">
        <f>AW473/AW475*100</f>
        <v>#DIV/0!</v>
      </c>
      <c r="AX444" s="287" t="e">
        <f>AX473/AX475*100</f>
        <v>#DIV/0!</v>
      </c>
      <c r="AZ444" s="287" t="e">
        <f>AZ473/AZ475*100</f>
        <v>#DIV/0!</v>
      </c>
      <c r="BA444" s="287" t="e">
        <f>BA473/BA475*100</f>
        <v>#DIV/0!</v>
      </c>
      <c r="BC444" s="287">
        <f>BC473/BC475*100</f>
        <v>0</v>
      </c>
      <c r="BD444" s="287">
        <f>BD473/BD475*100</f>
        <v>0</v>
      </c>
      <c r="BF444" s="287">
        <f>BF473/BF475*100</f>
        <v>0</v>
      </c>
      <c r="BG444" s="287">
        <f>BG473/BG475*100</f>
        <v>0</v>
      </c>
      <c r="BI444" s="287">
        <f>BI473/BI475*100</f>
        <v>0</v>
      </c>
      <c r="BJ444" s="287">
        <f>BJ473/BJ475*100</f>
        <v>0</v>
      </c>
      <c r="BL444" s="287" t="e">
        <f>BL473/BL475*100</f>
        <v>#DIV/0!</v>
      </c>
      <c r="BM444" s="287" t="e">
        <f>BM473/BM475*100</f>
        <v>#DIV/0!</v>
      </c>
      <c r="BO444" s="287" t="e">
        <f>BO473/BO475*100</f>
        <v>#DIV/0!</v>
      </c>
      <c r="BP444" s="287" t="e">
        <f>BP473/BP475*100</f>
        <v>#DIV/0!</v>
      </c>
      <c r="BR444" s="287" t="e">
        <f>BR473/BR475*100</f>
        <v>#DIV/0!</v>
      </c>
      <c r="BS444" s="287" t="e">
        <f>BS473/BS475*100</f>
        <v>#DIV/0!</v>
      </c>
      <c r="BU444" s="287" t="e">
        <f>BU473/BU475*100</f>
        <v>#DIV/0!</v>
      </c>
      <c r="BV444" s="287" t="e">
        <f>BV473/BV475*100</f>
        <v>#DIV/0!</v>
      </c>
      <c r="BX444" s="287" t="e">
        <f>BX473/BX475*100</f>
        <v>#DIV/0!</v>
      </c>
      <c r="BY444" s="287" t="e">
        <f>BY473/BY475*100</f>
        <v>#DIV/0!</v>
      </c>
      <c r="CA444" s="287" t="e">
        <f>CA473/CA475*100</f>
        <v>#DIV/0!</v>
      </c>
      <c r="CB444" s="287" t="e">
        <f>CB473/CB475*100</f>
        <v>#DIV/0!</v>
      </c>
      <c r="CD444" s="287">
        <f>CD473/CD475*100</f>
        <v>0</v>
      </c>
      <c r="CE444" s="287">
        <f>CE473/CE475*100</f>
        <v>0</v>
      </c>
      <c r="CG444" s="287" t="e">
        <f>CG473/CG475*100</f>
        <v>#DIV/0!</v>
      </c>
      <c r="CH444" s="287" t="e">
        <f>CH473/CH475*100</f>
        <v>#DIV/0!</v>
      </c>
      <c r="CJ444" s="287" t="e">
        <f>CJ473/CJ475*100</f>
        <v>#DIV/0!</v>
      </c>
      <c r="CK444" s="287" t="e">
        <f>CK473/CK475*100</f>
        <v>#DIV/0!</v>
      </c>
    </row>
    <row r="445" spans="1:89" x14ac:dyDescent="0.25">
      <c r="A445" s="328"/>
      <c r="B445" s="96" t="s">
        <v>1679</v>
      </c>
      <c r="C445" s="312"/>
      <c r="D445" s="329" t="s">
        <v>8</v>
      </c>
      <c r="E445" s="291"/>
      <c r="F445" s="291"/>
      <c r="G445" s="291"/>
      <c r="H445" s="291"/>
      <c r="I445" s="287">
        <f>I474/$I$475*100</f>
        <v>0</v>
      </c>
      <c r="J445" s="287">
        <f>J474/$J$475*100</f>
        <v>0</v>
      </c>
      <c r="K445" s="287">
        <f>K474/$K$475*100</f>
        <v>0</v>
      </c>
      <c r="L445" s="287" t="e">
        <f>L474/$L$475*100</f>
        <v>#DIV/0!</v>
      </c>
      <c r="M445" s="287" t="e">
        <f>M474/$M$475*100</f>
        <v>#DIV/0!</v>
      </c>
      <c r="N445" s="287" t="e">
        <f>N474/$M$475*100</f>
        <v>#DIV/0!</v>
      </c>
      <c r="Q445" s="287">
        <f>Q474/Q475*100</f>
        <v>0</v>
      </c>
      <c r="R445" s="287">
        <f>R474/R475*100</f>
        <v>0</v>
      </c>
      <c r="S445" s="287" t="e">
        <f>S474/S475*100</f>
        <v>#DIV/0!</v>
      </c>
      <c r="T445" s="287" t="e">
        <f>T474/T475*100</f>
        <v>#DIV/0!</v>
      </c>
      <c r="V445" s="287" t="e">
        <f>V474/V475*100</f>
        <v>#DIV/0!</v>
      </c>
      <c r="W445" s="287" t="e">
        <f>W474/W475*100</f>
        <v>#DIV/0!</v>
      </c>
      <c r="Y445" s="287" t="e">
        <f>Y474/Y475*100</f>
        <v>#DIV/0!</v>
      </c>
      <c r="Z445" s="287" t="e">
        <f>Z474/Z475*100</f>
        <v>#DIV/0!</v>
      </c>
      <c r="AB445" s="287" t="e">
        <f>AB474/AB475*100</f>
        <v>#DIV/0!</v>
      </c>
      <c r="AC445" s="287" t="e">
        <f>AC474/AC475*100</f>
        <v>#DIV/0!</v>
      </c>
      <c r="AE445" s="287" t="e">
        <f>AE474/AE475*100</f>
        <v>#DIV/0!</v>
      </c>
      <c r="AF445" s="287" t="e">
        <f>AF474/AF475*100</f>
        <v>#DIV/0!</v>
      </c>
      <c r="AH445" s="287" t="e">
        <f>AH474/AH475*100</f>
        <v>#DIV/0!</v>
      </c>
      <c r="AI445" s="287" t="e">
        <f>AI474/AI475*100</f>
        <v>#DIV/0!</v>
      </c>
      <c r="AK445" s="287" t="e">
        <f>AK474/AK475*100</f>
        <v>#DIV/0!</v>
      </c>
      <c r="AL445" s="287" t="e">
        <f>AL474/AL475*100</f>
        <v>#DIV/0!</v>
      </c>
      <c r="AN445" s="287" t="e">
        <f>AN474/AN475*100</f>
        <v>#DIV/0!</v>
      </c>
      <c r="AO445" s="287" t="e">
        <f>AO474/AO475*100</f>
        <v>#DIV/0!</v>
      </c>
      <c r="AQ445" s="287" t="e">
        <f>AQ474/AQ475*100</f>
        <v>#DIV/0!</v>
      </c>
      <c r="AR445" s="287" t="e">
        <f>AR474/AR475*100</f>
        <v>#DIV/0!</v>
      </c>
      <c r="AT445" s="287" t="e">
        <f>AT474/AT475*100</f>
        <v>#DIV/0!</v>
      </c>
      <c r="AU445" s="287" t="e">
        <f>AU474/AU475*100</f>
        <v>#DIV/0!</v>
      </c>
      <c r="AW445" s="287" t="e">
        <f>AW474/AW475*100</f>
        <v>#DIV/0!</v>
      </c>
      <c r="AX445" s="287" t="e">
        <f>AX474/AX475*100</f>
        <v>#DIV/0!</v>
      </c>
      <c r="AZ445" s="287" t="e">
        <f>AZ474/AZ475*100</f>
        <v>#DIV/0!</v>
      </c>
      <c r="BA445" s="287" t="e">
        <f>BA474/BA475*100</f>
        <v>#DIV/0!</v>
      </c>
      <c r="BC445" s="287">
        <f>BC474/BC475*100</f>
        <v>0</v>
      </c>
      <c r="BD445" s="287">
        <f>BD474/BD475*100</f>
        <v>0</v>
      </c>
      <c r="BF445" s="287">
        <f>BF474/BF475*100</f>
        <v>0</v>
      </c>
      <c r="BG445" s="287">
        <f>BG474/BG475*100</f>
        <v>0</v>
      </c>
      <c r="BI445" s="287">
        <f>BI474/BI475*100</f>
        <v>0</v>
      </c>
      <c r="BJ445" s="287">
        <f>BJ474/BJ475*100</f>
        <v>0</v>
      </c>
      <c r="BL445" s="287" t="e">
        <f>BL474/BL475*100</f>
        <v>#DIV/0!</v>
      </c>
      <c r="BM445" s="287" t="e">
        <f>BM474/BM475*100</f>
        <v>#DIV/0!</v>
      </c>
      <c r="BO445" s="287" t="e">
        <f>BO474/BO475*100</f>
        <v>#DIV/0!</v>
      </c>
      <c r="BP445" s="287" t="e">
        <f>BP474/BP475*100</f>
        <v>#DIV/0!</v>
      </c>
      <c r="BR445" s="287" t="e">
        <f>BR474/BR475*100</f>
        <v>#DIV/0!</v>
      </c>
      <c r="BS445" s="287" t="e">
        <f>BS474/BS475*100</f>
        <v>#DIV/0!</v>
      </c>
      <c r="BU445" s="287" t="e">
        <f>BU474/BU475*100</f>
        <v>#DIV/0!</v>
      </c>
      <c r="BV445" s="287" t="e">
        <f>BV474/BV475*100</f>
        <v>#DIV/0!</v>
      </c>
      <c r="BX445" s="287" t="e">
        <f>BX474/BX475*100</f>
        <v>#DIV/0!</v>
      </c>
      <c r="BY445" s="287" t="e">
        <f>BY474/BY475*100</f>
        <v>#DIV/0!</v>
      </c>
      <c r="CA445" s="287" t="e">
        <f>CA474/CA475*100</f>
        <v>#DIV/0!</v>
      </c>
      <c r="CB445" s="287" t="e">
        <f>CB474/CB475*100</f>
        <v>#DIV/0!</v>
      </c>
      <c r="CD445" s="287">
        <f>CD474/CD475*100</f>
        <v>0</v>
      </c>
      <c r="CE445" s="287">
        <f>CE474/CE475*100</f>
        <v>0</v>
      </c>
      <c r="CG445" s="287" t="e">
        <f>CG474/CG475*100</f>
        <v>#DIV/0!</v>
      </c>
      <c r="CH445" s="287" t="e">
        <f>CH474/CH475*100</f>
        <v>#DIV/0!</v>
      </c>
      <c r="CJ445" s="287" t="e">
        <f>CJ474/CJ475*100</f>
        <v>#DIV/0!</v>
      </c>
      <c r="CK445" s="287" t="e">
        <f>CK474/CK475*100</f>
        <v>#DIV/0!</v>
      </c>
    </row>
    <row r="446" spans="1:89" x14ac:dyDescent="0.25">
      <c r="A446" s="328"/>
      <c r="B446" s="96" t="s">
        <v>1182</v>
      </c>
      <c r="C446" s="312"/>
      <c r="D446" s="329"/>
      <c r="E446" s="291"/>
      <c r="F446" s="291"/>
      <c r="G446" s="291"/>
      <c r="H446" s="291"/>
      <c r="I446" s="282"/>
      <c r="J446" s="282"/>
      <c r="K446" s="282"/>
      <c r="L446" s="282"/>
      <c r="M446" s="282"/>
      <c r="N446" s="282"/>
    </row>
    <row r="447" spans="1:89" x14ac:dyDescent="0.25">
      <c r="A447" s="328"/>
      <c r="B447" s="96" t="s">
        <v>1845</v>
      </c>
      <c r="C447" s="312"/>
      <c r="D447" s="329"/>
      <c r="E447" s="291"/>
      <c r="F447" s="291"/>
      <c r="G447" s="291"/>
      <c r="H447" s="291"/>
      <c r="I447" s="282"/>
      <c r="J447" s="282"/>
      <c r="K447" s="282"/>
      <c r="L447" s="282"/>
      <c r="M447" s="282"/>
      <c r="N447" s="282"/>
    </row>
    <row r="448" spans="1:89" x14ac:dyDescent="0.25">
      <c r="A448" s="328"/>
      <c r="B448" s="96" t="s">
        <v>1674</v>
      </c>
      <c r="C448" s="312"/>
      <c r="D448" s="329"/>
      <c r="E448" s="291"/>
      <c r="F448" s="291"/>
      <c r="G448" s="291"/>
      <c r="H448" s="291"/>
      <c r="I448" s="282"/>
      <c r="J448" s="282"/>
      <c r="K448" s="282"/>
      <c r="L448" s="282"/>
      <c r="M448" s="282"/>
      <c r="N448" s="282"/>
    </row>
    <row r="449" spans="1:89" ht="45" x14ac:dyDescent="0.25">
      <c r="A449" s="328"/>
      <c r="B449" s="96" t="s">
        <v>1675</v>
      </c>
      <c r="C449" s="312" t="s">
        <v>2784</v>
      </c>
      <c r="D449" s="329"/>
      <c r="E449" s="291"/>
      <c r="F449" s="291"/>
      <c r="G449" s="291"/>
      <c r="H449" s="291"/>
      <c r="I449" s="282">
        <v>242</v>
      </c>
      <c r="J449" s="282">
        <v>236</v>
      </c>
      <c r="K449" s="282">
        <v>233</v>
      </c>
      <c r="L449" s="282">
        <v>7</v>
      </c>
      <c r="M449" s="282">
        <v>7</v>
      </c>
      <c r="N449" s="282">
        <v>9</v>
      </c>
      <c r="P449" s="283"/>
      <c r="Q449" s="283">
        <f>S449+V449+Y449+AB449+AE449+AH449+AK449+AN449+AQ449+AT449+AW449+AZ449+BC449+BF449+BI449+BL449+BO449+BR449+BU449+BX449+CA449+CD449+CG449+CJ449</f>
        <v>233</v>
      </c>
      <c r="R449" s="283">
        <f>T449+W449+Z449+AC449+AF449+AI449+AL449+AO449+AR449+AU449+AX449+BA449+BD449+BG449+BJ449+BM449+BP449+BS449+BV449+BY449+CB449+CE449+CH449+CK449</f>
        <v>231</v>
      </c>
      <c r="S449" s="267">
        <v>9</v>
      </c>
      <c r="T449" s="267">
        <v>9</v>
      </c>
      <c r="V449" s="267">
        <v>7</v>
      </c>
      <c r="W449" s="267">
        <v>5</v>
      </c>
      <c r="Y449" s="267">
        <v>6</v>
      </c>
      <c r="Z449" s="267">
        <v>7</v>
      </c>
      <c r="AB449" s="267">
        <v>7</v>
      </c>
      <c r="AC449" s="267">
        <v>7</v>
      </c>
      <c r="AE449" s="267">
        <v>11</v>
      </c>
      <c r="AF449" s="267">
        <v>9</v>
      </c>
      <c r="AH449" s="267">
        <v>8</v>
      </c>
      <c r="AI449" s="267">
        <v>6</v>
      </c>
      <c r="AK449" s="267">
        <v>9</v>
      </c>
      <c r="AL449" s="267">
        <v>8</v>
      </c>
      <c r="AN449" s="267">
        <v>18</v>
      </c>
      <c r="AO449" s="267">
        <v>19</v>
      </c>
      <c r="AQ449" s="267">
        <v>4</v>
      </c>
      <c r="AR449" s="267">
        <v>5</v>
      </c>
      <c r="AT449" s="267">
        <v>9</v>
      </c>
      <c r="AU449" s="267">
        <v>9</v>
      </c>
      <c r="AW449" s="267">
        <v>6</v>
      </c>
      <c r="AX449" s="267">
        <v>6</v>
      </c>
      <c r="AZ449" s="267">
        <v>6</v>
      </c>
      <c r="BA449" s="267">
        <v>6</v>
      </c>
      <c r="BC449" s="267">
        <v>12</v>
      </c>
      <c r="BD449" s="267">
        <v>13</v>
      </c>
      <c r="BF449" s="267">
        <v>30</v>
      </c>
      <c r="BG449" s="267">
        <v>30</v>
      </c>
      <c r="BI449" s="267">
        <v>36</v>
      </c>
      <c r="BJ449" s="267">
        <v>35</v>
      </c>
      <c r="BL449" s="267">
        <v>6</v>
      </c>
      <c r="BM449" s="267">
        <v>6</v>
      </c>
      <c r="BO449" s="267">
        <v>6</v>
      </c>
      <c r="BP449" s="267">
        <v>6</v>
      </c>
      <c r="BR449" s="267">
        <v>8</v>
      </c>
      <c r="BS449" s="267">
        <v>7</v>
      </c>
      <c r="BU449" s="267">
        <v>6</v>
      </c>
      <c r="BV449" s="267">
        <v>7</v>
      </c>
      <c r="BX449" s="267">
        <v>3</v>
      </c>
      <c r="BY449" s="267">
        <v>3</v>
      </c>
      <c r="CA449" s="267">
        <v>5</v>
      </c>
      <c r="CB449" s="267">
        <v>5</v>
      </c>
      <c r="CD449" s="267">
        <v>5</v>
      </c>
      <c r="CE449" s="267">
        <v>5</v>
      </c>
      <c r="CG449" s="267">
        <v>16</v>
      </c>
      <c r="CH449" s="267">
        <v>17</v>
      </c>
      <c r="CJ449" s="267">
        <v>0</v>
      </c>
      <c r="CK449" s="267">
        <v>1</v>
      </c>
    </row>
    <row r="450" spans="1:89" ht="30" x14ac:dyDescent="0.25">
      <c r="A450" s="328"/>
      <c r="B450" s="96" t="s">
        <v>1676</v>
      </c>
      <c r="C450" s="312" t="s">
        <v>2777</v>
      </c>
      <c r="D450" s="329"/>
      <c r="E450" s="291"/>
      <c r="F450" s="291"/>
      <c r="G450" s="291"/>
      <c r="H450" s="291"/>
      <c r="I450" s="282">
        <v>242</v>
      </c>
      <c r="J450" s="282">
        <v>236</v>
      </c>
      <c r="K450" s="282">
        <v>232</v>
      </c>
      <c r="L450" s="282">
        <v>7</v>
      </c>
      <c r="M450" s="282">
        <v>7</v>
      </c>
      <c r="N450" s="282">
        <v>9</v>
      </c>
      <c r="P450" s="283"/>
      <c r="Q450" s="283">
        <f>S450+V450+Y450+AB450+AE450+AH450+AK450+AN450+AQ450+AT450+AW450+AZ450+BC450+BF450+BI450+BL450+BO450+BR450+BU450+BX450+CA450+CD450+CG450+CJ450</f>
        <v>232</v>
      </c>
      <c r="R450" s="283">
        <f>T450+W450+Z450+AC450+AF450+AI450+AL450+AO450+AR450+AU450+AX450+BA450+BD450+BG450+BJ450+BM450+BP450+BS450+BV450+BY450+CB450+CE450+CH450+CK450</f>
        <v>230</v>
      </c>
      <c r="S450" s="267">
        <v>9</v>
      </c>
      <c r="T450" s="267">
        <v>9</v>
      </c>
      <c r="V450" s="267">
        <v>7</v>
      </c>
      <c r="W450" s="267">
        <v>5</v>
      </c>
      <c r="Y450" s="267">
        <v>6</v>
      </c>
      <c r="Z450" s="267">
        <v>7</v>
      </c>
      <c r="AB450" s="267">
        <v>7</v>
      </c>
      <c r="AC450" s="267">
        <v>7</v>
      </c>
      <c r="AE450" s="267">
        <v>11</v>
      </c>
      <c r="AF450" s="267">
        <v>9</v>
      </c>
      <c r="AH450" s="267">
        <v>8</v>
      </c>
      <c r="AI450" s="267">
        <v>6</v>
      </c>
      <c r="AK450" s="267">
        <v>9</v>
      </c>
      <c r="AL450" s="267">
        <v>8</v>
      </c>
      <c r="AN450" s="267">
        <v>18</v>
      </c>
      <c r="AO450" s="267">
        <v>19</v>
      </c>
      <c r="AQ450" s="267">
        <v>3</v>
      </c>
      <c r="AR450" s="267">
        <v>4</v>
      </c>
      <c r="AT450" s="267">
        <v>9</v>
      </c>
      <c r="AU450" s="267">
        <v>9</v>
      </c>
      <c r="AW450" s="267">
        <v>6</v>
      </c>
      <c r="AX450" s="267">
        <v>6</v>
      </c>
      <c r="AZ450" s="267">
        <v>6</v>
      </c>
      <c r="BA450" s="267">
        <v>6</v>
      </c>
      <c r="BC450" s="267">
        <v>12</v>
      </c>
      <c r="BD450" s="267">
        <v>13</v>
      </c>
      <c r="BF450" s="267">
        <v>30</v>
      </c>
      <c r="BG450" s="267">
        <v>30</v>
      </c>
      <c r="BI450" s="267">
        <v>36</v>
      </c>
      <c r="BJ450" s="267">
        <v>35</v>
      </c>
      <c r="BL450" s="267">
        <v>6</v>
      </c>
      <c r="BM450" s="267">
        <v>6</v>
      </c>
      <c r="BO450" s="267">
        <v>6</v>
      </c>
      <c r="BP450" s="267">
        <v>6</v>
      </c>
      <c r="BR450" s="267">
        <v>8</v>
      </c>
      <c r="BS450" s="267">
        <v>7</v>
      </c>
      <c r="BU450" s="267">
        <v>6</v>
      </c>
      <c r="BV450" s="267">
        <v>7</v>
      </c>
      <c r="BX450" s="267">
        <v>3</v>
      </c>
      <c r="BY450" s="267">
        <v>3</v>
      </c>
      <c r="CA450" s="267">
        <v>5</v>
      </c>
      <c r="CB450" s="267">
        <v>5</v>
      </c>
      <c r="CD450" s="267">
        <v>5</v>
      </c>
      <c r="CE450" s="267">
        <v>5</v>
      </c>
      <c r="CG450" s="267">
        <v>16</v>
      </c>
      <c r="CH450" s="267">
        <v>17</v>
      </c>
      <c r="CJ450" s="267">
        <v>0</v>
      </c>
      <c r="CK450" s="267">
        <v>1</v>
      </c>
    </row>
    <row r="451" spans="1:89" x14ac:dyDescent="0.25">
      <c r="A451" s="328"/>
      <c r="B451" s="96" t="s">
        <v>1677</v>
      </c>
      <c r="C451" s="312"/>
      <c r="D451" s="329"/>
      <c r="E451" s="291"/>
      <c r="F451" s="291"/>
      <c r="G451" s="291"/>
      <c r="H451" s="291"/>
      <c r="I451" s="282"/>
      <c r="J451" s="282"/>
      <c r="K451" s="282"/>
      <c r="L451" s="282"/>
      <c r="M451" s="282"/>
      <c r="N451" s="282"/>
      <c r="Q451" s="283"/>
      <c r="R451" s="283"/>
    </row>
    <row r="452" spans="1:89" ht="45" x14ac:dyDescent="0.25">
      <c r="A452" s="328"/>
      <c r="B452" s="96" t="s">
        <v>1675</v>
      </c>
      <c r="C452" s="312" t="s">
        <v>2783</v>
      </c>
      <c r="D452" s="329"/>
      <c r="E452" s="291"/>
      <c r="F452" s="291"/>
      <c r="G452" s="291"/>
      <c r="H452" s="291"/>
      <c r="I452" s="282">
        <v>270</v>
      </c>
      <c r="J452" s="282">
        <v>268</v>
      </c>
      <c r="K452" s="282">
        <v>266</v>
      </c>
      <c r="L452" s="282">
        <v>12</v>
      </c>
      <c r="M452" s="282">
        <v>11</v>
      </c>
      <c r="N452" s="282">
        <v>9</v>
      </c>
      <c r="P452" s="283"/>
      <c r="Q452" s="283">
        <f>S452+V452+Y452+AB452+AE452+AH452+AK452+AN452+AQ452+AT452+AW452+AZ452+BC452+BF452+BI452+BL452+BO452+BR452+BU452+BX452+CA452+CD452+CG452+CJ452</f>
        <v>266</v>
      </c>
      <c r="R452" s="283">
        <f>T452+W452+Z452+AC452+AF452+AI452+AL452+AO452+AR452+AU452+AX452+BA452+BD452+BG452+BJ452+BM452+BP452+BS452+BV452+BY452+CB452+CE452+CH452+CK452</f>
        <v>269</v>
      </c>
      <c r="S452" s="267">
        <v>7</v>
      </c>
      <c r="T452" s="267">
        <v>9</v>
      </c>
      <c r="V452" s="267">
        <v>8</v>
      </c>
      <c r="W452" s="267">
        <v>11</v>
      </c>
      <c r="Y452" s="267">
        <v>11</v>
      </c>
      <c r="Z452" s="267">
        <v>11</v>
      </c>
      <c r="AB452" s="267">
        <v>10</v>
      </c>
      <c r="AC452" s="267">
        <v>10</v>
      </c>
      <c r="AE452" s="267">
        <v>9</v>
      </c>
      <c r="AF452" s="267">
        <v>9</v>
      </c>
      <c r="AH452" s="267">
        <v>9</v>
      </c>
      <c r="AI452" s="267">
        <v>10</v>
      </c>
      <c r="AK452" s="267">
        <v>11</v>
      </c>
      <c r="AL452" s="267">
        <v>11</v>
      </c>
      <c r="AN452" s="267">
        <v>22</v>
      </c>
      <c r="AO452" s="267">
        <v>21</v>
      </c>
      <c r="AQ452" s="267">
        <v>11</v>
      </c>
      <c r="AR452" s="267">
        <v>10</v>
      </c>
      <c r="AT452" s="267">
        <v>9</v>
      </c>
      <c r="AU452" s="267">
        <v>9</v>
      </c>
      <c r="AW452" s="267">
        <v>6</v>
      </c>
      <c r="AX452" s="267">
        <v>6</v>
      </c>
      <c r="AZ452" s="267">
        <v>7</v>
      </c>
      <c r="BA452" s="267">
        <v>7</v>
      </c>
      <c r="BC452" s="267">
        <v>15</v>
      </c>
      <c r="BD452" s="267">
        <v>12</v>
      </c>
      <c r="BF452" s="267">
        <v>32</v>
      </c>
      <c r="BG452" s="267">
        <v>32</v>
      </c>
      <c r="BI452" s="267">
        <v>36</v>
      </c>
      <c r="BJ452" s="267">
        <v>37</v>
      </c>
      <c r="BL452" s="267">
        <v>6</v>
      </c>
      <c r="BM452" s="267">
        <v>6</v>
      </c>
      <c r="BO452" s="267">
        <v>6</v>
      </c>
      <c r="BP452" s="267">
        <v>6</v>
      </c>
      <c r="BR452" s="267">
        <v>8</v>
      </c>
      <c r="BS452" s="267">
        <v>7</v>
      </c>
      <c r="BU452" s="267">
        <v>7</v>
      </c>
      <c r="BV452" s="267">
        <v>7</v>
      </c>
      <c r="BX452" s="267">
        <v>3</v>
      </c>
      <c r="BY452" s="267">
        <v>3</v>
      </c>
      <c r="CA452" s="267">
        <v>5</v>
      </c>
      <c r="CB452" s="267">
        <v>6</v>
      </c>
      <c r="CD452" s="267">
        <v>5</v>
      </c>
      <c r="CE452" s="267">
        <v>5</v>
      </c>
      <c r="CG452" s="267">
        <v>21</v>
      </c>
      <c r="CH452" s="267">
        <v>21</v>
      </c>
      <c r="CJ452" s="267">
        <v>2</v>
      </c>
      <c r="CK452" s="267">
        <v>3</v>
      </c>
    </row>
    <row r="453" spans="1:89" ht="30" x14ac:dyDescent="0.25">
      <c r="A453" s="328"/>
      <c r="B453" s="96" t="s">
        <v>1676</v>
      </c>
      <c r="C453" s="312" t="s">
        <v>2778</v>
      </c>
      <c r="D453" s="329"/>
      <c r="E453" s="291"/>
      <c r="F453" s="291"/>
      <c r="G453" s="291"/>
      <c r="H453" s="291"/>
      <c r="I453" s="282">
        <v>267</v>
      </c>
      <c r="J453" s="282">
        <v>267</v>
      </c>
      <c r="K453" s="282">
        <v>266</v>
      </c>
      <c r="L453" s="282">
        <v>12</v>
      </c>
      <c r="M453" s="282">
        <v>11</v>
      </c>
      <c r="N453" s="282">
        <v>9</v>
      </c>
      <c r="P453" s="283"/>
      <c r="Q453" s="283">
        <f>S453+V453+Y453+AB453+AE453+AH453+AK453+AN453+AQ453+AT453+AW453+AZ453+BC453+BF453+BI453+BL453+BO453+BR453+BU453+BX453+CA453+CD453+CG453+CJ453</f>
        <v>266</v>
      </c>
      <c r="R453" s="283">
        <f>T453+W453+Z453+AC453+AF453+AI453+AL453+AO453+AR453+AU453+AX453+BA453+BD453+BG453+BJ453+BM453+BP453+BS453+BV453+BY453+CB453+CE453+CH453+CK453</f>
        <v>268</v>
      </c>
      <c r="S453" s="267">
        <v>7</v>
      </c>
      <c r="T453" s="267">
        <v>9</v>
      </c>
      <c r="V453" s="267">
        <v>8</v>
      </c>
      <c r="W453" s="267">
        <v>10</v>
      </c>
      <c r="Y453" s="267">
        <v>11</v>
      </c>
      <c r="Z453" s="267">
        <v>11</v>
      </c>
      <c r="AB453" s="267">
        <v>10</v>
      </c>
      <c r="AC453" s="267">
        <v>10</v>
      </c>
      <c r="AE453" s="267">
        <v>9</v>
      </c>
      <c r="AF453" s="267">
        <v>9</v>
      </c>
      <c r="AH453" s="267">
        <v>9</v>
      </c>
      <c r="AI453" s="267">
        <v>10</v>
      </c>
      <c r="AK453" s="267">
        <v>11</v>
      </c>
      <c r="AL453" s="267">
        <v>11</v>
      </c>
      <c r="AN453" s="267">
        <v>22</v>
      </c>
      <c r="AO453" s="267">
        <v>21</v>
      </c>
      <c r="AQ453" s="267">
        <v>11</v>
      </c>
      <c r="AR453" s="267">
        <v>10</v>
      </c>
      <c r="AT453" s="267">
        <v>9</v>
      </c>
      <c r="AU453" s="267">
        <v>9</v>
      </c>
      <c r="AW453" s="267">
        <v>6</v>
      </c>
      <c r="AX453" s="267">
        <v>6</v>
      </c>
      <c r="AZ453" s="267">
        <v>7</v>
      </c>
      <c r="BA453" s="267">
        <v>7</v>
      </c>
      <c r="BC453" s="267">
        <v>15</v>
      </c>
      <c r="BD453" s="267">
        <v>12</v>
      </c>
      <c r="BF453" s="267">
        <v>32</v>
      </c>
      <c r="BG453" s="267">
        <v>32</v>
      </c>
      <c r="BI453" s="267">
        <v>36</v>
      </c>
      <c r="BJ453" s="267">
        <v>37</v>
      </c>
      <c r="BL453" s="267">
        <v>6</v>
      </c>
      <c r="BM453" s="267">
        <v>6</v>
      </c>
      <c r="BO453" s="267">
        <v>6</v>
      </c>
      <c r="BP453" s="267">
        <v>6</v>
      </c>
      <c r="BR453" s="267">
        <v>8</v>
      </c>
      <c r="BS453" s="267">
        <v>7</v>
      </c>
      <c r="BU453" s="267">
        <v>7</v>
      </c>
      <c r="BV453" s="267">
        <v>7</v>
      </c>
      <c r="BX453" s="267">
        <v>3</v>
      </c>
      <c r="BY453" s="267">
        <v>3</v>
      </c>
      <c r="CA453" s="267">
        <v>5</v>
      </c>
      <c r="CB453" s="267">
        <v>6</v>
      </c>
      <c r="CD453" s="267">
        <v>5</v>
      </c>
      <c r="CE453" s="267">
        <v>5</v>
      </c>
      <c r="CG453" s="267">
        <v>21</v>
      </c>
      <c r="CH453" s="267">
        <v>21</v>
      </c>
      <c r="CJ453" s="267">
        <v>2</v>
      </c>
      <c r="CK453" s="267">
        <v>3</v>
      </c>
    </row>
    <row r="454" spans="1:89" x14ac:dyDescent="0.25">
      <c r="A454" s="328"/>
      <c r="B454" s="96" t="s">
        <v>1678</v>
      </c>
      <c r="C454" s="312"/>
      <c r="D454" s="329"/>
      <c r="E454" s="291"/>
      <c r="F454" s="291"/>
      <c r="G454" s="291"/>
      <c r="H454" s="291"/>
      <c r="I454" s="282"/>
      <c r="J454" s="282"/>
      <c r="K454" s="282"/>
      <c r="L454" s="282"/>
      <c r="M454" s="282"/>
      <c r="N454" s="282"/>
      <c r="Q454" s="283"/>
      <c r="R454" s="283"/>
    </row>
    <row r="455" spans="1:89" ht="45" x14ac:dyDescent="0.25">
      <c r="A455" s="328"/>
      <c r="B455" s="96" t="s">
        <v>1675</v>
      </c>
      <c r="C455" s="312" t="s">
        <v>2782</v>
      </c>
      <c r="D455" s="329"/>
      <c r="E455" s="291"/>
      <c r="F455" s="291"/>
      <c r="G455" s="291"/>
      <c r="H455" s="291"/>
      <c r="I455" s="282">
        <v>198</v>
      </c>
      <c r="J455" s="282">
        <v>204</v>
      </c>
      <c r="K455" s="282">
        <v>208</v>
      </c>
      <c r="L455" s="282">
        <v>6</v>
      </c>
      <c r="M455" s="282">
        <v>6</v>
      </c>
      <c r="N455" s="282">
        <v>7</v>
      </c>
      <c r="O455" s="330"/>
      <c r="P455" s="283"/>
      <c r="Q455" s="283">
        <f>S455+V455+Y455+AB455+AE455+AH455+AK455+AN455+AQ455+AT455+AW455+AZ455+BC455+BF455+BI455+BL455+BO455+BR455+BU455+BX455+CA455+CD455+CG455+CJ455</f>
        <v>208</v>
      </c>
      <c r="R455" s="283">
        <f>T455+W455+Z455+AC455+AF455+AI455+AL455+AO455+AR455+AU455+AX455+BA455+BD455+BG455+BJ455+BM455+BP455+BS455+BV455+BY455+CB455+CE455+CH455+CK455</f>
        <v>218</v>
      </c>
      <c r="S455" s="267">
        <v>8</v>
      </c>
      <c r="T455" s="267">
        <v>7</v>
      </c>
      <c r="V455" s="267">
        <v>4</v>
      </c>
      <c r="W455" s="267">
        <v>4</v>
      </c>
      <c r="Y455" s="267">
        <v>7</v>
      </c>
      <c r="Z455" s="267">
        <v>8</v>
      </c>
      <c r="AB455" s="267">
        <v>9</v>
      </c>
      <c r="AC455" s="267">
        <v>10</v>
      </c>
      <c r="AE455" s="267">
        <v>8</v>
      </c>
      <c r="AF455" s="267">
        <v>8</v>
      </c>
      <c r="AH455" s="267">
        <v>5</v>
      </c>
      <c r="AI455" s="267">
        <v>6</v>
      </c>
      <c r="AK455" s="267">
        <v>9</v>
      </c>
      <c r="AL455" s="267">
        <v>11</v>
      </c>
      <c r="AN455" s="267">
        <v>20</v>
      </c>
      <c r="AO455" s="267">
        <v>19</v>
      </c>
      <c r="AQ455" s="267">
        <v>10</v>
      </c>
      <c r="AR455" s="267">
        <v>10</v>
      </c>
      <c r="AT455" s="267">
        <v>9</v>
      </c>
      <c r="AU455" s="267">
        <v>9</v>
      </c>
      <c r="AW455" s="267">
        <v>5</v>
      </c>
      <c r="AX455" s="267">
        <v>4</v>
      </c>
      <c r="AZ455" s="267">
        <v>7</v>
      </c>
      <c r="BA455" s="267">
        <v>7</v>
      </c>
      <c r="BC455" s="267">
        <v>14</v>
      </c>
      <c r="BD455" s="267">
        <v>13</v>
      </c>
      <c r="BF455" s="267">
        <v>17</v>
      </c>
      <c r="BG455" s="267">
        <v>18</v>
      </c>
      <c r="BI455" s="267">
        <v>28</v>
      </c>
      <c r="BJ455" s="267">
        <v>32</v>
      </c>
      <c r="BL455" s="267">
        <v>3</v>
      </c>
      <c r="BM455" s="267">
        <v>3</v>
      </c>
      <c r="BO455" s="267">
        <v>5</v>
      </c>
      <c r="BP455" s="267">
        <v>5</v>
      </c>
      <c r="BR455" s="267">
        <v>5</v>
      </c>
      <c r="BS455" s="267">
        <v>6</v>
      </c>
      <c r="BU455" s="267">
        <v>7</v>
      </c>
      <c r="BV455" s="267">
        <v>7</v>
      </c>
      <c r="BX455" s="267">
        <v>1</v>
      </c>
      <c r="BY455" s="267">
        <v>2</v>
      </c>
      <c r="CA455" s="267">
        <v>5</v>
      </c>
      <c r="CB455" s="267">
        <v>7</v>
      </c>
      <c r="CD455" s="267">
        <v>5</v>
      </c>
      <c r="CE455" s="267">
        <v>5</v>
      </c>
      <c r="CG455" s="267">
        <v>17</v>
      </c>
      <c r="CH455" s="267">
        <v>17</v>
      </c>
      <c r="CJ455" s="267">
        <v>0</v>
      </c>
      <c r="CK455" s="267">
        <v>0</v>
      </c>
    </row>
    <row r="456" spans="1:89" ht="30" x14ac:dyDescent="0.25">
      <c r="A456" s="328"/>
      <c r="B456" s="96" t="s">
        <v>1679</v>
      </c>
      <c r="C456" s="312" t="s">
        <v>2779</v>
      </c>
      <c r="D456" s="329"/>
      <c r="E456" s="291"/>
      <c r="F456" s="291"/>
      <c r="G456" s="291"/>
      <c r="H456" s="291"/>
      <c r="I456" s="282">
        <v>191</v>
      </c>
      <c r="J456" s="282">
        <v>197</v>
      </c>
      <c r="K456" s="282">
        <v>202</v>
      </c>
      <c r="L456" s="282">
        <v>5</v>
      </c>
      <c r="M456" s="282">
        <v>6</v>
      </c>
      <c r="N456" s="282">
        <v>7</v>
      </c>
      <c r="O456" s="330"/>
      <c r="P456" s="283"/>
      <c r="Q456" s="283">
        <f>S456+V456+Y456+AB456+AE456+AH456+AK456+AN456+AQ456+AT456+AW456+AZ456+BC456+BF456+BI456+BL456+BO456+BR456+BU456+BX456+CA456+CD456+CG456+CJ456</f>
        <v>202</v>
      </c>
      <c r="R456" s="283">
        <f>T456+W456+Z456+AC456+AF456+AI456+AL456+AO456+AR456+AU456+AX456+BA456+BD456+BG456+BJ456+BM456+BP456+BS456+BV456+BY456+CB456+CE456+CH456+CK456</f>
        <v>208</v>
      </c>
      <c r="S456" s="267">
        <v>8</v>
      </c>
      <c r="T456" s="267">
        <v>7</v>
      </c>
      <c r="V456" s="267">
        <v>4</v>
      </c>
      <c r="W456" s="267">
        <v>4</v>
      </c>
      <c r="Y456" s="267">
        <v>7</v>
      </c>
      <c r="Z456" s="267">
        <v>8</v>
      </c>
      <c r="AB456" s="267">
        <v>9</v>
      </c>
      <c r="AC456" s="267">
        <v>10</v>
      </c>
      <c r="AE456" s="267">
        <v>6</v>
      </c>
      <c r="AF456" s="267">
        <v>6</v>
      </c>
      <c r="AH456" s="267">
        <v>4</v>
      </c>
      <c r="AI456" s="267">
        <v>5</v>
      </c>
      <c r="AK456" s="267">
        <v>9</v>
      </c>
      <c r="AL456" s="267">
        <v>11</v>
      </c>
      <c r="AN456" s="267">
        <v>20</v>
      </c>
      <c r="AO456" s="267">
        <v>19</v>
      </c>
      <c r="AQ456" s="267">
        <v>8</v>
      </c>
      <c r="AR456" s="267">
        <v>8</v>
      </c>
      <c r="AT456" s="267">
        <v>9</v>
      </c>
      <c r="AU456" s="267">
        <v>9</v>
      </c>
      <c r="AW456" s="267">
        <v>5</v>
      </c>
      <c r="AX456" s="267">
        <v>4</v>
      </c>
      <c r="AZ456" s="267">
        <v>7</v>
      </c>
      <c r="BA456" s="267">
        <v>7</v>
      </c>
      <c r="BC456" s="267">
        <v>14</v>
      </c>
      <c r="BD456" s="267">
        <v>13</v>
      </c>
      <c r="BF456" s="267">
        <v>17</v>
      </c>
      <c r="BG456" s="267">
        <v>18</v>
      </c>
      <c r="BI456" s="267">
        <v>28</v>
      </c>
      <c r="BJ456" s="267">
        <v>28</v>
      </c>
      <c r="BL456" s="267">
        <v>3</v>
      </c>
      <c r="BM456" s="267">
        <v>3</v>
      </c>
      <c r="BO456" s="267">
        <v>4</v>
      </c>
      <c r="BP456" s="267">
        <v>4</v>
      </c>
      <c r="BR456" s="267">
        <v>5</v>
      </c>
      <c r="BS456" s="267">
        <v>6</v>
      </c>
      <c r="BU456" s="267">
        <v>7</v>
      </c>
      <c r="BV456" s="267">
        <v>7</v>
      </c>
      <c r="BX456" s="267">
        <v>1</v>
      </c>
      <c r="BY456" s="267">
        <v>2</v>
      </c>
      <c r="CA456" s="267">
        <v>5</v>
      </c>
      <c r="CB456" s="267">
        <v>7</v>
      </c>
      <c r="CD456" s="267">
        <v>5</v>
      </c>
      <c r="CE456" s="267">
        <v>5</v>
      </c>
      <c r="CG456" s="267">
        <v>17</v>
      </c>
      <c r="CH456" s="267">
        <v>17</v>
      </c>
      <c r="CJ456" s="267">
        <v>0</v>
      </c>
      <c r="CK456" s="267">
        <v>0</v>
      </c>
    </row>
    <row r="457" spans="1:89" x14ac:dyDescent="0.25">
      <c r="A457" s="328"/>
      <c r="B457" s="96" t="s">
        <v>2521</v>
      </c>
      <c r="C457" s="312"/>
      <c r="D457" s="329"/>
      <c r="E457" s="291"/>
      <c r="F457" s="291"/>
      <c r="G457" s="291"/>
      <c r="H457" s="291"/>
      <c r="I457" s="282"/>
      <c r="J457" s="282"/>
      <c r="K457" s="282"/>
      <c r="L457" s="282"/>
      <c r="M457" s="282"/>
      <c r="N457" s="282"/>
      <c r="Q457" s="296"/>
      <c r="R457" s="296"/>
    </row>
    <row r="458" spans="1:89" ht="45" x14ac:dyDescent="0.25">
      <c r="A458" s="328"/>
      <c r="B458" s="96" t="s">
        <v>1675</v>
      </c>
      <c r="C458" s="312" t="s">
        <v>2781</v>
      </c>
      <c r="D458" s="329"/>
      <c r="E458" s="291"/>
      <c r="F458" s="291"/>
      <c r="G458" s="291"/>
      <c r="H458" s="291"/>
      <c r="I458" s="282">
        <v>61</v>
      </c>
      <c r="J458" s="282">
        <v>53</v>
      </c>
      <c r="K458" s="282">
        <v>73</v>
      </c>
      <c r="L458" s="282">
        <v>1</v>
      </c>
      <c r="M458" s="282">
        <v>1</v>
      </c>
      <c r="N458" s="282">
        <v>1</v>
      </c>
      <c r="P458" s="283"/>
      <c r="Q458" s="283">
        <f t="shared" ref="Q458:R460" si="846">S458+V458+Y458+AB458+AE458+AH458+AK458+AN458+AQ458+AT458+AW458+AZ458+BC458+BF458+BI458+BL458+BO458+BR458+BU458+BX458+CA458+CD458+CG458+CJ458</f>
        <v>73</v>
      </c>
      <c r="R458" s="283">
        <f t="shared" si="846"/>
        <v>86</v>
      </c>
      <c r="S458" s="267">
        <v>2</v>
      </c>
      <c r="T458" s="267">
        <v>2</v>
      </c>
      <c r="V458" s="267">
        <v>1</v>
      </c>
      <c r="W458" s="267">
        <v>1</v>
      </c>
      <c r="Y458" s="267">
        <v>2</v>
      </c>
      <c r="Z458" s="267">
        <v>1</v>
      </c>
      <c r="AB458" s="267">
        <v>1</v>
      </c>
      <c r="AC458" s="267">
        <v>1</v>
      </c>
      <c r="AE458" s="267">
        <v>2</v>
      </c>
      <c r="AF458" s="267">
        <v>3</v>
      </c>
      <c r="AH458" s="267">
        <v>0</v>
      </c>
      <c r="AI458" s="267">
        <v>1</v>
      </c>
      <c r="AK458" s="267">
        <v>3</v>
      </c>
      <c r="AL458" s="267">
        <v>3</v>
      </c>
      <c r="AN458" s="267">
        <v>7</v>
      </c>
      <c r="AO458" s="267">
        <v>11</v>
      </c>
      <c r="AQ458" s="267">
        <v>0</v>
      </c>
      <c r="AR458" s="267">
        <v>0</v>
      </c>
      <c r="AT458" s="267">
        <v>5</v>
      </c>
      <c r="AU458" s="267">
        <v>5</v>
      </c>
      <c r="AW458" s="267">
        <v>1</v>
      </c>
      <c r="AX458" s="267">
        <v>2</v>
      </c>
      <c r="AZ458" s="267">
        <v>3</v>
      </c>
      <c r="BA458" s="267">
        <v>3</v>
      </c>
      <c r="BC458" s="267">
        <v>3</v>
      </c>
      <c r="BD458" s="267">
        <v>5</v>
      </c>
      <c r="BF458" s="267">
        <v>0</v>
      </c>
      <c r="BG458" s="267">
        <v>0</v>
      </c>
      <c r="BI458" s="267">
        <v>17</v>
      </c>
      <c r="BJ458" s="267">
        <v>18</v>
      </c>
      <c r="BL458" s="267">
        <v>0</v>
      </c>
      <c r="BM458" s="267">
        <v>0</v>
      </c>
      <c r="BO458" s="267">
        <v>1</v>
      </c>
      <c r="BP458" s="267">
        <v>3</v>
      </c>
      <c r="BR458" s="267">
        <v>2</v>
      </c>
      <c r="BS458" s="267">
        <v>2</v>
      </c>
      <c r="BU458" s="267">
        <v>2</v>
      </c>
      <c r="BV458" s="267">
        <v>3</v>
      </c>
      <c r="BX458" s="267">
        <v>1</v>
      </c>
      <c r="BY458" s="267">
        <v>1</v>
      </c>
      <c r="CA458" s="267">
        <v>3</v>
      </c>
      <c r="CB458" s="267">
        <v>4</v>
      </c>
      <c r="CD458" s="267">
        <v>0</v>
      </c>
      <c r="CE458" s="267">
        <v>0</v>
      </c>
      <c r="CG458" s="267">
        <v>17</v>
      </c>
      <c r="CH458" s="267">
        <v>17</v>
      </c>
      <c r="CJ458" s="267">
        <v>0</v>
      </c>
      <c r="CK458" s="267">
        <v>0</v>
      </c>
    </row>
    <row r="459" spans="1:89" ht="30" x14ac:dyDescent="0.25">
      <c r="A459" s="328"/>
      <c r="B459" s="96" t="s">
        <v>1679</v>
      </c>
      <c r="C459" s="312" t="s">
        <v>2780</v>
      </c>
      <c r="D459" s="329"/>
      <c r="E459" s="291"/>
      <c r="F459" s="291"/>
      <c r="G459" s="291"/>
      <c r="H459" s="291"/>
      <c r="I459" s="282">
        <v>58</v>
      </c>
      <c r="J459" s="282">
        <v>51</v>
      </c>
      <c r="K459" s="282">
        <v>71</v>
      </c>
      <c r="L459" s="282">
        <v>1</v>
      </c>
      <c r="M459" s="282">
        <v>1</v>
      </c>
      <c r="N459" s="282">
        <v>1</v>
      </c>
      <c r="P459" s="283"/>
      <c r="Q459" s="283">
        <f t="shared" si="846"/>
        <v>71</v>
      </c>
      <c r="R459" s="283">
        <f t="shared" si="846"/>
        <v>83</v>
      </c>
      <c r="S459" s="267">
        <v>2</v>
      </c>
      <c r="T459" s="267">
        <v>2</v>
      </c>
      <c r="V459" s="267">
        <v>1</v>
      </c>
      <c r="W459" s="267">
        <v>1</v>
      </c>
      <c r="Y459" s="267">
        <v>2</v>
      </c>
      <c r="Z459" s="267">
        <v>1</v>
      </c>
      <c r="AB459" s="267">
        <v>1</v>
      </c>
      <c r="AC459" s="267">
        <v>1</v>
      </c>
      <c r="AE459" s="267">
        <v>2</v>
      </c>
      <c r="AF459" s="267">
        <v>2</v>
      </c>
      <c r="AH459" s="267">
        <v>0</v>
      </c>
      <c r="AI459" s="267">
        <v>1</v>
      </c>
      <c r="AK459" s="267">
        <v>3</v>
      </c>
      <c r="AL459" s="267">
        <v>3</v>
      </c>
      <c r="AN459" s="267">
        <v>6</v>
      </c>
      <c r="AO459" s="267">
        <v>10</v>
      </c>
      <c r="AQ459" s="267">
        <v>0</v>
      </c>
      <c r="AR459" s="267">
        <v>0</v>
      </c>
      <c r="AT459" s="267">
        <v>5</v>
      </c>
      <c r="AU459" s="267">
        <v>5</v>
      </c>
      <c r="AW459" s="267">
        <v>1</v>
      </c>
      <c r="AX459" s="267">
        <v>2</v>
      </c>
      <c r="AZ459" s="267">
        <v>3</v>
      </c>
      <c r="BA459" s="267">
        <v>3</v>
      </c>
      <c r="BC459" s="267">
        <v>3</v>
      </c>
      <c r="BD459" s="267">
        <v>5</v>
      </c>
      <c r="BF459" s="267">
        <v>0</v>
      </c>
      <c r="BG459" s="267">
        <v>0</v>
      </c>
      <c r="BI459" s="267">
        <v>16</v>
      </c>
      <c r="BJ459" s="267">
        <v>17</v>
      </c>
      <c r="BL459" s="267">
        <v>0</v>
      </c>
      <c r="BM459" s="267">
        <v>0</v>
      </c>
      <c r="BO459" s="267">
        <v>1</v>
      </c>
      <c r="BP459" s="267">
        <v>3</v>
      </c>
      <c r="BR459" s="267">
        <v>2</v>
      </c>
      <c r="BS459" s="267">
        <v>2</v>
      </c>
      <c r="BU459" s="267">
        <v>2</v>
      </c>
      <c r="BV459" s="267">
        <v>3</v>
      </c>
      <c r="BX459" s="267">
        <v>1</v>
      </c>
      <c r="BY459" s="267">
        <v>1</v>
      </c>
      <c r="CA459" s="267">
        <v>3</v>
      </c>
      <c r="CB459" s="267">
        <v>4</v>
      </c>
      <c r="CD459" s="267">
        <v>0</v>
      </c>
      <c r="CE459" s="267">
        <v>0</v>
      </c>
      <c r="CG459" s="267">
        <v>17</v>
      </c>
      <c r="CH459" s="267">
        <v>17</v>
      </c>
      <c r="CJ459" s="267">
        <v>0</v>
      </c>
      <c r="CK459" s="267">
        <v>0</v>
      </c>
    </row>
    <row r="460" spans="1:89" ht="30" x14ac:dyDescent="0.25">
      <c r="A460" s="328"/>
      <c r="B460" s="96" t="s">
        <v>1846</v>
      </c>
      <c r="C460" s="312" t="s">
        <v>1847</v>
      </c>
      <c r="D460" s="329"/>
      <c r="E460" s="291"/>
      <c r="F460" s="291"/>
      <c r="G460" s="291"/>
      <c r="H460" s="291"/>
      <c r="I460" s="282">
        <v>329</v>
      </c>
      <c r="J460" s="282">
        <v>325</v>
      </c>
      <c r="K460" s="282">
        <v>320</v>
      </c>
      <c r="L460" s="282">
        <v>18</v>
      </c>
      <c r="M460" s="282">
        <v>18</v>
      </c>
      <c r="N460" s="282">
        <v>18</v>
      </c>
      <c r="P460" s="283"/>
      <c r="Q460" s="283">
        <f t="shared" si="846"/>
        <v>320</v>
      </c>
      <c r="R460" s="283">
        <f t="shared" si="846"/>
        <v>321</v>
      </c>
      <c r="S460" s="267">
        <v>10</v>
      </c>
      <c r="T460" s="267">
        <v>11</v>
      </c>
      <c r="V460" s="267">
        <v>16</v>
      </c>
      <c r="W460" s="267">
        <v>16</v>
      </c>
      <c r="Y460" s="267">
        <v>15</v>
      </c>
      <c r="Z460" s="267">
        <v>15</v>
      </c>
      <c r="AB460" s="267">
        <v>13</v>
      </c>
      <c r="AC460" s="267">
        <v>13</v>
      </c>
      <c r="AE460" s="267">
        <v>17</v>
      </c>
      <c r="AF460" s="267">
        <v>16</v>
      </c>
      <c r="AH460" s="267">
        <v>18</v>
      </c>
      <c r="AI460" s="267">
        <v>18</v>
      </c>
      <c r="AK460" s="267">
        <v>11</v>
      </c>
      <c r="AL460" s="267">
        <v>11</v>
      </c>
      <c r="AN460" s="267">
        <v>23</v>
      </c>
      <c r="AO460" s="267">
        <v>23</v>
      </c>
      <c r="AQ460" s="267">
        <v>23</v>
      </c>
      <c r="AR460" s="267">
        <v>24</v>
      </c>
      <c r="AT460" s="267">
        <v>9</v>
      </c>
      <c r="AU460" s="267">
        <v>9</v>
      </c>
      <c r="AW460" s="267">
        <v>6</v>
      </c>
      <c r="AX460" s="267">
        <v>6</v>
      </c>
      <c r="AZ460" s="267">
        <v>7</v>
      </c>
      <c r="BA460" s="267">
        <v>7</v>
      </c>
      <c r="BC460" s="267">
        <v>15</v>
      </c>
      <c r="BD460" s="267">
        <v>15</v>
      </c>
      <c r="BF460" s="267">
        <v>33</v>
      </c>
      <c r="BG460" s="267">
        <v>33</v>
      </c>
      <c r="BI460" s="267">
        <v>37</v>
      </c>
      <c r="BJ460" s="267">
        <v>37</v>
      </c>
      <c r="BL460" s="267">
        <v>6</v>
      </c>
      <c r="BM460" s="267">
        <v>6</v>
      </c>
      <c r="BO460" s="267">
        <v>6</v>
      </c>
      <c r="BP460" s="267">
        <v>6</v>
      </c>
      <c r="BR460" s="267">
        <v>8</v>
      </c>
      <c r="BS460" s="267">
        <v>7</v>
      </c>
      <c r="BU460" s="267">
        <v>7</v>
      </c>
      <c r="BV460" s="267">
        <v>7</v>
      </c>
      <c r="BX460" s="267">
        <v>3</v>
      </c>
      <c r="BY460" s="267">
        <v>3</v>
      </c>
      <c r="CA460" s="267">
        <v>6</v>
      </c>
      <c r="CB460" s="267">
        <v>7</v>
      </c>
      <c r="CD460" s="267">
        <v>5</v>
      </c>
      <c r="CE460" s="267">
        <v>5</v>
      </c>
      <c r="CG460" s="267">
        <v>23</v>
      </c>
      <c r="CH460" s="267">
        <v>23</v>
      </c>
      <c r="CJ460" s="267">
        <v>3</v>
      </c>
      <c r="CK460" s="267">
        <v>3</v>
      </c>
    </row>
    <row r="461" spans="1:89" x14ac:dyDescent="0.25">
      <c r="A461" s="328"/>
      <c r="B461" s="96" t="s">
        <v>1184</v>
      </c>
      <c r="C461" s="312"/>
      <c r="D461" s="329"/>
      <c r="E461" s="291"/>
      <c r="F461" s="291"/>
      <c r="G461" s="291"/>
      <c r="H461" s="291"/>
      <c r="I461" s="282"/>
      <c r="J461" s="282"/>
      <c r="K461" s="282"/>
      <c r="L461" s="282"/>
      <c r="M461" s="282"/>
      <c r="N461" s="282"/>
    </row>
    <row r="462" spans="1:89" x14ac:dyDescent="0.25">
      <c r="A462" s="328"/>
      <c r="B462" s="96" t="s">
        <v>1845</v>
      </c>
      <c r="C462" s="312"/>
      <c r="D462" s="329"/>
      <c r="E462" s="291"/>
      <c r="F462" s="291"/>
      <c r="G462" s="291"/>
      <c r="H462" s="291"/>
      <c r="I462" s="282"/>
      <c r="J462" s="282"/>
      <c r="K462" s="282"/>
      <c r="L462" s="282"/>
      <c r="M462" s="282"/>
      <c r="N462" s="282"/>
    </row>
    <row r="463" spans="1:89" x14ac:dyDescent="0.25">
      <c r="A463" s="328"/>
      <c r="B463" s="96" t="s">
        <v>1674</v>
      </c>
      <c r="C463" s="312"/>
      <c r="D463" s="329"/>
      <c r="E463" s="291"/>
      <c r="F463" s="291"/>
      <c r="G463" s="291"/>
      <c r="H463" s="291"/>
      <c r="I463" s="282"/>
      <c r="J463" s="282"/>
      <c r="K463" s="282"/>
      <c r="L463" s="282"/>
      <c r="M463" s="282"/>
      <c r="N463" s="282"/>
    </row>
    <row r="464" spans="1:89" ht="45" x14ac:dyDescent="0.25">
      <c r="A464" s="328"/>
      <c r="B464" s="96" t="s">
        <v>1675</v>
      </c>
      <c r="C464" s="312" t="s">
        <v>2784</v>
      </c>
      <c r="D464" s="329"/>
      <c r="E464" s="291"/>
      <c r="F464" s="291"/>
      <c r="G464" s="291"/>
      <c r="H464" s="291"/>
      <c r="I464" s="282">
        <v>1</v>
      </c>
      <c r="J464" s="282">
        <v>0</v>
      </c>
      <c r="K464" s="282">
        <v>1</v>
      </c>
      <c r="L464" s="282">
        <v>0</v>
      </c>
      <c r="M464" s="282">
        <v>0</v>
      </c>
      <c r="N464" s="282">
        <v>0</v>
      </c>
      <c r="Q464" s="283">
        <f>S464+V464+Y464+AB464+AE464+AH464+AK464+AN464+AQ464+AT464+AW464+AZ464+BC464+BF464+BI464+BL464+BO464+BR464+BU464+BX464+CA464+CD464+CG464+CJ464</f>
        <v>1</v>
      </c>
      <c r="R464" s="283">
        <f>T464+W464+Z464+AC464+AF464+AI464+AL464+AO464+AR464+AU464+AX464+BA464+BD464+BG464+BJ464+BM464+BP464+BS464+BV464+BY464+CB464+CE464+CH464+CK464</f>
        <v>0</v>
      </c>
      <c r="S464" s="304">
        <v>0</v>
      </c>
      <c r="T464" s="304">
        <v>0</v>
      </c>
      <c r="U464" s="304"/>
      <c r="V464" s="304">
        <v>0</v>
      </c>
      <c r="W464" s="304">
        <v>0</v>
      </c>
      <c r="X464" s="304"/>
      <c r="Y464" s="304">
        <v>0</v>
      </c>
      <c r="Z464" s="304">
        <v>0</v>
      </c>
      <c r="AA464" s="304"/>
      <c r="AB464" s="304">
        <v>0</v>
      </c>
      <c r="AC464" s="304">
        <v>0</v>
      </c>
      <c r="AD464" s="304"/>
      <c r="AE464" s="304">
        <v>0</v>
      </c>
      <c r="AF464" s="304">
        <v>0</v>
      </c>
      <c r="AG464" s="304"/>
      <c r="AH464" s="304">
        <v>0</v>
      </c>
      <c r="AI464" s="304">
        <v>0</v>
      </c>
      <c r="AJ464" s="304"/>
      <c r="AK464" s="304">
        <v>0</v>
      </c>
      <c r="AL464" s="304">
        <v>0</v>
      </c>
      <c r="AM464" s="304"/>
      <c r="AN464" s="304">
        <v>0</v>
      </c>
      <c r="AO464" s="304">
        <v>0</v>
      </c>
      <c r="AP464" s="304"/>
      <c r="AQ464" s="304">
        <v>0</v>
      </c>
      <c r="AR464" s="304">
        <v>0</v>
      </c>
      <c r="AS464" s="304"/>
      <c r="AT464" s="304">
        <v>0</v>
      </c>
      <c r="AU464" s="304">
        <v>0</v>
      </c>
      <c r="AV464" s="304"/>
      <c r="AW464" s="304">
        <v>0</v>
      </c>
      <c r="AX464" s="304">
        <v>0</v>
      </c>
      <c r="AY464" s="304"/>
      <c r="AZ464" s="304">
        <v>0</v>
      </c>
      <c r="BA464" s="304">
        <v>0</v>
      </c>
      <c r="BB464" s="304"/>
      <c r="BC464" s="304">
        <v>0</v>
      </c>
      <c r="BD464" s="304">
        <v>0</v>
      </c>
      <c r="BE464" s="304"/>
      <c r="BF464" s="304">
        <v>1</v>
      </c>
      <c r="BG464" s="304">
        <v>0</v>
      </c>
      <c r="BH464" s="304"/>
      <c r="BI464" s="304">
        <v>0</v>
      </c>
      <c r="BJ464" s="304">
        <v>0</v>
      </c>
      <c r="BK464" s="304"/>
      <c r="BL464" s="304">
        <v>0</v>
      </c>
      <c r="BM464" s="304">
        <v>0</v>
      </c>
      <c r="BN464" s="304"/>
      <c r="BO464" s="304">
        <v>0</v>
      </c>
      <c r="BP464" s="304">
        <v>0</v>
      </c>
      <c r="BQ464" s="304"/>
      <c r="BR464" s="304">
        <v>0</v>
      </c>
      <c r="BS464" s="304">
        <v>0</v>
      </c>
      <c r="BT464" s="304"/>
      <c r="BU464" s="304">
        <v>0</v>
      </c>
      <c r="BV464" s="304">
        <v>0</v>
      </c>
      <c r="BW464" s="304"/>
      <c r="BX464" s="304">
        <v>0</v>
      </c>
      <c r="BY464" s="304">
        <v>0</v>
      </c>
      <c r="BZ464" s="304"/>
      <c r="CA464" s="304">
        <v>0</v>
      </c>
      <c r="CB464" s="304">
        <v>0</v>
      </c>
      <c r="CC464" s="304"/>
      <c r="CD464" s="304">
        <v>0</v>
      </c>
      <c r="CE464" s="304">
        <v>0</v>
      </c>
      <c r="CF464" s="304"/>
      <c r="CG464" s="304">
        <v>0</v>
      </c>
      <c r="CH464" s="304">
        <v>0</v>
      </c>
      <c r="CI464" s="304"/>
      <c r="CJ464" s="304">
        <v>0</v>
      </c>
      <c r="CK464" s="304">
        <v>0</v>
      </c>
    </row>
    <row r="465" spans="1:89" ht="30" x14ac:dyDescent="0.25">
      <c r="A465" s="328"/>
      <c r="B465" s="96" t="s">
        <v>1676</v>
      </c>
      <c r="C465" s="312" t="s">
        <v>2777</v>
      </c>
      <c r="D465" s="329"/>
      <c r="E465" s="291"/>
      <c r="F465" s="291"/>
      <c r="G465" s="291"/>
      <c r="H465" s="291"/>
      <c r="I465" s="282">
        <v>1</v>
      </c>
      <c r="J465" s="282">
        <v>0</v>
      </c>
      <c r="K465" s="282">
        <v>1</v>
      </c>
      <c r="L465" s="282">
        <v>0</v>
      </c>
      <c r="M465" s="282">
        <v>0</v>
      </c>
      <c r="N465" s="282">
        <v>0</v>
      </c>
      <c r="Q465" s="283">
        <f>S465+V465+Y465+AB465+AE465+AH465+AK465+AN465+AQ465+AT465+AW465+AZ465+BC465+BF465+BI465+BL465+BO465+BR465+BU465+BX465+CA465+CD465+CG465+CJ465</f>
        <v>1</v>
      </c>
      <c r="R465" s="283">
        <f>T465+W465+Z465+AC465+AF465+AI465+AL465+AO465+AR465+AU465+AX465+BA465+BD465+BG465+BJ465+BM465+BP465+BS465+BV465+BY465+CB465+CE465+CH465+CK465</f>
        <v>0</v>
      </c>
      <c r="S465" s="304">
        <v>0</v>
      </c>
      <c r="T465" s="304">
        <v>0</v>
      </c>
      <c r="U465" s="304"/>
      <c r="V465" s="304">
        <v>0</v>
      </c>
      <c r="W465" s="304">
        <v>0</v>
      </c>
      <c r="X465" s="304"/>
      <c r="Y465" s="304">
        <v>0</v>
      </c>
      <c r="Z465" s="304">
        <v>0</v>
      </c>
      <c r="AA465" s="304"/>
      <c r="AB465" s="304">
        <v>0</v>
      </c>
      <c r="AC465" s="304">
        <v>0</v>
      </c>
      <c r="AD465" s="304"/>
      <c r="AE465" s="304">
        <v>0</v>
      </c>
      <c r="AF465" s="304">
        <v>0</v>
      </c>
      <c r="AG465" s="304"/>
      <c r="AH465" s="304">
        <v>0</v>
      </c>
      <c r="AI465" s="304">
        <v>0</v>
      </c>
      <c r="AJ465" s="304"/>
      <c r="AK465" s="304">
        <v>0</v>
      </c>
      <c r="AL465" s="304">
        <v>0</v>
      </c>
      <c r="AM465" s="304"/>
      <c r="AN465" s="304">
        <v>0</v>
      </c>
      <c r="AO465" s="304">
        <v>0</v>
      </c>
      <c r="AP465" s="304"/>
      <c r="AQ465" s="304">
        <v>0</v>
      </c>
      <c r="AR465" s="304">
        <v>0</v>
      </c>
      <c r="AS465" s="304"/>
      <c r="AT465" s="304">
        <v>0</v>
      </c>
      <c r="AU465" s="304">
        <v>0</v>
      </c>
      <c r="AV465" s="304"/>
      <c r="AW465" s="304">
        <v>0</v>
      </c>
      <c r="AX465" s="304">
        <v>0</v>
      </c>
      <c r="AY465" s="304"/>
      <c r="AZ465" s="304">
        <v>0</v>
      </c>
      <c r="BA465" s="304">
        <v>0</v>
      </c>
      <c r="BB465" s="304"/>
      <c r="BC465" s="304">
        <v>0</v>
      </c>
      <c r="BD465" s="304">
        <v>0</v>
      </c>
      <c r="BE465" s="304"/>
      <c r="BF465" s="304">
        <v>1</v>
      </c>
      <c r="BG465" s="304">
        <v>0</v>
      </c>
      <c r="BH465" s="304"/>
      <c r="BI465" s="304">
        <v>0</v>
      </c>
      <c r="BJ465" s="304">
        <v>0</v>
      </c>
      <c r="BK465" s="304"/>
      <c r="BL465" s="304">
        <v>0</v>
      </c>
      <c r="BM465" s="304">
        <v>0</v>
      </c>
      <c r="BN465" s="304"/>
      <c r="BO465" s="304">
        <v>0</v>
      </c>
      <c r="BP465" s="304">
        <v>0</v>
      </c>
      <c r="BQ465" s="304"/>
      <c r="BR465" s="304">
        <v>0</v>
      </c>
      <c r="BS465" s="304">
        <v>0</v>
      </c>
      <c r="BT465" s="304"/>
      <c r="BU465" s="304">
        <v>0</v>
      </c>
      <c r="BV465" s="304">
        <v>0</v>
      </c>
      <c r="BW465" s="304"/>
      <c r="BX465" s="304">
        <v>0</v>
      </c>
      <c r="BY465" s="304">
        <v>0</v>
      </c>
      <c r="BZ465" s="304"/>
      <c r="CA465" s="304">
        <v>0</v>
      </c>
      <c r="CB465" s="304">
        <v>0</v>
      </c>
      <c r="CC465" s="304"/>
      <c r="CD465" s="304">
        <v>0</v>
      </c>
      <c r="CE465" s="304">
        <v>0</v>
      </c>
      <c r="CF465" s="304"/>
      <c r="CG465" s="304">
        <v>0</v>
      </c>
      <c r="CH465" s="304">
        <v>0</v>
      </c>
      <c r="CI465" s="304"/>
      <c r="CJ465" s="304">
        <v>0</v>
      </c>
      <c r="CK465" s="304">
        <v>0</v>
      </c>
    </row>
    <row r="466" spans="1:89" x14ac:dyDescent="0.25">
      <c r="A466" s="328"/>
      <c r="B466" s="96" t="s">
        <v>1677</v>
      </c>
      <c r="C466" s="312"/>
      <c r="D466" s="329"/>
      <c r="E466" s="291"/>
      <c r="F466" s="291"/>
      <c r="G466" s="291"/>
      <c r="H466" s="291"/>
      <c r="I466" s="282"/>
      <c r="J466" s="282"/>
      <c r="K466" s="282"/>
      <c r="L466" s="282"/>
      <c r="M466" s="282"/>
      <c r="N466" s="282"/>
      <c r="Q466" s="283"/>
      <c r="R466" s="283"/>
    </row>
    <row r="467" spans="1:89" ht="45" x14ac:dyDescent="0.25">
      <c r="A467" s="328"/>
      <c r="B467" s="96" t="s">
        <v>1675</v>
      </c>
      <c r="C467" s="312" t="s">
        <v>2783</v>
      </c>
      <c r="D467" s="329"/>
      <c r="E467" s="291"/>
      <c r="F467" s="291"/>
      <c r="G467" s="291"/>
      <c r="H467" s="291"/>
      <c r="I467" s="282">
        <v>1</v>
      </c>
      <c r="J467" s="282">
        <v>1</v>
      </c>
      <c r="K467" s="282">
        <v>1</v>
      </c>
      <c r="L467" s="282">
        <v>0</v>
      </c>
      <c r="M467" s="282">
        <v>0</v>
      </c>
      <c r="N467" s="282">
        <v>0</v>
      </c>
      <c r="Q467" s="283">
        <f>S467+V467+Y467+AB467+AE467+AH467+AK467+AN467+AQ467+AT467+AW467+AZ467+BC467+BF467+BI467+BL467+BO467+BR467+BU467+BX467+CA467+CD467+CG467+CJ467</f>
        <v>1</v>
      </c>
      <c r="R467" s="283">
        <f>T467+W467+Z467+AC467+AF467+AI467+AL467+AO467+AR467+AU467+AX467+BA467+BD467+BG467+BJ467+BM467+BP467+BS467+BV467+BY467+CB467+CE467+CH467+CK467</f>
        <v>2</v>
      </c>
      <c r="S467" s="304">
        <v>0</v>
      </c>
      <c r="T467" s="304">
        <v>0</v>
      </c>
      <c r="U467" s="304"/>
      <c r="V467" s="304">
        <v>0</v>
      </c>
      <c r="W467" s="304">
        <v>0</v>
      </c>
      <c r="X467" s="304"/>
      <c r="Y467" s="304">
        <v>0</v>
      </c>
      <c r="Z467" s="304">
        <v>0</v>
      </c>
      <c r="AA467" s="304"/>
      <c r="AB467" s="304">
        <v>0</v>
      </c>
      <c r="AC467" s="304">
        <v>0</v>
      </c>
      <c r="AD467" s="304"/>
      <c r="AE467" s="304">
        <v>0</v>
      </c>
      <c r="AF467" s="304">
        <v>0</v>
      </c>
      <c r="AG467" s="304"/>
      <c r="AH467" s="304">
        <v>0</v>
      </c>
      <c r="AI467" s="304">
        <v>0</v>
      </c>
      <c r="AJ467" s="304"/>
      <c r="AK467" s="304">
        <v>0</v>
      </c>
      <c r="AL467" s="304">
        <v>0</v>
      </c>
      <c r="AM467" s="304"/>
      <c r="AN467" s="304">
        <v>0</v>
      </c>
      <c r="AO467" s="304">
        <v>0</v>
      </c>
      <c r="AP467" s="304"/>
      <c r="AQ467" s="304">
        <v>0</v>
      </c>
      <c r="AR467" s="304">
        <v>0</v>
      </c>
      <c r="AS467" s="304"/>
      <c r="AT467" s="304">
        <v>0</v>
      </c>
      <c r="AU467" s="304">
        <v>0</v>
      </c>
      <c r="AV467" s="304"/>
      <c r="AW467" s="304">
        <v>0</v>
      </c>
      <c r="AX467" s="304">
        <v>0</v>
      </c>
      <c r="AY467" s="304"/>
      <c r="AZ467" s="304">
        <v>0</v>
      </c>
      <c r="BA467" s="304">
        <v>0</v>
      </c>
      <c r="BB467" s="304"/>
      <c r="BC467" s="304">
        <v>0</v>
      </c>
      <c r="BD467" s="304">
        <v>0</v>
      </c>
      <c r="BE467" s="304"/>
      <c r="BF467" s="304">
        <v>1</v>
      </c>
      <c r="BG467" s="304">
        <v>1</v>
      </c>
      <c r="BH467" s="304"/>
      <c r="BI467" s="304">
        <v>0</v>
      </c>
      <c r="BJ467" s="304">
        <v>0</v>
      </c>
      <c r="BK467" s="304"/>
      <c r="BL467" s="304">
        <v>0</v>
      </c>
      <c r="BM467" s="304">
        <v>0</v>
      </c>
      <c r="BN467" s="304"/>
      <c r="BO467" s="304">
        <v>0</v>
      </c>
      <c r="BP467" s="304">
        <v>0</v>
      </c>
      <c r="BQ467" s="304"/>
      <c r="BR467" s="304">
        <v>0</v>
      </c>
      <c r="BS467" s="304">
        <v>0</v>
      </c>
      <c r="BT467" s="304"/>
      <c r="BU467" s="304">
        <v>0</v>
      </c>
      <c r="BV467" s="304">
        <v>0</v>
      </c>
      <c r="BW467" s="304"/>
      <c r="BX467" s="304">
        <v>0</v>
      </c>
      <c r="BY467" s="304">
        <v>0</v>
      </c>
      <c r="BZ467" s="304"/>
      <c r="CA467" s="304">
        <v>0</v>
      </c>
      <c r="CB467" s="304">
        <v>0</v>
      </c>
      <c r="CC467" s="304"/>
      <c r="CD467" s="304">
        <v>0</v>
      </c>
      <c r="CE467" s="304">
        <v>1</v>
      </c>
      <c r="CF467" s="304"/>
      <c r="CG467" s="304">
        <v>0</v>
      </c>
      <c r="CH467" s="304">
        <v>0</v>
      </c>
      <c r="CI467" s="304"/>
      <c r="CJ467" s="304">
        <v>0</v>
      </c>
      <c r="CK467" s="304">
        <v>0</v>
      </c>
    </row>
    <row r="468" spans="1:89" ht="30" x14ac:dyDescent="0.25">
      <c r="A468" s="328"/>
      <c r="B468" s="96" t="s">
        <v>1676</v>
      </c>
      <c r="C468" s="312" t="s">
        <v>2778</v>
      </c>
      <c r="D468" s="329"/>
      <c r="E468" s="291"/>
      <c r="F468" s="291"/>
      <c r="G468" s="291"/>
      <c r="H468" s="291"/>
      <c r="I468" s="282">
        <v>0</v>
      </c>
      <c r="J468" s="282">
        <v>0</v>
      </c>
      <c r="K468" s="282">
        <v>0</v>
      </c>
      <c r="L468" s="282">
        <v>0</v>
      </c>
      <c r="M468" s="282">
        <v>0</v>
      </c>
      <c r="N468" s="282">
        <v>0</v>
      </c>
      <c r="Q468" s="283">
        <f>S468+V468+Y468+AB468+AE468+AH468+AK468+AN468+AQ468+AT468+AW468+AZ468+BC468+BF468+BI468+BL468+BO468+BR468+BU468+BX468+CA468+CD468+CG468+CJ468</f>
        <v>0</v>
      </c>
      <c r="R468" s="283">
        <f>T468+W468+Z468+AC468+AF468+AI468+AL468+AO468+AR468+AU468+AX468+BA468+BD468+BG468+BJ468+BM468+BP468+BS468+BV468+BY468+CB468+CE468+CH468+CK468</f>
        <v>1</v>
      </c>
      <c r="S468" s="304">
        <v>0</v>
      </c>
      <c r="T468" s="304">
        <v>0</v>
      </c>
      <c r="U468" s="304"/>
      <c r="V468" s="304">
        <v>0</v>
      </c>
      <c r="W468" s="304">
        <v>0</v>
      </c>
      <c r="X468" s="304"/>
      <c r="Y468" s="304">
        <v>0</v>
      </c>
      <c r="Z468" s="304">
        <v>0</v>
      </c>
      <c r="AA468" s="304"/>
      <c r="AB468" s="304">
        <v>0</v>
      </c>
      <c r="AC468" s="304">
        <v>0</v>
      </c>
      <c r="AD468" s="304"/>
      <c r="AE468" s="304">
        <v>0</v>
      </c>
      <c r="AF468" s="304">
        <v>0</v>
      </c>
      <c r="AG468" s="304"/>
      <c r="AH468" s="304">
        <v>0</v>
      </c>
      <c r="AI468" s="304">
        <v>0</v>
      </c>
      <c r="AJ468" s="304"/>
      <c r="AK468" s="304">
        <v>0</v>
      </c>
      <c r="AL468" s="304">
        <v>0</v>
      </c>
      <c r="AM468" s="304"/>
      <c r="AN468" s="304">
        <v>0</v>
      </c>
      <c r="AO468" s="304">
        <v>0</v>
      </c>
      <c r="AP468" s="304"/>
      <c r="AQ468" s="304">
        <v>0</v>
      </c>
      <c r="AR468" s="304">
        <v>0</v>
      </c>
      <c r="AS468" s="304"/>
      <c r="AT468" s="304">
        <v>0</v>
      </c>
      <c r="AU468" s="304">
        <v>0</v>
      </c>
      <c r="AV468" s="304"/>
      <c r="AW468" s="304">
        <v>0</v>
      </c>
      <c r="AX468" s="304">
        <v>0</v>
      </c>
      <c r="AY468" s="304"/>
      <c r="AZ468" s="304">
        <v>0</v>
      </c>
      <c r="BA468" s="304">
        <v>0</v>
      </c>
      <c r="BB468" s="304"/>
      <c r="BC468" s="304">
        <v>0</v>
      </c>
      <c r="BD468" s="304">
        <v>0</v>
      </c>
      <c r="BE468" s="304"/>
      <c r="BF468" s="304">
        <v>0</v>
      </c>
      <c r="BG468" s="304">
        <v>0</v>
      </c>
      <c r="BH468" s="304"/>
      <c r="BI468" s="304">
        <v>0</v>
      </c>
      <c r="BJ468" s="304">
        <v>0</v>
      </c>
      <c r="BK468" s="304"/>
      <c r="BL468" s="304">
        <v>0</v>
      </c>
      <c r="BM468" s="304">
        <v>0</v>
      </c>
      <c r="BN468" s="304"/>
      <c r="BO468" s="304">
        <v>0</v>
      </c>
      <c r="BP468" s="304">
        <v>0</v>
      </c>
      <c r="BQ468" s="304"/>
      <c r="BR468" s="304">
        <v>0</v>
      </c>
      <c r="BS468" s="304">
        <v>0</v>
      </c>
      <c r="BT468" s="304"/>
      <c r="BU468" s="304">
        <v>0</v>
      </c>
      <c r="BV468" s="304">
        <v>0</v>
      </c>
      <c r="BW468" s="304"/>
      <c r="BX468" s="304">
        <v>0</v>
      </c>
      <c r="BY468" s="304">
        <v>0</v>
      </c>
      <c r="BZ468" s="304"/>
      <c r="CA468" s="304">
        <v>0</v>
      </c>
      <c r="CB468" s="304">
        <v>0</v>
      </c>
      <c r="CC468" s="304"/>
      <c r="CD468" s="304">
        <v>0</v>
      </c>
      <c r="CE468" s="304">
        <v>1</v>
      </c>
      <c r="CF468" s="304"/>
      <c r="CG468" s="304">
        <v>0</v>
      </c>
      <c r="CH468" s="304">
        <v>0</v>
      </c>
      <c r="CI468" s="304"/>
      <c r="CJ468" s="304">
        <v>0</v>
      </c>
      <c r="CK468" s="304">
        <v>0</v>
      </c>
    </row>
    <row r="469" spans="1:89" x14ac:dyDescent="0.25">
      <c r="A469" s="328"/>
      <c r="B469" s="96" t="s">
        <v>1678</v>
      </c>
      <c r="C469" s="312"/>
      <c r="D469" s="329"/>
      <c r="E469" s="291"/>
      <c r="F469" s="291"/>
      <c r="G469" s="291"/>
      <c r="H469" s="291"/>
      <c r="I469" s="282"/>
      <c r="J469" s="282"/>
      <c r="K469" s="282"/>
      <c r="L469" s="282">
        <v>0</v>
      </c>
      <c r="M469" s="282"/>
      <c r="N469" s="282"/>
      <c r="Q469" s="283"/>
      <c r="R469" s="283"/>
    </row>
    <row r="470" spans="1:89" ht="45" x14ac:dyDescent="0.25">
      <c r="A470" s="328"/>
      <c r="B470" s="96" t="s">
        <v>1675</v>
      </c>
      <c r="C470" s="312" t="s">
        <v>2782</v>
      </c>
      <c r="D470" s="329"/>
      <c r="E470" s="291"/>
      <c r="F470" s="291"/>
      <c r="G470" s="291"/>
      <c r="H470" s="291"/>
      <c r="I470" s="282">
        <v>0</v>
      </c>
      <c r="J470" s="282">
        <v>0</v>
      </c>
      <c r="K470" s="282">
        <v>0</v>
      </c>
      <c r="L470" s="282">
        <v>0</v>
      </c>
      <c r="M470" s="282">
        <v>0</v>
      </c>
      <c r="N470" s="282">
        <v>0</v>
      </c>
      <c r="Q470" s="283">
        <f>S470+V470+Y470+AB470+AE470+AH470+AK470+AN470+AQ470+AT470+AW470+AZ470+BC470+BF470+BI470+BL470+BO470+BR470+BU470+BX470+CA470+CD470+CG470+CJ470</f>
        <v>0</v>
      </c>
      <c r="R470" s="283">
        <f>T470+W470+Z470+AC470+AF470+AI470+AL470+AO470+AR470+AU470+AX470+BA470+BD470+BG470+BJ470+BM470+BP470+BS470+BV470+BY470+CB470+CE470+CH470+CK470</f>
        <v>0</v>
      </c>
      <c r="S470" s="304">
        <v>0</v>
      </c>
      <c r="T470" s="304">
        <v>0</v>
      </c>
      <c r="U470" s="304"/>
      <c r="V470" s="304">
        <v>0</v>
      </c>
      <c r="W470" s="304">
        <v>0</v>
      </c>
      <c r="X470" s="304"/>
      <c r="Y470" s="304">
        <v>0</v>
      </c>
      <c r="Z470" s="304">
        <v>0</v>
      </c>
      <c r="AA470" s="304"/>
      <c r="AB470" s="304">
        <v>0</v>
      </c>
      <c r="AC470" s="304">
        <v>0</v>
      </c>
      <c r="AD470" s="304"/>
      <c r="AE470" s="304">
        <v>0</v>
      </c>
      <c r="AF470" s="304">
        <v>0</v>
      </c>
      <c r="AG470" s="304"/>
      <c r="AH470" s="304">
        <v>0</v>
      </c>
      <c r="AI470" s="304">
        <v>0</v>
      </c>
      <c r="AJ470" s="304"/>
      <c r="AK470" s="304">
        <v>0</v>
      </c>
      <c r="AL470" s="304">
        <v>0</v>
      </c>
      <c r="AM470" s="304"/>
      <c r="AN470" s="304">
        <v>0</v>
      </c>
      <c r="AO470" s="304">
        <v>0</v>
      </c>
      <c r="AP470" s="304"/>
      <c r="AQ470" s="304">
        <v>0</v>
      </c>
      <c r="AR470" s="304">
        <v>0</v>
      </c>
      <c r="AS470" s="304"/>
      <c r="AT470" s="304">
        <v>0</v>
      </c>
      <c r="AU470" s="304">
        <v>0</v>
      </c>
      <c r="AV470" s="304"/>
      <c r="AW470" s="304">
        <v>0</v>
      </c>
      <c r="AX470" s="304">
        <v>0</v>
      </c>
      <c r="AY470" s="304"/>
      <c r="AZ470" s="304">
        <v>0</v>
      </c>
      <c r="BA470" s="304">
        <v>0</v>
      </c>
      <c r="BB470" s="304"/>
      <c r="BC470" s="304">
        <v>0</v>
      </c>
      <c r="BD470" s="304">
        <v>0</v>
      </c>
      <c r="BE470" s="304"/>
      <c r="BF470" s="304">
        <v>0</v>
      </c>
      <c r="BG470" s="304">
        <v>0</v>
      </c>
      <c r="BH470" s="304"/>
      <c r="BI470" s="304">
        <v>0</v>
      </c>
      <c r="BJ470" s="304">
        <v>0</v>
      </c>
      <c r="BK470" s="304"/>
      <c r="BL470" s="304">
        <v>0</v>
      </c>
      <c r="BM470" s="304">
        <v>0</v>
      </c>
      <c r="BN470" s="304"/>
      <c r="BO470" s="304">
        <v>0</v>
      </c>
      <c r="BP470" s="304">
        <v>0</v>
      </c>
      <c r="BQ470" s="304"/>
      <c r="BR470" s="304">
        <v>0</v>
      </c>
      <c r="BS470" s="304">
        <v>0</v>
      </c>
      <c r="BT470" s="304"/>
      <c r="BU470" s="304">
        <v>0</v>
      </c>
      <c r="BV470" s="304">
        <v>0</v>
      </c>
      <c r="BW470" s="304"/>
      <c r="BX470" s="304">
        <v>0</v>
      </c>
      <c r="BY470" s="304">
        <v>0</v>
      </c>
      <c r="BZ470" s="304"/>
      <c r="CA470" s="304">
        <v>0</v>
      </c>
      <c r="CB470" s="304">
        <v>0</v>
      </c>
      <c r="CC470" s="304"/>
      <c r="CD470" s="304">
        <v>0</v>
      </c>
      <c r="CE470" s="304">
        <v>0</v>
      </c>
      <c r="CF470" s="304"/>
      <c r="CG470" s="304">
        <v>0</v>
      </c>
      <c r="CH470" s="304">
        <v>0</v>
      </c>
      <c r="CI470" s="304"/>
      <c r="CJ470" s="304">
        <v>0</v>
      </c>
      <c r="CK470" s="304">
        <v>0</v>
      </c>
    </row>
    <row r="471" spans="1:89" ht="30" x14ac:dyDescent="0.25">
      <c r="A471" s="328"/>
      <c r="B471" s="96" t="s">
        <v>1679</v>
      </c>
      <c r="C471" s="312" t="s">
        <v>2779</v>
      </c>
      <c r="D471" s="329"/>
      <c r="E471" s="291"/>
      <c r="F471" s="291"/>
      <c r="G471" s="291"/>
      <c r="H471" s="291"/>
      <c r="I471" s="282">
        <v>0</v>
      </c>
      <c r="J471" s="282">
        <v>0</v>
      </c>
      <c r="K471" s="282">
        <v>0</v>
      </c>
      <c r="L471" s="282">
        <v>0</v>
      </c>
      <c r="M471" s="282">
        <v>0</v>
      </c>
      <c r="N471" s="282">
        <v>0</v>
      </c>
      <c r="Q471" s="283">
        <f>S471+V471+Y471+AB471+AE471+AH471+AK471+AN471+AQ471+AT471+AW471+AZ471+BC471+BF471+BI471+BL471+BO471+BR471+BU471+BX471+CA471+CD471+CG471+CJ471</f>
        <v>0</v>
      </c>
      <c r="R471" s="283">
        <f>T471+W471+Z471+AC471+AF471+AI471+AL471+AO471+AR471+AU471+AX471+BA471+BD471+BG471+BJ471+BM471+BP471+BS471+BV471+BY471+CB471+CE471+CH471+CK471</f>
        <v>0</v>
      </c>
      <c r="S471" s="304">
        <v>0</v>
      </c>
      <c r="T471" s="304">
        <v>0</v>
      </c>
      <c r="U471" s="304"/>
      <c r="V471" s="304">
        <v>0</v>
      </c>
      <c r="W471" s="304">
        <v>0</v>
      </c>
      <c r="X471" s="304"/>
      <c r="Y471" s="304">
        <v>0</v>
      </c>
      <c r="Z471" s="304">
        <v>0</v>
      </c>
      <c r="AA471" s="304"/>
      <c r="AB471" s="304">
        <v>0</v>
      </c>
      <c r="AC471" s="304">
        <v>0</v>
      </c>
      <c r="AD471" s="304"/>
      <c r="AE471" s="304">
        <v>0</v>
      </c>
      <c r="AF471" s="304">
        <v>0</v>
      </c>
      <c r="AG471" s="304"/>
      <c r="AH471" s="304">
        <v>0</v>
      </c>
      <c r="AI471" s="304">
        <v>0</v>
      </c>
      <c r="AJ471" s="304"/>
      <c r="AK471" s="304">
        <v>0</v>
      </c>
      <c r="AL471" s="304">
        <v>0</v>
      </c>
      <c r="AM471" s="304"/>
      <c r="AN471" s="304">
        <v>0</v>
      </c>
      <c r="AO471" s="304">
        <v>0</v>
      </c>
      <c r="AP471" s="304"/>
      <c r="AQ471" s="304">
        <v>0</v>
      </c>
      <c r="AR471" s="304">
        <v>0</v>
      </c>
      <c r="AS471" s="304"/>
      <c r="AT471" s="304">
        <v>0</v>
      </c>
      <c r="AU471" s="304">
        <v>0</v>
      </c>
      <c r="AV471" s="304"/>
      <c r="AW471" s="304">
        <v>0</v>
      </c>
      <c r="AX471" s="304">
        <v>0</v>
      </c>
      <c r="AY471" s="304"/>
      <c r="AZ471" s="304">
        <v>0</v>
      </c>
      <c r="BA471" s="304">
        <v>0</v>
      </c>
      <c r="BB471" s="304"/>
      <c r="BC471" s="304">
        <v>0</v>
      </c>
      <c r="BD471" s="304">
        <v>0</v>
      </c>
      <c r="BE471" s="304"/>
      <c r="BF471" s="304">
        <v>0</v>
      </c>
      <c r="BG471" s="304">
        <v>0</v>
      </c>
      <c r="BH471" s="304"/>
      <c r="BI471" s="304">
        <v>0</v>
      </c>
      <c r="BJ471" s="304">
        <v>0</v>
      </c>
      <c r="BK471" s="304"/>
      <c r="BL471" s="304">
        <v>0</v>
      </c>
      <c r="BM471" s="304">
        <v>0</v>
      </c>
      <c r="BN471" s="304"/>
      <c r="BO471" s="304">
        <v>0</v>
      </c>
      <c r="BP471" s="304">
        <v>0</v>
      </c>
      <c r="BQ471" s="304"/>
      <c r="BR471" s="304">
        <v>0</v>
      </c>
      <c r="BS471" s="304">
        <v>0</v>
      </c>
      <c r="BT471" s="304"/>
      <c r="BU471" s="304">
        <v>0</v>
      </c>
      <c r="BV471" s="304">
        <v>0</v>
      </c>
      <c r="BW471" s="304"/>
      <c r="BX471" s="304">
        <v>0</v>
      </c>
      <c r="BY471" s="304">
        <v>0</v>
      </c>
      <c r="BZ471" s="304"/>
      <c r="CA471" s="304">
        <v>0</v>
      </c>
      <c r="CB471" s="304">
        <v>0</v>
      </c>
      <c r="CC471" s="304"/>
      <c r="CD471" s="304">
        <v>0</v>
      </c>
      <c r="CE471" s="304">
        <v>0</v>
      </c>
      <c r="CF471" s="304"/>
      <c r="CG471" s="304">
        <v>0</v>
      </c>
      <c r="CH471" s="304">
        <v>0</v>
      </c>
      <c r="CI471" s="304"/>
      <c r="CJ471" s="304">
        <v>0</v>
      </c>
      <c r="CK471" s="304">
        <v>0</v>
      </c>
    </row>
    <row r="472" spans="1:89" x14ac:dyDescent="0.25">
      <c r="A472" s="328"/>
      <c r="B472" s="96" t="s">
        <v>2521</v>
      </c>
      <c r="C472" s="312"/>
      <c r="D472" s="329"/>
      <c r="E472" s="291"/>
      <c r="F472" s="291"/>
      <c r="G472" s="291"/>
      <c r="H472" s="291"/>
      <c r="I472" s="282"/>
      <c r="J472" s="282"/>
      <c r="K472" s="282"/>
      <c r="L472" s="282"/>
      <c r="M472" s="282"/>
      <c r="N472" s="282"/>
      <c r="Q472" s="283"/>
      <c r="R472" s="283"/>
      <c r="S472" s="304"/>
      <c r="T472" s="304"/>
      <c r="V472" s="304"/>
      <c r="W472" s="304"/>
      <c r="Y472" s="304"/>
      <c r="Z472" s="304"/>
      <c r="AB472" s="304"/>
      <c r="AC472" s="304"/>
    </row>
    <row r="473" spans="1:89" ht="45" x14ac:dyDescent="0.25">
      <c r="A473" s="328"/>
      <c r="B473" s="96" t="s">
        <v>1675</v>
      </c>
      <c r="C473" s="312" t="s">
        <v>2781</v>
      </c>
      <c r="D473" s="329"/>
      <c r="E473" s="291"/>
      <c r="F473" s="291"/>
      <c r="G473" s="291"/>
      <c r="H473" s="291"/>
      <c r="I473" s="282">
        <v>0</v>
      </c>
      <c r="J473" s="282">
        <v>0</v>
      </c>
      <c r="K473" s="282">
        <v>0</v>
      </c>
      <c r="L473" s="282">
        <v>0</v>
      </c>
      <c r="M473" s="282">
        <v>0</v>
      </c>
      <c r="N473" s="282">
        <v>0</v>
      </c>
      <c r="Q473" s="283">
        <f t="shared" ref="Q473:R475" si="847">S473+V473+Y473+AB473+AE473+AH473+AK473+AN473+AQ473+AT473+AW473+AZ473+BC473+BF473+BI473+BL473+BO473+BR473+BU473+BX473+CA473+CD473+CG473+CJ473</f>
        <v>0</v>
      </c>
      <c r="R473" s="283">
        <f t="shared" si="847"/>
        <v>0</v>
      </c>
      <c r="S473" s="304">
        <v>0</v>
      </c>
      <c r="T473" s="304">
        <v>0</v>
      </c>
      <c r="V473" s="304">
        <v>0</v>
      </c>
      <c r="W473" s="304">
        <v>0</v>
      </c>
      <c r="Y473" s="304">
        <v>0</v>
      </c>
      <c r="Z473" s="304">
        <v>0</v>
      </c>
      <c r="AB473" s="304">
        <v>0</v>
      </c>
      <c r="AC473" s="304">
        <v>0</v>
      </c>
      <c r="AE473" s="304">
        <v>0</v>
      </c>
      <c r="AF473" s="304">
        <v>0</v>
      </c>
      <c r="AH473" s="304">
        <v>0</v>
      </c>
      <c r="AI473" s="304">
        <v>0</v>
      </c>
      <c r="AK473" s="304">
        <v>0</v>
      </c>
      <c r="AL473" s="304">
        <v>0</v>
      </c>
      <c r="AN473" s="304">
        <v>0</v>
      </c>
      <c r="AO473" s="304">
        <v>0</v>
      </c>
      <c r="AP473" s="304"/>
      <c r="AQ473" s="304">
        <v>0</v>
      </c>
      <c r="AR473" s="304">
        <v>0</v>
      </c>
      <c r="AS473" s="304"/>
      <c r="AT473" s="304">
        <v>0</v>
      </c>
      <c r="AU473" s="304">
        <v>0</v>
      </c>
      <c r="AW473" s="304">
        <v>0</v>
      </c>
      <c r="AX473" s="304">
        <v>0</v>
      </c>
      <c r="AY473" s="304"/>
      <c r="AZ473" s="304">
        <v>0</v>
      </c>
      <c r="BA473" s="304">
        <v>0</v>
      </c>
      <c r="BC473" s="304">
        <v>0</v>
      </c>
      <c r="BD473" s="304">
        <v>0</v>
      </c>
      <c r="BE473" s="304"/>
      <c r="BF473" s="267">
        <v>0</v>
      </c>
      <c r="BG473" s="267">
        <v>0</v>
      </c>
      <c r="BH473" s="304"/>
      <c r="BI473" s="304">
        <v>0</v>
      </c>
      <c r="BJ473" s="304">
        <v>0</v>
      </c>
      <c r="BK473" s="304"/>
      <c r="BL473" s="304">
        <v>0</v>
      </c>
      <c r="BM473" s="304">
        <v>0</v>
      </c>
      <c r="BO473" s="304">
        <v>0</v>
      </c>
      <c r="BP473" s="304">
        <v>0</v>
      </c>
      <c r="BQ473" s="304"/>
      <c r="BR473" s="304">
        <v>0</v>
      </c>
      <c r="BS473" s="304">
        <v>0</v>
      </c>
      <c r="BU473" s="304">
        <v>0</v>
      </c>
      <c r="BV473" s="304">
        <v>0</v>
      </c>
      <c r="BW473" s="304"/>
      <c r="BX473" s="304">
        <v>0</v>
      </c>
      <c r="BY473" s="304">
        <v>0</v>
      </c>
      <c r="CA473" s="304">
        <v>0</v>
      </c>
      <c r="CB473" s="304">
        <v>0</v>
      </c>
      <c r="CC473" s="304"/>
      <c r="CD473" s="304">
        <v>0</v>
      </c>
      <c r="CE473" s="304">
        <v>0</v>
      </c>
      <c r="CG473" s="304">
        <v>0</v>
      </c>
      <c r="CH473" s="304">
        <v>0</v>
      </c>
      <c r="CI473" s="304"/>
      <c r="CJ473" s="304">
        <v>0</v>
      </c>
      <c r="CK473" s="304">
        <v>0</v>
      </c>
    </row>
    <row r="474" spans="1:89" ht="30" x14ac:dyDescent="0.25">
      <c r="A474" s="328"/>
      <c r="B474" s="96" t="s">
        <v>1679</v>
      </c>
      <c r="C474" s="312" t="s">
        <v>2780</v>
      </c>
      <c r="D474" s="329"/>
      <c r="E474" s="291"/>
      <c r="F474" s="291"/>
      <c r="G474" s="291"/>
      <c r="H474" s="291"/>
      <c r="I474" s="282">
        <v>0</v>
      </c>
      <c r="J474" s="282">
        <v>0</v>
      </c>
      <c r="K474" s="282">
        <v>0</v>
      </c>
      <c r="L474" s="282">
        <v>0</v>
      </c>
      <c r="M474" s="282">
        <v>0</v>
      </c>
      <c r="N474" s="282">
        <v>0</v>
      </c>
      <c r="Q474" s="283">
        <f t="shared" si="847"/>
        <v>0</v>
      </c>
      <c r="R474" s="283">
        <f t="shared" si="847"/>
        <v>0</v>
      </c>
      <c r="S474" s="304">
        <v>0</v>
      </c>
      <c r="T474" s="304">
        <v>0</v>
      </c>
      <c r="V474" s="304">
        <v>0</v>
      </c>
      <c r="W474" s="304">
        <v>0</v>
      </c>
      <c r="Y474" s="304">
        <v>0</v>
      </c>
      <c r="Z474" s="304">
        <v>0</v>
      </c>
      <c r="AB474" s="304">
        <v>0</v>
      </c>
      <c r="AC474" s="304">
        <v>0</v>
      </c>
      <c r="AE474" s="304">
        <v>0</v>
      </c>
      <c r="AF474" s="304">
        <v>0</v>
      </c>
      <c r="AH474" s="304">
        <v>0</v>
      </c>
      <c r="AI474" s="304">
        <v>0</v>
      </c>
      <c r="AK474" s="304">
        <v>0</v>
      </c>
      <c r="AL474" s="304">
        <v>0</v>
      </c>
      <c r="AN474" s="304">
        <v>0</v>
      </c>
      <c r="AO474" s="304">
        <v>0</v>
      </c>
      <c r="AP474" s="304"/>
      <c r="AQ474" s="304">
        <v>0</v>
      </c>
      <c r="AR474" s="304">
        <v>0</v>
      </c>
      <c r="AS474" s="304"/>
      <c r="AT474" s="304">
        <v>0</v>
      </c>
      <c r="AU474" s="304">
        <v>0</v>
      </c>
      <c r="AW474" s="304">
        <v>0</v>
      </c>
      <c r="AX474" s="304">
        <v>0</v>
      </c>
      <c r="AY474" s="304"/>
      <c r="AZ474" s="304">
        <v>0</v>
      </c>
      <c r="BA474" s="304">
        <v>0</v>
      </c>
      <c r="BC474" s="304">
        <v>0</v>
      </c>
      <c r="BD474" s="304">
        <v>0</v>
      </c>
      <c r="BE474" s="304"/>
      <c r="BF474" s="304">
        <v>0</v>
      </c>
      <c r="BG474" s="304">
        <v>0</v>
      </c>
      <c r="BH474" s="304"/>
      <c r="BI474" s="304">
        <v>0</v>
      </c>
      <c r="BJ474" s="304">
        <v>0</v>
      </c>
      <c r="BK474" s="304"/>
      <c r="BL474" s="304">
        <v>0</v>
      </c>
      <c r="BM474" s="304">
        <v>0</v>
      </c>
      <c r="BO474" s="304">
        <v>0</v>
      </c>
      <c r="BP474" s="304">
        <v>0</v>
      </c>
      <c r="BQ474" s="304"/>
      <c r="BR474" s="304">
        <v>0</v>
      </c>
      <c r="BS474" s="304">
        <v>0</v>
      </c>
      <c r="BU474" s="304">
        <v>0</v>
      </c>
      <c r="BV474" s="304">
        <v>0</v>
      </c>
      <c r="BW474" s="304"/>
      <c r="BX474" s="304">
        <v>0</v>
      </c>
      <c r="BY474" s="304">
        <v>0</v>
      </c>
      <c r="CA474" s="304">
        <v>0</v>
      </c>
      <c r="CB474" s="304">
        <v>0</v>
      </c>
      <c r="CC474" s="304"/>
      <c r="CD474" s="304">
        <v>0</v>
      </c>
      <c r="CE474" s="304">
        <v>0</v>
      </c>
      <c r="CG474" s="304">
        <v>0</v>
      </c>
      <c r="CH474" s="304">
        <v>0</v>
      </c>
      <c r="CI474" s="304"/>
      <c r="CJ474" s="304">
        <v>0</v>
      </c>
      <c r="CK474" s="304">
        <v>0</v>
      </c>
    </row>
    <row r="475" spans="1:89" ht="30" x14ac:dyDescent="0.25">
      <c r="A475" s="328"/>
      <c r="B475" s="96" t="s">
        <v>1846</v>
      </c>
      <c r="C475" s="312" t="s">
        <v>1847</v>
      </c>
      <c r="D475" s="329"/>
      <c r="E475" s="291"/>
      <c r="F475" s="291"/>
      <c r="G475" s="291"/>
      <c r="H475" s="291"/>
      <c r="I475" s="282">
        <v>4</v>
      </c>
      <c r="J475" s="282">
        <v>4</v>
      </c>
      <c r="K475" s="282">
        <v>4</v>
      </c>
      <c r="L475" s="282">
        <v>0</v>
      </c>
      <c r="M475" s="282">
        <v>0</v>
      </c>
      <c r="N475" s="282">
        <v>0</v>
      </c>
      <c r="Q475" s="283">
        <f t="shared" si="847"/>
        <v>4</v>
      </c>
      <c r="R475" s="283">
        <f t="shared" si="847"/>
        <v>4</v>
      </c>
      <c r="S475" s="304">
        <v>0</v>
      </c>
      <c r="T475" s="304">
        <v>0</v>
      </c>
      <c r="U475" s="304"/>
      <c r="V475" s="304">
        <v>0</v>
      </c>
      <c r="W475" s="304">
        <v>0</v>
      </c>
      <c r="X475" s="304"/>
      <c r="Y475" s="304">
        <v>0</v>
      </c>
      <c r="Z475" s="304">
        <v>0</v>
      </c>
      <c r="AA475" s="304"/>
      <c r="AB475" s="304">
        <v>0</v>
      </c>
      <c r="AC475" s="304">
        <v>0</v>
      </c>
      <c r="AD475" s="304"/>
      <c r="AE475" s="304">
        <v>0</v>
      </c>
      <c r="AF475" s="304">
        <v>0</v>
      </c>
      <c r="AG475" s="304"/>
      <c r="AH475" s="304">
        <v>0</v>
      </c>
      <c r="AI475" s="304">
        <v>0</v>
      </c>
      <c r="AJ475" s="304"/>
      <c r="AK475" s="304">
        <v>0</v>
      </c>
      <c r="AL475" s="304">
        <v>0</v>
      </c>
      <c r="AM475" s="304"/>
      <c r="AN475" s="304">
        <v>0</v>
      </c>
      <c r="AO475" s="304">
        <v>0</v>
      </c>
      <c r="AP475" s="304"/>
      <c r="AQ475" s="304">
        <v>0</v>
      </c>
      <c r="AR475" s="304">
        <v>0</v>
      </c>
      <c r="AS475" s="304"/>
      <c r="AT475" s="304">
        <v>0</v>
      </c>
      <c r="AU475" s="304">
        <v>0</v>
      </c>
      <c r="AV475" s="304"/>
      <c r="AW475" s="304">
        <v>0</v>
      </c>
      <c r="AX475" s="304">
        <v>0</v>
      </c>
      <c r="AY475" s="304"/>
      <c r="AZ475" s="304">
        <v>0</v>
      </c>
      <c r="BA475" s="304">
        <v>0</v>
      </c>
      <c r="BB475" s="304"/>
      <c r="BC475" s="304">
        <v>1</v>
      </c>
      <c r="BD475" s="304">
        <v>1</v>
      </c>
      <c r="BE475" s="304"/>
      <c r="BF475" s="304">
        <v>1</v>
      </c>
      <c r="BG475" s="304">
        <v>1</v>
      </c>
      <c r="BH475" s="304"/>
      <c r="BI475" s="304">
        <v>1</v>
      </c>
      <c r="BJ475" s="304">
        <v>1</v>
      </c>
      <c r="BK475" s="304"/>
      <c r="BL475" s="304">
        <v>0</v>
      </c>
      <c r="BM475" s="304">
        <v>0</v>
      </c>
      <c r="BN475" s="304"/>
      <c r="BO475" s="304">
        <v>0</v>
      </c>
      <c r="BP475" s="304">
        <v>0</v>
      </c>
      <c r="BQ475" s="304"/>
      <c r="BR475" s="304">
        <v>0</v>
      </c>
      <c r="BS475" s="304">
        <v>0</v>
      </c>
      <c r="BT475" s="304"/>
      <c r="BU475" s="304">
        <v>0</v>
      </c>
      <c r="BV475" s="304">
        <v>0</v>
      </c>
      <c r="BW475" s="304"/>
      <c r="BX475" s="304">
        <v>0</v>
      </c>
      <c r="BY475" s="304">
        <v>0</v>
      </c>
      <c r="BZ475" s="304"/>
      <c r="CA475" s="304">
        <v>0</v>
      </c>
      <c r="CB475" s="304">
        <v>0</v>
      </c>
      <c r="CC475" s="304"/>
      <c r="CD475" s="304">
        <v>1</v>
      </c>
      <c r="CE475" s="304">
        <v>1</v>
      </c>
      <c r="CF475" s="304"/>
      <c r="CG475" s="304">
        <v>0</v>
      </c>
      <c r="CH475" s="304">
        <v>0</v>
      </c>
      <c r="CI475" s="304"/>
      <c r="CJ475" s="304">
        <v>0</v>
      </c>
      <c r="CK475" s="304">
        <v>0</v>
      </c>
    </row>
    <row r="476" spans="1:89" ht="60" x14ac:dyDescent="0.25">
      <c r="A476" s="105" t="s">
        <v>182</v>
      </c>
      <c r="B476" s="290" t="s">
        <v>181</v>
      </c>
      <c r="C476" s="107"/>
      <c r="D476" s="95"/>
      <c r="E476" s="107"/>
      <c r="F476" s="107"/>
      <c r="G476" s="107"/>
      <c r="H476" s="107"/>
      <c r="I476" s="107"/>
      <c r="J476" s="107"/>
      <c r="K476" s="107"/>
      <c r="L476" s="107"/>
      <c r="M476" s="107"/>
      <c r="N476" s="107"/>
    </row>
    <row r="477" spans="1:89" ht="75" x14ac:dyDescent="0.25">
      <c r="A477" s="95" t="s">
        <v>183</v>
      </c>
      <c r="B477" s="96" t="s">
        <v>1680</v>
      </c>
      <c r="C477" s="107"/>
      <c r="D477" s="95"/>
      <c r="E477" s="279"/>
      <c r="F477" s="279"/>
      <c r="G477" s="279"/>
      <c r="H477" s="279"/>
      <c r="I477" s="279"/>
      <c r="J477" s="279"/>
      <c r="K477" s="279"/>
      <c r="L477" s="279"/>
      <c r="M477" s="279"/>
      <c r="N477" s="279"/>
      <c r="O477" s="281" t="s">
        <v>196</v>
      </c>
    </row>
    <row r="478" spans="1:89" ht="30" x14ac:dyDescent="0.25">
      <c r="A478" s="263"/>
      <c r="B478" s="96" t="s">
        <v>1182</v>
      </c>
      <c r="C478" s="107"/>
      <c r="D478" s="95" t="s">
        <v>1111</v>
      </c>
      <c r="E478" s="279">
        <f>(E484+E485+E488)/((E500-E515-E518)+(E520+0.1*E521))</f>
        <v>15.058378429114486</v>
      </c>
      <c r="F478" s="279">
        <f>(F484+F485+F488)/((F500-F515-F518)+(F520+0.1*F521))</f>
        <v>15.288981540437813</v>
      </c>
      <c r="G478" s="279">
        <f>(G484+G485+G488)/((G500-G515-G518)+(G520+0.1*G521))</f>
        <v>15.076110931066687</v>
      </c>
      <c r="H478" s="279">
        <f>(H484+H485+H488)/((H500*H522)+H503+H504+H505+H506)</f>
        <v>10.535619702458149</v>
      </c>
      <c r="I478" s="279">
        <v>3.67</v>
      </c>
      <c r="J478" s="279">
        <f>(J484+J485+J488)/((J500*J522)+J503+J504+J505+J506)</f>
        <v>3.559485111213808</v>
      </c>
      <c r="K478" s="279">
        <f>(K484+K485+K488)/((K500*K522)+K503+K504+K505+K506)</f>
        <v>3.4898947517155214</v>
      </c>
      <c r="L478" s="279">
        <f>(L484+L485+L488)/((L500*L522)+L503+L504+L505+L506)</f>
        <v>6.6190277488003337</v>
      </c>
      <c r="M478" s="279">
        <f>(M484+M485+M488)/((M500*M522)+M503+M504+M505+M506)</f>
        <v>6.7306815827636211</v>
      </c>
      <c r="N478" s="279">
        <f>(N484+N485+N488)/((N500*N522)+N503+N504+N505+N506)</f>
        <v>6.6269093952709772</v>
      </c>
      <c r="O478" s="281"/>
      <c r="Q478" s="279">
        <f>(Q484+Q485+Q488)/((Q500*Q522)+Q503+Q504+Q505+Q506)</f>
        <v>3.4898947517155214</v>
      </c>
      <c r="R478" s="279">
        <f>(R484+R485+R488)/((R500*R522)+R503+R504+R505+R506)</f>
        <v>3.5263538741531821</v>
      </c>
      <c r="S478" s="279">
        <f>(S484+S485+S488)/((S500*S522)+S503+S504+S505+S506)</f>
        <v>4.4202432866651362</v>
      </c>
      <c r="T478" s="279">
        <f>(T484+T485+T488)/((T500*T522)+T503+T504+T505+T506)</f>
        <v>4.8780706172010522</v>
      </c>
      <c r="V478" s="279">
        <f>(V484+V485+V488)/((V500*V522)+V503+V504+V505+V506)</f>
        <v>4.2518785682228764</v>
      </c>
      <c r="W478" s="279">
        <f>(W484+W485+W488)/((W500*W522)+W503+W504+W505+W506)</f>
        <v>4.2315673786526418</v>
      </c>
      <c r="Y478" s="279">
        <f>(Y484+Y485+Y488)/((Y500*Y522)+Y503+Y504+Y505+Y506)</f>
        <v>6.3867905056759549</v>
      </c>
      <c r="Z478" s="279">
        <f>(Z484+Z485+Z488)/((Z500*Z522)+Z503+Z504+Z505+Z506)</f>
        <v>6.4940188877229801</v>
      </c>
      <c r="AB478" s="279">
        <f>(AB484+AB485+AB488)/((AB500*AB522)+AB503+AB504+AB505+AB506)</f>
        <v>3.8676581325301207</v>
      </c>
      <c r="AC478" s="279">
        <f>(AC484+AC485+AC488)/((AC500*AC522)+AC503+AC504+AC505+AC506)</f>
        <v>3.9563815664706996</v>
      </c>
      <c r="AE478" s="279">
        <f>(AE484+AE485+AE488)/((AE500*AE522)+AE503+AE504+AE505+AE506)</f>
        <v>5.7889989112965941</v>
      </c>
      <c r="AF478" s="279">
        <f>(AF484+AF485+AF488)/((AF500*AF522)+AF503+AF504+AF505+AF506)</f>
        <v>5.9972739626238303</v>
      </c>
      <c r="AH478" s="279">
        <f>(AH484+AH485+AH488)/((AH500*AH522)+AH503+AH504+AH505+AH506)</f>
        <v>6.5792005141079875</v>
      </c>
      <c r="AI478" s="279">
        <f>(AI484+AI485+AI488)/((AI500*AI522)+AI503+AI504+AI505+AI506)</f>
        <v>6.6352504287553478</v>
      </c>
      <c r="AK478" s="279">
        <f>(AK484+AK485+AK488)/((AK500*AK522)+AK503+AK504+AK505+AK506)</f>
        <v>4.0882581181948368</v>
      </c>
      <c r="AL478" s="279">
        <f>(AL484+AL485+AL488)/((AL500*AL522)+AL503+AL504+AL505+AL506)</f>
        <v>4.0421122571663606</v>
      </c>
      <c r="AN478" s="279">
        <f>(AN484+AN485+AN488)/((AN500*AN522)+AN503+AN504+AN505+AN506)</f>
        <v>3.1323161011159191</v>
      </c>
      <c r="AO478" s="279">
        <f>(AO484+AO485+AO488)/((AO500*AO522)+AO503+AO504+AO505+AO506)</f>
        <v>3.2243633469758981</v>
      </c>
      <c r="AQ478" s="279">
        <f>(AQ484+AQ485+AQ488)/((AQ500*AQ522)+AQ503+AQ504+AQ505+AQ506)</f>
        <v>9.0296025952960264</v>
      </c>
      <c r="AR478" s="279">
        <f>(AR484+AR485+AR488)/((AR500*AR522)+AR503+AR504+AR505+AR506)</f>
        <v>9.4317073170731707</v>
      </c>
      <c r="AT478" s="279">
        <f>(AT484+AT485+AT488)/((AT500*AT522)+AT503+AT504+AT505+AT506)</f>
        <v>2.3896403117344565</v>
      </c>
      <c r="AU478" s="279">
        <f>(AU484+AU485+AU488)/((AU500*AU522)+AU503+AU504+AU505+AU506)</f>
        <v>2.3106965507985504</v>
      </c>
      <c r="AW478" s="279">
        <f>(AW484+AW485+AW488)/((AW500*AW522)+AW503+AW504+AW505+AW506)</f>
        <v>3.7602583586626142</v>
      </c>
      <c r="AX478" s="279">
        <f>(AX484+AX485+AX488)/((AX500*AX522)+AX503+AX504+AX505+AX506)</f>
        <v>3.7116069754359646</v>
      </c>
      <c r="AZ478" s="279">
        <f>(AZ484+AZ485+AZ488)/((AZ500*AZ522)+AZ503+AZ504+AZ505+AZ506)</f>
        <v>3.4135511037386754</v>
      </c>
      <c r="BA478" s="279">
        <f>(BA484+BA485+BA488)/((BA500*BA522)+BA503+BA504+BA505+BA506)</f>
        <v>3.6735805029815918</v>
      </c>
      <c r="BC478" s="279">
        <f>(BC484+BC485+BC488)/((BC500*BC522)+BC503+BC504+BC505+BC506)</f>
        <v>2.6018416206261512</v>
      </c>
      <c r="BD478" s="279">
        <f>(BD484+BD485+BD488)/((BD500*BD522)+BD503+BD504+BD505+BD506)</f>
        <v>2.5858092855835522</v>
      </c>
      <c r="BF478" s="279">
        <f>(BF484+BF485+BF488)/((BF500*BF522)+BF503+BF504+BF505+BF506)</f>
        <v>2.8376209671061989</v>
      </c>
      <c r="BG478" s="279">
        <f>(BG484+BG485+BG488)/((BG500*BG522)+BG503+BG504+BG505+BG506)</f>
        <v>3.1597271174870687</v>
      </c>
      <c r="BI478" s="279">
        <f>(BI484+BI485+BI488)/((BI500*BI522)+BI503+BI504+BI505+BI506)</f>
        <v>2.7878694204065018</v>
      </c>
      <c r="BJ478" s="279">
        <f>(BJ484+BJ485+BJ488)/((BJ500*BJ522)+BJ503+BJ504+BJ505+BJ506)</f>
        <v>2.6865548115942812</v>
      </c>
      <c r="BL478" s="279">
        <f>(BL484+BL485+BL488)/((BL500*BL522)+BL503+BL504+BL505+BL506)</f>
        <v>3.1034235526079943</v>
      </c>
      <c r="BM478" s="279">
        <f>(BM484+BM485+BM488)/((BM500*BM522)+BM503+BM504+BM505+BM506)</f>
        <v>3.1145889548479944</v>
      </c>
      <c r="BO478" s="279">
        <f>(BO484+BO485+BO488)/((BO500*BO522)+BO503+BO504+BO505+BO506)</f>
        <v>3.2565752128666037</v>
      </c>
      <c r="BP478" s="279">
        <f>(BP484+BP485+BP488)/((BP500*BP522)+BP503+BP504+BP505+BP506)</f>
        <v>3.2464749012972365</v>
      </c>
      <c r="BR478" s="279">
        <f>(BR484+BR485+BR488)/((BR500*BR522)+BR503+BR504+BR505+BR506)</f>
        <v>3.0152016672796371</v>
      </c>
      <c r="BS478" s="279">
        <f>(BS484+BS485+BS488)/((BS500*BS522)+BS503+BS504+BS505+BS506)</f>
        <v>2.9899100413323607</v>
      </c>
      <c r="BU478" s="279">
        <f>(BU484+BU485+BU488)/((BU500*BU522)+BU503+BU504+BU505+BU506)</f>
        <v>3.1336330710628202</v>
      </c>
      <c r="BV478" s="279">
        <f>(BV484+BV485+BV488)/((BV500*BV522)+BV503+BV504+BV505+BV506)</f>
        <v>2.9766060155959897</v>
      </c>
      <c r="BX478" s="279">
        <f>(BX484+BX485+BX488)/((BX500*BX522)+BX503+BX504+BX505+BX506)</f>
        <v>4.8292682926829267</v>
      </c>
      <c r="BY478" s="279">
        <f>(BY484+BY485+BY488)/((BY500*BY522)+BY503+BY504+BY505+BY506)</f>
        <v>4.7431693989071038</v>
      </c>
      <c r="CA478" s="279">
        <f>(CA484+CA485+CA488)/((CA500*CA522)+CA503+CA504+CA505+CA506)</f>
        <v>5.4761429758935991</v>
      </c>
      <c r="CB478" s="279">
        <f>(CB484+CB485+CB488)/((CB500*CB522)+CB503+CB504+CB505+CB506)</f>
        <v>5.3251628917157925</v>
      </c>
      <c r="CD478" s="279">
        <f>(CD484+CD485+CD488)/((CD500*CD522)+CD503+CD504+CD505+CD506)</f>
        <v>3.7194299724180202</v>
      </c>
      <c r="CE478" s="279">
        <f>(CE484+CE485+CE488)/((CE500*CE522)+CE503+CE504+CE505+CE506)</f>
        <v>3.9212130448034137</v>
      </c>
      <c r="CG478" s="279">
        <f>(CG484+CG485+CG488)/((CG500*CG522)+CG503+CG504+CG505+CG506)</f>
        <v>10.587441130298274</v>
      </c>
      <c r="CH478" s="279">
        <f>(CH484+CH485+CH488)/((CH500*CH522)+CH503+CH504+CH505+CH506)</f>
        <v>10.652720981440705</v>
      </c>
      <c r="CJ478" s="279" t="e">
        <f>(CJ484+CJ485+CJ488)/((CJ500*CJ522)+CJ503+CJ504+CJ505+CJ506)</f>
        <v>#DIV/0!</v>
      </c>
      <c r="CK478" s="279" t="e">
        <f>(CK484+CK485+CK488)/((CK500*CK522)+CK503+CK504+CK505+CK506)</f>
        <v>#DIV/0!</v>
      </c>
    </row>
    <row r="479" spans="1:89" x14ac:dyDescent="0.25">
      <c r="A479" s="263"/>
      <c r="B479" s="96" t="s">
        <v>1183</v>
      </c>
      <c r="C479" s="107"/>
      <c r="D479" s="95"/>
      <c r="E479" s="279"/>
      <c r="F479" s="279"/>
      <c r="G479" s="279"/>
      <c r="H479" s="279">
        <f>(H484+H488)/((H501*H523)+H503+H505)</f>
        <v>9.529775378495863</v>
      </c>
      <c r="I479" s="279">
        <v>3.43</v>
      </c>
      <c r="J479" s="279">
        <f>(J484+J488)/((J501*J523)+J503+J505)</f>
        <v>3.325223864955281</v>
      </c>
      <c r="K479" s="279">
        <f>(K484+K488)/((K501*K523)+K503+K505)</f>
        <v>3.2220174920721236</v>
      </c>
      <c r="L479" s="279">
        <f>(L484+L488)/((L501*L523)+L503+L505)</f>
        <v>12.802663438256658</v>
      </c>
      <c r="M479" s="279">
        <f>(M484+M488)/((M501*M523)+M503+M505)</f>
        <v>5.8688205527442587</v>
      </c>
      <c r="N479" s="279">
        <f>(N484+N488)/((N501*N523)+N503+N505)</f>
        <v>5.8257341576506958</v>
      </c>
      <c r="O479" s="281"/>
      <c r="Q479" s="279">
        <f>(Q484+Q488)/((Q501*Q523)+Q503+Q505)</f>
        <v>3.2220174920721236</v>
      </c>
      <c r="R479" s="279">
        <f>(R484+R488)/((R501*R523)+R503+R505)</f>
        <v>3.2619835805542925</v>
      </c>
      <c r="S479" s="279">
        <f>(S484+S488)/((S501*S523)+S503+S505)</f>
        <v>3.1129092961987204</v>
      </c>
      <c r="T479" s="279">
        <f>(T484+T488)/((T501*T523)+T503+T505)</f>
        <v>3.8586712217926817</v>
      </c>
      <c r="V479" s="279">
        <f>(V484+V488)/((V501*V523)+V503+V505)</f>
        <v>3.6601975429756304</v>
      </c>
      <c r="W479" s="279">
        <f>(W484+W488)/((W501*W523)+W503+W505)</f>
        <v>3.7141568765896573</v>
      </c>
      <c r="Y479" s="279">
        <f>(Y484+Y488)/((Y501*Y523)+Y503+Y505)</f>
        <v>5.3898976559920762</v>
      </c>
      <c r="Z479" s="279">
        <f>(Z484+Z488)/((Z501*Z523)+Z503+Z505)</f>
        <v>5.4620274339243897</v>
      </c>
      <c r="AB479" s="279">
        <f>(AB484+AB488)/((AB501*AB523)+AB503+AB505)</f>
        <v>2.4093890231273734</v>
      </c>
      <c r="AC479" s="279">
        <f>(AC484+AC488)/((AC501*AC523)+AC503+AC505)</f>
        <v>2.4989726027397259</v>
      </c>
      <c r="AE479" s="279">
        <f>(AE484+AE488)/((AE501*AE523)+AE503+AE505)</f>
        <v>4.7501603820657214</v>
      </c>
      <c r="AF479" s="279">
        <f>(AF484+AF488)/((AF501*AF523)+AF503+AF505)</f>
        <v>5.0230322346799321</v>
      </c>
      <c r="AH479" s="279">
        <f>(AH484+AH488)/((AH501*AH523)+AH503+AH505)</f>
        <v>5.6926963855628552</v>
      </c>
      <c r="AI479" s="279">
        <f>(AI484+AI488)/((AI501*AI523)+AI503+AI505)</f>
        <v>5.7042488103760105</v>
      </c>
      <c r="AK479" s="279">
        <f>(AK484+AK488)/((AK501*AK523)+AK503+AK505)</f>
        <v>4.0813655999664471</v>
      </c>
      <c r="AL479" s="279">
        <f>(AL484+AL488)/((AL501*AL523)+AL503+AL505)</f>
        <v>4.0317528711821149</v>
      </c>
      <c r="AN479" s="279">
        <f>(AN484+AN488)/((AN501*AN523)+AN503+AN505)</f>
        <v>2.7122229684351913</v>
      </c>
      <c r="AO479" s="279">
        <f>(AO484+AO488)/((AO501*AO523)+AO503+AO505)</f>
        <v>2.8299899699097293</v>
      </c>
      <c r="AQ479" s="279" t="e">
        <f>(AQ484+AQ488)/((AQ501*AQ523)+AQ503+AQ505)</f>
        <v>#DIV/0!</v>
      </c>
      <c r="AR479" s="279" t="e">
        <f>(AR484+AR488)/((AR501*AR523)+AR503+AR505)</f>
        <v>#DIV/0!</v>
      </c>
      <c r="AT479" s="279">
        <f>(AT484+AT488)/((AT501*AT523)+AT503+AT505)</f>
        <v>2.3896403117344565</v>
      </c>
      <c r="AU479" s="279">
        <f>(AU484+AU488)/((AU501*AU523)+AU503+AU505)</f>
        <v>2.3106965507985504</v>
      </c>
      <c r="AW479" s="279">
        <f>(AW484+AW488)/((AW501*AW523)+AW503+AW505)</f>
        <v>3.7602583586626142</v>
      </c>
      <c r="AX479" s="279">
        <f>(AX484+AX488)/((AX501*AX523)+AX503+AX505)</f>
        <v>3.7116069754359646</v>
      </c>
      <c r="AZ479" s="279">
        <f>(AZ484+AZ488)/((AZ501*AZ523)+AZ503+AZ505)</f>
        <v>3.4135511037386754</v>
      </c>
      <c r="BA479" s="279">
        <f>(BA484+BA488)/((BA501*BA523)+BA503+BA505)</f>
        <v>3.6735805029815918</v>
      </c>
      <c r="BC479" s="279">
        <f>(BC484+BC488)/((BC501*BC523)+BC503+BC505)</f>
        <v>2.6018416206261512</v>
      </c>
      <c r="BD479" s="279">
        <f>(BD484+BD488)/((BD501*BD523)+BD503+BD505)</f>
        <v>2.5858092855835522</v>
      </c>
      <c r="BF479" s="279">
        <f>(BF484+BF488)/((BF501*BF523)+BF503+BF505)</f>
        <v>2.8376209671061989</v>
      </c>
      <c r="BG479" s="279">
        <f>(BG484+BG488)/((BG501*BG523)+BG503+BG505)</f>
        <v>3.1597271174870687</v>
      </c>
      <c r="BI479" s="279">
        <f>(BI484+BI488)/((BI501*BI523)+BI503+BI505)</f>
        <v>2.7878694204065018</v>
      </c>
      <c r="BJ479" s="279">
        <f>(BJ484+BJ488)/((BJ501*BJ523)+BJ503+BJ505)</f>
        <v>2.6865548115942812</v>
      </c>
      <c r="BL479" s="279">
        <f>(BL484+BL488)/((BL501*BL523)+BL503+BL505)</f>
        <v>3.1034235526079943</v>
      </c>
      <c r="BM479" s="279">
        <f>(BM484+BM488)/((BM501*BM523)+BM503+BM505)</f>
        <v>3.1145889548479944</v>
      </c>
      <c r="BO479" s="279">
        <f>(BO484+BO488)/((BO501*BO523)+BO503+BO505)</f>
        <v>3.2565752128666037</v>
      </c>
      <c r="BP479" s="279">
        <f>(BP484+BP488)/((BP501*BP523)+BP503+BP505)</f>
        <v>3.2464749012972365</v>
      </c>
      <c r="BR479" s="279">
        <f>(BR484+BR488)/((BR501*BR523)+BR503+BR505)</f>
        <v>3.0152016672796371</v>
      </c>
      <c r="BS479" s="279">
        <f>(BS484+BS488)/((BS501*BS523)+BS503+BS505)</f>
        <v>2.9899100413323607</v>
      </c>
      <c r="BU479" s="279">
        <f>(BU484+BU488)/((BU501*BU523)+BU503+BU505)</f>
        <v>3.1336330710628202</v>
      </c>
      <c r="BV479" s="279">
        <f>(BV484+BV488)/((BV501*BV523)+BV503+BV505)</f>
        <v>2.9766060155959897</v>
      </c>
      <c r="BX479" s="279">
        <f>(BX484+BX488)/((BX501*BX523)+BX503+BX505)</f>
        <v>4.8292682926829267</v>
      </c>
      <c r="BY479" s="279">
        <f>(BY484+BY488)/((BY501*BY523)+BY503+BY505)</f>
        <v>4.7431693989071038</v>
      </c>
      <c r="CA479" s="279">
        <f>(CA484+CA488)/((CA501*CA523)+CA503+CA505)</f>
        <v>5.4761429758935991</v>
      </c>
      <c r="CB479" s="279">
        <f>(CB484+CB488)/((CB501*CB523)+CB503+CB505)</f>
        <v>5.3251628917157925</v>
      </c>
      <c r="CD479" s="279">
        <f>(CD484+CD488)/((CD501*CD523)+CD503+CD505)</f>
        <v>3.7194299724180202</v>
      </c>
      <c r="CE479" s="279">
        <f>(CE484+CE488)/((CE501*CE523)+CE503+CE505)</f>
        <v>3.9212130448034137</v>
      </c>
      <c r="CG479" s="279">
        <f>(CG484+CG488)/((CG501*CG523)+CG503+CG505)</f>
        <v>10.750536097212294</v>
      </c>
      <c r="CH479" s="279">
        <f>(CH484+CH488)/((CH501*CH523)+CH503+CH505)</f>
        <v>10.879769618430526</v>
      </c>
      <c r="CJ479" s="279" t="e">
        <f>(CJ484+CJ488)/((CJ501*CJ523)+CJ503+CJ505)</f>
        <v>#DIV/0!</v>
      </c>
      <c r="CK479" s="279" t="e">
        <f>(CK484+CK488)/((CK501*CK523)+CK503+CK505)</f>
        <v>#DIV/0!</v>
      </c>
    </row>
    <row r="480" spans="1:89" x14ac:dyDescent="0.25">
      <c r="A480" s="263"/>
      <c r="B480" s="16" t="s">
        <v>1185</v>
      </c>
      <c r="C480" s="107"/>
      <c r="D480" s="95"/>
      <c r="E480" s="279"/>
      <c r="F480" s="279"/>
      <c r="G480" s="279"/>
      <c r="H480" s="279">
        <f>(H485+H488)/((H502*H524)+H504+H506)</f>
        <v>20.647968169958286</v>
      </c>
      <c r="I480" s="279">
        <v>6.17</v>
      </c>
      <c r="J480" s="279">
        <f>(J485+J488)/((J502*J524)+J504+J506)</f>
        <v>5.9449418917063879</v>
      </c>
      <c r="K480" s="279">
        <f>(K485+K488)/((K502*K524)+K504+K506)</f>
        <v>6.3122903913186965</v>
      </c>
      <c r="L480" s="279">
        <f>(L485+L488)/((L502*L524)+L504+L506)</f>
        <v>0</v>
      </c>
      <c r="M480" s="279">
        <f>(M485+M488)/((M502*M524)+M504+M506)</f>
        <v>7.711248892825509</v>
      </c>
      <c r="N480" s="279">
        <f>(N485+N488)/((N502*N524)+N504+N506)</f>
        <v>7.573254221816522</v>
      </c>
      <c r="O480" s="281"/>
      <c r="Q480" s="279">
        <f>(Q485+Q488)/((Q502*Q524)+Q504+Q506)</f>
        <v>6.3122903913186965</v>
      </c>
      <c r="R480" s="279">
        <f>(R485+R488)/((R502*R524)+R504+R506)</f>
        <v>6.4109839236924406</v>
      </c>
      <c r="S480" s="279">
        <f>(S485+S488)/((S502*S524)+S504+S506)</f>
        <v>6.4635294117647062</v>
      </c>
      <c r="T480" s="279">
        <f>(T485+T488)/((T502*T524)+T504+T506)</f>
        <v>6.5583876704208652</v>
      </c>
      <c r="V480" s="279">
        <f>(V485+V488)/((V502*V524)+V504+V506)</f>
        <v>5.1379340592740856</v>
      </c>
      <c r="W480" s="279">
        <f>(W485+W488)/((W502*W524)+W504+W506)</f>
        <v>4.9703153988868278</v>
      </c>
      <c r="Y480" s="279">
        <f>(Y485+Y488)/((Y502*Y524)+Y504+Y506)</f>
        <v>8.0495594713656384</v>
      </c>
      <c r="Z480" s="279">
        <f>(Z485+Z488)/((Z502*Z524)+Z504+Z506)</f>
        <v>8.2308558558558556</v>
      </c>
      <c r="AB480" s="279">
        <f>(AB485+AB488)/((AB502*AB524)+AB504+AB506)</f>
        <v>5.616977225672878</v>
      </c>
      <c r="AC480" s="279">
        <f>(AC485+AC488)/((AC502*AC524)+AC504+AC506)</f>
        <v>5.7649808754781127</v>
      </c>
      <c r="AE480" s="279">
        <f>(AE485+AE488)/((AE502*AE524)+AE504+AE506)</f>
        <v>8.5596958174904945</v>
      </c>
      <c r="AF480" s="279">
        <f>(AF485+AF488)/((AF502*AF524)+AF504+AF506)</f>
        <v>8.8336134453781519</v>
      </c>
      <c r="AH480" s="279">
        <f>(AH485+AH488)/((AH502*AH524)+AH504+AH506)</f>
        <v>7.5145432720911156</v>
      </c>
      <c r="AI480" s="279">
        <f>(AI485+AI488)/((AI502*AI524)+AI504+AI506)</f>
        <v>7.6308233849014657</v>
      </c>
      <c r="AK480" s="279">
        <f>(AK485+AK488)/((AK502*AK524)+AK504+AK506)</f>
        <v>4.2303701141473535</v>
      </c>
      <c r="AL480" s="279">
        <f>(AL485+AL488)/((AL502*AL524)+AL504+AL506)</f>
        <v>4.2598397770811562</v>
      </c>
      <c r="AN480" s="279">
        <f>(AN485+AN488)/((AN502*AN524)+AN504+AN506)</f>
        <v>4.0176928520877562</v>
      </c>
      <c r="AO480" s="279">
        <f>(AO485+AO488)/((AO502*AO524)+AO504+AO506)</f>
        <v>4.0627221037668795</v>
      </c>
      <c r="AQ480" s="279">
        <f>(AQ485+AQ488)/((AQ502*AQ524)+AQ504+AQ506)</f>
        <v>9.0296025952960264</v>
      </c>
      <c r="AR480" s="279">
        <f>(AR485+AR488)/((AR502*AR524)+AR504+AR506)</f>
        <v>9.4317073170731707</v>
      </c>
      <c r="AT480" s="279" t="e">
        <f>(AT485+AT488)/((AT502*AT524)+AT504+AT506)</f>
        <v>#DIV/0!</v>
      </c>
      <c r="AU480" s="279" t="e">
        <f>(AU485+AU488)/((AU502*AU524)+AU504+AU506)</f>
        <v>#DIV/0!</v>
      </c>
      <c r="AW480" s="279" t="e">
        <f>(AW485+AW488)/((AW502*AW524)+AW504+AW506)</f>
        <v>#DIV/0!</v>
      </c>
      <c r="AX480" s="279" t="e">
        <f>(AX485+AX488)/((AX502*AX524)+AX504+AX506)</f>
        <v>#DIV/0!</v>
      </c>
      <c r="AZ480" s="279" t="e">
        <f>(AZ485+AZ488)/((AZ502*AZ524)+AZ504+AZ506)</f>
        <v>#DIV/0!</v>
      </c>
      <c r="BA480" s="279" t="e">
        <f>(BA485+BA488)/((BA502*BA524)+BA504+BA506)</f>
        <v>#DIV/0!</v>
      </c>
      <c r="BC480" s="279" t="e">
        <f>(BC485+BC488)/((BC502*BC524)+BC504+BC506)</f>
        <v>#DIV/0!</v>
      </c>
      <c r="BD480" s="279" t="e">
        <f>(BD485+BD488)/((BD502*BD524)+BD504+BD506)</f>
        <v>#DIV/0!</v>
      </c>
      <c r="BF480" s="279" t="e">
        <f>(BF485+BF488)/((BF502*BF524)+BF504+BF506)</f>
        <v>#DIV/0!</v>
      </c>
      <c r="BG480" s="279" t="e">
        <f>(BG485+BG488)/((BG502*BG524)+BG504+BG506)</f>
        <v>#DIV/0!</v>
      </c>
      <c r="BI480" s="279" t="e">
        <f>(BI485+BI488)/((BI502*BI524)+BI504+BI506)</f>
        <v>#DIV/0!</v>
      </c>
      <c r="BJ480" s="279" t="e">
        <f>(BJ485+BJ488)/((BJ502*BJ524)+BJ504+BJ506)</f>
        <v>#DIV/0!</v>
      </c>
      <c r="BL480" s="279" t="e">
        <f>(BL485+BL488)/((BL502*BL524)+BL504+BL506)</f>
        <v>#DIV/0!</v>
      </c>
      <c r="BM480" s="279" t="e">
        <f>(BM485+BM488)/((BM502*BM524)+BM504+BM506)</f>
        <v>#DIV/0!</v>
      </c>
      <c r="BO480" s="279" t="e">
        <f>(BO485+BO488)/((BO502*BO524)+BO504+BO506)</f>
        <v>#DIV/0!</v>
      </c>
      <c r="BP480" s="279" t="e">
        <f>(BP485+BP488)/((BP502*BP524)+BP504+BP506)</f>
        <v>#DIV/0!</v>
      </c>
      <c r="BR480" s="279" t="e">
        <f>(BR485+BR488)/((BR502*BR524)+BR504+BR506)</f>
        <v>#DIV/0!</v>
      </c>
      <c r="BS480" s="279" t="e">
        <f>(BS485+BS488)/((BS502*BS524)+BS504+BS506)</f>
        <v>#DIV/0!</v>
      </c>
      <c r="BU480" s="279" t="e">
        <f>(BU485+BU488)/((BU502*BU524)+BU504+BU506)</f>
        <v>#DIV/0!</v>
      </c>
      <c r="BV480" s="279" t="e">
        <f>(BV485+BV488)/((BV502*BV524)+BV504+BV506)</f>
        <v>#DIV/0!</v>
      </c>
      <c r="BX480" s="279" t="e">
        <f>(BX485+BX488)/((BX502*BX524)+BX504+BX506)</f>
        <v>#DIV/0!</v>
      </c>
      <c r="BY480" s="279" t="e">
        <f>(BY485+BY488)/((BY502*BY524)+BY504+BY506)</f>
        <v>#DIV/0!</v>
      </c>
      <c r="CA480" s="279" t="e">
        <f>(CA485+CA488)/((CA502*CA524)+CA504+CA506)</f>
        <v>#DIV/0!</v>
      </c>
      <c r="CB480" s="279" t="e">
        <f>(CB485+CB488)/((CB502*CB524)+CB504+CB506)</f>
        <v>#DIV/0!</v>
      </c>
      <c r="CD480" s="279" t="e">
        <f>(CD485+CD488)/((CD502*CD524)+CD504+CD506)</f>
        <v>#DIV/0!</v>
      </c>
      <c r="CE480" s="279" t="e">
        <f>(CE485+CE488)/((CE502*CE524)+CE504+CE506)</f>
        <v>#DIV/0!</v>
      </c>
      <c r="CG480" s="279">
        <f>(CG485+CG488)/((CG502*CG524)+CG504+CG506)</f>
        <v>9.4082687338501287</v>
      </c>
      <c r="CH480" s="279">
        <f>(CH485+CH488)/((CH502*CH524)+CH504+CH506)</f>
        <v>9.0798004987531176</v>
      </c>
      <c r="CJ480" s="279" t="e">
        <f>(CJ485+CJ488)/((CJ502*CJ524)+CJ504+CJ506)</f>
        <v>#DIV/0!</v>
      </c>
      <c r="CK480" s="279" t="e">
        <f>(CK485+CK488)/((CK502*CK524)+CK504+CK506)</f>
        <v>#DIV/0!</v>
      </c>
    </row>
    <row r="481" spans="1:89" ht="30" x14ac:dyDescent="0.25">
      <c r="A481" s="263"/>
      <c r="B481" s="96" t="s">
        <v>1184</v>
      </c>
      <c r="C481" s="107"/>
      <c r="D481" s="95" t="s">
        <v>1111</v>
      </c>
      <c r="E481" s="279">
        <f>(E486+E487)/(E507-E516-E518)</f>
        <v>14.497455470737913</v>
      </c>
      <c r="F481" s="279">
        <f>(F486+F487)/(F507-F516-F518)</f>
        <v>13.944444444444445</v>
      </c>
      <c r="G481" s="279">
        <f>(G486+G487)/(G507-G516-G518)</f>
        <v>12.857461024498887</v>
      </c>
      <c r="H481" s="279">
        <f>(H486+H487)/(H507)</f>
        <v>12.966101694915254</v>
      </c>
      <c r="I481" s="279">
        <f>(I486+I487)/(I507)</f>
        <v>5.174725274725275</v>
      </c>
      <c r="J481" s="279">
        <f>(J486+J487)/(J507)</f>
        <v>5.1018418201516793</v>
      </c>
      <c r="K481" s="279">
        <f>(K486+K487)/(K507)</f>
        <v>5.0743534482758621</v>
      </c>
      <c r="L481" s="279" t="e">
        <f>(L486+L487)/(L507)</f>
        <v>#DIV/0!</v>
      </c>
      <c r="M481" s="279" t="e">
        <f t="shared" ref="M481:N481" si="848">(M486+M487)/(M507)</f>
        <v>#DIV/0!</v>
      </c>
      <c r="N481" s="279" t="e">
        <f t="shared" si="848"/>
        <v>#DIV/0!</v>
      </c>
      <c r="O481" s="281"/>
      <c r="Q481" s="279">
        <f>(Q486+Q487)/(Q507)</f>
        <v>5.0743534482758621</v>
      </c>
      <c r="R481" s="279">
        <f>(R486+R487)/(R507)</f>
        <v>5.1296296296296298</v>
      </c>
      <c r="S481" s="279" t="e">
        <f>(S486+S487)/(S507)</f>
        <v>#DIV/0!</v>
      </c>
      <c r="T481" s="279" t="e">
        <f>(T486+T487)/(T507)</f>
        <v>#DIV/0!</v>
      </c>
      <c r="V481" s="279" t="e">
        <f>(V486+V487)/(V507)</f>
        <v>#DIV/0!</v>
      </c>
      <c r="W481" s="279" t="e">
        <f>(W486+W487)/(W507)</f>
        <v>#DIV/0!</v>
      </c>
      <c r="Y481" s="279" t="e">
        <f>(Y486+Y487)/(Y507)</f>
        <v>#DIV/0!</v>
      </c>
      <c r="Z481" s="279" t="e">
        <f>(Z486+Z487)/(Z507)</f>
        <v>#DIV/0!</v>
      </c>
      <c r="AB481" s="279" t="e">
        <f>(AB486+AB487)/(AB507)</f>
        <v>#DIV/0!</v>
      </c>
      <c r="AC481" s="279" t="e">
        <f>(AC486+AC487)/(AC507)</f>
        <v>#DIV/0!</v>
      </c>
      <c r="AE481" s="279" t="e">
        <f>(AE486+AE487)/(AE507)</f>
        <v>#DIV/0!</v>
      </c>
      <c r="AF481" s="279" t="e">
        <f>(AF486+AF487)/(AF507)</f>
        <v>#DIV/0!</v>
      </c>
      <c r="AH481" s="279" t="e">
        <f>(AH486+AH487)/(AH507)</f>
        <v>#DIV/0!</v>
      </c>
      <c r="AI481" s="279" t="e">
        <f>(AI486+AI487)/(AI507)</f>
        <v>#DIV/0!</v>
      </c>
      <c r="AK481" s="279" t="e">
        <f>(AK486+AK487)/(AK507)</f>
        <v>#DIV/0!</v>
      </c>
      <c r="AL481" s="279" t="e">
        <f>(AL486+AL487)/(AL507)</f>
        <v>#DIV/0!</v>
      </c>
      <c r="AN481" s="279" t="e">
        <f>(AN486+AN487)/(AN507)</f>
        <v>#DIV/0!</v>
      </c>
      <c r="AO481" s="279" t="e">
        <f>(AO486+AO487)/(AO507)</f>
        <v>#DIV/0!</v>
      </c>
      <c r="AQ481" s="279" t="e">
        <f>(AQ486+AQ487)/(AQ507)</f>
        <v>#DIV/0!</v>
      </c>
      <c r="AR481" s="279" t="e">
        <f>(AR486+AR487)/(AR507)</f>
        <v>#DIV/0!</v>
      </c>
      <c r="AT481" s="279" t="e">
        <f>(AT486+AT487)/(AT507)</f>
        <v>#DIV/0!</v>
      </c>
      <c r="AU481" s="279" t="e">
        <f>(AU486+AU487)/(AU507)</f>
        <v>#DIV/0!</v>
      </c>
      <c r="AW481" s="279" t="e">
        <f>(AW486+AW487)/(AW507)</f>
        <v>#DIV/0!</v>
      </c>
      <c r="AX481" s="279" t="e">
        <f>(AX486+AX487)/(AX507)</f>
        <v>#DIV/0!</v>
      </c>
      <c r="AZ481" s="279" t="e">
        <f>(AZ486+AZ487)/(AZ507)</f>
        <v>#DIV/0!</v>
      </c>
      <c r="BA481" s="279" t="e">
        <f>(BA486+BA487)/(BA507)</f>
        <v>#DIV/0!</v>
      </c>
      <c r="BC481" s="279">
        <f>(BC486+BC487)/(BC507)</f>
        <v>2.5187165775401068</v>
      </c>
      <c r="BD481" s="279">
        <f>(BD486+BD487)/(BD507)</f>
        <v>2.5053191489361701</v>
      </c>
      <c r="BF481" s="279">
        <f>(BF486+BF487)/(BF507)</f>
        <v>6.903743315508021</v>
      </c>
      <c r="BG481" s="279">
        <f>(BG486+BG487)/(BG507)</f>
        <v>7.2122905027932962</v>
      </c>
      <c r="BI481" s="279">
        <f>(BI486+BI487)/(BI507)</f>
        <v>3.3532110091743119</v>
      </c>
      <c r="BJ481" s="279">
        <f>(BJ486+BJ487)/(BJ507)</f>
        <v>3.4481132075471699</v>
      </c>
      <c r="BL481" s="279" t="e">
        <f>(BL486+BL487)/(BL507)</f>
        <v>#DIV/0!</v>
      </c>
      <c r="BM481" s="279" t="e">
        <f>(BM486+BM487)/(BM507)</f>
        <v>#DIV/0!</v>
      </c>
      <c r="BO481" s="279" t="e">
        <f>(BO486+BO487)/(BO507)</f>
        <v>#DIV/0!</v>
      </c>
      <c r="BP481" s="279" t="e">
        <f>(BP486+BP487)/(BP507)</f>
        <v>#DIV/0!</v>
      </c>
      <c r="BR481" s="279" t="e">
        <f>(BR486+BR487)/(BR507)</f>
        <v>#DIV/0!</v>
      </c>
      <c r="BS481" s="279" t="e">
        <f>(BS486+BS487)/(BS507)</f>
        <v>#DIV/0!</v>
      </c>
      <c r="BU481" s="279" t="e">
        <f>(BU486+BU487)/(BU507)</f>
        <v>#DIV/0!</v>
      </c>
      <c r="BV481" s="279" t="e">
        <f>(BV486+BV487)/(BV507)</f>
        <v>#DIV/0!</v>
      </c>
      <c r="BX481" s="279" t="e">
        <f>(BX486+BX487)/(BX507)</f>
        <v>#DIV/0!</v>
      </c>
      <c r="BY481" s="279" t="e">
        <f>(BY486+BY487)/(BY507)</f>
        <v>#DIV/0!</v>
      </c>
      <c r="CA481" s="279" t="e">
        <f>(CA486+CA487)/(CA507)</f>
        <v>#DIV/0!</v>
      </c>
      <c r="CB481" s="279" t="e">
        <f>(CB486+CB487)/(CB507)</f>
        <v>#DIV/0!</v>
      </c>
      <c r="CD481" s="279">
        <f>(CD486+CD487)/(CD507)</f>
        <v>12.584745762711865</v>
      </c>
      <c r="CE481" s="279">
        <f>(CE486+CE487)/(CE507)</f>
        <v>11.692913385826772</v>
      </c>
      <c r="CG481" s="279" t="e">
        <f>(CG486+CG487)/(CG507)</f>
        <v>#DIV/0!</v>
      </c>
      <c r="CH481" s="279" t="e">
        <f>(CH486+CH487)/(CH507)</f>
        <v>#DIV/0!</v>
      </c>
      <c r="CJ481" s="279" t="e">
        <f>(CJ486+CJ487)/(CJ507)</f>
        <v>#DIV/0!</v>
      </c>
      <c r="CK481" s="279" t="e">
        <f>(CK486+CK487)/(CK507)</f>
        <v>#DIV/0!</v>
      </c>
    </row>
    <row r="482" spans="1:89" x14ac:dyDescent="0.25">
      <c r="A482" s="263"/>
      <c r="B482" s="96" t="s">
        <v>1183</v>
      </c>
      <c r="C482" s="107"/>
      <c r="D482" s="95"/>
      <c r="E482" s="279"/>
      <c r="F482" s="279"/>
      <c r="G482" s="279"/>
      <c r="H482" s="279">
        <f t="shared" ref="H482:J483" si="849">(H486)/(H508)</f>
        <v>12.966101694915254</v>
      </c>
      <c r="I482" s="279">
        <f>(I486)/(I508)</f>
        <v>5.174725274725275</v>
      </c>
      <c r="J482" s="279">
        <f t="shared" si="849"/>
        <v>5.1018418201516793</v>
      </c>
      <c r="K482" s="279">
        <f>(K486)/(K508)</f>
        <v>5.0743534482758621</v>
      </c>
      <c r="L482" s="279" t="e">
        <f>(L486)/(L508)</f>
        <v>#DIV/0!</v>
      </c>
      <c r="M482" s="279" t="e">
        <f t="shared" ref="M482:N483" si="850">(M486)/(M508)</f>
        <v>#DIV/0!</v>
      </c>
      <c r="N482" s="279" t="e">
        <f t="shared" si="850"/>
        <v>#DIV/0!</v>
      </c>
      <c r="O482" s="281"/>
      <c r="Q482" s="279">
        <f t="shared" ref="Q482:T483" si="851">(Q486)/(Q508)</f>
        <v>5.0743534482758621</v>
      </c>
      <c r="R482" s="279">
        <f t="shared" si="851"/>
        <v>5.1296296296296298</v>
      </c>
      <c r="S482" s="279" t="e">
        <f t="shared" si="851"/>
        <v>#DIV/0!</v>
      </c>
      <c r="T482" s="279" t="e">
        <f t="shared" si="851"/>
        <v>#DIV/0!</v>
      </c>
      <c r="V482" s="279" t="e">
        <f>(V486)/(V508)</f>
        <v>#DIV/0!</v>
      </c>
      <c r="W482" s="279" t="e">
        <f>(W486)/(W508)</f>
        <v>#DIV/0!</v>
      </c>
      <c r="Y482" s="279" t="e">
        <f>(Y486)/(Y508)</f>
        <v>#DIV/0!</v>
      </c>
      <c r="Z482" s="279" t="e">
        <f>(Z486)/(Z508)</f>
        <v>#DIV/0!</v>
      </c>
      <c r="AB482" s="279" t="e">
        <f>(AB486)/(AB508)</f>
        <v>#DIV/0!</v>
      </c>
      <c r="AC482" s="279" t="e">
        <f>(AC486)/(AC508)</f>
        <v>#DIV/0!</v>
      </c>
      <c r="AE482" s="279" t="e">
        <f>(AE486)/(AE508)</f>
        <v>#DIV/0!</v>
      </c>
      <c r="AF482" s="279" t="e">
        <f>(AF486)/(AF508)</f>
        <v>#DIV/0!</v>
      </c>
      <c r="AH482" s="279" t="e">
        <f>(AH486)/(AH508)</f>
        <v>#DIV/0!</v>
      </c>
      <c r="AI482" s="279" t="e">
        <f>(AI486)/(AI508)</f>
        <v>#DIV/0!</v>
      </c>
      <c r="AK482" s="279" t="e">
        <f>(AK486)/(AK508)</f>
        <v>#DIV/0!</v>
      </c>
      <c r="AL482" s="279" t="e">
        <f>(AL486)/(AL508)</f>
        <v>#DIV/0!</v>
      </c>
      <c r="AN482" s="279" t="e">
        <f>(AN486)/(AN508)</f>
        <v>#DIV/0!</v>
      </c>
      <c r="AO482" s="279" t="e">
        <f>(AO486)/(AO508)</f>
        <v>#DIV/0!</v>
      </c>
      <c r="AQ482" s="279" t="e">
        <f>(AQ486)/(AQ508)</f>
        <v>#DIV/0!</v>
      </c>
      <c r="AR482" s="279" t="e">
        <f>(AR486)/(AR508)</f>
        <v>#DIV/0!</v>
      </c>
      <c r="AT482" s="279" t="e">
        <f>(AT486)/(AT508)</f>
        <v>#DIV/0!</v>
      </c>
      <c r="AU482" s="279" t="e">
        <f>(AU486)/(AU508)</f>
        <v>#DIV/0!</v>
      </c>
      <c r="AW482" s="279" t="e">
        <f>(AW486)/(AW508)</f>
        <v>#DIV/0!</v>
      </c>
      <c r="AX482" s="279" t="e">
        <f>(AX486)/(AX508)</f>
        <v>#DIV/0!</v>
      </c>
      <c r="AZ482" s="279" t="e">
        <f>(AZ486)/(AZ508)</f>
        <v>#DIV/0!</v>
      </c>
      <c r="BA482" s="279" t="e">
        <f>(BA486)/(BA508)</f>
        <v>#DIV/0!</v>
      </c>
      <c r="BC482" s="279">
        <f>(BC486)/(BC508)</f>
        <v>2.5187165775401068</v>
      </c>
      <c r="BD482" s="279">
        <f>(BD486)/(BD508)</f>
        <v>2.5053191489361701</v>
      </c>
      <c r="BF482" s="279">
        <f>(BF486)/(BF508)</f>
        <v>6.903743315508021</v>
      </c>
      <c r="BG482" s="279">
        <f>(BG486)/(BG508)</f>
        <v>7.2122905027932962</v>
      </c>
      <c r="BI482" s="279">
        <f>(BI486)/(BI508)</f>
        <v>3.3532110091743119</v>
      </c>
      <c r="BJ482" s="279">
        <f>(BJ486)/(BJ508)</f>
        <v>3.4481132075471699</v>
      </c>
      <c r="BL482" s="279" t="e">
        <f>(BL486)/(BL508)</f>
        <v>#DIV/0!</v>
      </c>
      <c r="BM482" s="279" t="e">
        <f>(BM486)/(BM508)</f>
        <v>#DIV/0!</v>
      </c>
      <c r="BO482" s="279" t="e">
        <f>(BO486)/(BO508)</f>
        <v>#DIV/0!</v>
      </c>
      <c r="BP482" s="279" t="e">
        <f>(BP486)/(BP508)</f>
        <v>#DIV/0!</v>
      </c>
      <c r="BR482" s="279" t="e">
        <f>(BR486)/(BR508)</f>
        <v>#DIV/0!</v>
      </c>
      <c r="BS482" s="279" t="e">
        <f>(BS486)/(BS508)</f>
        <v>#DIV/0!</v>
      </c>
      <c r="BU482" s="279" t="e">
        <f>(BU486)/(BU508)</f>
        <v>#DIV/0!</v>
      </c>
      <c r="BV482" s="279" t="e">
        <f>(BV486)/(BV508)</f>
        <v>#DIV/0!</v>
      </c>
      <c r="BX482" s="279" t="e">
        <f>(BX486)/(BX508)</f>
        <v>#DIV/0!</v>
      </c>
      <c r="BY482" s="279" t="e">
        <f>(BY486)/(BY508)</f>
        <v>#DIV/0!</v>
      </c>
      <c r="CA482" s="279" t="e">
        <f>(CA486)/(CA508)</f>
        <v>#DIV/0!</v>
      </c>
      <c r="CB482" s="279" t="e">
        <f>(CB486)/(CB508)</f>
        <v>#DIV/0!</v>
      </c>
      <c r="CD482" s="279">
        <f>(CD486)/(CD508)</f>
        <v>12.584745762711865</v>
      </c>
      <c r="CE482" s="279">
        <f>(CE486)/(CE508)</f>
        <v>11.692913385826772</v>
      </c>
      <c r="CG482" s="279" t="e">
        <f>(CG486)/(CG508)</f>
        <v>#DIV/0!</v>
      </c>
      <c r="CH482" s="279" t="e">
        <f>(CH486)/(CH508)</f>
        <v>#DIV/0!</v>
      </c>
      <c r="CJ482" s="279" t="e">
        <f>(CJ486)/(CJ508)</f>
        <v>#DIV/0!</v>
      </c>
      <c r="CK482" s="279" t="e">
        <f>(CK486)/(CK508)</f>
        <v>#DIV/0!</v>
      </c>
    </row>
    <row r="483" spans="1:89" x14ac:dyDescent="0.25">
      <c r="A483" s="263"/>
      <c r="B483" s="16" t="s">
        <v>1185</v>
      </c>
      <c r="C483" s="107"/>
      <c r="D483" s="95"/>
      <c r="E483" s="279"/>
      <c r="F483" s="279"/>
      <c r="G483" s="279"/>
      <c r="H483" s="279" t="e">
        <f t="shared" si="849"/>
        <v>#DIV/0!</v>
      </c>
      <c r="I483" s="279" t="e">
        <f t="shared" si="849"/>
        <v>#DIV/0!</v>
      </c>
      <c r="J483" s="279" t="e">
        <f t="shared" si="849"/>
        <v>#DIV/0!</v>
      </c>
      <c r="K483" s="279" t="e">
        <f>(K487)/(K509)</f>
        <v>#DIV/0!</v>
      </c>
      <c r="L483" s="279" t="e">
        <f>(L487)/(L509)</f>
        <v>#DIV/0!</v>
      </c>
      <c r="M483" s="279" t="e">
        <f t="shared" si="850"/>
        <v>#DIV/0!</v>
      </c>
      <c r="N483" s="279" t="e">
        <f t="shared" si="850"/>
        <v>#DIV/0!</v>
      </c>
      <c r="O483" s="281"/>
      <c r="Q483" s="279" t="e">
        <f t="shared" si="851"/>
        <v>#DIV/0!</v>
      </c>
      <c r="R483" s="279" t="e">
        <f t="shared" si="851"/>
        <v>#DIV/0!</v>
      </c>
      <c r="S483" s="279" t="e">
        <f t="shared" si="851"/>
        <v>#DIV/0!</v>
      </c>
      <c r="T483" s="279" t="e">
        <f t="shared" si="851"/>
        <v>#DIV/0!</v>
      </c>
      <c r="V483" s="279" t="e">
        <f>(V487)/(V509)</f>
        <v>#DIV/0!</v>
      </c>
      <c r="W483" s="279" t="e">
        <f>(W487)/(W509)</f>
        <v>#DIV/0!</v>
      </c>
      <c r="Y483" s="279" t="e">
        <f>(Y487)/(Y509)</f>
        <v>#DIV/0!</v>
      </c>
      <c r="Z483" s="279" t="e">
        <f>(Z487)/(Z509)</f>
        <v>#DIV/0!</v>
      </c>
      <c r="AB483" s="279" t="e">
        <f>(AB487)/(AB509)</f>
        <v>#DIV/0!</v>
      </c>
      <c r="AC483" s="279" t="e">
        <f>(AC487)/(AC509)</f>
        <v>#DIV/0!</v>
      </c>
      <c r="AE483" s="279" t="e">
        <f>(AE487)/(AE509)</f>
        <v>#DIV/0!</v>
      </c>
      <c r="AF483" s="279" t="e">
        <f>(AF487)/(AF509)</f>
        <v>#DIV/0!</v>
      </c>
      <c r="AH483" s="279" t="e">
        <f>(AH487)/(AH509)</f>
        <v>#DIV/0!</v>
      </c>
      <c r="AI483" s="279" t="e">
        <f>(AI487)/(AI509)</f>
        <v>#DIV/0!</v>
      </c>
      <c r="AK483" s="279" t="e">
        <f>(AK487)/(AK509)</f>
        <v>#DIV/0!</v>
      </c>
      <c r="AL483" s="279" t="e">
        <f>(AL487)/(AL509)</f>
        <v>#DIV/0!</v>
      </c>
      <c r="AN483" s="279" t="e">
        <f>(AN487)/(AN509)</f>
        <v>#DIV/0!</v>
      </c>
      <c r="AO483" s="279" t="e">
        <f>(AO487)/(AO509)</f>
        <v>#DIV/0!</v>
      </c>
      <c r="AQ483" s="279" t="e">
        <f>(AQ487)/(AQ509)</f>
        <v>#DIV/0!</v>
      </c>
      <c r="AR483" s="279" t="e">
        <f>(AR487)/(AR509)</f>
        <v>#DIV/0!</v>
      </c>
      <c r="AT483" s="279" t="e">
        <f>(AT487)/(AT509)</f>
        <v>#DIV/0!</v>
      </c>
      <c r="AU483" s="279" t="e">
        <f>(AU487)/(AU509)</f>
        <v>#DIV/0!</v>
      </c>
      <c r="AW483" s="279" t="e">
        <f>(AW487)/(AW509)</f>
        <v>#DIV/0!</v>
      </c>
      <c r="AX483" s="279" t="e">
        <f>(AX487)/(AX509)</f>
        <v>#DIV/0!</v>
      </c>
      <c r="AZ483" s="279" t="e">
        <f>(AZ487)/(AZ509)</f>
        <v>#DIV/0!</v>
      </c>
      <c r="BA483" s="279" t="e">
        <f>(BA487)/(BA509)</f>
        <v>#DIV/0!</v>
      </c>
      <c r="BC483" s="279" t="e">
        <f>(BC487)/(BC509)</f>
        <v>#DIV/0!</v>
      </c>
      <c r="BD483" s="279" t="e">
        <f>(BD487)/(BD509)</f>
        <v>#DIV/0!</v>
      </c>
      <c r="BF483" s="279" t="e">
        <f>(BF487)/(BF509)</f>
        <v>#DIV/0!</v>
      </c>
      <c r="BG483" s="279" t="e">
        <f>(BG487)/(BG509)</f>
        <v>#DIV/0!</v>
      </c>
      <c r="BI483" s="279" t="e">
        <f>(BI487)/(BI509)</f>
        <v>#DIV/0!</v>
      </c>
      <c r="BJ483" s="279" t="e">
        <f>(BJ487)/(BJ509)</f>
        <v>#DIV/0!</v>
      </c>
      <c r="BL483" s="279" t="e">
        <f>(BL487)/(BL509)</f>
        <v>#DIV/0!</v>
      </c>
      <c r="BM483" s="279" t="e">
        <f>(BM487)/(BM509)</f>
        <v>#DIV/0!</v>
      </c>
      <c r="BO483" s="279" t="e">
        <f>(BO487)/(BO509)</f>
        <v>#DIV/0!</v>
      </c>
      <c r="BP483" s="279" t="e">
        <f>(BP487)/(BP509)</f>
        <v>#DIV/0!</v>
      </c>
      <c r="BR483" s="279" t="e">
        <f>(BR487)/(BR509)</f>
        <v>#DIV/0!</v>
      </c>
      <c r="BS483" s="279" t="e">
        <f>(BS487)/(BS509)</f>
        <v>#DIV/0!</v>
      </c>
      <c r="BU483" s="279" t="e">
        <f>(BU487)/(BU509)</f>
        <v>#DIV/0!</v>
      </c>
      <c r="BV483" s="279" t="e">
        <f>(BV487)/(BV509)</f>
        <v>#DIV/0!</v>
      </c>
      <c r="BX483" s="279" t="e">
        <f>(BX487)/(BX509)</f>
        <v>#DIV/0!</v>
      </c>
      <c r="BY483" s="279" t="e">
        <f>(BY487)/(BY509)</f>
        <v>#DIV/0!</v>
      </c>
      <c r="CA483" s="279" t="e">
        <f>(CA487)/(CA509)</f>
        <v>#DIV/0!</v>
      </c>
      <c r="CB483" s="279" t="e">
        <f>(CB487)/(CB509)</f>
        <v>#DIV/0!</v>
      </c>
      <c r="CD483" s="279" t="e">
        <f>(CD487)/(CD509)</f>
        <v>#DIV/0!</v>
      </c>
      <c r="CE483" s="279" t="e">
        <f>(CE487)/(CE509)</f>
        <v>#DIV/0!</v>
      </c>
      <c r="CG483" s="279" t="e">
        <f>(CG487)/(CG509)</f>
        <v>#DIV/0!</v>
      </c>
      <c r="CH483" s="279" t="e">
        <f>(CH487)/(CH509)</f>
        <v>#DIV/0!</v>
      </c>
      <c r="CJ483" s="279" t="e">
        <f>(CJ487)/(CJ509)</f>
        <v>#DIV/0!</v>
      </c>
      <c r="CK483" s="279" t="e">
        <f>(CK487)/(CK509)</f>
        <v>#DIV/0!</v>
      </c>
    </row>
    <row r="484" spans="1:89" ht="30" x14ac:dyDescent="0.25">
      <c r="A484" s="419"/>
      <c r="B484" s="419" t="s">
        <v>184</v>
      </c>
      <c r="C484" s="95" t="s">
        <v>1190</v>
      </c>
      <c r="D484" s="95" t="s">
        <v>1111</v>
      </c>
      <c r="E484" s="282">
        <v>1718676</v>
      </c>
      <c r="F484" s="282">
        <v>1828284</v>
      </c>
      <c r="G484" s="282">
        <v>1832910</v>
      </c>
      <c r="H484" s="282">
        <f t="shared" ref="H484:J485" si="852">H490-H492</f>
        <v>1820189</v>
      </c>
      <c r="I484" s="282">
        <f t="shared" si="852"/>
        <v>682210</v>
      </c>
      <c r="J484" s="282">
        <f t="shared" si="852"/>
        <v>677415</v>
      </c>
      <c r="K484" s="282">
        <f>K490-K492</f>
        <v>677283</v>
      </c>
      <c r="L484" s="282">
        <f>L490-L492</f>
        <v>31725</v>
      </c>
      <c r="M484" s="282">
        <f t="shared" ref="M484:N484" si="853">M490-M492</f>
        <v>15077</v>
      </c>
      <c r="N484" s="282">
        <f t="shared" si="853"/>
        <v>15077</v>
      </c>
      <c r="O484" s="283"/>
      <c r="Q484" s="282">
        <f t="shared" ref="Q484:T485" si="854">Q490-Q492</f>
        <v>677283</v>
      </c>
      <c r="R484" s="282">
        <f t="shared" si="854"/>
        <v>701521</v>
      </c>
      <c r="S484" s="282">
        <f t="shared" si="854"/>
        <v>8271</v>
      </c>
      <c r="T484" s="282">
        <f t="shared" si="854"/>
        <v>10730</v>
      </c>
      <c r="V484" s="282">
        <f>V490-V492</f>
        <v>8574</v>
      </c>
      <c r="W484" s="282">
        <f>W490-W492</f>
        <v>8574</v>
      </c>
      <c r="Y484" s="282">
        <f>Y490-Y492</f>
        <v>16326</v>
      </c>
      <c r="Z484" s="282">
        <f>Z490-Z492</f>
        <v>16326</v>
      </c>
      <c r="AB484" s="282">
        <f>AB490-AB492</f>
        <v>6980</v>
      </c>
      <c r="AC484" s="282">
        <f>AC490-AC492</f>
        <v>7297</v>
      </c>
      <c r="AE484" s="282">
        <f>AE490-AE492</f>
        <v>16660</v>
      </c>
      <c r="AF484" s="282">
        <f>AF490-AF492</f>
        <v>17404</v>
      </c>
      <c r="AH484" s="282">
        <f>AH490-AH492</f>
        <v>14094</v>
      </c>
      <c r="AI484" s="282">
        <f>AI490-AI492</f>
        <v>14094</v>
      </c>
      <c r="AK484" s="282">
        <f>AK490-AK492</f>
        <v>24328</v>
      </c>
      <c r="AL484" s="282">
        <f>AL490-AL492</f>
        <v>24328</v>
      </c>
      <c r="AN484" s="282">
        <f>AN490-AN492</f>
        <v>32308</v>
      </c>
      <c r="AO484" s="282">
        <f>AO490-AO492</f>
        <v>33858</v>
      </c>
      <c r="AQ484" s="282">
        <f>AQ490-AQ492</f>
        <v>0</v>
      </c>
      <c r="AR484" s="282">
        <f>AR490-AR492</f>
        <v>0</v>
      </c>
      <c r="AT484" s="282">
        <f>AT490-AT492</f>
        <v>34434</v>
      </c>
      <c r="AU484" s="282">
        <f>AU490-AU492</f>
        <v>34434</v>
      </c>
      <c r="AW484" s="282">
        <f>AW490-AW492</f>
        <v>19794</v>
      </c>
      <c r="AX484" s="282">
        <f>AX490-AX492</f>
        <v>19794</v>
      </c>
      <c r="AZ484" s="282">
        <f>AZ490-AZ492</f>
        <v>26752</v>
      </c>
      <c r="BA484" s="282">
        <f>BA490-BA492</f>
        <v>28338</v>
      </c>
      <c r="BC484" s="282">
        <f>BC490-BC492</f>
        <v>42384</v>
      </c>
      <c r="BD484" s="282">
        <f>BD490-BD492</f>
        <v>42384</v>
      </c>
      <c r="BF484" s="282">
        <f>BF490-BF492</f>
        <v>96675</v>
      </c>
      <c r="BG484" s="282">
        <f>BG490-BG492</f>
        <v>110717</v>
      </c>
      <c r="BI484" s="282">
        <f>BI490-BI492</f>
        <v>147904</v>
      </c>
      <c r="BJ484" s="282">
        <f>BJ490-BJ492</f>
        <v>149321</v>
      </c>
      <c r="BL484" s="282">
        <f>BL490-BL492</f>
        <v>17314</v>
      </c>
      <c r="BM484" s="282">
        <f>BM490-BM492</f>
        <v>17314</v>
      </c>
      <c r="BO484" s="282">
        <f>BO490-BO492</f>
        <v>17211</v>
      </c>
      <c r="BP484" s="282">
        <f>BP490-BP492</f>
        <v>17268</v>
      </c>
      <c r="BR484" s="282">
        <f>BR490-BR492</f>
        <v>24595</v>
      </c>
      <c r="BS484" s="282">
        <f>BS490-BS492</f>
        <v>24595</v>
      </c>
      <c r="BU484" s="282">
        <f>BU490-BU492</f>
        <v>25091</v>
      </c>
      <c r="BV484" s="282">
        <f>BV490-BV492</f>
        <v>24048</v>
      </c>
      <c r="BX484" s="282">
        <f>BX490-BX492</f>
        <v>10296</v>
      </c>
      <c r="BY484" s="282">
        <f>BY490-BY492</f>
        <v>10416</v>
      </c>
      <c r="CA484" s="282">
        <f>CA490-CA492</f>
        <v>32939</v>
      </c>
      <c r="CB484" s="282">
        <f>CB490-CB492</f>
        <v>34326</v>
      </c>
      <c r="CD484" s="282">
        <f>CD490-CD492</f>
        <v>24273</v>
      </c>
      <c r="CE484" s="282">
        <f>CE490-CE492</f>
        <v>25731</v>
      </c>
      <c r="CG484" s="282">
        <f>CG490-CG492</f>
        <v>30080</v>
      </c>
      <c r="CH484" s="282">
        <f>CH490-CH492</f>
        <v>30224</v>
      </c>
      <c r="CJ484" s="282">
        <f>CJ490-CJ492</f>
        <v>0</v>
      </c>
      <c r="CK484" s="282">
        <f>CK490-CK492</f>
        <v>0</v>
      </c>
    </row>
    <row r="485" spans="1:89" ht="30" x14ac:dyDescent="0.25">
      <c r="A485" s="421"/>
      <c r="B485" s="421"/>
      <c r="C485" s="95" t="s">
        <v>1191</v>
      </c>
      <c r="D485" s="95" t="s">
        <v>1111</v>
      </c>
      <c r="E485" s="282">
        <v>352859</v>
      </c>
      <c r="F485" s="282">
        <v>365229</v>
      </c>
      <c r="G485" s="282">
        <v>368401</v>
      </c>
      <c r="H485" s="282">
        <f t="shared" si="852"/>
        <v>392269</v>
      </c>
      <c r="I485" s="282">
        <f t="shared" si="852"/>
        <v>119938</v>
      </c>
      <c r="J485" s="282">
        <f>J491-J493</f>
        <v>118933</v>
      </c>
      <c r="K485" s="282">
        <f>K491-K493</f>
        <v>125934</v>
      </c>
      <c r="L485" s="282">
        <f>L491-L493</f>
        <v>0</v>
      </c>
      <c r="M485" s="282">
        <f>M491-M493</f>
        <v>17412</v>
      </c>
      <c r="N485" s="282">
        <v>16593</v>
      </c>
      <c r="Q485" s="282">
        <f t="shared" si="854"/>
        <v>125934</v>
      </c>
      <c r="R485" s="282">
        <f t="shared" si="854"/>
        <v>126358</v>
      </c>
      <c r="S485" s="282">
        <f t="shared" si="854"/>
        <v>10988</v>
      </c>
      <c r="T485" s="282">
        <f t="shared" si="854"/>
        <v>11064</v>
      </c>
      <c r="V485" s="282">
        <f>V491-V493</f>
        <v>8037</v>
      </c>
      <c r="W485" s="282">
        <f>W491-W493</f>
        <v>8037</v>
      </c>
      <c r="Y485" s="282">
        <f>Y491-Y493</f>
        <v>14618</v>
      </c>
      <c r="Z485" s="282">
        <f>Z491-Z493</f>
        <v>14618</v>
      </c>
      <c r="AB485" s="282">
        <f>AB491-AB493</f>
        <v>13565</v>
      </c>
      <c r="AC485" s="282">
        <f>AC491-AC493</f>
        <v>13565</v>
      </c>
      <c r="AE485" s="282">
        <f>AE491-AE493</f>
        <v>11256</v>
      </c>
      <c r="AF485" s="282">
        <f>AF491-AF493</f>
        <v>10512</v>
      </c>
      <c r="AH485" s="282">
        <f>AH491-AH493</f>
        <v>17631</v>
      </c>
      <c r="AI485" s="282">
        <f>AI491-AI493</f>
        <v>17631</v>
      </c>
      <c r="AK485" s="282">
        <f>AK491-AK493</f>
        <v>1223</v>
      </c>
      <c r="AL485" s="282">
        <f>AL491-AL493</f>
        <v>1223</v>
      </c>
      <c r="AN485" s="282">
        <f>AN491-AN493</f>
        <v>22708</v>
      </c>
      <c r="AO485" s="282">
        <f>AO491-AO493</f>
        <v>22865</v>
      </c>
      <c r="AQ485" s="282">
        <f>AQ491-AQ493</f>
        <v>22267</v>
      </c>
      <c r="AR485" s="282">
        <f>AR491-AR493</f>
        <v>23202</v>
      </c>
      <c r="AT485" s="282">
        <f>AT491-AT493</f>
        <v>0</v>
      </c>
      <c r="AU485" s="282">
        <f>AU491-AU493</f>
        <v>0</v>
      </c>
      <c r="AW485" s="282">
        <f>AW491-AW493</f>
        <v>0</v>
      </c>
      <c r="AX485" s="282">
        <f>AX491-AX493</f>
        <v>0</v>
      </c>
      <c r="AZ485" s="282">
        <f>AZ491-AZ493</f>
        <v>0</v>
      </c>
      <c r="BA485" s="282">
        <f>BA491-BA493</f>
        <v>0</v>
      </c>
      <c r="BC485" s="282">
        <f>BC491-BC493</f>
        <v>0</v>
      </c>
      <c r="BD485" s="282">
        <f>BD491-BD493</f>
        <v>0</v>
      </c>
      <c r="BF485" s="282">
        <f>BF491-BF493</f>
        <v>0</v>
      </c>
      <c r="BG485" s="282">
        <f>BG491-BG493</f>
        <v>0</v>
      </c>
      <c r="BI485" s="282">
        <f>BI491-BI493</f>
        <v>0</v>
      </c>
      <c r="BJ485" s="282">
        <f>BJ491-BJ493</f>
        <v>0</v>
      </c>
      <c r="BL485" s="282">
        <f>BL491-BL493</f>
        <v>0</v>
      </c>
      <c r="BM485" s="282">
        <f>BM491-BM493</f>
        <v>0</v>
      </c>
      <c r="BO485" s="282">
        <f>BO491-BO493</f>
        <v>0</v>
      </c>
      <c r="BP485" s="282">
        <f>BP491-BP493</f>
        <v>0</v>
      </c>
      <c r="BR485" s="282">
        <f>BR491-BR493</f>
        <v>0</v>
      </c>
      <c r="BS485" s="282">
        <f>BS491-BS493</f>
        <v>0</v>
      </c>
      <c r="BU485" s="282">
        <f>BU491-BU493</f>
        <v>0</v>
      </c>
      <c r="BV485" s="282">
        <f>BV491-BV493</f>
        <v>0</v>
      </c>
      <c r="BX485" s="282">
        <f>BX491-BX493</f>
        <v>0</v>
      </c>
      <c r="BY485" s="282">
        <f>BY491-BY493</f>
        <v>0</v>
      </c>
      <c r="CA485" s="282">
        <f>CA491-CA493</f>
        <v>0</v>
      </c>
      <c r="CB485" s="282">
        <f>CB491-CB493</f>
        <v>0</v>
      </c>
      <c r="CD485" s="282">
        <f>CD491-CD493</f>
        <v>0</v>
      </c>
      <c r="CE485" s="282">
        <f>CE491-CE493</f>
        <v>0</v>
      </c>
      <c r="CG485" s="282">
        <f>CG491-CG493</f>
        <v>3641</v>
      </c>
      <c r="CH485" s="282">
        <f>CH491-CH493</f>
        <v>3641</v>
      </c>
      <c r="CJ485" s="282">
        <f>CJ491-CJ493</f>
        <v>0</v>
      </c>
      <c r="CK485" s="282">
        <f>CK491-CK493</f>
        <v>0</v>
      </c>
    </row>
    <row r="486" spans="1:89" ht="30" x14ac:dyDescent="0.25">
      <c r="A486" s="419"/>
      <c r="B486" s="419" t="s">
        <v>184</v>
      </c>
      <c r="C486" s="95" t="s">
        <v>1192</v>
      </c>
      <c r="D486" s="95" t="s">
        <v>1111</v>
      </c>
      <c r="E486" s="282">
        <v>11395</v>
      </c>
      <c r="F486" s="282">
        <v>11546</v>
      </c>
      <c r="G486" s="282">
        <v>11546</v>
      </c>
      <c r="H486" s="282">
        <f t="shared" ref="H486:J487" si="855">H495</f>
        <v>10710</v>
      </c>
      <c r="I486" s="282">
        <f>I495</f>
        <v>4709</v>
      </c>
      <c r="J486" s="282">
        <f t="shared" si="855"/>
        <v>4709</v>
      </c>
      <c r="K486" s="282">
        <f>K495</f>
        <v>4709</v>
      </c>
      <c r="L486" s="282">
        <f>L495</f>
        <v>0</v>
      </c>
      <c r="M486" s="282">
        <f t="shared" ref="M486:N487" si="856">M495</f>
        <v>0</v>
      </c>
      <c r="N486" s="282">
        <f t="shared" si="856"/>
        <v>0</v>
      </c>
      <c r="Q486" s="282">
        <f t="shared" ref="Q486:T487" si="857">Q495</f>
        <v>4709</v>
      </c>
      <c r="R486" s="282">
        <f t="shared" si="857"/>
        <v>4709</v>
      </c>
      <c r="S486" s="282">
        <f t="shared" si="857"/>
        <v>0</v>
      </c>
      <c r="T486" s="282">
        <f t="shared" si="857"/>
        <v>0</v>
      </c>
      <c r="V486" s="282">
        <f>V495</f>
        <v>0</v>
      </c>
      <c r="W486" s="282">
        <f>W495</f>
        <v>0</v>
      </c>
      <c r="Y486" s="282">
        <f>Y495</f>
        <v>0</v>
      </c>
      <c r="Z486" s="282">
        <f>Z495</f>
        <v>0</v>
      </c>
      <c r="AB486" s="282">
        <f>AB495</f>
        <v>0</v>
      </c>
      <c r="AC486" s="282">
        <f>AC495</f>
        <v>0</v>
      </c>
      <c r="AE486" s="282">
        <f>AE495</f>
        <v>0</v>
      </c>
      <c r="AF486" s="282">
        <f>AF495</f>
        <v>0</v>
      </c>
      <c r="AH486" s="282">
        <f>AH495</f>
        <v>0</v>
      </c>
      <c r="AI486" s="282">
        <f>AI495</f>
        <v>0</v>
      </c>
      <c r="AK486" s="282">
        <f>AK495</f>
        <v>0</v>
      </c>
      <c r="AL486" s="282">
        <f>AL495</f>
        <v>0</v>
      </c>
      <c r="AN486" s="282">
        <f>AN495</f>
        <v>0</v>
      </c>
      <c r="AO486" s="282">
        <f>AO495</f>
        <v>0</v>
      </c>
      <c r="AQ486" s="282">
        <f>AQ495</f>
        <v>0</v>
      </c>
      <c r="AR486" s="282">
        <f>AR495</f>
        <v>0</v>
      </c>
      <c r="AT486" s="282">
        <f>AT495</f>
        <v>0</v>
      </c>
      <c r="AU486" s="282">
        <f>AU495</f>
        <v>0</v>
      </c>
      <c r="AW486" s="282">
        <f>AW495</f>
        <v>0</v>
      </c>
      <c r="AX486" s="282">
        <f>AX495</f>
        <v>0</v>
      </c>
      <c r="AZ486" s="282">
        <f>AZ495</f>
        <v>0</v>
      </c>
      <c r="BA486" s="282">
        <f>BA495</f>
        <v>0</v>
      </c>
      <c r="BC486" s="282">
        <f>BC495</f>
        <v>471</v>
      </c>
      <c r="BD486" s="282">
        <f>BD495</f>
        <v>471</v>
      </c>
      <c r="BF486" s="282">
        <f>BF495</f>
        <v>1291</v>
      </c>
      <c r="BG486" s="282">
        <f>BG495</f>
        <v>1291</v>
      </c>
      <c r="BI486" s="282">
        <f>BI495</f>
        <v>1462</v>
      </c>
      <c r="BJ486" s="282">
        <f>BJ495</f>
        <v>1462</v>
      </c>
      <c r="BL486" s="282">
        <f>BL495</f>
        <v>0</v>
      </c>
      <c r="BM486" s="282">
        <f>BM495</f>
        <v>0</v>
      </c>
      <c r="BO486" s="282">
        <f>BO495</f>
        <v>0</v>
      </c>
      <c r="BP486" s="282">
        <f>BP495</f>
        <v>0</v>
      </c>
      <c r="BR486" s="282">
        <f>BR495</f>
        <v>0</v>
      </c>
      <c r="BS486" s="282">
        <f>BS495</f>
        <v>0</v>
      </c>
      <c r="BU486" s="282">
        <f>BU495</f>
        <v>0</v>
      </c>
      <c r="BV486" s="282">
        <f>BV495</f>
        <v>0</v>
      </c>
      <c r="BX486" s="282">
        <f>BX495</f>
        <v>0</v>
      </c>
      <c r="BY486" s="282">
        <f>BY495</f>
        <v>0</v>
      </c>
      <c r="CA486" s="282">
        <f>CA495</f>
        <v>0</v>
      </c>
      <c r="CB486" s="282">
        <f>CB495</f>
        <v>0</v>
      </c>
      <c r="CD486" s="282">
        <f>CD495</f>
        <v>1485</v>
      </c>
      <c r="CE486" s="282">
        <f>CE495</f>
        <v>1485</v>
      </c>
      <c r="CG486" s="282">
        <f>CG495</f>
        <v>0</v>
      </c>
      <c r="CH486" s="282">
        <f>CH495</f>
        <v>0</v>
      </c>
      <c r="CJ486" s="282">
        <f>CJ495</f>
        <v>0</v>
      </c>
      <c r="CK486" s="282">
        <f>CK495</f>
        <v>0</v>
      </c>
    </row>
    <row r="487" spans="1:89" ht="30" x14ac:dyDescent="0.25">
      <c r="A487" s="421"/>
      <c r="B487" s="421"/>
      <c r="C487" s="95" t="s">
        <v>1193</v>
      </c>
      <c r="D487" s="95" t="s">
        <v>1111</v>
      </c>
      <c r="E487" s="282">
        <v>0</v>
      </c>
      <c r="F487" s="282">
        <v>0</v>
      </c>
      <c r="G487" s="282">
        <v>0</v>
      </c>
      <c r="H487" s="282">
        <f t="shared" si="855"/>
        <v>0</v>
      </c>
      <c r="I487" s="282">
        <f t="shared" si="855"/>
        <v>0</v>
      </c>
      <c r="J487" s="282">
        <f t="shared" si="855"/>
        <v>0</v>
      </c>
      <c r="K487" s="282">
        <f>K496</f>
        <v>0</v>
      </c>
      <c r="L487" s="282">
        <f>L496</f>
        <v>0</v>
      </c>
      <c r="M487" s="282">
        <f t="shared" si="856"/>
        <v>0</v>
      </c>
      <c r="N487" s="282">
        <f t="shared" si="856"/>
        <v>0</v>
      </c>
      <c r="Q487" s="282">
        <f t="shared" si="857"/>
        <v>0</v>
      </c>
      <c r="R487" s="282">
        <f t="shared" si="857"/>
        <v>0</v>
      </c>
      <c r="S487" s="282">
        <f t="shared" si="857"/>
        <v>0</v>
      </c>
      <c r="T487" s="282">
        <f t="shared" si="857"/>
        <v>0</v>
      </c>
      <c r="V487" s="282">
        <f>V496</f>
        <v>0</v>
      </c>
      <c r="W487" s="282">
        <f>W496</f>
        <v>0</v>
      </c>
      <c r="Y487" s="282">
        <f>Y496</f>
        <v>0</v>
      </c>
      <c r="Z487" s="282">
        <f>Z496</f>
        <v>0</v>
      </c>
      <c r="AB487" s="282">
        <f>AB496</f>
        <v>0</v>
      </c>
      <c r="AC487" s="282">
        <f>AC496</f>
        <v>0</v>
      </c>
      <c r="AE487" s="282">
        <f>AE496</f>
        <v>0</v>
      </c>
      <c r="AF487" s="282">
        <f>AF496</f>
        <v>0</v>
      </c>
      <c r="AH487" s="282">
        <f>AH496</f>
        <v>0</v>
      </c>
      <c r="AI487" s="282">
        <f>AI496</f>
        <v>0</v>
      </c>
      <c r="AK487" s="282">
        <f>AK496</f>
        <v>0</v>
      </c>
      <c r="AL487" s="282">
        <f>AL496</f>
        <v>0</v>
      </c>
      <c r="AN487" s="282">
        <f>AN496</f>
        <v>0</v>
      </c>
      <c r="AO487" s="282">
        <f>AO496</f>
        <v>0</v>
      </c>
      <c r="AQ487" s="282">
        <f>AQ496</f>
        <v>0</v>
      </c>
      <c r="AR487" s="282">
        <f>AR496</f>
        <v>0</v>
      </c>
      <c r="AT487" s="282">
        <f>AT496</f>
        <v>0</v>
      </c>
      <c r="AU487" s="282">
        <f>AU496</f>
        <v>0</v>
      </c>
      <c r="AW487" s="282">
        <f>AW496</f>
        <v>0</v>
      </c>
      <c r="AX487" s="282">
        <f>AX496</f>
        <v>0</v>
      </c>
      <c r="AZ487" s="282">
        <f>AZ496</f>
        <v>0</v>
      </c>
      <c r="BA487" s="282">
        <f>BA496</f>
        <v>0</v>
      </c>
      <c r="BC487" s="282">
        <f>BC496</f>
        <v>0</v>
      </c>
      <c r="BD487" s="282">
        <f>BD496</f>
        <v>0</v>
      </c>
      <c r="BF487" s="282">
        <f>BF496</f>
        <v>0</v>
      </c>
      <c r="BG487" s="282">
        <f>BG496</f>
        <v>0</v>
      </c>
      <c r="BI487" s="282">
        <f>BI496</f>
        <v>0</v>
      </c>
      <c r="BJ487" s="282">
        <f>BJ496</f>
        <v>0</v>
      </c>
      <c r="BL487" s="282">
        <f>BL496</f>
        <v>0</v>
      </c>
      <c r="BM487" s="282">
        <f>BM496</f>
        <v>0</v>
      </c>
      <c r="BO487" s="282">
        <f>BO496</f>
        <v>0</v>
      </c>
      <c r="BP487" s="282">
        <f>BP496</f>
        <v>0</v>
      </c>
      <c r="BR487" s="282">
        <f>BR496</f>
        <v>0</v>
      </c>
      <c r="BS487" s="282">
        <f>BS496</f>
        <v>0</v>
      </c>
      <c r="BU487" s="282">
        <f>BU496</f>
        <v>0</v>
      </c>
      <c r="BV487" s="282">
        <f>BV496</f>
        <v>0</v>
      </c>
      <c r="BX487" s="282">
        <f>BX496</f>
        <v>0</v>
      </c>
      <c r="BY487" s="282">
        <f>BY496</f>
        <v>0</v>
      </c>
      <c r="CA487" s="282">
        <f>CA496</f>
        <v>0</v>
      </c>
      <c r="CB487" s="282">
        <f>CB496</f>
        <v>0</v>
      </c>
      <c r="CD487" s="282">
        <f>CD496</f>
        <v>0</v>
      </c>
      <c r="CE487" s="282">
        <f>CE496</f>
        <v>0</v>
      </c>
      <c r="CG487" s="282">
        <f>CG496</f>
        <v>0</v>
      </c>
      <c r="CH487" s="282">
        <f>CH496</f>
        <v>0</v>
      </c>
      <c r="CJ487" s="282">
        <f>CJ496</f>
        <v>0</v>
      </c>
      <c r="CK487" s="282">
        <f>CK496</f>
        <v>0</v>
      </c>
    </row>
    <row r="488" spans="1:89" ht="30" x14ac:dyDescent="0.25">
      <c r="A488" s="16"/>
      <c r="B488" s="16" t="s">
        <v>185</v>
      </c>
      <c r="C488" s="95" t="s">
        <v>186</v>
      </c>
      <c r="D488" s="95" t="s">
        <v>1111</v>
      </c>
      <c r="E488" s="282">
        <v>14073</v>
      </c>
      <c r="F488" s="282">
        <v>5966</v>
      </c>
      <c r="G488" s="282">
        <v>3724</v>
      </c>
      <c r="H488" s="282">
        <v>0</v>
      </c>
      <c r="I488" s="282">
        <v>0</v>
      </c>
      <c r="J488" s="282">
        <v>0</v>
      </c>
      <c r="K488" s="282">
        <v>0</v>
      </c>
      <c r="L488" s="282">
        <v>0</v>
      </c>
      <c r="M488" s="282">
        <v>0</v>
      </c>
      <c r="N488" s="282">
        <v>0</v>
      </c>
      <c r="Q488" s="282">
        <v>0</v>
      </c>
      <c r="R488" s="282">
        <v>0</v>
      </c>
      <c r="S488" s="282">
        <v>0</v>
      </c>
      <c r="T488" s="282">
        <v>0</v>
      </c>
      <c r="V488" s="282">
        <v>0</v>
      </c>
      <c r="W488" s="282">
        <v>0</v>
      </c>
      <c r="Y488" s="282">
        <v>0</v>
      </c>
      <c r="Z488" s="282">
        <v>0</v>
      </c>
      <c r="AB488" s="282">
        <v>0</v>
      </c>
      <c r="AC488" s="282">
        <v>0</v>
      </c>
      <c r="AE488" s="282">
        <v>0</v>
      </c>
      <c r="AF488" s="282">
        <v>0</v>
      </c>
      <c r="AH488" s="282">
        <v>0</v>
      </c>
      <c r="AI488" s="282">
        <v>0</v>
      </c>
      <c r="AK488" s="282">
        <v>0</v>
      </c>
      <c r="AL488" s="282">
        <v>0</v>
      </c>
      <c r="AN488" s="282">
        <v>0</v>
      </c>
      <c r="AO488" s="282">
        <v>0</v>
      </c>
      <c r="AQ488" s="282">
        <v>0</v>
      </c>
      <c r="AR488" s="282">
        <v>0</v>
      </c>
      <c r="AT488" s="282">
        <v>0</v>
      </c>
      <c r="AU488" s="282">
        <v>0</v>
      </c>
      <c r="AW488" s="282">
        <v>0</v>
      </c>
      <c r="AX488" s="282">
        <v>0</v>
      </c>
      <c r="AZ488" s="282">
        <v>0</v>
      </c>
      <c r="BA488" s="282">
        <v>0</v>
      </c>
      <c r="BC488" s="282">
        <v>0</v>
      </c>
      <c r="BD488" s="282">
        <v>0</v>
      </c>
      <c r="BF488" s="282">
        <v>0</v>
      </c>
      <c r="BG488" s="282">
        <v>0</v>
      </c>
      <c r="BI488" s="282">
        <v>0</v>
      </c>
      <c r="BJ488" s="282">
        <v>0</v>
      </c>
      <c r="BL488" s="282">
        <v>0</v>
      </c>
      <c r="BM488" s="282">
        <v>0</v>
      </c>
      <c r="BO488" s="282">
        <v>0</v>
      </c>
      <c r="BP488" s="282">
        <v>0</v>
      </c>
      <c r="BR488" s="282">
        <v>0</v>
      </c>
      <c r="BS488" s="282">
        <v>0</v>
      </c>
      <c r="BU488" s="282">
        <v>0</v>
      </c>
      <c r="BV488" s="282">
        <v>0</v>
      </c>
      <c r="BX488" s="282">
        <v>0</v>
      </c>
      <c r="BY488" s="282">
        <v>0</v>
      </c>
      <c r="CA488" s="282">
        <v>0</v>
      </c>
      <c r="CB488" s="282">
        <v>0</v>
      </c>
      <c r="CD488" s="282">
        <v>0</v>
      </c>
      <c r="CE488" s="282">
        <v>0</v>
      </c>
      <c r="CG488" s="282">
        <v>0</v>
      </c>
      <c r="CH488" s="282">
        <v>0</v>
      </c>
      <c r="CJ488" s="282">
        <v>0</v>
      </c>
      <c r="CK488" s="282">
        <v>0</v>
      </c>
    </row>
    <row r="489" spans="1:89" x14ac:dyDescent="0.25">
      <c r="A489" s="16"/>
      <c r="B489" s="16" t="s">
        <v>1182</v>
      </c>
      <c r="C489" s="95"/>
      <c r="D489" s="95"/>
      <c r="E489" s="282"/>
      <c r="F489" s="282"/>
      <c r="G489" s="282"/>
      <c r="H489" s="282">
        <f>H490+H491-H492-H493</f>
        <v>2212458</v>
      </c>
      <c r="I489" s="282">
        <f>I490+I491-I492-I493</f>
        <v>802148</v>
      </c>
      <c r="J489" s="282">
        <f>J490+J491-J492-J493</f>
        <v>796348</v>
      </c>
      <c r="K489" s="282">
        <f>K490+K491-K492-K493</f>
        <v>803217</v>
      </c>
      <c r="L489" s="282">
        <f>L490+L491-L492-L493</f>
        <v>31725</v>
      </c>
      <c r="M489" s="282">
        <f t="shared" ref="M489:N489" si="858">M490+M491-M492-M493</f>
        <v>32489</v>
      </c>
      <c r="N489" s="282">
        <f t="shared" si="858"/>
        <v>32489</v>
      </c>
      <c r="Q489" s="282">
        <f>Q490+Q491-Q492-Q493</f>
        <v>803217</v>
      </c>
      <c r="R489" s="282">
        <f>R490+R491-R492-R493</f>
        <v>827879</v>
      </c>
      <c r="S489" s="282">
        <f>S490+S491-S492-S493</f>
        <v>19259</v>
      </c>
      <c r="T489" s="282">
        <f>T490+T491-T492-T493</f>
        <v>21794</v>
      </c>
      <c r="V489" s="282">
        <f>V490+V491-V492-V493</f>
        <v>16611</v>
      </c>
      <c r="W489" s="282">
        <f>W490+W491-W492-W493</f>
        <v>16611</v>
      </c>
      <c r="Y489" s="282">
        <f>Y490+Y491-Y492-Y493</f>
        <v>30944</v>
      </c>
      <c r="Z489" s="282">
        <f>Z490+Z491-Z492-Z493</f>
        <v>30944</v>
      </c>
      <c r="AB489" s="282">
        <f>AB490+AB491-AB492-AB493</f>
        <v>20545</v>
      </c>
      <c r="AC489" s="282">
        <f>AC490+AC491-AC492-AC493</f>
        <v>20862</v>
      </c>
      <c r="AE489" s="282">
        <f>AE490+AE491-AE492-AE493</f>
        <v>27916</v>
      </c>
      <c r="AF489" s="282">
        <f>AF490+AF491-AF492-AF493</f>
        <v>27916</v>
      </c>
      <c r="AH489" s="282">
        <f>AH490+AH491-AH492-AH493</f>
        <v>31725</v>
      </c>
      <c r="AI489" s="282">
        <f>AI490+AI491-AI492-AI493</f>
        <v>31725</v>
      </c>
      <c r="AK489" s="282">
        <f>AK490+AK491-AK492-AK493</f>
        <v>25551</v>
      </c>
      <c r="AL489" s="282">
        <f>AL490+AL491-AL492-AL493</f>
        <v>25551</v>
      </c>
      <c r="AN489" s="282">
        <f>AN490+AN491-AN492-AN493</f>
        <v>55016</v>
      </c>
      <c r="AO489" s="282">
        <f>AO490+AO491-AO492-AO493</f>
        <v>56723</v>
      </c>
      <c r="AQ489" s="282">
        <f>AQ490+AQ491-AQ492-AQ493</f>
        <v>22267</v>
      </c>
      <c r="AR489" s="282">
        <f>AR490+AR491-AR492-AR493</f>
        <v>23202</v>
      </c>
      <c r="AT489" s="282">
        <f>AT490+AT491-AT492-AT493</f>
        <v>34434</v>
      </c>
      <c r="AU489" s="282">
        <f>AU490+AU491-AU492-AU493</f>
        <v>34434</v>
      </c>
      <c r="AW489" s="282">
        <f>AW490+AW491-AW492-AW493</f>
        <v>19794</v>
      </c>
      <c r="AX489" s="282">
        <f>AX490+AX491-AX492-AX493</f>
        <v>19794</v>
      </c>
      <c r="AZ489" s="282">
        <f>AZ490+AZ491-AZ492-AZ493</f>
        <v>26752</v>
      </c>
      <c r="BA489" s="282">
        <f>BA490+BA491-BA492-BA493</f>
        <v>28338</v>
      </c>
      <c r="BC489" s="282">
        <f>BC490+BC491-BC492-BC493</f>
        <v>42384</v>
      </c>
      <c r="BD489" s="282">
        <f>BD490+BD491-BD492-BD493</f>
        <v>42384</v>
      </c>
      <c r="BF489" s="282">
        <f>BF490+BF491-BF492-BF493</f>
        <v>96675</v>
      </c>
      <c r="BG489" s="282">
        <f>BG490+BG491-BG492-BG493</f>
        <v>110717</v>
      </c>
      <c r="BI489" s="282">
        <f>BI490+BI491-BI492-BI493</f>
        <v>147904</v>
      </c>
      <c r="BJ489" s="282">
        <f>BJ490+BJ491-BJ492-BJ493</f>
        <v>149321</v>
      </c>
      <c r="BL489" s="282">
        <f>BL490+BL491-BL492-BL493</f>
        <v>17314</v>
      </c>
      <c r="BM489" s="282">
        <f>BM490+BM491-BM492-BM493</f>
        <v>17314</v>
      </c>
      <c r="BO489" s="282">
        <f>BO490+BO491-BO492-BO493</f>
        <v>17211</v>
      </c>
      <c r="BP489" s="282">
        <f>BP490+BP491-BP492-BP493</f>
        <v>17268</v>
      </c>
      <c r="BR489" s="282">
        <f>BR490+BR491-BR492-BR493</f>
        <v>24595</v>
      </c>
      <c r="BS489" s="282">
        <f>BS490+BS491-BS492-BS493</f>
        <v>24595</v>
      </c>
      <c r="BU489" s="282">
        <f>BU490+BU491-BU492-BU493</f>
        <v>25091</v>
      </c>
      <c r="BV489" s="282">
        <f>BV490+BV491-BV492-BV493</f>
        <v>24048</v>
      </c>
      <c r="BX489" s="282">
        <f>BX490+BX491-BX492-BX493</f>
        <v>10296</v>
      </c>
      <c r="BY489" s="282">
        <f>BY490+BY491-BY492-BY493</f>
        <v>10416</v>
      </c>
      <c r="CA489" s="282">
        <f>CA490+CA491-CA492-CA493</f>
        <v>32939</v>
      </c>
      <c r="CB489" s="282">
        <f>CB490+CB491-CB492-CB493</f>
        <v>34326</v>
      </c>
      <c r="CD489" s="282">
        <f>CD490+CD491-CD492-CD493</f>
        <v>24273</v>
      </c>
      <c r="CE489" s="282">
        <f>CE490+CE491-CE492-CE493</f>
        <v>25731</v>
      </c>
      <c r="CG489" s="282">
        <f>CG490+CG491-CG492-CG493</f>
        <v>33721</v>
      </c>
      <c r="CH489" s="282">
        <f>CH490+CH491-CH492-CH493</f>
        <v>33865</v>
      </c>
      <c r="CJ489" s="282">
        <f>CJ490+CJ491-CJ492-CJ493</f>
        <v>0</v>
      </c>
      <c r="CK489" s="282">
        <f>CK490+CK491-CK492-CK493</f>
        <v>0</v>
      </c>
    </row>
    <row r="490" spans="1:89" ht="30" x14ac:dyDescent="0.25">
      <c r="A490" s="16"/>
      <c r="B490" s="312"/>
      <c r="C490" s="312" t="s">
        <v>2437</v>
      </c>
      <c r="D490" s="95"/>
      <c r="E490" s="282"/>
      <c r="F490" s="282"/>
      <c r="G490" s="282"/>
      <c r="H490" s="282">
        <v>1843617</v>
      </c>
      <c r="I490" s="282">
        <v>700818</v>
      </c>
      <c r="J490" s="282">
        <v>699679</v>
      </c>
      <c r="K490" s="282">
        <v>703392</v>
      </c>
      <c r="L490" s="282">
        <v>31725</v>
      </c>
      <c r="M490" s="282">
        <v>15077</v>
      </c>
      <c r="N490" s="282">
        <v>15077</v>
      </c>
      <c r="O490" s="286"/>
      <c r="P490" s="286"/>
      <c r="Q490" s="286">
        <f t="shared" ref="Q490:R493" si="859">S490+V490+Y490+AB490+AE490+AH490+AK490+AN490+AQ490+AT490+AW490+AZ490+BC490+BF490+BI490+BL490+BO490+BR490+BU490+BX490+CA490+CD490+CG490+CJ490</f>
        <v>703392</v>
      </c>
      <c r="R490" s="286">
        <f t="shared" si="859"/>
        <v>727008</v>
      </c>
      <c r="S490" s="286">
        <v>8420</v>
      </c>
      <c r="T490" s="286">
        <v>10878</v>
      </c>
      <c r="U490" s="286"/>
      <c r="V490" s="286">
        <v>8574</v>
      </c>
      <c r="W490" s="286">
        <v>8574</v>
      </c>
      <c r="X490" s="286"/>
      <c r="Y490" s="286">
        <v>16326</v>
      </c>
      <c r="Z490" s="286">
        <v>16326</v>
      </c>
      <c r="AA490" s="286"/>
      <c r="AB490" s="286">
        <v>6980</v>
      </c>
      <c r="AC490" s="286">
        <v>7297</v>
      </c>
      <c r="AD490" s="286"/>
      <c r="AE490" s="286">
        <v>17848</v>
      </c>
      <c r="AF490" s="286">
        <v>18592</v>
      </c>
      <c r="AG490" s="286"/>
      <c r="AH490" s="286">
        <v>14094</v>
      </c>
      <c r="AI490" s="286">
        <v>14094</v>
      </c>
      <c r="AJ490" s="286"/>
      <c r="AK490" s="286">
        <v>24328</v>
      </c>
      <c r="AL490" s="286">
        <v>24328</v>
      </c>
      <c r="AM490" s="286"/>
      <c r="AN490" s="286">
        <v>34511</v>
      </c>
      <c r="AO490" s="286">
        <v>34511</v>
      </c>
      <c r="AP490" s="286"/>
      <c r="AQ490" s="286">
        <v>0</v>
      </c>
      <c r="AR490" s="286">
        <v>0</v>
      </c>
      <c r="AS490" s="286"/>
      <c r="AT490" s="286">
        <v>34434</v>
      </c>
      <c r="AU490" s="286">
        <v>34434</v>
      </c>
      <c r="AV490" s="286"/>
      <c r="AW490" s="286">
        <v>19794</v>
      </c>
      <c r="AX490" s="286">
        <v>19794</v>
      </c>
      <c r="AY490" s="286"/>
      <c r="AZ490" s="286">
        <v>29150</v>
      </c>
      <c r="BA490" s="286">
        <v>31178</v>
      </c>
      <c r="BB490" s="286"/>
      <c r="BC490" s="286">
        <v>42384</v>
      </c>
      <c r="BD490" s="286">
        <v>42384</v>
      </c>
      <c r="BE490" s="286"/>
      <c r="BF490" s="286">
        <v>112483</v>
      </c>
      <c r="BG490" s="286">
        <v>127028</v>
      </c>
      <c r="BH490" s="286"/>
      <c r="BI490" s="286">
        <v>151122</v>
      </c>
      <c r="BJ490" s="286">
        <v>152523</v>
      </c>
      <c r="BK490" s="286"/>
      <c r="BL490" s="286">
        <v>17314</v>
      </c>
      <c r="BM490" s="286">
        <v>17314</v>
      </c>
      <c r="BN490" s="286"/>
      <c r="BO490" s="286">
        <v>17551</v>
      </c>
      <c r="BP490" s="286">
        <v>17608</v>
      </c>
      <c r="BQ490" s="286"/>
      <c r="BR490" s="286">
        <v>24595</v>
      </c>
      <c r="BS490" s="286">
        <v>24595</v>
      </c>
      <c r="BT490" s="286"/>
      <c r="BU490" s="286">
        <v>25416</v>
      </c>
      <c r="BV490" s="286">
        <v>24373</v>
      </c>
      <c r="BW490" s="286"/>
      <c r="BX490" s="286">
        <v>10296</v>
      </c>
      <c r="BY490" s="286">
        <v>10416</v>
      </c>
      <c r="BZ490" s="286"/>
      <c r="CA490" s="286">
        <v>32939</v>
      </c>
      <c r="CB490" s="286">
        <v>34326</v>
      </c>
      <c r="CC490" s="286"/>
      <c r="CD490" s="286">
        <v>24273</v>
      </c>
      <c r="CE490" s="286">
        <v>25731</v>
      </c>
      <c r="CF490" s="286"/>
      <c r="CG490" s="286">
        <v>30560</v>
      </c>
      <c r="CH490" s="286">
        <v>30704</v>
      </c>
      <c r="CI490" s="286"/>
      <c r="CJ490" s="286">
        <v>0</v>
      </c>
      <c r="CK490" s="286">
        <v>0</v>
      </c>
    </row>
    <row r="491" spans="1:89" ht="30" x14ac:dyDescent="0.25">
      <c r="A491" s="16"/>
      <c r="B491" s="312"/>
      <c r="C491" s="312" t="s">
        <v>2437</v>
      </c>
      <c r="D491" s="95"/>
      <c r="E491" s="282"/>
      <c r="F491" s="282"/>
      <c r="G491" s="282"/>
      <c r="H491" s="282">
        <v>394705</v>
      </c>
      <c r="I491" s="282">
        <v>120197</v>
      </c>
      <c r="J491" s="282">
        <v>119331</v>
      </c>
      <c r="K491" s="282">
        <v>126469</v>
      </c>
      <c r="L491" s="282">
        <v>0</v>
      </c>
      <c r="M491" s="282">
        <v>17412</v>
      </c>
      <c r="N491" s="282">
        <v>17412</v>
      </c>
      <c r="Q491" s="286">
        <f t="shared" si="859"/>
        <v>126469</v>
      </c>
      <c r="R491" s="286">
        <f t="shared" si="859"/>
        <v>126736</v>
      </c>
      <c r="S491" s="286">
        <v>10988</v>
      </c>
      <c r="T491" s="286">
        <v>11064</v>
      </c>
      <c r="U491" s="286"/>
      <c r="V491" s="286">
        <v>8037</v>
      </c>
      <c r="W491" s="286">
        <v>8037</v>
      </c>
      <c r="X491" s="286"/>
      <c r="Y491" s="286">
        <v>14618</v>
      </c>
      <c r="Z491" s="286">
        <v>14618</v>
      </c>
      <c r="AA491" s="286"/>
      <c r="AB491" s="286">
        <v>13709</v>
      </c>
      <c r="AC491" s="286">
        <v>13709</v>
      </c>
      <c r="AD491" s="286"/>
      <c r="AE491" s="286">
        <v>11256</v>
      </c>
      <c r="AF491" s="286">
        <v>10512</v>
      </c>
      <c r="AG491" s="286"/>
      <c r="AH491" s="286">
        <v>17631</v>
      </c>
      <c r="AI491" s="286">
        <v>17631</v>
      </c>
      <c r="AJ491" s="286"/>
      <c r="AK491" s="286">
        <v>1223</v>
      </c>
      <c r="AL491" s="286">
        <v>1223</v>
      </c>
      <c r="AM491" s="286"/>
      <c r="AN491" s="286">
        <v>23099</v>
      </c>
      <c r="AO491" s="286">
        <v>23099</v>
      </c>
      <c r="AP491" s="286"/>
      <c r="AQ491" s="286">
        <v>22267</v>
      </c>
      <c r="AR491" s="286">
        <v>23202</v>
      </c>
      <c r="AS491" s="286"/>
      <c r="AT491" s="286">
        <v>0</v>
      </c>
      <c r="AU491" s="286">
        <v>0</v>
      </c>
      <c r="AV491" s="286"/>
      <c r="AW491" s="286">
        <v>0</v>
      </c>
      <c r="AX491" s="286">
        <v>0</v>
      </c>
      <c r="AY491" s="286"/>
      <c r="AZ491" s="286">
        <v>0</v>
      </c>
      <c r="BA491" s="286">
        <v>0</v>
      </c>
      <c r="BB491" s="286"/>
      <c r="BC491" s="286">
        <v>0</v>
      </c>
      <c r="BD491" s="286">
        <v>0</v>
      </c>
      <c r="BE491" s="286"/>
      <c r="BF491" s="286">
        <v>0</v>
      </c>
      <c r="BG491" s="286">
        <v>0</v>
      </c>
      <c r="BH491" s="286"/>
      <c r="BI491" s="286">
        <v>0</v>
      </c>
      <c r="BJ491" s="286">
        <v>0</v>
      </c>
      <c r="BK491" s="286"/>
      <c r="BL491" s="286">
        <v>0</v>
      </c>
      <c r="BM491" s="286">
        <v>0</v>
      </c>
      <c r="BN491" s="286"/>
      <c r="BO491" s="286">
        <v>0</v>
      </c>
      <c r="BP491" s="286">
        <v>0</v>
      </c>
      <c r="BQ491" s="286"/>
      <c r="BR491" s="286">
        <v>0</v>
      </c>
      <c r="BS491" s="286">
        <v>0</v>
      </c>
      <c r="BT491" s="286"/>
      <c r="BU491" s="286">
        <v>0</v>
      </c>
      <c r="BV491" s="286">
        <v>0</v>
      </c>
      <c r="BW491" s="286"/>
      <c r="BX491" s="286">
        <v>0</v>
      </c>
      <c r="BY491" s="286">
        <v>0</v>
      </c>
      <c r="BZ491" s="286"/>
      <c r="CA491" s="286">
        <v>0</v>
      </c>
      <c r="CB491" s="286">
        <v>0</v>
      </c>
      <c r="CC491" s="286"/>
      <c r="CD491" s="286">
        <v>0</v>
      </c>
      <c r="CE491" s="286">
        <v>0</v>
      </c>
      <c r="CF491" s="286"/>
      <c r="CG491" s="286">
        <v>3641</v>
      </c>
      <c r="CH491" s="286">
        <v>3641</v>
      </c>
      <c r="CI491" s="286"/>
      <c r="CJ491" s="286">
        <v>0</v>
      </c>
      <c r="CK491" s="286">
        <v>0</v>
      </c>
    </row>
    <row r="492" spans="1:89" ht="30" x14ac:dyDescent="0.25">
      <c r="A492" s="107"/>
      <c r="B492" s="312"/>
      <c r="C492" s="312" t="s">
        <v>2438</v>
      </c>
      <c r="D492" s="95"/>
      <c r="E492" s="282"/>
      <c r="F492" s="282"/>
      <c r="G492" s="282"/>
      <c r="H492" s="282">
        <v>23428</v>
      </c>
      <c r="I492" s="282">
        <v>18608</v>
      </c>
      <c r="J492" s="282">
        <v>22264</v>
      </c>
      <c r="K492" s="282">
        <v>26109</v>
      </c>
      <c r="L492" s="282">
        <v>0</v>
      </c>
      <c r="M492" s="282">
        <v>0</v>
      </c>
      <c r="N492" s="282">
        <v>0</v>
      </c>
      <c r="O492" s="286"/>
      <c r="Q492" s="286">
        <f t="shared" si="859"/>
        <v>26109</v>
      </c>
      <c r="R492" s="286">
        <f t="shared" si="859"/>
        <v>25487</v>
      </c>
      <c r="S492" s="286">
        <v>149</v>
      </c>
      <c r="T492" s="286">
        <v>148</v>
      </c>
      <c r="U492" s="286"/>
      <c r="V492" s="286">
        <v>0</v>
      </c>
      <c r="W492" s="286">
        <v>0</v>
      </c>
      <c r="X492" s="286"/>
      <c r="Y492" s="286">
        <v>0</v>
      </c>
      <c r="Z492" s="286">
        <v>0</v>
      </c>
      <c r="AA492" s="286"/>
      <c r="AB492" s="286">
        <v>0</v>
      </c>
      <c r="AC492" s="286">
        <v>0</v>
      </c>
      <c r="AD492" s="286"/>
      <c r="AE492" s="286">
        <v>1188</v>
      </c>
      <c r="AF492" s="286">
        <v>1188</v>
      </c>
      <c r="AG492" s="286"/>
      <c r="AH492" s="286">
        <v>0</v>
      </c>
      <c r="AI492" s="286">
        <v>0</v>
      </c>
      <c r="AJ492" s="286"/>
      <c r="AK492" s="286">
        <v>0</v>
      </c>
      <c r="AL492" s="286">
        <v>0</v>
      </c>
      <c r="AM492" s="286"/>
      <c r="AN492" s="286">
        <v>2203</v>
      </c>
      <c r="AO492" s="286">
        <v>653</v>
      </c>
      <c r="AP492" s="286"/>
      <c r="AQ492" s="286">
        <v>0</v>
      </c>
      <c r="AR492" s="286">
        <v>0</v>
      </c>
      <c r="AS492" s="286"/>
      <c r="AT492" s="286">
        <v>0</v>
      </c>
      <c r="AU492" s="286">
        <v>0</v>
      </c>
      <c r="AV492" s="286"/>
      <c r="AW492" s="286">
        <v>0</v>
      </c>
      <c r="AX492" s="286">
        <v>0</v>
      </c>
      <c r="AY492" s="286"/>
      <c r="AZ492" s="286">
        <v>2398</v>
      </c>
      <c r="BA492" s="286">
        <v>2840</v>
      </c>
      <c r="BB492" s="286"/>
      <c r="BC492" s="286">
        <v>0</v>
      </c>
      <c r="BD492" s="286">
        <v>0</v>
      </c>
      <c r="BE492" s="286"/>
      <c r="BF492" s="286">
        <v>15808</v>
      </c>
      <c r="BG492" s="286">
        <v>16311</v>
      </c>
      <c r="BH492" s="286"/>
      <c r="BI492" s="286">
        <v>3218</v>
      </c>
      <c r="BJ492" s="286">
        <v>3202</v>
      </c>
      <c r="BK492" s="286"/>
      <c r="BL492" s="286">
        <v>0</v>
      </c>
      <c r="BM492" s="286">
        <v>0</v>
      </c>
      <c r="BN492" s="286"/>
      <c r="BO492" s="286">
        <v>340</v>
      </c>
      <c r="BP492" s="286">
        <v>340</v>
      </c>
      <c r="BQ492" s="286"/>
      <c r="BR492" s="286">
        <v>0</v>
      </c>
      <c r="BS492" s="286">
        <v>0</v>
      </c>
      <c r="BT492" s="286"/>
      <c r="BU492" s="286">
        <v>325</v>
      </c>
      <c r="BV492" s="286">
        <v>325</v>
      </c>
      <c r="BW492" s="286"/>
      <c r="BX492" s="286">
        <v>0</v>
      </c>
      <c r="BY492" s="286">
        <v>0</v>
      </c>
      <c r="BZ492" s="286"/>
      <c r="CA492" s="286">
        <v>0</v>
      </c>
      <c r="CB492" s="286">
        <v>0</v>
      </c>
      <c r="CC492" s="286"/>
      <c r="CD492" s="286">
        <v>0</v>
      </c>
      <c r="CE492" s="286">
        <v>0</v>
      </c>
      <c r="CF492" s="286"/>
      <c r="CG492" s="286">
        <v>480</v>
      </c>
      <c r="CH492" s="286">
        <v>480</v>
      </c>
      <c r="CI492" s="286"/>
      <c r="CJ492" s="286">
        <v>0</v>
      </c>
      <c r="CK492" s="286">
        <v>0</v>
      </c>
    </row>
    <row r="493" spans="1:89" ht="30" x14ac:dyDescent="0.25">
      <c r="A493" s="107"/>
      <c r="B493" s="312"/>
      <c r="C493" s="312" t="s">
        <v>2438</v>
      </c>
      <c r="D493" s="95"/>
      <c r="E493" s="282"/>
      <c r="F493" s="282"/>
      <c r="G493" s="282"/>
      <c r="H493" s="282">
        <v>2436</v>
      </c>
      <c r="I493" s="282">
        <v>259</v>
      </c>
      <c r="J493" s="282">
        <v>398</v>
      </c>
      <c r="K493" s="282">
        <v>535</v>
      </c>
      <c r="L493" s="282">
        <v>0</v>
      </c>
      <c r="M493" s="282">
        <v>0</v>
      </c>
      <c r="N493" s="282">
        <v>0</v>
      </c>
      <c r="O493" s="283"/>
      <c r="Q493" s="286">
        <f t="shared" si="859"/>
        <v>535</v>
      </c>
      <c r="R493" s="286">
        <f t="shared" si="859"/>
        <v>378</v>
      </c>
      <c r="S493" s="302">
        <v>0</v>
      </c>
      <c r="T493" s="286">
        <v>0</v>
      </c>
      <c r="U493" s="286"/>
      <c r="V493" s="302">
        <v>0</v>
      </c>
      <c r="W493" s="286">
        <v>0</v>
      </c>
      <c r="X493" s="286"/>
      <c r="Y493" s="302">
        <v>0</v>
      </c>
      <c r="Z493" s="286">
        <v>0</v>
      </c>
      <c r="AA493" s="286"/>
      <c r="AB493" s="302">
        <v>144</v>
      </c>
      <c r="AC493" s="286">
        <v>144</v>
      </c>
      <c r="AD493" s="286"/>
      <c r="AE493" s="286">
        <v>0</v>
      </c>
      <c r="AF493" s="286">
        <v>0</v>
      </c>
      <c r="AG493" s="286"/>
      <c r="AH493" s="302">
        <v>0</v>
      </c>
      <c r="AI493" s="286">
        <v>0</v>
      </c>
      <c r="AJ493" s="286"/>
      <c r="AK493" s="302">
        <v>0</v>
      </c>
      <c r="AL493" s="286">
        <v>0</v>
      </c>
      <c r="AM493" s="286"/>
      <c r="AN493" s="302">
        <v>391</v>
      </c>
      <c r="AO493" s="286">
        <v>234</v>
      </c>
      <c r="AP493" s="286"/>
      <c r="AQ493" s="302">
        <v>0</v>
      </c>
      <c r="AR493" s="286">
        <v>0</v>
      </c>
      <c r="AS493" s="286"/>
      <c r="AT493" s="286">
        <v>0</v>
      </c>
      <c r="AU493" s="286">
        <v>0</v>
      </c>
      <c r="AV493" s="286"/>
      <c r="AW493" s="286">
        <v>0</v>
      </c>
      <c r="AX493" s="286">
        <v>0</v>
      </c>
      <c r="AY493" s="286"/>
      <c r="AZ493" s="286">
        <v>0</v>
      </c>
      <c r="BA493" s="286">
        <v>0</v>
      </c>
      <c r="BB493" s="286"/>
      <c r="BC493" s="286">
        <v>0</v>
      </c>
      <c r="BD493" s="286">
        <v>0</v>
      </c>
      <c r="BE493" s="286"/>
      <c r="BF493" s="286">
        <v>0</v>
      </c>
      <c r="BG493" s="286">
        <v>0</v>
      </c>
      <c r="BH493" s="286"/>
      <c r="BI493" s="286">
        <v>0</v>
      </c>
      <c r="BJ493" s="286">
        <v>0</v>
      </c>
      <c r="BK493" s="286"/>
      <c r="BL493" s="286">
        <v>0</v>
      </c>
      <c r="BM493" s="286">
        <v>0</v>
      </c>
      <c r="BN493" s="286"/>
      <c r="BO493" s="302">
        <v>0</v>
      </c>
      <c r="BP493" s="286">
        <v>0</v>
      </c>
      <c r="BQ493" s="286"/>
      <c r="BR493" s="302">
        <v>0</v>
      </c>
      <c r="BS493" s="286">
        <v>0</v>
      </c>
      <c r="BT493" s="286"/>
      <c r="BU493" s="302">
        <v>0</v>
      </c>
      <c r="BV493" s="286">
        <v>0</v>
      </c>
      <c r="BW493" s="286"/>
      <c r="BX493" s="286">
        <v>0</v>
      </c>
      <c r="BY493" s="286">
        <v>0</v>
      </c>
      <c r="BZ493" s="286"/>
      <c r="CA493" s="286">
        <v>0</v>
      </c>
      <c r="CB493" s="286">
        <v>0</v>
      </c>
      <c r="CC493" s="286"/>
      <c r="CD493" s="286">
        <v>0</v>
      </c>
      <c r="CE493" s="286">
        <v>0</v>
      </c>
      <c r="CF493" s="286"/>
      <c r="CG493" s="302">
        <v>0</v>
      </c>
      <c r="CH493" s="286">
        <v>0</v>
      </c>
      <c r="CI493" s="286"/>
      <c r="CJ493" s="286">
        <v>0</v>
      </c>
      <c r="CK493" s="286">
        <v>0</v>
      </c>
    </row>
    <row r="494" spans="1:89" x14ac:dyDescent="0.25">
      <c r="A494" s="16"/>
      <c r="B494" s="16" t="s">
        <v>1184</v>
      </c>
      <c r="C494" s="95"/>
      <c r="D494" s="95"/>
      <c r="E494" s="282"/>
      <c r="F494" s="282"/>
      <c r="G494" s="282"/>
      <c r="H494" s="282">
        <f>H495+H496-H497-H498</f>
        <v>10710</v>
      </c>
      <c r="I494" s="282">
        <f>I495+I496-I497-I498</f>
        <v>4709</v>
      </c>
      <c r="J494" s="282">
        <f>J495+J496-J497-J498</f>
        <v>4709</v>
      </c>
      <c r="K494" s="282">
        <f>K495+K496-K497-K498</f>
        <v>4709</v>
      </c>
      <c r="L494" s="282">
        <f>L495+L496-L497-L498</f>
        <v>0</v>
      </c>
      <c r="M494" s="282">
        <f t="shared" ref="M494:N494" si="860">M495+M496-M497-M498</f>
        <v>0</v>
      </c>
      <c r="N494" s="282">
        <f t="shared" si="860"/>
        <v>0</v>
      </c>
      <c r="Q494" s="282">
        <f>Q495+Q496-Q497-Q498</f>
        <v>4709</v>
      </c>
      <c r="R494" s="282">
        <f>R495+R496-R497-R498</f>
        <v>4709</v>
      </c>
      <c r="S494" s="282">
        <f>S495+S496-S497-S498</f>
        <v>0</v>
      </c>
      <c r="T494" s="282">
        <f>T495+T496-T497-T498</f>
        <v>0</v>
      </c>
      <c r="U494" s="286"/>
      <c r="V494" s="282">
        <f>V495+V496-V497-V498</f>
        <v>0</v>
      </c>
      <c r="W494" s="282">
        <f>W495+W496-W497-W498</f>
        <v>0</v>
      </c>
      <c r="X494" s="286"/>
      <c r="Y494" s="282">
        <f>Y495+Y496-Y497-Y498</f>
        <v>0</v>
      </c>
      <c r="Z494" s="282">
        <f>Z495+Z496-Z497-Z498</f>
        <v>0</v>
      </c>
      <c r="AA494" s="286"/>
      <c r="AB494" s="282">
        <f>AB495+AB496-AB497-AB498</f>
        <v>0</v>
      </c>
      <c r="AC494" s="282">
        <f>AC495+AC496-AC497-AC498</f>
        <v>0</v>
      </c>
      <c r="AD494" s="286"/>
      <c r="AE494" s="282">
        <f>AE495+AE496-AE497-AE498</f>
        <v>0</v>
      </c>
      <c r="AF494" s="282">
        <f>AF495+AF496-AF497-AF498</f>
        <v>0</v>
      </c>
      <c r="AG494" s="286"/>
      <c r="AH494" s="282">
        <f>AH495+AH496-AH497-AH498</f>
        <v>0</v>
      </c>
      <c r="AI494" s="282">
        <f>AI495+AI496-AI497-AI498</f>
        <v>0</v>
      </c>
      <c r="AJ494" s="286"/>
      <c r="AK494" s="282">
        <f>AK495+AK496-AK497-AK498</f>
        <v>0</v>
      </c>
      <c r="AL494" s="282">
        <f>AL495+AL496-AL497-AL498</f>
        <v>0</v>
      </c>
      <c r="AM494" s="286"/>
      <c r="AN494" s="282">
        <f>AN495+AN496-AN497-AN498</f>
        <v>0</v>
      </c>
      <c r="AO494" s="282">
        <f>AO495+AO496-AO497-AO498</f>
        <v>0</v>
      </c>
      <c r="AP494" s="286"/>
      <c r="AQ494" s="282">
        <f>AQ495+AQ496-AQ497-AQ498</f>
        <v>0</v>
      </c>
      <c r="AR494" s="282">
        <f>AR495+AR496-AR497-AR498</f>
        <v>0</v>
      </c>
      <c r="AS494" s="286"/>
      <c r="AT494" s="282">
        <f>AT495+AT496-AT497-AT498</f>
        <v>0</v>
      </c>
      <c r="AU494" s="282">
        <f>AU495+AU496-AU497-AU498</f>
        <v>0</v>
      </c>
      <c r="AV494" s="286"/>
      <c r="AW494" s="282">
        <f>AW495+AW496-AW497-AW498</f>
        <v>0</v>
      </c>
      <c r="AX494" s="282">
        <f>AX495+AX496-AX497-AX498</f>
        <v>0</v>
      </c>
      <c r="AY494" s="286"/>
      <c r="AZ494" s="282">
        <f>AZ495+AZ496-AZ497-AZ498</f>
        <v>0</v>
      </c>
      <c r="BA494" s="282">
        <f>BA495+BA496-BA497-BA498</f>
        <v>0</v>
      </c>
      <c r="BB494" s="286"/>
      <c r="BC494" s="282">
        <f>BC495+BC496-BC497-BC498</f>
        <v>471</v>
      </c>
      <c r="BD494" s="282">
        <f>BD495+BD496-BD497-BD498</f>
        <v>471</v>
      </c>
      <c r="BE494" s="286"/>
      <c r="BF494" s="282">
        <f>BF495+BF496-BF497-BF498</f>
        <v>1291</v>
      </c>
      <c r="BG494" s="282">
        <f>BG495+BG496-BG497-BG498</f>
        <v>1291</v>
      </c>
      <c r="BH494" s="286"/>
      <c r="BI494" s="282">
        <f>BI495+BI496-BI497-BI498</f>
        <v>1462</v>
      </c>
      <c r="BJ494" s="282">
        <f>BJ495+BJ496-BJ497-BJ498</f>
        <v>1462</v>
      </c>
      <c r="BK494" s="286"/>
      <c r="BL494" s="282">
        <f>BL495+BL496-BL497-BL498</f>
        <v>0</v>
      </c>
      <c r="BM494" s="282">
        <f>BM495+BM496-BM497-BM498</f>
        <v>0</v>
      </c>
      <c r="BN494" s="286"/>
      <c r="BO494" s="282">
        <f>BO495+BO496-BO497-BO498</f>
        <v>0</v>
      </c>
      <c r="BP494" s="282">
        <f>BP495+BP496-BP497-BP498</f>
        <v>0</v>
      </c>
      <c r="BQ494" s="286"/>
      <c r="BR494" s="282">
        <f>BR495+BR496-BR497-BR498</f>
        <v>0</v>
      </c>
      <c r="BS494" s="282">
        <f>BS495+BS496-BS497-BS498</f>
        <v>0</v>
      </c>
      <c r="BT494" s="286"/>
      <c r="BU494" s="282">
        <f>BU495+BU496-BU497-BU498</f>
        <v>0</v>
      </c>
      <c r="BV494" s="282">
        <f>BV495+BV496-BV497-BV498</f>
        <v>0</v>
      </c>
      <c r="BW494" s="286"/>
      <c r="BX494" s="282">
        <f>BX495+BX496-BX497-BX498</f>
        <v>0</v>
      </c>
      <c r="BY494" s="282">
        <f>BY495+BY496-BY497-BY498</f>
        <v>0</v>
      </c>
      <c r="BZ494" s="286"/>
      <c r="CA494" s="282">
        <f>CA495+CA496-CA497-CA498</f>
        <v>0</v>
      </c>
      <c r="CB494" s="282">
        <f>CB495+CB496-CB497-CB498</f>
        <v>0</v>
      </c>
      <c r="CC494" s="286"/>
      <c r="CD494" s="282">
        <f>CD495+CD496-CD497-CD498</f>
        <v>1485</v>
      </c>
      <c r="CE494" s="282">
        <f>CE495+CE496-CE497-CE498</f>
        <v>1485</v>
      </c>
      <c r="CF494" s="286"/>
      <c r="CG494" s="282">
        <f>CG495+CG496-CG497-CG498</f>
        <v>0</v>
      </c>
      <c r="CH494" s="282">
        <f>CH495+CH496-CH497-CH498</f>
        <v>0</v>
      </c>
      <c r="CI494" s="286"/>
      <c r="CJ494" s="282">
        <f>CJ495+CJ496-CJ497-CJ498</f>
        <v>0</v>
      </c>
      <c r="CK494" s="282">
        <f>CK495+CK496-CK497-CK498</f>
        <v>0</v>
      </c>
    </row>
    <row r="495" spans="1:89" ht="30" x14ac:dyDescent="0.25">
      <c r="A495" s="16"/>
      <c r="B495" s="312"/>
      <c r="C495" s="312" t="s">
        <v>2437</v>
      </c>
      <c r="D495" s="95"/>
      <c r="E495" s="282"/>
      <c r="F495" s="282"/>
      <c r="G495" s="282"/>
      <c r="H495" s="282">
        <v>10710</v>
      </c>
      <c r="I495" s="282">
        <v>4709</v>
      </c>
      <c r="J495" s="282">
        <v>4709</v>
      </c>
      <c r="K495" s="282">
        <v>4709</v>
      </c>
      <c r="L495" s="282">
        <v>0</v>
      </c>
      <c r="M495" s="282">
        <v>0</v>
      </c>
      <c r="N495" s="282">
        <v>0</v>
      </c>
      <c r="Q495" s="286">
        <f t="shared" ref="Q495:R498" si="861">S495+V495+Y495+AB495+AE495+AH495+AK495+AN495+AQ495+AT495+AW495+AZ495+BC495+BF495+BI495+BL495+BO495+BR495+BU495+BX495+CA495+CD495+CG495+CJ495</f>
        <v>4709</v>
      </c>
      <c r="R495" s="286">
        <f t="shared" si="861"/>
        <v>4709</v>
      </c>
      <c r="S495" s="286">
        <v>0</v>
      </c>
      <c r="T495" s="286">
        <v>0</v>
      </c>
      <c r="U495" s="286"/>
      <c r="V495" s="286">
        <v>0</v>
      </c>
      <c r="W495" s="286">
        <v>0</v>
      </c>
      <c r="X495" s="286"/>
      <c r="Y495" s="286">
        <v>0</v>
      </c>
      <c r="Z495" s="286">
        <v>0</v>
      </c>
      <c r="AA495" s="286"/>
      <c r="AB495" s="286">
        <v>0</v>
      </c>
      <c r="AC495" s="286">
        <v>0</v>
      </c>
      <c r="AD495" s="286"/>
      <c r="AE495" s="286">
        <v>0</v>
      </c>
      <c r="AF495" s="286">
        <v>0</v>
      </c>
      <c r="AG495" s="286"/>
      <c r="AH495" s="286">
        <v>0</v>
      </c>
      <c r="AI495" s="286">
        <v>0</v>
      </c>
      <c r="AJ495" s="286"/>
      <c r="AK495" s="286">
        <v>0</v>
      </c>
      <c r="AL495" s="286">
        <v>0</v>
      </c>
      <c r="AM495" s="286"/>
      <c r="AN495" s="286">
        <v>0</v>
      </c>
      <c r="AO495" s="286">
        <v>0</v>
      </c>
      <c r="AP495" s="286"/>
      <c r="AQ495" s="286">
        <v>0</v>
      </c>
      <c r="AR495" s="286">
        <v>0</v>
      </c>
      <c r="AS495" s="286"/>
      <c r="AT495" s="286">
        <v>0</v>
      </c>
      <c r="AU495" s="286">
        <v>0</v>
      </c>
      <c r="AV495" s="286"/>
      <c r="AW495" s="286">
        <v>0</v>
      </c>
      <c r="AX495" s="286">
        <v>0</v>
      </c>
      <c r="AY495" s="286"/>
      <c r="AZ495" s="286">
        <v>0</v>
      </c>
      <c r="BA495" s="286">
        <v>0</v>
      </c>
      <c r="BB495" s="286"/>
      <c r="BC495" s="302">
        <v>471</v>
      </c>
      <c r="BD495" s="302">
        <v>471</v>
      </c>
      <c r="BE495" s="286"/>
      <c r="BF495" s="302">
        <v>1291</v>
      </c>
      <c r="BG495" s="302">
        <v>1291</v>
      </c>
      <c r="BH495" s="286"/>
      <c r="BI495" s="302">
        <v>1462</v>
      </c>
      <c r="BJ495" s="302">
        <v>1462</v>
      </c>
      <c r="BK495" s="286"/>
      <c r="BL495" s="286">
        <v>0</v>
      </c>
      <c r="BM495" s="286">
        <v>0</v>
      </c>
      <c r="BN495" s="286"/>
      <c r="BO495" s="286">
        <v>0</v>
      </c>
      <c r="BP495" s="286">
        <v>0</v>
      </c>
      <c r="BQ495" s="286"/>
      <c r="BR495" s="286">
        <v>0</v>
      </c>
      <c r="BS495" s="286">
        <v>0</v>
      </c>
      <c r="BT495" s="286"/>
      <c r="BU495" s="286">
        <v>0</v>
      </c>
      <c r="BV495" s="286">
        <v>0</v>
      </c>
      <c r="BW495" s="286"/>
      <c r="BX495" s="286">
        <v>0</v>
      </c>
      <c r="BY495" s="286">
        <v>0</v>
      </c>
      <c r="BZ495" s="286"/>
      <c r="CA495" s="286">
        <v>0</v>
      </c>
      <c r="CB495" s="286">
        <v>0</v>
      </c>
      <c r="CC495" s="286"/>
      <c r="CD495" s="302">
        <v>1485</v>
      </c>
      <c r="CE495" s="302">
        <v>1485</v>
      </c>
      <c r="CF495" s="286"/>
      <c r="CG495" s="286">
        <v>0</v>
      </c>
      <c r="CH495" s="286">
        <v>0</v>
      </c>
      <c r="CI495" s="286"/>
      <c r="CJ495" s="286">
        <v>0</v>
      </c>
      <c r="CK495" s="286">
        <v>0</v>
      </c>
    </row>
    <row r="496" spans="1:89" ht="30" x14ac:dyDescent="0.25">
      <c r="A496" s="16"/>
      <c r="B496" s="312"/>
      <c r="C496" s="312" t="s">
        <v>2437</v>
      </c>
      <c r="D496" s="95"/>
      <c r="E496" s="282"/>
      <c r="F496" s="282"/>
      <c r="G496" s="282"/>
      <c r="H496" s="282">
        <v>0</v>
      </c>
      <c r="I496" s="282">
        <v>0</v>
      </c>
      <c r="J496" s="282">
        <v>0</v>
      </c>
      <c r="K496" s="282">
        <v>0</v>
      </c>
      <c r="L496" s="282">
        <v>0</v>
      </c>
      <c r="M496" s="282">
        <v>0</v>
      </c>
      <c r="N496" s="282">
        <v>0</v>
      </c>
      <c r="Q496" s="286">
        <f t="shared" si="861"/>
        <v>0</v>
      </c>
      <c r="R496" s="286">
        <f t="shared" si="861"/>
        <v>0</v>
      </c>
      <c r="S496" s="286">
        <v>0</v>
      </c>
      <c r="T496" s="286">
        <v>0</v>
      </c>
      <c r="U496" s="286"/>
      <c r="V496" s="286">
        <v>0</v>
      </c>
      <c r="W496" s="286">
        <v>0</v>
      </c>
      <c r="X496" s="286"/>
      <c r="Y496" s="286">
        <v>0</v>
      </c>
      <c r="Z496" s="286">
        <v>0</v>
      </c>
      <c r="AA496" s="286"/>
      <c r="AB496" s="286">
        <v>0</v>
      </c>
      <c r="AC496" s="286">
        <v>0</v>
      </c>
      <c r="AD496" s="286"/>
      <c r="AE496" s="286">
        <v>0</v>
      </c>
      <c r="AF496" s="286">
        <v>0</v>
      </c>
      <c r="AG496" s="286"/>
      <c r="AH496" s="286">
        <v>0</v>
      </c>
      <c r="AI496" s="286">
        <v>0</v>
      </c>
      <c r="AJ496" s="286"/>
      <c r="AK496" s="286">
        <v>0</v>
      </c>
      <c r="AL496" s="286">
        <v>0</v>
      </c>
      <c r="AM496" s="286"/>
      <c r="AN496" s="286">
        <v>0</v>
      </c>
      <c r="AO496" s="286">
        <v>0</v>
      </c>
      <c r="AP496" s="286"/>
      <c r="AQ496" s="286">
        <v>0</v>
      </c>
      <c r="AR496" s="286">
        <v>0</v>
      </c>
      <c r="AS496" s="286"/>
      <c r="AT496" s="286">
        <v>0</v>
      </c>
      <c r="AU496" s="286">
        <v>0</v>
      </c>
      <c r="AV496" s="286"/>
      <c r="AW496" s="286">
        <v>0</v>
      </c>
      <c r="AX496" s="286">
        <v>0</v>
      </c>
      <c r="AY496" s="286"/>
      <c r="AZ496" s="286">
        <v>0</v>
      </c>
      <c r="BA496" s="286">
        <v>0</v>
      </c>
      <c r="BB496" s="286"/>
      <c r="BC496" s="302">
        <v>0</v>
      </c>
      <c r="BD496" s="286">
        <v>0</v>
      </c>
      <c r="BE496" s="286"/>
      <c r="BF496" s="302">
        <v>0</v>
      </c>
      <c r="BG496" s="286">
        <v>0</v>
      </c>
      <c r="BH496" s="286"/>
      <c r="BI496" s="286">
        <v>0</v>
      </c>
      <c r="BJ496" s="286">
        <v>0</v>
      </c>
      <c r="BK496" s="286"/>
      <c r="BL496" s="286">
        <v>0</v>
      </c>
      <c r="BM496" s="286">
        <v>0</v>
      </c>
      <c r="BN496" s="286"/>
      <c r="BO496" s="286">
        <v>0</v>
      </c>
      <c r="BP496" s="286">
        <v>0</v>
      </c>
      <c r="BQ496" s="286"/>
      <c r="BR496" s="286">
        <v>0</v>
      </c>
      <c r="BS496" s="286">
        <v>0</v>
      </c>
      <c r="BT496" s="286"/>
      <c r="BU496" s="286">
        <v>0</v>
      </c>
      <c r="BV496" s="286">
        <v>0</v>
      </c>
      <c r="BW496" s="286"/>
      <c r="BX496" s="286">
        <v>0</v>
      </c>
      <c r="BY496" s="286">
        <v>0</v>
      </c>
      <c r="BZ496" s="286"/>
      <c r="CA496" s="286">
        <v>0</v>
      </c>
      <c r="CB496" s="286">
        <v>0</v>
      </c>
      <c r="CC496" s="286"/>
      <c r="CD496" s="302">
        <v>0</v>
      </c>
      <c r="CE496" s="286">
        <v>0</v>
      </c>
      <c r="CF496" s="286"/>
      <c r="CG496" s="286">
        <v>0</v>
      </c>
      <c r="CH496" s="286">
        <v>0</v>
      </c>
      <c r="CI496" s="286"/>
      <c r="CJ496" s="286">
        <v>0</v>
      </c>
      <c r="CK496" s="286">
        <v>0</v>
      </c>
    </row>
    <row r="497" spans="1:89" ht="30" x14ac:dyDescent="0.25">
      <c r="A497" s="16"/>
      <c r="B497" s="312"/>
      <c r="C497" s="312" t="s">
        <v>2438</v>
      </c>
      <c r="D497" s="95"/>
      <c r="E497" s="282"/>
      <c r="F497" s="282"/>
      <c r="G497" s="282"/>
      <c r="H497" s="282">
        <v>0</v>
      </c>
      <c r="I497" s="282">
        <v>0</v>
      </c>
      <c r="J497" s="282">
        <v>0</v>
      </c>
      <c r="K497" s="282">
        <v>0</v>
      </c>
      <c r="L497" s="282">
        <v>0</v>
      </c>
      <c r="M497" s="282">
        <v>0</v>
      </c>
      <c r="N497" s="282">
        <v>0</v>
      </c>
      <c r="Q497" s="286">
        <f t="shared" si="861"/>
        <v>0</v>
      </c>
      <c r="R497" s="286">
        <f t="shared" si="861"/>
        <v>0</v>
      </c>
      <c r="S497" s="286">
        <v>0</v>
      </c>
      <c r="T497" s="286">
        <v>0</v>
      </c>
      <c r="U497" s="286"/>
      <c r="V497" s="286">
        <v>0</v>
      </c>
      <c r="W497" s="286">
        <v>0</v>
      </c>
      <c r="X497" s="286"/>
      <c r="Y497" s="286">
        <v>0</v>
      </c>
      <c r="Z497" s="286">
        <v>0</v>
      </c>
      <c r="AA497" s="286"/>
      <c r="AB497" s="286">
        <v>0</v>
      </c>
      <c r="AC497" s="286">
        <v>0</v>
      </c>
      <c r="AD497" s="286"/>
      <c r="AE497" s="286">
        <v>0</v>
      </c>
      <c r="AF497" s="286">
        <v>0</v>
      </c>
      <c r="AG497" s="286"/>
      <c r="AH497" s="286">
        <v>0</v>
      </c>
      <c r="AI497" s="286">
        <v>0</v>
      </c>
      <c r="AJ497" s="286"/>
      <c r="AK497" s="286">
        <v>0</v>
      </c>
      <c r="AL497" s="286">
        <v>0</v>
      </c>
      <c r="AM497" s="286"/>
      <c r="AN497" s="286">
        <v>0</v>
      </c>
      <c r="AO497" s="286">
        <v>0</v>
      </c>
      <c r="AP497" s="286"/>
      <c r="AQ497" s="286">
        <v>0</v>
      </c>
      <c r="AR497" s="286">
        <v>0</v>
      </c>
      <c r="AS497" s="286"/>
      <c r="AT497" s="286">
        <v>0</v>
      </c>
      <c r="AU497" s="286">
        <v>0</v>
      </c>
      <c r="AV497" s="286"/>
      <c r="AW497" s="286">
        <v>0</v>
      </c>
      <c r="AX497" s="286">
        <v>0</v>
      </c>
      <c r="AY497" s="286"/>
      <c r="AZ497" s="286">
        <v>0</v>
      </c>
      <c r="BA497" s="286">
        <v>0</v>
      </c>
      <c r="BB497" s="286"/>
      <c r="BC497" s="286">
        <v>0</v>
      </c>
      <c r="BD497" s="286">
        <v>0</v>
      </c>
      <c r="BE497" s="286"/>
      <c r="BF497" s="286">
        <v>0</v>
      </c>
      <c r="BG497" s="286">
        <v>0</v>
      </c>
      <c r="BH497" s="286"/>
      <c r="BI497" s="286">
        <v>0</v>
      </c>
      <c r="BJ497" s="286">
        <v>0</v>
      </c>
      <c r="BK497" s="286"/>
      <c r="BL497" s="286">
        <v>0</v>
      </c>
      <c r="BM497" s="286">
        <v>0</v>
      </c>
      <c r="BN497" s="286"/>
      <c r="BO497" s="286">
        <v>0</v>
      </c>
      <c r="BP497" s="286">
        <v>0</v>
      </c>
      <c r="BQ497" s="286"/>
      <c r="BR497" s="286">
        <v>0</v>
      </c>
      <c r="BS497" s="286">
        <v>0</v>
      </c>
      <c r="BT497" s="286"/>
      <c r="BU497" s="286">
        <v>0</v>
      </c>
      <c r="BV497" s="286">
        <v>0</v>
      </c>
      <c r="BW497" s="286"/>
      <c r="BX497" s="286">
        <v>0</v>
      </c>
      <c r="BY497" s="286">
        <v>0</v>
      </c>
      <c r="BZ497" s="286"/>
      <c r="CA497" s="286">
        <v>0</v>
      </c>
      <c r="CB497" s="286">
        <v>0</v>
      </c>
      <c r="CC497" s="286"/>
      <c r="CD497" s="286">
        <v>0</v>
      </c>
      <c r="CE497" s="286">
        <v>0</v>
      </c>
      <c r="CF497" s="286"/>
      <c r="CG497" s="286">
        <v>0</v>
      </c>
      <c r="CH497" s="286">
        <v>0</v>
      </c>
      <c r="CI497" s="286"/>
      <c r="CJ497" s="286">
        <v>0</v>
      </c>
      <c r="CK497" s="286">
        <v>0</v>
      </c>
    </row>
    <row r="498" spans="1:89" ht="30" x14ac:dyDescent="0.25">
      <c r="A498" s="16"/>
      <c r="B498" s="312"/>
      <c r="C498" s="312" t="s">
        <v>2438</v>
      </c>
      <c r="D498" s="95"/>
      <c r="E498" s="282"/>
      <c r="F498" s="282"/>
      <c r="G498" s="282"/>
      <c r="H498" s="282">
        <v>0</v>
      </c>
      <c r="I498" s="282">
        <v>0</v>
      </c>
      <c r="J498" s="282">
        <v>0</v>
      </c>
      <c r="K498" s="282">
        <v>0</v>
      </c>
      <c r="L498" s="282">
        <v>0</v>
      </c>
      <c r="M498" s="282">
        <v>0</v>
      </c>
      <c r="N498" s="282">
        <v>0</v>
      </c>
      <c r="Q498" s="286">
        <f t="shared" si="861"/>
        <v>0</v>
      </c>
      <c r="R498" s="286">
        <f t="shared" si="861"/>
        <v>0</v>
      </c>
      <c r="S498" s="286">
        <v>0</v>
      </c>
      <c r="T498" s="286">
        <v>0</v>
      </c>
      <c r="U498" s="286"/>
      <c r="V498" s="286">
        <v>0</v>
      </c>
      <c r="W498" s="286">
        <v>0</v>
      </c>
      <c r="X498" s="286"/>
      <c r="Y498" s="286">
        <v>0</v>
      </c>
      <c r="Z498" s="286">
        <v>0</v>
      </c>
      <c r="AA498" s="286"/>
      <c r="AB498" s="286">
        <v>0</v>
      </c>
      <c r="AC498" s="286">
        <v>0</v>
      </c>
      <c r="AD498" s="286"/>
      <c r="AE498" s="286">
        <v>0</v>
      </c>
      <c r="AF498" s="286">
        <v>0</v>
      </c>
      <c r="AG498" s="286"/>
      <c r="AH498" s="286">
        <v>0</v>
      </c>
      <c r="AI498" s="286">
        <v>0</v>
      </c>
      <c r="AJ498" s="286"/>
      <c r="AK498" s="286">
        <v>0</v>
      </c>
      <c r="AL498" s="286">
        <v>0</v>
      </c>
      <c r="AM498" s="286"/>
      <c r="AN498" s="286">
        <v>0</v>
      </c>
      <c r="AO498" s="286">
        <v>0</v>
      </c>
      <c r="AP498" s="286"/>
      <c r="AQ498" s="286">
        <v>0</v>
      </c>
      <c r="AR498" s="286">
        <v>0</v>
      </c>
      <c r="AS498" s="286"/>
      <c r="AT498" s="286">
        <v>0</v>
      </c>
      <c r="AU498" s="286">
        <v>0</v>
      </c>
      <c r="AV498" s="286"/>
      <c r="AW498" s="286">
        <v>0</v>
      </c>
      <c r="AX498" s="286">
        <v>0</v>
      </c>
      <c r="AY498" s="286"/>
      <c r="AZ498" s="286">
        <v>0</v>
      </c>
      <c r="BA498" s="286">
        <v>0</v>
      </c>
      <c r="BB498" s="286"/>
      <c r="BC498" s="286">
        <v>0</v>
      </c>
      <c r="BD498" s="286">
        <v>0</v>
      </c>
      <c r="BE498" s="286"/>
      <c r="BF498" s="286">
        <v>0</v>
      </c>
      <c r="BG498" s="286">
        <v>0</v>
      </c>
      <c r="BH498" s="286"/>
      <c r="BI498" s="286">
        <v>0</v>
      </c>
      <c r="BJ498" s="286">
        <v>0</v>
      </c>
      <c r="BK498" s="286"/>
      <c r="BL498" s="286">
        <v>0</v>
      </c>
      <c r="BM498" s="286">
        <v>0</v>
      </c>
      <c r="BN498" s="286"/>
      <c r="BO498" s="286">
        <v>0</v>
      </c>
      <c r="BP498" s="286">
        <v>0</v>
      </c>
      <c r="BQ498" s="286"/>
      <c r="BR498" s="286">
        <v>0</v>
      </c>
      <c r="BS498" s="286">
        <v>0</v>
      </c>
      <c r="BT498" s="286"/>
      <c r="BU498" s="286">
        <v>0</v>
      </c>
      <c r="BV498" s="286">
        <v>0</v>
      </c>
      <c r="BW498" s="286"/>
      <c r="BX498" s="286">
        <v>0</v>
      </c>
      <c r="BY498" s="286">
        <v>0</v>
      </c>
      <c r="BZ498" s="286"/>
      <c r="CA498" s="286">
        <v>0</v>
      </c>
      <c r="CB498" s="286">
        <v>0</v>
      </c>
      <c r="CC498" s="286"/>
      <c r="CD498" s="286">
        <v>0</v>
      </c>
      <c r="CE498" s="286">
        <v>0</v>
      </c>
      <c r="CF498" s="286"/>
      <c r="CG498" s="286">
        <v>0</v>
      </c>
      <c r="CH498" s="286">
        <v>0</v>
      </c>
      <c r="CI498" s="286"/>
      <c r="CJ498" s="286">
        <v>0</v>
      </c>
      <c r="CK498" s="286">
        <v>0</v>
      </c>
    </row>
    <row r="499" spans="1:89" ht="75" x14ac:dyDescent="0.25">
      <c r="A499" s="107"/>
      <c r="B499" s="16" t="s">
        <v>154</v>
      </c>
      <c r="C499" s="95" t="s">
        <v>187</v>
      </c>
      <c r="D499" s="95" t="s">
        <v>950</v>
      </c>
      <c r="E499" s="282">
        <f t="shared" ref="E499:K499" si="862">E500+E507</f>
        <v>184851</v>
      </c>
      <c r="F499" s="282">
        <f t="shared" si="862"/>
        <v>189893</v>
      </c>
      <c r="G499" s="282">
        <f t="shared" si="862"/>
        <v>194928</v>
      </c>
      <c r="H499" s="282">
        <f t="shared" si="862"/>
        <v>201644</v>
      </c>
      <c r="I499" s="282">
        <f t="shared" si="862"/>
        <v>209101</v>
      </c>
      <c r="J499" s="282">
        <f t="shared" si="862"/>
        <v>215558</v>
      </c>
      <c r="K499" s="282">
        <f t="shared" si="862"/>
        <v>222018</v>
      </c>
      <c r="L499" s="282">
        <f>L500+L507</f>
        <v>4444</v>
      </c>
      <c r="M499" s="282">
        <f>M500+M507</f>
        <v>4379</v>
      </c>
      <c r="N499" s="282">
        <f>N500+N507</f>
        <v>4343</v>
      </c>
      <c r="O499" s="283"/>
      <c r="Q499" s="282">
        <f>Q500+Q507</f>
        <v>222018</v>
      </c>
      <c r="R499" s="282">
        <f>R500+R507</f>
        <v>226389</v>
      </c>
      <c r="S499" s="282">
        <f>S500+S507</f>
        <v>3928</v>
      </c>
      <c r="T499" s="282">
        <f>T500+T507</f>
        <v>4054</v>
      </c>
      <c r="U499" s="286"/>
      <c r="V499" s="282">
        <f>V500+V507</f>
        <v>3599</v>
      </c>
      <c r="W499" s="282">
        <f>W500+W507</f>
        <v>3579</v>
      </c>
      <c r="X499" s="286"/>
      <c r="Y499" s="282">
        <f>Y500+Y507</f>
        <v>4418</v>
      </c>
      <c r="Z499" s="282">
        <f>Z500+Z507</f>
        <v>4344</v>
      </c>
      <c r="AA499" s="286"/>
      <c r="AB499" s="282">
        <f>AB500+AB507</f>
        <v>5118</v>
      </c>
      <c r="AC499" s="282">
        <f>AC500+AC507</f>
        <v>5086</v>
      </c>
      <c r="AD499" s="286"/>
      <c r="AE499" s="282">
        <f>AE500+AE507</f>
        <v>3885</v>
      </c>
      <c r="AF499" s="282">
        <f>AF500+AF507</f>
        <v>3809</v>
      </c>
      <c r="AG499" s="286"/>
      <c r="AH499" s="282">
        <f>AH500+AH507</f>
        <v>4464</v>
      </c>
      <c r="AI499" s="282">
        <f>AI500+AI507</f>
        <v>4444</v>
      </c>
      <c r="AJ499" s="286"/>
      <c r="AK499" s="282">
        <f>AK500+AK507</f>
        <v>6268</v>
      </c>
      <c r="AL499" s="282">
        <f>AL500+AL507</f>
        <v>6344</v>
      </c>
      <c r="AM499" s="286"/>
      <c r="AN499" s="282">
        <f>AN500+AN507</f>
        <v>17369</v>
      </c>
      <c r="AO499" s="282">
        <f>AO500+AO507</f>
        <v>17405</v>
      </c>
      <c r="AP499" s="286"/>
      <c r="AQ499" s="282">
        <f>AQ500+AQ507</f>
        <v>2147</v>
      </c>
      <c r="AR499" s="282">
        <f>AR500+AR507</f>
        <v>2160</v>
      </c>
      <c r="AS499" s="286"/>
      <c r="AT499" s="282">
        <f>AT500+AT507</f>
        <v>14061</v>
      </c>
      <c r="AU499" s="282">
        <f>AU500+AU507</f>
        <v>14547</v>
      </c>
      <c r="AV499" s="286"/>
      <c r="AW499" s="282">
        <f>AW500+AW507</f>
        <v>5264</v>
      </c>
      <c r="AX499" s="282">
        <f>AX500+AX507</f>
        <v>5333</v>
      </c>
      <c r="AY499" s="286"/>
      <c r="AZ499" s="282">
        <f>AZ500+AZ507</f>
        <v>7294</v>
      </c>
      <c r="BA499" s="282">
        <f>BA500+BA507</f>
        <v>7206</v>
      </c>
      <c r="BB499" s="286"/>
      <c r="BC499" s="282">
        <f>BC500+BC507</f>
        <v>14727</v>
      </c>
      <c r="BD499" s="282">
        <f>BD500+BD507</f>
        <v>15002</v>
      </c>
      <c r="BE499" s="286"/>
      <c r="BF499" s="282">
        <f>BF500+BF507</f>
        <v>34261</v>
      </c>
      <c r="BG499" s="282">
        <f>BG500+BG507</f>
        <v>35070</v>
      </c>
      <c r="BH499" s="286"/>
      <c r="BI499" s="282">
        <f>BI500+BI507</f>
        <v>51963</v>
      </c>
      <c r="BJ499" s="282">
        <f>BJ500+BJ507</f>
        <v>54310</v>
      </c>
      <c r="BK499" s="286"/>
      <c r="BL499" s="282">
        <f>BL500+BL507</f>
        <v>5579</v>
      </c>
      <c r="BM499" s="282">
        <f>BM500+BM507</f>
        <v>5559</v>
      </c>
      <c r="BN499" s="286"/>
      <c r="BO499" s="282">
        <f>BO500+BO507</f>
        <v>5285</v>
      </c>
      <c r="BP499" s="282">
        <f>BP500+BP507</f>
        <v>5319</v>
      </c>
      <c r="BQ499" s="286"/>
      <c r="BR499" s="282">
        <f>BR500+BR507</f>
        <v>8022</v>
      </c>
      <c r="BS499" s="282">
        <f>BS500+BS507</f>
        <v>8109</v>
      </c>
      <c r="BT499" s="286"/>
      <c r="BU499" s="282">
        <f>BU500+BU507</f>
        <v>8007</v>
      </c>
      <c r="BV499" s="282">
        <f>BV500+BV507</f>
        <v>8079</v>
      </c>
      <c r="BW499" s="286"/>
      <c r="BX499" s="282">
        <f>BX500+BX507</f>
        <v>2132</v>
      </c>
      <c r="BY499" s="282">
        <f>BY500+BY507</f>
        <v>2196</v>
      </c>
      <c r="BZ499" s="286"/>
      <c r="CA499" s="282">
        <f>CA500+CA507</f>
        <v>5721</v>
      </c>
      <c r="CB499" s="282">
        <f>CB500+CB507</f>
        <v>5816</v>
      </c>
      <c r="CC499" s="286"/>
      <c r="CD499" s="282">
        <f>CD500+CD507</f>
        <v>5428</v>
      </c>
      <c r="CE499" s="282">
        <f>CE500+CE507</f>
        <v>5543</v>
      </c>
      <c r="CF499" s="286"/>
      <c r="CG499" s="282">
        <f>CG500+CG507</f>
        <v>3078</v>
      </c>
      <c r="CH499" s="282">
        <f>CH500+CH507</f>
        <v>3075</v>
      </c>
      <c r="CI499" s="286"/>
      <c r="CJ499" s="282">
        <f>CJ500+CJ507</f>
        <v>0</v>
      </c>
      <c r="CK499" s="282">
        <f>CK500+CK507</f>
        <v>0</v>
      </c>
    </row>
    <row r="500" spans="1:89" x14ac:dyDescent="0.25">
      <c r="A500" s="107"/>
      <c r="B500" s="16" t="s">
        <v>1182</v>
      </c>
      <c r="C500" s="95"/>
      <c r="D500" s="95" t="s">
        <v>950</v>
      </c>
      <c r="E500" s="282">
        <v>184018</v>
      </c>
      <c r="F500" s="282">
        <v>189010</v>
      </c>
      <c r="G500" s="282">
        <v>193980</v>
      </c>
      <c r="H500" s="282">
        <f>H501+H502</f>
        <v>200818</v>
      </c>
      <c r="I500" s="282">
        <f>I501+I502</f>
        <v>208191</v>
      </c>
      <c r="J500" s="282">
        <f>J501+J502</f>
        <v>214635</v>
      </c>
      <c r="K500" s="282">
        <f>K501+K502</f>
        <v>221090</v>
      </c>
      <c r="L500" s="282">
        <f>L501+L502</f>
        <v>4444</v>
      </c>
      <c r="M500" s="282">
        <f t="shared" ref="M500:N500" si="863">M501+M502</f>
        <v>4379</v>
      </c>
      <c r="N500" s="282">
        <f t="shared" si="863"/>
        <v>4343</v>
      </c>
      <c r="O500" s="283"/>
      <c r="Q500" s="282">
        <f>Q501+Q502</f>
        <v>221090</v>
      </c>
      <c r="R500" s="282">
        <f>R501+R502</f>
        <v>225471</v>
      </c>
      <c r="S500" s="282">
        <f>S501+S502</f>
        <v>3928</v>
      </c>
      <c r="T500" s="282">
        <f>T501+T502</f>
        <v>4054</v>
      </c>
      <c r="U500" s="286"/>
      <c r="V500" s="282">
        <f>V501+V502</f>
        <v>3599</v>
      </c>
      <c r="W500" s="282">
        <f>W501+W502</f>
        <v>3579</v>
      </c>
      <c r="X500" s="286"/>
      <c r="Y500" s="282">
        <f>Y501+Y502</f>
        <v>4418</v>
      </c>
      <c r="Z500" s="282">
        <f>Z501+Z502</f>
        <v>4344</v>
      </c>
      <c r="AA500" s="286"/>
      <c r="AB500" s="282">
        <f>AB501+AB502</f>
        <v>5118</v>
      </c>
      <c r="AC500" s="282">
        <f>AC501+AC502</f>
        <v>5086</v>
      </c>
      <c r="AD500" s="286"/>
      <c r="AE500" s="282">
        <f>AE501+AE502</f>
        <v>3885</v>
      </c>
      <c r="AF500" s="282">
        <f>AF501+AF502</f>
        <v>3809</v>
      </c>
      <c r="AG500" s="286"/>
      <c r="AH500" s="282">
        <f>AH501+AH502</f>
        <v>4464</v>
      </c>
      <c r="AI500" s="282">
        <f>AI501+AI502</f>
        <v>4444</v>
      </c>
      <c r="AJ500" s="286"/>
      <c r="AK500" s="282">
        <f>AK501+AK502</f>
        <v>6268</v>
      </c>
      <c r="AL500" s="282">
        <f>AL501+AL502</f>
        <v>6344</v>
      </c>
      <c r="AM500" s="286"/>
      <c r="AN500" s="282">
        <f>AN501+AN502</f>
        <v>17369</v>
      </c>
      <c r="AO500" s="282">
        <f>AO501+AO502</f>
        <v>17405</v>
      </c>
      <c r="AP500" s="286"/>
      <c r="AQ500" s="282">
        <f>AQ501+AQ502</f>
        <v>2147</v>
      </c>
      <c r="AR500" s="282">
        <f>AR501+AR502</f>
        <v>2160</v>
      </c>
      <c r="AS500" s="286"/>
      <c r="AT500" s="282">
        <f>AT501+AT502</f>
        <v>14061</v>
      </c>
      <c r="AU500" s="282">
        <f>AU501+AU502</f>
        <v>14547</v>
      </c>
      <c r="AV500" s="286"/>
      <c r="AW500" s="282">
        <f>AW501+AW502</f>
        <v>5264</v>
      </c>
      <c r="AX500" s="282">
        <f>AX501+AX502</f>
        <v>5333</v>
      </c>
      <c r="AY500" s="286"/>
      <c r="AZ500" s="282">
        <f>AZ501+AZ502</f>
        <v>7294</v>
      </c>
      <c r="BA500" s="282">
        <f>BA501+BA502</f>
        <v>7206</v>
      </c>
      <c r="BB500" s="286"/>
      <c r="BC500" s="282">
        <f>BC501+BC502</f>
        <v>14540</v>
      </c>
      <c r="BD500" s="282">
        <f>BD501+BD502</f>
        <v>14814</v>
      </c>
      <c r="BE500" s="286"/>
      <c r="BF500" s="282">
        <f>BF501+BF502</f>
        <v>34074</v>
      </c>
      <c r="BG500" s="282">
        <f>BG501+BG502</f>
        <v>34891</v>
      </c>
      <c r="BH500" s="286"/>
      <c r="BI500" s="282">
        <f>BI501+BI502</f>
        <v>51527</v>
      </c>
      <c r="BJ500" s="282">
        <f>BJ501+BJ502</f>
        <v>53886</v>
      </c>
      <c r="BK500" s="286"/>
      <c r="BL500" s="282">
        <f>BL501+BL502</f>
        <v>5579</v>
      </c>
      <c r="BM500" s="282">
        <f>BM501+BM502</f>
        <v>5559</v>
      </c>
      <c r="BN500" s="286"/>
      <c r="BO500" s="282">
        <f>BO501+BO502</f>
        <v>5285</v>
      </c>
      <c r="BP500" s="282">
        <f>BP501+BP502</f>
        <v>5319</v>
      </c>
      <c r="BQ500" s="286"/>
      <c r="BR500" s="282">
        <f>BR501+BR502</f>
        <v>8022</v>
      </c>
      <c r="BS500" s="282">
        <f>BS501+BS502</f>
        <v>8109</v>
      </c>
      <c r="BT500" s="286"/>
      <c r="BU500" s="282">
        <f>BU501+BU502</f>
        <v>8007</v>
      </c>
      <c r="BV500" s="282">
        <f>BV501+BV502</f>
        <v>8079</v>
      </c>
      <c r="BW500" s="286"/>
      <c r="BX500" s="282">
        <f>BX501+BX502</f>
        <v>2132</v>
      </c>
      <c r="BY500" s="282">
        <f>BY501+BY502</f>
        <v>2196</v>
      </c>
      <c r="BZ500" s="286"/>
      <c r="CA500" s="282">
        <f>CA501+CA502</f>
        <v>5721</v>
      </c>
      <c r="CB500" s="282">
        <f>CB501+CB502</f>
        <v>5816</v>
      </c>
      <c r="CC500" s="286"/>
      <c r="CD500" s="282">
        <f>CD501+CD502</f>
        <v>5310</v>
      </c>
      <c r="CE500" s="282">
        <f>CE501+CE502</f>
        <v>5416</v>
      </c>
      <c r="CF500" s="286"/>
      <c r="CG500" s="282">
        <f>CG501+CG502</f>
        <v>3078</v>
      </c>
      <c r="CH500" s="282">
        <f>CH501+CH502</f>
        <v>3075</v>
      </c>
      <c r="CI500" s="286"/>
      <c r="CJ500" s="282">
        <f>CJ501+CJ502</f>
        <v>0</v>
      </c>
      <c r="CK500" s="282">
        <f>CK501+CK502</f>
        <v>0</v>
      </c>
    </row>
    <row r="501" spans="1:89" ht="30" x14ac:dyDescent="0.25">
      <c r="A501" s="107"/>
      <c r="B501" s="312"/>
      <c r="C501" s="312" t="s">
        <v>1499</v>
      </c>
      <c r="D501" s="95"/>
      <c r="E501" s="282"/>
      <c r="F501" s="282"/>
      <c r="G501" s="282"/>
      <c r="H501" s="282">
        <v>183749</v>
      </c>
      <c r="I501" s="282">
        <v>190827</v>
      </c>
      <c r="J501" s="282">
        <v>196998</v>
      </c>
      <c r="K501" s="282">
        <v>203456</v>
      </c>
      <c r="L501" s="282">
        <v>2473</v>
      </c>
      <c r="M501" s="282">
        <v>2445</v>
      </c>
      <c r="N501" s="282">
        <v>2465</v>
      </c>
      <c r="O501" s="283"/>
      <c r="Q501" s="286">
        <f t="shared" ref="Q501:Q506" si="864">S501+V501+Y501+AB501+AE501+AH501+AK501+AN501+AQ501+AT501+AW501+AZ501+BC501+BF501+BI501+BL501+BO501+BR501+BU501+BX501+CA501+CD501+CG501+CJ501</f>
        <v>203456</v>
      </c>
      <c r="R501" s="286">
        <f t="shared" ref="R501:R506" si="865">T501+W501+Z501+AC501+AF501+AI501+AL501+AO501+AR501+AU501+AX501+BA501+BD501+BG501+BJ501+BM501+BP501+BS501+BV501+BY501+CB501+CE501+CH501+CK501</f>
        <v>208017</v>
      </c>
      <c r="S501" s="286">
        <v>2663</v>
      </c>
      <c r="T501" s="286">
        <v>2792</v>
      </c>
      <c r="U501" s="286"/>
      <c r="V501" s="286">
        <v>2155</v>
      </c>
      <c r="W501" s="286">
        <v>2134</v>
      </c>
      <c r="X501" s="286"/>
      <c r="Y501" s="286">
        <v>2960</v>
      </c>
      <c r="Z501" s="286">
        <v>2929</v>
      </c>
      <c r="AA501" s="286"/>
      <c r="AB501" s="286">
        <v>2897</v>
      </c>
      <c r="AC501" s="286">
        <v>2920</v>
      </c>
      <c r="AD501" s="286"/>
      <c r="AE501" s="286">
        <v>2898</v>
      </c>
      <c r="AF501" s="286">
        <v>2904</v>
      </c>
      <c r="AG501" s="286"/>
      <c r="AH501" s="286">
        <v>2486</v>
      </c>
      <c r="AI501" s="286">
        <v>2473</v>
      </c>
      <c r="AJ501" s="286"/>
      <c r="AK501" s="286">
        <v>5978</v>
      </c>
      <c r="AL501" s="286">
        <v>6056</v>
      </c>
      <c r="AM501" s="286"/>
      <c r="AN501" s="286">
        <v>11912</v>
      </c>
      <c r="AO501" s="286">
        <v>11964</v>
      </c>
      <c r="AP501" s="286"/>
      <c r="AQ501" s="286">
        <v>0</v>
      </c>
      <c r="AR501" s="286">
        <v>0</v>
      </c>
      <c r="AS501" s="286"/>
      <c r="AT501" s="286">
        <v>14061</v>
      </c>
      <c r="AU501" s="286">
        <v>14547</v>
      </c>
      <c r="AV501" s="286"/>
      <c r="AW501" s="286">
        <v>5264</v>
      </c>
      <c r="AX501" s="286">
        <v>5333</v>
      </c>
      <c r="AY501" s="286"/>
      <c r="AZ501" s="286">
        <v>7294</v>
      </c>
      <c r="BA501" s="286">
        <v>7206</v>
      </c>
      <c r="BB501" s="286"/>
      <c r="BC501" s="286">
        <v>14540</v>
      </c>
      <c r="BD501" s="286">
        <v>14814</v>
      </c>
      <c r="BE501" s="286"/>
      <c r="BF501" s="286">
        <v>34074</v>
      </c>
      <c r="BG501" s="286">
        <v>34891</v>
      </c>
      <c r="BH501" s="286"/>
      <c r="BI501" s="286">
        <v>51527</v>
      </c>
      <c r="BJ501" s="286">
        <v>53886</v>
      </c>
      <c r="BK501" s="286"/>
      <c r="BL501" s="286">
        <v>5579</v>
      </c>
      <c r="BM501" s="286">
        <v>5559</v>
      </c>
      <c r="BN501" s="286"/>
      <c r="BO501" s="286">
        <v>5285</v>
      </c>
      <c r="BP501" s="286">
        <v>5319</v>
      </c>
      <c r="BQ501" s="286"/>
      <c r="BR501" s="286">
        <v>8022</v>
      </c>
      <c r="BS501" s="286">
        <v>8109</v>
      </c>
      <c r="BT501" s="286"/>
      <c r="BU501" s="286">
        <v>8007</v>
      </c>
      <c r="BV501" s="286">
        <v>8079</v>
      </c>
      <c r="BW501" s="286"/>
      <c r="BX501" s="286">
        <v>2132</v>
      </c>
      <c r="BY501" s="286">
        <v>2196</v>
      </c>
      <c r="BZ501" s="286"/>
      <c r="CA501" s="286">
        <v>5721</v>
      </c>
      <c r="CB501" s="286">
        <v>5816</v>
      </c>
      <c r="CC501" s="286"/>
      <c r="CD501" s="286">
        <v>5310</v>
      </c>
      <c r="CE501" s="286">
        <v>5416</v>
      </c>
      <c r="CF501" s="286"/>
      <c r="CG501" s="286">
        <v>2691</v>
      </c>
      <c r="CH501" s="286">
        <v>2674</v>
      </c>
      <c r="CI501" s="286"/>
      <c r="CJ501" s="286">
        <v>0</v>
      </c>
      <c r="CK501" s="286">
        <v>0</v>
      </c>
    </row>
    <row r="502" spans="1:89" ht="30" x14ac:dyDescent="0.25">
      <c r="A502" s="107"/>
      <c r="B502" s="312"/>
      <c r="C502" s="312" t="s">
        <v>1499</v>
      </c>
      <c r="D502" s="95"/>
      <c r="E502" s="282"/>
      <c r="F502" s="282"/>
      <c r="G502" s="282"/>
      <c r="H502" s="282">
        <v>17069</v>
      </c>
      <c r="I502" s="282">
        <v>17364</v>
      </c>
      <c r="J502" s="282">
        <v>17637</v>
      </c>
      <c r="K502" s="282">
        <v>17634</v>
      </c>
      <c r="L502" s="282">
        <v>1971</v>
      </c>
      <c r="M502" s="282">
        <v>1934</v>
      </c>
      <c r="N502" s="282">
        <v>1878</v>
      </c>
      <c r="O502" s="283"/>
      <c r="Q502" s="286">
        <f t="shared" si="864"/>
        <v>17634</v>
      </c>
      <c r="R502" s="286">
        <f t="shared" si="865"/>
        <v>17454</v>
      </c>
      <c r="S502" s="302">
        <v>1265</v>
      </c>
      <c r="T502" s="286">
        <v>1262</v>
      </c>
      <c r="U502" s="286"/>
      <c r="V502" s="302">
        <v>1444</v>
      </c>
      <c r="W502" s="286">
        <v>1445</v>
      </c>
      <c r="X502" s="286"/>
      <c r="Y502" s="302">
        <v>1458</v>
      </c>
      <c r="Z502" s="286">
        <v>1415</v>
      </c>
      <c r="AA502" s="286"/>
      <c r="AB502" s="302">
        <v>2221</v>
      </c>
      <c r="AC502" s="286">
        <v>2166</v>
      </c>
      <c r="AD502" s="286"/>
      <c r="AE502" s="302">
        <v>987</v>
      </c>
      <c r="AF502" s="286">
        <v>905</v>
      </c>
      <c r="AG502" s="286"/>
      <c r="AH502" s="302">
        <v>1978</v>
      </c>
      <c r="AI502" s="286">
        <v>1971</v>
      </c>
      <c r="AJ502" s="286"/>
      <c r="AK502" s="302">
        <v>290</v>
      </c>
      <c r="AL502" s="286">
        <v>288</v>
      </c>
      <c r="AM502" s="286"/>
      <c r="AN502" s="302">
        <v>5457</v>
      </c>
      <c r="AO502" s="286">
        <v>5441</v>
      </c>
      <c r="AP502" s="286"/>
      <c r="AQ502" s="302">
        <v>2147</v>
      </c>
      <c r="AR502" s="286">
        <v>2160</v>
      </c>
      <c r="AS502" s="286"/>
      <c r="AT502" s="302">
        <v>0</v>
      </c>
      <c r="AU502" s="286">
        <v>0</v>
      </c>
      <c r="AV502" s="286"/>
      <c r="AW502" s="302">
        <v>0</v>
      </c>
      <c r="AX502" s="286">
        <v>0</v>
      </c>
      <c r="AY502" s="286"/>
      <c r="AZ502" s="302">
        <v>0</v>
      </c>
      <c r="BA502" s="286">
        <v>0</v>
      </c>
      <c r="BB502" s="286"/>
      <c r="BC502" s="302">
        <v>0</v>
      </c>
      <c r="BD502" s="286">
        <v>0</v>
      </c>
      <c r="BE502" s="286"/>
      <c r="BF502" s="302">
        <v>0</v>
      </c>
      <c r="BG502" s="286">
        <v>0</v>
      </c>
      <c r="BH502" s="286"/>
      <c r="BI502" s="302">
        <v>0</v>
      </c>
      <c r="BJ502" s="286">
        <v>0</v>
      </c>
      <c r="BK502" s="286"/>
      <c r="BL502" s="302">
        <v>0</v>
      </c>
      <c r="BM502" s="286">
        <v>0</v>
      </c>
      <c r="BN502" s="286"/>
      <c r="BO502" s="302">
        <v>0</v>
      </c>
      <c r="BP502" s="286">
        <v>0</v>
      </c>
      <c r="BQ502" s="286"/>
      <c r="BR502" s="302">
        <v>0</v>
      </c>
      <c r="BS502" s="286">
        <v>0</v>
      </c>
      <c r="BT502" s="286"/>
      <c r="BU502" s="302">
        <v>0</v>
      </c>
      <c r="BV502" s="286">
        <v>0</v>
      </c>
      <c r="BW502" s="286"/>
      <c r="BX502" s="302">
        <v>0</v>
      </c>
      <c r="BY502" s="286">
        <v>0</v>
      </c>
      <c r="BZ502" s="286"/>
      <c r="CA502" s="302">
        <v>0</v>
      </c>
      <c r="CB502" s="286">
        <v>0</v>
      </c>
      <c r="CC502" s="286"/>
      <c r="CD502" s="302">
        <v>0</v>
      </c>
      <c r="CE502" s="286">
        <v>0</v>
      </c>
      <c r="CF502" s="286"/>
      <c r="CG502" s="302">
        <v>387</v>
      </c>
      <c r="CH502" s="286">
        <v>401</v>
      </c>
      <c r="CI502" s="286"/>
      <c r="CJ502" s="302">
        <v>0</v>
      </c>
      <c r="CK502" s="302">
        <v>0</v>
      </c>
    </row>
    <row r="503" spans="1:89" ht="30" x14ac:dyDescent="0.25">
      <c r="A503" s="107"/>
      <c r="B503" s="312"/>
      <c r="C503" s="312" t="s">
        <v>1505</v>
      </c>
      <c r="D503" s="95"/>
      <c r="E503" s="282"/>
      <c r="F503" s="282"/>
      <c r="G503" s="282"/>
      <c r="H503" s="282">
        <v>425</v>
      </c>
      <c r="I503" s="282">
        <v>0</v>
      </c>
      <c r="J503" s="282">
        <v>0</v>
      </c>
      <c r="K503" s="282">
        <v>0</v>
      </c>
      <c r="L503" s="282">
        <v>0</v>
      </c>
      <c r="M503" s="282">
        <v>0</v>
      </c>
      <c r="N503" s="282">
        <v>0</v>
      </c>
      <c r="O503" s="283"/>
      <c r="Q503" s="286">
        <f t="shared" si="864"/>
        <v>0</v>
      </c>
      <c r="R503" s="286">
        <f t="shared" si="865"/>
        <v>0</v>
      </c>
      <c r="S503" s="286">
        <v>0</v>
      </c>
      <c r="T503" s="286">
        <v>0</v>
      </c>
      <c r="U503" s="286"/>
      <c r="V503" s="286">
        <v>0</v>
      </c>
      <c r="W503" s="286">
        <v>0</v>
      </c>
      <c r="X503" s="286"/>
      <c r="Y503" s="286">
        <v>0</v>
      </c>
      <c r="Z503" s="286">
        <v>0</v>
      </c>
      <c r="AA503" s="286"/>
      <c r="AB503" s="286">
        <v>0</v>
      </c>
      <c r="AC503" s="286">
        <v>0</v>
      </c>
      <c r="AD503" s="286"/>
      <c r="AE503" s="286">
        <v>0</v>
      </c>
      <c r="AF503" s="286">
        <v>0</v>
      </c>
      <c r="AG503" s="286"/>
      <c r="AH503" s="286">
        <v>0</v>
      </c>
      <c r="AI503" s="286">
        <v>0</v>
      </c>
      <c r="AJ503" s="286"/>
      <c r="AK503" s="286">
        <v>0</v>
      </c>
      <c r="AL503" s="286">
        <v>0</v>
      </c>
      <c r="AM503" s="286"/>
      <c r="AN503" s="286">
        <v>0</v>
      </c>
      <c r="AO503" s="286">
        <v>0</v>
      </c>
      <c r="AP503" s="286"/>
      <c r="AQ503" s="286">
        <v>0</v>
      </c>
      <c r="AR503" s="286">
        <v>0</v>
      </c>
      <c r="AS503" s="286"/>
      <c r="AT503" s="286">
        <v>0</v>
      </c>
      <c r="AU503" s="286">
        <v>0</v>
      </c>
      <c r="AV503" s="286"/>
      <c r="AW503" s="286">
        <v>0</v>
      </c>
      <c r="AX503" s="286">
        <v>0</v>
      </c>
      <c r="AY503" s="286"/>
      <c r="AZ503" s="286">
        <v>0</v>
      </c>
      <c r="BA503" s="286">
        <v>0</v>
      </c>
      <c r="BB503" s="286"/>
      <c r="BC503" s="286">
        <v>0</v>
      </c>
      <c r="BD503" s="286">
        <v>0</v>
      </c>
      <c r="BE503" s="286"/>
      <c r="BF503" s="286">
        <v>0</v>
      </c>
      <c r="BG503" s="286">
        <v>0</v>
      </c>
      <c r="BH503" s="286"/>
      <c r="BI503" s="286">
        <v>0</v>
      </c>
      <c r="BJ503" s="286">
        <v>0</v>
      </c>
      <c r="BK503" s="286"/>
      <c r="BL503" s="286">
        <v>0</v>
      </c>
      <c r="BM503" s="286">
        <v>0</v>
      </c>
      <c r="BN503" s="286"/>
      <c r="BO503" s="286">
        <v>0</v>
      </c>
      <c r="BP503" s="286">
        <v>0</v>
      </c>
      <c r="BQ503" s="286"/>
      <c r="BR503" s="286">
        <v>0</v>
      </c>
      <c r="BS503" s="286">
        <v>0</v>
      </c>
      <c r="BT503" s="286"/>
      <c r="BU503" s="286">
        <v>0</v>
      </c>
      <c r="BV503" s="286">
        <v>0</v>
      </c>
      <c r="BW503" s="286"/>
      <c r="BX503" s="286">
        <v>0</v>
      </c>
      <c r="BY503" s="286">
        <v>0</v>
      </c>
      <c r="BZ503" s="286"/>
      <c r="CA503" s="286">
        <v>0</v>
      </c>
      <c r="CB503" s="286">
        <v>0</v>
      </c>
      <c r="CC503" s="286"/>
      <c r="CD503" s="286">
        <v>0</v>
      </c>
      <c r="CE503" s="286">
        <v>0</v>
      </c>
      <c r="CF503" s="286"/>
      <c r="CG503" s="286">
        <v>0</v>
      </c>
      <c r="CH503" s="286">
        <v>0</v>
      </c>
      <c r="CI503" s="286"/>
      <c r="CJ503" s="286">
        <v>0</v>
      </c>
      <c r="CK503" s="286">
        <v>0</v>
      </c>
    </row>
    <row r="504" spans="1:89" ht="30" x14ac:dyDescent="0.25">
      <c r="A504" s="107"/>
      <c r="B504" s="312"/>
      <c r="C504" s="312" t="s">
        <v>1505</v>
      </c>
      <c r="D504" s="95"/>
      <c r="E504" s="282"/>
      <c r="F504" s="282"/>
      <c r="G504" s="282"/>
      <c r="H504" s="282">
        <v>0</v>
      </c>
      <c r="I504" s="282">
        <v>0</v>
      </c>
      <c r="J504" s="282">
        <v>0</v>
      </c>
      <c r="K504" s="282">
        <v>0</v>
      </c>
      <c r="L504" s="282">
        <v>0</v>
      </c>
      <c r="M504" s="282">
        <v>0</v>
      </c>
      <c r="N504" s="282">
        <v>0</v>
      </c>
      <c r="O504" s="283"/>
      <c r="Q504" s="286">
        <f t="shared" si="864"/>
        <v>0</v>
      </c>
      <c r="R504" s="286">
        <f t="shared" si="865"/>
        <v>0</v>
      </c>
      <c r="S504" s="286">
        <v>0</v>
      </c>
      <c r="T504" s="286">
        <v>0</v>
      </c>
      <c r="U504" s="286"/>
      <c r="V504" s="286">
        <v>0</v>
      </c>
      <c r="W504" s="286">
        <v>0</v>
      </c>
      <c r="X504" s="286"/>
      <c r="Y504" s="286">
        <v>0</v>
      </c>
      <c r="Z504" s="286">
        <v>0</v>
      </c>
      <c r="AA504" s="286"/>
      <c r="AB504" s="286">
        <v>0</v>
      </c>
      <c r="AC504" s="286">
        <v>0</v>
      </c>
      <c r="AD504" s="286"/>
      <c r="AE504" s="286">
        <v>0</v>
      </c>
      <c r="AF504" s="286">
        <v>0</v>
      </c>
      <c r="AG504" s="286"/>
      <c r="AH504" s="286">
        <v>0</v>
      </c>
      <c r="AI504" s="286">
        <v>0</v>
      </c>
      <c r="AJ504" s="286"/>
      <c r="AK504" s="286">
        <v>0</v>
      </c>
      <c r="AL504" s="286">
        <v>0</v>
      </c>
      <c r="AM504" s="286"/>
      <c r="AN504" s="286">
        <v>0</v>
      </c>
      <c r="AO504" s="286">
        <v>0</v>
      </c>
      <c r="AP504" s="286"/>
      <c r="AQ504" s="286">
        <v>0</v>
      </c>
      <c r="AR504" s="286">
        <v>0</v>
      </c>
      <c r="AS504" s="286"/>
      <c r="AT504" s="286">
        <v>0</v>
      </c>
      <c r="AU504" s="286">
        <v>0</v>
      </c>
      <c r="AV504" s="286"/>
      <c r="AW504" s="286">
        <v>0</v>
      </c>
      <c r="AX504" s="286">
        <v>0</v>
      </c>
      <c r="AY504" s="286"/>
      <c r="AZ504" s="286">
        <v>0</v>
      </c>
      <c r="BA504" s="286">
        <v>0</v>
      </c>
      <c r="BB504" s="286"/>
      <c r="BC504" s="286">
        <v>0</v>
      </c>
      <c r="BD504" s="286">
        <v>0</v>
      </c>
      <c r="BE504" s="286"/>
      <c r="BF504" s="286">
        <v>0</v>
      </c>
      <c r="BG504" s="286">
        <v>0</v>
      </c>
      <c r="BH504" s="286"/>
      <c r="BI504" s="286">
        <v>0</v>
      </c>
      <c r="BJ504" s="286">
        <v>0</v>
      </c>
      <c r="BK504" s="286"/>
      <c r="BL504" s="286">
        <v>0</v>
      </c>
      <c r="BM504" s="286">
        <v>0</v>
      </c>
      <c r="BN504" s="286"/>
      <c r="BO504" s="286">
        <v>0</v>
      </c>
      <c r="BP504" s="286">
        <v>0</v>
      </c>
      <c r="BQ504" s="286"/>
      <c r="BR504" s="286">
        <v>0</v>
      </c>
      <c r="BS504" s="286">
        <v>0</v>
      </c>
      <c r="BT504" s="286"/>
      <c r="BU504" s="286">
        <v>0</v>
      </c>
      <c r="BV504" s="286">
        <v>0</v>
      </c>
      <c r="BW504" s="286"/>
      <c r="BX504" s="286">
        <v>0</v>
      </c>
      <c r="BY504" s="286">
        <v>0</v>
      </c>
      <c r="BZ504" s="286"/>
      <c r="CA504" s="286">
        <v>0</v>
      </c>
      <c r="CB504" s="286">
        <v>0</v>
      </c>
      <c r="CC504" s="286"/>
      <c r="CD504" s="286">
        <v>0</v>
      </c>
      <c r="CE504" s="286">
        <v>0</v>
      </c>
      <c r="CF504" s="286"/>
      <c r="CG504" s="286">
        <v>0</v>
      </c>
      <c r="CH504" s="286">
        <v>0</v>
      </c>
      <c r="CI504" s="286"/>
      <c r="CJ504" s="286">
        <v>0</v>
      </c>
      <c r="CK504" s="286">
        <v>0</v>
      </c>
    </row>
    <row r="505" spans="1:89" ht="30" x14ac:dyDescent="0.25">
      <c r="A505" s="107"/>
      <c r="B505" s="312"/>
      <c r="C505" s="312" t="s">
        <v>1592</v>
      </c>
      <c r="D505" s="95"/>
      <c r="E505" s="282"/>
      <c r="F505" s="282"/>
      <c r="G505" s="282"/>
      <c r="H505" s="282">
        <v>7589</v>
      </c>
      <c r="I505" s="282">
        <v>8026</v>
      </c>
      <c r="J505" s="282">
        <v>7281</v>
      </c>
      <c r="K505" s="282">
        <v>7296</v>
      </c>
      <c r="L505" s="282">
        <v>5</v>
      </c>
      <c r="M505" s="282">
        <v>124</v>
      </c>
      <c r="N505" s="282">
        <v>123</v>
      </c>
      <c r="O505" s="283"/>
      <c r="Q505" s="286">
        <f t="shared" si="864"/>
        <v>7296</v>
      </c>
      <c r="R505" s="286">
        <f t="shared" si="865"/>
        <v>7565</v>
      </c>
      <c r="S505" s="302">
        <v>0</v>
      </c>
      <c r="T505" s="286">
        <v>0</v>
      </c>
      <c r="U505" s="286"/>
      <c r="V505" s="302">
        <v>195</v>
      </c>
      <c r="W505" s="286">
        <v>182</v>
      </c>
      <c r="X505" s="286"/>
      <c r="Y505" s="302">
        <v>69</v>
      </c>
      <c r="Z505" s="286">
        <v>60</v>
      </c>
      <c r="AA505" s="286"/>
      <c r="AB505" s="302">
        <v>0</v>
      </c>
      <c r="AC505" s="286">
        <v>0</v>
      </c>
      <c r="AD505" s="286"/>
      <c r="AE505" s="302">
        <v>643</v>
      </c>
      <c r="AF505" s="286">
        <v>589</v>
      </c>
      <c r="AG505" s="286"/>
      <c r="AH505" s="302">
        <v>5</v>
      </c>
      <c r="AI505" s="286">
        <v>6</v>
      </c>
      <c r="AJ505" s="286"/>
      <c r="AK505" s="302">
        <v>0</v>
      </c>
      <c r="AL505" s="286">
        <v>0</v>
      </c>
      <c r="AM505" s="286"/>
      <c r="AN505" s="302">
        <v>0</v>
      </c>
      <c r="AO505" s="286">
        <v>0</v>
      </c>
      <c r="AP505" s="286"/>
      <c r="AQ505" s="302">
        <v>0</v>
      </c>
      <c r="AR505" s="286">
        <v>0</v>
      </c>
      <c r="AS505" s="286"/>
      <c r="AT505" s="302">
        <v>355</v>
      </c>
      <c r="AU505" s="286">
        <v>355</v>
      </c>
      <c r="AV505" s="286"/>
      <c r="AW505" s="302">
        <v>0</v>
      </c>
      <c r="AX505" s="286">
        <v>0</v>
      </c>
      <c r="AY505" s="286"/>
      <c r="AZ505" s="302">
        <v>543</v>
      </c>
      <c r="BA505" s="286">
        <v>508</v>
      </c>
      <c r="BB505" s="286"/>
      <c r="BC505" s="302">
        <v>1750</v>
      </c>
      <c r="BD505" s="286">
        <v>1577</v>
      </c>
      <c r="BE505" s="286"/>
      <c r="BF505" s="302">
        <v>92</v>
      </c>
      <c r="BG505" s="286">
        <v>233</v>
      </c>
      <c r="BH505" s="286"/>
      <c r="BI505" s="302">
        <v>1892</v>
      </c>
      <c r="BJ505" s="286">
        <v>2058</v>
      </c>
      <c r="BK505" s="286"/>
      <c r="BL505" s="302">
        <v>0</v>
      </c>
      <c r="BM505" s="286">
        <v>0</v>
      </c>
      <c r="BN505" s="286"/>
      <c r="BO505" s="302">
        <v>0</v>
      </c>
      <c r="BP505" s="286">
        <v>0</v>
      </c>
      <c r="BQ505" s="286"/>
      <c r="BR505" s="302">
        <v>135</v>
      </c>
      <c r="BS505" s="286">
        <v>117</v>
      </c>
      <c r="BT505" s="286"/>
      <c r="BU505" s="302">
        <v>0</v>
      </c>
      <c r="BV505" s="286">
        <v>0</v>
      </c>
      <c r="BW505" s="286"/>
      <c r="BX505" s="302">
        <v>0</v>
      </c>
      <c r="BY505" s="286">
        <v>0</v>
      </c>
      <c r="BZ505" s="286"/>
      <c r="CA505" s="302">
        <v>294</v>
      </c>
      <c r="CB505" s="286">
        <v>630</v>
      </c>
      <c r="CC505" s="286"/>
      <c r="CD505" s="302">
        <v>1216</v>
      </c>
      <c r="CE505" s="286">
        <v>1146</v>
      </c>
      <c r="CF505" s="286"/>
      <c r="CG505" s="302">
        <v>107</v>
      </c>
      <c r="CH505" s="286">
        <v>104</v>
      </c>
      <c r="CI505" s="286"/>
      <c r="CJ505" s="302">
        <v>0</v>
      </c>
      <c r="CK505" s="302">
        <v>0</v>
      </c>
    </row>
    <row r="506" spans="1:89" ht="30" x14ac:dyDescent="0.25">
      <c r="A506" s="107"/>
      <c r="B506" s="312"/>
      <c r="C506" s="312" t="s">
        <v>1592</v>
      </c>
      <c r="D506" s="95"/>
      <c r="E506" s="282"/>
      <c r="F506" s="282"/>
      <c r="G506" s="282"/>
      <c r="H506" s="282">
        <v>1974</v>
      </c>
      <c r="I506" s="282">
        <v>2073</v>
      </c>
      <c r="J506" s="282">
        <v>2374</v>
      </c>
      <c r="K506" s="282">
        <v>2322</v>
      </c>
      <c r="L506" s="282">
        <v>344</v>
      </c>
      <c r="M506" s="282">
        <v>324</v>
      </c>
      <c r="N506" s="282">
        <v>313</v>
      </c>
      <c r="O506" s="283"/>
      <c r="Q506" s="286">
        <f t="shared" si="864"/>
        <v>2322</v>
      </c>
      <c r="R506" s="286">
        <f t="shared" si="865"/>
        <v>2261</v>
      </c>
      <c r="S506" s="286">
        <v>435</v>
      </c>
      <c r="T506" s="286">
        <v>425</v>
      </c>
      <c r="U506" s="286"/>
      <c r="V506" s="286">
        <v>124</v>
      </c>
      <c r="W506" s="286">
        <v>172</v>
      </c>
      <c r="X506" s="286"/>
      <c r="Y506" s="286">
        <v>358</v>
      </c>
      <c r="Z506" s="286">
        <v>361</v>
      </c>
      <c r="AA506" s="286"/>
      <c r="AB506" s="286">
        <v>194</v>
      </c>
      <c r="AC506" s="286">
        <v>187</v>
      </c>
      <c r="AD506" s="286"/>
      <c r="AE506" s="286">
        <v>328</v>
      </c>
      <c r="AF506" s="286">
        <v>285</v>
      </c>
      <c r="AG506" s="286"/>
      <c r="AH506" s="286">
        <v>369</v>
      </c>
      <c r="AI506" s="286">
        <v>344</v>
      </c>
      <c r="AJ506" s="286"/>
      <c r="AK506" s="286">
        <v>0</v>
      </c>
      <c r="AL506" s="286">
        <v>0</v>
      </c>
      <c r="AM506" s="286"/>
      <c r="AN506" s="286">
        <v>195</v>
      </c>
      <c r="AO506" s="286">
        <v>187</v>
      </c>
      <c r="AP506" s="286"/>
      <c r="AQ506" s="286">
        <v>319</v>
      </c>
      <c r="AR506" s="286">
        <v>300</v>
      </c>
      <c r="AS506" s="286"/>
      <c r="AT506" s="286">
        <v>0</v>
      </c>
      <c r="AU506" s="286">
        <v>0</v>
      </c>
      <c r="AV506" s="286"/>
      <c r="AW506" s="286">
        <v>0</v>
      </c>
      <c r="AX506" s="286">
        <v>0</v>
      </c>
      <c r="AY506" s="286"/>
      <c r="AZ506" s="286">
        <v>0</v>
      </c>
      <c r="BA506" s="286">
        <v>0</v>
      </c>
      <c r="BB506" s="286"/>
      <c r="BC506" s="286">
        <v>0</v>
      </c>
      <c r="BD506" s="286">
        <v>0</v>
      </c>
      <c r="BE506" s="286"/>
      <c r="BF506" s="286">
        <v>0</v>
      </c>
      <c r="BG506" s="286">
        <v>0</v>
      </c>
      <c r="BH506" s="286"/>
      <c r="BI506" s="286">
        <v>0</v>
      </c>
      <c r="BJ506" s="286">
        <v>0</v>
      </c>
      <c r="BK506" s="286"/>
      <c r="BL506" s="286">
        <v>0</v>
      </c>
      <c r="BM506" s="286">
        <v>0</v>
      </c>
      <c r="BN506" s="286"/>
      <c r="BO506" s="286">
        <v>0</v>
      </c>
      <c r="BP506" s="286">
        <v>0</v>
      </c>
      <c r="BQ506" s="286"/>
      <c r="BR506" s="286">
        <v>0</v>
      </c>
      <c r="BS506" s="286">
        <v>0</v>
      </c>
      <c r="BT506" s="286"/>
      <c r="BU506" s="286">
        <v>0</v>
      </c>
      <c r="BV506" s="286">
        <v>0</v>
      </c>
      <c r="BW506" s="286"/>
      <c r="BX506" s="286">
        <v>0</v>
      </c>
      <c r="BY506" s="286">
        <v>0</v>
      </c>
      <c r="BZ506" s="286"/>
      <c r="CA506" s="286">
        <v>0</v>
      </c>
      <c r="CB506" s="286">
        <v>0</v>
      </c>
      <c r="CC506" s="286"/>
      <c r="CD506" s="286">
        <v>0</v>
      </c>
      <c r="CE506" s="286">
        <v>0</v>
      </c>
      <c r="CF506" s="286"/>
      <c r="CG506" s="286">
        <v>0</v>
      </c>
      <c r="CH506" s="286">
        <v>0</v>
      </c>
      <c r="CI506" s="286"/>
      <c r="CJ506" s="302">
        <v>0</v>
      </c>
      <c r="CK506" s="302">
        <v>0</v>
      </c>
    </row>
    <row r="507" spans="1:89" x14ac:dyDescent="0.25">
      <c r="A507" s="107"/>
      <c r="B507" s="16" t="s">
        <v>1184</v>
      </c>
      <c r="C507" s="95"/>
      <c r="D507" s="95" t="s">
        <v>950</v>
      </c>
      <c r="E507" s="282">
        <v>833</v>
      </c>
      <c r="F507" s="282">
        <v>883</v>
      </c>
      <c r="G507" s="282">
        <v>948</v>
      </c>
      <c r="H507" s="282">
        <f>H508+H509</f>
        <v>826</v>
      </c>
      <c r="I507" s="282">
        <f>I508+I509</f>
        <v>910</v>
      </c>
      <c r="J507" s="282">
        <f>J508+J509</f>
        <v>923</v>
      </c>
      <c r="K507" s="282">
        <f>K508+K509</f>
        <v>928</v>
      </c>
      <c r="L507" s="282">
        <f>L508+L509</f>
        <v>0</v>
      </c>
      <c r="M507" s="282">
        <f t="shared" ref="M507:N507" si="866">M508+M509</f>
        <v>0</v>
      </c>
      <c r="N507" s="282">
        <f t="shared" si="866"/>
        <v>0</v>
      </c>
      <c r="O507" s="283"/>
      <c r="Q507" s="282">
        <f>Q508+Q509</f>
        <v>928</v>
      </c>
      <c r="R507" s="282">
        <f>R508+R509</f>
        <v>918</v>
      </c>
      <c r="S507" s="282">
        <f>S508+S509</f>
        <v>0</v>
      </c>
      <c r="T507" s="282">
        <f>T508+T509</f>
        <v>0</v>
      </c>
      <c r="U507" s="286"/>
      <c r="V507" s="282">
        <f>V508+V509</f>
        <v>0</v>
      </c>
      <c r="W507" s="282">
        <f>W508+W509</f>
        <v>0</v>
      </c>
      <c r="X507" s="286"/>
      <c r="Y507" s="282">
        <f>Y508+Y509</f>
        <v>0</v>
      </c>
      <c r="Z507" s="282">
        <f>Z508+Z509</f>
        <v>0</v>
      </c>
      <c r="AA507" s="286"/>
      <c r="AB507" s="282">
        <f>AB508+AB509</f>
        <v>0</v>
      </c>
      <c r="AC507" s="282">
        <f>AC508+AC509</f>
        <v>0</v>
      </c>
      <c r="AD507" s="286"/>
      <c r="AE507" s="282">
        <f>AE508+AE509</f>
        <v>0</v>
      </c>
      <c r="AF507" s="282">
        <f>AF508+AF509</f>
        <v>0</v>
      </c>
      <c r="AG507" s="286"/>
      <c r="AH507" s="282">
        <f>AH508+AH509</f>
        <v>0</v>
      </c>
      <c r="AI507" s="282">
        <f>AI508+AI509</f>
        <v>0</v>
      </c>
      <c r="AJ507" s="286"/>
      <c r="AK507" s="282">
        <f>AK508+AK509</f>
        <v>0</v>
      </c>
      <c r="AL507" s="282">
        <f>AL508+AL509</f>
        <v>0</v>
      </c>
      <c r="AM507" s="286"/>
      <c r="AN507" s="282">
        <f>AN508+AN509</f>
        <v>0</v>
      </c>
      <c r="AO507" s="282">
        <f>AO508+AO509</f>
        <v>0</v>
      </c>
      <c r="AP507" s="286"/>
      <c r="AQ507" s="282">
        <f>AQ508+AQ509</f>
        <v>0</v>
      </c>
      <c r="AR507" s="282">
        <f>AR508+AR509</f>
        <v>0</v>
      </c>
      <c r="AS507" s="286"/>
      <c r="AT507" s="282">
        <f>AT508+AT509</f>
        <v>0</v>
      </c>
      <c r="AU507" s="282">
        <f>AU508+AU509</f>
        <v>0</v>
      </c>
      <c r="AV507" s="286"/>
      <c r="AW507" s="282">
        <f>AW508+AW509</f>
        <v>0</v>
      </c>
      <c r="AX507" s="282">
        <f>AX508+AX509</f>
        <v>0</v>
      </c>
      <c r="AY507" s="286"/>
      <c r="AZ507" s="282">
        <f>AZ508+AZ509</f>
        <v>0</v>
      </c>
      <c r="BA507" s="282">
        <f>BA508+BA509</f>
        <v>0</v>
      </c>
      <c r="BB507" s="286"/>
      <c r="BC507" s="282">
        <f>BC508+BC509</f>
        <v>187</v>
      </c>
      <c r="BD507" s="282">
        <f>BD508+BD509</f>
        <v>188</v>
      </c>
      <c r="BE507" s="286"/>
      <c r="BF507" s="282">
        <f>BF508+BF509</f>
        <v>187</v>
      </c>
      <c r="BG507" s="282">
        <f>BG508+BG509</f>
        <v>179</v>
      </c>
      <c r="BH507" s="286"/>
      <c r="BI507" s="282">
        <f>BI508+BI509</f>
        <v>436</v>
      </c>
      <c r="BJ507" s="282">
        <f>BJ508+BJ509</f>
        <v>424</v>
      </c>
      <c r="BK507" s="286"/>
      <c r="BL507" s="282">
        <f>BL508+BL509</f>
        <v>0</v>
      </c>
      <c r="BM507" s="282">
        <f>BM508+BM509</f>
        <v>0</v>
      </c>
      <c r="BN507" s="286"/>
      <c r="BO507" s="282">
        <f>BO508+BO509</f>
        <v>0</v>
      </c>
      <c r="BP507" s="282">
        <f>BP508+BP509</f>
        <v>0</v>
      </c>
      <c r="BQ507" s="286"/>
      <c r="BR507" s="282">
        <f>BR508+BR509</f>
        <v>0</v>
      </c>
      <c r="BS507" s="282">
        <f>BS508+BS509</f>
        <v>0</v>
      </c>
      <c r="BT507" s="286"/>
      <c r="BU507" s="282">
        <f>BU508+BU509</f>
        <v>0</v>
      </c>
      <c r="BV507" s="282">
        <f>BV508+BV509</f>
        <v>0</v>
      </c>
      <c r="BW507" s="286"/>
      <c r="BX507" s="282">
        <f>BX508+BX509</f>
        <v>0</v>
      </c>
      <c r="BY507" s="282">
        <f>BY508+BY509</f>
        <v>0</v>
      </c>
      <c r="BZ507" s="286"/>
      <c r="CA507" s="282">
        <f>CA508+CA509</f>
        <v>0</v>
      </c>
      <c r="CB507" s="282">
        <f>CB508+CB509</f>
        <v>0</v>
      </c>
      <c r="CC507" s="286"/>
      <c r="CD507" s="282">
        <f>CD508+CD509</f>
        <v>118</v>
      </c>
      <c r="CE507" s="282">
        <f>CE508+CE509</f>
        <v>127</v>
      </c>
      <c r="CF507" s="286"/>
      <c r="CG507" s="282">
        <f>CG508+CG509</f>
        <v>0</v>
      </c>
      <c r="CH507" s="282">
        <f>CH508+CH509</f>
        <v>0</v>
      </c>
      <c r="CI507" s="286"/>
      <c r="CJ507" s="282">
        <f>CJ508+CJ509</f>
        <v>0</v>
      </c>
      <c r="CK507" s="282">
        <f>CK508+CK509</f>
        <v>0</v>
      </c>
    </row>
    <row r="508" spans="1:89" ht="30" x14ac:dyDescent="0.25">
      <c r="A508" s="107"/>
      <c r="B508" s="312"/>
      <c r="C508" s="312" t="s">
        <v>1499</v>
      </c>
      <c r="D508" s="95"/>
      <c r="E508" s="282"/>
      <c r="F508" s="282"/>
      <c r="G508" s="282"/>
      <c r="H508" s="282">
        <v>826</v>
      </c>
      <c r="I508" s="282">
        <v>910</v>
      </c>
      <c r="J508" s="282">
        <v>923</v>
      </c>
      <c r="K508" s="282">
        <v>928</v>
      </c>
      <c r="L508" s="282">
        <v>0</v>
      </c>
      <c r="M508" s="282">
        <v>0</v>
      </c>
      <c r="N508" s="282">
        <v>0</v>
      </c>
      <c r="O508" s="283"/>
      <c r="Q508" s="286">
        <f t="shared" ref="Q508:Q513" si="867">S508+V508+Y508+AB508+AE508+AH508+AK508+AN508+AQ508+AT508+AW508+AZ508+BC508+BF508+BI508+BL508+BO508+BR508+BU508+BX508+CA508+CD508+CG508+CJ508</f>
        <v>928</v>
      </c>
      <c r="R508" s="286">
        <f t="shared" ref="R508:R513" si="868">T508+W508+Z508+AC508+AF508+AI508+AL508+AO508+AR508+AU508+AX508+BA508+BD508+BG508+BJ508+BM508+BP508+BS508+BV508+BY508+CB508+CE508+CH508+CK508</f>
        <v>918</v>
      </c>
      <c r="S508" s="286">
        <v>0</v>
      </c>
      <c r="T508" s="286">
        <v>0</v>
      </c>
      <c r="U508" s="286"/>
      <c r="V508" s="286">
        <v>0</v>
      </c>
      <c r="W508" s="286">
        <v>0</v>
      </c>
      <c r="X508" s="286"/>
      <c r="Y508" s="286">
        <v>0</v>
      </c>
      <c r="Z508" s="286">
        <v>0</v>
      </c>
      <c r="AA508" s="286"/>
      <c r="AB508" s="286">
        <v>0</v>
      </c>
      <c r="AC508" s="286">
        <v>0</v>
      </c>
      <c r="AD508" s="286"/>
      <c r="AE508" s="286">
        <v>0</v>
      </c>
      <c r="AF508" s="286">
        <v>0</v>
      </c>
      <c r="AG508" s="286"/>
      <c r="AH508" s="286">
        <v>0</v>
      </c>
      <c r="AI508" s="286">
        <v>0</v>
      </c>
      <c r="AJ508" s="286"/>
      <c r="AK508" s="286">
        <v>0</v>
      </c>
      <c r="AL508" s="286">
        <v>0</v>
      </c>
      <c r="AM508" s="286"/>
      <c r="AN508" s="286">
        <v>0</v>
      </c>
      <c r="AO508" s="286">
        <v>0</v>
      </c>
      <c r="AP508" s="286"/>
      <c r="AQ508" s="286">
        <v>0</v>
      </c>
      <c r="AR508" s="286">
        <v>0</v>
      </c>
      <c r="AS508" s="286"/>
      <c r="AT508" s="286">
        <v>0</v>
      </c>
      <c r="AU508" s="286">
        <v>0</v>
      </c>
      <c r="AV508" s="286"/>
      <c r="AW508" s="286">
        <v>0</v>
      </c>
      <c r="AX508" s="286">
        <v>0</v>
      </c>
      <c r="AY508" s="286"/>
      <c r="AZ508" s="286">
        <v>0</v>
      </c>
      <c r="BA508" s="286">
        <v>0</v>
      </c>
      <c r="BB508" s="286"/>
      <c r="BC508" s="302">
        <v>187</v>
      </c>
      <c r="BD508" s="302">
        <v>188</v>
      </c>
      <c r="BE508" s="286"/>
      <c r="BF508" s="302">
        <v>187</v>
      </c>
      <c r="BG508" s="302">
        <v>179</v>
      </c>
      <c r="BH508" s="286"/>
      <c r="BI508" s="302">
        <v>436</v>
      </c>
      <c r="BJ508" s="302">
        <v>424</v>
      </c>
      <c r="BK508" s="286"/>
      <c r="BL508" s="286">
        <v>0</v>
      </c>
      <c r="BM508" s="286">
        <v>0</v>
      </c>
      <c r="BN508" s="286"/>
      <c r="BO508" s="286">
        <v>0</v>
      </c>
      <c r="BP508" s="286">
        <v>0</v>
      </c>
      <c r="BQ508" s="286"/>
      <c r="BR508" s="286">
        <v>0</v>
      </c>
      <c r="BS508" s="286">
        <v>0</v>
      </c>
      <c r="BT508" s="286"/>
      <c r="BU508" s="286">
        <v>0</v>
      </c>
      <c r="BV508" s="286">
        <v>0</v>
      </c>
      <c r="BW508" s="286"/>
      <c r="BX508" s="286">
        <v>0</v>
      </c>
      <c r="BY508" s="286">
        <v>0</v>
      </c>
      <c r="BZ508" s="286"/>
      <c r="CA508" s="286">
        <v>0</v>
      </c>
      <c r="CB508" s="286">
        <v>0</v>
      </c>
      <c r="CC508" s="286"/>
      <c r="CD508" s="302">
        <v>118</v>
      </c>
      <c r="CE508" s="302">
        <v>127</v>
      </c>
      <c r="CF508" s="286"/>
      <c r="CG508" s="286">
        <v>0</v>
      </c>
      <c r="CH508" s="286">
        <v>0</v>
      </c>
      <c r="CI508" s="286"/>
      <c r="CJ508" s="286">
        <v>0</v>
      </c>
      <c r="CK508" s="286">
        <v>0</v>
      </c>
    </row>
    <row r="509" spans="1:89" ht="30" x14ac:dyDescent="0.25">
      <c r="A509" s="107"/>
      <c r="B509" s="312"/>
      <c r="C509" s="312" t="s">
        <v>1499</v>
      </c>
      <c r="D509" s="95"/>
      <c r="E509" s="282"/>
      <c r="F509" s="282"/>
      <c r="G509" s="282"/>
      <c r="H509" s="282">
        <v>0</v>
      </c>
      <c r="I509" s="282">
        <v>0</v>
      </c>
      <c r="J509" s="282">
        <v>0</v>
      </c>
      <c r="K509" s="282">
        <v>0</v>
      </c>
      <c r="L509" s="282">
        <v>0</v>
      </c>
      <c r="M509" s="282">
        <v>0</v>
      </c>
      <c r="N509" s="282">
        <v>0</v>
      </c>
      <c r="O509" s="283"/>
      <c r="Q509" s="286">
        <f t="shared" si="867"/>
        <v>0</v>
      </c>
      <c r="R509" s="286">
        <f t="shared" si="868"/>
        <v>0</v>
      </c>
      <c r="S509" s="286">
        <v>0</v>
      </c>
      <c r="T509" s="286">
        <v>0</v>
      </c>
      <c r="U509" s="286"/>
      <c r="V509" s="286">
        <v>0</v>
      </c>
      <c r="W509" s="286">
        <v>0</v>
      </c>
      <c r="X509" s="286"/>
      <c r="Y509" s="286">
        <v>0</v>
      </c>
      <c r="Z509" s="286">
        <v>0</v>
      </c>
      <c r="AA509" s="286"/>
      <c r="AB509" s="286">
        <v>0</v>
      </c>
      <c r="AC509" s="286">
        <v>0</v>
      </c>
      <c r="AD509" s="286"/>
      <c r="AE509" s="286">
        <v>0</v>
      </c>
      <c r="AF509" s="286">
        <v>0</v>
      </c>
      <c r="AG509" s="286"/>
      <c r="AH509" s="286">
        <v>0</v>
      </c>
      <c r="AI509" s="286">
        <v>0</v>
      </c>
      <c r="AJ509" s="286"/>
      <c r="AK509" s="286">
        <v>0</v>
      </c>
      <c r="AL509" s="286">
        <v>0</v>
      </c>
      <c r="AM509" s="286"/>
      <c r="AN509" s="286">
        <v>0</v>
      </c>
      <c r="AO509" s="286">
        <v>0</v>
      </c>
      <c r="AP509" s="286"/>
      <c r="AQ509" s="286">
        <v>0</v>
      </c>
      <c r="AR509" s="286">
        <v>0</v>
      </c>
      <c r="AS509" s="286"/>
      <c r="AT509" s="286">
        <v>0</v>
      </c>
      <c r="AU509" s="286">
        <v>0</v>
      </c>
      <c r="AV509" s="286"/>
      <c r="AW509" s="286">
        <v>0</v>
      </c>
      <c r="AX509" s="286">
        <v>0</v>
      </c>
      <c r="AY509" s="286"/>
      <c r="AZ509" s="286">
        <v>0</v>
      </c>
      <c r="BA509" s="286">
        <v>0</v>
      </c>
      <c r="BB509" s="286"/>
      <c r="BC509" s="286">
        <v>0</v>
      </c>
      <c r="BD509" s="286">
        <v>0</v>
      </c>
      <c r="BE509" s="286"/>
      <c r="BF509" s="286">
        <v>0</v>
      </c>
      <c r="BG509" s="286">
        <v>0</v>
      </c>
      <c r="BH509" s="286"/>
      <c r="BI509" s="286">
        <v>0</v>
      </c>
      <c r="BJ509" s="286">
        <v>0</v>
      </c>
      <c r="BK509" s="286"/>
      <c r="BL509" s="286">
        <v>0</v>
      </c>
      <c r="BM509" s="286">
        <v>0</v>
      </c>
      <c r="BN509" s="286"/>
      <c r="BO509" s="286">
        <v>0</v>
      </c>
      <c r="BP509" s="286">
        <v>0</v>
      </c>
      <c r="BQ509" s="286"/>
      <c r="BR509" s="286">
        <v>0</v>
      </c>
      <c r="BS509" s="286">
        <v>0</v>
      </c>
      <c r="BT509" s="286"/>
      <c r="BU509" s="286">
        <v>0</v>
      </c>
      <c r="BV509" s="286">
        <v>0</v>
      </c>
      <c r="BW509" s="286"/>
      <c r="BX509" s="286">
        <v>0</v>
      </c>
      <c r="BY509" s="286">
        <v>0</v>
      </c>
      <c r="BZ509" s="286"/>
      <c r="CA509" s="286">
        <v>0</v>
      </c>
      <c r="CB509" s="286">
        <v>0</v>
      </c>
      <c r="CC509" s="286"/>
      <c r="CD509" s="286">
        <v>0</v>
      </c>
      <c r="CE509" s="286">
        <v>0</v>
      </c>
      <c r="CF509" s="286"/>
      <c r="CG509" s="286">
        <v>0</v>
      </c>
      <c r="CH509" s="286">
        <v>0</v>
      </c>
      <c r="CI509" s="286"/>
      <c r="CJ509" s="286">
        <v>0</v>
      </c>
      <c r="CK509" s="286">
        <v>0</v>
      </c>
    </row>
    <row r="510" spans="1:89" ht="30" x14ac:dyDescent="0.25">
      <c r="A510" s="107"/>
      <c r="B510" s="312"/>
      <c r="C510" s="312" t="s">
        <v>1505</v>
      </c>
      <c r="D510" s="95"/>
      <c r="E510" s="282"/>
      <c r="F510" s="282"/>
      <c r="G510" s="282"/>
      <c r="H510" s="282">
        <v>0</v>
      </c>
      <c r="I510" s="282">
        <v>0</v>
      </c>
      <c r="J510" s="282">
        <v>0</v>
      </c>
      <c r="K510" s="282">
        <v>0</v>
      </c>
      <c r="L510" s="282">
        <v>0</v>
      </c>
      <c r="M510" s="282">
        <v>0</v>
      </c>
      <c r="N510" s="282">
        <v>0</v>
      </c>
      <c r="O510" s="283"/>
      <c r="Q510" s="286">
        <f t="shared" si="867"/>
        <v>0</v>
      </c>
      <c r="R510" s="286">
        <f t="shared" si="868"/>
        <v>0</v>
      </c>
      <c r="S510" s="286">
        <v>0</v>
      </c>
      <c r="T510" s="286">
        <v>0</v>
      </c>
      <c r="U510" s="286"/>
      <c r="V510" s="286">
        <v>0</v>
      </c>
      <c r="W510" s="286">
        <v>0</v>
      </c>
      <c r="X510" s="286"/>
      <c r="Y510" s="286">
        <v>0</v>
      </c>
      <c r="Z510" s="286">
        <v>0</v>
      </c>
      <c r="AA510" s="286"/>
      <c r="AB510" s="286">
        <v>0</v>
      </c>
      <c r="AC510" s="286">
        <v>0</v>
      </c>
      <c r="AD510" s="286"/>
      <c r="AE510" s="286">
        <v>0</v>
      </c>
      <c r="AF510" s="286">
        <v>0</v>
      </c>
      <c r="AG510" s="286"/>
      <c r="AH510" s="286">
        <v>0</v>
      </c>
      <c r="AI510" s="286">
        <v>0</v>
      </c>
      <c r="AJ510" s="286"/>
      <c r="AK510" s="286">
        <v>0</v>
      </c>
      <c r="AL510" s="286">
        <v>0</v>
      </c>
      <c r="AM510" s="286"/>
      <c r="AN510" s="286">
        <v>0</v>
      </c>
      <c r="AO510" s="286">
        <v>0</v>
      </c>
      <c r="AP510" s="286"/>
      <c r="AQ510" s="286">
        <v>0</v>
      </c>
      <c r="AR510" s="286">
        <v>0</v>
      </c>
      <c r="AS510" s="286"/>
      <c r="AT510" s="286">
        <v>0</v>
      </c>
      <c r="AU510" s="286">
        <v>0</v>
      </c>
      <c r="AV510" s="286"/>
      <c r="AW510" s="286">
        <v>0</v>
      </c>
      <c r="AX510" s="286">
        <v>0</v>
      </c>
      <c r="AY510" s="286"/>
      <c r="AZ510" s="286">
        <v>0</v>
      </c>
      <c r="BA510" s="286">
        <v>0</v>
      </c>
      <c r="BB510" s="286"/>
      <c r="BC510" s="286">
        <v>0</v>
      </c>
      <c r="BD510" s="286">
        <v>0</v>
      </c>
      <c r="BE510" s="286"/>
      <c r="BF510" s="286">
        <v>0</v>
      </c>
      <c r="BG510" s="286">
        <v>0</v>
      </c>
      <c r="BH510" s="286"/>
      <c r="BI510" s="286">
        <v>0</v>
      </c>
      <c r="BJ510" s="286">
        <v>0</v>
      </c>
      <c r="BK510" s="286"/>
      <c r="BL510" s="286">
        <v>0</v>
      </c>
      <c r="BM510" s="286">
        <v>0</v>
      </c>
      <c r="BN510" s="286"/>
      <c r="BO510" s="286">
        <v>0</v>
      </c>
      <c r="BP510" s="286">
        <v>0</v>
      </c>
      <c r="BQ510" s="286"/>
      <c r="BR510" s="286">
        <v>0</v>
      </c>
      <c r="BS510" s="286">
        <v>0</v>
      </c>
      <c r="BT510" s="286"/>
      <c r="BU510" s="286">
        <v>0</v>
      </c>
      <c r="BV510" s="286">
        <v>0</v>
      </c>
      <c r="BW510" s="286"/>
      <c r="BX510" s="286">
        <v>0</v>
      </c>
      <c r="BY510" s="286">
        <v>0</v>
      </c>
      <c r="BZ510" s="286"/>
      <c r="CA510" s="286">
        <v>0</v>
      </c>
      <c r="CB510" s="286">
        <v>0</v>
      </c>
      <c r="CC510" s="286"/>
      <c r="CD510" s="286">
        <v>0</v>
      </c>
      <c r="CE510" s="286">
        <v>0</v>
      </c>
      <c r="CF510" s="286"/>
      <c r="CG510" s="286">
        <v>0</v>
      </c>
      <c r="CH510" s="286">
        <v>0</v>
      </c>
      <c r="CI510" s="286"/>
      <c r="CJ510" s="286">
        <v>0</v>
      </c>
      <c r="CK510" s="286">
        <v>0</v>
      </c>
    </row>
    <row r="511" spans="1:89" ht="30" x14ac:dyDescent="0.25">
      <c r="A511" s="107"/>
      <c r="B511" s="312"/>
      <c r="C511" s="312" t="s">
        <v>1505</v>
      </c>
      <c r="D511" s="95"/>
      <c r="E511" s="282"/>
      <c r="F511" s="282"/>
      <c r="G511" s="282"/>
      <c r="H511" s="282">
        <v>0</v>
      </c>
      <c r="I511" s="282">
        <v>0</v>
      </c>
      <c r="J511" s="282">
        <v>0</v>
      </c>
      <c r="K511" s="282">
        <v>0</v>
      </c>
      <c r="L511" s="282">
        <v>0</v>
      </c>
      <c r="M511" s="282">
        <v>0</v>
      </c>
      <c r="N511" s="282">
        <v>0</v>
      </c>
      <c r="O511" s="283"/>
      <c r="Q511" s="286">
        <f t="shared" si="867"/>
        <v>0</v>
      </c>
      <c r="R511" s="286">
        <f t="shared" si="868"/>
        <v>0</v>
      </c>
      <c r="S511" s="286">
        <v>0</v>
      </c>
      <c r="T511" s="286">
        <v>0</v>
      </c>
      <c r="U511" s="286"/>
      <c r="V511" s="286">
        <v>0</v>
      </c>
      <c r="W511" s="286">
        <v>0</v>
      </c>
      <c r="X511" s="286"/>
      <c r="Y511" s="286">
        <v>0</v>
      </c>
      <c r="Z511" s="286">
        <v>0</v>
      </c>
      <c r="AA511" s="286"/>
      <c r="AB511" s="286">
        <v>0</v>
      </c>
      <c r="AC511" s="286">
        <v>0</v>
      </c>
      <c r="AD511" s="286"/>
      <c r="AE511" s="286">
        <v>0</v>
      </c>
      <c r="AF511" s="286">
        <v>0</v>
      </c>
      <c r="AG511" s="286"/>
      <c r="AH511" s="286">
        <v>0</v>
      </c>
      <c r="AI511" s="286">
        <v>0</v>
      </c>
      <c r="AJ511" s="286"/>
      <c r="AK511" s="286">
        <v>0</v>
      </c>
      <c r="AL511" s="286">
        <v>0</v>
      </c>
      <c r="AM511" s="286"/>
      <c r="AN511" s="286">
        <v>0</v>
      </c>
      <c r="AO511" s="286">
        <v>0</v>
      </c>
      <c r="AP511" s="286"/>
      <c r="AQ511" s="286">
        <v>0</v>
      </c>
      <c r="AR511" s="286">
        <v>0</v>
      </c>
      <c r="AS511" s="286"/>
      <c r="AT511" s="286">
        <v>0</v>
      </c>
      <c r="AU511" s="286">
        <v>0</v>
      </c>
      <c r="AV511" s="286"/>
      <c r="AW511" s="286">
        <v>0</v>
      </c>
      <c r="AX511" s="286">
        <v>0</v>
      </c>
      <c r="AY511" s="286"/>
      <c r="AZ511" s="286">
        <v>0</v>
      </c>
      <c r="BA511" s="286">
        <v>0</v>
      </c>
      <c r="BB511" s="286"/>
      <c r="BC511" s="286">
        <v>0</v>
      </c>
      <c r="BD511" s="286">
        <v>0</v>
      </c>
      <c r="BE511" s="286"/>
      <c r="BF511" s="286">
        <v>0</v>
      </c>
      <c r="BG511" s="286">
        <v>0</v>
      </c>
      <c r="BH511" s="286"/>
      <c r="BI511" s="286">
        <v>0</v>
      </c>
      <c r="BJ511" s="286">
        <v>0</v>
      </c>
      <c r="BK511" s="286"/>
      <c r="BL511" s="286">
        <v>0</v>
      </c>
      <c r="BM511" s="286">
        <v>0</v>
      </c>
      <c r="BN511" s="286"/>
      <c r="BO511" s="286">
        <v>0</v>
      </c>
      <c r="BP511" s="286">
        <v>0</v>
      </c>
      <c r="BQ511" s="286"/>
      <c r="BR511" s="286">
        <v>0</v>
      </c>
      <c r="BS511" s="286">
        <v>0</v>
      </c>
      <c r="BT511" s="286"/>
      <c r="BU511" s="286">
        <v>0</v>
      </c>
      <c r="BV511" s="286">
        <v>0</v>
      </c>
      <c r="BW511" s="286"/>
      <c r="BX511" s="286">
        <v>0</v>
      </c>
      <c r="BY511" s="286">
        <v>0</v>
      </c>
      <c r="BZ511" s="286"/>
      <c r="CA511" s="286">
        <v>0</v>
      </c>
      <c r="CB511" s="286">
        <v>0</v>
      </c>
      <c r="CC511" s="286"/>
      <c r="CD511" s="286">
        <v>0</v>
      </c>
      <c r="CE511" s="286">
        <v>0</v>
      </c>
      <c r="CF511" s="286"/>
      <c r="CG511" s="286">
        <v>0</v>
      </c>
      <c r="CH511" s="286">
        <v>0</v>
      </c>
      <c r="CI511" s="286"/>
      <c r="CJ511" s="286">
        <v>0</v>
      </c>
      <c r="CK511" s="286">
        <v>0</v>
      </c>
    </row>
    <row r="512" spans="1:89" ht="30" x14ac:dyDescent="0.25">
      <c r="A512" s="107"/>
      <c r="B512" s="312"/>
      <c r="C512" s="312" t="s">
        <v>1592</v>
      </c>
      <c r="D512" s="95"/>
      <c r="E512" s="282"/>
      <c r="F512" s="282"/>
      <c r="G512" s="282"/>
      <c r="H512" s="282">
        <v>0</v>
      </c>
      <c r="I512" s="282">
        <v>0</v>
      </c>
      <c r="J512" s="282">
        <v>0</v>
      </c>
      <c r="K512" s="282">
        <v>0</v>
      </c>
      <c r="L512" s="282">
        <v>0</v>
      </c>
      <c r="M512" s="282">
        <v>0</v>
      </c>
      <c r="N512" s="282">
        <v>0</v>
      </c>
      <c r="O512" s="283"/>
      <c r="Q512" s="286">
        <f t="shared" si="867"/>
        <v>0</v>
      </c>
      <c r="R512" s="286">
        <f t="shared" si="868"/>
        <v>0</v>
      </c>
      <c r="S512" s="286">
        <v>0</v>
      </c>
      <c r="T512" s="286">
        <v>0</v>
      </c>
      <c r="U512" s="286"/>
      <c r="V512" s="286">
        <v>0</v>
      </c>
      <c r="W512" s="286">
        <v>0</v>
      </c>
      <c r="X512" s="286"/>
      <c r="Y512" s="286">
        <v>0</v>
      </c>
      <c r="Z512" s="286">
        <v>0</v>
      </c>
      <c r="AA512" s="286"/>
      <c r="AB512" s="286">
        <v>0</v>
      </c>
      <c r="AC512" s="286">
        <v>0</v>
      </c>
      <c r="AD512" s="286"/>
      <c r="AE512" s="286">
        <v>0</v>
      </c>
      <c r="AF512" s="286">
        <v>0</v>
      </c>
      <c r="AG512" s="286"/>
      <c r="AH512" s="286">
        <v>0</v>
      </c>
      <c r="AI512" s="286">
        <v>0</v>
      </c>
      <c r="AJ512" s="286"/>
      <c r="AK512" s="286">
        <v>0</v>
      </c>
      <c r="AL512" s="286">
        <v>0</v>
      </c>
      <c r="AM512" s="286"/>
      <c r="AN512" s="286">
        <v>0</v>
      </c>
      <c r="AO512" s="286">
        <v>0</v>
      </c>
      <c r="AP512" s="286"/>
      <c r="AQ512" s="286">
        <v>0</v>
      </c>
      <c r="AR512" s="286">
        <v>0</v>
      </c>
      <c r="AS512" s="286"/>
      <c r="AT512" s="286">
        <v>0</v>
      </c>
      <c r="AU512" s="286">
        <v>0</v>
      </c>
      <c r="AV512" s="286"/>
      <c r="AW512" s="286">
        <v>0</v>
      </c>
      <c r="AX512" s="286">
        <v>0</v>
      </c>
      <c r="AY512" s="286"/>
      <c r="AZ512" s="286">
        <v>0</v>
      </c>
      <c r="BA512" s="286">
        <v>0</v>
      </c>
      <c r="BB512" s="286"/>
      <c r="BC512" s="286">
        <v>0</v>
      </c>
      <c r="BD512" s="286">
        <v>0</v>
      </c>
      <c r="BE512" s="286"/>
      <c r="BF512" s="286">
        <v>0</v>
      </c>
      <c r="BG512" s="286">
        <v>0</v>
      </c>
      <c r="BH512" s="286"/>
      <c r="BI512" s="286">
        <v>0</v>
      </c>
      <c r="BJ512" s="286">
        <v>0</v>
      </c>
      <c r="BK512" s="286"/>
      <c r="BL512" s="286">
        <v>0</v>
      </c>
      <c r="BM512" s="286">
        <v>0</v>
      </c>
      <c r="BN512" s="286"/>
      <c r="BO512" s="286">
        <v>0</v>
      </c>
      <c r="BP512" s="286">
        <v>0</v>
      </c>
      <c r="BQ512" s="286"/>
      <c r="BR512" s="286">
        <v>0</v>
      </c>
      <c r="BS512" s="286">
        <v>0</v>
      </c>
      <c r="BT512" s="286"/>
      <c r="BU512" s="286">
        <v>0</v>
      </c>
      <c r="BV512" s="286">
        <v>0</v>
      </c>
      <c r="BW512" s="286"/>
      <c r="BX512" s="286">
        <v>0</v>
      </c>
      <c r="BY512" s="286">
        <v>0</v>
      </c>
      <c r="BZ512" s="286"/>
      <c r="CA512" s="286">
        <v>0</v>
      </c>
      <c r="CB512" s="286">
        <v>0</v>
      </c>
      <c r="CC512" s="286"/>
      <c r="CD512" s="286">
        <v>0</v>
      </c>
      <c r="CE512" s="286">
        <v>0</v>
      </c>
      <c r="CF512" s="286"/>
      <c r="CG512" s="286">
        <v>0</v>
      </c>
      <c r="CH512" s="286">
        <v>0</v>
      </c>
      <c r="CI512" s="286"/>
      <c r="CJ512" s="286">
        <v>0</v>
      </c>
      <c r="CK512" s="286">
        <v>0</v>
      </c>
    </row>
    <row r="513" spans="1:89" ht="30" x14ac:dyDescent="0.25">
      <c r="A513" s="107"/>
      <c r="B513" s="312"/>
      <c r="C513" s="312" t="s">
        <v>1592</v>
      </c>
      <c r="D513" s="95"/>
      <c r="E513" s="282"/>
      <c r="F513" s="282"/>
      <c r="G513" s="282"/>
      <c r="H513" s="282">
        <v>0</v>
      </c>
      <c r="I513" s="282">
        <v>0</v>
      </c>
      <c r="J513" s="282">
        <v>0</v>
      </c>
      <c r="K513" s="282">
        <v>0</v>
      </c>
      <c r="L513" s="282">
        <v>0</v>
      </c>
      <c r="M513" s="282">
        <v>0</v>
      </c>
      <c r="N513" s="282">
        <v>0</v>
      </c>
      <c r="O513" s="283"/>
      <c r="Q513" s="286">
        <f t="shared" si="867"/>
        <v>0</v>
      </c>
      <c r="R513" s="286">
        <f t="shared" si="868"/>
        <v>0</v>
      </c>
      <c r="S513" s="286">
        <v>0</v>
      </c>
      <c r="T513" s="286">
        <v>0</v>
      </c>
      <c r="U513" s="286"/>
      <c r="V513" s="286">
        <v>0</v>
      </c>
      <c r="W513" s="286">
        <v>0</v>
      </c>
      <c r="X513" s="286"/>
      <c r="Y513" s="286">
        <v>0</v>
      </c>
      <c r="Z513" s="286">
        <v>0</v>
      </c>
      <c r="AA513" s="286"/>
      <c r="AB513" s="286">
        <v>0</v>
      </c>
      <c r="AC513" s="286">
        <v>0</v>
      </c>
      <c r="AD513" s="286"/>
      <c r="AE513" s="286">
        <v>0</v>
      </c>
      <c r="AF513" s="286">
        <v>0</v>
      </c>
      <c r="AG513" s="286"/>
      <c r="AH513" s="286">
        <v>0</v>
      </c>
      <c r="AI513" s="286">
        <v>0</v>
      </c>
      <c r="AJ513" s="286"/>
      <c r="AK513" s="286">
        <v>0</v>
      </c>
      <c r="AL513" s="286">
        <v>0</v>
      </c>
      <c r="AM513" s="286"/>
      <c r="AN513" s="286">
        <v>0</v>
      </c>
      <c r="AO513" s="286">
        <v>0</v>
      </c>
      <c r="AP513" s="286"/>
      <c r="AQ513" s="286">
        <v>0</v>
      </c>
      <c r="AR513" s="286">
        <v>0</v>
      </c>
      <c r="AS513" s="286"/>
      <c r="AT513" s="286">
        <v>0</v>
      </c>
      <c r="AU513" s="286">
        <v>0</v>
      </c>
      <c r="AV513" s="286"/>
      <c r="AW513" s="286">
        <v>0</v>
      </c>
      <c r="AX513" s="286">
        <v>0</v>
      </c>
      <c r="AY513" s="286"/>
      <c r="AZ513" s="286">
        <v>0</v>
      </c>
      <c r="BA513" s="286">
        <v>0</v>
      </c>
      <c r="BB513" s="286"/>
      <c r="BC513" s="286">
        <v>0</v>
      </c>
      <c r="BD513" s="286">
        <v>0</v>
      </c>
      <c r="BE513" s="286"/>
      <c r="BF513" s="286">
        <v>0</v>
      </c>
      <c r="BG513" s="286">
        <v>0</v>
      </c>
      <c r="BH513" s="286"/>
      <c r="BI513" s="286">
        <v>0</v>
      </c>
      <c r="BJ513" s="286">
        <v>0</v>
      </c>
      <c r="BK513" s="286"/>
      <c r="BL513" s="286">
        <v>0</v>
      </c>
      <c r="BM513" s="286">
        <v>0</v>
      </c>
      <c r="BN513" s="286"/>
      <c r="BO513" s="286">
        <v>0</v>
      </c>
      <c r="BP513" s="286">
        <v>0</v>
      </c>
      <c r="BQ513" s="286"/>
      <c r="BR513" s="286">
        <v>0</v>
      </c>
      <c r="BS513" s="286">
        <v>0</v>
      </c>
      <c r="BT513" s="286"/>
      <c r="BU513" s="286">
        <v>0</v>
      </c>
      <c r="BV513" s="286">
        <v>0</v>
      </c>
      <c r="BW513" s="286"/>
      <c r="BX513" s="286">
        <v>0</v>
      </c>
      <c r="BY513" s="286">
        <v>0</v>
      </c>
      <c r="BZ513" s="286"/>
      <c r="CA513" s="286">
        <v>0</v>
      </c>
      <c r="CB513" s="286">
        <v>0</v>
      </c>
      <c r="CC513" s="286"/>
      <c r="CD513" s="286">
        <v>0</v>
      </c>
      <c r="CE513" s="286">
        <v>0</v>
      </c>
      <c r="CF513" s="286"/>
      <c r="CG513" s="286">
        <v>0</v>
      </c>
      <c r="CH513" s="286">
        <v>0</v>
      </c>
      <c r="CI513" s="286"/>
      <c r="CJ513" s="286">
        <v>0</v>
      </c>
      <c r="CK513" s="286">
        <v>0</v>
      </c>
    </row>
    <row r="514" spans="1:89" ht="90" x14ac:dyDescent="0.25">
      <c r="A514" s="107"/>
      <c r="B514" s="16" t="s">
        <v>188</v>
      </c>
      <c r="C514" s="95" t="s">
        <v>189</v>
      </c>
      <c r="D514" s="95" t="s">
        <v>950</v>
      </c>
      <c r="E514" s="282">
        <f t="shared" ref="E514:J514" si="869">E515+E516</f>
        <v>46744</v>
      </c>
      <c r="F514" s="282">
        <f t="shared" si="869"/>
        <v>46048</v>
      </c>
      <c r="G514" s="282">
        <f t="shared" si="869"/>
        <v>48461</v>
      </c>
      <c r="H514" s="282">
        <f t="shared" si="869"/>
        <v>0</v>
      </c>
      <c r="I514" s="282">
        <f t="shared" si="869"/>
        <v>0</v>
      </c>
      <c r="J514" s="282">
        <f t="shared" si="869"/>
        <v>0</v>
      </c>
      <c r="K514" s="282">
        <f>K515+K516</f>
        <v>0</v>
      </c>
      <c r="L514" s="282">
        <f>L515+L516</f>
        <v>0</v>
      </c>
      <c r="M514" s="282">
        <f>M515+M516</f>
        <v>0</v>
      </c>
      <c r="N514" s="282">
        <f>N515+N516</f>
        <v>0</v>
      </c>
      <c r="Q514" s="305"/>
      <c r="R514" s="305"/>
      <c r="S514" s="305"/>
      <c r="T514" s="305"/>
      <c r="U514" s="304"/>
      <c r="V514" s="305"/>
      <c r="W514" s="305"/>
      <c r="X514" s="304"/>
      <c r="Y514" s="305"/>
      <c r="Z514" s="305"/>
      <c r="AA514" s="304"/>
      <c r="AB514" s="305"/>
      <c r="AC514" s="305"/>
      <c r="AD514" s="304"/>
      <c r="AE514" s="305"/>
      <c r="AF514" s="305"/>
      <c r="AG514" s="304"/>
      <c r="AH514" s="305"/>
      <c r="AI514" s="305"/>
      <c r="AJ514" s="304"/>
      <c r="AK514" s="305"/>
      <c r="AL514" s="305"/>
      <c r="AM514" s="304"/>
      <c r="AN514" s="305"/>
      <c r="AO514" s="305"/>
      <c r="AP514" s="304"/>
      <c r="AQ514" s="305"/>
      <c r="AR514" s="305"/>
      <c r="AS514" s="304"/>
      <c r="AT514" s="305"/>
      <c r="AU514" s="305"/>
      <c r="AV514" s="304"/>
      <c r="AW514" s="305"/>
      <c r="AX514" s="305"/>
      <c r="AY514" s="304"/>
      <c r="AZ514" s="305"/>
      <c r="BA514" s="305"/>
      <c r="BB514" s="304"/>
      <c r="BC514" s="305"/>
      <c r="BD514" s="305"/>
      <c r="BE514" s="304"/>
      <c r="BF514" s="305"/>
      <c r="BG514" s="305"/>
      <c r="BH514" s="304"/>
      <c r="BI514" s="305"/>
      <c r="BJ514" s="305"/>
      <c r="BK514" s="304"/>
      <c r="BL514" s="305"/>
      <c r="BM514" s="305"/>
      <c r="BN514" s="304"/>
      <c r="BO514" s="305"/>
      <c r="BP514" s="305"/>
      <c r="BQ514" s="304"/>
      <c r="BR514" s="305"/>
      <c r="BS514" s="305"/>
      <c r="BT514" s="304"/>
      <c r="BU514" s="305"/>
      <c r="BV514" s="305"/>
      <c r="BW514" s="304"/>
      <c r="BX514" s="305"/>
      <c r="BY514" s="305"/>
      <c r="BZ514" s="304"/>
      <c r="CA514" s="305"/>
      <c r="CB514" s="305"/>
      <c r="CC514" s="304"/>
      <c r="CD514" s="305"/>
      <c r="CE514" s="305"/>
      <c r="CF514" s="304"/>
      <c r="CG514" s="305"/>
      <c r="CH514" s="305"/>
      <c r="CI514" s="304"/>
      <c r="CJ514" s="305"/>
      <c r="CK514" s="305"/>
    </row>
    <row r="515" spans="1:89" x14ac:dyDescent="0.25">
      <c r="A515" s="107"/>
      <c r="B515" s="16" t="s">
        <v>1182</v>
      </c>
      <c r="C515" s="95"/>
      <c r="D515" s="95" t="s">
        <v>950</v>
      </c>
      <c r="E515" s="282">
        <v>46697</v>
      </c>
      <c r="F515" s="282">
        <v>45993</v>
      </c>
      <c r="G515" s="282">
        <v>48411</v>
      </c>
      <c r="H515" s="282">
        <v>0</v>
      </c>
      <c r="I515" s="282">
        <v>0</v>
      </c>
      <c r="J515" s="282">
        <v>0</v>
      </c>
      <c r="K515" s="282">
        <v>0</v>
      </c>
      <c r="L515" s="282">
        <v>0</v>
      </c>
      <c r="M515" s="282">
        <v>0</v>
      </c>
      <c r="N515" s="282">
        <v>0</v>
      </c>
      <c r="O515" s="283"/>
      <c r="Q515" s="325"/>
      <c r="R515" s="325"/>
      <c r="S515" s="304"/>
      <c r="T515" s="304"/>
      <c r="U515" s="304"/>
      <c r="V515" s="304"/>
      <c r="W515" s="304"/>
      <c r="X515" s="304"/>
      <c r="Y515" s="304"/>
      <c r="Z515" s="304"/>
      <c r="AA515" s="304"/>
      <c r="AB515" s="304"/>
      <c r="AC515" s="304"/>
      <c r="AD515" s="304"/>
      <c r="AE515" s="304"/>
      <c r="AF515" s="304"/>
      <c r="AG515" s="304"/>
      <c r="AH515" s="304"/>
      <c r="AI515" s="304"/>
      <c r="AJ515" s="304"/>
      <c r="AK515" s="304"/>
      <c r="AL515" s="304"/>
      <c r="AM515" s="304"/>
      <c r="AN515" s="304"/>
      <c r="AO515" s="304"/>
      <c r="AP515" s="304"/>
      <c r="AQ515" s="304"/>
      <c r="AR515" s="304"/>
      <c r="AS515" s="304"/>
      <c r="AT515" s="304"/>
      <c r="AU515" s="304"/>
      <c r="AV515" s="304"/>
      <c r="AW515" s="304"/>
      <c r="AX515" s="304"/>
      <c r="AY515" s="304"/>
      <c r="AZ515" s="304"/>
      <c r="BA515" s="304"/>
      <c r="BB515" s="304"/>
      <c r="BC515" s="304"/>
      <c r="BD515" s="304"/>
      <c r="BE515" s="304"/>
      <c r="BF515" s="304"/>
      <c r="BG515" s="304"/>
      <c r="BH515" s="304"/>
      <c r="BI515" s="304"/>
      <c r="BJ515" s="304"/>
      <c r="BK515" s="304"/>
      <c r="BL515" s="304"/>
      <c r="BM515" s="304"/>
      <c r="BN515" s="304"/>
      <c r="BO515" s="304"/>
      <c r="BP515" s="304"/>
      <c r="BQ515" s="304"/>
      <c r="BR515" s="304"/>
      <c r="BS515" s="304"/>
      <c r="BT515" s="304"/>
      <c r="BU515" s="304"/>
      <c r="BV515" s="304"/>
      <c r="BW515" s="304"/>
      <c r="BX515" s="304"/>
      <c r="BY515" s="304"/>
      <c r="BZ515" s="304"/>
      <c r="CA515" s="304"/>
      <c r="CB515" s="304"/>
      <c r="CC515" s="304"/>
      <c r="CD515" s="304"/>
      <c r="CE515" s="304"/>
      <c r="CF515" s="304"/>
      <c r="CG515" s="304"/>
      <c r="CH515" s="304"/>
      <c r="CI515" s="304"/>
      <c r="CJ515" s="304"/>
      <c r="CK515" s="304"/>
    </row>
    <row r="516" spans="1:89" x14ac:dyDescent="0.25">
      <c r="A516" s="107"/>
      <c r="B516" s="16" t="s">
        <v>1184</v>
      </c>
      <c r="C516" s="95"/>
      <c r="D516" s="95" t="s">
        <v>950</v>
      </c>
      <c r="E516" s="282">
        <v>47</v>
      </c>
      <c r="F516" s="282">
        <v>55</v>
      </c>
      <c r="G516" s="282">
        <v>50</v>
      </c>
      <c r="H516" s="282">
        <v>0</v>
      </c>
      <c r="I516" s="282">
        <v>0</v>
      </c>
      <c r="J516" s="282">
        <v>0</v>
      </c>
      <c r="K516" s="282">
        <v>0</v>
      </c>
      <c r="L516" s="282">
        <v>0</v>
      </c>
      <c r="M516" s="282">
        <v>0</v>
      </c>
      <c r="N516" s="282">
        <v>0</v>
      </c>
      <c r="O516" s="283"/>
      <c r="Q516" s="325"/>
      <c r="R516" s="325"/>
      <c r="S516" s="304"/>
      <c r="T516" s="304"/>
      <c r="U516" s="304"/>
      <c r="V516" s="304"/>
      <c r="W516" s="304"/>
      <c r="X516" s="304"/>
      <c r="Y516" s="304"/>
      <c r="Z516" s="304"/>
      <c r="AA516" s="304"/>
      <c r="AB516" s="304"/>
      <c r="AC516" s="304"/>
      <c r="AD516" s="304"/>
      <c r="AE516" s="304"/>
      <c r="AF516" s="304"/>
      <c r="AG516" s="304"/>
      <c r="AH516" s="304"/>
      <c r="AI516" s="304"/>
      <c r="AJ516" s="304"/>
      <c r="AK516" s="304"/>
      <c r="AL516" s="304"/>
      <c r="AM516" s="304"/>
      <c r="AN516" s="304"/>
      <c r="AO516" s="304"/>
      <c r="AP516" s="304"/>
      <c r="AQ516" s="304"/>
      <c r="AR516" s="304"/>
      <c r="AS516" s="304"/>
      <c r="AT516" s="304"/>
      <c r="AU516" s="304"/>
      <c r="AV516" s="304"/>
      <c r="AW516" s="304"/>
      <c r="AX516" s="304"/>
      <c r="AY516" s="304"/>
      <c r="AZ516" s="304"/>
      <c r="BA516" s="304"/>
      <c r="BB516" s="304"/>
      <c r="BC516" s="304"/>
      <c r="BD516" s="304"/>
      <c r="BE516" s="304"/>
      <c r="BF516" s="304"/>
      <c r="BG516" s="304"/>
      <c r="BH516" s="304"/>
      <c r="BI516" s="304"/>
      <c r="BJ516" s="304"/>
      <c r="BK516" s="304"/>
      <c r="BL516" s="304"/>
      <c r="BM516" s="304"/>
      <c r="BN516" s="304"/>
      <c r="BO516" s="304"/>
      <c r="BP516" s="304"/>
      <c r="BQ516" s="304"/>
      <c r="BR516" s="304"/>
      <c r="BS516" s="304"/>
      <c r="BT516" s="304"/>
      <c r="BU516" s="304"/>
      <c r="BV516" s="304"/>
      <c r="BW516" s="304"/>
      <c r="BX516" s="304"/>
      <c r="BY516" s="304"/>
      <c r="BZ516" s="304"/>
      <c r="CA516" s="304"/>
      <c r="CB516" s="304"/>
      <c r="CC516" s="304"/>
      <c r="CD516" s="304"/>
      <c r="CE516" s="304"/>
      <c r="CF516" s="304"/>
      <c r="CG516" s="304"/>
      <c r="CH516" s="304"/>
      <c r="CI516" s="304"/>
      <c r="CJ516" s="304"/>
      <c r="CK516" s="304"/>
    </row>
    <row r="517" spans="1:89" ht="90" x14ac:dyDescent="0.25">
      <c r="A517" s="107"/>
      <c r="B517" s="16" t="s">
        <v>190</v>
      </c>
      <c r="C517" s="95" t="s">
        <v>191</v>
      </c>
      <c r="D517" s="95" t="s">
        <v>950</v>
      </c>
      <c r="E517" s="282">
        <f t="shared" ref="E517:J517" si="870">E518+E519</f>
        <v>0</v>
      </c>
      <c r="F517" s="282">
        <f t="shared" si="870"/>
        <v>0</v>
      </c>
      <c r="G517" s="282">
        <f t="shared" si="870"/>
        <v>0</v>
      </c>
      <c r="H517" s="282">
        <f t="shared" si="870"/>
        <v>0</v>
      </c>
      <c r="I517" s="282">
        <f t="shared" si="870"/>
        <v>0</v>
      </c>
      <c r="J517" s="282">
        <f t="shared" si="870"/>
        <v>0</v>
      </c>
      <c r="K517" s="282">
        <f>K518+K519</f>
        <v>0</v>
      </c>
      <c r="L517" s="282">
        <f>L518+L519</f>
        <v>0</v>
      </c>
      <c r="M517" s="282">
        <f>M518+M519</f>
        <v>0</v>
      </c>
      <c r="N517" s="282">
        <f>N518+N519</f>
        <v>0</v>
      </c>
      <c r="Q517" s="305"/>
      <c r="R517" s="305"/>
      <c r="S517" s="305"/>
      <c r="T517" s="305"/>
      <c r="U517" s="304"/>
      <c r="V517" s="305"/>
      <c r="W517" s="305"/>
      <c r="X517" s="304"/>
      <c r="Y517" s="305"/>
      <c r="Z517" s="305"/>
      <c r="AA517" s="304"/>
      <c r="AB517" s="305"/>
      <c r="AC517" s="305"/>
      <c r="AD517" s="304"/>
      <c r="AE517" s="305"/>
      <c r="AF517" s="305"/>
      <c r="AG517" s="304"/>
      <c r="AH517" s="305"/>
      <c r="AI517" s="305"/>
      <c r="AJ517" s="304"/>
      <c r="AK517" s="305"/>
      <c r="AL517" s="305"/>
      <c r="AM517" s="304"/>
      <c r="AN517" s="305"/>
      <c r="AO517" s="305"/>
      <c r="AP517" s="304"/>
      <c r="AQ517" s="305"/>
      <c r="AR517" s="305"/>
      <c r="AS517" s="304"/>
      <c r="AT517" s="305"/>
      <c r="AU517" s="305"/>
      <c r="AV517" s="304"/>
      <c r="AW517" s="305"/>
      <c r="AX517" s="305"/>
      <c r="AY517" s="304"/>
      <c r="AZ517" s="305"/>
      <c r="BA517" s="305"/>
      <c r="BB517" s="304"/>
      <c r="BC517" s="305"/>
      <c r="BD517" s="305"/>
      <c r="BE517" s="304"/>
      <c r="BF517" s="305"/>
      <c r="BG517" s="305"/>
      <c r="BH517" s="304"/>
      <c r="BI517" s="305"/>
      <c r="BJ517" s="305"/>
      <c r="BK517" s="304"/>
      <c r="BL517" s="305"/>
      <c r="BM517" s="305"/>
      <c r="BN517" s="304"/>
      <c r="BO517" s="305"/>
      <c r="BP517" s="305"/>
      <c r="BQ517" s="304"/>
      <c r="BR517" s="305"/>
      <c r="BS517" s="305"/>
      <c r="BT517" s="304"/>
      <c r="BU517" s="305"/>
      <c r="BV517" s="305"/>
      <c r="BW517" s="304"/>
      <c r="BX517" s="305"/>
      <c r="BY517" s="305"/>
      <c r="BZ517" s="304"/>
      <c r="CA517" s="305"/>
      <c r="CB517" s="305"/>
      <c r="CC517" s="304"/>
      <c r="CD517" s="305"/>
      <c r="CE517" s="305"/>
      <c r="CF517" s="304"/>
      <c r="CG517" s="305"/>
      <c r="CH517" s="305"/>
      <c r="CI517" s="304"/>
      <c r="CJ517" s="305"/>
      <c r="CK517" s="305"/>
    </row>
    <row r="518" spans="1:89" x14ac:dyDescent="0.25">
      <c r="A518" s="107"/>
      <c r="B518" s="16" t="s">
        <v>1182</v>
      </c>
      <c r="C518" s="95"/>
      <c r="D518" s="95" t="s">
        <v>950</v>
      </c>
      <c r="E518" s="282">
        <v>0</v>
      </c>
      <c r="F518" s="282">
        <v>0</v>
      </c>
      <c r="G518" s="282">
        <v>0</v>
      </c>
      <c r="H518" s="282">
        <v>0</v>
      </c>
      <c r="I518" s="282">
        <v>0</v>
      </c>
      <c r="J518" s="282">
        <v>0</v>
      </c>
      <c r="K518" s="282">
        <v>0</v>
      </c>
      <c r="L518" s="282">
        <v>0</v>
      </c>
      <c r="M518" s="282">
        <v>0</v>
      </c>
      <c r="N518" s="282">
        <v>0</v>
      </c>
      <c r="O518" s="283"/>
      <c r="Q518" s="325"/>
      <c r="R518" s="325"/>
      <c r="S518" s="304"/>
      <c r="T518" s="304"/>
      <c r="U518" s="304"/>
      <c r="V518" s="304"/>
      <c r="W518" s="304"/>
      <c r="X518" s="304"/>
      <c r="Y518" s="304"/>
      <c r="Z518" s="304"/>
      <c r="AA518" s="304"/>
      <c r="AB518" s="304"/>
      <c r="AC518" s="304"/>
      <c r="AD518" s="304"/>
      <c r="AE518" s="304"/>
      <c r="AF518" s="304"/>
      <c r="AG518" s="304"/>
      <c r="AH518" s="304"/>
      <c r="AI518" s="304"/>
      <c r="AJ518" s="304"/>
      <c r="AK518" s="304"/>
      <c r="AL518" s="304"/>
      <c r="AM518" s="304"/>
      <c r="AN518" s="304"/>
      <c r="AO518" s="304"/>
      <c r="AP518" s="304"/>
      <c r="AQ518" s="304"/>
      <c r="AR518" s="304"/>
      <c r="AS518" s="304"/>
      <c r="AT518" s="304"/>
      <c r="AU518" s="304"/>
      <c r="AV518" s="304"/>
      <c r="AW518" s="304"/>
      <c r="AX518" s="304"/>
      <c r="AY518" s="304"/>
      <c r="AZ518" s="304"/>
      <c r="BA518" s="304"/>
      <c r="BB518" s="304"/>
      <c r="BC518" s="304"/>
      <c r="BD518" s="304"/>
      <c r="BE518" s="304"/>
      <c r="BF518" s="304"/>
      <c r="BG518" s="304"/>
      <c r="BH518" s="304"/>
      <c r="BI518" s="304"/>
      <c r="BJ518" s="304"/>
      <c r="BK518" s="304"/>
      <c r="BL518" s="304"/>
      <c r="BM518" s="304"/>
      <c r="BN518" s="304"/>
      <c r="BO518" s="304"/>
      <c r="BP518" s="304"/>
      <c r="BQ518" s="304"/>
      <c r="BR518" s="304"/>
      <c r="BS518" s="304"/>
      <c r="BT518" s="304"/>
      <c r="BU518" s="304"/>
      <c r="BV518" s="304"/>
      <c r="BW518" s="304"/>
      <c r="BX518" s="304"/>
      <c r="BY518" s="304"/>
      <c r="BZ518" s="304"/>
      <c r="CA518" s="304"/>
      <c r="CB518" s="304"/>
      <c r="CC518" s="304"/>
      <c r="CD518" s="304"/>
      <c r="CE518" s="304"/>
      <c r="CF518" s="304"/>
      <c r="CG518" s="304"/>
      <c r="CH518" s="304"/>
      <c r="CI518" s="304"/>
      <c r="CJ518" s="304"/>
      <c r="CK518" s="304"/>
    </row>
    <row r="519" spans="1:89" x14ac:dyDescent="0.25">
      <c r="A519" s="107"/>
      <c r="B519" s="16" t="s">
        <v>1184</v>
      </c>
      <c r="C519" s="95"/>
      <c r="D519" s="95" t="s">
        <v>950</v>
      </c>
      <c r="E519" s="282">
        <v>0</v>
      </c>
      <c r="F519" s="282">
        <v>0</v>
      </c>
      <c r="G519" s="282">
        <v>0</v>
      </c>
      <c r="H519" s="282">
        <v>0</v>
      </c>
      <c r="I519" s="282">
        <v>0</v>
      </c>
      <c r="J519" s="282">
        <v>0</v>
      </c>
      <c r="K519" s="282">
        <v>0</v>
      </c>
      <c r="L519" s="282">
        <v>0</v>
      </c>
      <c r="M519" s="282">
        <v>0</v>
      </c>
      <c r="N519" s="282">
        <v>0</v>
      </c>
      <c r="O519" s="283"/>
      <c r="Q519" s="325"/>
      <c r="R519" s="325"/>
      <c r="S519" s="304"/>
      <c r="T519" s="304"/>
      <c r="U519" s="304"/>
      <c r="V519" s="304"/>
      <c r="W519" s="304"/>
      <c r="X519" s="304"/>
      <c r="Y519" s="304"/>
      <c r="Z519" s="304"/>
      <c r="AA519" s="304"/>
      <c r="AB519" s="304"/>
      <c r="AC519" s="304"/>
      <c r="AD519" s="304"/>
      <c r="AE519" s="304"/>
      <c r="AF519" s="304"/>
      <c r="AG519" s="304"/>
      <c r="AH519" s="304"/>
      <c r="AI519" s="304"/>
      <c r="AJ519" s="304"/>
      <c r="AK519" s="304"/>
      <c r="AL519" s="304"/>
      <c r="AM519" s="304"/>
      <c r="AN519" s="304"/>
      <c r="AO519" s="304"/>
      <c r="AP519" s="304"/>
      <c r="AQ519" s="304"/>
      <c r="AR519" s="304"/>
      <c r="AS519" s="304"/>
      <c r="AT519" s="304"/>
      <c r="AU519" s="304"/>
      <c r="AV519" s="304"/>
      <c r="AW519" s="304"/>
      <c r="AX519" s="304"/>
      <c r="AY519" s="304"/>
      <c r="AZ519" s="304"/>
      <c r="BA519" s="304"/>
      <c r="BB519" s="304"/>
      <c r="BC519" s="304"/>
      <c r="BD519" s="304"/>
      <c r="BE519" s="304"/>
      <c r="BF519" s="304"/>
      <c r="BG519" s="304"/>
      <c r="BH519" s="304"/>
      <c r="BI519" s="304"/>
      <c r="BJ519" s="304"/>
      <c r="BK519" s="304"/>
      <c r="BL519" s="304"/>
      <c r="BM519" s="304"/>
      <c r="BN519" s="304"/>
      <c r="BO519" s="304"/>
      <c r="BP519" s="304"/>
      <c r="BQ519" s="304"/>
      <c r="BR519" s="304"/>
      <c r="BS519" s="304"/>
      <c r="BT519" s="304"/>
      <c r="BU519" s="304"/>
      <c r="BV519" s="304"/>
      <c r="BW519" s="304"/>
      <c r="BX519" s="304"/>
      <c r="BY519" s="304"/>
      <c r="BZ519" s="304"/>
      <c r="CA519" s="304"/>
      <c r="CB519" s="304"/>
      <c r="CC519" s="304"/>
      <c r="CD519" s="304"/>
      <c r="CE519" s="304"/>
      <c r="CF519" s="304"/>
      <c r="CG519" s="304"/>
      <c r="CH519" s="304"/>
      <c r="CI519" s="304"/>
      <c r="CJ519" s="304"/>
      <c r="CK519" s="304"/>
    </row>
    <row r="520" spans="1:89" ht="30" x14ac:dyDescent="0.25">
      <c r="A520" s="107"/>
      <c r="B520" s="16" t="s">
        <v>192</v>
      </c>
      <c r="C520" s="95" t="s">
        <v>193</v>
      </c>
      <c r="D520" s="95" t="s">
        <v>950</v>
      </c>
      <c r="E520" s="282">
        <v>1029</v>
      </c>
      <c r="F520" s="282">
        <v>753</v>
      </c>
      <c r="G520" s="282">
        <v>621</v>
      </c>
      <c r="H520" s="282">
        <v>0</v>
      </c>
      <c r="I520" s="282">
        <v>0</v>
      </c>
      <c r="J520" s="282">
        <v>0</v>
      </c>
      <c r="K520" s="282">
        <v>0</v>
      </c>
      <c r="L520" s="282">
        <v>0</v>
      </c>
      <c r="M520" s="282">
        <v>0</v>
      </c>
      <c r="N520" s="282">
        <v>0</v>
      </c>
      <c r="O520" s="283"/>
    </row>
    <row r="521" spans="1:89" ht="30" x14ac:dyDescent="0.25">
      <c r="A521" s="107"/>
      <c r="B521" s="16" t="s">
        <v>194</v>
      </c>
      <c r="C521" s="95" t="s">
        <v>195</v>
      </c>
      <c r="D521" s="95" t="s">
        <v>950</v>
      </c>
      <c r="E521" s="282">
        <v>1515</v>
      </c>
      <c r="F521" s="282">
        <v>904</v>
      </c>
      <c r="G521" s="282">
        <v>702</v>
      </c>
      <c r="H521" s="282">
        <v>0</v>
      </c>
      <c r="I521" s="282">
        <v>0</v>
      </c>
      <c r="J521" s="282">
        <v>0</v>
      </c>
      <c r="K521" s="282">
        <v>0</v>
      </c>
      <c r="L521" s="282">
        <v>0</v>
      </c>
      <c r="M521" s="282">
        <v>0</v>
      </c>
      <c r="N521" s="282">
        <v>0</v>
      </c>
    </row>
    <row r="522" spans="1:89" x14ac:dyDescent="0.25">
      <c r="A522" s="107"/>
      <c r="B522" s="16"/>
      <c r="C522" s="95"/>
      <c r="D522" s="95"/>
      <c r="E522" s="282"/>
      <c r="F522" s="282"/>
      <c r="G522" s="282"/>
      <c r="H522" s="331">
        <f>((H528+H529+H530+H537+H538+H539)+((0.25*(H531+H532+H533+H540+H541+H542))+((0.1*(H534+H535+H536+H543+H544+H545)))))/(H525)</f>
        <v>0.99597595232079428</v>
      </c>
      <c r="I522" s="331">
        <f>((I528+I529+I530+I537+I538+I539)+((0.25*(I531+I532+I533+I540+I541+I542))+((0.1*(I534+I535+I536+I543+I544+I545)))))/(I525)</f>
        <v>0.99686997014925371</v>
      </c>
      <c r="J522" s="331">
        <f>((J528+J529+J530+J537+J538+J539)+((0.25*(J531+J532+J533+J540+J541+J542))+((0.1*(J534+J535+J536+J543+J544+J545)))))/(J525)</f>
        <v>0.99737049520833432</v>
      </c>
      <c r="K522" s="331">
        <f>((K528+K529+K530+K537+K538+K539)+((0.25*(K531+K532+K533+K540+K541+K542))+((0.1*(K534+K535+K536+K543+K544+K545)))))/(K525)</f>
        <v>0.99749911052463291</v>
      </c>
      <c r="L522" s="331">
        <f>((L528+L529+L530+L537+L538+L539)+((0.25*(L531+L532+L533+L540+L541+L542))+((0.1*(L534+L535+L536+L543+L544+L545)))))/(L525)</f>
        <v>1</v>
      </c>
      <c r="M522" s="331">
        <f t="shared" ref="M522:N522" si="871">((M528+M529+M530+M537+M538+M539)+((0.25*(M531+M532+M533+M540+M541+M542))+((0.1*(M534+M535+M536+M543+M544+M545)))))/(M525)</f>
        <v>1</v>
      </c>
      <c r="N522" s="331">
        <f t="shared" si="871"/>
        <v>1</v>
      </c>
      <c r="Q522" s="331">
        <f>((Q528+Q529+Q530+Q537+Q538+Q539)+((0.25*(Q531+Q532+Q533+Q540+Q541+Q542))+((0.1*(Q534+Q535+Q536+Q543+Q544+Q545)))))/(Q525)</f>
        <v>0.99749911052463291</v>
      </c>
      <c r="R522" s="331">
        <f>((R528+R529+R530+R537+R538+R539)+((0.25*(R531+R532+R533+R540+R541+R542))+((0.1*(R534+R535+R536+R543+R544+R545)))))/(R525)</f>
        <v>0.99765877287405813</v>
      </c>
      <c r="S522" s="331">
        <f>((S528+S529+S530+S537+S538+S539)+((0.25*(S531+S532+S533+S540+S541+S542))+((0.1*(S534+S535+S536+S543+S544+S545)))))/(S525)</f>
        <v>0.99847250509164964</v>
      </c>
      <c r="T522" s="331">
        <f>((T528+T529+T530+T537+T538+T539)+((0.25*(T531+T532+T533+T540+T541+T542))+((0.1*(T534+T535+T536+T543+T544+T545)))))/(T525)</f>
        <v>0.99722496299950669</v>
      </c>
      <c r="V522" s="331">
        <f>((V528+V529+V530+V537+V538+V539)+((0.25*(V531+V532+V533+V540+V541+V542))+((0.1*(V534+V535+V536+V543+V544+V545)))))/(V525)</f>
        <v>0.99687239366138447</v>
      </c>
      <c r="W522" s="331">
        <f>((W528+W529+W530+W537+W538+W539)+((0.25*(W531+W532+W533+W540+W541+W542))+((0.1*(W534+W535+W536+W543+W544+W545)))))/(W525)</f>
        <v>0.99790327089740005</v>
      </c>
      <c r="Y522" s="331">
        <f>((Y528+Y529+Y530+Y537+Y538+Y539)+((0.25*(Y531+Y532+Y533+Y540+Y541+Y542))+((0.1*(Y534+Y535+Y536+Y543+Y544+Y545)))))/(Y525)</f>
        <v>1</v>
      </c>
      <c r="Z522" s="331">
        <f>((Z528+Z529+Z530+Z537+Z538+Z539)+((0.25*(Z531+Z532+Z533+Z540+Z541+Z542))+((0.1*(Z534+Z535+Z536+Z543+Z544+Z545)))))/(Z525)</f>
        <v>1</v>
      </c>
      <c r="AB522" s="331">
        <f>((AB528+AB529+AB530+AB537+AB538+AB539)+((0.25*(AB531+AB532+AB533+AB540+AB541+AB542))+((0.1*(AB534+AB535+AB536+AB543+AB544+AB545)))))/(AB525)</f>
        <v>1</v>
      </c>
      <c r="AC522" s="331">
        <f>((AC528+AC529+AC530+AC537+AC538+AC539)+((0.25*(AC531+AC532+AC533+AC540+AC541+AC542))+((0.1*(AC534+AC535+AC536+AC543+AC544+AC545)))))/(AC525)</f>
        <v>1</v>
      </c>
      <c r="AE522" s="331">
        <f>((AE528+AE529+AE530+AE537+AE538+AE539)+((0.25*(AE531+AE532+AE533+AE540+AE541+AE542))+((0.1*(AE534+AE535+AE536+AE543+AE544+AE545)))))/(AE525)</f>
        <v>0.99131274131274127</v>
      </c>
      <c r="AF522" s="331">
        <f>((AF528+AF529+AF530+AF537+AF538+AF539)+((0.25*(AF531+AF532+AF533+AF540+AF541+AF542))+((0.1*(AF534+AF535+AF536+AF543+AF544+AF545)))))/(AF525)</f>
        <v>0.9925916298414349</v>
      </c>
      <c r="AH522" s="331">
        <f>((AH528+AH529+AH530+AH537+AH538+AH539)+((0.25*(AH531+AH532+AH533+AH540+AH541+AH542))+((0.1*(AH534+AH535+AH536+AH543+AH544+AH545)))))/(AH525)</f>
        <v>0.99641900937081651</v>
      </c>
      <c r="AI522" s="331">
        <f>((AI528+AI529+AI530+AI537+AI538+AI539)+((0.25*(AI531+AI532+AI533+AI540+AI541+AI542))+((0.1*(AI534+AI535+AI536+AI543+AI544+AI545)))))/(AI525)</f>
        <v>0.9971380471380471</v>
      </c>
      <c r="AK522" s="331">
        <f>((AK528+AK529+AK530+AK537+AK538+AK539)+((0.25*(AK531+AK532+AK533+AK540+AK541+AK542))+((0.1*(AK534+AK535+AK536+AK543+AK544+AK545)))))/(AK525)</f>
        <v>0.99710433950223365</v>
      </c>
      <c r="AL522" s="331">
        <f>((AL528+AL529+AL530+AL537+AL538+AL539)+((0.25*(AL531+AL532+AL533+AL540+AL541+AL542))+((0.1*(AL534+AL535+AL536+AL543+AL544+AL545)))))/(AL525)</f>
        <v>0.99640605296342999</v>
      </c>
      <c r="AN522" s="331">
        <f>((AN528+AN529+AN530+AN537+AN538+AN539)+((0.25*(AN531+AN532+AN533+AN540+AN541+AN542))+((0.1*(AN534+AN535+AN536+AN543+AN544+AN545)))))/(AN525)</f>
        <v>1</v>
      </c>
      <c r="AO522" s="331">
        <f>((AO528+AO529+AO530+AO537+AO538+AO539)+((0.25*(AO531+AO532+AO533+AO540+AO541+AO542))+((0.1*(AO534+AO535+AO536+AO543+AO544+AO545)))))/(AO525)</f>
        <v>1</v>
      </c>
      <c r="AQ522" s="331">
        <f>((AQ528+AQ529+AQ530+AQ537+AQ538+AQ539)+((0.25*(AQ531+AQ532+AQ533+AQ540+AQ541+AQ542))+((0.1*(AQ534+AQ535+AQ536+AQ543+AQ544+AQ545)))))/(AQ525)</f>
        <v>1</v>
      </c>
      <c r="AR522" s="331">
        <f>((AR528+AR529+AR530+AR537+AR538+AR539)+((0.25*(AR531+AR532+AR533+AR540+AR541+AR542))+((0.1*(AR534+AR535+AR536+AR543+AR544+AR545)))))/(AR525)</f>
        <v>1</v>
      </c>
      <c r="AT522" s="331">
        <f>((AT528+AT529+AT530+AT537+AT538+AT539)+((0.25*(AT531+AT532+AT533+AT540+AT541+AT542))+((0.1*(AT534+AT535+AT536+AT543+AT544+AT545)))))/(AT525)</f>
        <v>0.99955195220823556</v>
      </c>
      <c r="AU522" s="331">
        <f>((AU528+AU529+AU530+AU537+AU538+AU539)+((0.25*(AU531+AU532+AU533+AU540+AU541+AU542))+((0.1*(AU534+AU535+AU536+AU543+AU544+AU545)))))/(AU525)</f>
        <v>1</v>
      </c>
      <c r="AW522" s="331">
        <f>((AW528+AW529+AW530+AW537+AW538+AW539)+((0.25*(AW531+AW532+AW533+AW540+AW541+AW542))+((0.1*(AW534+AW535+AW536+AW543+AW544+AW545)))))/(AW525)</f>
        <v>1</v>
      </c>
      <c r="AX522" s="331">
        <f>((AX528+AX529+AX530+AX537+AX538+AX539)+((0.25*(AX531+AX532+AX533+AX540+AX541+AX542))+((0.1*(AX534+AX535+AX536+AX543+AX544+AX545)))))/(AX525)</f>
        <v>1</v>
      </c>
      <c r="AZ522" s="331">
        <f>((AZ528+AZ529+AZ530+AZ537+AZ538+AZ539)+((0.25*(AZ531+AZ532+AZ533+AZ540+AZ541+AZ542))+((0.1*(AZ534+AZ535+AZ536+AZ543+AZ544+AZ545)))))/(AZ525)</f>
        <v>1</v>
      </c>
      <c r="BA522" s="331">
        <f>((BA528+BA529+BA530+BA537+BA538+BA539)+((0.25*(BA531+BA532+BA533+BA540+BA541+BA542))+((0.1*(BA534+BA535+BA536+BA543+BA544+BA545)))))/(BA525)</f>
        <v>1</v>
      </c>
      <c r="BC522" s="331">
        <f>((BC528+BC529+BC530+BC537+BC538+BC539)+((0.25*(BC531+BC532+BC533+BC540+BC541+BC542))+((0.1*(BC534+BC535+BC536+BC543+BC544+BC545)))))/(BC525)</f>
        <v>1</v>
      </c>
      <c r="BD522" s="331">
        <f>((BD528+BD529+BD530+BD537+BD538+BD539)+((0.25*(BD531+BD532+BD533+BD540+BD541+BD542))+((0.1*(BD534+BD535+BD536+BD543+BD544+BD545)))))/(BD525)</f>
        <v>1</v>
      </c>
      <c r="BF522" s="331">
        <f>((BF528+BF529+BF530+BF537+BF538+BF539)+((0.25*(BF531+BF532+BF533+BF540+BF541+BF542))+((0.1*(BF534+BF535+BF536+BF543+BF544+BF545)))))/(BF525)</f>
        <v>0.99715419865152799</v>
      </c>
      <c r="BG522" s="331">
        <f>((BG528+BG529+BG530+BG537+BG538+BG539)+((0.25*(BG531+BG532+BG533+BG540+BG541+BG542))+((0.1*(BG534+BG535+BG536+BG543+BG544+BG545)))))/(BG525)</f>
        <v>0.99759397002044059</v>
      </c>
      <c r="BI522" s="331">
        <f>((BI528+BI529+BI530+BI537+BI538+BI539)+((0.25*(BI531+BI532+BI533+BI540+BI541+BI542))+((0.1*(BI534+BI535+BI536+BI543+BI544+BI545)))))/(BI525)</f>
        <v>0.99289110563393945</v>
      </c>
      <c r="BJ522" s="331">
        <f>((BJ528+BJ529+BJ530+BJ537+BJ538+BJ539)+((0.25*(BJ531+BJ532+BJ533+BJ540+BJ541+BJ542))+((0.1*(BJ534+BJ535+BJ536+BJ543+BJ544+BJ545)))))/(BJ525)</f>
        <v>0.99326077274245628</v>
      </c>
      <c r="BL522" s="331">
        <f>((BL528+BL529+BL530+BL537+BL538+BL539)+((0.25*(BL531+BL532+BL533+BL540+BL541+BL542))+((0.1*(BL534+BL535+BL536+BL543+BL544+BL545)))))/(BL525)</f>
        <v>1</v>
      </c>
      <c r="BM522" s="331">
        <f>((BM528+BM529+BM530+BM537+BM538+BM539)+((0.25*(BM531+BM532+BM533+BM540+BM541+BM542))+((0.1*(BM534+BM535+BM536+BM543+BM544+BM545)))))/(BM525)</f>
        <v>1</v>
      </c>
      <c r="BO522" s="331">
        <f>((BO528+BO529+BO530+BO537+BO538+BO539)+((0.25*(BO531+BO532+BO533+BO540+BO541+BO542))+((0.1*(BO534+BO535+BO536+BO543+BO544+BO545)))))/(BO525)</f>
        <v>1</v>
      </c>
      <c r="BP522" s="331">
        <f>((BP528+BP529+BP530+BP537+BP538+BP539)+((0.25*(BP531+BP532+BP533+BP540+BP541+BP542))+((0.1*(BP534+BP535+BP536+BP543+BP544+BP545)))))/(BP525)</f>
        <v>1</v>
      </c>
      <c r="BR522" s="331">
        <f>((BR528+BR529+BR530+BR537+BR538+BR539)+((0.25*(BR531+BR532+BR533+BR540+BR541+BR542))+((0.1*(BR534+BR535+BR536+BR543+BR544+BR545)))))/(BR525)</f>
        <v>1</v>
      </c>
      <c r="BS522" s="331">
        <f>((BS528+BS529+BS530+BS537+BS538+BS539)+((0.25*(BS531+BS532+BS533+BS540+BS541+BS542))+((0.1*(BS534+BS535+BS536+BS543+BS544+BS545)))))/(BS525)</f>
        <v>1</v>
      </c>
      <c r="BU522" s="331">
        <f>((BU528+BU529+BU530+BU537+BU538+BU539)+((0.25*(BU531+BU532+BU533+BU540+BU541+BU542))+((0.1*(BU534+BU535+BU536+BU543+BU544+BU545)))))/(BU525)</f>
        <v>1</v>
      </c>
      <c r="BV522" s="331">
        <f>((BV528+BV529+BV530+BV537+BV538+BV539)+((0.25*(BV531+BV532+BV533+BV540+BV541+BV542))+((0.1*(BV534+BV535+BV536+BV543+BV544+BV545)))))/(BV525)</f>
        <v>1</v>
      </c>
      <c r="BX522" s="331">
        <f>((BX528+BX529+BX530+BX537+BX538+BX539)+((0.25*(BX531+BX532+BX533+BX540+BX541+BX542))+((0.1*(BX534+BX535+BX536+BX543+BX544+BX545)))))/(BX525)</f>
        <v>1</v>
      </c>
      <c r="BY522" s="331">
        <f>((BY528+BY529+BY530+BY537+BY538+BY539)+((0.25*(BY531+BY532+BY533+BY540+BY541+BY542))+((0.1*(BY534+BY535+BY536+BY543+BY544+BY545)))))/(BY525)</f>
        <v>1</v>
      </c>
      <c r="CA522" s="331">
        <f>((CA528+CA529+CA530+CA537+CA538+CA539)+((0.25*(CA531+CA532+CA533+CA540+CA541+CA542))+((0.1*(CA534+CA535+CA536+CA543+CA544+CA545)))))/(CA525)</f>
        <v>1</v>
      </c>
      <c r="CB522" s="331">
        <f>((CB528+CB529+CB530+CB537+CB538+CB539)+((0.25*(CB531+CB532+CB533+CB540+CB541+CB542))+((0.1*(CB534+CB535+CB536+CB543+CB544+CB545)))))/(CB525)</f>
        <v>1</v>
      </c>
      <c r="CD522" s="331">
        <f>((CD528+CD529+CD530+CD537+CD538+CD539)+((0.25*(CD531+CD532+CD533+CD540+CD541+CD542))+((0.1*(CD534+CD535+CD536+CD543+CD544+CD545)))))/(CD525)</f>
        <v>1</v>
      </c>
      <c r="CE522" s="331">
        <f>((CE528+CE529+CE530+CE537+CE538+CE539)+((0.25*(CE531+CE532+CE533+CE540+CE541+CE542))+((0.1*(CE534+CE535+CE536+CE543+CE544+CE545)))))/(CE525)</f>
        <v>1</v>
      </c>
      <c r="CG522" s="331">
        <f>((CG528+CG529+CG530+CG537+CG538+CG539)+((0.25*(CG531+CG532+CG533+CG540+CG541+CG542))+((0.1*(CG534+CG535+CG536+CG543+CG544+CG545)))))/(CG525)</f>
        <v>1</v>
      </c>
      <c r="CH522" s="331">
        <f>((CH528+CH529+CH530+CH537+CH538+CH539)+((0.25*(CH531+CH532+CH533+CH540+CH541+CH542))+((0.1*(CH534+CH535+CH536+CH543+CH544+CH545)))))/(CH525)</f>
        <v>1</v>
      </c>
      <c r="CJ522" s="331">
        <f>((CJ528+CJ529+CJ530+CJ537+CJ538+CJ539)+((0.25*(CJ531+CJ532+CJ533+CJ540+CJ541+CJ542))+((0.1*(CJ534+CJ535+CJ536+CJ543+CJ544+CJ545)))))/(CJ525)</f>
        <v>1</v>
      </c>
      <c r="CK522" s="331">
        <f>((CK528+CK529+CK530+CK537+CK538+CK539)+((0.25*(CK531+CK532+CK533+CK540+CK541+CK542))+((0.1*(CK534+CK535+CK536+CK543+CK544+CK545)))))/(CK525)</f>
        <v>1</v>
      </c>
    </row>
    <row r="523" spans="1:89" x14ac:dyDescent="0.25">
      <c r="A523" s="107"/>
      <c r="B523" s="16"/>
      <c r="C523" s="95"/>
      <c r="D523" s="95"/>
      <c r="E523" s="282"/>
      <c r="F523" s="282"/>
      <c r="G523" s="282"/>
      <c r="H523" s="331">
        <f>(H528+H529+H530+((0.25*(H531+H532+H533))+((0.1*(H534+H535+H536)))))/H526</f>
        <v>0.99584868303607654</v>
      </c>
      <c r="I523" s="331">
        <f>(I528+I529+I530+((0.25*(I531+I532+I533))+((0.1*(I534+I535+I536)))))/I526</f>
        <v>0.99668709067321071</v>
      </c>
      <c r="J523" s="331">
        <f>(J528+J529+J530+((0.25*(J531+J532+J533))+((0.1*(J534+J535+J536)))))/J526</f>
        <v>0.99716300956266224</v>
      </c>
      <c r="K523" s="331">
        <f>(K528+K529+K530+((0.25*(K531+K532+K533))+((0.1*(K534+K535+K536)))))/K526</f>
        <v>0.99730964740186989</v>
      </c>
      <c r="L523" s="331">
        <f>(L528+L529+L530+((0.25*(L531+L532+L533))+((0.1*(L534+L535+L536)))))/L526</f>
        <v>1</v>
      </c>
      <c r="M523" s="331">
        <f t="shared" ref="M523:N523" si="872">(M528+M529+M530+((0.25*(M531+M532+M533))+((0.1*(M534+M535+M536)))))/M526</f>
        <v>1</v>
      </c>
      <c r="N523" s="331">
        <f t="shared" si="872"/>
        <v>1</v>
      </c>
      <c r="Q523" s="331">
        <f>(Q528+Q529+Q530+((0.25*(Q531+Q532+Q533))+((0.1*(Q534+Q535+Q536)))))/Q526</f>
        <v>0.99730964740186989</v>
      </c>
      <c r="R523" s="331">
        <f>(R528+R529+R530+((0.25*(R531+R532+R533))+((0.1*(R534+R535+R536)))))/R526</f>
        <v>0.99748883768512242</v>
      </c>
      <c r="S523" s="331">
        <f>(S528+S529+S530+((0.25*(S531+S532+S533))+((0.1*(S534+S535+S536)))))/S526</f>
        <v>0.99774690199023652</v>
      </c>
      <c r="T523" s="331">
        <f>(T528+T529+T530+((0.25*(T531+T532+T533))+((0.1*(T534+T535+T536)))))/T526</f>
        <v>0.99597063037249278</v>
      </c>
      <c r="V523" s="331">
        <f>(V528+V529+V530+((0.25*(V531+V532+V533))+((0.1*(V534+V535+V536)))))/V526</f>
        <v>0.99651810584958223</v>
      </c>
      <c r="W523" s="331">
        <f>(W528+W529+W530+((0.25*(W531+W532+W533))+((0.1*(W534+W535+W536)))))/W526</f>
        <v>0.99646892655367236</v>
      </c>
      <c r="Y523" s="331">
        <f>(Y528+Y529+Y530+((0.25*(Y531+Y532+Y533))+((0.1*(Y534+Y535+Y536)))))/Y526</f>
        <v>1</v>
      </c>
      <c r="Z523" s="331">
        <f>(Z528+Z529+Z530+((0.25*(Z531+Z532+Z533))+((0.1*(Z534+Z535+Z536)))))/Z526</f>
        <v>1</v>
      </c>
      <c r="AB523" s="331">
        <f>(AB528+AB529+AB530+((0.25*(AB531+AB532+AB533))+((0.1*(AB534+AB535+AB536)))))/AB526</f>
        <v>1</v>
      </c>
      <c r="AC523" s="331">
        <f>(AC528+AC529+AC530+((0.25*(AC531+AC532+AC533))+((0.1*(AC534+AC535+AC536)))))/AC526</f>
        <v>1</v>
      </c>
      <c r="AE523" s="331">
        <f>(AE528+AE529+AE530+((0.25*(AE531+AE532+AE533))+((0.1*(AE534+AE535+AE536)))))/AE526</f>
        <v>0.98835403726708071</v>
      </c>
      <c r="AF523" s="331">
        <f>(AF528+AF529+AF530+((0.25*(AF531+AF532+AF533))+((0.1*(AF534+AF535+AF536)))))/AF526</f>
        <v>0.99030282408982651</v>
      </c>
      <c r="AH523" s="331">
        <f>(AH528+AH529+AH530+((0.25*(AH531+AH532+AH533))+((0.1*(AH534+AH535+AH536)))))/AH526</f>
        <v>0.99388733519776262</v>
      </c>
      <c r="AI523" s="331">
        <f>(AI528+AI529+AI530+((0.25*(AI531+AI532+AI533))+((0.1*(AI534+AI535+AI536)))))/AI526</f>
        <v>0.99668008048289736</v>
      </c>
      <c r="AK523" s="331">
        <f>(AK528+AK529+AK530+((0.25*(AK531+AK532+AK533))+((0.1*(AK534+AK535+AK536)))))/AK526</f>
        <v>0.99711441953830715</v>
      </c>
      <c r="AL523" s="331">
        <f>(AL528+AL529+AL530+((0.25*(AL531+AL532+AL533))+((0.1*(AL534+AL535+AL536)))))/AL526</f>
        <v>0.99638375165125503</v>
      </c>
      <c r="AN523" s="331">
        <f>(AN528+AN529+AN530+((0.25*(AN531+AN532+AN533))+((0.1*(AN534+AN535+AN536)))))/AN526</f>
        <v>1</v>
      </c>
      <c r="AO523" s="331">
        <f>(AO528+AO529+AO530+((0.25*(AO531+AO532+AO533))+((0.1*(AO534+AO535+AO536)))))/AO526</f>
        <v>1</v>
      </c>
      <c r="AQ523" s="331" t="e">
        <f>(AQ528+AQ529+AQ530+((0.25*(AQ531+AQ532+AQ533))+((0.1*(AQ534+AQ535+AQ536)))))/AQ526</f>
        <v>#DIV/0!</v>
      </c>
      <c r="AR523" s="331" t="e">
        <f>(AR528+AR529+AR530+((0.25*(AR531+AR532+AR533))+((0.1*(AR534+AR535+AR536)))))/AR526</f>
        <v>#DIV/0!</v>
      </c>
      <c r="AT523" s="331">
        <f>(AT528+AT529+AT530+((0.25*(AT531+AT532+AT533))+((0.1*(AT534+AT535+AT536)))))/AT526</f>
        <v>0.99955195220823556</v>
      </c>
      <c r="AU523" s="331">
        <f>(AU528+AU529+AU530+((0.25*(AU531+AU532+AU533))+((0.1*(AU534+AU535+AU536)))))/AU526</f>
        <v>1</v>
      </c>
      <c r="AW523" s="331">
        <f>(AW528+AW529+AW530+((0.25*(AW531+AW532+AW533))+((0.1*(AW534+AW535+AW536)))))/AW526</f>
        <v>1</v>
      </c>
      <c r="AX523" s="331">
        <f>(AX528+AX529+AX530+((0.25*(AX531+AX532+AX533))+((0.1*(AX534+AX535+AX536)))))/AX526</f>
        <v>1</v>
      </c>
      <c r="AZ523" s="331">
        <f>(AZ528+AZ529+AZ530+((0.25*(AZ531+AZ532+AZ533))+((0.1*(AZ534+AZ535+AZ536)))))/AZ526</f>
        <v>1</v>
      </c>
      <c r="BA523" s="331">
        <f>(BA528+BA529+BA530+((0.25*(BA531+BA532+BA533))+((0.1*(BA534+BA535+BA536)))))/BA526</f>
        <v>1</v>
      </c>
      <c r="BC523" s="331">
        <f>(BC528+BC529+BC530+((0.25*(BC531+BC532+BC533))+((0.1*(BC534+BC535+BC536)))))/BC526</f>
        <v>1</v>
      </c>
      <c r="BD523" s="331">
        <f>(BD528+BD529+BD530+((0.25*(BD531+BD532+BD533))+((0.1*(BD534+BD535+BD536)))))/BD526</f>
        <v>1</v>
      </c>
      <c r="BF523" s="331">
        <f>(BF528+BF529+BF530+((0.25*(BF531+BF532+BF533))+((0.1*(BF534+BF535+BF536)))))/BF526</f>
        <v>0.99715419865152799</v>
      </c>
      <c r="BG523" s="331">
        <f>(BG528+BG529+BG530+((0.25*(BG531+BG532+BG533))+((0.1*(BG534+BG535+BG536)))))/BG526</f>
        <v>0.99759397002044059</v>
      </c>
      <c r="BI523" s="331">
        <f>(BI528+BI529+BI530+((0.25*(BI531+BI532+BI533))+((0.1*(BI534+BI535+BI536)))))/BI526</f>
        <v>0.99289110563393945</v>
      </c>
      <c r="BJ523" s="331">
        <f>(BJ528+BJ529+BJ530+((0.25*(BJ531+BJ532+BJ533))+((0.1*(BJ534+BJ535+BJ536)))))/BJ526</f>
        <v>0.99326077274245628</v>
      </c>
      <c r="BL523" s="331">
        <f>(BL528+BL529+BL530+((0.25*(BL531+BL532+BL533))+((0.1*(BL534+BL535+BL536)))))/BL526</f>
        <v>1</v>
      </c>
      <c r="BM523" s="331">
        <f>(BM528+BM529+BM530+((0.25*(BM531+BM532+BM533))+((0.1*(BM534+BM535+BM536)))))/BM526</f>
        <v>1</v>
      </c>
      <c r="BO523" s="331">
        <f>(BO528+BO529+BO530+((0.25*(BO531+BO532+BO533))+((0.1*(BO534+BO535+BO536)))))/BO526</f>
        <v>1</v>
      </c>
      <c r="BP523" s="331">
        <f>(BP528+BP529+BP530+((0.25*(BP531+BP532+BP533))+((0.1*(BP534+BP535+BP536)))))/BP526</f>
        <v>1</v>
      </c>
      <c r="BR523" s="331">
        <f>(BR528+BR529+BR530+((0.25*(BR531+BR532+BR533))+((0.1*(BR534+BR535+BR536)))))/BR526</f>
        <v>1</v>
      </c>
      <c r="BS523" s="331">
        <f>(BS528+BS529+BS530+((0.25*(BS531+BS532+BS533))+((0.1*(BS534+BS535+BS536)))))/BS526</f>
        <v>1</v>
      </c>
      <c r="BU523" s="331">
        <f>(BU528+BU529+BU530+((0.25*(BU531+BU532+BU533))+((0.1*(BU534+BU535+BU536)))))/BU526</f>
        <v>1</v>
      </c>
      <c r="BV523" s="331">
        <f>(BV528+BV529+BV530+((0.25*(BV531+BV532+BV533))+((0.1*(BV534+BV535+BV536)))))/BV526</f>
        <v>1</v>
      </c>
      <c r="BX523" s="331">
        <f>(BX528+BX529+BX530+((0.25*(BX531+BX532+BX533))+((0.1*(BX534+BX535+BX536)))))/BX526</f>
        <v>1</v>
      </c>
      <c r="BY523" s="331">
        <f>(BY528+BY529+BY530+((0.25*(BY531+BY532+BY533))+((0.1*(BY534+BY535+BY536)))))/BY526</f>
        <v>1</v>
      </c>
      <c r="CA523" s="331">
        <f>(CA528+CA529+CA530+((0.25*(CA531+CA532+CA533))+((0.1*(CA534+CA535+CA536)))))/CA526</f>
        <v>1</v>
      </c>
      <c r="CB523" s="331">
        <f>(CB528+CB529+CB530+((0.25*(CB531+CB532+CB533))+((0.1*(CB534+CB535+CB536)))))/CB526</f>
        <v>1</v>
      </c>
      <c r="CD523" s="331">
        <f>(CD528+CD529+CD530+((0.25*(CD531+CD532+CD533))+((0.1*(CD534+CD535+CD536)))))/CD526</f>
        <v>1</v>
      </c>
      <c r="CE523" s="331">
        <f>(CE528+CE529+CE530+((0.25*(CE531+CE532+CE533))+((0.1*(CE534+CE535+CE536)))))/CE526</f>
        <v>1</v>
      </c>
      <c r="CG523" s="331">
        <f>(CG528+CG529+CG530+((0.25*(CG531+CG532+CG533))+((0.1*(CG534+CG535+CG536)))))/CG526</f>
        <v>1</v>
      </c>
      <c r="CH523" s="331">
        <f>(CH528+CH529+CH530+((0.25*(CH531+CH532+CH533))+((0.1*(CH534+CH535+CH536)))))/CH526</f>
        <v>1</v>
      </c>
      <c r="CJ523" s="331">
        <f>(CJ528+CJ529+CJ530+((0.25*(CJ531+CJ532+CJ533))+((0.1*(CJ534+CJ535+CJ536)))))/CJ526</f>
        <v>1</v>
      </c>
      <c r="CK523" s="331">
        <f>(CK528+CK529+CK530+((0.25*(CK531+CK532+CK533))+((0.1*(CK534+CK535+CK536)))))/CK526</f>
        <v>1</v>
      </c>
    </row>
    <row r="524" spans="1:89" x14ac:dyDescent="0.25">
      <c r="A524" s="107"/>
      <c r="B524" s="16"/>
      <c r="C524" s="95"/>
      <c r="D524" s="95"/>
      <c r="E524" s="282"/>
      <c r="F524" s="282"/>
      <c r="G524" s="282"/>
      <c r="H524" s="331">
        <f>(H537+H538+H539+((0.25*(H540+H541+H542))+((0.1*(H543+H544+H545)))))/H527</f>
        <v>0.99736052259887009</v>
      </c>
      <c r="I524" s="331">
        <f>(I537+I538+I539+((0.25*(I540+I541+I542))+((0.1*(I543+I544+I545)))))/I527</f>
        <v>0.99888213712451268</v>
      </c>
      <c r="J524" s="331">
        <f>(J537+J538+J539+((0.25*(J540+J541+J542))+((0.1*(J543+J544+J545)))))/J527</f>
        <v>0.99970212765957445</v>
      </c>
      <c r="K524" s="331">
        <f>(K537+K538+K539+((0.25*(K540+K541+K542))+((0.1*(K543+K544+K545)))))/K527</f>
        <v>0.99969394695080471</v>
      </c>
      <c r="L524" s="331">
        <f>(L537+L538+L539+((0.25*(L540+L541+L542))+((0.1*(L543+L544+L545)))))/L527</f>
        <v>1</v>
      </c>
      <c r="M524" s="331">
        <f t="shared" ref="M524:N524" si="873">(M537+M538+M539+((0.25*(M540+M541+M542))+((0.1*(M543+M544+M545)))))/M527</f>
        <v>1</v>
      </c>
      <c r="N524" s="331">
        <f t="shared" si="873"/>
        <v>1</v>
      </c>
      <c r="Q524" s="331">
        <f>(Q537+Q538+Q539+((0.25*(Q540+Q541+Q542))+((0.1*(Q543+Q544+Q545)))))/Q527</f>
        <v>0.99969394695080471</v>
      </c>
      <c r="R524" s="331">
        <f>(R537+R538+R539+((0.25*(R540+R541+R542))+((0.1*(R543+R544+R545)))))/R527</f>
        <v>0.99969125214408228</v>
      </c>
      <c r="S524" s="331">
        <f>(S537+S538+S539+((0.25*(S540+S541+S542))+((0.1*(S543+S544+S545)))))/S527</f>
        <v>1</v>
      </c>
      <c r="T524" s="331">
        <f>(T537+T538+T539+((0.25*(T540+T541+T542))+((0.1*(T543+T544+T545)))))/T527</f>
        <v>1</v>
      </c>
      <c r="V524" s="331">
        <f>(V537+V538+V539+((0.25*(V540+V541+V542))+((0.1*(V543+V544+V545)))))/V527</f>
        <v>0.99740124740124736</v>
      </c>
      <c r="W524" s="331">
        <f>(W537+W538+W539+((0.25*(W540+W541+W542))+((0.1*(W543+W544+W545)))))/W527</f>
        <v>1</v>
      </c>
      <c r="Y524" s="331">
        <f>(Y537+Y538+Y539+((0.25*(Y540+Y541+Y542))+((0.1*(Y543+Y544+Y545)))))/Y527</f>
        <v>1</v>
      </c>
      <c r="Z524" s="331">
        <f>(Z537+Z538+Z539+((0.25*(Z540+Z541+Z542))+((0.1*(Z543+Z544+Z545)))))/Z527</f>
        <v>1</v>
      </c>
      <c r="AB524" s="331">
        <f>(AB537+AB538+AB539+((0.25*(AB540+AB541+AB542))+((0.1*(AB543+AB544+AB545)))))/AB527</f>
        <v>1</v>
      </c>
      <c r="AC524" s="331">
        <f>(AC537+AC538+AC539+((0.25*(AC540+AC541+AC542))+((0.1*(AC543+AC544+AC545)))))/AC527</f>
        <v>1</v>
      </c>
      <c r="AE524" s="331">
        <f>(AE537+AE538+AE539+((0.25*(AE540+AE541+AE542))+((0.1*(AE543+AE544+AE545)))))/AE527</f>
        <v>1</v>
      </c>
      <c r="AF524" s="331">
        <f>(AF537+AF538+AF539+((0.25*(AF540+AF541+AF542))+((0.1*(AF543+AF544+AF545)))))/AF527</f>
        <v>1</v>
      </c>
      <c r="AH524" s="331">
        <f>(AH537+AH538+AH539+((0.25*(AH540+AH541+AH542))+((0.1*(AH543+AH544+AH545)))))/AH527</f>
        <v>0.99962102071753411</v>
      </c>
      <c r="AI524" s="331">
        <f>(AI537+AI538+AI539+((0.25*(AI540+AI541+AI542))+((0.1*(AI543+AI544+AI545)))))/AI527</f>
        <v>0.99771573604060915</v>
      </c>
      <c r="AK524" s="331">
        <f>(AK537+AK538+AK539+((0.25*(AK540+AK541+AK542))+((0.1*(AK543+AK544+AK545)))))/AK527</f>
        <v>0.99689655172413805</v>
      </c>
      <c r="AL524" s="331">
        <f>(AL537+AL538+AL539+((0.25*(AL540+AL541+AL542))+((0.1*(AL543+AL544+AL545)))))/AL527</f>
        <v>0.99687500000000007</v>
      </c>
      <c r="AN524" s="331">
        <f>(AN537+AN538+AN539+((0.25*(AN540+AN541+AN542))+((0.1*(AN543+AN544+AN545)))))/AN527</f>
        <v>1</v>
      </c>
      <c r="AO524" s="331">
        <f>(AO537+AO538+AO539+((0.25*(AO540+AO541+AO542))+((0.1*(AO543+AO544+AO545)))))/AO527</f>
        <v>1</v>
      </c>
      <c r="AQ524" s="331">
        <f>(AQ537+AQ538+AQ539+((0.25*(AQ540+AQ541+AQ542))+((0.1*(AQ543+AQ544+AQ545)))))/AQ527</f>
        <v>1</v>
      </c>
      <c r="AR524" s="331">
        <f>(AR537+AR538+AR539+((0.25*(AR540+AR541+AR542))+((0.1*(AR543+AR544+AR545)))))/AR527</f>
        <v>1</v>
      </c>
      <c r="AT524" s="331" t="e">
        <f>(AT537+AT538+AT539+((0.25*(AT540+AT541+AT542))+((0.1*(AT543+AT544+AT545)))))/AT527</f>
        <v>#DIV/0!</v>
      </c>
      <c r="AU524" s="331" t="e">
        <f>(AU537+AU538+AU539+((0.25*(AU540+AU541+AU542))+((0.1*(AU543+AU544+AU545)))))/AU527</f>
        <v>#DIV/0!</v>
      </c>
      <c r="AW524" s="331" t="e">
        <f>(AW537+AW538+AW539+((0.25*(AW540+AW541+AW542))+((0.1*(AW543+AW544+AW545)))))/AW527</f>
        <v>#DIV/0!</v>
      </c>
      <c r="AX524" s="331" t="e">
        <f>(AX537+AX538+AX539+((0.25*(AX540+AX541+AX542))+((0.1*(AX543+AX544+AX545)))))/AX527</f>
        <v>#DIV/0!</v>
      </c>
      <c r="AZ524" s="331" t="e">
        <f>(AZ537+AZ538+AZ539+((0.25*(AZ540+AZ541+AZ542))+((0.1*(AZ543+AZ544+AZ545)))))/AZ527</f>
        <v>#DIV/0!</v>
      </c>
      <c r="BA524" s="331" t="e">
        <f>(BA537+BA538+BA539+((0.25*(BA540+BA541+BA542))+((0.1*(BA543+BA544+BA545)))))/BA527</f>
        <v>#DIV/0!</v>
      </c>
      <c r="BC524" s="331" t="e">
        <f>(BC537+BC538+BC539+((0.25*(BC540+BC541+BC542))+((0.1*(BC543+BC544+BC545)))))/BC527</f>
        <v>#DIV/0!</v>
      </c>
      <c r="BD524" s="331" t="e">
        <f>(BD537+BD538+BD539+((0.25*(BD540+BD541+BD542))+((0.1*(BD543+BD544+BD545)))))/BD527</f>
        <v>#DIV/0!</v>
      </c>
      <c r="BF524" s="331" t="e">
        <f>(BF537+BF538+BF539+((0.25*(BF540+BF541+BF542))+((0.1*(BF543+BF544+BF545)))))/BF527</f>
        <v>#DIV/0!</v>
      </c>
      <c r="BG524" s="331" t="e">
        <f>(BG537+BG538+BG539+((0.25*(BG540+BG541+BG542))+((0.1*(BG543+BG544+BG545)))))/BG527</f>
        <v>#DIV/0!</v>
      </c>
      <c r="BI524" s="331" t="e">
        <f>(BI537+BI538+BI539+((0.25*(BI540+BI541+BI542))+((0.1*(BI543+BI544+BI545)))))/BI527</f>
        <v>#DIV/0!</v>
      </c>
      <c r="BJ524" s="331" t="e">
        <f>(BJ537+BJ538+BJ539+((0.25*(BJ540+BJ541+BJ542))+((0.1*(BJ543+BJ544+BJ545)))))/BJ527</f>
        <v>#DIV/0!</v>
      </c>
      <c r="BL524" s="331" t="e">
        <f>(BL537+BL538+BL539+((0.25*(BL540+BL541+BL542))+((0.1*(BL543+BL544+BL545)))))/BL527</f>
        <v>#DIV/0!</v>
      </c>
      <c r="BM524" s="331" t="e">
        <f>(BM537+BM538+BM539+((0.25*(BM540+BM541+BM542))+((0.1*(BM543+BM544+BM545)))))/BM527</f>
        <v>#DIV/0!</v>
      </c>
      <c r="BO524" s="331" t="e">
        <f>(BO537+BO538+BO539+((0.25*(BO540+BO541+BO542))+((0.1*(BO543+BO544+BO545)))))/BO527</f>
        <v>#DIV/0!</v>
      </c>
      <c r="BP524" s="331" t="e">
        <f>(BP537+BP538+BP539+((0.25*(BP540+BP541+BP542))+((0.1*(BP543+BP544+BP545)))))/BP527</f>
        <v>#DIV/0!</v>
      </c>
      <c r="BR524" s="331" t="e">
        <f>(BR537+BR538+BR539+((0.25*(BR540+BR541+BR542))+((0.1*(BR543+BR544+BR545)))))/BR527</f>
        <v>#DIV/0!</v>
      </c>
      <c r="BS524" s="331" t="e">
        <f>(BS537+BS538+BS539+((0.25*(BS540+BS541+BS542))+((0.1*(BS543+BS544+BS545)))))/BS527</f>
        <v>#DIV/0!</v>
      </c>
      <c r="BU524" s="331" t="e">
        <f>(BU537+BU538+BU539+((0.25*(BU540+BU541+BU542))+((0.1*(BU543+BU544+BU545)))))/BU527</f>
        <v>#DIV/0!</v>
      </c>
      <c r="BV524" s="331" t="e">
        <f>(BV537+BV538+BV539+((0.25*(BV540+BV541+BV542))+((0.1*(BV543+BV544+BV545)))))/BV527</f>
        <v>#DIV/0!</v>
      </c>
      <c r="BX524" s="331" t="e">
        <f>(BX537+BX538+BX539+((0.25*(BX540+BX541+BX542))+((0.1*(BX543+BX544+BX545)))))/BX527</f>
        <v>#DIV/0!</v>
      </c>
      <c r="BY524" s="331" t="e">
        <f>(BY537+BY538+BY539+((0.25*(BY540+BY541+BY542))+((0.1*(BY543+BY544+BY545)))))/BY527</f>
        <v>#DIV/0!</v>
      </c>
      <c r="CA524" s="331" t="e">
        <f>(CA537+CA538+CA539+((0.25*(CA540+CA541+CA542))+((0.1*(CA543+CA544+CA545)))))/CA527</f>
        <v>#DIV/0!</v>
      </c>
      <c r="CB524" s="331" t="e">
        <f>(CB537+CB538+CB539+((0.25*(CB540+CB541+CB542))+((0.1*(CB543+CB544+CB545)))))/CB527</f>
        <v>#DIV/0!</v>
      </c>
      <c r="CD524" s="331" t="e">
        <f>(CD537+CD538+CD539+((0.25*(CD540+CD541+CD542))+((0.1*(CD543+CD544+CD545)))))/CD527</f>
        <v>#DIV/0!</v>
      </c>
      <c r="CE524" s="331" t="e">
        <f>(CE537+CE538+CE539+((0.25*(CE540+CE541+CE542))+((0.1*(CE543+CE544+CE545)))))/CE527</f>
        <v>#DIV/0!</v>
      </c>
      <c r="CG524" s="331">
        <f>(CG537+CG538+CG539+((0.25*(CG540+CG541+CG542))+((0.1*(CG543+CG544+CG545)))))/CG527</f>
        <v>1</v>
      </c>
      <c r="CH524" s="331">
        <f>(CH537+CH538+CH539+((0.25*(CH540+CH541+CH542))+((0.1*(CH543+CH544+CH545)))))/CH527</f>
        <v>1</v>
      </c>
      <c r="CJ524" s="331" t="e">
        <f>(CJ537+CJ538+CJ539+((0.25*(CJ540+CJ541+CJ542))+((0.1*(CJ543+CJ544+CJ545)))))/CJ527</f>
        <v>#DIV/0!</v>
      </c>
      <c r="CK524" s="331" t="e">
        <f>(CK537+CK538+CK539+((0.25*(CK540+CK541+CK542))+((0.1*(CK543+CK544+CK545)))))/CK527</f>
        <v>#DIV/0!</v>
      </c>
    </row>
    <row r="525" spans="1:89" x14ac:dyDescent="0.25">
      <c r="A525" s="107"/>
      <c r="B525" s="16"/>
      <c r="C525" s="95"/>
      <c r="D525" s="95"/>
      <c r="E525" s="282"/>
      <c r="F525" s="282"/>
      <c r="G525" s="282"/>
      <c r="H525" s="282">
        <f>SUM(H528:H545)</f>
        <v>201849</v>
      </c>
      <c r="I525" s="282">
        <f>SUM(I528:I545)</f>
        <v>209375</v>
      </c>
      <c r="J525" s="282">
        <f>SUM(J528:J545)</f>
        <v>215687</v>
      </c>
      <c r="K525" s="282">
        <f>SUM(K528:K545)</f>
        <v>222041</v>
      </c>
      <c r="L525" s="282">
        <f>SUM(L528:L545)</f>
        <v>4438</v>
      </c>
      <c r="M525" s="282">
        <f t="shared" ref="M525:N525" si="874">SUM(M528:M545)</f>
        <v>4416</v>
      </c>
      <c r="N525" s="282">
        <f t="shared" si="874"/>
        <v>4348</v>
      </c>
      <c r="Q525" s="282">
        <f>SUM(Q528:Q545)</f>
        <v>222041</v>
      </c>
      <c r="R525" s="282">
        <f>SUM(R528:R545)</f>
        <v>226676</v>
      </c>
      <c r="S525" s="282">
        <f>SUM(S528:S545)</f>
        <v>3928</v>
      </c>
      <c r="T525" s="282">
        <f>SUM(T528:T545)</f>
        <v>4054</v>
      </c>
      <c r="V525" s="282">
        <f>SUM(V528:V545)</f>
        <v>3597</v>
      </c>
      <c r="W525" s="282">
        <f>SUM(W528:W545)</f>
        <v>3577</v>
      </c>
      <c r="Y525" s="282">
        <f>SUM(Y528:Y545)</f>
        <v>4418</v>
      </c>
      <c r="Z525" s="282">
        <f>SUM(Z528:Z545)</f>
        <v>4344</v>
      </c>
      <c r="AB525" s="282">
        <f>SUM(AB528:AB545)</f>
        <v>5122</v>
      </c>
      <c r="AC525" s="282">
        <f>SUM(AC528:AC545)</f>
        <v>5114</v>
      </c>
      <c r="AE525" s="282">
        <f>SUM(AE528:AE545)</f>
        <v>3885</v>
      </c>
      <c r="AF525" s="282">
        <f>SUM(AF528:AF545)</f>
        <v>3847</v>
      </c>
      <c r="AH525" s="282">
        <f>SUM(AH528:AH545)</f>
        <v>4482</v>
      </c>
      <c r="AI525" s="282">
        <f>SUM(AI528:AI545)</f>
        <v>4455</v>
      </c>
      <c r="AK525" s="282">
        <f>SUM(AK528:AK545)</f>
        <v>6268</v>
      </c>
      <c r="AL525" s="282">
        <f>SUM(AL528:AL545)</f>
        <v>6344</v>
      </c>
      <c r="AN525" s="282">
        <f>SUM(AN528:AN545)</f>
        <v>17393</v>
      </c>
      <c r="AO525" s="282">
        <f>SUM(AO528:AO545)</f>
        <v>17445</v>
      </c>
      <c r="AQ525" s="282">
        <f>SUM(AQ528:AQ545)</f>
        <v>2150</v>
      </c>
      <c r="AR525" s="282">
        <f>SUM(AR528:AR545)</f>
        <v>2157</v>
      </c>
      <c r="AT525" s="282">
        <f>SUM(AT528:AT545)</f>
        <v>14061</v>
      </c>
      <c r="AU525" s="282">
        <f>SUM(AU528:AU545)</f>
        <v>14547</v>
      </c>
      <c r="AW525" s="282">
        <f>SUM(AW528:AW545)</f>
        <v>5269</v>
      </c>
      <c r="AX525" s="282">
        <f>SUM(AX528:AX545)</f>
        <v>5356</v>
      </c>
      <c r="AZ525" s="282">
        <f>SUM(AZ528:AZ545)</f>
        <v>7300</v>
      </c>
      <c r="BA525" s="282">
        <f>SUM(BA528:BA545)</f>
        <v>7246</v>
      </c>
      <c r="BC525" s="282">
        <f>SUM(BC528:BC545)</f>
        <v>14538</v>
      </c>
      <c r="BD525" s="282">
        <f>SUM(BD528:BD545)</f>
        <v>14814</v>
      </c>
      <c r="BF525" s="282">
        <f>SUM(BF528:BF545)</f>
        <v>34261</v>
      </c>
      <c r="BG525" s="282">
        <f>SUM(BG528:BG545)</f>
        <v>35224</v>
      </c>
      <c r="BI525" s="282">
        <f>SUM(BI528:BI545)</f>
        <v>51527</v>
      </c>
      <c r="BJ525" s="282">
        <f>SUM(BJ528:BJ545)</f>
        <v>53886</v>
      </c>
      <c r="BL525" s="282">
        <f>SUM(BL528:BL545)</f>
        <v>5617</v>
      </c>
      <c r="BM525" s="282">
        <f>SUM(BM528:BM545)</f>
        <v>5590</v>
      </c>
      <c r="BO525" s="282">
        <f>SUM(BO528:BO545)</f>
        <v>5284</v>
      </c>
      <c r="BP525" s="282">
        <f>SUM(BP528:BP545)</f>
        <v>5319</v>
      </c>
      <c r="BR525" s="282">
        <f>SUM(BR528:BR545)</f>
        <v>8021</v>
      </c>
      <c r="BS525" s="282">
        <f>SUM(BS528:BS545)</f>
        <v>8109</v>
      </c>
      <c r="BU525" s="282">
        <f>SUM(BU528:BU545)</f>
        <v>8017</v>
      </c>
      <c r="BV525" s="282">
        <f>SUM(BV528:BV545)</f>
        <v>8098</v>
      </c>
      <c r="BX525" s="282">
        <f>SUM(BX528:BX545)</f>
        <v>2132</v>
      </c>
      <c r="BY525" s="282">
        <f>SUM(BY528:BY545)</f>
        <v>2198</v>
      </c>
      <c r="CA525" s="282">
        <f>SUM(CA528:CA545)</f>
        <v>5710</v>
      </c>
      <c r="CB525" s="282">
        <f>SUM(CB528:CB545)</f>
        <v>5835</v>
      </c>
      <c r="CD525" s="282">
        <f>SUM(CD528:CD545)</f>
        <v>5310</v>
      </c>
      <c r="CE525" s="282">
        <f>SUM(CE528:CE545)</f>
        <v>5416</v>
      </c>
      <c r="CG525" s="282">
        <f>SUM(CG528:CG545)</f>
        <v>3085</v>
      </c>
      <c r="CH525" s="282">
        <f>SUM(CH528:CH545)</f>
        <v>3031</v>
      </c>
      <c r="CJ525" s="282">
        <f>SUM(CJ528:CJ545)</f>
        <v>666</v>
      </c>
      <c r="CK525" s="282">
        <f>SUM(CK528:CK545)</f>
        <v>670</v>
      </c>
    </row>
    <row r="526" spans="1:89" x14ac:dyDescent="0.25">
      <c r="A526" s="107"/>
      <c r="B526" s="16"/>
      <c r="C526" s="95"/>
      <c r="D526" s="95"/>
      <c r="E526" s="282"/>
      <c r="F526" s="282"/>
      <c r="G526" s="282"/>
      <c r="H526" s="282">
        <f>SUM(H528:H536)</f>
        <v>184857</v>
      </c>
      <c r="I526" s="282">
        <f>SUM(I528:I536)</f>
        <v>191931</v>
      </c>
      <c r="J526" s="282">
        <f>SUM(J528:J536)</f>
        <v>198062</v>
      </c>
      <c r="K526" s="282">
        <f>SUM(K528:K536)</f>
        <v>204397</v>
      </c>
      <c r="L526" s="282">
        <f>SUM(L528:L536)</f>
        <v>2474</v>
      </c>
      <c r="M526" s="282">
        <f t="shared" ref="M526:N526" si="875">SUM(M528:M536)</f>
        <v>2475</v>
      </c>
      <c r="N526" s="282">
        <f t="shared" si="875"/>
        <v>2472</v>
      </c>
      <c r="Q526" s="282">
        <f>SUM(Q528:Q536)</f>
        <v>204397</v>
      </c>
      <c r="R526" s="282">
        <f>SUM(R528:R536)</f>
        <v>209186</v>
      </c>
      <c r="S526" s="282">
        <f>SUM(S528:S536)</f>
        <v>2663</v>
      </c>
      <c r="T526" s="282">
        <f>SUM(T528:T536)</f>
        <v>2792</v>
      </c>
      <c r="V526" s="282">
        <f>SUM(V528:V536)</f>
        <v>2154</v>
      </c>
      <c r="W526" s="282">
        <f>SUM(W528:W536)</f>
        <v>2124</v>
      </c>
      <c r="Y526" s="282">
        <f>SUM(Y528:Y536)</f>
        <v>2960</v>
      </c>
      <c r="Z526" s="282">
        <f>SUM(Z528:Z536)</f>
        <v>2929</v>
      </c>
      <c r="AB526" s="282">
        <f>SUM(AB528:AB536)</f>
        <v>2910</v>
      </c>
      <c r="AC526" s="282">
        <f>SUM(AC528:AC536)</f>
        <v>2938</v>
      </c>
      <c r="AE526" s="282">
        <f>SUM(AE528:AE536)</f>
        <v>2898</v>
      </c>
      <c r="AF526" s="282">
        <f>SUM(AF528:AF536)</f>
        <v>2939</v>
      </c>
      <c r="AH526" s="282">
        <f>SUM(AH528:AH536)</f>
        <v>2503</v>
      </c>
      <c r="AI526" s="282">
        <f>SUM(AI528:AI536)</f>
        <v>2485</v>
      </c>
      <c r="AK526" s="282">
        <f>SUM(AK528:AK536)</f>
        <v>5978</v>
      </c>
      <c r="AL526" s="282">
        <f>SUM(AL528:AL536)</f>
        <v>6056</v>
      </c>
      <c r="AN526" s="282">
        <f>SUM(AN528:AN536)</f>
        <v>11915</v>
      </c>
      <c r="AO526" s="282">
        <f>SUM(AO528:AO536)</f>
        <v>11981</v>
      </c>
      <c r="AQ526" s="282">
        <f>SUM(AQ528:AQ536)</f>
        <v>0</v>
      </c>
      <c r="AR526" s="282">
        <f>SUM(AR528:AR536)</f>
        <v>0</v>
      </c>
      <c r="AT526" s="282">
        <f>SUM(AT528:AT536)</f>
        <v>14061</v>
      </c>
      <c r="AU526" s="282">
        <f>SUM(AU528:AU536)</f>
        <v>14547</v>
      </c>
      <c r="AW526" s="282">
        <f>SUM(AW528:AW536)</f>
        <v>5269</v>
      </c>
      <c r="AX526" s="282">
        <f>SUM(AX528:AX536)</f>
        <v>5356</v>
      </c>
      <c r="AZ526" s="282">
        <f>SUM(AZ528:AZ536)</f>
        <v>7300</v>
      </c>
      <c r="BA526" s="282">
        <f>SUM(BA528:BA536)</f>
        <v>7246</v>
      </c>
      <c r="BC526" s="282">
        <f>SUM(BC528:BC536)</f>
        <v>14538</v>
      </c>
      <c r="BD526" s="282">
        <f>SUM(BD528:BD536)</f>
        <v>14814</v>
      </c>
      <c r="BF526" s="282">
        <f>SUM(BF528:BF536)</f>
        <v>34261</v>
      </c>
      <c r="BG526" s="282">
        <f>SUM(BG528:BG536)</f>
        <v>35224</v>
      </c>
      <c r="BI526" s="282">
        <f>SUM(BI528:BI536)</f>
        <v>51527</v>
      </c>
      <c r="BJ526" s="282">
        <f>SUM(BJ528:BJ536)</f>
        <v>53886</v>
      </c>
      <c r="BL526" s="282">
        <f>SUM(BL528:BL536)</f>
        <v>5617</v>
      </c>
      <c r="BM526" s="282">
        <f>SUM(BM528:BM536)</f>
        <v>5590</v>
      </c>
      <c r="BO526" s="282">
        <f>SUM(BO528:BO536)</f>
        <v>5284</v>
      </c>
      <c r="BP526" s="282">
        <f>SUM(BP528:BP536)</f>
        <v>5319</v>
      </c>
      <c r="BR526" s="282">
        <f>SUM(BR528:BR536)</f>
        <v>8021</v>
      </c>
      <c r="BS526" s="282">
        <f>SUM(BS528:BS536)</f>
        <v>8109</v>
      </c>
      <c r="BU526" s="282">
        <f>SUM(BU528:BU536)</f>
        <v>8017</v>
      </c>
      <c r="BV526" s="282">
        <f>SUM(BV528:BV536)</f>
        <v>8098</v>
      </c>
      <c r="BX526" s="282">
        <f>SUM(BX528:BX536)</f>
        <v>2132</v>
      </c>
      <c r="BY526" s="282">
        <f>SUM(BY528:BY536)</f>
        <v>2198</v>
      </c>
      <c r="CA526" s="282">
        <f>SUM(CA528:CA536)</f>
        <v>5710</v>
      </c>
      <c r="CB526" s="282">
        <f>SUM(CB528:CB536)</f>
        <v>5835</v>
      </c>
      <c r="CD526" s="282">
        <f>SUM(CD528:CD536)</f>
        <v>5310</v>
      </c>
      <c r="CE526" s="282">
        <f>SUM(CE528:CE536)</f>
        <v>5416</v>
      </c>
      <c r="CG526" s="282">
        <f>SUM(CG528:CG536)</f>
        <v>2703</v>
      </c>
      <c r="CH526" s="282">
        <f>SUM(CH528:CH536)</f>
        <v>2634</v>
      </c>
      <c r="CJ526" s="282">
        <f>SUM(CJ528:CJ536)</f>
        <v>666</v>
      </c>
      <c r="CK526" s="282">
        <f>SUM(CK528:CK536)</f>
        <v>670</v>
      </c>
    </row>
    <row r="527" spans="1:89" x14ac:dyDescent="0.25">
      <c r="A527" s="107"/>
      <c r="B527" s="16"/>
      <c r="C527" s="95"/>
      <c r="D527" s="95"/>
      <c r="E527" s="282"/>
      <c r="F527" s="282"/>
      <c r="G527" s="282"/>
      <c r="H527" s="282">
        <f>SUM(H537:H545)</f>
        <v>16992</v>
      </c>
      <c r="I527" s="282">
        <f>SUM(I537:I545)</f>
        <v>17444</v>
      </c>
      <c r="J527" s="282">
        <f>SUM(J537:J545)</f>
        <v>17625</v>
      </c>
      <c r="K527" s="282">
        <f>SUM(K537:K545)</f>
        <v>17644</v>
      </c>
      <c r="L527" s="282">
        <f>SUM(L537:L545)</f>
        <v>1964</v>
      </c>
      <c r="M527" s="282">
        <f t="shared" ref="M527:N527" si="876">SUM(M537:M545)</f>
        <v>1941</v>
      </c>
      <c r="N527" s="282">
        <f t="shared" si="876"/>
        <v>1876</v>
      </c>
      <c r="Q527" s="282">
        <f>SUM(Q537:Q545)</f>
        <v>17644</v>
      </c>
      <c r="R527" s="282">
        <f>SUM(R537:R545)</f>
        <v>17490</v>
      </c>
      <c r="S527" s="282">
        <f>SUM(S537:S545)</f>
        <v>1265</v>
      </c>
      <c r="T527" s="282">
        <f>SUM(T537:T545)</f>
        <v>1262</v>
      </c>
      <c r="V527" s="282">
        <f>SUM(V537:V545)</f>
        <v>1443</v>
      </c>
      <c r="W527" s="282">
        <f>SUM(W537:W545)</f>
        <v>1453</v>
      </c>
      <c r="Y527" s="282">
        <f>SUM(Y537:Y545)</f>
        <v>1458</v>
      </c>
      <c r="Z527" s="282">
        <f>SUM(Z537:Z545)</f>
        <v>1415</v>
      </c>
      <c r="AB527" s="282">
        <f>SUM(AB537:AB545)</f>
        <v>2212</v>
      </c>
      <c r="AC527" s="282">
        <f>SUM(AC537:AC545)</f>
        <v>2176</v>
      </c>
      <c r="AE527" s="282">
        <f>SUM(AE537:AE545)</f>
        <v>987</v>
      </c>
      <c r="AF527" s="282">
        <f>SUM(AF537:AF545)</f>
        <v>908</v>
      </c>
      <c r="AH527" s="282">
        <f>SUM(AH537:AH545)</f>
        <v>1979</v>
      </c>
      <c r="AI527" s="282">
        <f>SUM(AI537:AI545)</f>
        <v>1970</v>
      </c>
      <c r="AK527" s="282">
        <f>SUM(AK537:AK545)</f>
        <v>290</v>
      </c>
      <c r="AL527" s="282">
        <f>SUM(AL537:AL545)</f>
        <v>288</v>
      </c>
      <c r="AN527" s="282">
        <f>SUM(AN537:AN545)</f>
        <v>5478</v>
      </c>
      <c r="AO527" s="282">
        <f>SUM(AO537:AO545)</f>
        <v>5464</v>
      </c>
      <c r="AQ527" s="282">
        <f>SUM(AQ537:AQ545)</f>
        <v>2150</v>
      </c>
      <c r="AR527" s="282">
        <f>SUM(AR537:AR545)</f>
        <v>2157</v>
      </c>
      <c r="AT527" s="282">
        <f>SUM(AT537:AT545)</f>
        <v>0</v>
      </c>
      <c r="AU527" s="282">
        <f>SUM(AU537:AU545)</f>
        <v>0</v>
      </c>
      <c r="AW527" s="282">
        <f>SUM(AW537:AW545)</f>
        <v>0</v>
      </c>
      <c r="AX527" s="282">
        <f>SUM(AX537:AX545)</f>
        <v>0</v>
      </c>
      <c r="AZ527" s="282">
        <f>SUM(AZ537:AZ545)</f>
        <v>0</v>
      </c>
      <c r="BA527" s="282">
        <f>SUM(BA537:BA545)</f>
        <v>0</v>
      </c>
      <c r="BC527" s="282">
        <f>SUM(BC537:BC545)</f>
        <v>0</v>
      </c>
      <c r="BD527" s="282">
        <f>SUM(BD537:BD545)</f>
        <v>0</v>
      </c>
      <c r="BF527" s="282">
        <f>SUM(BF537:BF545)</f>
        <v>0</v>
      </c>
      <c r="BG527" s="282">
        <f>SUM(BG537:BG545)</f>
        <v>0</v>
      </c>
      <c r="BI527" s="282">
        <f>SUM(BI537:BI545)</f>
        <v>0</v>
      </c>
      <c r="BJ527" s="282">
        <f>SUM(BJ537:BJ545)</f>
        <v>0</v>
      </c>
      <c r="BL527" s="282">
        <f>SUM(BL537:BL545)</f>
        <v>0</v>
      </c>
      <c r="BM527" s="282">
        <f>SUM(BM537:BM545)</f>
        <v>0</v>
      </c>
      <c r="BO527" s="282">
        <f>SUM(BO537:BO545)</f>
        <v>0</v>
      </c>
      <c r="BP527" s="282">
        <f>SUM(BP537:BP545)</f>
        <v>0</v>
      </c>
      <c r="BR527" s="282">
        <f>SUM(BR537:BR545)</f>
        <v>0</v>
      </c>
      <c r="BS527" s="282">
        <f>SUM(BS537:BS545)</f>
        <v>0</v>
      </c>
      <c r="BU527" s="282">
        <f>SUM(BU537:BU545)</f>
        <v>0</v>
      </c>
      <c r="BV527" s="282">
        <f>SUM(BV537:BV545)</f>
        <v>0</v>
      </c>
      <c r="BX527" s="282">
        <f>SUM(BX537:BX545)</f>
        <v>0</v>
      </c>
      <c r="BY527" s="282">
        <f>SUM(BY537:BY545)</f>
        <v>0</v>
      </c>
      <c r="CA527" s="282">
        <f>SUM(CA537:CA545)</f>
        <v>0</v>
      </c>
      <c r="CB527" s="282">
        <f>SUM(CB537:CB545)</f>
        <v>0</v>
      </c>
      <c r="CD527" s="282">
        <f>SUM(CD537:CD545)</f>
        <v>0</v>
      </c>
      <c r="CE527" s="282">
        <f>SUM(CE537:CE545)</f>
        <v>0</v>
      </c>
      <c r="CG527" s="282">
        <f>SUM(CG537:CG545)</f>
        <v>382</v>
      </c>
      <c r="CH527" s="282">
        <f>SUM(CH537:CH545)</f>
        <v>397</v>
      </c>
      <c r="CJ527" s="282">
        <f>SUM(CJ537:CJ545)</f>
        <v>0</v>
      </c>
      <c r="CK527" s="282">
        <f>SUM(CK537:CK545)</f>
        <v>0</v>
      </c>
    </row>
    <row r="528" spans="1:89" ht="30" x14ac:dyDescent="0.25">
      <c r="A528" s="107"/>
      <c r="B528" s="312"/>
      <c r="C528" s="312" t="s">
        <v>1593</v>
      </c>
      <c r="D528" s="95"/>
      <c r="E528" s="282"/>
      <c r="F528" s="282"/>
      <c r="G528" s="282"/>
      <c r="H528" s="282">
        <v>180435</v>
      </c>
      <c r="I528" s="282">
        <v>187583</v>
      </c>
      <c r="J528" s="282">
        <f t="shared" ref="J528:K530" si="877">J237</f>
        <v>193546</v>
      </c>
      <c r="K528" s="282">
        <f t="shared" si="877"/>
        <v>199765</v>
      </c>
      <c r="L528" s="282">
        <f t="shared" ref="L528:M530" si="878">L237</f>
        <v>2474</v>
      </c>
      <c r="M528" s="282">
        <f t="shared" si="878"/>
        <v>2475</v>
      </c>
      <c r="N528" s="282">
        <f t="shared" ref="N528" si="879">N237</f>
        <v>2472</v>
      </c>
      <c r="O528" s="286"/>
      <c r="Q528" s="283">
        <f t="shared" ref="Q528:Q545" si="880">S528+V528+Y528+AB528+AE528+AH528+AK528+AN528+AQ528+AT528+AW528+AZ528+BC528+BF528+BI528+BL528+BO528+BR528+BU528+BX528+CA528+CD528+CG528+CJ528</f>
        <v>199765</v>
      </c>
      <c r="R528" s="283">
        <f t="shared" ref="R528:R545" si="881">T528+W528+Z528+AC528+AF528+AI528+AL528+AO528+AR528+AU528+AX528+BA528+BD528+BG528+BJ528+BM528+BP528+BS528+BV528+BY528+CB528+CE528+CH528+CK528</f>
        <v>204600</v>
      </c>
      <c r="S528" s="283">
        <f t="shared" ref="S528:T530" si="882">S237</f>
        <v>2623</v>
      </c>
      <c r="T528" s="283">
        <f t="shared" si="882"/>
        <v>2733</v>
      </c>
      <c r="V528" s="283">
        <f t="shared" ref="V528:W530" si="883">V237</f>
        <v>2144</v>
      </c>
      <c r="W528" s="283">
        <f t="shared" si="883"/>
        <v>2114</v>
      </c>
      <c r="Y528" s="283">
        <f t="shared" ref="Y528:Z530" si="884">Y237</f>
        <v>2960</v>
      </c>
      <c r="Z528" s="283">
        <f t="shared" si="884"/>
        <v>2929</v>
      </c>
      <c r="AB528" s="283">
        <f t="shared" ref="AB528:AC530" si="885">AB237</f>
        <v>2910</v>
      </c>
      <c r="AC528" s="283">
        <f t="shared" si="885"/>
        <v>2938</v>
      </c>
      <c r="AE528" s="283">
        <f t="shared" ref="AE528:AF530" si="886">AE237</f>
        <v>2779</v>
      </c>
      <c r="AF528" s="283">
        <f t="shared" si="886"/>
        <v>2839</v>
      </c>
      <c r="AH528" s="283">
        <f t="shared" ref="AH528:AI530" si="887">AH237</f>
        <v>2486</v>
      </c>
      <c r="AI528" s="283">
        <f t="shared" si="887"/>
        <v>2474</v>
      </c>
      <c r="AK528" s="283">
        <f t="shared" ref="AK528:AL530" si="888">AK237</f>
        <v>5793</v>
      </c>
      <c r="AL528" s="283">
        <f t="shared" si="888"/>
        <v>5866</v>
      </c>
      <c r="AN528" s="283">
        <f t="shared" ref="AN528:AO530" si="889">AN237</f>
        <v>11819</v>
      </c>
      <c r="AO528" s="283">
        <f t="shared" si="889"/>
        <v>11889</v>
      </c>
      <c r="AQ528" s="283">
        <f t="shared" ref="AQ528:AR530" si="890">AQ237</f>
        <v>0</v>
      </c>
      <c r="AR528" s="283">
        <f t="shared" si="890"/>
        <v>0</v>
      </c>
      <c r="AT528" s="283">
        <f t="shared" ref="AT528:AU530" si="891">AT237</f>
        <v>13883</v>
      </c>
      <c r="AU528" s="283">
        <f t="shared" si="891"/>
        <v>14407</v>
      </c>
      <c r="AW528" s="283">
        <f t="shared" ref="AW528:AX530" si="892">AW237</f>
        <v>5196</v>
      </c>
      <c r="AX528" s="283">
        <f t="shared" si="892"/>
        <v>5281</v>
      </c>
      <c r="AZ528" s="283">
        <f t="shared" ref="AZ528:BA530" si="893">AZ237</f>
        <v>7300</v>
      </c>
      <c r="BA528" s="283">
        <f t="shared" si="893"/>
        <v>7246</v>
      </c>
      <c r="BC528" s="283">
        <f t="shared" ref="BC528:BD530" si="894">BC237</f>
        <v>14385</v>
      </c>
      <c r="BD528" s="283">
        <f t="shared" si="894"/>
        <v>14670</v>
      </c>
      <c r="BF528" s="283">
        <f t="shared" ref="BF528:BG530" si="895">BF237</f>
        <v>34019</v>
      </c>
      <c r="BG528" s="283">
        <f t="shared" si="895"/>
        <v>34985</v>
      </c>
      <c r="BI528" s="283">
        <f t="shared" ref="BI528:BJ530" si="896">BI237</f>
        <v>50296</v>
      </c>
      <c r="BJ528" s="283">
        <f t="shared" si="896"/>
        <v>52650</v>
      </c>
      <c r="BL528" s="283">
        <f t="shared" ref="BL528:BM530" si="897">BL237</f>
        <v>5617</v>
      </c>
      <c r="BM528" s="283">
        <f t="shared" si="897"/>
        <v>5590</v>
      </c>
      <c r="BO528" s="283">
        <f t="shared" ref="BO528:BP530" si="898">BO237</f>
        <v>5276</v>
      </c>
      <c r="BP528" s="283">
        <f t="shared" si="898"/>
        <v>5300</v>
      </c>
      <c r="BR528" s="283">
        <f t="shared" ref="BR528:BS530" si="899">BR237</f>
        <v>8021</v>
      </c>
      <c r="BS528" s="283">
        <f t="shared" si="899"/>
        <v>8109</v>
      </c>
      <c r="BU528" s="283">
        <f t="shared" ref="BU528:BV530" si="900">BU237</f>
        <v>7972</v>
      </c>
      <c r="BV528" s="283">
        <f t="shared" si="900"/>
        <v>8054</v>
      </c>
      <c r="BX528" s="283">
        <f t="shared" ref="BX528:BY530" si="901">BX237</f>
        <v>2132</v>
      </c>
      <c r="BY528" s="283">
        <f t="shared" si="901"/>
        <v>2198</v>
      </c>
      <c r="CA528" s="283">
        <f t="shared" ref="CA528:CB530" si="902">CA237</f>
        <v>5700</v>
      </c>
      <c r="CB528" s="283">
        <f t="shared" si="902"/>
        <v>5824</v>
      </c>
      <c r="CD528" s="283">
        <f t="shared" ref="CD528:CE530" si="903">CD237</f>
        <v>5310</v>
      </c>
      <c r="CE528" s="283">
        <f t="shared" si="903"/>
        <v>5416</v>
      </c>
      <c r="CG528" s="283">
        <f t="shared" ref="CG528:CH530" si="904">CG237</f>
        <v>478</v>
      </c>
      <c r="CH528" s="283">
        <f t="shared" si="904"/>
        <v>418</v>
      </c>
      <c r="CJ528" s="283">
        <f t="shared" ref="CJ528:CK530" si="905">CJ237</f>
        <v>666</v>
      </c>
      <c r="CK528" s="283">
        <f t="shared" si="905"/>
        <v>670</v>
      </c>
    </row>
    <row r="529" spans="1:89" ht="30" x14ac:dyDescent="0.25">
      <c r="A529" s="107"/>
      <c r="B529" s="312"/>
      <c r="C529" s="312" t="s">
        <v>1594</v>
      </c>
      <c r="D529" s="95"/>
      <c r="E529" s="282"/>
      <c r="F529" s="282"/>
      <c r="G529" s="282"/>
      <c r="H529" s="282">
        <v>1648</v>
      </c>
      <c r="I529" s="282">
        <v>1681</v>
      </c>
      <c r="J529" s="282">
        <f t="shared" si="877"/>
        <v>1891</v>
      </c>
      <c r="K529" s="282">
        <f t="shared" si="877"/>
        <v>1945</v>
      </c>
      <c r="L529" s="282">
        <f t="shared" ref="L529" si="906">L238</f>
        <v>0</v>
      </c>
      <c r="M529" s="282">
        <f t="shared" si="878"/>
        <v>0</v>
      </c>
      <c r="N529" s="282">
        <f t="shared" ref="N529" si="907">N238</f>
        <v>0</v>
      </c>
      <c r="Q529" s="283">
        <f t="shared" si="880"/>
        <v>1945</v>
      </c>
      <c r="R529" s="283">
        <f t="shared" si="881"/>
        <v>1928</v>
      </c>
      <c r="S529" s="283">
        <f t="shared" si="882"/>
        <v>32</v>
      </c>
      <c r="T529" s="283">
        <f t="shared" si="882"/>
        <v>44</v>
      </c>
      <c r="V529" s="283">
        <f t="shared" si="883"/>
        <v>0</v>
      </c>
      <c r="W529" s="283">
        <f t="shared" si="883"/>
        <v>0</v>
      </c>
      <c r="Y529" s="283">
        <f t="shared" si="884"/>
        <v>0</v>
      </c>
      <c r="Z529" s="283">
        <f t="shared" si="884"/>
        <v>0</v>
      </c>
      <c r="AB529" s="283">
        <f t="shared" si="885"/>
        <v>0</v>
      </c>
      <c r="AC529" s="283">
        <f t="shared" si="885"/>
        <v>0</v>
      </c>
      <c r="AE529" s="283">
        <f t="shared" si="886"/>
        <v>0</v>
      </c>
      <c r="AF529" s="283">
        <f t="shared" si="886"/>
        <v>0</v>
      </c>
      <c r="AH529" s="283">
        <f t="shared" si="887"/>
        <v>0</v>
      </c>
      <c r="AI529" s="283">
        <f t="shared" si="887"/>
        <v>0</v>
      </c>
      <c r="AK529" s="283">
        <f t="shared" si="888"/>
        <v>155</v>
      </c>
      <c r="AL529" s="283">
        <f t="shared" si="888"/>
        <v>154</v>
      </c>
      <c r="AN529" s="283">
        <f t="shared" si="889"/>
        <v>33</v>
      </c>
      <c r="AO529" s="283">
        <f t="shared" si="889"/>
        <v>24</v>
      </c>
      <c r="AQ529" s="283">
        <f t="shared" si="890"/>
        <v>0</v>
      </c>
      <c r="AR529" s="283">
        <f t="shared" si="890"/>
        <v>0</v>
      </c>
      <c r="AT529" s="283">
        <f t="shared" si="891"/>
        <v>171</v>
      </c>
      <c r="AU529" s="283">
        <f t="shared" si="891"/>
        <v>140</v>
      </c>
      <c r="AW529" s="283">
        <f t="shared" si="892"/>
        <v>63</v>
      </c>
      <c r="AX529" s="283">
        <f t="shared" si="892"/>
        <v>66</v>
      </c>
      <c r="AZ529" s="283">
        <f t="shared" si="893"/>
        <v>0</v>
      </c>
      <c r="BA529" s="283">
        <f t="shared" si="893"/>
        <v>0</v>
      </c>
      <c r="BC529" s="283">
        <f t="shared" si="894"/>
        <v>153</v>
      </c>
      <c r="BD529" s="283">
        <f t="shared" si="894"/>
        <v>144</v>
      </c>
      <c r="BF529" s="283">
        <f t="shared" si="895"/>
        <v>112</v>
      </c>
      <c r="BG529" s="283">
        <f t="shared" si="895"/>
        <v>119</v>
      </c>
      <c r="BI529" s="283">
        <f t="shared" si="896"/>
        <v>788</v>
      </c>
      <c r="BJ529" s="283">
        <f t="shared" si="896"/>
        <v>793</v>
      </c>
      <c r="BL529" s="283">
        <f t="shared" si="897"/>
        <v>0</v>
      </c>
      <c r="BM529" s="283">
        <f t="shared" si="897"/>
        <v>0</v>
      </c>
      <c r="BO529" s="283">
        <f t="shared" si="898"/>
        <v>8</v>
      </c>
      <c r="BP529" s="283">
        <f t="shared" si="898"/>
        <v>19</v>
      </c>
      <c r="BR529" s="283">
        <f t="shared" si="899"/>
        <v>0</v>
      </c>
      <c r="BS529" s="283">
        <f t="shared" si="899"/>
        <v>0</v>
      </c>
      <c r="BU529" s="283">
        <f t="shared" si="900"/>
        <v>0</v>
      </c>
      <c r="BV529" s="283">
        <f t="shared" si="900"/>
        <v>0</v>
      </c>
      <c r="BX529" s="283">
        <f t="shared" si="901"/>
        <v>0</v>
      </c>
      <c r="BY529" s="283">
        <f t="shared" si="901"/>
        <v>0</v>
      </c>
      <c r="CA529" s="283">
        <f t="shared" si="902"/>
        <v>10</v>
      </c>
      <c r="CB529" s="283">
        <f t="shared" si="902"/>
        <v>11</v>
      </c>
      <c r="CD529" s="283">
        <f t="shared" si="903"/>
        <v>0</v>
      </c>
      <c r="CE529" s="283">
        <f t="shared" si="903"/>
        <v>0</v>
      </c>
      <c r="CG529" s="283">
        <f t="shared" si="904"/>
        <v>420</v>
      </c>
      <c r="CH529" s="283">
        <f t="shared" si="904"/>
        <v>414</v>
      </c>
      <c r="CJ529" s="283">
        <f t="shared" si="905"/>
        <v>0</v>
      </c>
      <c r="CK529" s="283">
        <f t="shared" si="905"/>
        <v>0</v>
      </c>
    </row>
    <row r="530" spans="1:89" ht="30" x14ac:dyDescent="0.25">
      <c r="A530" s="107"/>
      <c r="B530" s="312"/>
      <c r="C530" s="312" t="s">
        <v>1595</v>
      </c>
      <c r="D530" s="95"/>
      <c r="E530" s="282"/>
      <c r="F530" s="282"/>
      <c r="G530" s="282"/>
      <c r="H530" s="282">
        <v>1807</v>
      </c>
      <c r="I530" s="282">
        <v>1865</v>
      </c>
      <c r="J530" s="282">
        <f t="shared" si="877"/>
        <v>1926</v>
      </c>
      <c r="K530" s="282">
        <f t="shared" si="877"/>
        <v>2004</v>
      </c>
      <c r="L530" s="282">
        <f t="shared" ref="L530" si="908">L239</f>
        <v>0</v>
      </c>
      <c r="M530" s="282">
        <f t="shared" si="878"/>
        <v>0</v>
      </c>
      <c r="N530" s="282">
        <f t="shared" ref="N530" si="909">N239</f>
        <v>0</v>
      </c>
      <c r="Q530" s="283">
        <f t="shared" si="880"/>
        <v>2004</v>
      </c>
      <c r="R530" s="283">
        <f t="shared" si="881"/>
        <v>1999</v>
      </c>
      <c r="S530" s="283">
        <f t="shared" si="882"/>
        <v>0</v>
      </c>
      <c r="T530" s="283">
        <f t="shared" si="882"/>
        <v>0</v>
      </c>
      <c r="V530" s="283">
        <f t="shared" si="883"/>
        <v>0</v>
      </c>
      <c r="W530" s="283">
        <f t="shared" si="883"/>
        <v>0</v>
      </c>
      <c r="Y530" s="283">
        <f t="shared" si="884"/>
        <v>0</v>
      </c>
      <c r="Z530" s="283">
        <f t="shared" si="884"/>
        <v>0</v>
      </c>
      <c r="AB530" s="283">
        <f t="shared" si="885"/>
        <v>0</v>
      </c>
      <c r="AC530" s="283">
        <f t="shared" si="885"/>
        <v>0</v>
      </c>
      <c r="AE530" s="283">
        <f t="shared" si="886"/>
        <v>74</v>
      </c>
      <c r="AF530" s="283">
        <f t="shared" si="886"/>
        <v>62</v>
      </c>
      <c r="AH530" s="283">
        <f t="shared" si="887"/>
        <v>0</v>
      </c>
      <c r="AI530" s="283">
        <f t="shared" si="887"/>
        <v>0</v>
      </c>
      <c r="AK530" s="283">
        <f t="shared" si="888"/>
        <v>7</v>
      </c>
      <c r="AL530" s="283">
        <f t="shared" si="888"/>
        <v>7</v>
      </c>
      <c r="AN530" s="283">
        <f t="shared" si="889"/>
        <v>63</v>
      </c>
      <c r="AO530" s="283">
        <f t="shared" si="889"/>
        <v>68</v>
      </c>
      <c r="AQ530" s="283">
        <f t="shared" si="890"/>
        <v>0</v>
      </c>
      <c r="AR530" s="283">
        <f t="shared" si="890"/>
        <v>0</v>
      </c>
      <c r="AT530" s="283">
        <f t="shared" si="891"/>
        <v>0</v>
      </c>
      <c r="AU530" s="283">
        <f t="shared" si="891"/>
        <v>0</v>
      </c>
      <c r="AW530" s="283">
        <f t="shared" si="892"/>
        <v>10</v>
      </c>
      <c r="AX530" s="283">
        <f t="shared" si="892"/>
        <v>9</v>
      </c>
      <c r="AZ530" s="283">
        <f t="shared" si="893"/>
        <v>0</v>
      </c>
      <c r="BA530" s="283">
        <f t="shared" si="893"/>
        <v>0</v>
      </c>
      <c r="BC530" s="283">
        <f t="shared" si="894"/>
        <v>0</v>
      </c>
      <c r="BD530" s="283">
        <f t="shared" si="894"/>
        <v>0</v>
      </c>
      <c r="BF530" s="283">
        <f t="shared" si="895"/>
        <v>0</v>
      </c>
      <c r="BG530" s="283">
        <f t="shared" si="895"/>
        <v>7</v>
      </c>
      <c r="BI530" s="283">
        <f t="shared" si="896"/>
        <v>0</v>
      </c>
      <c r="BJ530" s="283">
        <f t="shared" si="896"/>
        <v>0</v>
      </c>
      <c r="BL530" s="283">
        <f t="shared" si="897"/>
        <v>0</v>
      </c>
      <c r="BM530" s="283">
        <f t="shared" si="897"/>
        <v>0</v>
      </c>
      <c r="BO530" s="283">
        <f t="shared" si="898"/>
        <v>0</v>
      </c>
      <c r="BP530" s="283">
        <f t="shared" si="898"/>
        <v>0</v>
      </c>
      <c r="BR530" s="283">
        <f t="shared" si="899"/>
        <v>0</v>
      </c>
      <c r="BS530" s="283">
        <f t="shared" si="899"/>
        <v>0</v>
      </c>
      <c r="BU530" s="283">
        <f t="shared" si="900"/>
        <v>45</v>
      </c>
      <c r="BV530" s="283">
        <f t="shared" si="900"/>
        <v>44</v>
      </c>
      <c r="BX530" s="283">
        <f t="shared" si="901"/>
        <v>0</v>
      </c>
      <c r="BY530" s="283">
        <f t="shared" si="901"/>
        <v>0</v>
      </c>
      <c r="CA530" s="283">
        <f t="shared" si="902"/>
        <v>0</v>
      </c>
      <c r="CB530" s="283">
        <f t="shared" si="902"/>
        <v>0</v>
      </c>
      <c r="CD530" s="283">
        <f t="shared" si="903"/>
        <v>0</v>
      </c>
      <c r="CE530" s="283">
        <f t="shared" si="903"/>
        <v>0</v>
      </c>
      <c r="CG530" s="283">
        <f t="shared" si="904"/>
        <v>1805</v>
      </c>
      <c r="CH530" s="283">
        <f t="shared" si="904"/>
        <v>1802</v>
      </c>
      <c r="CJ530" s="283">
        <f t="shared" si="905"/>
        <v>0</v>
      </c>
      <c r="CK530" s="283">
        <f t="shared" si="905"/>
        <v>0</v>
      </c>
    </row>
    <row r="531" spans="1:89" ht="30" x14ac:dyDescent="0.25">
      <c r="A531" s="107"/>
      <c r="B531" s="312"/>
      <c r="C531" s="312" t="s">
        <v>2442</v>
      </c>
      <c r="D531" s="95"/>
      <c r="E531" s="282"/>
      <c r="F531" s="282"/>
      <c r="G531" s="282"/>
      <c r="H531" s="282">
        <v>686</v>
      </c>
      <c r="I531" s="282">
        <v>573</v>
      </c>
      <c r="J531" s="282">
        <f>J333</f>
        <v>448</v>
      </c>
      <c r="K531" s="282">
        <f>K333</f>
        <v>432</v>
      </c>
      <c r="L531" s="282">
        <f>L333</f>
        <v>0</v>
      </c>
      <c r="M531" s="282">
        <f>M333</f>
        <v>0</v>
      </c>
      <c r="N531" s="282">
        <f>N333</f>
        <v>0</v>
      </c>
      <c r="O531" s="286"/>
      <c r="Q531" s="283">
        <f t="shared" si="880"/>
        <v>432</v>
      </c>
      <c r="R531" s="283">
        <f t="shared" si="881"/>
        <v>452</v>
      </c>
      <c r="S531" s="283">
        <f>S333</f>
        <v>8</v>
      </c>
      <c r="T531" s="283">
        <f>T333</f>
        <v>15</v>
      </c>
      <c r="V531" s="283">
        <f>V333</f>
        <v>10</v>
      </c>
      <c r="W531" s="283">
        <f>W333</f>
        <v>10</v>
      </c>
      <c r="Y531" s="283">
        <f>Y333</f>
        <v>0</v>
      </c>
      <c r="Z531" s="283">
        <f>Z333</f>
        <v>0</v>
      </c>
      <c r="AB531" s="283">
        <f>AB333</f>
        <v>0</v>
      </c>
      <c r="AC531" s="283">
        <f>AC333</f>
        <v>0</v>
      </c>
      <c r="AE531" s="283">
        <f>AE333</f>
        <v>45</v>
      </c>
      <c r="AF531" s="283">
        <f>AF333</f>
        <v>38</v>
      </c>
      <c r="AH531" s="283">
        <f>AH333</f>
        <v>0</v>
      </c>
      <c r="AI531" s="283">
        <f>AI333</f>
        <v>11</v>
      </c>
      <c r="AK531" s="283">
        <f>AK333</f>
        <v>23</v>
      </c>
      <c r="AL531" s="283">
        <f>AL333</f>
        <v>28</v>
      </c>
      <c r="AN531" s="283">
        <f>AN333</f>
        <v>0</v>
      </c>
      <c r="AO531" s="283">
        <f>AO333</f>
        <v>0</v>
      </c>
      <c r="AQ531" s="283">
        <f>AQ333</f>
        <v>0</v>
      </c>
      <c r="AR531" s="283">
        <f>AR333</f>
        <v>0</v>
      </c>
      <c r="AT531" s="283">
        <f>AT333</f>
        <v>0</v>
      </c>
      <c r="AU531" s="283">
        <f>AU333</f>
        <v>0</v>
      </c>
      <c r="AW531" s="283">
        <f>AW333</f>
        <v>0</v>
      </c>
      <c r="AX531" s="283">
        <f>AX333</f>
        <v>0</v>
      </c>
      <c r="AZ531" s="283">
        <f>AZ333</f>
        <v>0</v>
      </c>
      <c r="BA531" s="283">
        <f>BA333</f>
        <v>0</v>
      </c>
      <c r="BC531" s="283">
        <f>BC333</f>
        <v>0</v>
      </c>
      <c r="BD531" s="283">
        <f>BD333</f>
        <v>0</v>
      </c>
      <c r="BF531" s="283">
        <f>BF333</f>
        <v>130</v>
      </c>
      <c r="BG531" s="283">
        <f>BG333</f>
        <v>113</v>
      </c>
      <c r="BI531" s="283">
        <f>BI333</f>
        <v>216</v>
      </c>
      <c r="BJ531" s="283">
        <f>BJ333</f>
        <v>237</v>
      </c>
      <c r="BL531" s="283">
        <f>BL333</f>
        <v>0</v>
      </c>
      <c r="BM531" s="283">
        <f>BM333</f>
        <v>0</v>
      </c>
      <c r="BO531" s="283">
        <f>BO333</f>
        <v>0</v>
      </c>
      <c r="BP531" s="283">
        <f>BP333</f>
        <v>0</v>
      </c>
      <c r="BR531" s="283">
        <f>BR333</f>
        <v>0</v>
      </c>
      <c r="BS531" s="283">
        <f>BS333</f>
        <v>0</v>
      </c>
      <c r="BU531" s="283">
        <f>BU333</f>
        <v>0</v>
      </c>
      <c r="BV531" s="283">
        <f>BV333</f>
        <v>0</v>
      </c>
      <c r="BX531" s="283">
        <f>BX333</f>
        <v>0</v>
      </c>
      <c r="BY531" s="283">
        <f>BY333</f>
        <v>0</v>
      </c>
      <c r="CA531" s="283">
        <f>CA333</f>
        <v>0</v>
      </c>
      <c r="CB531" s="283">
        <f>CB333</f>
        <v>0</v>
      </c>
      <c r="CD531" s="283">
        <f>CD333</f>
        <v>0</v>
      </c>
      <c r="CE531" s="283">
        <f>CE333</f>
        <v>0</v>
      </c>
      <c r="CG531" s="283">
        <f>CG333</f>
        <v>0</v>
      </c>
      <c r="CH531" s="283">
        <f>CH333</f>
        <v>0</v>
      </c>
      <c r="CJ531" s="283">
        <f>CJ333</f>
        <v>0</v>
      </c>
      <c r="CK531" s="283">
        <f>CK333</f>
        <v>0</v>
      </c>
    </row>
    <row r="532" spans="1:89" ht="30" x14ac:dyDescent="0.25">
      <c r="A532" s="107"/>
      <c r="B532" s="312"/>
      <c r="C532" s="312" t="s">
        <v>1596</v>
      </c>
      <c r="D532" s="95"/>
      <c r="E532" s="282"/>
      <c r="F532" s="282"/>
      <c r="G532" s="282"/>
      <c r="H532" s="282">
        <v>0</v>
      </c>
      <c r="I532" s="282">
        <v>0</v>
      </c>
      <c r="J532" s="282">
        <v>0</v>
      </c>
      <c r="K532" s="282">
        <v>0</v>
      </c>
      <c r="L532" s="282">
        <v>0</v>
      </c>
      <c r="M532" s="282">
        <v>0</v>
      </c>
      <c r="N532" s="282">
        <v>0</v>
      </c>
      <c r="Q532" s="283">
        <f t="shared" si="880"/>
        <v>0</v>
      </c>
      <c r="R532" s="283">
        <f t="shared" si="881"/>
        <v>0</v>
      </c>
      <c r="S532" s="267">
        <v>0</v>
      </c>
      <c r="T532" s="267">
        <v>0</v>
      </c>
      <c r="V532" s="267">
        <v>0</v>
      </c>
      <c r="W532" s="267">
        <v>0</v>
      </c>
      <c r="Y532" s="267">
        <v>0</v>
      </c>
      <c r="Z532" s="267">
        <v>0</v>
      </c>
      <c r="AB532" s="267">
        <v>0</v>
      </c>
      <c r="AC532" s="267">
        <v>0</v>
      </c>
      <c r="AE532" s="267">
        <v>0</v>
      </c>
      <c r="AF532" s="267">
        <v>0</v>
      </c>
      <c r="AH532" s="267">
        <v>0</v>
      </c>
      <c r="AI532" s="267">
        <v>0</v>
      </c>
      <c r="AK532" s="267">
        <v>0</v>
      </c>
      <c r="AL532" s="267">
        <v>0</v>
      </c>
      <c r="AN532" s="267">
        <v>0</v>
      </c>
      <c r="AO532" s="267">
        <v>0</v>
      </c>
      <c r="AQ532" s="267">
        <v>0</v>
      </c>
      <c r="AR532" s="267">
        <v>0</v>
      </c>
      <c r="AT532" s="267">
        <v>0</v>
      </c>
      <c r="AU532" s="267">
        <v>0</v>
      </c>
      <c r="AW532" s="267">
        <v>0</v>
      </c>
      <c r="AX532" s="267">
        <v>0</v>
      </c>
      <c r="AZ532" s="267">
        <v>0</v>
      </c>
      <c r="BA532" s="267">
        <v>0</v>
      </c>
      <c r="BC532" s="267">
        <v>0</v>
      </c>
      <c r="BD532" s="267">
        <v>0</v>
      </c>
      <c r="BF532" s="267">
        <v>0</v>
      </c>
      <c r="BG532" s="267">
        <v>0</v>
      </c>
      <c r="BI532" s="267">
        <v>0</v>
      </c>
      <c r="BJ532" s="267">
        <v>0</v>
      </c>
      <c r="BL532" s="267">
        <v>0</v>
      </c>
      <c r="BM532" s="267">
        <v>0</v>
      </c>
      <c r="BO532" s="267">
        <v>0</v>
      </c>
      <c r="BP532" s="267">
        <v>0</v>
      </c>
      <c r="BR532" s="267">
        <v>0</v>
      </c>
      <c r="BS532" s="267">
        <v>0</v>
      </c>
      <c r="BU532" s="267">
        <v>0</v>
      </c>
      <c r="BV532" s="267">
        <v>0</v>
      </c>
      <c r="BX532" s="267">
        <v>0</v>
      </c>
      <c r="BY532" s="267">
        <v>0</v>
      </c>
      <c r="CA532" s="267">
        <v>0</v>
      </c>
      <c r="CB532" s="267">
        <v>0</v>
      </c>
      <c r="CD532" s="267">
        <v>0</v>
      </c>
      <c r="CE532" s="267">
        <v>0</v>
      </c>
      <c r="CG532" s="267">
        <v>0</v>
      </c>
      <c r="CH532" s="267">
        <v>0</v>
      </c>
      <c r="CJ532" s="267">
        <v>0</v>
      </c>
      <c r="CK532" s="267">
        <v>0</v>
      </c>
    </row>
    <row r="533" spans="1:89" ht="30" x14ac:dyDescent="0.25">
      <c r="A533" s="107"/>
      <c r="B533" s="312"/>
      <c r="C533" s="312" t="s">
        <v>2440</v>
      </c>
      <c r="D533" s="95"/>
      <c r="E533" s="282"/>
      <c r="F533" s="282"/>
      <c r="G533" s="282"/>
      <c r="H533" s="282">
        <v>0</v>
      </c>
      <c r="I533" s="282">
        <v>0</v>
      </c>
      <c r="J533" s="282">
        <v>0</v>
      </c>
      <c r="K533" s="282">
        <v>0</v>
      </c>
      <c r="L533" s="282">
        <v>0</v>
      </c>
      <c r="M533" s="282">
        <v>0</v>
      </c>
      <c r="N533" s="282">
        <v>0</v>
      </c>
      <c r="Q533" s="283">
        <f t="shared" si="880"/>
        <v>0</v>
      </c>
      <c r="R533" s="283">
        <f t="shared" si="881"/>
        <v>0</v>
      </c>
      <c r="S533" s="267">
        <v>0</v>
      </c>
      <c r="T533" s="267">
        <v>0</v>
      </c>
      <c r="V533" s="267">
        <v>0</v>
      </c>
      <c r="W533" s="267">
        <v>0</v>
      </c>
      <c r="Y533" s="267">
        <v>0</v>
      </c>
      <c r="Z533" s="267">
        <v>0</v>
      </c>
      <c r="AB533" s="267">
        <v>0</v>
      </c>
      <c r="AC533" s="267">
        <v>0</v>
      </c>
      <c r="AE533" s="267">
        <v>0</v>
      </c>
      <c r="AF533" s="267">
        <v>0</v>
      </c>
      <c r="AH533" s="267">
        <v>0</v>
      </c>
      <c r="AI533" s="267">
        <v>0</v>
      </c>
      <c r="AK533" s="267">
        <v>0</v>
      </c>
      <c r="AL533" s="267">
        <v>0</v>
      </c>
      <c r="AN533" s="267">
        <v>0</v>
      </c>
      <c r="AO533" s="267">
        <v>0</v>
      </c>
      <c r="AQ533" s="267">
        <v>0</v>
      </c>
      <c r="AR533" s="267">
        <v>0</v>
      </c>
      <c r="AT533" s="267">
        <v>0</v>
      </c>
      <c r="AU533" s="267">
        <v>0</v>
      </c>
      <c r="AW533" s="267">
        <v>0</v>
      </c>
      <c r="AX533" s="267">
        <v>0</v>
      </c>
      <c r="AZ533" s="267">
        <v>0</v>
      </c>
      <c r="BA533" s="267">
        <v>0</v>
      </c>
      <c r="BC533" s="267">
        <v>0</v>
      </c>
      <c r="BD533" s="267">
        <v>0</v>
      </c>
      <c r="BF533" s="267">
        <v>0</v>
      </c>
      <c r="BG533" s="267">
        <v>0</v>
      </c>
      <c r="BI533" s="267">
        <v>0</v>
      </c>
      <c r="BJ533" s="267">
        <v>0</v>
      </c>
      <c r="BL533" s="267">
        <v>0</v>
      </c>
      <c r="BM533" s="267">
        <v>0</v>
      </c>
      <c r="BO533" s="267">
        <v>0</v>
      </c>
      <c r="BP533" s="267">
        <v>0</v>
      </c>
      <c r="BR533" s="267">
        <v>0</v>
      </c>
      <c r="BS533" s="267">
        <v>0</v>
      </c>
      <c r="BU533" s="267">
        <v>0</v>
      </c>
      <c r="BV533" s="267">
        <v>0</v>
      </c>
      <c r="BX533" s="267">
        <v>0</v>
      </c>
      <c r="BY533" s="267">
        <v>0</v>
      </c>
      <c r="CA533" s="267">
        <v>0</v>
      </c>
      <c r="CB533" s="267">
        <v>0</v>
      </c>
      <c r="CD533" s="267">
        <v>0</v>
      </c>
      <c r="CE533" s="267">
        <v>0</v>
      </c>
      <c r="CG533" s="267">
        <v>0</v>
      </c>
      <c r="CH533" s="267">
        <v>0</v>
      </c>
      <c r="CJ533" s="267">
        <v>0</v>
      </c>
      <c r="CK533" s="267">
        <v>0</v>
      </c>
    </row>
    <row r="534" spans="1:89" ht="30" x14ac:dyDescent="0.25">
      <c r="A534" s="107"/>
      <c r="B534" s="312"/>
      <c r="C534" s="312" t="s">
        <v>2443</v>
      </c>
      <c r="D534" s="95"/>
      <c r="E534" s="282"/>
      <c r="F534" s="282"/>
      <c r="G534" s="282"/>
      <c r="H534" s="282">
        <v>281</v>
      </c>
      <c r="I534" s="282">
        <v>229</v>
      </c>
      <c r="J534" s="282">
        <f>J334</f>
        <v>251</v>
      </c>
      <c r="K534" s="282">
        <f>K334</f>
        <v>251</v>
      </c>
      <c r="L534" s="282">
        <f>L334</f>
        <v>0</v>
      </c>
      <c r="M534" s="282">
        <f>M334</f>
        <v>0</v>
      </c>
      <c r="N534" s="282">
        <f>N334</f>
        <v>0</v>
      </c>
      <c r="O534" s="286"/>
      <c r="Q534" s="283">
        <f t="shared" si="880"/>
        <v>251</v>
      </c>
      <c r="R534" s="283">
        <f t="shared" si="881"/>
        <v>207</v>
      </c>
      <c r="S534" s="267">
        <f>S334</f>
        <v>0</v>
      </c>
      <c r="T534" s="267">
        <f>T334</f>
        <v>0</v>
      </c>
      <c r="V534" s="267">
        <f>V334</f>
        <v>0</v>
      </c>
      <c r="W534" s="267">
        <f>W334</f>
        <v>0</v>
      </c>
      <c r="Y534" s="267">
        <f>Y334</f>
        <v>0</v>
      </c>
      <c r="Z534" s="267">
        <f>Z334</f>
        <v>0</v>
      </c>
      <c r="AB534" s="267">
        <f>AB334</f>
        <v>0</v>
      </c>
      <c r="AC534" s="267">
        <f>AC334</f>
        <v>0</v>
      </c>
      <c r="AE534" s="267">
        <f>AE334</f>
        <v>0</v>
      </c>
      <c r="AF534" s="267">
        <f>AF334</f>
        <v>0</v>
      </c>
      <c r="AH534" s="267">
        <f>AH334</f>
        <v>17</v>
      </c>
      <c r="AI534" s="267">
        <f>AI334</f>
        <v>0</v>
      </c>
      <c r="AK534" s="267">
        <f>AK334</f>
        <v>0</v>
      </c>
      <c r="AL534" s="267">
        <f>AL334</f>
        <v>1</v>
      </c>
      <c r="AN534" s="267">
        <f>AN334</f>
        <v>0</v>
      </c>
      <c r="AO534" s="267">
        <f>AO334</f>
        <v>0</v>
      </c>
      <c r="AQ534" s="267">
        <f>AQ334</f>
        <v>0</v>
      </c>
      <c r="AR534" s="267">
        <f>AR334</f>
        <v>0</v>
      </c>
      <c r="AT534" s="267">
        <f>AT334</f>
        <v>7</v>
      </c>
      <c r="AU534" s="267">
        <f>AU334</f>
        <v>0</v>
      </c>
      <c r="AW534" s="267">
        <f>AW334</f>
        <v>0</v>
      </c>
      <c r="AX534" s="267">
        <f>AX334</f>
        <v>0</v>
      </c>
      <c r="AZ534" s="267">
        <f>AZ334</f>
        <v>0</v>
      </c>
      <c r="BA534" s="267">
        <f>BA334</f>
        <v>0</v>
      </c>
      <c r="BC534" s="267">
        <f>BC334</f>
        <v>0</v>
      </c>
      <c r="BD534" s="267">
        <f>BD334</f>
        <v>0</v>
      </c>
      <c r="BF534" s="267">
        <f>BF334</f>
        <v>0</v>
      </c>
      <c r="BG534" s="267">
        <f>BG334</f>
        <v>0</v>
      </c>
      <c r="BI534" s="267">
        <f>BI334</f>
        <v>227</v>
      </c>
      <c r="BJ534" s="267">
        <f>BJ334</f>
        <v>206</v>
      </c>
      <c r="BL534" s="267">
        <f>BL334</f>
        <v>0</v>
      </c>
      <c r="BM534" s="267">
        <f>BM334</f>
        <v>0</v>
      </c>
      <c r="BO534" s="267">
        <f>BO334</f>
        <v>0</v>
      </c>
      <c r="BP534" s="267">
        <f>BP334</f>
        <v>0</v>
      </c>
      <c r="BR534" s="267">
        <f>BR334</f>
        <v>0</v>
      </c>
      <c r="BS534" s="267">
        <f>BS334</f>
        <v>0</v>
      </c>
      <c r="BU534" s="267">
        <f>BU334</f>
        <v>0</v>
      </c>
      <c r="BV534" s="267">
        <f>BV334</f>
        <v>0</v>
      </c>
      <c r="BX534" s="267">
        <f>BX334</f>
        <v>0</v>
      </c>
      <c r="BY534" s="267">
        <f>BY334</f>
        <v>0</v>
      </c>
      <c r="CA534" s="267">
        <f>CA334</f>
        <v>0</v>
      </c>
      <c r="CB534" s="267">
        <f>CB334</f>
        <v>0</v>
      </c>
      <c r="CD534" s="267">
        <f>CD334</f>
        <v>0</v>
      </c>
      <c r="CE534" s="267">
        <f>CE334</f>
        <v>0</v>
      </c>
      <c r="CG534" s="267">
        <f>CG334</f>
        <v>0</v>
      </c>
      <c r="CH534" s="267">
        <f>CH334</f>
        <v>0</v>
      </c>
      <c r="CJ534" s="267">
        <f>CJ334</f>
        <v>0</v>
      </c>
      <c r="CK534" s="267">
        <f>CK334</f>
        <v>0</v>
      </c>
    </row>
    <row r="535" spans="1:89" ht="30" x14ac:dyDescent="0.25">
      <c r="A535" s="107"/>
      <c r="B535" s="312"/>
      <c r="C535" s="312" t="s">
        <v>1597</v>
      </c>
      <c r="D535" s="95"/>
      <c r="E535" s="282"/>
      <c r="F535" s="282"/>
      <c r="G535" s="282"/>
      <c r="H535" s="282">
        <v>0</v>
      </c>
      <c r="I535" s="282">
        <v>0</v>
      </c>
      <c r="J535" s="282">
        <v>0</v>
      </c>
      <c r="K535" s="282">
        <v>0</v>
      </c>
      <c r="L535" s="282">
        <v>0</v>
      </c>
      <c r="M535" s="282">
        <v>0</v>
      </c>
      <c r="N535" s="282">
        <v>0</v>
      </c>
      <c r="Q535" s="283">
        <f t="shared" si="880"/>
        <v>0</v>
      </c>
      <c r="R535" s="283">
        <f t="shared" si="881"/>
        <v>0</v>
      </c>
      <c r="S535" s="267">
        <v>0</v>
      </c>
      <c r="T535" s="267">
        <v>0</v>
      </c>
      <c r="V535" s="267">
        <v>0</v>
      </c>
      <c r="W535" s="267">
        <v>0</v>
      </c>
      <c r="Y535" s="267">
        <v>0</v>
      </c>
      <c r="Z535" s="267">
        <v>0</v>
      </c>
      <c r="AB535" s="267">
        <v>0</v>
      </c>
      <c r="AC535" s="267">
        <v>0</v>
      </c>
      <c r="AE535" s="267">
        <v>0</v>
      </c>
      <c r="AF535" s="267">
        <v>0</v>
      </c>
      <c r="AH535" s="267">
        <v>0</v>
      </c>
      <c r="AI535" s="267">
        <v>0</v>
      </c>
      <c r="AK535" s="267">
        <v>0</v>
      </c>
      <c r="AL535" s="267">
        <v>0</v>
      </c>
      <c r="AN535" s="267">
        <v>0</v>
      </c>
      <c r="AO535" s="267">
        <v>0</v>
      </c>
      <c r="AQ535" s="267">
        <v>0</v>
      </c>
      <c r="AR535" s="267">
        <v>0</v>
      </c>
      <c r="AT535" s="267">
        <v>0</v>
      </c>
      <c r="AU535" s="267">
        <v>0</v>
      </c>
      <c r="AW535" s="267">
        <v>0</v>
      </c>
      <c r="AX535" s="267">
        <v>0</v>
      </c>
      <c r="AZ535" s="267">
        <v>0</v>
      </c>
      <c r="BA535" s="267">
        <v>0</v>
      </c>
      <c r="BC535" s="267">
        <v>0</v>
      </c>
      <c r="BD535" s="267">
        <v>0</v>
      </c>
      <c r="BF535" s="267">
        <v>0</v>
      </c>
      <c r="BG535" s="267">
        <v>0</v>
      </c>
      <c r="BI535" s="267">
        <v>0</v>
      </c>
      <c r="BJ535" s="267">
        <v>0</v>
      </c>
      <c r="BL535" s="267">
        <v>0</v>
      </c>
      <c r="BM535" s="267">
        <v>0</v>
      </c>
      <c r="BO535" s="267">
        <v>0</v>
      </c>
      <c r="BP535" s="267">
        <v>0</v>
      </c>
      <c r="BR535" s="267">
        <v>0</v>
      </c>
      <c r="BS535" s="267">
        <v>0</v>
      </c>
      <c r="BU535" s="267">
        <v>0</v>
      </c>
      <c r="BV535" s="267">
        <v>0</v>
      </c>
      <c r="BX535" s="267">
        <v>0</v>
      </c>
      <c r="BY535" s="267">
        <v>0</v>
      </c>
      <c r="CA535" s="267">
        <v>0</v>
      </c>
      <c r="CB535" s="267">
        <v>0</v>
      </c>
      <c r="CD535" s="267">
        <v>0</v>
      </c>
      <c r="CE535" s="267">
        <v>0</v>
      </c>
      <c r="CG535" s="267">
        <v>0</v>
      </c>
      <c r="CH535" s="267">
        <v>0</v>
      </c>
      <c r="CJ535" s="267">
        <v>0</v>
      </c>
      <c r="CK535" s="267">
        <v>0</v>
      </c>
    </row>
    <row r="536" spans="1:89" ht="30" x14ac:dyDescent="0.25">
      <c r="A536" s="107"/>
      <c r="B536" s="312"/>
      <c r="C536" s="312" t="s">
        <v>2441</v>
      </c>
      <c r="D536" s="95"/>
      <c r="E536" s="282"/>
      <c r="F536" s="282"/>
      <c r="G536" s="282"/>
      <c r="H536" s="282">
        <v>0</v>
      </c>
      <c r="I536" s="282">
        <v>0</v>
      </c>
      <c r="J536" s="282">
        <v>0</v>
      </c>
      <c r="K536" s="282">
        <v>0</v>
      </c>
      <c r="L536" s="282">
        <v>0</v>
      </c>
      <c r="M536" s="282">
        <v>0</v>
      </c>
      <c r="N536" s="282">
        <v>0</v>
      </c>
      <c r="Q536" s="283">
        <f t="shared" si="880"/>
        <v>0</v>
      </c>
      <c r="R536" s="283">
        <f t="shared" si="881"/>
        <v>0</v>
      </c>
      <c r="S536" s="267">
        <v>0</v>
      </c>
      <c r="T536" s="267">
        <v>0</v>
      </c>
      <c r="V536" s="267">
        <v>0</v>
      </c>
      <c r="W536" s="267">
        <v>0</v>
      </c>
      <c r="Y536" s="267">
        <v>0</v>
      </c>
      <c r="Z536" s="267">
        <v>0</v>
      </c>
      <c r="AB536" s="267">
        <v>0</v>
      </c>
      <c r="AC536" s="267">
        <v>0</v>
      </c>
      <c r="AE536" s="267">
        <v>0</v>
      </c>
      <c r="AF536" s="267">
        <v>0</v>
      </c>
      <c r="AH536" s="267">
        <v>0</v>
      </c>
      <c r="AI536" s="267">
        <v>0</v>
      </c>
      <c r="AK536" s="267">
        <v>0</v>
      </c>
      <c r="AL536" s="267">
        <v>0</v>
      </c>
      <c r="AN536" s="267">
        <v>0</v>
      </c>
      <c r="AO536" s="267">
        <v>0</v>
      </c>
      <c r="AQ536" s="267">
        <v>0</v>
      </c>
      <c r="AR536" s="267">
        <v>0</v>
      </c>
      <c r="AT536" s="267">
        <v>0</v>
      </c>
      <c r="AU536" s="267">
        <v>0</v>
      </c>
      <c r="AW536" s="267">
        <v>0</v>
      </c>
      <c r="AX536" s="267">
        <v>0</v>
      </c>
      <c r="AZ536" s="267">
        <v>0</v>
      </c>
      <c r="BA536" s="267">
        <v>0</v>
      </c>
      <c r="BC536" s="267">
        <v>0</v>
      </c>
      <c r="BD536" s="267">
        <v>0</v>
      </c>
      <c r="BF536" s="267">
        <v>0</v>
      </c>
      <c r="BG536" s="267">
        <v>0</v>
      </c>
      <c r="BI536" s="267">
        <v>0</v>
      </c>
      <c r="BJ536" s="267">
        <v>0</v>
      </c>
      <c r="BL536" s="267">
        <v>0</v>
      </c>
      <c r="BM536" s="267">
        <v>0</v>
      </c>
      <c r="BO536" s="267">
        <v>0</v>
      </c>
      <c r="BP536" s="267">
        <v>0</v>
      </c>
      <c r="BR536" s="267">
        <v>0</v>
      </c>
      <c r="BS536" s="267">
        <v>0</v>
      </c>
      <c r="BU536" s="267">
        <v>0</v>
      </c>
      <c r="BV536" s="267">
        <v>0</v>
      </c>
      <c r="BX536" s="267">
        <v>0</v>
      </c>
      <c r="BY536" s="267">
        <v>0</v>
      </c>
      <c r="CA536" s="267">
        <v>0</v>
      </c>
      <c r="CB536" s="267">
        <v>0</v>
      </c>
      <c r="CD536" s="267">
        <v>0</v>
      </c>
      <c r="CE536" s="267">
        <v>0</v>
      </c>
      <c r="CG536" s="267">
        <v>0</v>
      </c>
      <c r="CH536" s="267">
        <v>0</v>
      </c>
      <c r="CJ536" s="267">
        <v>0</v>
      </c>
      <c r="CK536" s="267">
        <v>0</v>
      </c>
    </row>
    <row r="537" spans="1:89" ht="30" x14ac:dyDescent="0.25">
      <c r="A537" s="107"/>
      <c r="B537" s="312"/>
      <c r="C537" s="312" t="s">
        <v>1593</v>
      </c>
      <c r="D537" s="95"/>
      <c r="E537" s="282"/>
      <c r="F537" s="282"/>
      <c r="G537" s="282"/>
      <c r="H537" s="282">
        <v>16802</v>
      </c>
      <c r="I537" s="282">
        <v>17106</v>
      </c>
      <c r="J537" s="282">
        <f>J241</f>
        <v>17281</v>
      </c>
      <c r="K537" s="282">
        <f>K241</f>
        <v>17276</v>
      </c>
      <c r="L537" s="282">
        <f>L241</f>
        <v>1964</v>
      </c>
      <c r="M537" s="282">
        <f>M241</f>
        <v>1941</v>
      </c>
      <c r="N537" s="282">
        <f>N241</f>
        <v>1876</v>
      </c>
      <c r="Q537" s="283">
        <f t="shared" si="880"/>
        <v>17276</v>
      </c>
      <c r="R537" s="283">
        <f t="shared" si="881"/>
        <v>17125</v>
      </c>
      <c r="S537" s="283">
        <f>S241</f>
        <v>1265</v>
      </c>
      <c r="T537" s="283">
        <f>T241</f>
        <v>1262</v>
      </c>
      <c r="V537" s="283">
        <f>V241</f>
        <v>1417</v>
      </c>
      <c r="W537" s="283">
        <f>W241</f>
        <v>1440</v>
      </c>
      <c r="Y537" s="283">
        <f>Y241</f>
        <v>1458</v>
      </c>
      <c r="Z537" s="283">
        <f>Z241</f>
        <v>1415</v>
      </c>
      <c r="AB537" s="283">
        <f t="shared" ref="AB537:AC539" si="910">AB241</f>
        <v>2212</v>
      </c>
      <c r="AC537" s="283">
        <f t="shared" si="910"/>
        <v>2176</v>
      </c>
      <c r="AE537" s="283">
        <f t="shared" ref="AE537:AF539" si="911">AE241</f>
        <v>978</v>
      </c>
      <c r="AF537" s="283">
        <f t="shared" si="911"/>
        <v>899</v>
      </c>
      <c r="AH537" s="283">
        <f t="shared" ref="AH537:AI539" si="912">AH241</f>
        <v>1978</v>
      </c>
      <c r="AI537" s="283">
        <f t="shared" si="912"/>
        <v>1964</v>
      </c>
      <c r="AK537" s="283">
        <f t="shared" ref="AK537:AL539" si="913">AK241</f>
        <v>289</v>
      </c>
      <c r="AL537" s="283">
        <f t="shared" si="913"/>
        <v>287</v>
      </c>
      <c r="AN537" s="283">
        <f t="shared" ref="AN537:AO539" si="914">AN241</f>
        <v>5421</v>
      </c>
      <c r="AO537" s="283">
        <f t="shared" si="914"/>
        <v>5406</v>
      </c>
      <c r="AQ537" s="283">
        <f t="shared" ref="AQ537:AR539" si="915">AQ241</f>
        <v>2144</v>
      </c>
      <c r="AR537" s="283">
        <f t="shared" si="915"/>
        <v>2154</v>
      </c>
      <c r="AT537" s="283">
        <f t="shared" ref="AT537:AU539" si="916">AT241</f>
        <v>0</v>
      </c>
      <c r="AU537" s="283">
        <f t="shared" si="916"/>
        <v>0</v>
      </c>
      <c r="AW537" s="283">
        <f t="shared" ref="AW537:AX539" si="917">AW241</f>
        <v>0</v>
      </c>
      <c r="AX537" s="283">
        <f t="shared" si="917"/>
        <v>0</v>
      </c>
      <c r="AZ537" s="283">
        <f t="shared" ref="AZ537:BA539" si="918">AZ241</f>
        <v>0</v>
      </c>
      <c r="BA537" s="283">
        <f t="shared" si="918"/>
        <v>0</v>
      </c>
      <c r="BC537" s="283">
        <f t="shared" ref="BC537:BD539" si="919">BC241</f>
        <v>0</v>
      </c>
      <c r="BD537" s="283">
        <f t="shared" si="919"/>
        <v>0</v>
      </c>
      <c r="BF537" s="283">
        <f t="shared" ref="BF537:BG539" si="920">BF241</f>
        <v>0</v>
      </c>
      <c r="BG537" s="283">
        <f t="shared" si="920"/>
        <v>0</v>
      </c>
      <c r="BI537" s="283">
        <f t="shared" ref="BI537:BJ539" si="921">BI241</f>
        <v>0</v>
      </c>
      <c r="BJ537" s="283">
        <f t="shared" si="921"/>
        <v>0</v>
      </c>
      <c r="BL537" s="283">
        <f t="shared" ref="BL537:BM539" si="922">BL241</f>
        <v>0</v>
      </c>
      <c r="BM537" s="283">
        <f t="shared" si="922"/>
        <v>0</v>
      </c>
      <c r="BO537" s="283">
        <f t="shared" ref="BO537:BP539" si="923">BO241</f>
        <v>0</v>
      </c>
      <c r="BP537" s="283">
        <f t="shared" si="923"/>
        <v>0</v>
      </c>
      <c r="BR537" s="283">
        <f t="shared" ref="BR537:BS539" si="924">BR241</f>
        <v>0</v>
      </c>
      <c r="BS537" s="283">
        <f t="shared" si="924"/>
        <v>0</v>
      </c>
      <c r="BU537" s="283">
        <f t="shared" ref="BU537:BV539" si="925">BU241</f>
        <v>0</v>
      </c>
      <c r="BV537" s="283">
        <f t="shared" si="925"/>
        <v>0</v>
      </c>
      <c r="BX537" s="283">
        <f t="shared" ref="BX537:BY539" si="926">BX241</f>
        <v>0</v>
      </c>
      <c r="BY537" s="283">
        <f t="shared" si="926"/>
        <v>0</v>
      </c>
      <c r="CA537" s="283">
        <f t="shared" ref="CA537:CB539" si="927">CA241</f>
        <v>0</v>
      </c>
      <c r="CB537" s="283">
        <f t="shared" si="927"/>
        <v>0</v>
      </c>
      <c r="CD537" s="283">
        <f t="shared" ref="CD537:CE539" si="928">CD241</f>
        <v>0</v>
      </c>
      <c r="CE537" s="283">
        <f t="shared" si="928"/>
        <v>0</v>
      </c>
      <c r="CG537" s="283">
        <f t="shared" ref="CG537:CH539" si="929">CG241</f>
        <v>114</v>
      </c>
      <c r="CH537" s="283">
        <f t="shared" si="929"/>
        <v>122</v>
      </c>
      <c r="CJ537" s="283">
        <f t="shared" ref="CJ537:CK539" si="930">CJ241</f>
        <v>0</v>
      </c>
      <c r="CK537" s="283">
        <f t="shared" si="930"/>
        <v>0</v>
      </c>
    </row>
    <row r="538" spans="1:89" ht="30" x14ac:dyDescent="0.25">
      <c r="A538" s="107"/>
      <c r="B538" s="312"/>
      <c r="C538" s="312" t="s">
        <v>1594</v>
      </c>
      <c r="D538" s="95"/>
      <c r="E538" s="282"/>
      <c r="F538" s="282"/>
      <c r="G538" s="282"/>
      <c r="H538" s="282">
        <v>0</v>
      </c>
      <c r="I538" s="282">
        <v>0</v>
      </c>
      <c r="J538" s="282">
        <f t="shared" ref="J538:K540" si="931">J337</f>
        <v>0</v>
      </c>
      <c r="K538" s="282">
        <f t="shared" si="931"/>
        <v>5</v>
      </c>
      <c r="L538" s="282">
        <f t="shared" ref="L538:M540" si="932">L337</f>
        <v>0</v>
      </c>
      <c r="M538" s="282">
        <f t="shared" si="932"/>
        <v>0</v>
      </c>
      <c r="N538" s="282">
        <f t="shared" ref="N538" si="933">N337</f>
        <v>0</v>
      </c>
      <c r="Q538" s="283">
        <f t="shared" si="880"/>
        <v>5</v>
      </c>
      <c r="R538" s="283">
        <f t="shared" si="881"/>
        <v>7</v>
      </c>
      <c r="S538" s="283">
        <f t="shared" ref="S538:T540" si="934">S337</f>
        <v>0</v>
      </c>
      <c r="T538" s="283">
        <f t="shared" si="934"/>
        <v>0</v>
      </c>
      <c r="V538" s="283">
        <f t="shared" ref="V538:W540" si="935">V337</f>
        <v>0</v>
      </c>
      <c r="W538" s="283">
        <f t="shared" si="935"/>
        <v>0</v>
      </c>
      <c r="Y538" s="283">
        <f t="shared" ref="Y538:Z540" si="936">Y337</f>
        <v>0</v>
      </c>
      <c r="Z538" s="283">
        <f t="shared" si="936"/>
        <v>0</v>
      </c>
      <c r="AB538" s="283">
        <f t="shared" si="910"/>
        <v>0</v>
      </c>
      <c r="AC538" s="283">
        <f t="shared" si="910"/>
        <v>0</v>
      </c>
      <c r="AE538" s="283">
        <f t="shared" si="911"/>
        <v>0</v>
      </c>
      <c r="AF538" s="283">
        <f t="shared" si="911"/>
        <v>2</v>
      </c>
      <c r="AH538" s="283">
        <f t="shared" si="912"/>
        <v>0</v>
      </c>
      <c r="AI538" s="283">
        <f t="shared" si="912"/>
        <v>0</v>
      </c>
      <c r="AK538" s="283">
        <f t="shared" si="913"/>
        <v>0</v>
      </c>
      <c r="AL538" s="283">
        <f t="shared" si="913"/>
        <v>0</v>
      </c>
      <c r="AN538" s="283">
        <f t="shared" si="914"/>
        <v>5</v>
      </c>
      <c r="AO538" s="283">
        <f t="shared" si="914"/>
        <v>5</v>
      </c>
      <c r="AQ538" s="283">
        <f t="shared" si="915"/>
        <v>0</v>
      </c>
      <c r="AR538" s="283">
        <f t="shared" si="915"/>
        <v>0</v>
      </c>
      <c r="AT538" s="283">
        <f t="shared" si="916"/>
        <v>0</v>
      </c>
      <c r="AU538" s="283">
        <f t="shared" si="916"/>
        <v>0</v>
      </c>
      <c r="AW538" s="283">
        <f t="shared" si="917"/>
        <v>0</v>
      </c>
      <c r="AX538" s="283">
        <f t="shared" si="917"/>
        <v>0</v>
      </c>
      <c r="AZ538" s="283">
        <f t="shared" si="918"/>
        <v>0</v>
      </c>
      <c r="BA538" s="283">
        <f t="shared" si="918"/>
        <v>0</v>
      </c>
      <c r="BC538" s="283">
        <f t="shared" si="919"/>
        <v>0</v>
      </c>
      <c r="BD538" s="283">
        <f t="shared" si="919"/>
        <v>0</v>
      </c>
      <c r="BF538" s="283">
        <f t="shared" si="920"/>
        <v>0</v>
      </c>
      <c r="BG538" s="283">
        <f t="shared" si="920"/>
        <v>0</v>
      </c>
      <c r="BI538" s="283">
        <f t="shared" si="921"/>
        <v>0</v>
      </c>
      <c r="BJ538" s="283">
        <f t="shared" si="921"/>
        <v>0</v>
      </c>
      <c r="BL538" s="283">
        <f t="shared" si="922"/>
        <v>0</v>
      </c>
      <c r="BM538" s="283">
        <f t="shared" si="922"/>
        <v>0</v>
      </c>
      <c r="BO538" s="283">
        <f t="shared" si="923"/>
        <v>0</v>
      </c>
      <c r="BP538" s="283">
        <f t="shared" si="923"/>
        <v>0</v>
      </c>
      <c r="BR538" s="283">
        <f t="shared" si="924"/>
        <v>0</v>
      </c>
      <c r="BS538" s="283">
        <f t="shared" si="924"/>
        <v>0</v>
      </c>
      <c r="BU538" s="283">
        <f t="shared" si="925"/>
        <v>0</v>
      </c>
      <c r="BV538" s="283">
        <f t="shared" si="925"/>
        <v>0</v>
      </c>
      <c r="BX538" s="283">
        <f t="shared" si="926"/>
        <v>0</v>
      </c>
      <c r="BY538" s="283">
        <f t="shared" si="926"/>
        <v>0</v>
      </c>
      <c r="CA538" s="283">
        <f t="shared" si="927"/>
        <v>0</v>
      </c>
      <c r="CB538" s="283">
        <f t="shared" si="927"/>
        <v>0</v>
      </c>
      <c r="CD538" s="283">
        <f t="shared" si="928"/>
        <v>0</v>
      </c>
      <c r="CE538" s="283">
        <f t="shared" si="928"/>
        <v>0</v>
      </c>
      <c r="CG538" s="283">
        <f t="shared" si="929"/>
        <v>0</v>
      </c>
      <c r="CH538" s="283">
        <f t="shared" si="929"/>
        <v>0</v>
      </c>
      <c r="CJ538" s="283">
        <f t="shared" si="930"/>
        <v>0</v>
      </c>
      <c r="CK538" s="283">
        <f t="shared" si="930"/>
        <v>0</v>
      </c>
    </row>
    <row r="539" spans="1:89" ht="30" x14ac:dyDescent="0.25">
      <c r="A539" s="107"/>
      <c r="B539" s="312"/>
      <c r="C539" s="312" t="s">
        <v>1595</v>
      </c>
      <c r="D539" s="95"/>
      <c r="E539" s="282"/>
      <c r="F539" s="282"/>
      <c r="G539" s="282"/>
      <c r="H539" s="282">
        <v>134</v>
      </c>
      <c r="I539" s="282">
        <v>312</v>
      </c>
      <c r="J539" s="282">
        <f t="shared" si="931"/>
        <v>337</v>
      </c>
      <c r="K539" s="282">
        <f t="shared" si="931"/>
        <v>356</v>
      </c>
      <c r="L539" s="282">
        <f t="shared" ref="L539" si="937">L338</f>
        <v>0</v>
      </c>
      <c r="M539" s="282">
        <f t="shared" si="932"/>
        <v>0</v>
      </c>
      <c r="N539" s="282">
        <f t="shared" ref="N539" si="938">N338</f>
        <v>0</v>
      </c>
      <c r="Q539" s="283">
        <f t="shared" si="880"/>
        <v>356</v>
      </c>
      <c r="R539" s="283">
        <f t="shared" si="881"/>
        <v>351</v>
      </c>
      <c r="S539" s="283">
        <f t="shared" si="934"/>
        <v>0</v>
      </c>
      <c r="T539" s="283">
        <f t="shared" si="934"/>
        <v>0</v>
      </c>
      <c r="V539" s="283">
        <f t="shared" si="935"/>
        <v>21</v>
      </c>
      <c r="W539" s="283">
        <f t="shared" si="935"/>
        <v>13</v>
      </c>
      <c r="Y539" s="283">
        <f t="shared" si="936"/>
        <v>0</v>
      </c>
      <c r="Z539" s="283">
        <f t="shared" si="936"/>
        <v>0</v>
      </c>
      <c r="AB539" s="283">
        <f t="shared" si="910"/>
        <v>0</v>
      </c>
      <c r="AC539" s="283">
        <f t="shared" si="910"/>
        <v>0</v>
      </c>
      <c r="AE539" s="283">
        <f t="shared" si="911"/>
        <v>9</v>
      </c>
      <c r="AF539" s="283">
        <f t="shared" si="911"/>
        <v>7</v>
      </c>
      <c r="AH539" s="283">
        <f t="shared" si="912"/>
        <v>0</v>
      </c>
      <c r="AI539" s="283">
        <f t="shared" si="912"/>
        <v>0</v>
      </c>
      <c r="AK539" s="283">
        <f t="shared" si="913"/>
        <v>0</v>
      </c>
      <c r="AL539" s="283">
        <f t="shared" si="913"/>
        <v>0</v>
      </c>
      <c r="AN539" s="283">
        <f t="shared" si="914"/>
        <v>52</v>
      </c>
      <c r="AO539" s="283">
        <f t="shared" si="914"/>
        <v>53</v>
      </c>
      <c r="AQ539" s="283">
        <f t="shared" si="915"/>
        <v>6</v>
      </c>
      <c r="AR539" s="283">
        <f t="shared" si="915"/>
        <v>3</v>
      </c>
      <c r="AT539" s="283">
        <f t="shared" si="916"/>
        <v>0</v>
      </c>
      <c r="AU539" s="283">
        <f t="shared" si="916"/>
        <v>0</v>
      </c>
      <c r="AW539" s="283">
        <f t="shared" si="917"/>
        <v>0</v>
      </c>
      <c r="AX539" s="283">
        <f t="shared" si="917"/>
        <v>0</v>
      </c>
      <c r="AZ539" s="283">
        <f t="shared" si="918"/>
        <v>0</v>
      </c>
      <c r="BA539" s="283">
        <f t="shared" si="918"/>
        <v>0</v>
      </c>
      <c r="BC539" s="283">
        <f t="shared" si="919"/>
        <v>0</v>
      </c>
      <c r="BD539" s="283">
        <f t="shared" si="919"/>
        <v>0</v>
      </c>
      <c r="BF539" s="283">
        <f t="shared" si="920"/>
        <v>0</v>
      </c>
      <c r="BG539" s="283">
        <f t="shared" si="920"/>
        <v>0</v>
      </c>
      <c r="BI539" s="283">
        <f t="shared" si="921"/>
        <v>0</v>
      </c>
      <c r="BJ539" s="283">
        <f t="shared" si="921"/>
        <v>0</v>
      </c>
      <c r="BL539" s="283">
        <f t="shared" si="922"/>
        <v>0</v>
      </c>
      <c r="BM539" s="283">
        <f t="shared" si="922"/>
        <v>0</v>
      </c>
      <c r="BO539" s="283">
        <f t="shared" si="923"/>
        <v>0</v>
      </c>
      <c r="BP539" s="283">
        <f t="shared" si="923"/>
        <v>0</v>
      </c>
      <c r="BR539" s="283">
        <f t="shared" si="924"/>
        <v>0</v>
      </c>
      <c r="BS539" s="283">
        <f t="shared" si="924"/>
        <v>0</v>
      </c>
      <c r="BU539" s="283">
        <f t="shared" si="925"/>
        <v>0</v>
      </c>
      <c r="BV539" s="283">
        <f t="shared" si="925"/>
        <v>0</v>
      </c>
      <c r="BX539" s="283">
        <f t="shared" si="926"/>
        <v>0</v>
      </c>
      <c r="BY539" s="283">
        <f t="shared" si="926"/>
        <v>0</v>
      </c>
      <c r="CA539" s="283">
        <f t="shared" si="927"/>
        <v>0</v>
      </c>
      <c r="CB539" s="283">
        <f t="shared" si="927"/>
        <v>0</v>
      </c>
      <c r="CD539" s="283">
        <f t="shared" si="928"/>
        <v>0</v>
      </c>
      <c r="CE539" s="283">
        <f t="shared" si="928"/>
        <v>0</v>
      </c>
      <c r="CG539" s="283">
        <f t="shared" si="929"/>
        <v>268</v>
      </c>
      <c r="CH539" s="283">
        <f t="shared" si="929"/>
        <v>275</v>
      </c>
      <c r="CJ539" s="283">
        <f t="shared" si="930"/>
        <v>0</v>
      </c>
      <c r="CK539" s="283">
        <f t="shared" si="930"/>
        <v>0</v>
      </c>
    </row>
    <row r="540" spans="1:89" ht="30" x14ac:dyDescent="0.25">
      <c r="A540" s="107"/>
      <c r="B540" s="312"/>
      <c r="C540" s="312" t="s">
        <v>2442</v>
      </c>
      <c r="D540" s="95"/>
      <c r="E540" s="282"/>
      <c r="F540" s="282"/>
      <c r="G540" s="282"/>
      <c r="H540" s="282">
        <v>37</v>
      </c>
      <c r="I540" s="282">
        <v>26</v>
      </c>
      <c r="J540" s="282">
        <f t="shared" si="931"/>
        <v>7</v>
      </c>
      <c r="K540" s="282">
        <f t="shared" si="931"/>
        <v>6</v>
      </c>
      <c r="L540" s="282">
        <f t="shared" ref="L540" si="939">L339</f>
        <v>0</v>
      </c>
      <c r="M540" s="282">
        <f t="shared" si="932"/>
        <v>0</v>
      </c>
      <c r="N540" s="282">
        <f t="shared" ref="N540" si="940">N339</f>
        <v>0</v>
      </c>
      <c r="Q540" s="283">
        <f t="shared" si="880"/>
        <v>6</v>
      </c>
      <c r="R540" s="283">
        <f t="shared" si="881"/>
        <v>6</v>
      </c>
      <c r="S540" s="283">
        <f t="shared" si="934"/>
        <v>0</v>
      </c>
      <c r="T540" s="283">
        <f t="shared" si="934"/>
        <v>0</v>
      </c>
      <c r="V540" s="283">
        <f t="shared" si="935"/>
        <v>5</v>
      </c>
      <c r="W540" s="283">
        <f t="shared" si="935"/>
        <v>0</v>
      </c>
      <c r="Y540" s="283">
        <f t="shared" si="936"/>
        <v>0</v>
      </c>
      <c r="Z540" s="283">
        <f t="shared" si="936"/>
        <v>0</v>
      </c>
      <c r="AB540" s="283">
        <f>AB339</f>
        <v>0</v>
      </c>
      <c r="AC540" s="283">
        <f>AC339</f>
        <v>0</v>
      </c>
      <c r="AE540" s="283">
        <f>AE339</f>
        <v>0</v>
      </c>
      <c r="AF540" s="283">
        <f>AF339</f>
        <v>0</v>
      </c>
      <c r="AH540" s="283">
        <f>AH339</f>
        <v>1</v>
      </c>
      <c r="AI540" s="283">
        <f>AI339</f>
        <v>6</v>
      </c>
      <c r="AK540" s="283">
        <f>AK339</f>
        <v>0</v>
      </c>
      <c r="AL540" s="283">
        <f>AL339</f>
        <v>0</v>
      </c>
      <c r="AN540" s="283">
        <f>AN339</f>
        <v>0</v>
      </c>
      <c r="AO540" s="283">
        <f>AO339</f>
        <v>0</v>
      </c>
      <c r="AQ540" s="283">
        <f>AQ339</f>
        <v>0</v>
      </c>
      <c r="AR540" s="283">
        <f>AR339</f>
        <v>0</v>
      </c>
      <c r="AT540" s="283">
        <f>AT339</f>
        <v>0</v>
      </c>
      <c r="AU540" s="283">
        <f>AU339</f>
        <v>0</v>
      </c>
      <c r="AW540" s="283">
        <f>AW339</f>
        <v>0</v>
      </c>
      <c r="AX540" s="283">
        <f>AX339</f>
        <v>0</v>
      </c>
      <c r="AZ540" s="283">
        <f>AZ339</f>
        <v>0</v>
      </c>
      <c r="BA540" s="283">
        <f>BA339</f>
        <v>0</v>
      </c>
      <c r="BC540" s="283">
        <f>BC339</f>
        <v>0</v>
      </c>
      <c r="BD540" s="283">
        <f>BD339</f>
        <v>0</v>
      </c>
      <c r="BF540" s="283">
        <f>BF339</f>
        <v>0</v>
      </c>
      <c r="BG540" s="283">
        <f>BG339</f>
        <v>0</v>
      </c>
      <c r="BI540" s="283">
        <f>BI339</f>
        <v>0</v>
      </c>
      <c r="BJ540" s="283">
        <f>BJ339</f>
        <v>0</v>
      </c>
      <c r="BL540" s="283">
        <f>BL339</f>
        <v>0</v>
      </c>
      <c r="BM540" s="283">
        <f>BM339</f>
        <v>0</v>
      </c>
      <c r="BO540" s="283">
        <f>BO339</f>
        <v>0</v>
      </c>
      <c r="BP540" s="283">
        <f>BP339</f>
        <v>0</v>
      </c>
      <c r="BR540" s="283">
        <f>BR339</f>
        <v>0</v>
      </c>
      <c r="BS540" s="283">
        <f>BS339</f>
        <v>0</v>
      </c>
      <c r="BU540" s="283">
        <f>BU339</f>
        <v>0</v>
      </c>
      <c r="BV540" s="283">
        <f>BV339</f>
        <v>0</v>
      </c>
      <c r="BX540" s="283">
        <f>BX339</f>
        <v>0</v>
      </c>
      <c r="BY540" s="283">
        <f>BY339</f>
        <v>0</v>
      </c>
      <c r="CA540" s="283">
        <f>CA339</f>
        <v>0</v>
      </c>
      <c r="CB540" s="283">
        <f>CB339</f>
        <v>0</v>
      </c>
      <c r="CD540" s="283">
        <f>CD339</f>
        <v>0</v>
      </c>
      <c r="CE540" s="283">
        <f>CE339</f>
        <v>0</v>
      </c>
      <c r="CG540" s="283">
        <f>CG339</f>
        <v>0</v>
      </c>
      <c r="CH540" s="283">
        <f>CH339</f>
        <v>0</v>
      </c>
      <c r="CJ540" s="283">
        <f>CJ339</f>
        <v>0</v>
      </c>
      <c r="CK540" s="283">
        <f>CK339</f>
        <v>0</v>
      </c>
    </row>
    <row r="541" spans="1:89" ht="30" x14ac:dyDescent="0.25">
      <c r="A541" s="107"/>
      <c r="B541" s="312"/>
      <c r="C541" s="312" t="s">
        <v>1596</v>
      </c>
      <c r="D541" s="95"/>
      <c r="E541" s="282"/>
      <c r="F541" s="282"/>
      <c r="G541" s="282"/>
      <c r="H541" s="282">
        <v>0</v>
      </c>
      <c r="I541" s="282">
        <v>0</v>
      </c>
      <c r="J541" s="282">
        <v>0</v>
      </c>
      <c r="K541" s="282">
        <v>0</v>
      </c>
      <c r="L541" s="282">
        <v>0</v>
      </c>
      <c r="M541" s="282">
        <v>0</v>
      </c>
      <c r="N541" s="282">
        <v>0</v>
      </c>
      <c r="Q541" s="283">
        <f t="shared" si="880"/>
        <v>0</v>
      </c>
      <c r="R541" s="283">
        <f t="shared" si="881"/>
        <v>0</v>
      </c>
      <c r="S541" s="283">
        <v>0</v>
      </c>
      <c r="T541" s="283">
        <v>0</v>
      </c>
      <c r="V541" s="283">
        <v>0</v>
      </c>
      <c r="W541" s="283">
        <v>0</v>
      </c>
      <c r="Y541" s="283">
        <v>0</v>
      </c>
      <c r="Z541" s="283">
        <v>0</v>
      </c>
      <c r="AB541" s="283">
        <v>0</v>
      </c>
      <c r="AC541" s="283">
        <v>0</v>
      </c>
      <c r="AE541" s="283">
        <v>0</v>
      </c>
      <c r="AF541" s="283">
        <v>0</v>
      </c>
      <c r="AH541" s="283">
        <v>0</v>
      </c>
      <c r="AI541" s="283">
        <v>0</v>
      </c>
      <c r="AK541" s="283">
        <v>0</v>
      </c>
      <c r="AL541" s="283">
        <v>0</v>
      </c>
      <c r="AN541" s="283">
        <v>0</v>
      </c>
      <c r="AO541" s="283">
        <v>0</v>
      </c>
      <c r="AQ541" s="283">
        <v>0</v>
      </c>
      <c r="AR541" s="283">
        <v>0</v>
      </c>
      <c r="AT541" s="283">
        <v>0</v>
      </c>
      <c r="AU541" s="283">
        <v>0</v>
      </c>
      <c r="AW541" s="283">
        <v>0</v>
      </c>
      <c r="AX541" s="283">
        <v>0</v>
      </c>
      <c r="AZ541" s="283">
        <v>0</v>
      </c>
      <c r="BA541" s="283">
        <v>0</v>
      </c>
      <c r="BC541" s="283">
        <v>0</v>
      </c>
      <c r="BD541" s="283">
        <v>0</v>
      </c>
      <c r="BF541" s="283">
        <v>0</v>
      </c>
      <c r="BG541" s="283">
        <v>0</v>
      </c>
      <c r="BI541" s="283">
        <v>0</v>
      </c>
      <c r="BJ541" s="283">
        <v>0</v>
      </c>
      <c r="BL541" s="283">
        <v>0</v>
      </c>
      <c r="BM541" s="283">
        <v>0</v>
      </c>
      <c r="BO541" s="283">
        <v>0</v>
      </c>
      <c r="BP541" s="283">
        <v>0</v>
      </c>
      <c r="BR541" s="283">
        <v>0</v>
      </c>
      <c r="BS541" s="283">
        <v>0</v>
      </c>
      <c r="BU541" s="283">
        <v>0</v>
      </c>
      <c r="BV541" s="283">
        <v>0</v>
      </c>
      <c r="BX541" s="283">
        <v>0</v>
      </c>
      <c r="BY541" s="283">
        <v>0</v>
      </c>
      <c r="CA541" s="283">
        <v>0</v>
      </c>
      <c r="CB541" s="283">
        <v>0</v>
      </c>
      <c r="CD541" s="283">
        <v>0</v>
      </c>
      <c r="CE541" s="283">
        <v>0</v>
      </c>
      <c r="CG541" s="283">
        <v>0</v>
      </c>
      <c r="CH541" s="283">
        <v>0</v>
      </c>
      <c r="CJ541" s="283">
        <v>0</v>
      </c>
      <c r="CK541" s="283">
        <v>0</v>
      </c>
    </row>
    <row r="542" spans="1:89" ht="30" x14ac:dyDescent="0.25">
      <c r="A542" s="107"/>
      <c r="B542" s="312"/>
      <c r="C542" s="312" t="s">
        <v>2440</v>
      </c>
      <c r="D542" s="95"/>
      <c r="E542" s="282"/>
      <c r="F542" s="282"/>
      <c r="G542" s="282"/>
      <c r="H542" s="282">
        <v>0</v>
      </c>
      <c r="I542" s="282">
        <v>0</v>
      </c>
      <c r="J542" s="282">
        <v>0</v>
      </c>
      <c r="K542" s="282">
        <v>0</v>
      </c>
      <c r="L542" s="282">
        <v>0</v>
      </c>
      <c r="M542" s="282">
        <v>0</v>
      </c>
      <c r="N542" s="282">
        <v>0</v>
      </c>
      <c r="Q542" s="283">
        <f t="shared" si="880"/>
        <v>0</v>
      </c>
      <c r="R542" s="283">
        <f t="shared" si="881"/>
        <v>0</v>
      </c>
      <c r="S542" s="283">
        <v>0</v>
      </c>
      <c r="T542" s="283">
        <v>0</v>
      </c>
      <c r="V542" s="283">
        <v>0</v>
      </c>
      <c r="W542" s="283">
        <v>0</v>
      </c>
      <c r="Y542" s="283">
        <v>0</v>
      </c>
      <c r="Z542" s="283">
        <v>0</v>
      </c>
      <c r="AB542" s="283">
        <v>0</v>
      </c>
      <c r="AC542" s="283">
        <v>0</v>
      </c>
      <c r="AE542" s="283">
        <v>0</v>
      </c>
      <c r="AF542" s="283">
        <v>0</v>
      </c>
      <c r="AH542" s="283">
        <v>0</v>
      </c>
      <c r="AI542" s="283">
        <v>0</v>
      </c>
      <c r="AK542" s="283">
        <v>0</v>
      </c>
      <c r="AL542" s="283">
        <v>0</v>
      </c>
      <c r="AN542" s="283">
        <v>0</v>
      </c>
      <c r="AO542" s="283">
        <v>0</v>
      </c>
      <c r="AQ542" s="283">
        <v>0</v>
      </c>
      <c r="AR542" s="283">
        <v>0</v>
      </c>
      <c r="AT542" s="283">
        <v>0</v>
      </c>
      <c r="AU542" s="283">
        <v>0</v>
      </c>
      <c r="AW542" s="283">
        <v>0</v>
      </c>
      <c r="AX542" s="283">
        <v>0</v>
      </c>
      <c r="AZ542" s="283">
        <v>0</v>
      </c>
      <c r="BA542" s="283">
        <v>0</v>
      </c>
      <c r="BC542" s="283">
        <v>0</v>
      </c>
      <c r="BD542" s="283">
        <v>0</v>
      </c>
      <c r="BF542" s="283">
        <v>0</v>
      </c>
      <c r="BG542" s="283">
        <v>0</v>
      </c>
      <c r="BI542" s="283">
        <v>0</v>
      </c>
      <c r="BJ542" s="283">
        <v>0</v>
      </c>
      <c r="BL542" s="283">
        <v>0</v>
      </c>
      <c r="BM542" s="283">
        <v>0</v>
      </c>
      <c r="BO542" s="283">
        <v>0</v>
      </c>
      <c r="BP542" s="283">
        <v>0</v>
      </c>
      <c r="BR542" s="283">
        <v>0</v>
      </c>
      <c r="BS542" s="283">
        <v>0</v>
      </c>
      <c r="BU542" s="283">
        <v>0</v>
      </c>
      <c r="BV542" s="283">
        <v>0</v>
      </c>
      <c r="BX542" s="283">
        <v>0</v>
      </c>
      <c r="BY542" s="283">
        <v>0</v>
      </c>
      <c r="CA542" s="283">
        <v>0</v>
      </c>
      <c r="CB542" s="283">
        <v>0</v>
      </c>
      <c r="CD542" s="283">
        <v>0</v>
      </c>
      <c r="CE542" s="283">
        <v>0</v>
      </c>
      <c r="CG542" s="283">
        <v>0</v>
      </c>
      <c r="CH542" s="283">
        <v>0</v>
      </c>
      <c r="CJ542" s="283">
        <v>0</v>
      </c>
      <c r="CK542" s="283">
        <v>0</v>
      </c>
    </row>
    <row r="543" spans="1:89" ht="30" x14ac:dyDescent="0.25">
      <c r="A543" s="107"/>
      <c r="B543" s="312"/>
      <c r="C543" s="312" t="s">
        <v>2443</v>
      </c>
      <c r="D543" s="95"/>
      <c r="E543" s="282"/>
      <c r="F543" s="282"/>
      <c r="G543" s="282"/>
      <c r="H543" s="282">
        <v>19</v>
      </c>
      <c r="I543" s="282">
        <v>0</v>
      </c>
      <c r="J543" s="282">
        <f>J340</f>
        <v>0</v>
      </c>
      <c r="K543" s="282">
        <f>K340</f>
        <v>1</v>
      </c>
      <c r="L543" s="282">
        <f>L340</f>
        <v>0</v>
      </c>
      <c r="M543" s="282">
        <f>M340</f>
        <v>0</v>
      </c>
      <c r="N543" s="282">
        <f>N340</f>
        <v>0</v>
      </c>
      <c r="Q543" s="283">
        <f t="shared" si="880"/>
        <v>1</v>
      </c>
      <c r="R543" s="283">
        <f t="shared" si="881"/>
        <v>1</v>
      </c>
      <c r="S543" s="283">
        <f>S340</f>
        <v>0</v>
      </c>
      <c r="T543" s="283">
        <f>T340</f>
        <v>0</v>
      </c>
      <c r="V543" s="283">
        <f>V340</f>
        <v>0</v>
      </c>
      <c r="W543" s="283">
        <f>W340</f>
        <v>0</v>
      </c>
      <c r="Y543" s="283">
        <f>Y340</f>
        <v>0</v>
      </c>
      <c r="Z543" s="283">
        <f>Z340</f>
        <v>0</v>
      </c>
      <c r="AB543" s="283">
        <f>AB340</f>
        <v>0</v>
      </c>
      <c r="AC543" s="283">
        <f>AC340</f>
        <v>0</v>
      </c>
      <c r="AE543" s="283">
        <f>AE340</f>
        <v>0</v>
      </c>
      <c r="AF543" s="283">
        <f>AF340</f>
        <v>0</v>
      </c>
      <c r="AH543" s="283">
        <f>AH340</f>
        <v>0</v>
      </c>
      <c r="AI543" s="283">
        <f>AI340</f>
        <v>0</v>
      </c>
      <c r="AK543" s="283">
        <f>AK340</f>
        <v>1</v>
      </c>
      <c r="AL543" s="283">
        <f>AL340</f>
        <v>1</v>
      </c>
      <c r="AN543" s="283">
        <f>AN340</f>
        <v>0</v>
      </c>
      <c r="AO543" s="283">
        <f>AO340</f>
        <v>0</v>
      </c>
      <c r="AQ543" s="283">
        <f>AQ340</f>
        <v>0</v>
      </c>
      <c r="AR543" s="283">
        <f>AR340</f>
        <v>0</v>
      </c>
      <c r="AT543" s="283">
        <f>AT340</f>
        <v>0</v>
      </c>
      <c r="AU543" s="283">
        <f>AU340</f>
        <v>0</v>
      </c>
      <c r="AW543" s="283">
        <f>AW340</f>
        <v>0</v>
      </c>
      <c r="AX543" s="283">
        <f>AX340</f>
        <v>0</v>
      </c>
      <c r="AZ543" s="283">
        <f>AZ340</f>
        <v>0</v>
      </c>
      <c r="BA543" s="283">
        <f>BA340</f>
        <v>0</v>
      </c>
      <c r="BC543" s="283">
        <f>BC340</f>
        <v>0</v>
      </c>
      <c r="BD543" s="283">
        <f>BD340</f>
        <v>0</v>
      </c>
      <c r="BF543" s="283">
        <f>BF340</f>
        <v>0</v>
      </c>
      <c r="BG543" s="283">
        <f>BG340</f>
        <v>0</v>
      </c>
      <c r="BI543" s="283">
        <f>BI340</f>
        <v>0</v>
      </c>
      <c r="BJ543" s="283">
        <f>BJ340</f>
        <v>0</v>
      </c>
      <c r="BL543" s="283">
        <f>BL340</f>
        <v>0</v>
      </c>
      <c r="BM543" s="283">
        <f>BM340</f>
        <v>0</v>
      </c>
      <c r="BO543" s="283">
        <f>BO340</f>
        <v>0</v>
      </c>
      <c r="BP543" s="283">
        <f>BP340</f>
        <v>0</v>
      </c>
      <c r="BR543" s="283">
        <f>BR340</f>
        <v>0</v>
      </c>
      <c r="BS543" s="283">
        <f>BS340</f>
        <v>0</v>
      </c>
      <c r="BU543" s="283">
        <f>BU340</f>
        <v>0</v>
      </c>
      <c r="BV543" s="283">
        <f>BV340</f>
        <v>0</v>
      </c>
      <c r="BX543" s="283">
        <f>BX340</f>
        <v>0</v>
      </c>
      <c r="BY543" s="283">
        <f>BY340</f>
        <v>0</v>
      </c>
      <c r="CA543" s="283">
        <f>CA340</f>
        <v>0</v>
      </c>
      <c r="CB543" s="283">
        <f>CB340</f>
        <v>0</v>
      </c>
      <c r="CD543" s="283">
        <f>CD340</f>
        <v>0</v>
      </c>
      <c r="CE543" s="283">
        <f>CE340</f>
        <v>0</v>
      </c>
      <c r="CG543" s="283">
        <f>CG340</f>
        <v>0</v>
      </c>
      <c r="CH543" s="283">
        <f>CH340</f>
        <v>0</v>
      </c>
      <c r="CJ543" s="283">
        <f>CJ340</f>
        <v>0</v>
      </c>
      <c r="CK543" s="283">
        <f>CK340</f>
        <v>0</v>
      </c>
    </row>
    <row r="544" spans="1:89" ht="30" x14ac:dyDescent="0.25">
      <c r="A544" s="107"/>
      <c r="B544" s="312"/>
      <c r="C544" s="312" t="s">
        <v>1597</v>
      </c>
      <c r="D544" s="95"/>
      <c r="E544" s="282"/>
      <c r="F544" s="282"/>
      <c r="G544" s="282"/>
      <c r="H544" s="282">
        <v>0</v>
      </c>
      <c r="I544" s="282">
        <v>0</v>
      </c>
      <c r="J544" s="282">
        <v>0</v>
      </c>
      <c r="K544" s="282">
        <v>0</v>
      </c>
      <c r="L544" s="282">
        <v>0</v>
      </c>
      <c r="M544" s="282">
        <v>0</v>
      </c>
      <c r="N544" s="282">
        <v>0</v>
      </c>
      <c r="Q544" s="283">
        <f t="shared" si="880"/>
        <v>0</v>
      </c>
      <c r="R544" s="283">
        <f t="shared" si="881"/>
        <v>0</v>
      </c>
      <c r="S544" s="283">
        <v>0</v>
      </c>
      <c r="T544" s="283">
        <v>0</v>
      </c>
      <c r="V544" s="283">
        <v>0</v>
      </c>
      <c r="W544" s="283">
        <v>0</v>
      </c>
      <c r="Y544" s="283">
        <v>0</v>
      </c>
      <c r="Z544" s="283">
        <v>0</v>
      </c>
      <c r="AB544" s="283">
        <v>0</v>
      </c>
      <c r="AC544" s="283">
        <v>0</v>
      </c>
      <c r="AE544" s="283">
        <v>0</v>
      </c>
      <c r="AF544" s="283">
        <v>0</v>
      </c>
      <c r="AH544" s="283">
        <v>0</v>
      </c>
      <c r="AI544" s="283">
        <v>0</v>
      </c>
      <c r="AK544" s="283">
        <v>0</v>
      </c>
      <c r="AL544" s="283">
        <v>0</v>
      </c>
      <c r="AN544" s="283">
        <v>0</v>
      </c>
      <c r="AO544" s="283">
        <v>0</v>
      </c>
      <c r="AQ544" s="283">
        <v>0</v>
      </c>
      <c r="AR544" s="283">
        <v>0</v>
      </c>
      <c r="AT544" s="283">
        <v>0</v>
      </c>
      <c r="AU544" s="283">
        <v>0</v>
      </c>
      <c r="AW544" s="283">
        <v>0</v>
      </c>
      <c r="AX544" s="283">
        <v>0</v>
      </c>
      <c r="AZ544" s="283">
        <v>0</v>
      </c>
      <c r="BA544" s="283">
        <v>0</v>
      </c>
      <c r="BC544" s="283">
        <v>0</v>
      </c>
      <c r="BD544" s="283">
        <v>0</v>
      </c>
      <c r="BF544" s="283">
        <v>0</v>
      </c>
      <c r="BG544" s="283">
        <v>0</v>
      </c>
      <c r="BI544" s="283">
        <v>0</v>
      </c>
      <c r="BJ544" s="283">
        <v>0</v>
      </c>
      <c r="BL544" s="283">
        <v>0</v>
      </c>
      <c r="BM544" s="283">
        <v>0</v>
      </c>
      <c r="BO544" s="283">
        <v>0</v>
      </c>
      <c r="BP544" s="283">
        <v>0</v>
      </c>
      <c r="BR544" s="283">
        <v>0</v>
      </c>
      <c r="BS544" s="283">
        <v>0</v>
      </c>
      <c r="BU544" s="283">
        <v>0</v>
      </c>
      <c r="BV544" s="283">
        <v>0</v>
      </c>
      <c r="BX544" s="283">
        <v>0</v>
      </c>
      <c r="BY544" s="283">
        <v>0</v>
      </c>
      <c r="CA544" s="283">
        <v>0</v>
      </c>
      <c r="CB544" s="283">
        <v>0</v>
      </c>
      <c r="CD544" s="283">
        <v>0</v>
      </c>
      <c r="CE544" s="283">
        <v>0</v>
      </c>
      <c r="CG544" s="283">
        <v>0</v>
      </c>
      <c r="CH544" s="283">
        <v>0</v>
      </c>
      <c r="CJ544" s="283">
        <v>0</v>
      </c>
      <c r="CK544" s="283">
        <v>0</v>
      </c>
    </row>
    <row r="545" spans="1:89" ht="30" x14ac:dyDescent="0.25">
      <c r="A545" s="107"/>
      <c r="B545" s="312"/>
      <c r="C545" s="312" t="s">
        <v>2441</v>
      </c>
      <c r="D545" s="95"/>
      <c r="E545" s="282"/>
      <c r="F545" s="282"/>
      <c r="G545" s="282"/>
      <c r="H545" s="282">
        <v>0</v>
      </c>
      <c r="I545" s="282">
        <v>0</v>
      </c>
      <c r="J545" s="282">
        <v>0</v>
      </c>
      <c r="K545" s="282">
        <v>0</v>
      </c>
      <c r="L545" s="282">
        <v>0</v>
      </c>
      <c r="M545" s="282">
        <v>0</v>
      </c>
      <c r="N545" s="282">
        <v>0</v>
      </c>
      <c r="Q545" s="283">
        <f t="shared" si="880"/>
        <v>0</v>
      </c>
      <c r="R545" s="283">
        <f t="shared" si="881"/>
        <v>0</v>
      </c>
      <c r="S545" s="283">
        <v>0</v>
      </c>
      <c r="T545" s="283">
        <v>0</v>
      </c>
      <c r="V545" s="283">
        <v>0</v>
      </c>
      <c r="W545" s="283">
        <v>0</v>
      </c>
      <c r="Y545" s="283">
        <v>0</v>
      </c>
      <c r="Z545" s="283">
        <v>0</v>
      </c>
      <c r="AB545" s="283">
        <v>0</v>
      </c>
      <c r="AC545" s="283">
        <v>0</v>
      </c>
      <c r="AE545" s="283">
        <v>0</v>
      </c>
      <c r="AF545" s="283">
        <v>0</v>
      </c>
      <c r="AH545" s="283">
        <v>0</v>
      </c>
      <c r="AI545" s="283">
        <v>0</v>
      </c>
      <c r="AK545" s="283">
        <v>0</v>
      </c>
      <c r="AL545" s="283">
        <v>0</v>
      </c>
      <c r="AN545" s="283">
        <v>0</v>
      </c>
      <c r="AO545" s="283">
        <v>0</v>
      </c>
      <c r="AQ545" s="283">
        <v>0</v>
      </c>
      <c r="AR545" s="283">
        <v>0</v>
      </c>
      <c r="AT545" s="283">
        <v>0</v>
      </c>
      <c r="AU545" s="283">
        <v>0</v>
      </c>
      <c r="AW545" s="283">
        <v>0</v>
      </c>
      <c r="AX545" s="283">
        <v>0</v>
      </c>
      <c r="AZ545" s="283">
        <v>0</v>
      </c>
      <c r="BA545" s="283">
        <v>0</v>
      </c>
      <c r="BC545" s="283">
        <v>0</v>
      </c>
      <c r="BD545" s="283">
        <v>0</v>
      </c>
      <c r="BF545" s="283">
        <v>0</v>
      </c>
      <c r="BG545" s="283">
        <v>0</v>
      </c>
      <c r="BI545" s="283">
        <v>0</v>
      </c>
      <c r="BJ545" s="283">
        <v>0</v>
      </c>
      <c r="BL545" s="283">
        <v>0</v>
      </c>
      <c r="BM545" s="283">
        <v>0</v>
      </c>
      <c r="BO545" s="283">
        <v>0</v>
      </c>
      <c r="BP545" s="283">
        <v>0</v>
      </c>
      <c r="BR545" s="283">
        <v>0</v>
      </c>
      <c r="BS545" s="283">
        <v>0</v>
      </c>
      <c r="BU545" s="283">
        <v>0</v>
      </c>
      <c r="BV545" s="283">
        <v>0</v>
      </c>
      <c r="BX545" s="283">
        <v>0</v>
      </c>
      <c r="BY545" s="283">
        <v>0</v>
      </c>
      <c r="CA545" s="283">
        <v>0</v>
      </c>
      <c r="CB545" s="283">
        <v>0</v>
      </c>
      <c r="CD545" s="283">
        <v>0</v>
      </c>
      <c r="CE545" s="283">
        <v>0</v>
      </c>
      <c r="CG545" s="283">
        <v>0</v>
      </c>
      <c r="CH545" s="283">
        <v>0</v>
      </c>
      <c r="CJ545" s="283">
        <v>0</v>
      </c>
      <c r="CK545" s="283">
        <v>0</v>
      </c>
    </row>
    <row r="546" spans="1:89" ht="75" x14ac:dyDescent="0.25">
      <c r="A546" s="95" t="s">
        <v>207</v>
      </c>
      <c r="B546" s="96" t="s">
        <v>1681</v>
      </c>
      <c r="C546" s="107"/>
      <c r="D546" s="95"/>
      <c r="E546" s="107"/>
      <c r="F546" s="107"/>
      <c r="G546" s="107"/>
      <c r="H546" s="107"/>
      <c r="I546" s="107"/>
      <c r="J546" s="107"/>
      <c r="K546" s="107"/>
      <c r="L546" s="107"/>
      <c r="M546" s="107"/>
      <c r="N546" s="107"/>
      <c r="O546" s="281" t="s">
        <v>206</v>
      </c>
    </row>
    <row r="547" spans="1:89" x14ac:dyDescent="0.25">
      <c r="A547" s="95"/>
      <c r="B547" s="96" t="s">
        <v>1182</v>
      </c>
      <c r="C547" s="107"/>
      <c r="D547" s="95" t="s">
        <v>8</v>
      </c>
      <c r="E547" s="279"/>
      <c r="F547" s="279"/>
      <c r="G547" s="279"/>
      <c r="H547" s="279"/>
      <c r="I547" s="279">
        <f t="shared" ref="I547:K549" si="941">I571/I574*100</f>
        <v>96.868475991649277</v>
      </c>
      <c r="J547" s="279">
        <f t="shared" si="941"/>
        <v>98.290598290598282</v>
      </c>
      <c r="K547" s="279">
        <f t="shared" si="941"/>
        <v>98.290598290598282</v>
      </c>
      <c r="L547" s="279">
        <f t="shared" ref="L547" si="942">L571/L574*100</f>
        <v>58.064516129032263</v>
      </c>
      <c r="M547" s="279">
        <f>M571/M574*100</f>
        <v>52.941176470588239</v>
      </c>
      <c r="N547" s="279">
        <f>N571/N574*100</f>
        <v>54.54545454545454</v>
      </c>
      <c r="O547" s="281"/>
      <c r="Q547" s="279">
        <f t="shared" ref="Q547:T549" si="943">Q571/Q574*100</f>
        <v>98.290598290598282</v>
      </c>
      <c r="R547" s="279">
        <f t="shared" si="943"/>
        <v>97.302904564315355</v>
      </c>
      <c r="S547" s="279">
        <f t="shared" si="943"/>
        <v>100</v>
      </c>
      <c r="T547" s="279">
        <f t="shared" si="943"/>
        <v>100</v>
      </c>
      <c r="V547" s="279">
        <f t="shared" ref="V547:W549" si="944">V571/V574*100</f>
        <v>81.25</v>
      </c>
      <c r="W547" s="279">
        <f t="shared" si="944"/>
        <v>82.35294117647058</v>
      </c>
      <c r="Y547" s="279">
        <f t="shared" ref="Y547:Z549" si="945">Y571/Y574*100</f>
        <v>100</v>
      </c>
      <c r="Z547" s="279">
        <f t="shared" si="945"/>
        <v>100</v>
      </c>
      <c r="AB547" s="279">
        <f t="shared" ref="AB547:AC549" si="946">AB571/AB574*100</f>
        <v>100</v>
      </c>
      <c r="AC547" s="279">
        <f t="shared" si="946"/>
        <v>100</v>
      </c>
      <c r="AE547" s="279">
        <f t="shared" ref="AE547:AF549" si="947">AE571/AE574*100</f>
        <v>96.551724137931032</v>
      </c>
      <c r="AF547" s="279">
        <f t="shared" si="947"/>
        <v>96.551724137931032</v>
      </c>
      <c r="AH547" s="279">
        <f t="shared" ref="AH547:AI549" si="948">AH571/AH574*100</f>
        <v>93.548387096774192</v>
      </c>
      <c r="AI547" s="279">
        <f t="shared" si="948"/>
        <v>93.548387096774192</v>
      </c>
      <c r="AK547" s="279">
        <f t="shared" ref="AK547:AL549" si="949">AK571/AK574*100</f>
        <v>100</v>
      </c>
      <c r="AL547" s="279">
        <f t="shared" si="949"/>
        <v>100</v>
      </c>
      <c r="AN547" s="279">
        <f t="shared" ref="AN547:AO549" si="950">AN571/AN574*100</f>
        <v>100</v>
      </c>
      <c r="AO547" s="279">
        <f t="shared" si="950"/>
        <v>100</v>
      </c>
      <c r="AQ547" s="279">
        <f t="shared" ref="AQ547:AR549" si="951">AQ571/AQ574*100</f>
        <v>93.548387096774192</v>
      </c>
      <c r="AR547" s="279">
        <f t="shared" si="951"/>
        <v>81.081081081081081</v>
      </c>
      <c r="AT547" s="279">
        <f t="shared" ref="AT547:AU549" si="952">AT571/AT574*100</f>
        <v>100</v>
      </c>
      <c r="AU547" s="279">
        <f t="shared" si="952"/>
        <v>100</v>
      </c>
      <c r="AW547" s="279">
        <f t="shared" ref="AW547:AX549" si="953">AW571/AW574*100</f>
        <v>100</v>
      </c>
      <c r="AX547" s="279">
        <f t="shared" si="953"/>
        <v>100</v>
      </c>
      <c r="AZ547" s="279">
        <f t="shared" ref="AZ547:BA549" si="954">AZ571/AZ574*100</f>
        <v>100</v>
      </c>
      <c r="BA547" s="279">
        <f t="shared" si="954"/>
        <v>100</v>
      </c>
      <c r="BC547" s="279">
        <f t="shared" ref="BC547:BD549" si="955">BC571/BC574*100</f>
        <v>100</v>
      </c>
      <c r="BD547" s="279">
        <f t="shared" si="955"/>
        <v>100</v>
      </c>
      <c r="BF547" s="279">
        <f t="shared" ref="BF547:BG549" si="956">BF571/BF574*100</f>
        <v>100</v>
      </c>
      <c r="BG547" s="279">
        <f t="shared" si="956"/>
        <v>100</v>
      </c>
      <c r="BI547" s="279">
        <f t="shared" ref="BI547:BJ549" si="957">BI571/BI574*100</f>
        <v>100</v>
      </c>
      <c r="BJ547" s="279">
        <f t="shared" si="957"/>
        <v>100</v>
      </c>
      <c r="BL547" s="279">
        <f t="shared" ref="BL547:BM549" si="958">BL571/BL574*100</f>
        <v>100</v>
      </c>
      <c r="BM547" s="279">
        <f t="shared" si="958"/>
        <v>100</v>
      </c>
      <c r="BO547" s="279">
        <f t="shared" ref="BO547:BP549" si="959">BO571/BO574*100</f>
        <v>100</v>
      </c>
      <c r="BP547" s="279">
        <f t="shared" si="959"/>
        <v>100</v>
      </c>
      <c r="BR547" s="279">
        <f t="shared" ref="BR547:BS549" si="960">BR571/BR574*100</f>
        <v>100</v>
      </c>
      <c r="BS547" s="279">
        <f t="shared" si="960"/>
        <v>100</v>
      </c>
      <c r="BU547" s="279">
        <f t="shared" ref="BU547:BV549" si="961">BU571/BU574*100</f>
        <v>100</v>
      </c>
      <c r="BV547" s="279">
        <f t="shared" si="961"/>
        <v>100</v>
      </c>
      <c r="BX547" s="279">
        <f t="shared" ref="BX547:BY549" si="962">BX571/BX574*100</f>
        <v>100</v>
      </c>
      <c r="BY547" s="279">
        <f t="shared" si="962"/>
        <v>100</v>
      </c>
      <c r="CA547" s="279">
        <f t="shared" ref="CA547:CB549" si="963">CA571/CA574*100</f>
        <v>100</v>
      </c>
      <c r="CB547" s="279">
        <f t="shared" si="963"/>
        <v>100</v>
      </c>
      <c r="CD547" s="279">
        <f t="shared" ref="CD547:CE549" si="964">CD571/CD574*100</f>
        <v>100</v>
      </c>
      <c r="CE547" s="279">
        <f t="shared" si="964"/>
        <v>100</v>
      </c>
      <c r="CG547" s="279">
        <f t="shared" ref="CG547:CH549" si="965">CG571/CG574*100</f>
        <v>100</v>
      </c>
      <c r="CH547" s="279">
        <f t="shared" si="965"/>
        <v>100</v>
      </c>
      <c r="CJ547" s="279" t="e">
        <f t="shared" ref="CJ547:CK549" si="966">CJ571/CJ574*100</f>
        <v>#DIV/0!</v>
      </c>
      <c r="CK547" s="279" t="e">
        <f t="shared" si="966"/>
        <v>#DIV/0!</v>
      </c>
    </row>
    <row r="548" spans="1:89" x14ac:dyDescent="0.25">
      <c r="A548" s="95"/>
      <c r="B548" s="96" t="s">
        <v>1183</v>
      </c>
      <c r="C548" s="107"/>
      <c r="D548" s="95" t="s">
        <v>8</v>
      </c>
      <c r="E548" s="279"/>
      <c r="F548" s="279"/>
      <c r="G548" s="279"/>
      <c r="H548" s="279"/>
      <c r="I548" s="279">
        <f t="shared" si="941"/>
        <v>99.6875</v>
      </c>
      <c r="J548" s="279">
        <f t="shared" si="941"/>
        <v>99.685534591194966</v>
      </c>
      <c r="K548" s="279">
        <f t="shared" si="941"/>
        <v>99.367088607594937</v>
      </c>
      <c r="L548" s="279">
        <f t="shared" ref="L548:M549" si="967">L572/L575*100</f>
        <v>55.555555555555557</v>
      </c>
      <c r="M548" s="279">
        <f t="shared" si="967"/>
        <v>38.461538461538467</v>
      </c>
      <c r="N548" s="279">
        <f t="shared" ref="N548" si="968">N572/N575*100</f>
        <v>38.461538461538467</v>
      </c>
      <c r="O548" s="281"/>
      <c r="Q548" s="279">
        <f t="shared" si="943"/>
        <v>99.367088607594937</v>
      </c>
      <c r="R548" s="279">
        <f t="shared" si="943"/>
        <v>99.384615384615387</v>
      </c>
      <c r="S548" s="279">
        <f t="shared" si="943"/>
        <v>100</v>
      </c>
      <c r="T548" s="279">
        <f t="shared" si="943"/>
        <v>100</v>
      </c>
      <c r="V548" s="279">
        <f t="shared" si="944"/>
        <v>83.333333333333343</v>
      </c>
      <c r="W548" s="279">
        <f t="shared" si="944"/>
        <v>83.333333333333343</v>
      </c>
      <c r="Y548" s="279">
        <f t="shared" si="945"/>
        <v>100</v>
      </c>
      <c r="Z548" s="279">
        <f t="shared" si="945"/>
        <v>100</v>
      </c>
      <c r="AB548" s="279">
        <f t="shared" si="946"/>
        <v>100</v>
      </c>
      <c r="AC548" s="279">
        <f t="shared" si="946"/>
        <v>100</v>
      </c>
      <c r="AE548" s="279">
        <f t="shared" si="947"/>
        <v>100</v>
      </c>
      <c r="AF548" s="279">
        <f t="shared" si="947"/>
        <v>100</v>
      </c>
      <c r="AH548" s="279">
        <f t="shared" si="948"/>
        <v>88.888888888888886</v>
      </c>
      <c r="AI548" s="279">
        <f t="shared" si="948"/>
        <v>88.888888888888886</v>
      </c>
      <c r="AK548" s="279">
        <f t="shared" si="949"/>
        <v>100</v>
      </c>
      <c r="AL548" s="279">
        <f t="shared" si="949"/>
        <v>100</v>
      </c>
      <c r="AN548" s="279">
        <f t="shared" si="950"/>
        <v>100</v>
      </c>
      <c r="AO548" s="279">
        <f t="shared" si="950"/>
        <v>100</v>
      </c>
      <c r="AQ548" s="279" t="e">
        <f t="shared" si="951"/>
        <v>#DIV/0!</v>
      </c>
      <c r="AR548" s="279" t="e">
        <f t="shared" si="951"/>
        <v>#DIV/0!</v>
      </c>
      <c r="AT548" s="279">
        <f t="shared" si="952"/>
        <v>100</v>
      </c>
      <c r="AU548" s="279">
        <f t="shared" si="952"/>
        <v>100</v>
      </c>
      <c r="AW548" s="279">
        <f t="shared" si="953"/>
        <v>100</v>
      </c>
      <c r="AX548" s="279">
        <f t="shared" si="953"/>
        <v>100</v>
      </c>
      <c r="AZ548" s="279">
        <f t="shared" si="954"/>
        <v>100</v>
      </c>
      <c r="BA548" s="279">
        <f t="shared" si="954"/>
        <v>100</v>
      </c>
      <c r="BC548" s="279">
        <f t="shared" si="955"/>
        <v>100</v>
      </c>
      <c r="BD548" s="279">
        <f t="shared" si="955"/>
        <v>100</v>
      </c>
      <c r="BF548" s="279">
        <f t="shared" si="956"/>
        <v>100</v>
      </c>
      <c r="BG548" s="279">
        <f t="shared" si="956"/>
        <v>100</v>
      </c>
      <c r="BI548" s="279">
        <f t="shared" si="957"/>
        <v>100</v>
      </c>
      <c r="BJ548" s="279">
        <f t="shared" si="957"/>
        <v>100</v>
      </c>
      <c r="BL548" s="279">
        <f t="shared" si="958"/>
        <v>100</v>
      </c>
      <c r="BM548" s="279">
        <f t="shared" si="958"/>
        <v>100</v>
      </c>
      <c r="BO548" s="279">
        <f t="shared" si="959"/>
        <v>100</v>
      </c>
      <c r="BP548" s="279">
        <f t="shared" si="959"/>
        <v>100</v>
      </c>
      <c r="BR548" s="279">
        <f t="shared" si="960"/>
        <v>100</v>
      </c>
      <c r="BS548" s="279">
        <f t="shared" si="960"/>
        <v>100</v>
      </c>
      <c r="BU548" s="279">
        <f t="shared" si="961"/>
        <v>100</v>
      </c>
      <c r="BV548" s="279">
        <f t="shared" si="961"/>
        <v>100</v>
      </c>
      <c r="BX548" s="279">
        <f t="shared" si="962"/>
        <v>100</v>
      </c>
      <c r="BY548" s="279">
        <f t="shared" si="962"/>
        <v>100</v>
      </c>
      <c r="CA548" s="279">
        <f t="shared" si="963"/>
        <v>100</v>
      </c>
      <c r="CB548" s="279">
        <f t="shared" si="963"/>
        <v>100</v>
      </c>
      <c r="CD548" s="279">
        <f t="shared" si="964"/>
        <v>100</v>
      </c>
      <c r="CE548" s="279">
        <f t="shared" si="964"/>
        <v>100</v>
      </c>
      <c r="CG548" s="279">
        <f t="shared" si="965"/>
        <v>100</v>
      </c>
      <c r="CH548" s="279">
        <f t="shared" si="965"/>
        <v>100</v>
      </c>
      <c r="CJ548" s="279" t="e">
        <f t="shared" si="966"/>
        <v>#DIV/0!</v>
      </c>
      <c r="CK548" s="279" t="e">
        <f t="shared" si="966"/>
        <v>#DIV/0!</v>
      </c>
    </row>
    <row r="549" spans="1:89" x14ac:dyDescent="0.25">
      <c r="A549" s="95"/>
      <c r="B549" s="16" t="s">
        <v>1185</v>
      </c>
      <c r="C549" s="107"/>
      <c r="D549" s="95" t="s">
        <v>8</v>
      </c>
      <c r="E549" s="279"/>
      <c r="F549" s="279"/>
      <c r="G549" s="279"/>
      <c r="H549" s="279"/>
      <c r="I549" s="279">
        <f t="shared" si="941"/>
        <v>91.19496855345912</v>
      </c>
      <c r="J549" s="279">
        <f t="shared" si="941"/>
        <v>95.333333333333343</v>
      </c>
      <c r="K549" s="279">
        <f t="shared" si="941"/>
        <v>96.05263157894737</v>
      </c>
      <c r="L549" s="279">
        <f t="shared" ref="L549" si="969">L573/L576*100</f>
        <v>59.090909090909093</v>
      </c>
      <c r="M549" s="279">
        <f t="shared" si="967"/>
        <v>61.904761904761905</v>
      </c>
      <c r="N549" s="279">
        <f t="shared" ref="N549" si="970">N573/N576*100</f>
        <v>65</v>
      </c>
      <c r="O549" s="281"/>
      <c r="Q549" s="279">
        <f t="shared" si="943"/>
        <v>96.05263157894737</v>
      </c>
      <c r="R549" s="279">
        <f t="shared" si="943"/>
        <v>92.99363057324841</v>
      </c>
      <c r="S549" s="279">
        <f t="shared" si="943"/>
        <v>100</v>
      </c>
      <c r="T549" s="279">
        <f t="shared" si="943"/>
        <v>100</v>
      </c>
      <c r="V549" s="279">
        <f t="shared" si="944"/>
        <v>80</v>
      </c>
      <c r="W549" s="279">
        <f t="shared" si="944"/>
        <v>81.818181818181827</v>
      </c>
      <c r="Y549" s="279">
        <f t="shared" si="945"/>
        <v>100</v>
      </c>
      <c r="Z549" s="279">
        <f t="shared" si="945"/>
        <v>100</v>
      </c>
      <c r="AB549" s="279">
        <f t="shared" si="946"/>
        <v>100</v>
      </c>
      <c r="AC549" s="279">
        <f t="shared" si="946"/>
        <v>100</v>
      </c>
      <c r="AE549" s="279">
        <f t="shared" si="947"/>
        <v>95</v>
      </c>
      <c r="AF549" s="279">
        <f t="shared" si="947"/>
        <v>94.444444444444443</v>
      </c>
      <c r="AH549" s="279">
        <f t="shared" si="948"/>
        <v>95.454545454545453</v>
      </c>
      <c r="AI549" s="279">
        <f t="shared" si="948"/>
        <v>95.454545454545453</v>
      </c>
      <c r="AK549" s="279">
        <f t="shared" si="949"/>
        <v>100</v>
      </c>
      <c r="AL549" s="279">
        <f t="shared" si="949"/>
        <v>100</v>
      </c>
      <c r="AN549" s="279">
        <f t="shared" si="950"/>
        <v>100</v>
      </c>
      <c r="AO549" s="279">
        <f t="shared" si="950"/>
        <v>100</v>
      </c>
      <c r="AQ549" s="279">
        <f t="shared" si="951"/>
        <v>93.548387096774192</v>
      </c>
      <c r="AR549" s="279">
        <f t="shared" si="951"/>
        <v>81.081081081081081</v>
      </c>
      <c r="AT549" s="279" t="e">
        <f t="shared" si="952"/>
        <v>#DIV/0!</v>
      </c>
      <c r="AU549" s="279" t="e">
        <f t="shared" si="952"/>
        <v>#DIV/0!</v>
      </c>
      <c r="AW549" s="279" t="e">
        <f t="shared" si="953"/>
        <v>#DIV/0!</v>
      </c>
      <c r="AX549" s="279" t="e">
        <f t="shared" si="953"/>
        <v>#DIV/0!</v>
      </c>
      <c r="AZ549" s="279" t="e">
        <f t="shared" si="954"/>
        <v>#DIV/0!</v>
      </c>
      <c r="BA549" s="279" t="e">
        <f t="shared" si="954"/>
        <v>#DIV/0!</v>
      </c>
      <c r="BC549" s="279" t="e">
        <f t="shared" si="955"/>
        <v>#DIV/0!</v>
      </c>
      <c r="BD549" s="279" t="e">
        <f t="shared" si="955"/>
        <v>#DIV/0!</v>
      </c>
      <c r="BF549" s="279" t="e">
        <f t="shared" si="956"/>
        <v>#DIV/0!</v>
      </c>
      <c r="BG549" s="279" t="e">
        <f t="shared" si="956"/>
        <v>#DIV/0!</v>
      </c>
      <c r="BI549" s="279" t="e">
        <f t="shared" si="957"/>
        <v>#DIV/0!</v>
      </c>
      <c r="BJ549" s="279" t="e">
        <f t="shared" si="957"/>
        <v>#DIV/0!</v>
      </c>
      <c r="BL549" s="279" t="e">
        <f t="shared" si="958"/>
        <v>#DIV/0!</v>
      </c>
      <c r="BM549" s="279" t="e">
        <f t="shared" si="958"/>
        <v>#DIV/0!</v>
      </c>
      <c r="BO549" s="279" t="e">
        <f t="shared" si="959"/>
        <v>#DIV/0!</v>
      </c>
      <c r="BP549" s="279" t="e">
        <f t="shared" si="959"/>
        <v>#DIV/0!</v>
      </c>
      <c r="BR549" s="279" t="e">
        <f t="shared" si="960"/>
        <v>#DIV/0!</v>
      </c>
      <c r="BS549" s="279" t="e">
        <f t="shared" si="960"/>
        <v>#DIV/0!</v>
      </c>
      <c r="BU549" s="279" t="e">
        <f t="shared" si="961"/>
        <v>#DIV/0!</v>
      </c>
      <c r="BV549" s="279" t="e">
        <f t="shared" si="961"/>
        <v>#DIV/0!</v>
      </c>
      <c r="BX549" s="279" t="e">
        <f t="shared" si="962"/>
        <v>#DIV/0!</v>
      </c>
      <c r="BY549" s="279" t="e">
        <f t="shared" si="962"/>
        <v>#DIV/0!</v>
      </c>
      <c r="CA549" s="279" t="e">
        <f t="shared" si="963"/>
        <v>#DIV/0!</v>
      </c>
      <c r="CB549" s="279" t="e">
        <f t="shared" si="963"/>
        <v>#DIV/0!</v>
      </c>
      <c r="CD549" s="279" t="e">
        <f t="shared" si="964"/>
        <v>#DIV/0!</v>
      </c>
      <c r="CE549" s="279" t="e">
        <f t="shared" si="964"/>
        <v>#DIV/0!</v>
      </c>
      <c r="CG549" s="279">
        <f t="shared" si="965"/>
        <v>100</v>
      </c>
      <c r="CH549" s="279">
        <f t="shared" si="965"/>
        <v>100</v>
      </c>
      <c r="CJ549" s="279" t="e">
        <f t="shared" si="966"/>
        <v>#DIV/0!</v>
      </c>
      <c r="CK549" s="279" t="e">
        <f t="shared" si="966"/>
        <v>#DIV/0!</v>
      </c>
    </row>
    <row r="550" spans="1:89" hidden="1" x14ac:dyDescent="0.25">
      <c r="A550" s="95"/>
      <c r="B550" s="16" t="s">
        <v>63</v>
      </c>
      <c r="C550" s="107"/>
      <c r="D550" s="95"/>
      <c r="E550" s="279"/>
      <c r="F550" s="279"/>
      <c r="G550" s="279"/>
      <c r="H550" s="279"/>
      <c r="I550" s="279"/>
      <c r="J550" s="279"/>
      <c r="K550" s="279"/>
      <c r="L550" s="279"/>
      <c r="M550" s="279"/>
      <c r="N550" s="279"/>
      <c r="O550" s="281"/>
      <c r="Q550" s="279"/>
      <c r="R550" s="279"/>
      <c r="S550" s="279"/>
      <c r="T550" s="279"/>
      <c r="V550" s="279"/>
      <c r="W550" s="279"/>
      <c r="Y550" s="279"/>
      <c r="Z550" s="279"/>
      <c r="AB550" s="279"/>
      <c r="AC550" s="279"/>
      <c r="AE550" s="279"/>
      <c r="AF550" s="279"/>
      <c r="AH550" s="279"/>
      <c r="AI550" s="279"/>
      <c r="AK550" s="279"/>
      <c r="AL550" s="279"/>
      <c r="AN550" s="279"/>
      <c r="AO550" s="279"/>
      <c r="AQ550" s="279"/>
      <c r="AR550" s="279"/>
      <c r="AT550" s="279"/>
      <c r="AU550" s="279"/>
      <c r="AW550" s="279"/>
      <c r="AX550" s="279"/>
      <c r="AZ550" s="279"/>
      <c r="BA550" s="279"/>
      <c r="BC550" s="279"/>
      <c r="BD550" s="279"/>
      <c r="BF550" s="279"/>
      <c r="BG550" s="279"/>
      <c r="BI550" s="279"/>
      <c r="BJ550" s="279"/>
      <c r="BL550" s="279"/>
      <c r="BM550" s="279"/>
      <c r="BO550" s="279"/>
      <c r="BP550" s="279"/>
      <c r="BR550" s="279"/>
      <c r="BS550" s="279"/>
      <c r="BU550" s="279"/>
      <c r="BV550" s="279"/>
      <c r="BX550" s="279"/>
      <c r="BY550" s="279"/>
      <c r="CA550" s="279"/>
      <c r="CB550" s="279"/>
      <c r="CD550" s="279"/>
      <c r="CE550" s="279"/>
      <c r="CG550" s="279"/>
      <c r="CH550" s="279"/>
      <c r="CJ550" s="279"/>
      <c r="CK550" s="279"/>
    </row>
    <row r="551" spans="1:89" hidden="1" x14ac:dyDescent="0.25">
      <c r="A551" s="95"/>
      <c r="B551" s="96" t="s">
        <v>1182</v>
      </c>
      <c r="C551" s="107"/>
      <c r="D551" s="95" t="s">
        <v>8</v>
      </c>
      <c r="E551" s="279">
        <f t="shared" ref="E551:J551" si="971">(E577+E578+E608)/(E611+E612+E621)*100</f>
        <v>95.626822157434404</v>
      </c>
      <c r="F551" s="279">
        <f t="shared" si="971"/>
        <v>95.87020648967551</v>
      </c>
      <c r="G551" s="279">
        <f t="shared" si="971"/>
        <v>96.060606060606062</v>
      </c>
      <c r="H551" s="279">
        <f t="shared" si="971"/>
        <v>98.136645962732914</v>
      </c>
      <c r="I551" s="279">
        <f t="shared" si="971"/>
        <v>96.833773087071236</v>
      </c>
      <c r="J551" s="279" t="e">
        <f t="shared" si="971"/>
        <v>#DIV/0!</v>
      </c>
      <c r="K551" s="279" t="e">
        <f>(K577+K578+K608)/(K611+K612+K621)*100</f>
        <v>#DIV/0!</v>
      </c>
      <c r="L551" s="279" t="e">
        <f>(L577+L578+L608)/(L611+L612+L621)*100</f>
        <v>#DIV/0!</v>
      </c>
      <c r="M551" s="279" t="e">
        <f>(M577+M578+M608)/(M611+M612+M621)*100</f>
        <v>#DIV/0!</v>
      </c>
      <c r="N551" s="279" t="e">
        <f>(N577+N578+N608)/(N611+N612+N621)*100</f>
        <v>#DIV/0!</v>
      </c>
      <c r="O551" s="281"/>
      <c r="Q551" s="279" t="e">
        <f>(Q577+Q578+Q608)/(Q611+Q612+Q621)*100</f>
        <v>#DIV/0!</v>
      </c>
      <c r="R551" s="279" t="e">
        <f>(R577+R578+R608)/(R611+R612+R621)*100</f>
        <v>#DIV/0!</v>
      </c>
      <c r="S551" s="279" t="e">
        <f>(S577+S578+S608)/(S611+S612+S621)*100</f>
        <v>#DIV/0!</v>
      </c>
      <c r="T551" s="279" t="e">
        <f>(T577+T578+T608)/(T611+T612+T621)*100</f>
        <v>#DIV/0!</v>
      </c>
      <c r="V551" s="279" t="e">
        <f>(V577+V578+V608)/(V611+V612+V621)*100</f>
        <v>#DIV/0!</v>
      </c>
      <c r="W551" s="279" t="e">
        <f>(W577+W578+W608)/(W611+W612+W621)*100</f>
        <v>#DIV/0!</v>
      </c>
      <c r="Y551" s="279" t="e">
        <f>(Y577+Y578+Y608)/(Y611+Y612+Y621)*100</f>
        <v>#DIV/0!</v>
      </c>
      <c r="Z551" s="279" t="e">
        <f>(Z577+Z578+Z608)/(Z611+Z612+Z621)*100</f>
        <v>#DIV/0!</v>
      </c>
      <c r="AB551" s="279" t="e">
        <f>(AB577+AB578+AB608)/(AB611+AB612+AB621)*100</f>
        <v>#DIV/0!</v>
      </c>
      <c r="AC551" s="279" t="e">
        <f>(AC577+AC578+AC608)/(AC611+AC612+AC621)*100</f>
        <v>#DIV/0!</v>
      </c>
      <c r="AE551" s="279" t="e">
        <f>(AE577+AE578+AE608)/(AE611+AE612+AE621)*100</f>
        <v>#DIV/0!</v>
      </c>
      <c r="AF551" s="279" t="e">
        <f>(AF577+AF578+AF608)/(AF611+AF612+AF621)*100</f>
        <v>#DIV/0!</v>
      </c>
      <c r="AH551" s="279" t="e">
        <f>(AH577+AH578+AH608)/(AH611+AH612+AH621)*100</f>
        <v>#DIV/0!</v>
      </c>
      <c r="AI551" s="279" t="e">
        <f>(AI577+AI578+AI608)/(AI611+AI612+AI621)*100</f>
        <v>#DIV/0!</v>
      </c>
      <c r="AK551" s="279" t="e">
        <f>(AK577+AK578+AK608)/(AK611+AK612+AK621)*100</f>
        <v>#DIV/0!</v>
      </c>
      <c r="AL551" s="279" t="e">
        <f>(AL577+AL578+AL608)/(AL611+AL612+AL621)*100</f>
        <v>#DIV/0!</v>
      </c>
      <c r="AN551" s="279" t="e">
        <f>(AN577+AN578+AN608)/(AN611+AN612+AN621)*100</f>
        <v>#DIV/0!</v>
      </c>
      <c r="AO551" s="279" t="e">
        <f>(AO577+AO578+AO608)/(AO611+AO612+AO621)*100</f>
        <v>#DIV/0!</v>
      </c>
      <c r="AQ551" s="279" t="e">
        <f>(AQ577+AQ578+AQ608)/(AQ611+AQ612+AQ621)*100</f>
        <v>#DIV/0!</v>
      </c>
      <c r="AR551" s="279" t="e">
        <f>(AR577+AR578+AR608)/(AR611+AR612+AR621)*100</f>
        <v>#DIV/0!</v>
      </c>
      <c r="AT551" s="279" t="e">
        <f>(AT577+AT578+AT608)/(AT611+AT612+AT621)*100</f>
        <v>#DIV/0!</v>
      </c>
      <c r="AU551" s="279" t="e">
        <f>(AU577+AU578+AU608)/(AU611+AU612+AU621)*100</f>
        <v>#DIV/0!</v>
      </c>
      <c r="AW551" s="279" t="e">
        <f>(AW577+AW578+AW608)/(AW611+AW612+AW621)*100</f>
        <v>#DIV/0!</v>
      </c>
      <c r="AX551" s="279" t="e">
        <f>(AX577+AX578+AX608)/(AX611+AX612+AX621)*100</f>
        <v>#DIV/0!</v>
      </c>
      <c r="AZ551" s="279" t="e">
        <f>(AZ577+AZ578+AZ608)/(AZ611+AZ612+AZ621)*100</f>
        <v>#DIV/0!</v>
      </c>
      <c r="BA551" s="279" t="e">
        <f>(BA577+BA578+BA608)/(BA611+BA612+BA621)*100</f>
        <v>#DIV/0!</v>
      </c>
      <c r="BC551" s="279" t="e">
        <f>(BC577+BC578+BC608)/(BC611+BC612+BC621)*100</f>
        <v>#DIV/0!</v>
      </c>
      <c r="BD551" s="279" t="e">
        <f>(BD577+BD578+BD608)/(BD611+BD612+BD621)*100</f>
        <v>#DIV/0!</v>
      </c>
      <c r="BF551" s="279" t="e">
        <f>(BF577+BF578+BF608)/(BF611+BF612+BF621)*100</f>
        <v>#DIV/0!</v>
      </c>
      <c r="BG551" s="279" t="e">
        <f>(BG577+BG578+BG608)/(BG611+BG612+BG621)*100</f>
        <v>#DIV/0!</v>
      </c>
      <c r="BI551" s="279" t="e">
        <f>(BI577+BI578+BI608)/(BI611+BI612+BI621)*100</f>
        <v>#DIV/0!</v>
      </c>
      <c r="BJ551" s="279" t="e">
        <f>(BJ577+BJ578+BJ608)/(BJ611+BJ612+BJ621)*100</f>
        <v>#DIV/0!</v>
      </c>
      <c r="BL551" s="279" t="e">
        <f>(BL577+BL578+BL608)/(BL611+BL612+BL621)*100</f>
        <v>#DIV/0!</v>
      </c>
      <c r="BM551" s="279" t="e">
        <f>(BM577+BM578+BM608)/(BM611+BM612+BM621)*100</f>
        <v>#DIV/0!</v>
      </c>
      <c r="BO551" s="279" t="e">
        <f>(BO577+BO578+BO608)/(BO611+BO612+BO621)*100</f>
        <v>#DIV/0!</v>
      </c>
      <c r="BP551" s="279" t="e">
        <f>(BP577+BP578+BP608)/(BP611+BP612+BP621)*100</f>
        <v>#DIV/0!</v>
      </c>
      <c r="BR551" s="279" t="e">
        <f>(BR577+BR578+BR608)/(BR611+BR612+BR621)*100</f>
        <v>#DIV/0!</v>
      </c>
      <c r="BS551" s="279" t="e">
        <f>(BS577+BS578+BS608)/(BS611+BS612+BS621)*100</f>
        <v>#DIV/0!</v>
      </c>
      <c r="BU551" s="279" t="e">
        <f>(BU577+BU578+BU608)/(BU611+BU612+BU621)*100</f>
        <v>#DIV/0!</v>
      </c>
      <c r="BV551" s="279" t="e">
        <f>(BV577+BV578+BV608)/(BV611+BV612+BV621)*100</f>
        <v>#DIV/0!</v>
      </c>
      <c r="BX551" s="279" t="e">
        <f>(BX577+BX578+BX608)/(BX611+BX612+BX621)*100</f>
        <v>#DIV/0!</v>
      </c>
      <c r="BY551" s="279" t="e">
        <f>(BY577+BY578+BY608)/(BY611+BY612+BY621)*100</f>
        <v>#DIV/0!</v>
      </c>
      <c r="CA551" s="279" t="e">
        <f>(CA577+CA578+CA608)/(CA611+CA612+CA621)*100</f>
        <v>#DIV/0!</v>
      </c>
      <c r="CB551" s="279" t="e">
        <f>(CB577+CB578+CB608)/(CB611+CB612+CB621)*100</f>
        <v>#DIV/0!</v>
      </c>
      <c r="CD551" s="279" t="e">
        <f>(CD577+CD578+CD608)/(CD611+CD612+CD621)*100</f>
        <v>#DIV/0!</v>
      </c>
      <c r="CE551" s="279" t="e">
        <f>(CE577+CE578+CE608)/(CE611+CE612+CE621)*100</f>
        <v>#DIV/0!</v>
      </c>
      <c r="CG551" s="279" t="e">
        <f>(CG577+CG578+CG608)/(CG611+CG612+CG621)*100</f>
        <v>#DIV/0!</v>
      </c>
      <c r="CH551" s="279" t="e">
        <f>(CH577+CH578+CH608)/(CH611+CH612+CH621)*100</f>
        <v>#DIV/0!</v>
      </c>
      <c r="CJ551" s="279" t="e">
        <f>(CJ577+CJ578+CJ608)/(CJ611+CJ612+CJ621)*100</f>
        <v>#DIV/0!</v>
      </c>
      <c r="CK551" s="279" t="e">
        <f>(CK577+CK578+CK608)/(CK611+CK612+CK621)*100</f>
        <v>#DIV/0!</v>
      </c>
    </row>
    <row r="552" spans="1:89" hidden="1" x14ac:dyDescent="0.25">
      <c r="A552" s="95"/>
      <c r="B552" s="96" t="s">
        <v>1183</v>
      </c>
      <c r="C552" s="107"/>
      <c r="D552" s="95" t="s">
        <v>8</v>
      </c>
      <c r="E552" s="279"/>
      <c r="F552" s="279"/>
      <c r="G552" s="279"/>
      <c r="H552" s="279">
        <f>(H577+H608)/(H611+H621)*100</f>
        <v>100</v>
      </c>
      <c r="I552" s="279">
        <f>(I577+I608)/(I611+I621)*100</f>
        <v>100</v>
      </c>
      <c r="J552" s="279" t="e">
        <f>(J577+J608)/(J611+J621)*100</f>
        <v>#DIV/0!</v>
      </c>
      <c r="K552" s="279" t="e">
        <f>(K577+K608)/(K611+K621)*100</f>
        <v>#DIV/0!</v>
      </c>
      <c r="L552" s="279" t="e">
        <f>(L577+L608)/(L611+L621)*100</f>
        <v>#DIV/0!</v>
      </c>
      <c r="M552" s="279" t="e">
        <f t="shared" ref="M552:N552" si="972">(M577+M608)/(M611+M621)*100</f>
        <v>#DIV/0!</v>
      </c>
      <c r="N552" s="279" t="e">
        <f t="shared" si="972"/>
        <v>#DIV/0!</v>
      </c>
      <c r="O552" s="281"/>
      <c r="Q552" s="279" t="e">
        <f>(Q577+Q608)/(Q611+Q621)*100</f>
        <v>#DIV/0!</v>
      </c>
      <c r="R552" s="279" t="e">
        <f>(R577+R608)/(R611+R621)*100</f>
        <v>#DIV/0!</v>
      </c>
      <c r="S552" s="279" t="e">
        <f>(S577+S608)/(S611+S621)*100</f>
        <v>#DIV/0!</v>
      </c>
      <c r="T552" s="279" t="e">
        <f>(T577+T608)/(T611+T621)*100</f>
        <v>#DIV/0!</v>
      </c>
      <c r="V552" s="279" t="e">
        <f>(V577+V608)/(V611+V621)*100</f>
        <v>#DIV/0!</v>
      </c>
      <c r="W552" s="279" t="e">
        <f>(W577+W608)/(W611+W621)*100</f>
        <v>#DIV/0!</v>
      </c>
      <c r="Y552" s="279" t="e">
        <f>(Y577+Y608)/(Y611+Y621)*100</f>
        <v>#DIV/0!</v>
      </c>
      <c r="Z552" s="279" t="e">
        <f>(Z577+Z608)/(Z611+Z621)*100</f>
        <v>#DIV/0!</v>
      </c>
      <c r="AB552" s="279" t="e">
        <f>(AB577+AB608)/(AB611+AB621)*100</f>
        <v>#DIV/0!</v>
      </c>
      <c r="AC552" s="279" t="e">
        <f>(AC577+AC608)/(AC611+AC621)*100</f>
        <v>#DIV/0!</v>
      </c>
      <c r="AE552" s="279" t="e">
        <f>(AE577+AE608)/(AE611+AE621)*100</f>
        <v>#DIV/0!</v>
      </c>
      <c r="AF552" s="279" t="e">
        <f>(AF577+AF608)/(AF611+AF621)*100</f>
        <v>#DIV/0!</v>
      </c>
      <c r="AH552" s="279" t="e">
        <f>(AH577+AH608)/(AH611+AH621)*100</f>
        <v>#DIV/0!</v>
      </c>
      <c r="AI552" s="279" t="e">
        <f>(AI577+AI608)/(AI611+AI621)*100</f>
        <v>#DIV/0!</v>
      </c>
      <c r="AK552" s="279" t="e">
        <f>(AK577+AK608)/(AK611+AK621)*100</f>
        <v>#DIV/0!</v>
      </c>
      <c r="AL552" s="279" t="e">
        <f>(AL577+AL608)/(AL611+AL621)*100</f>
        <v>#DIV/0!</v>
      </c>
      <c r="AN552" s="279" t="e">
        <f>(AN577+AN608)/(AN611+AN621)*100</f>
        <v>#DIV/0!</v>
      </c>
      <c r="AO552" s="279" t="e">
        <f>(AO577+AO608)/(AO611+AO621)*100</f>
        <v>#DIV/0!</v>
      </c>
      <c r="AQ552" s="279" t="e">
        <f>(AQ577+AQ608)/(AQ611+AQ621)*100</f>
        <v>#DIV/0!</v>
      </c>
      <c r="AR552" s="279" t="e">
        <f>(AR577+AR608)/(AR611+AR621)*100</f>
        <v>#DIV/0!</v>
      </c>
      <c r="AT552" s="279" t="e">
        <f>(AT577+AT608)/(AT611+AT621)*100</f>
        <v>#DIV/0!</v>
      </c>
      <c r="AU552" s="279" t="e">
        <f>(AU577+AU608)/(AU611+AU621)*100</f>
        <v>#DIV/0!</v>
      </c>
      <c r="AW552" s="279" t="e">
        <f>(AW577+AW608)/(AW611+AW621)*100</f>
        <v>#DIV/0!</v>
      </c>
      <c r="AX552" s="279" t="e">
        <f>(AX577+AX608)/(AX611+AX621)*100</f>
        <v>#DIV/0!</v>
      </c>
      <c r="AZ552" s="279" t="e">
        <f>(AZ577+AZ608)/(AZ611+AZ621)*100</f>
        <v>#DIV/0!</v>
      </c>
      <c r="BA552" s="279" t="e">
        <f>(BA577+BA608)/(BA611+BA621)*100</f>
        <v>#DIV/0!</v>
      </c>
      <c r="BC552" s="279" t="e">
        <f>(BC577+BC608)/(BC611+BC621)*100</f>
        <v>#DIV/0!</v>
      </c>
      <c r="BD552" s="279" t="e">
        <f>(BD577+BD608)/(BD611+BD621)*100</f>
        <v>#DIV/0!</v>
      </c>
      <c r="BF552" s="279" t="e">
        <f>(BF577+BF608)/(BF611+BF621)*100</f>
        <v>#DIV/0!</v>
      </c>
      <c r="BG552" s="279" t="e">
        <f>(BG577+BG608)/(BG611+BG621)*100</f>
        <v>#DIV/0!</v>
      </c>
      <c r="BI552" s="279" t="e">
        <f>(BI577+BI608)/(BI611+BI621)*100</f>
        <v>#DIV/0!</v>
      </c>
      <c r="BJ552" s="279" t="e">
        <f>(BJ577+BJ608)/(BJ611+BJ621)*100</f>
        <v>#DIV/0!</v>
      </c>
      <c r="BL552" s="279" t="e">
        <f>(BL577+BL608)/(BL611+BL621)*100</f>
        <v>#DIV/0!</v>
      </c>
      <c r="BM552" s="279" t="e">
        <f>(BM577+BM608)/(BM611+BM621)*100</f>
        <v>#DIV/0!</v>
      </c>
      <c r="BO552" s="279" t="e">
        <f>(BO577+BO608)/(BO611+BO621)*100</f>
        <v>#DIV/0!</v>
      </c>
      <c r="BP552" s="279" t="e">
        <f>(BP577+BP608)/(BP611+BP621)*100</f>
        <v>#DIV/0!</v>
      </c>
      <c r="BR552" s="279" t="e">
        <f>(BR577+BR608)/(BR611+BR621)*100</f>
        <v>#DIV/0!</v>
      </c>
      <c r="BS552" s="279" t="e">
        <f>(BS577+BS608)/(BS611+BS621)*100</f>
        <v>#DIV/0!</v>
      </c>
      <c r="BU552" s="279" t="e">
        <f>(BU577+BU608)/(BU611+BU621)*100</f>
        <v>#DIV/0!</v>
      </c>
      <c r="BV552" s="279" t="e">
        <f>(BV577+BV608)/(BV611+BV621)*100</f>
        <v>#DIV/0!</v>
      </c>
      <c r="BX552" s="279" t="e">
        <f>(BX577+BX608)/(BX611+BX621)*100</f>
        <v>#DIV/0!</v>
      </c>
      <c r="BY552" s="279" t="e">
        <f>(BY577+BY608)/(BY611+BY621)*100</f>
        <v>#DIV/0!</v>
      </c>
      <c r="CA552" s="279" t="e">
        <f>(CA577+CA608)/(CA611+CA621)*100</f>
        <v>#DIV/0!</v>
      </c>
      <c r="CB552" s="279" t="e">
        <f>(CB577+CB608)/(CB611+CB621)*100</f>
        <v>#DIV/0!</v>
      </c>
      <c r="CD552" s="279" t="e">
        <f>(CD577+CD608)/(CD611+CD621)*100</f>
        <v>#DIV/0!</v>
      </c>
      <c r="CE552" s="279" t="e">
        <f>(CE577+CE608)/(CE611+CE621)*100</f>
        <v>#DIV/0!</v>
      </c>
      <c r="CG552" s="279" t="e">
        <f>(CG577+CG608)/(CG611+CG621)*100</f>
        <v>#DIV/0!</v>
      </c>
      <c r="CH552" s="279" t="e">
        <f>(CH577+CH608)/(CH611+CH621)*100</f>
        <v>#DIV/0!</v>
      </c>
      <c r="CJ552" s="279" t="e">
        <f>(CJ577+CJ608)/(CJ611+CJ621)*100</f>
        <v>#DIV/0!</v>
      </c>
      <c r="CK552" s="279" t="e">
        <f>(CK577+CK608)/(CK611+CK621)*100</f>
        <v>#DIV/0!</v>
      </c>
    </row>
    <row r="553" spans="1:89" hidden="1" x14ac:dyDescent="0.25">
      <c r="A553" s="95"/>
      <c r="B553" s="16" t="s">
        <v>1185</v>
      </c>
      <c r="C553" s="107"/>
      <c r="D553" s="95" t="s">
        <v>8</v>
      </c>
      <c r="E553" s="279"/>
      <c r="F553" s="279"/>
      <c r="G553" s="279"/>
      <c r="H553" s="279">
        <f>(H578+H608)/(H612+H621)*100</f>
        <v>94</v>
      </c>
      <c r="I553" s="279">
        <f>(I578+I608)/(I612+I621)*100</f>
        <v>92.452830188679243</v>
      </c>
      <c r="J553" s="279" t="e">
        <f>(J578+J608)/(J612+J621)*100</f>
        <v>#DIV/0!</v>
      </c>
      <c r="K553" s="279" t="e">
        <f>(K578+K608)/(K612+K621)*100</f>
        <v>#DIV/0!</v>
      </c>
      <c r="L553" s="279" t="e">
        <f>(L578+L608)/(L612+L621)*100</f>
        <v>#DIV/0!</v>
      </c>
      <c r="M553" s="279" t="e">
        <f t="shared" ref="M553:N553" si="973">(M578+M608)/(M612+M621)*100</f>
        <v>#DIV/0!</v>
      </c>
      <c r="N553" s="279" t="e">
        <f t="shared" si="973"/>
        <v>#DIV/0!</v>
      </c>
      <c r="O553" s="281"/>
      <c r="Q553" s="279" t="e">
        <f>(Q578+Q608)/(Q612+Q621)*100</f>
        <v>#DIV/0!</v>
      </c>
      <c r="R553" s="279" t="e">
        <f>(R578+R608)/(R612+R621)*100</f>
        <v>#DIV/0!</v>
      </c>
      <c r="S553" s="279" t="e">
        <f>(S578+S608)/(S612+S621)*100</f>
        <v>#DIV/0!</v>
      </c>
      <c r="T553" s="279" t="e">
        <f>(T578+T608)/(T612+T621)*100</f>
        <v>#DIV/0!</v>
      </c>
      <c r="V553" s="279" t="e">
        <f>(V578+V608)/(V612+V621)*100</f>
        <v>#DIV/0!</v>
      </c>
      <c r="W553" s="279" t="e">
        <f>(W578+W608)/(W612+W621)*100</f>
        <v>#DIV/0!</v>
      </c>
      <c r="Y553" s="279" t="e">
        <f>(Y578+Y608)/(Y612+Y621)*100</f>
        <v>#DIV/0!</v>
      </c>
      <c r="Z553" s="279" t="e">
        <f>(Z578+Z608)/(Z612+Z621)*100</f>
        <v>#DIV/0!</v>
      </c>
      <c r="AB553" s="279" t="e">
        <f>(AB578+AB608)/(AB612+AB621)*100</f>
        <v>#DIV/0!</v>
      </c>
      <c r="AC553" s="279" t="e">
        <f>(AC578+AC608)/(AC612+AC621)*100</f>
        <v>#DIV/0!</v>
      </c>
      <c r="AE553" s="279" t="e">
        <f>(AE578+AE608)/(AE612+AE621)*100</f>
        <v>#DIV/0!</v>
      </c>
      <c r="AF553" s="279" t="e">
        <f>(AF578+AF608)/(AF612+AF621)*100</f>
        <v>#DIV/0!</v>
      </c>
      <c r="AH553" s="279" t="e">
        <f>(AH578+AH608)/(AH612+AH621)*100</f>
        <v>#DIV/0!</v>
      </c>
      <c r="AI553" s="279" t="e">
        <f>(AI578+AI608)/(AI612+AI621)*100</f>
        <v>#DIV/0!</v>
      </c>
      <c r="AK553" s="279" t="e">
        <f>(AK578+AK608)/(AK612+AK621)*100</f>
        <v>#DIV/0!</v>
      </c>
      <c r="AL553" s="279" t="e">
        <f>(AL578+AL608)/(AL612+AL621)*100</f>
        <v>#DIV/0!</v>
      </c>
      <c r="AN553" s="279" t="e">
        <f>(AN578+AN608)/(AN612+AN621)*100</f>
        <v>#DIV/0!</v>
      </c>
      <c r="AO553" s="279" t="e">
        <f>(AO578+AO608)/(AO612+AO621)*100</f>
        <v>#DIV/0!</v>
      </c>
      <c r="AQ553" s="279" t="e">
        <f>(AQ578+AQ608)/(AQ612+AQ621)*100</f>
        <v>#DIV/0!</v>
      </c>
      <c r="AR553" s="279" t="e">
        <f>(AR578+AR608)/(AR612+AR621)*100</f>
        <v>#DIV/0!</v>
      </c>
      <c r="AT553" s="279" t="e">
        <f>(AT578+AT608)/(AT612+AT621)*100</f>
        <v>#DIV/0!</v>
      </c>
      <c r="AU553" s="279" t="e">
        <f>(AU578+AU608)/(AU612+AU621)*100</f>
        <v>#DIV/0!</v>
      </c>
      <c r="AW553" s="279" t="e">
        <f>(AW578+AW608)/(AW612+AW621)*100</f>
        <v>#DIV/0!</v>
      </c>
      <c r="AX553" s="279" t="e">
        <f>(AX578+AX608)/(AX612+AX621)*100</f>
        <v>#DIV/0!</v>
      </c>
      <c r="AZ553" s="279" t="e">
        <f>(AZ578+AZ608)/(AZ612+AZ621)*100</f>
        <v>#DIV/0!</v>
      </c>
      <c r="BA553" s="279" t="e">
        <f>(BA578+BA608)/(BA612+BA621)*100</f>
        <v>#DIV/0!</v>
      </c>
      <c r="BC553" s="279" t="e">
        <f>(BC578+BC608)/(BC612+BC621)*100</f>
        <v>#DIV/0!</v>
      </c>
      <c r="BD553" s="279" t="e">
        <f>(BD578+BD608)/(BD612+BD621)*100</f>
        <v>#DIV/0!</v>
      </c>
      <c r="BF553" s="279" t="e">
        <f>(BF578+BF608)/(BF612+BF621)*100</f>
        <v>#DIV/0!</v>
      </c>
      <c r="BG553" s="279" t="e">
        <f>(BG578+BG608)/(BG612+BG621)*100</f>
        <v>#DIV/0!</v>
      </c>
      <c r="BI553" s="279" t="e">
        <f>(BI578+BI608)/(BI612+BI621)*100</f>
        <v>#DIV/0!</v>
      </c>
      <c r="BJ553" s="279" t="e">
        <f>(BJ578+BJ608)/(BJ612+BJ621)*100</f>
        <v>#DIV/0!</v>
      </c>
      <c r="BL553" s="279" t="e">
        <f>(BL578+BL608)/(BL612+BL621)*100</f>
        <v>#DIV/0!</v>
      </c>
      <c r="BM553" s="279" t="e">
        <f>(BM578+BM608)/(BM612+BM621)*100</f>
        <v>#DIV/0!</v>
      </c>
      <c r="BO553" s="279" t="e">
        <f>(BO578+BO608)/(BO612+BO621)*100</f>
        <v>#DIV/0!</v>
      </c>
      <c r="BP553" s="279" t="e">
        <f>(BP578+BP608)/(BP612+BP621)*100</f>
        <v>#DIV/0!</v>
      </c>
      <c r="BR553" s="279" t="e">
        <f>(BR578+BR608)/(BR612+BR621)*100</f>
        <v>#DIV/0!</v>
      </c>
      <c r="BS553" s="279" t="e">
        <f>(BS578+BS608)/(BS612+BS621)*100</f>
        <v>#DIV/0!</v>
      </c>
      <c r="BU553" s="279" t="e">
        <f>(BU578+BU608)/(BU612+BU621)*100</f>
        <v>#DIV/0!</v>
      </c>
      <c r="BV553" s="279" t="e">
        <f>(BV578+BV608)/(BV612+BV621)*100</f>
        <v>#DIV/0!</v>
      </c>
      <c r="BX553" s="279" t="e">
        <f>(BX578+BX608)/(BX612+BX621)*100</f>
        <v>#DIV/0!</v>
      </c>
      <c r="BY553" s="279" t="e">
        <f>(BY578+BY608)/(BY612+BY621)*100</f>
        <v>#DIV/0!</v>
      </c>
      <c r="CA553" s="279" t="e">
        <f>(CA578+CA608)/(CA612+CA621)*100</f>
        <v>#DIV/0!</v>
      </c>
      <c r="CB553" s="279" t="e">
        <f>(CB578+CB608)/(CB612+CB621)*100</f>
        <v>#DIV/0!</v>
      </c>
      <c r="CD553" s="279" t="e">
        <f>(CD578+CD608)/(CD612+CD621)*100</f>
        <v>#DIV/0!</v>
      </c>
      <c r="CE553" s="279" t="e">
        <f>(CE578+CE608)/(CE612+CE621)*100</f>
        <v>#DIV/0!</v>
      </c>
      <c r="CG553" s="279" t="e">
        <f>(CG578+CG608)/(CG612+CG621)*100</f>
        <v>#DIV/0!</v>
      </c>
      <c r="CH553" s="279" t="e">
        <f>(CH578+CH608)/(CH612+CH621)*100</f>
        <v>#DIV/0!</v>
      </c>
      <c r="CJ553" s="279" t="e">
        <f>(CJ578+CJ608)/(CJ612+CJ621)*100</f>
        <v>#DIV/0!</v>
      </c>
      <c r="CK553" s="279" t="e">
        <f>(CK578+CK608)/(CK612+CK621)*100</f>
        <v>#DIV/0!</v>
      </c>
    </row>
    <row r="554" spans="1:89" hidden="1" x14ac:dyDescent="0.25">
      <c r="A554" s="95"/>
      <c r="B554" s="96" t="s">
        <v>1184</v>
      </c>
      <c r="C554" s="107"/>
      <c r="D554" s="95" t="s">
        <v>8</v>
      </c>
      <c r="E554" s="279">
        <f t="shared" ref="E554:J554" si="974">(E579+E580)/(E613+E614)*100</f>
        <v>100</v>
      </c>
      <c r="F554" s="279">
        <f t="shared" si="974"/>
        <v>100</v>
      </c>
      <c r="G554" s="279">
        <f t="shared" si="974"/>
        <v>100</v>
      </c>
      <c r="H554" s="279">
        <f t="shared" si="974"/>
        <v>100</v>
      </c>
      <c r="I554" s="279">
        <f t="shared" si="974"/>
        <v>150</v>
      </c>
      <c r="J554" s="279">
        <f t="shared" si="974"/>
        <v>0</v>
      </c>
      <c r="K554" s="279">
        <f>(K579+K580)/(K613+K614)*100</f>
        <v>0</v>
      </c>
      <c r="L554" s="279" t="e">
        <f>(L579+L580)/(L613+L614)*100</f>
        <v>#DIV/0!</v>
      </c>
      <c r="M554" s="279" t="e">
        <f>(M579+M580)/(M613+M614)*100</f>
        <v>#DIV/0!</v>
      </c>
      <c r="N554" s="279" t="e">
        <f>(N579+N580)/(N613+N614)*100</f>
        <v>#DIV/0!</v>
      </c>
      <c r="O554" s="281"/>
      <c r="Q554" s="279">
        <f>(Q579+Q580)/(Q613+Q614)*100</f>
        <v>0</v>
      </c>
      <c r="R554" s="279">
        <f>(R579+R580)/(R613+R614)*100</f>
        <v>0</v>
      </c>
      <c r="S554" s="279" t="e">
        <f>(S579+S580)/(S613+S614)*100</f>
        <v>#DIV/0!</v>
      </c>
      <c r="T554" s="279" t="e">
        <f>(T579+T580)/(T613+T614)*100</f>
        <v>#DIV/0!</v>
      </c>
      <c r="V554" s="279" t="e">
        <f>(V579+V580)/(V613+V614)*100</f>
        <v>#DIV/0!</v>
      </c>
      <c r="W554" s="279" t="e">
        <f>(W579+W580)/(W613+W614)*100</f>
        <v>#DIV/0!</v>
      </c>
      <c r="Y554" s="279" t="e">
        <f>(Y579+Y580)/(Y613+Y614)*100</f>
        <v>#DIV/0!</v>
      </c>
      <c r="Z554" s="279" t="e">
        <f>(Z579+Z580)/(Z613+Z614)*100</f>
        <v>#DIV/0!</v>
      </c>
      <c r="AB554" s="279" t="e">
        <f>(AB579+AB580)/(AB613+AB614)*100</f>
        <v>#DIV/0!</v>
      </c>
      <c r="AC554" s="279" t="e">
        <f>(AC579+AC580)/(AC613+AC614)*100</f>
        <v>#DIV/0!</v>
      </c>
      <c r="AE554" s="279" t="e">
        <f>(AE579+AE580)/(AE613+AE614)*100</f>
        <v>#DIV/0!</v>
      </c>
      <c r="AF554" s="279" t="e">
        <f>(AF579+AF580)/(AF613+AF614)*100</f>
        <v>#DIV/0!</v>
      </c>
      <c r="AH554" s="279" t="e">
        <f>(AH579+AH580)/(AH613+AH614)*100</f>
        <v>#DIV/0!</v>
      </c>
      <c r="AI554" s="279" t="e">
        <f>(AI579+AI580)/(AI613+AI614)*100</f>
        <v>#DIV/0!</v>
      </c>
      <c r="AK554" s="279" t="e">
        <f>(AK579+AK580)/(AK613+AK614)*100</f>
        <v>#DIV/0!</v>
      </c>
      <c r="AL554" s="279" t="e">
        <f>(AL579+AL580)/(AL613+AL614)*100</f>
        <v>#DIV/0!</v>
      </c>
      <c r="AN554" s="279" t="e">
        <f>(AN579+AN580)/(AN613+AN614)*100</f>
        <v>#DIV/0!</v>
      </c>
      <c r="AO554" s="279" t="e">
        <f>(AO579+AO580)/(AO613+AO614)*100</f>
        <v>#DIV/0!</v>
      </c>
      <c r="AQ554" s="279" t="e">
        <f>(AQ579+AQ580)/(AQ613+AQ614)*100</f>
        <v>#DIV/0!</v>
      </c>
      <c r="AR554" s="279" t="e">
        <f>(AR579+AR580)/(AR613+AR614)*100</f>
        <v>#DIV/0!</v>
      </c>
      <c r="AT554" s="279" t="e">
        <f>(AT579+AT580)/(AT613+AT614)*100</f>
        <v>#DIV/0!</v>
      </c>
      <c r="AU554" s="279" t="e">
        <f>(AU579+AU580)/(AU613+AU614)*100</f>
        <v>#DIV/0!</v>
      </c>
      <c r="AW554" s="279" t="e">
        <f>(AW579+AW580)/(AW613+AW614)*100</f>
        <v>#DIV/0!</v>
      </c>
      <c r="AX554" s="279" t="e">
        <f>(AX579+AX580)/(AX613+AX614)*100</f>
        <v>#DIV/0!</v>
      </c>
      <c r="AZ554" s="279" t="e">
        <f>(AZ579+AZ580)/(AZ613+AZ614)*100</f>
        <v>#DIV/0!</v>
      </c>
      <c r="BA554" s="279" t="e">
        <f>(BA579+BA580)/(BA613+BA614)*100</f>
        <v>#DIV/0!</v>
      </c>
      <c r="BC554" s="279">
        <f>(BC579+BC580)/(BC613+BC614)*100</f>
        <v>0</v>
      </c>
      <c r="BD554" s="279">
        <f>(BD579+BD580)/(BD613+BD614)*100</f>
        <v>0</v>
      </c>
      <c r="BF554" s="279">
        <f>(BF579+BF580)/(BF613+BF614)*100</f>
        <v>0</v>
      </c>
      <c r="BG554" s="279">
        <f>(BG579+BG580)/(BG613+BG614)*100</f>
        <v>0</v>
      </c>
      <c r="BI554" s="279">
        <f>(BI579+BI580)/(BI613+BI614)*100</f>
        <v>0</v>
      </c>
      <c r="BJ554" s="279">
        <f>(BJ579+BJ580)/(BJ613+BJ614)*100</f>
        <v>0</v>
      </c>
      <c r="BL554" s="279" t="e">
        <f>(BL579+BL580)/(BL613+BL614)*100</f>
        <v>#DIV/0!</v>
      </c>
      <c r="BM554" s="279" t="e">
        <f>(BM579+BM580)/(BM613+BM614)*100</f>
        <v>#DIV/0!</v>
      </c>
      <c r="BO554" s="279" t="e">
        <f>(BO579+BO580)/(BO613+BO614)*100</f>
        <v>#DIV/0!</v>
      </c>
      <c r="BP554" s="279" t="e">
        <f>(BP579+BP580)/(BP613+BP614)*100</f>
        <v>#DIV/0!</v>
      </c>
      <c r="BR554" s="279" t="e">
        <f>(BR579+BR580)/(BR613+BR614)*100</f>
        <v>#DIV/0!</v>
      </c>
      <c r="BS554" s="279" t="e">
        <f>(BS579+BS580)/(BS613+BS614)*100</f>
        <v>#DIV/0!</v>
      </c>
      <c r="BU554" s="279" t="e">
        <f>(BU579+BU580)/(BU613+BU614)*100</f>
        <v>#DIV/0!</v>
      </c>
      <c r="BV554" s="279" t="e">
        <f>(BV579+BV580)/(BV613+BV614)*100</f>
        <v>#DIV/0!</v>
      </c>
      <c r="BX554" s="279" t="e">
        <f>(BX579+BX580)/(BX613+BX614)*100</f>
        <v>#DIV/0!</v>
      </c>
      <c r="BY554" s="279" t="e">
        <f>(BY579+BY580)/(BY613+BY614)*100</f>
        <v>#DIV/0!</v>
      </c>
      <c r="CA554" s="279" t="e">
        <f>(CA579+CA580)/(CA613+CA614)*100</f>
        <v>#DIV/0!</v>
      </c>
      <c r="CB554" s="279" t="e">
        <f>(CB579+CB580)/(CB613+CB614)*100</f>
        <v>#DIV/0!</v>
      </c>
      <c r="CD554" s="279">
        <f>(CD579+CD580)/(CD613+CD614)*100</f>
        <v>0</v>
      </c>
      <c r="CE554" s="279">
        <f>(CE579+CE580)/(CE613+CE614)*100</f>
        <v>0</v>
      </c>
      <c r="CG554" s="279" t="e">
        <f>(CG579+CG580)/(CG613+CG614)*100</f>
        <v>#DIV/0!</v>
      </c>
      <c r="CH554" s="279" t="e">
        <f>(CH579+CH580)/(CH613+CH614)*100</f>
        <v>#DIV/0!</v>
      </c>
      <c r="CJ554" s="279" t="e">
        <f>(CJ579+CJ580)/(CJ613+CJ614)*100</f>
        <v>#DIV/0!</v>
      </c>
      <c r="CK554" s="279" t="e">
        <f>(CK579+CK580)/(CK613+CK614)*100</f>
        <v>#DIV/0!</v>
      </c>
    </row>
    <row r="555" spans="1:89" hidden="1" x14ac:dyDescent="0.25">
      <c r="A555" s="95"/>
      <c r="B555" s="96" t="s">
        <v>1183</v>
      </c>
      <c r="C555" s="107"/>
      <c r="D555" s="95" t="s">
        <v>8</v>
      </c>
      <c r="E555" s="279"/>
      <c r="F555" s="279"/>
      <c r="G555" s="279"/>
      <c r="H555" s="279">
        <f t="shared" ref="H555:J556" si="975">(H579)/(H613)*100</f>
        <v>100</v>
      </c>
      <c r="I555" s="279">
        <f t="shared" si="975"/>
        <v>150</v>
      </c>
      <c r="J555" s="279">
        <f t="shared" si="975"/>
        <v>0</v>
      </c>
      <c r="K555" s="279">
        <f>(K579)/(K613)*100</f>
        <v>0</v>
      </c>
      <c r="L555" s="279" t="e">
        <f>(L579)/(L613)*100</f>
        <v>#DIV/0!</v>
      </c>
      <c r="M555" s="279" t="e">
        <f t="shared" ref="M555:N556" si="976">(M579)/(M613)*100</f>
        <v>#DIV/0!</v>
      </c>
      <c r="N555" s="279" t="e">
        <f t="shared" si="976"/>
        <v>#DIV/0!</v>
      </c>
      <c r="O555" s="281"/>
      <c r="Q555" s="279">
        <f t="shared" ref="Q555:T556" si="977">(Q579)/(Q613)*100</f>
        <v>0</v>
      </c>
      <c r="R555" s="279">
        <f t="shared" si="977"/>
        <v>0</v>
      </c>
      <c r="S555" s="279" t="e">
        <f t="shared" si="977"/>
        <v>#DIV/0!</v>
      </c>
      <c r="T555" s="279" t="e">
        <f t="shared" si="977"/>
        <v>#DIV/0!</v>
      </c>
      <c r="V555" s="279" t="e">
        <f>(V579)/(V613)*100</f>
        <v>#DIV/0!</v>
      </c>
      <c r="W555" s="279" t="e">
        <f>(W579)/(W613)*100</f>
        <v>#DIV/0!</v>
      </c>
      <c r="Y555" s="279" t="e">
        <f>(Y579)/(Y613)*100</f>
        <v>#DIV/0!</v>
      </c>
      <c r="Z555" s="279" t="e">
        <f>(Z579)/(Z613)*100</f>
        <v>#DIV/0!</v>
      </c>
      <c r="AB555" s="279" t="e">
        <f>(AB579)/(AB613)*100</f>
        <v>#DIV/0!</v>
      </c>
      <c r="AC555" s="279" t="e">
        <f>(AC579)/(AC613)*100</f>
        <v>#DIV/0!</v>
      </c>
      <c r="AE555" s="279" t="e">
        <f>(AE579)/(AE613)*100</f>
        <v>#DIV/0!</v>
      </c>
      <c r="AF555" s="279" t="e">
        <f>(AF579)/(AF613)*100</f>
        <v>#DIV/0!</v>
      </c>
      <c r="AH555" s="279" t="e">
        <f>(AH579)/(AH613)*100</f>
        <v>#DIV/0!</v>
      </c>
      <c r="AI555" s="279" t="e">
        <f>(AI579)/(AI613)*100</f>
        <v>#DIV/0!</v>
      </c>
      <c r="AK555" s="279" t="e">
        <f>(AK579)/(AK613)*100</f>
        <v>#DIV/0!</v>
      </c>
      <c r="AL555" s="279" t="e">
        <f>(AL579)/(AL613)*100</f>
        <v>#DIV/0!</v>
      </c>
      <c r="AN555" s="279" t="e">
        <f>(AN579)/(AN613)*100</f>
        <v>#DIV/0!</v>
      </c>
      <c r="AO555" s="279" t="e">
        <f>(AO579)/(AO613)*100</f>
        <v>#DIV/0!</v>
      </c>
      <c r="AQ555" s="279" t="e">
        <f>(AQ579)/(AQ613)*100</f>
        <v>#DIV/0!</v>
      </c>
      <c r="AR555" s="279" t="e">
        <f>(AR579)/(AR613)*100</f>
        <v>#DIV/0!</v>
      </c>
      <c r="AT555" s="279" t="e">
        <f>(AT579)/(AT613)*100</f>
        <v>#DIV/0!</v>
      </c>
      <c r="AU555" s="279" t="e">
        <f>(AU579)/(AU613)*100</f>
        <v>#DIV/0!</v>
      </c>
      <c r="AW555" s="279" t="e">
        <f>(AW579)/(AW613)*100</f>
        <v>#DIV/0!</v>
      </c>
      <c r="AX555" s="279" t="e">
        <f>(AX579)/(AX613)*100</f>
        <v>#DIV/0!</v>
      </c>
      <c r="AZ555" s="279" t="e">
        <f>(AZ579)/(AZ613)*100</f>
        <v>#DIV/0!</v>
      </c>
      <c r="BA555" s="279" t="e">
        <f>(BA579)/(BA613)*100</f>
        <v>#DIV/0!</v>
      </c>
      <c r="BC555" s="279">
        <f>(BC579)/(BC613)*100</f>
        <v>0</v>
      </c>
      <c r="BD555" s="279">
        <f>(BD579)/(BD613)*100</f>
        <v>0</v>
      </c>
      <c r="BF555" s="279">
        <f>(BF579)/(BF613)*100</f>
        <v>0</v>
      </c>
      <c r="BG555" s="279">
        <f>(BG579)/(BG613)*100</f>
        <v>0</v>
      </c>
      <c r="BI555" s="279">
        <f>(BI579)/(BI613)*100</f>
        <v>0</v>
      </c>
      <c r="BJ555" s="279">
        <f>(BJ579)/(BJ613)*100</f>
        <v>0</v>
      </c>
      <c r="BL555" s="279" t="e">
        <f>(BL579)/(BL613)*100</f>
        <v>#DIV/0!</v>
      </c>
      <c r="BM555" s="279" t="e">
        <f>(BM579)/(BM613)*100</f>
        <v>#DIV/0!</v>
      </c>
      <c r="BO555" s="279" t="e">
        <f>(BO579)/(BO613)*100</f>
        <v>#DIV/0!</v>
      </c>
      <c r="BP555" s="279" t="e">
        <f>(BP579)/(BP613)*100</f>
        <v>#DIV/0!</v>
      </c>
      <c r="BR555" s="279" t="e">
        <f>(BR579)/(BR613)*100</f>
        <v>#DIV/0!</v>
      </c>
      <c r="BS555" s="279" t="e">
        <f>(BS579)/(BS613)*100</f>
        <v>#DIV/0!</v>
      </c>
      <c r="BU555" s="279" t="e">
        <f>(BU579)/(BU613)*100</f>
        <v>#DIV/0!</v>
      </c>
      <c r="BV555" s="279" t="e">
        <f>(BV579)/(BV613)*100</f>
        <v>#DIV/0!</v>
      </c>
      <c r="BX555" s="279" t="e">
        <f>(BX579)/(BX613)*100</f>
        <v>#DIV/0!</v>
      </c>
      <c r="BY555" s="279" t="e">
        <f>(BY579)/(BY613)*100</f>
        <v>#DIV/0!</v>
      </c>
      <c r="CA555" s="279" t="e">
        <f>(CA579)/(CA613)*100</f>
        <v>#DIV/0!</v>
      </c>
      <c r="CB555" s="279" t="e">
        <f>(CB579)/(CB613)*100</f>
        <v>#DIV/0!</v>
      </c>
      <c r="CD555" s="279">
        <f>(CD579)/(CD613)*100</f>
        <v>0</v>
      </c>
      <c r="CE555" s="279">
        <f>(CE579)/(CE613)*100</f>
        <v>0</v>
      </c>
      <c r="CG555" s="279" t="e">
        <f>(CG579)/(CG613)*100</f>
        <v>#DIV/0!</v>
      </c>
      <c r="CH555" s="279" t="e">
        <f>(CH579)/(CH613)*100</f>
        <v>#DIV/0!</v>
      </c>
      <c r="CJ555" s="279" t="e">
        <f>(CJ579)/(CJ613)*100</f>
        <v>#DIV/0!</v>
      </c>
      <c r="CK555" s="279" t="e">
        <f>(CK579)/(CK613)*100</f>
        <v>#DIV/0!</v>
      </c>
    </row>
    <row r="556" spans="1:89" hidden="1" x14ac:dyDescent="0.25">
      <c r="A556" s="95"/>
      <c r="B556" s="16" t="s">
        <v>1185</v>
      </c>
      <c r="C556" s="107"/>
      <c r="D556" s="95" t="s">
        <v>8</v>
      </c>
      <c r="E556" s="279"/>
      <c r="F556" s="279"/>
      <c r="G556" s="279"/>
      <c r="H556" s="279" t="e">
        <f t="shared" si="975"/>
        <v>#DIV/0!</v>
      </c>
      <c r="I556" s="279" t="e">
        <f t="shared" si="975"/>
        <v>#DIV/0!</v>
      </c>
      <c r="J556" s="279" t="e">
        <f t="shared" si="975"/>
        <v>#DIV/0!</v>
      </c>
      <c r="K556" s="279" t="e">
        <f>(K580)/(K614)*100</f>
        <v>#DIV/0!</v>
      </c>
      <c r="L556" s="279" t="e">
        <f>(L580)/(L614)*100</f>
        <v>#DIV/0!</v>
      </c>
      <c r="M556" s="279" t="e">
        <f t="shared" si="976"/>
        <v>#DIV/0!</v>
      </c>
      <c r="N556" s="279" t="e">
        <f t="shared" si="976"/>
        <v>#DIV/0!</v>
      </c>
      <c r="O556" s="281"/>
      <c r="Q556" s="279" t="e">
        <f t="shared" si="977"/>
        <v>#DIV/0!</v>
      </c>
      <c r="R556" s="279" t="e">
        <f t="shared" si="977"/>
        <v>#DIV/0!</v>
      </c>
      <c r="S556" s="279" t="e">
        <f t="shared" si="977"/>
        <v>#DIV/0!</v>
      </c>
      <c r="T556" s="279" t="e">
        <f t="shared" si="977"/>
        <v>#DIV/0!</v>
      </c>
      <c r="V556" s="279" t="e">
        <f>(V580)/(V614)*100</f>
        <v>#DIV/0!</v>
      </c>
      <c r="W556" s="279" t="e">
        <f>(W580)/(W614)*100</f>
        <v>#DIV/0!</v>
      </c>
      <c r="Y556" s="279" t="e">
        <f>(Y580)/(Y614)*100</f>
        <v>#DIV/0!</v>
      </c>
      <c r="Z556" s="279" t="e">
        <f>(Z580)/(Z614)*100</f>
        <v>#DIV/0!</v>
      </c>
      <c r="AB556" s="279" t="e">
        <f>(AB580)/(AB614)*100</f>
        <v>#DIV/0!</v>
      </c>
      <c r="AC556" s="279" t="e">
        <f>(AC580)/(AC614)*100</f>
        <v>#DIV/0!</v>
      </c>
      <c r="AE556" s="279" t="e">
        <f>(AE580)/(AE614)*100</f>
        <v>#DIV/0!</v>
      </c>
      <c r="AF556" s="279" t="e">
        <f>(AF580)/(AF614)*100</f>
        <v>#DIV/0!</v>
      </c>
      <c r="AH556" s="279" t="e">
        <f>(AH580)/(AH614)*100</f>
        <v>#DIV/0!</v>
      </c>
      <c r="AI556" s="279" t="e">
        <f>(AI580)/(AI614)*100</f>
        <v>#DIV/0!</v>
      </c>
      <c r="AK556" s="279" t="e">
        <f>(AK580)/(AK614)*100</f>
        <v>#DIV/0!</v>
      </c>
      <c r="AL556" s="279" t="e">
        <f>(AL580)/(AL614)*100</f>
        <v>#DIV/0!</v>
      </c>
      <c r="AN556" s="279" t="e">
        <f>(AN580)/(AN614)*100</f>
        <v>#DIV/0!</v>
      </c>
      <c r="AO556" s="279" t="e">
        <f>(AO580)/(AO614)*100</f>
        <v>#DIV/0!</v>
      </c>
      <c r="AQ556" s="279" t="e">
        <f>(AQ580)/(AQ614)*100</f>
        <v>#DIV/0!</v>
      </c>
      <c r="AR556" s="279" t="e">
        <f>(AR580)/(AR614)*100</f>
        <v>#DIV/0!</v>
      </c>
      <c r="AT556" s="279" t="e">
        <f>(AT580)/(AT614)*100</f>
        <v>#DIV/0!</v>
      </c>
      <c r="AU556" s="279" t="e">
        <f>(AU580)/(AU614)*100</f>
        <v>#DIV/0!</v>
      </c>
      <c r="AW556" s="279" t="e">
        <f>(AW580)/(AW614)*100</f>
        <v>#DIV/0!</v>
      </c>
      <c r="AX556" s="279" t="e">
        <f>(AX580)/(AX614)*100</f>
        <v>#DIV/0!</v>
      </c>
      <c r="AZ556" s="279" t="e">
        <f>(AZ580)/(AZ614)*100</f>
        <v>#DIV/0!</v>
      </c>
      <c r="BA556" s="279" t="e">
        <f>(BA580)/(BA614)*100</f>
        <v>#DIV/0!</v>
      </c>
      <c r="BC556" s="279" t="e">
        <f>(BC580)/(BC614)*100</f>
        <v>#DIV/0!</v>
      </c>
      <c r="BD556" s="279" t="e">
        <f>(BD580)/(BD614)*100</f>
        <v>#DIV/0!</v>
      </c>
      <c r="BF556" s="279" t="e">
        <f>(BF580)/(BF614)*100</f>
        <v>#DIV/0!</v>
      </c>
      <c r="BG556" s="279" t="e">
        <f>(BG580)/(BG614)*100</f>
        <v>#DIV/0!</v>
      </c>
      <c r="BI556" s="279" t="e">
        <f>(BI580)/(BI614)*100</f>
        <v>#DIV/0!</v>
      </c>
      <c r="BJ556" s="279" t="e">
        <f>(BJ580)/(BJ614)*100</f>
        <v>#DIV/0!</v>
      </c>
      <c r="BL556" s="279" t="e">
        <f>(BL580)/(BL614)*100</f>
        <v>#DIV/0!</v>
      </c>
      <c r="BM556" s="279" t="e">
        <f>(BM580)/(BM614)*100</f>
        <v>#DIV/0!</v>
      </c>
      <c r="BO556" s="279" t="e">
        <f>(BO580)/(BO614)*100</f>
        <v>#DIV/0!</v>
      </c>
      <c r="BP556" s="279" t="e">
        <f>(BP580)/(BP614)*100</f>
        <v>#DIV/0!</v>
      </c>
      <c r="BR556" s="279" t="e">
        <f>(BR580)/(BR614)*100</f>
        <v>#DIV/0!</v>
      </c>
      <c r="BS556" s="279" t="e">
        <f>(BS580)/(BS614)*100</f>
        <v>#DIV/0!</v>
      </c>
      <c r="BU556" s="279" t="e">
        <f>(BU580)/(BU614)*100</f>
        <v>#DIV/0!</v>
      </c>
      <c r="BV556" s="279" t="e">
        <f>(BV580)/(BV614)*100</f>
        <v>#DIV/0!</v>
      </c>
      <c r="BX556" s="279" t="e">
        <f>(BX580)/(BX614)*100</f>
        <v>#DIV/0!</v>
      </c>
      <c r="BY556" s="279" t="e">
        <f>(BY580)/(BY614)*100</f>
        <v>#DIV/0!</v>
      </c>
      <c r="CA556" s="279" t="e">
        <f>(CA580)/(CA614)*100</f>
        <v>#DIV/0!</v>
      </c>
      <c r="CB556" s="279" t="e">
        <f>(CB580)/(CB614)*100</f>
        <v>#DIV/0!</v>
      </c>
      <c r="CD556" s="279" t="e">
        <f>(CD580)/(CD614)*100</f>
        <v>#DIV/0!</v>
      </c>
      <c r="CE556" s="279" t="e">
        <f>(CE580)/(CE614)*100</f>
        <v>#DIV/0!</v>
      </c>
      <c r="CG556" s="279" t="e">
        <f>(CG580)/(CG614)*100</f>
        <v>#DIV/0!</v>
      </c>
      <c r="CH556" s="279" t="e">
        <f>(CH580)/(CH614)*100</f>
        <v>#DIV/0!</v>
      </c>
      <c r="CJ556" s="279" t="e">
        <f>(CJ580)/(CJ614)*100</f>
        <v>#DIV/0!</v>
      </c>
      <c r="CK556" s="279" t="e">
        <f>(CK580)/(CK614)*100</f>
        <v>#DIV/0!</v>
      </c>
    </row>
    <row r="557" spans="1:89" hidden="1" x14ac:dyDescent="0.25">
      <c r="A557" s="95"/>
      <c r="B557" s="16" t="s">
        <v>64</v>
      </c>
      <c r="C557" s="107"/>
      <c r="D557" s="95" t="s">
        <v>8</v>
      </c>
      <c r="E557" s="280"/>
      <c r="F557" s="280"/>
      <c r="G557" s="280"/>
      <c r="H557" s="280"/>
      <c r="I557" s="280"/>
      <c r="J557" s="280"/>
      <c r="K557" s="280"/>
      <c r="L557" s="280"/>
      <c r="M557" s="280"/>
      <c r="N557" s="280"/>
      <c r="O557" s="281"/>
      <c r="Q557" s="280"/>
      <c r="R557" s="280"/>
      <c r="S557" s="280"/>
      <c r="T557" s="280"/>
      <c r="V557" s="280"/>
      <c r="W557" s="280"/>
      <c r="Y557" s="280"/>
      <c r="Z557" s="280"/>
      <c r="AB557" s="280"/>
      <c r="AC557" s="280"/>
      <c r="AE557" s="280"/>
      <c r="AF557" s="280"/>
      <c r="AH557" s="280"/>
      <c r="AI557" s="280"/>
      <c r="AK557" s="280"/>
      <c r="AL557" s="280"/>
      <c r="AN557" s="280"/>
      <c r="AO557" s="280"/>
      <c r="AQ557" s="280"/>
      <c r="AR557" s="280"/>
      <c r="AT557" s="280"/>
      <c r="AU557" s="280"/>
      <c r="AW557" s="280"/>
      <c r="AX557" s="280"/>
      <c r="AZ557" s="280"/>
      <c r="BA557" s="280"/>
      <c r="BC557" s="280"/>
      <c r="BD557" s="280"/>
      <c r="BF557" s="280"/>
      <c r="BG557" s="280"/>
      <c r="BI557" s="280"/>
      <c r="BJ557" s="280"/>
      <c r="BL557" s="280"/>
      <c r="BM557" s="280"/>
      <c r="BO557" s="280"/>
      <c r="BP557" s="280"/>
      <c r="BR557" s="280"/>
      <c r="BS557" s="280"/>
      <c r="BU557" s="280"/>
      <c r="BV557" s="280"/>
      <c r="BX557" s="280"/>
      <c r="BY557" s="280"/>
      <c r="CA557" s="280"/>
      <c r="CB557" s="280"/>
      <c r="CD557" s="280"/>
      <c r="CE557" s="280"/>
      <c r="CG557" s="280"/>
      <c r="CH557" s="280"/>
      <c r="CJ557" s="280"/>
      <c r="CK557" s="280"/>
    </row>
    <row r="558" spans="1:89" hidden="1" x14ac:dyDescent="0.25">
      <c r="A558" s="95"/>
      <c r="B558" s="96" t="s">
        <v>1182</v>
      </c>
      <c r="C558" s="107"/>
      <c r="D558" s="95" t="s">
        <v>8</v>
      </c>
      <c r="E558" s="279">
        <f t="shared" ref="E558:J558" si="978">(E587+E588+E609)/(E611+E612+E621)*100</f>
        <v>98.250728862973759</v>
      </c>
      <c r="F558" s="279">
        <f t="shared" si="978"/>
        <v>98.525073746312685</v>
      </c>
      <c r="G558" s="279">
        <f t="shared" si="978"/>
        <v>98.787878787878796</v>
      </c>
      <c r="H558" s="279">
        <f t="shared" si="978"/>
        <v>99.378881987577643</v>
      </c>
      <c r="I558" s="279">
        <f t="shared" si="978"/>
        <v>99.47229551451187</v>
      </c>
      <c r="J558" s="279" t="e">
        <f t="shared" si="978"/>
        <v>#DIV/0!</v>
      </c>
      <c r="K558" s="279" t="e">
        <f>(K587+K588+K609)/(K611+K612+K621)*100</f>
        <v>#DIV/0!</v>
      </c>
      <c r="L558" s="279" t="e">
        <f>(L587+L588+L609)/(L611+L612+L621)*100</f>
        <v>#DIV/0!</v>
      </c>
      <c r="M558" s="279" t="e">
        <f>(M587+M588+M609)/(M611+M612+M621)*100</f>
        <v>#DIV/0!</v>
      </c>
      <c r="N558" s="279" t="e">
        <f>(N587+N588+N609)/(N611+N612+N621)*100</f>
        <v>#DIV/0!</v>
      </c>
      <c r="O558" s="281"/>
      <c r="Q558" s="279" t="e">
        <f>(Q587+Q588+Q609)/(Q611+Q612+Q621)*100</f>
        <v>#DIV/0!</v>
      </c>
      <c r="R558" s="279" t="e">
        <f>(R587+R588+R609)/(R611+R612+R621)*100</f>
        <v>#DIV/0!</v>
      </c>
      <c r="S558" s="279" t="e">
        <f>(S587+S588+S609)/(S611+S612+S621)*100</f>
        <v>#DIV/0!</v>
      </c>
      <c r="T558" s="279" t="e">
        <f>(T587+T588+T609)/(T611+T612+T621)*100</f>
        <v>#DIV/0!</v>
      </c>
      <c r="V558" s="279" t="e">
        <f>(V587+V588+V609)/(V611+V612+V621)*100</f>
        <v>#DIV/0!</v>
      </c>
      <c r="W558" s="279" t="e">
        <f>(W587+W588+W609)/(W611+W612+W621)*100</f>
        <v>#DIV/0!</v>
      </c>
      <c r="Y558" s="279" t="e">
        <f>(Y587+Y588+Y609)/(Y611+Y612+Y621)*100</f>
        <v>#DIV/0!</v>
      </c>
      <c r="Z558" s="279" t="e">
        <f>(Z587+Z588+Z609)/(Z611+Z612+Z621)*100</f>
        <v>#DIV/0!</v>
      </c>
      <c r="AB558" s="279" t="e">
        <f>(AB587+AB588+AB609)/(AB611+AB612+AB621)*100</f>
        <v>#DIV/0!</v>
      </c>
      <c r="AC558" s="279" t="e">
        <f>(AC587+AC588+AC609)/(AC611+AC612+AC621)*100</f>
        <v>#DIV/0!</v>
      </c>
      <c r="AE558" s="279" t="e">
        <f>(AE587+AE588+AE609)/(AE611+AE612+AE621)*100</f>
        <v>#DIV/0!</v>
      </c>
      <c r="AF558" s="279" t="e">
        <f>(AF587+AF588+AF609)/(AF611+AF612+AF621)*100</f>
        <v>#DIV/0!</v>
      </c>
      <c r="AH558" s="279" t="e">
        <f>(AH587+AH588+AH609)/(AH611+AH612+AH621)*100</f>
        <v>#DIV/0!</v>
      </c>
      <c r="AI558" s="279" t="e">
        <f>(AI587+AI588+AI609)/(AI611+AI612+AI621)*100</f>
        <v>#DIV/0!</v>
      </c>
      <c r="AK558" s="279" t="e">
        <f>(AK587+AK588+AK609)/(AK611+AK612+AK621)*100</f>
        <v>#DIV/0!</v>
      </c>
      <c r="AL558" s="279" t="e">
        <f>(AL587+AL588+AL609)/(AL611+AL612+AL621)*100</f>
        <v>#DIV/0!</v>
      </c>
      <c r="AN558" s="279" t="e">
        <f>(AN587+AN588+AN609)/(AN611+AN612+AN621)*100</f>
        <v>#DIV/0!</v>
      </c>
      <c r="AO558" s="279" t="e">
        <f>(AO587+AO588+AO609)/(AO611+AO612+AO621)*100</f>
        <v>#DIV/0!</v>
      </c>
      <c r="AQ558" s="279" t="e">
        <f>(AQ587+AQ588+AQ609)/(AQ611+AQ612+AQ621)*100</f>
        <v>#DIV/0!</v>
      </c>
      <c r="AR558" s="279" t="e">
        <f>(AR587+AR588+AR609)/(AR611+AR612+AR621)*100</f>
        <v>#DIV/0!</v>
      </c>
      <c r="AT558" s="279" t="e">
        <f>(AT587+AT588+AT609)/(AT611+AT612+AT621)*100</f>
        <v>#DIV/0!</v>
      </c>
      <c r="AU558" s="279" t="e">
        <f>(AU587+AU588+AU609)/(AU611+AU612+AU621)*100</f>
        <v>#DIV/0!</v>
      </c>
      <c r="AW558" s="279" t="e">
        <f>(AW587+AW588+AW609)/(AW611+AW612+AW621)*100</f>
        <v>#DIV/0!</v>
      </c>
      <c r="AX558" s="279" t="e">
        <f>(AX587+AX588+AX609)/(AX611+AX612+AX621)*100</f>
        <v>#DIV/0!</v>
      </c>
      <c r="AZ558" s="279" t="e">
        <f>(AZ587+AZ588+AZ609)/(AZ611+AZ612+AZ621)*100</f>
        <v>#DIV/0!</v>
      </c>
      <c r="BA558" s="279" t="e">
        <f>(BA587+BA588+BA609)/(BA611+BA612+BA621)*100</f>
        <v>#DIV/0!</v>
      </c>
      <c r="BC558" s="279" t="e">
        <f>(BC587+BC588+BC609)/(BC611+BC612+BC621)*100</f>
        <v>#DIV/0!</v>
      </c>
      <c r="BD558" s="279" t="e">
        <f>(BD587+BD588+BD609)/(BD611+BD612+BD621)*100</f>
        <v>#DIV/0!</v>
      </c>
      <c r="BF558" s="279" t="e">
        <f>(BF587+BF588+BF609)/(BF611+BF612+BF621)*100</f>
        <v>#DIV/0!</v>
      </c>
      <c r="BG558" s="279" t="e">
        <f>(BG587+BG588+BG609)/(BG611+BG612+BG621)*100</f>
        <v>#DIV/0!</v>
      </c>
      <c r="BI558" s="279" t="e">
        <f>(BI587+BI588+BI609)/(BI611+BI612+BI621)*100</f>
        <v>#DIV/0!</v>
      </c>
      <c r="BJ558" s="279" t="e">
        <f>(BJ587+BJ588+BJ609)/(BJ611+BJ612+BJ621)*100</f>
        <v>#DIV/0!</v>
      </c>
      <c r="BL558" s="279" t="e">
        <f>(BL587+BL588+BL609)/(BL611+BL612+BL621)*100</f>
        <v>#DIV/0!</v>
      </c>
      <c r="BM558" s="279" t="e">
        <f>(BM587+BM588+BM609)/(BM611+BM612+BM621)*100</f>
        <v>#DIV/0!</v>
      </c>
      <c r="BO558" s="279" t="e">
        <f>(BO587+BO588+BO609)/(BO611+BO612+BO621)*100</f>
        <v>#DIV/0!</v>
      </c>
      <c r="BP558" s="279" t="e">
        <f>(BP587+BP588+BP609)/(BP611+BP612+BP621)*100</f>
        <v>#DIV/0!</v>
      </c>
      <c r="BR558" s="279" t="e">
        <f>(BR587+BR588+BR609)/(BR611+BR612+BR621)*100</f>
        <v>#DIV/0!</v>
      </c>
      <c r="BS558" s="279" t="e">
        <f>(BS587+BS588+BS609)/(BS611+BS612+BS621)*100</f>
        <v>#DIV/0!</v>
      </c>
      <c r="BU558" s="279" t="e">
        <f>(BU587+BU588+BU609)/(BU611+BU612+BU621)*100</f>
        <v>#DIV/0!</v>
      </c>
      <c r="BV558" s="279" t="e">
        <f>(BV587+BV588+BV609)/(BV611+BV612+BV621)*100</f>
        <v>#DIV/0!</v>
      </c>
      <c r="BX558" s="279" t="e">
        <f>(BX587+BX588+BX609)/(BX611+BX612+BX621)*100</f>
        <v>#DIV/0!</v>
      </c>
      <c r="BY558" s="279" t="e">
        <f>(BY587+BY588+BY609)/(BY611+BY612+BY621)*100</f>
        <v>#DIV/0!</v>
      </c>
      <c r="CA558" s="279" t="e">
        <f>(CA587+CA588+CA609)/(CA611+CA612+CA621)*100</f>
        <v>#DIV/0!</v>
      </c>
      <c r="CB558" s="279" t="e">
        <f>(CB587+CB588+CB609)/(CB611+CB612+CB621)*100</f>
        <v>#DIV/0!</v>
      </c>
      <c r="CD558" s="279" t="e">
        <f>(CD587+CD588+CD609)/(CD611+CD612+CD621)*100</f>
        <v>#DIV/0!</v>
      </c>
      <c r="CE558" s="279" t="e">
        <f>(CE587+CE588+CE609)/(CE611+CE612+CE621)*100</f>
        <v>#DIV/0!</v>
      </c>
      <c r="CG558" s="279" t="e">
        <f>(CG587+CG588+CG609)/(CG611+CG612+CG621)*100</f>
        <v>#DIV/0!</v>
      </c>
      <c r="CH558" s="279" t="e">
        <f>(CH587+CH588+CH609)/(CH611+CH612+CH621)*100</f>
        <v>#DIV/0!</v>
      </c>
      <c r="CJ558" s="279" t="e">
        <f>(CJ587+CJ588+CJ609)/(CJ611+CJ612+CJ621)*100</f>
        <v>#DIV/0!</v>
      </c>
      <c r="CK558" s="279" t="e">
        <f>(CK587+CK588+CK609)/(CK611+CK612+CK621)*100</f>
        <v>#DIV/0!</v>
      </c>
    </row>
    <row r="559" spans="1:89" hidden="1" x14ac:dyDescent="0.25">
      <c r="A559" s="95"/>
      <c r="B559" s="96" t="s">
        <v>1183</v>
      </c>
      <c r="C559" s="107"/>
      <c r="D559" s="95" t="s">
        <v>8</v>
      </c>
      <c r="E559" s="279"/>
      <c r="F559" s="279"/>
      <c r="G559" s="279"/>
      <c r="H559" s="279">
        <f>(H587+H609)/(H611+H621)*100</f>
        <v>100</v>
      </c>
      <c r="I559" s="279">
        <f>(I587+I609)/(I611+I621)*100</f>
        <v>100</v>
      </c>
      <c r="J559" s="279" t="e">
        <f>(J587+J609)/(J611+J621)*100</f>
        <v>#DIV/0!</v>
      </c>
      <c r="K559" s="279" t="e">
        <f>(K587+K609)/(K611+K621)*100</f>
        <v>#DIV/0!</v>
      </c>
      <c r="L559" s="279" t="e">
        <f>(L587+L609)/(L611+L621)*100</f>
        <v>#DIV/0!</v>
      </c>
      <c r="M559" s="279" t="e">
        <f t="shared" ref="M559:N559" si="979">(M587+M609)/(M611+M621)*100</f>
        <v>#DIV/0!</v>
      </c>
      <c r="N559" s="279" t="e">
        <f t="shared" si="979"/>
        <v>#DIV/0!</v>
      </c>
      <c r="O559" s="281"/>
      <c r="Q559" s="279" t="e">
        <f>(Q587+Q609)/(Q611+Q621)*100</f>
        <v>#DIV/0!</v>
      </c>
      <c r="R559" s="279" t="e">
        <f>(R587+R609)/(R611+R621)*100</f>
        <v>#DIV/0!</v>
      </c>
      <c r="S559" s="279" t="e">
        <f>(S587+S609)/(S611+S621)*100</f>
        <v>#DIV/0!</v>
      </c>
      <c r="T559" s="279" t="e">
        <f>(T587+T609)/(T611+T621)*100</f>
        <v>#DIV/0!</v>
      </c>
      <c r="V559" s="279" t="e">
        <f>(V587+V609)/(V611+V621)*100</f>
        <v>#DIV/0!</v>
      </c>
      <c r="W559" s="279" t="e">
        <f>(W587+W609)/(W611+W621)*100</f>
        <v>#DIV/0!</v>
      </c>
      <c r="Y559" s="279" t="e">
        <f>(Y587+Y609)/(Y611+Y621)*100</f>
        <v>#DIV/0!</v>
      </c>
      <c r="Z559" s="279" t="e">
        <f>(Z587+Z609)/(Z611+Z621)*100</f>
        <v>#DIV/0!</v>
      </c>
      <c r="AB559" s="279" t="e">
        <f>(AB587+AB609)/(AB611+AB621)*100</f>
        <v>#DIV/0!</v>
      </c>
      <c r="AC559" s="279" t="e">
        <f>(AC587+AC609)/(AC611+AC621)*100</f>
        <v>#DIV/0!</v>
      </c>
      <c r="AE559" s="279" t="e">
        <f>(AE587+AE609)/(AE611+AE621)*100</f>
        <v>#DIV/0!</v>
      </c>
      <c r="AF559" s="279" t="e">
        <f>(AF587+AF609)/(AF611+AF621)*100</f>
        <v>#DIV/0!</v>
      </c>
      <c r="AH559" s="279" t="e">
        <f>(AH587+AH609)/(AH611+AH621)*100</f>
        <v>#DIV/0!</v>
      </c>
      <c r="AI559" s="279" t="e">
        <f>(AI587+AI609)/(AI611+AI621)*100</f>
        <v>#DIV/0!</v>
      </c>
      <c r="AK559" s="279" t="e">
        <f>(AK587+AK609)/(AK611+AK621)*100</f>
        <v>#DIV/0!</v>
      </c>
      <c r="AL559" s="279" t="e">
        <f>(AL587+AL609)/(AL611+AL621)*100</f>
        <v>#DIV/0!</v>
      </c>
      <c r="AN559" s="279" t="e">
        <f>(AN587+AN609)/(AN611+AN621)*100</f>
        <v>#DIV/0!</v>
      </c>
      <c r="AO559" s="279" t="e">
        <f>(AO587+AO609)/(AO611+AO621)*100</f>
        <v>#DIV/0!</v>
      </c>
      <c r="AQ559" s="279" t="e">
        <f>(AQ587+AQ609)/(AQ611+AQ621)*100</f>
        <v>#DIV/0!</v>
      </c>
      <c r="AR559" s="279" t="e">
        <f>(AR587+AR609)/(AR611+AR621)*100</f>
        <v>#DIV/0!</v>
      </c>
      <c r="AT559" s="279" t="e">
        <f>(AT587+AT609)/(AT611+AT621)*100</f>
        <v>#DIV/0!</v>
      </c>
      <c r="AU559" s="279" t="e">
        <f>(AU587+AU609)/(AU611+AU621)*100</f>
        <v>#DIV/0!</v>
      </c>
      <c r="AW559" s="279" t="e">
        <f>(AW587+AW609)/(AW611+AW621)*100</f>
        <v>#DIV/0!</v>
      </c>
      <c r="AX559" s="279" t="e">
        <f>(AX587+AX609)/(AX611+AX621)*100</f>
        <v>#DIV/0!</v>
      </c>
      <c r="AZ559" s="279" t="e">
        <f>(AZ587+AZ609)/(AZ611+AZ621)*100</f>
        <v>#DIV/0!</v>
      </c>
      <c r="BA559" s="279" t="e">
        <f>(BA587+BA609)/(BA611+BA621)*100</f>
        <v>#DIV/0!</v>
      </c>
      <c r="BC559" s="279" t="e">
        <f>(BC587+BC609)/(BC611+BC621)*100</f>
        <v>#DIV/0!</v>
      </c>
      <c r="BD559" s="279" t="e">
        <f>(BD587+BD609)/(BD611+BD621)*100</f>
        <v>#DIV/0!</v>
      </c>
      <c r="BF559" s="279" t="e">
        <f>(BF587+BF609)/(BF611+BF621)*100</f>
        <v>#DIV/0!</v>
      </c>
      <c r="BG559" s="279" t="e">
        <f>(BG587+BG609)/(BG611+BG621)*100</f>
        <v>#DIV/0!</v>
      </c>
      <c r="BI559" s="279" t="e">
        <f>(BI587+BI609)/(BI611+BI621)*100</f>
        <v>#DIV/0!</v>
      </c>
      <c r="BJ559" s="279" t="e">
        <f>(BJ587+BJ609)/(BJ611+BJ621)*100</f>
        <v>#DIV/0!</v>
      </c>
      <c r="BL559" s="279" t="e">
        <f>(BL587+BL609)/(BL611+BL621)*100</f>
        <v>#DIV/0!</v>
      </c>
      <c r="BM559" s="279" t="e">
        <f>(BM587+BM609)/(BM611+BM621)*100</f>
        <v>#DIV/0!</v>
      </c>
      <c r="BO559" s="279" t="e">
        <f>(BO587+BO609)/(BO611+BO621)*100</f>
        <v>#DIV/0!</v>
      </c>
      <c r="BP559" s="279" t="e">
        <f>(BP587+BP609)/(BP611+BP621)*100</f>
        <v>#DIV/0!</v>
      </c>
      <c r="BR559" s="279" t="e">
        <f>(BR587+BR609)/(BR611+BR621)*100</f>
        <v>#DIV/0!</v>
      </c>
      <c r="BS559" s="279" t="e">
        <f>(BS587+BS609)/(BS611+BS621)*100</f>
        <v>#DIV/0!</v>
      </c>
      <c r="BU559" s="279" t="e">
        <f>(BU587+BU609)/(BU611+BU621)*100</f>
        <v>#DIV/0!</v>
      </c>
      <c r="BV559" s="279" t="e">
        <f>(BV587+BV609)/(BV611+BV621)*100</f>
        <v>#DIV/0!</v>
      </c>
      <c r="BX559" s="279" t="e">
        <f>(BX587+BX609)/(BX611+BX621)*100</f>
        <v>#DIV/0!</v>
      </c>
      <c r="BY559" s="279" t="e">
        <f>(BY587+BY609)/(BY611+BY621)*100</f>
        <v>#DIV/0!</v>
      </c>
      <c r="CA559" s="279" t="e">
        <f>(CA587+CA609)/(CA611+CA621)*100</f>
        <v>#DIV/0!</v>
      </c>
      <c r="CB559" s="279" t="e">
        <f>(CB587+CB609)/(CB611+CB621)*100</f>
        <v>#DIV/0!</v>
      </c>
      <c r="CD559" s="279" t="e">
        <f>(CD587+CD609)/(CD611+CD621)*100</f>
        <v>#DIV/0!</v>
      </c>
      <c r="CE559" s="279" t="e">
        <f>(CE587+CE609)/(CE611+CE621)*100</f>
        <v>#DIV/0!</v>
      </c>
      <c r="CG559" s="279" t="e">
        <f>(CG587+CG609)/(CG611+CG621)*100</f>
        <v>#DIV/0!</v>
      </c>
      <c r="CH559" s="279" t="e">
        <f>(CH587+CH609)/(CH611+CH621)*100</f>
        <v>#DIV/0!</v>
      </c>
      <c r="CJ559" s="279" t="e">
        <f>(CJ587+CJ609)/(CJ611+CJ621)*100</f>
        <v>#DIV/0!</v>
      </c>
      <c r="CK559" s="279" t="e">
        <f>(CK587+CK609)/(CK611+CK621)*100</f>
        <v>#DIV/0!</v>
      </c>
    </row>
    <row r="560" spans="1:89" hidden="1" x14ac:dyDescent="0.25">
      <c r="A560" s="95"/>
      <c r="B560" s="16" t="s">
        <v>1185</v>
      </c>
      <c r="C560" s="107"/>
      <c r="D560" s="95" t="s">
        <v>8</v>
      </c>
      <c r="E560" s="279"/>
      <c r="F560" s="279"/>
      <c r="G560" s="279"/>
      <c r="H560" s="279">
        <f>(H588+H609)/(H612+H621)*100</f>
        <v>98</v>
      </c>
      <c r="I560" s="279">
        <f>(I588+I609)/(I612+I621)*100</f>
        <v>98.742138364779876</v>
      </c>
      <c r="J560" s="279" t="e">
        <f>(J588+J609)/(J612+J621)*100</f>
        <v>#DIV/0!</v>
      </c>
      <c r="K560" s="279" t="e">
        <f>(K588+K609)/(K612+K621)*100</f>
        <v>#DIV/0!</v>
      </c>
      <c r="L560" s="279" t="e">
        <f>(L588+L609)/(L612+L621)*100</f>
        <v>#DIV/0!</v>
      </c>
      <c r="M560" s="279" t="e">
        <f t="shared" ref="M560:N560" si="980">(M588+M609)/(M612+M621)*100</f>
        <v>#DIV/0!</v>
      </c>
      <c r="N560" s="279" t="e">
        <f t="shared" si="980"/>
        <v>#DIV/0!</v>
      </c>
      <c r="O560" s="281"/>
      <c r="Q560" s="279" t="e">
        <f>(Q588+Q609)/(Q612+Q621)*100</f>
        <v>#DIV/0!</v>
      </c>
      <c r="R560" s="279" t="e">
        <f>(R588+R609)/(R612+R621)*100</f>
        <v>#DIV/0!</v>
      </c>
      <c r="S560" s="279" t="e">
        <f>(S588+S609)/(S612+S621)*100</f>
        <v>#DIV/0!</v>
      </c>
      <c r="T560" s="279" t="e">
        <f>(T588+T609)/(T612+T621)*100</f>
        <v>#DIV/0!</v>
      </c>
      <c r="V560" s="279" t="e">
        <f>(V588+V609)/(V612+V621)*100</f>
        <v>#DIV/0!</v>
      </c>
      <c r="W560" s="279" t="e">
        <f>(W588+W609)/(W612+W621)*100</f>
        <v>#DIV/0!</v>
      </c>
      <c r="Y560" s="279" t="e">
        <f>(Y588+Y609)/(Y612+Y621)*100</f>
        <v>#DIV/0!</v>
      </c>
      <c r="Z560" s="279" t="e">
        <f>(Z588+Z609)/(Z612+Z621)*100</f>
        <v>#DIV/0!</v>
      </c>
      <c r="AB560" s="279" t="e">
        <f>(AB588+AB609)/(AB612+AB621)*100</f>
        <v>#DIV/0!</v>
      </c>
      <c r="AC560" s="279" t="e">
        <f>(AC588+AC609)/(AC612+AC621)*100</f>
        <v>#DIV/0!</v>
      </c>
      <c r="AE560" s="279" t="e">
        <f>(AE588+AE609)/(AE612+AE621)*100</f>
        <v>#DIV/0!</v>
      </c>
      <c r="AF560" s="279" t="e">
        <f>(AF588+AF609)/(AF612+AF621)*100</f>
        <v>#DIV/0!</v>
      </c>
      <c r="AH560" s="279" t="e">
        <f>(AH588+AH609)/(AH612+AH621)*100</f>
        <v>#DIV/0!</v>
      </c>
      <c r="AI560" s="279" t="e">
        <f>(AI588+AI609)/(AI612+AI621)*100</f>
        <v>#DIV/0!</v>
      </c>
      <c r="AK560" s="279" t="e">
        <f>(AK588+AK609)/(AK612+AK621)*100</f>
        <v>#DIV/0!</v>
      </c>
      <c r="AL560" s="279" t="e">
        <f>(AL588+AL609)/(AL612+AL621)*100</f>
        <v>#DIV/0!</v>
      </c>
      <c r="AN560" s="279" t="e">
        <f>(AN588+AN609)/(AN612+AN621)*100</f>
        <v>#DIV/0!</v>
      </c>
      <c r="AO560" s="279" t="e">
        <f>(AO588+AO609)/(AO612+AO621)*100</f>
        <v>#DIV/0!</v>
      </c>
      <c r="AQ560" s="279" t="e">
        <f>(AQ588+AQ609)/(AQ612+AQ621)*100</f>
        <v>#DIV/0!</v>
      </c>
      <c r="AR560" s="279" t="e">
        <f>(AR588+AR609)/(AR612+AR621)*100</f>
        <v>#DIV/0!</v>
      </c>
      <c r="AT560" s="279" t="e">
        <f>(AT588+AT609)/(AT612+AT621)*100</f>
        <v>#DIV/0!</v>
      </c>
      <c r="AU560" s="279" t="e">
        <f>(AU588+AU609)/(AU612+AU621)*100</f>
        <v>#DIV/0!</v>
      </c>
      <c r="AW560" s="279" t="e">
        <f>(AW588+AW609)/(AW612+AW621)*100</f>
        <v>#DIV/0!</v>
      </c>
      <c r="AX560" s="279" t="e">
        <f>(AX588+AX609)/(AX612+AX621)*100</f>
        <v>#DIV/0!</v>
      </c>
      <c r="AZ560" s="279" t="e">
        <f>(AZ588+AZ609)/(AZ612+AZ621)*100</f>
        <v>#DIV/0!</v>
      </c>
      <c r="BA560" s="279" t="e">
        <f>(BA588+BA609)/(BA612+BA621)*100</f>
        <v>#DIV/0!</v>
      </c>
      <c r="BC560" s="279" t="e">
        <f>(BC588+BC609)/(BC612+BC621)*100</f>
        <v>#DIV/0!</v>
      </c>
      <c r="BD560" s="279" t="e">
        <f>(BD588+BD609)/(BD612+BD621)*100</f>
        <v>#DIV/0!</v>
      </c>
      <c r="BF560" s="279" t="e">
        <f>(BF588+BF609)/(BF612+BF621)*100</f>
        <v>#DIV/0!</v>
      </c>
      <c r="BG560" s="279" t="e">
        <f>(BG588+BG609)/(BG612+BG621)*100</f>
        <v>#DIV/0!</v>
      </c>
      <c r="BI560" s="279" t="e">
        <f>(BI588+BI609)/(BI612+BI621)*100</f>
        <v>#DIV/0!</v>
      </c>
      <c r="BJ560" s="279" t="e">
        <f>(BJ588+BJ609)/(BJ612+BJ621)*100</f>
        <v>#DIV/0!</v>
      </c>
      <c r="BL560" s="279" t="e">
        <f>(BL588+BL609)/(BL612+BL621)*100</f>
        <v>#DIV/0!</v>
      </c>
      <c r="BM560" s="279" t="e">
        <f>(BM588+BM609)/(BM612+BM621)*100</f>
        <v>#DIV/0!</v>
      </c>
      <c r="BO560" s="279" t="e">
        <f>(BO588+BO609)/(BO612+BO621)*100</f>
        <v>#DIV/0!</v>
      </c>
      <c r="BP560" s="279" t="e">
        <f>(BP588+BP609)/(BP612+BP621)*100</f>
        <v>#DIV/0!</v>
      </c>
      <c r="BR560" s="279" t="e">
        <f>(BR588+BR609)/(BR612+BR621)*100</f>
        <v>#DIV/0!</v>
      </c>
      <c r="BS560" s="279" t="e">
        <f>(BS588+BS609)/(BS612+BS621)*100</f>
        <v>#DIV/0!</v>
      </c>
      <c r="BU560" s="279" t="e">
        <f>(BU588+BU609)/(BU612+BU621)*100</f>
        <v>#DIV/0!</v>
      </c>
      <c r="BV560" s="279" t="e">
        <f>(BV588+BV609)/(BV612+BV621)*100</f>
        <v>#DIV/0!</v>
      </c>
      <c r="BX560" s="279" t="e">
        <f>(BX588+BX609)/(BX612+BX621)*100</f>
        <v>#DIV/0!</v>
      </c>
      <c r="BY560" s="279" t="e">
        <f>(BY588+BY609)/(BY612+BY621)*100</f>
        <v>#DIV/0!</v>
      </c>
      <c r="CA560" s="279" t="e">
        <f>(CA588+CA609)/(CA612+CA621)*100</f>
        <v>#DIV/0!</v>
      </c>
      <c r="CB560" s="279" t="e">
        <f>(CB588+CB609)/(CB612+CB621)*100</f>
        <v>#DIV/0!</v>
      </c>
      <c r="CD560" s="279" t="e">
        <f>(CD588+CD609)/(CD612+CD621)*100</f>
        <v>#DIV/0!</v>
      </c>
      <c r="CE560" s="279" t="e">
        <f>(CE588+CE609)/(CE612+CE621)*100</f>
        <v>#DIV/0!</v>
      </c>
      <c r="CG560" s="279" t="e">
        <f>(CG588+CG609)/(CG612+CG621)*100</f>
        <v>#DIV/0!</v>
      </c>
      <c r="CH560" s="279" t="e">
        <f>(CH588+CH609)/(CH612+CH621)*100</f>
        <v>#DIV/0!</v>
      </c>
      <c r="CJ560" s="279" t="e">
        <f>(CJ588+CJ609)/(CJ612+CJ621)*100</f>
        <v>#DIV/0!</v>
      </c>
      <c r="CK560" s="279" t="e">
        <f>(CK588+CK609)/(CK612+CK621)*100</f>
        <v>#DIV/0!</v>
      </c>
    </row>
    <row r="561" spans="1:89" hidden="1" x14ac:dyDescent="0.25">
      <c r="A561" s="95"/>
      <c r="B561" s="96" t="s">
        <v>1184</v>
      </c>
      <c r="C561" s="107"/>
      <c r="D561" s="95" t="s">
        <v>8</v>
      </c>
      <c r="E561" s="279">
        <f t="shared" ref="E561:J561" si="981">(E589+E590)/(E613+E614)*100</f>
        <v>100</v>
      </c>
      <c r="F561" s="279">
        <f t="shared" si="981"/>
        <v>100</v>
      </c>
      <c r="G561" s="279">
        <f t="shared" si="981"/>
        <v>100</v>
      </c>
      <c r="H561" s="279">
        <f t="shared" si="981"/>
        <v>100</v>
      </c>
      <c r="I561" s="279">
        <f t="shared" si="981"/>
        <v>150</v>
      </c>
      <c r="J561" s="279">
        <f t="shared" si="981"/>
        <v>0</v>
      </c>
      <c r="K561" s="279">
        <f>(K589+K590)/(K613+K614)*100</f>
        <v>0</v>
      </c>
      <c r="L561" s="279" t="e">
        <f>(L589+L590)/(L613+L614)*100</f>
        <v>#DIV/0!</v>
      </c>
      <c r="M561" s="279" t="e">
        <f>(M589+M590)/(M613+M614)*100</f>
        <v>#DIV/0!</v>
      </c>
      <c r="N561" s="279" t="e">
        <f>(N589+N590)/(N613+N614)*100</f>
        <v>#DIV/0!</v>
      </c>
      <c r="O561" s="281"/>
      <c r="Q561" s="279">
        <f>(Q589+Q590)/(Q613+Q614)*100</f>
        <v>0</v>
      </c>
      <c r="R561" s="279">
        <f>(R589+R590)/(R613+R614)*100</f>
        <v>0</v>
      </c>
      <c r="S561" s="279" t="e">
        <f>(S589+S590)/(S613+S614)*100</f>
        <v>#DIV/0!</v>
      </c>
      <c r="T561" s="279" t="e">
        <f>(T589+T590)/(T613+T614)*100</f>
        <v>#DIV/0!</v>
      </c>
      <c r="V561" s="279" t="e">
        <f>(V589+V590)/(V613+V614)*100</f>
        <v>#DIV/0!</v>
      </c>
      <c r="W561" s="279" t="e">
        <f>(W589+W590)/(W613+W614)*100</f>
        <v>#DIV/0!</v>
      </c>
      <c r="Y561" s="279" t="e">
        <f>(Y589+Y590)/(Y613+Y614)*100</f>
        <v>#DIV/0!</v>
      </c>
      <c r="Z561" s="279" t="e">
        <f>(Z589+Z590)/(Z613+Z614)*100</f>
        <v>#DIV/0!</v>
      </c>
      <c r="AB561" s="279" t="e">
        <f>(AB589+AB590)/(AB613+AB614)*100</f>
        <v>#DIV/0!</v>
      </c>
      <c r="AC561" s="279" t="e">
        <f>(AC589+AC590)/(AC613+AC614)*100</f>
        <v>#DIV/0!</v>
      </c>
      <c r="AE561" s="279" t="e">
        <f>(AE589+AE590)/(AE613+AE614)*100</f>
        <v>#DIV/0!</v>
      </c>
      <c r="AF561" s="279" t="e">
        <f>(AF589+AF590)/(AF613+AF614)*100</f>
        <v>#DIV/0!</v>
      </c>
      <c r="AH561" s="279" t="e">
        <f>(AH589+AH590)/(AH613+AH614)*100</f>
        <v>#DIV/0!</v>
      </c>
      <c r="AI561" s="279" t="e">
        <f>(AI589+AI590)/(AI613+AI614)*100</f>
        <v>#DIV/0!</v>
      </c>
      <c r="AK561" s="279" t="e">
        <f>(AK589+AK590)/(AK613+AK614)*100</f>
        <v>#DIV/0!</v>
      </c>
      <c r="AL561" s="279" t="e">
        <f>(AL589+AL590)/(AL613+AL614)*100</f>
        <v>#DIV/0!</v>
      </c>
      <c r="AN561" s="279" t="e">
        <f>(AN589+AN590)/(AN613+AN614)*100</f>
        <v>#DIV/0!</v>
      </c>
      <c r="AO561" s="279" t="e">
        <f>(AO589+AO590)/(AO613+AO614)*100</f>
        <v>#DIV/0!</v>
      </c>
      <c r="AQ561" s="279" t="e">
        <f>(AQ589+AQ590)/(AQ613+AQ614)*100</f>
        <v>#DIV/0!</v>
      </c>
      <c r="AR561" s="279" t="e">
        <f>(AR589+AR590)/(AR613+AR614)*100</f>
        <v>#DIV/0!</v>
      </c>
      <c r="AT561" s="279" t="e">
        <f>(AT589+AT590)/(AT613+AT614)*100</f>
        <v>#DIV/0!</v>
      </c>
      <c r="AU561" s="279" t="e">
        <f>(AU589+AU590)/(AU613+AU614)*100</f>
        <v>#DIV/0!</v>
      </c>
      <c r="AW561" s="279" t="e">
        <f>(AW589+AW590)/(AW613+AW614)*100</f>
        <v>#DIV/0!</v>
      </c>
      <c r="AX561" s="279" t="e">
        <f>(AX589+AX590)/(AX613+AX614)*100</f>
        <v>#DIV/0!</v>
      </c>
      <c r="AZ561" s="279" t="e">
        <f>(AZ589+AZ590)/(AZ613+AZ614)*100</f>
        <v>#DIV/0!</v>
      </c>
      <c r="BA561" s="279" t="e">
        <f>(BA589+BA590)/(BA613+BA614)*100</f>
        <v>#DIV/0!</v>
      </c>
      <c r="BC561" s="279">
        <f>(BC589+BC590)/(BC613+BC614)*100</f>
        <v>0</v>
      </c>
      <c r="BD561" s="279">
        <f>(BD589+BD590)/(BD613+BD614)*100</f>
        <v>0</v>
      </c>
      <c r="BF561" s="279">
        <f>(BF589+BF590)/(BF613+BF614)*100</f>
        <v>0</v>
      </c>
      <c r="BG561" s="279">
        <f>(BG589+BG590)/(BG613+BG614)*100</f>
        <v>0</v>
      </c>
      <c r="BI561" s="279">
        <f>(BI589+BI590)/(BI613+BI614)*100</f>
        <v>0</v>
      </c>
      <c r="BJ561" s="279">
        <f>(BJ589+BJ590)/(BJ613+BJ614)*100</f>
        <v>0</v>
      </c>
      <c r="BL561" s="279" t="e">
        <f>(BL589+BL590)/(BL613+BL614)*100</f>
        <v>#DIV/0!</v>
      </c>
      <c r="BM561" s="279" t="e">
        <f>(BM589+BM590)/(BM613+BM614)*100</f>
        <v>#DIV/0!</v>
      </c>
      <c r="BO561" s="279" t="e">
        <f>(BO589+BO590)/(BO613+BO614)*100</f>
        <v>#DIV/0!</v>
      </c>
      <c r="BP561" s="279" t="e">
        <f>(BP589+BP590)/(BP613+BP614)*100</f>
        <v>#DIV/0!</v>
      </c>
      <c r="BR561" s="279" t="e">
        <f>(BR589+BR590)/(BR613+BR614)*100</f>
        <v>#DIV/0!</v>
      </c>
      <c r="BS561" s="279" t="e">
        <f>(BS589+BS590)/(BS613+BS614)*100</f>
        <v>#DIV/0!</v>
      </c>
      <c r="BU561" s="279" t="e">
        <f>(BU589+BU590)/(BU613+BU614)*100</f>
        <v>#DIV/0!</v>
      </c>
      <c r="BV561" s="279" t="e">
        <f>(BV589+BV590)/(BV613+BV614)*100</f>
        <v>#DIV/0!</v>
      </c>
      <c r="BX561" s="279" t="e">
        <f>(BX589+BX590)/(BX613+BX614)*100</f>
        <v>#DIV/0!</v>
      </c>
      <c r="BY561" s="279" t="e">
        <f>(BY589+BY590)/(BY613+BY614)*100</f>
        <v>#DIV/0!</v>
      </c>
      <c r="CA561" s="279" t="e">
        <f>(CA589+CA590)/(CA613+CA614)*100</f>
        <v>#DIV/0!</v>
      </c>
      <c r="CB561" s="279" t="e">
        <f>(CB589+CB590)/(CB613+CB614)*100</f>
        <v>#DIV/0!</v>
      </c>
      <c r="CD561" s="279">
        <f>(CD589+CD590)/(CD613+CD614)*100</f>
        <v>0</v>
      </c>
      <c r="CE561" s="279">
        <f>(CE589+CE590)/(CE613+CE614)*100</f>
        <v>0</v>
      </c>
      <c r="CG561" s="279" t="e">
        <f>(CG589+CG590)/(CG613+CG614)*100</f>
        <v>#DIV/0!</v>
      </c>
      <c r="CH561" s="279" t="e">
        <f>(CH589+CH590)/(CH613+CH614)*100</f>
        <v>#DIV/0!</v>
      </c>
      <c r="CJ561" s="279" t="e">
        <f>(CJ589+CJ590)/(CJ613+CJ614)*100</f>
        <v>#DIV/0!</v>
      </c>
      <c r="CK561" s="279" t="e">
        <f>(CK589+CK590)/(CK613+CK614)*100</f>
        <v>#DIV/0!</v>
      </c>
    </row>
    <row r="562" spans="1:89" hidden="1" x14ac:dyDescent="0.25">
      <c r="A562" s="95"/>
      <c r="B562" s="96" t="s">
        <v>1183</v>
      </c>
      <c r="C562" s="107"/>
      <c r="D562" s="95" t="s">
        <v>8</v>
      </c>
      <c r="E562" s="279"/>
      <c r="F562" s="279"/>
      <c r="G562" s="279"/>
      <c r="H562" s="279">
        <f t="shared" ref="H562:J563" si="982">(H589)/(H613)*100</f>
        <v>100</v>
      </c>
      <c r="I562" s="279">
        <f t="shared" si="982"/>
        <v>150</v>
      </c>
      <c r="J562" s="279">
        <f t="shared" si="982"/>
        <v>0</v>
      </c>
      <c r="K562" s="279">
        <f>(K589)/(K613)*100</f>
        <v>0</v>
      </c>
      <c r="L562" s="279" t="e">
        <f>(L589)/(L613)*100</f>
        <v>#DIV/0!</v>
      </c>
      <c r="M562" s="279" t="e">
        <f t="shared" ref="M562:N563" si="983">(M589)/(M613)*100</f>
        <v>#DIV/0!</v>
      </c>
      <c r="N562" s="279" t="e">
        <f t="shared" si="983"/>
        <v>#DIV/0!</v>
      </c>
      <c r="O562" s="281"/>
      <c r="Q562" s="279">
        <f t="shared" ref="Q562:T563" si="984">(Q589)/(Q613)*100</f>
        <v>0</v>
      </c>
      <c r="R562" s="279">
        <f t="shared" si="984"/>
        <v>0</v>
      </c>
      <c r="S562" s="279" t="e">
        <f t="shared" si="984"/>
        <v>#DIV/0!</v>
      </c>
      <c r="T562" s="279" t="e">
        <f t="shared" si="984"/>
        <v>#DIV/0!</v>
      </c>
      <c r="V562" s="279" t="e">
        <f>(V589)/(V613)*100</f>
        <v>#DIV/0!</v>
      </c>
      <c r="W562" s="279" t="e">
        <f>(W589)/(W613)*100</f>
        <v>#DIV/0!</v>
      </c>
      <c r="Y562" s="279" t="e">
        <f>(Y589)/(Y613)*100</f>
        <v>#DIV/0!</v>
      </c>
      <c r="Z562" s="279" t="e">
        <f>(Z589)/(Z613)*100</f>
        <v>#DIV/0!</v>
      </c>
      <c r="AB562" s="279" t="e">
        <f>(AB589)/(AB613)*100</f>
        <v>#DIV/0!</v>
      </c>
      <c r="AC562" s="279" t="e">
        <f>(AC589)/(AC613)*100</f>
        <v>#DIV/0!</v>
      </c>
      <c r="AE562" s="279" t="e">
        <f>(AE589)/(AE613)*100</f>
        <v>#DIV/0!</v>
      </c>
      <c r="AF562" s="279" t="e">
        <f>(AF589)/(AF613)*100</f>
        <v>#DIV/0!</v>
      </c>
      <c r="AH562" s="279" t="e">
        <f>(AH589)/(AH613)*100</f>
        <v>#DIV/0!</v>
      </c>
      <c r="AI562" s="279" t="e">
        <f>(AI589)/(AI613)*100</f>
        <v>#DIV/0!</v>
      </c>
      <c r="AK562" s="279" t="e">
        <f>(AK589)/(AK613)*100</f>
        <v>#DIV/0!</v>
      </c>
      <c r="AL562" s="279" t="e">
        <f>(AL589)/(AL613)*100</f>
        <v>#DIV/0!</v>
      </c>
      <c r="AN562" s="279" t="e">
        <f>(AN589)/(AN613)*100</f>
        <v>#DIV/0!</v>
      </c>
      <c r="AO562" s="279" t="e">
        <f>(AO589)/(AO613)*100</f>
        <v>#DIV/0!</v>
      </c>
      <c r="AQ562" s="279" t="e">
        <f>(AQ589)/(AQ613)*100</f>
        <v>#DIV/0!</v>
      </c>
      <c r="AR562" s="279" t="e">
        <f>(AR589)/(AR613)*100</f>
        <v>#DIV/0!</v>
      </c>
      <c r="AT562" s="279" t="e">
        <f>(AT589)/(AT613)*100</f>
        <v>#DIV/0!</v>
      </c>
      <c r="AU562" s="279" t="e">
        <f>(AU589)/(AU613)*100</f>
        <v>#DIV/0!</v>
      </c>
      <c r="AW562" s="279" t="e">
        <f>(AW589)/(AW613)*100</f>
        <v>#DIV/0!</v>
      </c>
      <c r="AX562" s="279" t="e">
        <f>(AX589)/(AX613)*100</f>
        <v>#DIV/0!</v>
      </c>
      <c r="AZ562" s="279" t="e">
        <f>(AZ589)/(AZ613)*100</f>
        <v>#DIV/0!</v>
      </c>
      <c r="BA562" s="279" t="e">
        <f>(BA589)/(BA613)*100</f>
        <v>#DIV/0!</v>
      </c>
      <c r="BC562" s="279">
        <f>(BC589)/(BC613)*100</f>
        <v>0</v>
      </c>
      <c r="BD562" s="279">
        <f>(BD589)/(BD613)*100</f>
        <v>0</v>
      </c>
      <c r="BF562" s="279">
        <f>(BF589)/(BF613)*100</f>
        <v>0</v>
      </c>
      <c r="BG562" s="279">
        <f>(BG589)/(BG613)*100</f>
        <v>0</v>
      </c>
      <c r="BI562" s="279">
        <f>(BI589)/(BI613)*100</f>
        <v>0</v>
      </c>
      <c r="BJ562" s="279">
        <f>(BJ589)/(BJ613)*100</f>
        <v>0</v>
      </c>
      <c r="BL562" s="279" t="e">
        <f>(BL589)/(BL613)*100</f>
        <v>#DIV/0!</v>
      </c>
      <c r="BM562" s="279" t="e">
        <f>(BM589)/(BM613)*100</f>
        <v>#DIV/0!</v>
      </c>
      <c r="BO562" s="279" t="e">
        <f>(BO589)/(BO613)*100</f>
        <v>#DIV/0!</v>
      </c>
      <c r="BP562" s="279" t="e">
        <f>(BP589)/(BP613)*100</f>
        <v>#DIV/0!</v>
      </c>
      <c r="BR562" s="279" t="e">
        <f>(BR589)/(BR613)*100</f>
        <v>#DIV/0!</v>
      </c>
      <c r="BS562" s="279" t="e">
        <f>(BS589)/(BS613)*100</f>
        <v>#DIV/0!</v>
      </c>
      <c r="BU562" s="279" t="e">
        <f>(BU589)/(BU613)*100</f>
        <v>#DIV/0!</v>
      </c>
      <c r="BV562" s="279" t="e">
        <f>(BV589)/(BV613)*100</f>
        <v>#DIV/0!</v>
      </c>
      <c r="BX562" s="279" t="e">
        <f>(BX589)/(BX613)*100</f>
        <v>#DIV/0!</v>
      </c>
      <c r="BY562" s="279" t="e">
        <f>(BY589)/(BY613)*100</f>
        <v>#DIV/0!</v>
      </c>
      <c r="CA562" s="279" t="e">
        <f>(CA589)/(CA613)*100</f>
        <v>#DIV/0!</v>
      </c>
      <c r="CB562" s="279" t="e">
        <f>(CB589)/(CB613)*100</f>
        <v>#DIV/0!</v>
      </c>
      <c r="CD562" s="279">
        <f>(CD589)/(CD613)*100</f>
        <v>0</v>
      </c>
      <c r="CE562" s="279">
        <f>(CE589)/(CE613)*100</f>
        <v>0</v>
      </c>
      <c r="CG562" s="279" t="e">
        <f>(CG589)/(CG613)*100</f>
        <v>#DIV/0!</v>
      </c>
      <c r="CH562" s="279" t="e">
        <f>(CH589)/(CH613)*100</f>
        <v>#DIV/0!</v>
      </c>
      <c r="CJ562" s="279" t="e">
        <f>(CJ589)/(CJ613)*100</f>
        <v>#DIV/0!</v>
      </c>
      <c r="CK562" s="279" t="e">
        <f>(CK589)/(CK613)*100</f>
        <v>#DIV/0!</v>
      </c>
    </row>
    <row r="563" spans="1:89" hidden="1" x14ac:dyDescent="0.25">
      <c r="A563" s="95"/>
      <c r="B563" s="16" t="s">
        <v>1185</v>
      </c>
      <c r="C563" s="107"/>
      <c r="D563" s="95" t="s">
        <v>8</v>
      </c>
      <c r="E563" s="279"/>
      <c r="F563" s="279"/>
      <c r="G563" s="279"/>
      <c r="H563" s="279" t="e">
        <f t="shared" si="982"/>
        <v>#DIV/0!</v>
      </c>
      <c r="I563" s="279" t="e">
        <f t="shared" si="982"/>
        <v>#DIV/0!</v>
      </c>
      <c r="J563" s="279" t="e">
        <f t="shared" si="982"/>
        <v>#DIV/0!</v>
      </c>
      <c r="K563" s="279" t="e">
        <f>(K590)/(K614)*100</f>
        <v>#DIV/0!</v>
      </c>
      <c r="L563" s="279" t="e">
        <f>(L590)/(L614)*100</f>
        <v>#DIV/0!</v>
      </c>
      <c r="M563" s="279" t="e">
        <f t="shared" si="983"/>
        <v>#DIV/0!</v>
      </c>
      <c r="N563" s="279" t="e">
        <f t="shared" si="983"/>
        <v>#DIV/0!</v>
      </c>
      <c r="O563" s="281"/>
      <c r="Q563" s="279" t="e">
        <f t="shared" si="984"/>
        <v>#DIV/0!</v>
      </c>
      <c r="R563" s="279" t="e">
        <f t="shared" si="984"/>
        <v>#DIV/0!</v>
      </c>
      <c r="S563" s="279" t="e">
        <f t="shared" si="984"/>
        <v>#DIV/0!</v>
      </c>
      <c r="T563" s="279" t="e">
        <f t="shared" si="984"/>
        <v>#DIV/0!</v>
      </c>
      <c r="V563" s="279" t="e">
        <f>(V590)/(V614)*100</f>
        <v>#DIV/0!</v>
      </c>
      <c r="W563" s="279" t="e">
        <f>(W590)/(W614)*100</f>
        <v>#DIV/0!</v>
      </c>
      <c r="Y563" s="279" t="e">
        <f>(Y590)/(Y614)*100</f>
        <v>#DIV/0!</v>
      </c>
      <c r="Z563" s="279" t="e">
        <f>(Z590)/(Z614)*100</f>
        <v>#DIV/0!</v>
      </c>
      <c r="AB563" s="279" t="e">
        <f>(AB590)/(AB614)*100</f>
        <v>#DIV/0!</v>
      </c>
      <c r="AC563" s="279" t="e">
        <f>(AC590)/(AC614)*100</f>
        <v>#DIV/0!</v>
      </c>
      <c r="AE563" s="279" t="e">
        <f>(AE590)/(AE614)*100</f>
        <v>#DIV/0!</v>
      </c>
      <c r="AF563" s="279" t="e">
        <f>(AF590)/(AF614)*100</f>
        <v>#DIV/0!</v>
      </c>
      <c r="AH563" s="279" t="e">
        <f>(AH590)/(AH614)*100</f>
        <v>#DIV/0!</v>
      </c>
      <c r="AI563" s="279" t="e">
        <f>(AI590)/(AI614)*100</f>
        <v>#DIV/0!</v>
      </c>
      <c r="AK563" s="279" t="e">
        <f>(AK590)/(AK614)*100</f>
        <v>#DIV/0!</v>
      </c>
      <c r="AL563" s="279" t="e">
        <f>(AL590)/(AL614)*100</f>
        <v>#DIV/0!</v>
      </c>
      <c r="AN563" s="279" t="e">
        <f>(AN590)/(AN614)*100</f>
        <v>#DIV/0!</v>
      </c>
      <c r="AO563" s="279" t="e">
        <f>(AO590)/(AO614)*100</f>
        <v>#DIV/0!</v>
      </c>
      <c r="AQ563" s="279" t="e">
        <f>(AQ590)/(AQ614)*100</f>
        <v>#DIV/0!</v>
      </c>
      <c r="AR563" s="279" t="e">
        <f>(AR590)/(AR614)*100</f>
        <v>#DIV/0!</v>
      </c>
      <c r="AT563" s="279" t="e">
        <f>(AT590)/(AT614)*100</f>
        <v>#DIV/0!</v>
      </c>
      <c r="AU563" s="279" t="e">
        <f>(AU590)/(AU614)*100</f>
        <v>#DIV/0!</v>
      </c>
      <c r="AW563" s="279" t="e">
        <f>(AW590)/(AW614)*100</f>
        <v>#DIV/0!</v>
      </c>
      <c r="AX563" s="279" t="e">
        <f>(AX590)/(AX614)*100</f>
        <v>#DIV/0!</v>
      </c>
      <c r="AZ563" s="279" t="e">
        <f>(AZ590)/(AZ614)*100</f>
        <v>#DIV/0!</v>
      </c>
      <c r="BA563" s="279" t="e">
        <f>(BA590)/(BA614)*100</f>
        <v>#DIV/0!</v>
      </c>
      <c r="BC563" s="279" t="e">
        <f>(BC590)/(BC614)*100</f>
        <v>#DIV/0!</v>
      </c>
      <c r="BD563" s="279" t="e">
        <f>(BD590)/(BD614)*100</f>
        <v>#DIV/0!</v>
      </c>
      <c r="BF563" s="279" t="e">
        <f>(BF590)/(BF614)*100</f>
        <v>#DIV/0!</v>
      </c>
      <c r="BG563" s="279" t="e">
        <f>(BG590)/(BG614)*100</f>
        <v>#DIV/0!</v>
      </c>
      <c r="BI563" s="279" t="e">
        <f>(BI590)/(BI614)*100</f>
        <v>#DIV/0!</v>
      </c>
      <c r="BJ563" s="279" t="e">
        <f>(BJ590)/(BJ614)*100</f>
        <v>#DIV/0!</v>
      </c>
      <c r="BL563" s="279" t="e">
        <f>(BL590)/(BL614)*100</f>
        <v>#DIV/0!</v>
      </c>
      <c r="BM563" s="279" t="e">
        <f>(BM590)/(BM614)*100</f>
        <v>#DIV/0!</v>
      </c>
      <c r="BO563" s="279" t="e">
        <f>(BO590)/(BO614)*100</f>
        <v>#DIV/0!</v>
      </c>
      <c r="BP563" s="279" t="e">
        <f>(BP590)/(BP614)*100</f>
        <v>#DIV/0!</v>
      </c>
      <c r="BR563" s="279" t="e">
        <f>(BR590)/(BR614)*100</f>
        <v>#DIV/0!</v>
      </c>
      <c r="BS563" s="279" t="e">
        <f>(BS590)/(BS614)*100</f>
        <v>#DIV/0!</v>
      </c>
      <c r="BU563" s="279" t="e">
        <f>(BU590)/(BU614)*100</f>
        <v>#DIV/0!</v>
      </c>
      <c r="BV563" s="279" t="e">
        <f>(BV590)/(BV614)*100</f>
        <v>#DIV/0!</v>
      </c>
      <c r="BX563" s="279" t="e">
        <f>(BX590)/(BX614)*100</f>
        <v>#DIV/0!</v>
      </c>
      <c r="BY563" s="279" t="e">
        <f>(BY590)/(BY614)*100</f>
        <v>#DIV/0!</v>
      </c>
      <c r="CA563" s="279" t="e">
        <f>(CA590)/(CA614)*100</f>
        <v>#DIV/0!</v>
      </c>
      <c r="CB563" s="279" t="e">
        <f>(CB590)/(CB614)*100</f>
        <v>#DIV/0!</v>
      </c>
      <c r="CD563" s="279" t="e">
        <f>(CD590)/(CD614)*100</f>
        <v>#DIV/0!</v>
      </c>
      <c r="CE563" s="279" t="e">
        <f>(CE590)/(CE614)*100</f>
        <v>#DIV/0!</v>
      </c>
      <c r="CG563" s="279" t="e">
        <f>(CG590)/(CG614)*100</f>
        <v>#DIV/0!</v>
      </c>
      <c r="CH563" s="279" t="e">
        <f>(CH590)/(CH614)*100</f>
        <v>#DIV/0!</v>
      </c>
      <c r="CJ563" s="279" t="e">
        <f>(CJ590)/(CJ614)*100</f>
        <v>#DIV/0!</v>
      </c>
      <c r="CK563" s="279" t="e">
        <f>(CK590)/(CK614)*100</f>
        <v>#DIV/0!</v>
      </c>
    </row>
    <row r="564" spans="1:89" hidden="1" x14ac:dyDescent="0.25">
      <c r="A564" s="95"/>
      <c r="B564" s="16" t="s">
        <v>65</v>
      </c>
      <c r="C564" s="107"/>
      <c r="D564" s="95" t="s">
        <v>8</v>
      </c>
      <c r="E564" s="279"/>
      <c r="F564" s="279"/>
      <c r="G564" s="279"/>
      <c r="H564" s="279"/>
      <c r="I564" s="279"/>
      <c r="J564" s="279"/>
      <c r="K564" s="279"/>
      <c r="L564" s="279"/>
      <c r="M564" s="279"/>
      <c r="N564" s="279"/>
      <c r="O564" s="281"/>
      <c r="Q564" s="279"/>
      <c r="R564" s="279"/>
      <c r="S564" s="279"/>
      <c r="T564" s="279"/>
      <c r="V564" s="279"/>
      <c r="W564" s="279"/>
      <c r="Y564" s="279"/>
      <c r="Z564" s="279"/>
      <c r="AB564" s="279"/>
      <c r="AC564" s="279"/>
      <c r="AE564" s="279"/>
      <c r="AF564" s="279"/>
      <c r="AH564" s="279"/>
      <c r="AI564" s="279"/>
      <c r="AK564" s="279"/>
      <c r="AL564" s="279"/>
      <c r="AN564" s="279"/>
      <c r="AO564" s="279"/>
      <c r="AQ564" s="279"/>
      <c r="AR564" s="279"/>
      <c r="AT564" s="279"/>
      <c r="AU564" s="279"/>
      <c r="AW564" s="279"/>
      <c r="AX564" s="279"/>
      <c r="AZ564" s="279"/>
      <c r="BA564" s="279"/>
      <c r="BC564" s="279"/>
      <c r="BD564" s="279"/>
      <c r="BF564" s="279"/>
      <c r="BG564" s="279"/>
      <c r="BI564" s="279"/>
      <c r="BJ564" s="279"/>
      <c r="BL564" s="279"/>
      <c r="BM564" s="279"/>
      <c r="BO564" s="279"/>
      <c r="BP564" s="279"/>
      <c r="BR564" s="279"/>
      <c r="BS564" s="279"/>
      <c r="BU564" s="279"/>
      <c r="BV564" s="279"/>
      <c r="BX564" s="279"/>
      <c r="BY564" s="279"/>
      <c r="CA564" s="279"/>
      <c r="CB564" s="279"/>
      <c r="CD564" s="279"/>
      <c r="CE564" s="279"/>
      <c r="CG564" s="279"/>
      <c r="CH564" s="279"/>
      <c r="CJ564" s="279"/>
      <c r="CK564" s="279"/>
    </row>
    <row r="565" spans="1:89" hidden="1" x14ac:dyDescent="0.25">
      <c r="A565" s="95"/>
      <c r="B565" s="96" t="s">
        <v>1182</v>
      </c>
      <c r="C565" s="107"/>
      <c r="D565" s="95" t="s">
        <v>8</v>
      </c>
      <c r="E565" s="279">
        <f t="shared" ref="E565:J565" si="985">(E597+E598+E610)/(E611+E612+E621)*100</f>
        <v>95.626822157434404</v>
      </c>
      <c r="F565" s="279">
        <f t="shared" si="985"/>
        <v>97.345132743362825</v>
      </c>
      <c r="G565" s="279">
        <f t="shared" si="985"/>
        <v>96.969696969696969</v>
      </c>
      <c r="H565" s="279">
        <f t="shared" si="985"/>
        <v>97.826086956521735</v>
      </c>
      <c r="I565" s="279">
        <f t="shared" si="985"/>
        <v>96.569920844327171</v>
      </c>
      <c r="J565" s="279" t="e">
        <f t="shared" si="985"/>
        <v>#DIV/0!</v>
      </c>
      <c r="K565" s="279" t="e">
        <f>(K597+K598+K610)/(K611+K612+K621)*100</f>
        <v>#DIV/0!</v>
      </c>
      <c r="L565" s="279" t="e">
        <f>(L597+L598+L610)/(L611+L612+L621)*100</f>
        <v>#DIV/0!</v>
      </c>
      <c r="M565" s="279" t="e">
        <f>(M597+M598+M610)/(M611+M612+M621)*100</f>
        <v>#DIV/0!</v>
      </c>
      <c r="N565" s="279" t="e">
        <f>(N597+N598+N610)/(N611+N612+N621)*100</f>
        <v>#DIV/0!</v>
      </c>
      <c r="O565" s="281"/>
      <c r="Q565" s="279" t="e">
        <f>(Q597+Q598+Q610)/(Q611+Q612+Q621)*100</f>
        <v>#DIV/0!</v>
      </c>
      <c r="R565" s="279" t="e">
        <f>(R597+R598+R610)/(R611+R612+R621)*100</f>
        <v>#DIV/0!</v>
      </c>
      <c r="S565" s="279" t="e">
        <f>(S597+S598+S610)/(S611+S612+S621)*100</f>
        <v>#DIV/0!</v>
      </c>
      <c r="T565" s="279" t="e">
        <f>(T597+T598+T610)/(T611+T612+T621)*100</f>
        <v>#DIV/0!</v>
      </c>
      <c r="V565" s="279" t="e">
        <f>(V597+V598+V610)/(V611+V612+V621)*100</f>
        <v>#DIV/0!</v>
      </c>
      <c r="W565" s="279" t="e">
        <f>(W597+W598+W610)/(W611+W612+W621)*100</f>
        <v>#DIV/0!</v>
      </c>
      <c r="Y565" s="279" t="e">
        <f>(Y597+Y598+Y610)/(Y611+Y612+Y621)*100</f>
        <v>#DIV/0!</v>
      </c>
      <c r="Z565" s="279" t="e">
        <f>(Z597+Z598+Z610)/(Z611+Z612+Z621)*100</f>
        <v>#DIV/0!</v>
      </c>
      <c r="AB565" s="279" t="e">
        <f>(AB597+AB598+AB610)/(AB611+AB612+AB621)*100</f>
        <v>#DIV/0!</v>
      </c>
      <c r="AC565" s="279" t="e">
        <f>(AC597+AC598+AC610)/(AC611+AC612+AC621)*100</f>
        <v>#DIV/0!</v>
      </c>
      <c r="AE565" s="279" t="e">
        <f>(AE597+AE598+AE610)/(AE611+AE612+AE621)*100</f>
        <v>#DIV/0!</v>
      </c>
      <c r="AF565" s="279" t="e">
        <f>(AF597+AF598+AF610)/(AF611+AF612+AF621)*100</f>
        <v>#DIV/0!</v>
      </c>
      <c r="AH565" s="279" t="e">
        <f>(AH597+AH598+AH610)/(AH611+AH612+AH621)*100</f>
        <v>#DIV/0!</v>
      </c>
      <c r="AI565" s="279" t="e">
        <f>(AI597+AI598+AI610)/(AI611+AI612+AI621)*100</f>
        <v>#DIV/0!</v>
      </c>
      <c r="AK565" s="279" t="e">
        <f>(AK597+AK598+AK610)/(AK611+AK612+AK621)*100</f>
        <v>#DIV/0!</v>
      </c>
      <c r="AL565" s="279" t="e">
        <f>(AL597+AL598+AL610)/(AL611+AL612+AL621)*100</f>
        <v>#DIV/0!</v>
      </c>
      <c r="AN565" s="279" t="e">
        <f>(AN597+AN598+AN610)/(AN611+AN612+AN621)*100</f>
        <v>#DIV/0!</v>
      </c>
      <c r="AO565" s="279" t="e">
        <f>(AO597+AO598+AO610)/(AO611+AO612+AO621)*100</f>
        <v>#DIV/0!</v>
      </c>
      <c r="AQ565" s="279" t="e">
        <f>(AQ597+AQ598+AQ610)/(AQ611+AQ612+AQ621)*100</f>
        <v>#DIV/0!</v>
      </c>
      <c r="AR565" s="279" t="e">
        <f>(AR597+AR598+AR610)/(AR611+AR612+AR621)*100</f>
        <v>#DIV/0!</v>
      </c>
      <c r="AT565" s="279" t="e">
        <f>(AT597+AT598+AT610)/(AT611+AT612+AT621)*100</f>
        <v>#DIV/0!</v>
      </c>
      <c r="AU565" s="279" t="e">
        <f>(AU597+AU598+AU610)/(AU611+AU612+AU621)*100</f>
        <v>#DIV/0!</v>
      </c>
      <c r="AW565" s="279" t="e">
        <f>(AW597+AW598+AW610)/(AW611+AW612+AW621)*100</f>
        <v>#DIV/0!</v>
      </c>
      <c r="AX565" s="279" t="e">
        <f>(AX597+AX598+AX610)/(AX611+AX612+AX621)*100</f>
        <v>#DIV/0!</v>
      </c>
      <c r="AZ565" s="279" t="e">
        <f>(AZ597+AZ598+AZ610)/(AZ611+AZ612+AZ621)*100</f>
        <v>#DIV/0!</v>
      </c>
      <c r="BA565" s="279" t="e">
        <f>(BA597+BA598+BA610)/(BA611+BA612+BA621)*100</f>
        <v>#DIV/0!</v>
      </c>
      <c r="BC565" s="279" t="e">
        <f>(BC597+BC598+BC610)/(BC611+BC612+BC621)*100</f>
        <v>#DIV/0!</v>
      </c>
      <c r="BD565" s="279" t="e">
        <f>(BD597+BD598+BD610)/(BD611+BD612+BD621)*100</f>
        <v>#DIV/0!</v>
      </c>
      <c r="BF565" s="279" t="e">
        <f>(BF597+BF598+BF610)/(BF611+BF612+BF621)*100</f>
        <v>#DIV/0!</v>
      </c>
      <c r="BG565" s="279" t="e">
        <f>(BG597+BG598+BG610)/(BG611+BG612+BG621)*100</f>
        <v>#DIV/0!</v>
      </c>
      <c r="BI565" s="279" t="e">
        <f>(BI597+BI598+BI610)/(BI611+BI612+BI621)*100</f>
        <v>#DIV/0!</v>
      </c>
      <c r="BJ565" s="279" t="e">
        <f>(BJ597+BJ598+BJ610)/(BJ611+BJ612+BJ621)*100</f>
        <v>#DIV/0!</v>
      </c>
      <c r="BL565" s="279" t="e">
        <f>(BL597+BL598+BL610)/(BL611+BL612+BL621)*100</f>
        <v>#DIV/0!</v>
      </c>
      <c r="BM565" s="279" t="e">
        <f>(BM597+BM598+BM610)/(BM611+BM612+BM621)*100</f>
        <v>#DIV/0!</v>
      </c>
      <c r="BO565" s="279" t="e">
        <f>(BO597+BO598+BO610)/(BO611+BO612+BO621)*100</f>
        <v>#DIV/0!</v>
      </c>
      <c r="BP565" s="279" t="e">
        <f>(BP597+BP598+BP610)/(BP611+BP612+BP621)*100</f>
        <v>#DIV/0!</v>
      </c>
      <c r="BR565" s="279" t="e">
        <f>(BR597+BR598+BR610)/(BR611+BR612+BR621)*100</f>
        <v>#DIV/0!</v>
      </c>
      <c r="BS565" s="279" t="e">
        <f>(BS597+BS598+BS610)/(BS611+BS612+BS621)*100</f>
        <v>#DIV/0!</v>
      </c>
      <c r="BU565" s="279" t="e">
        <f>(BU597+BU598+BU610)/(BU611+BU612+BU621)*100</f>
        <v>#DIV/0!</v>
      </c>
      <c r="BV565" s="279" t="e">
        <f>(BV597+BV598+BV610)/(BV611+BV612+BV621)*100</f>
        <v>#DIV/0!</v>
      </c>
      <c r="BX565" s="279" t="e">
        <f>(BX597+BX598+BX610)/(BX611+BX612+BX621)*100</f>
        <v>#DIV/0!</v>
      </c>
      <c r="BY565" s="279" t="e">
        <f>(BY597+BY598+BY610)/(BY611+BY612+BY621)*100</f>
        <v>#DIV/0!</v>
      </c>
      <c r="CA565" s="279" t="e">
        <f>(CA597+CA598+CA610)/(CA611+CA612+CA621)*100</f>
        <v>#DIV/0!</v>
      </c>
      <c r="CB565" s="279" t="e">
        <f>(CB597+CB598+CB610)/(CB611+CB612+CB621)*100</f>
        <v>#DIV/0!</v>
      </c>
      <c r="CD565" s="279" t="e">
        <f>(CD597+CD598+CD610)/(CD611+CD612+CD621)*100</f>
        <v>#DIV/0!</v>
      </c>
      <c r="CE565" s="279" t="e">
        <f>(CE597+CE598+CE610)/(CE611+CE612+CE621)*100</f>
        <v>#DIV/0!</v>
      </c>
      <c r="CG565" s="279" t="e">
        <f>(CG597+CG598+CG610)/(CG611+CG612+CG621)*100</f>
        <v>#DIV/0!</v>
      </c>
      <c r="CH565" s="279" t="e">
        <f>(CH597+CH598+CH610)/(CH611+CH612+CH621)*100</f>
        <v>#DIV/0!</v>
      </c>
      <c r="CJ565" s="279" t="e">
        <f>(CJ597+CJ598+CJ610)/(CJ611+CJ612+CJ621)*100</f>
        <v>#DIV/0!</v>
      </c>
      <c r="CK565" s="279" t="e">
        <f>(CK597+CK598+CK610)/(CK611+CK612+CK621)*100</f>
        <v>#DIV/0!</v>
      </c>
    </row>
    <row r="566" spans="1:89" hidden="1" x14ac:dyDescent="0.25">
      <c r="A566" s="95"/>
      <c r="B566" s="96" t="s">
        <v>1183</v>
      </c>
      <c r="C566" s="107"/>
      <c r="D566" s="95" t="s">
        <v>8</v>
      </c>
      <c r="E566" s="279"/>
      <c r="F566" s="279"/>
      <c r="G566" s="279"/>
      <c r="H566" s="279">
        <f>(H597+H610)/(H611+H621)*100</f>
        <v>100</v>
      </c>
      <c r="I566" s="279">
        <f>(I597+I610)/(I611+I621)*100</f>
        <v>100</v>
      </c>
      <c r="J566" s="279" t="e">
        <f>(J597+J610)/(J611+J621)*100</f>
        <v>#DIV/0!</v>
      </c>
      <c r="K566" s="279" t="e">
        <f>(K597+K610)/(K611+K621)*100</f>
        <v>#DIV/0!</v>
      </c>
      <c r="L566" s="279" t="e">
        <f>(L597+L610)/(L611+L621)*100</f>
        <v>#DIV/0!</v>
      </c>
      <c r="M566" s="279" t="e">
        <f t="shared" ref="M566:N566" si="986">(M597+M610)/(M611+M621)*100</f>
        <v>#DIV/0!</v>
      </c>
      <c r="N566" s="279" t="e">
        <f t="shared" si="986"/>
        <v>#DIV/0!</v>
      </c>
      <c r="O566" s="281"/>
      <c r="Q566" s="279" t="e">
        <f>(Q597+Q610)/(Q611+Q621)*100</f>
        <v>#DIV/0!</v>
      </c>
      <c r="R566" s="279" t="e">
        <f>(R597+R610)/(R611+R621)*100</f>
        <v>#DIV/0!</v>
      </c>
      <c r="S566" s="279" t="e">
        <f>(S597+S610)/(S611+S621)*100</f>
        <v>#DIV/0!</v>
      </c>
      <c r="T566" s="279" t="e">
        <f>(T597+T610)/(T611+T621)*100</f>
        <v>#DIV/0!</v>
      </c>
      <c r="V566" s="279" t="e">
        <f>(V597+V610)/(V611+V621)*100</f>
        <v>#DIV/0!</v>
      </c>
      <c r="W566" s="279" t="e">
        <f>(W597+W610)/(W611+W621)*100</f>
        <v>#DIV/0!</v>
      </c>
      <c r="Y566" s="279" t="e">
        <f>(Y597+Y610)/(Y611+Y621)*100</f>
        <v>#DIV/0!</v>
      </c>
      <c r="Z566" s="279" t="e">
        <f>(Z597+Z610)/(Z611+Z621)*100</f>
        <v>#DIV/0!</v>
      </c>
      <c r="AB566" s="279" t="e">
        <f>(AB597+AB610)/(AB611+AB621)*100</f>
        <v>#DIV/0!</v>
      </c>
      <c r="AC566" s="279" t="e">
        <f>(AC597+AC610)/(AC611+AC621)*100</f>
        <v>#DIV/0!</v>
      </c>
      <c r="AE566" s="279" t="e">
        <f>(AE597+AE610)/(AE611+AE621)*100</f>
        <v>#DIV/0!</v>
      </c>
      <c r="AF566" s="279" t="e">
        <f>(AF597+AF610)/(AF611+AF621)*100</f>
        <v>#DIV/0!</v>
      </c>
      <c r="AH566" s="279" t="e">
        <f>(AH597+AH610)/(AH611+AH621)*100</f>
        <v>#DIV/0!</v>
      </c>
      <c r="AI566" s="279" t="e">
        <f>(AI597+AI610)/(AI611+AI621)*100</f>
        <v>#DIV/0!</v>
      </c>
      <c r="AK566" s="279" t="e">
        <f>(AK597+AK610)/(AK611+AK621)*100</f>
        <v>#DIV/0!</v>
      </c>
      <c r="AL566" s="279" t="e">
        <f>(AL597+AL610)/(AL611+AL621)*100</f>
        <v>#DIV/0!</v>
      </c>
      <c r="AN566" s="279" t="e">
        <f>(AN597+AN610)/(AN611+AN621)*100</f>
        <v>#DIV/0!</v>
      </c>
      <c r="AO566" s="279" t="e">
        <f>(AO597+AO610)/(AO611+AO621)*100</f>
        <v>#DIV/0!</v>
      </c>
      <c r="AQ566" s="279" t="e">
        <f>(AQ597+AQ610)/(AQ611+AQ621)*100</f>
        <v>#DIV/0!</v>
      </c>
      <c r="AR566" s="279" t="e">
        <f>(AR597+AR610)/(AR611+AR621)*100</f>
        <v>#DIV/0!</v>
      </c>
      <c r="AT566" s="279" t="e">
        <f>(AT597+AT610)/(AT611+AT621)*100</f>
        <v>#DIV/0!</v>
      </c>
      <c r="AU566" s="279" t="e">
        <f>(AU597+AU610)/(AU611+AU621)*100</f>
        <v>#DIV/0!</v>
      </c>
      <c r="AW566" s="279" t="e">
        <f>(AW597+AW610)/(AW611+AW621)*100</f>
        <v>#DIV/0!</v>
      </c>
      <c r="AX566" s="279" t="e">
        <f>(AX597+AX610)/(AX611+AX621)*100</f>
        <v>#DIV/0!</v>
      </c>
      <c r="AZ566" s="279" t="e">
        <f>(AZ597+AZ610)/(AZ611+AZ621)*100</f>
        <v>#DIV/0!</v>
      </c>
      <c r="BA566" s="279" t="e">
        <f>(BA597+BA610)/(BA611+BA621)*100</f>
        <v>#DIV/0!</v>
      </c>
      <c r="BC566" s="279" t="e">
        <f>(BC597+BC610)/(BC611+BC621)*100</f>
        <v>#DIV/0!</v>
      </c>
      <c r="BD566" s="279" t="e">
        <f>(BD597+BD610)/(BD611+BD621)*100</f>
        <v>#DIV/0!</v>
      </c>
      <c r="BF566" s="279" t="e">
        <f>(BF597+BF610)/(BF611+BF621)*100</f>
        <v>#DIV/0!</v>
      </c>
      <c r="BG566" s="279" t="e">
        <f>(BG597+BG610)/(BG611+BG621)*100</f>
        <v>#DIV/0!</v>
      </c>
      <c r="BI566" s="279" t="e">
        <f>(BI597+BI610)/(BI611+BI621)*100</f>
        <v>#DIV/0!</v>
      </c>
      <c r="BJ566" s="279" t="e">
        <f>(BJ597+BJ610)/(BJ611+BJ621)*100</f>
        <v>#DIV/0!</v>
      </c>
      <c r="BL566" s="279" t="e">
        <f>(BL597+BL610)/(BL611+BL621)*100</f>
        <v>#DIV/0!</v>
      </c>
      <c r="BM566" s="279" t="e">
        <f>(BM597+BM610)/(BM611+BM621)*100</f>
        <v>#DIV/0!</v>
      </c>
      <c r="BO566" s="279" t="e">
        <f>(BO597+BO610)/(BO611+BO621)*100</f>
        <v>#DIV/0!</v>
      </c>
      <c r="BP566" s="279" t="e">
        <f>(BP597+BP610)/(BP611+BP621)*100</f>
        <v>#DIV/0!</v>
      </c>
      <c r="BR566" s="279" t="e">
        <f>(BR597+BR610)/(BR611+BR621)*100</f>
        <v>#DIV/0!</v>
      </c>
      <c r="BS566" s="279" t="e">
        <f>(BS597+BS610)/(BS611+BS621)*100</f>
        <v>#DIV/0!</v>
      </c>
      <c r="BU566" s="279" t="e">
        <f>(BU597+BU610)/(BU611+BU621)*100</f>
        <v>#DIV/0!</v>
      </c>
      <c r="BV566" s="279" t="e">
        <f>(BV597+BV610)/(BV611+BV621)*100</f>
        <v>#DIV/0!</v>
      </c>
      <c r="BX566" s="279" t="e">
        <f>(BX597+BX610)/(BX611+BX621)*100</f>
        <v>#DIV/0!</v>
      </c>
      <c r="BY566" s="279" t="e">
        <f>(BY597+BY610)/(BY611+BY621)*100</f>
        <v>#DIV/0!</v>
      </c>
      <c r="CA566" s="279" t="e">
        <f>(CA597+CA610)/(CA611+CA621)*100</f>
        <v>#DIV/0!</v>
      </c>
      <c r="CB566" s="279" t="e">
        <f>(CB597+CB610)/(CB611+CB621)*100</f>
        <v>#DIV/0!</v>
      </c>
      <c r="CD566" s="279" t="e">
        <f>(CD597+CD610)/(CD611+CD621)*100</f>
        <v>#DIV/0!</v>
      </c>
      <c r="CE566" s="279" t="e">
        <f>(CE597+CE610)/(CE611+CE621)*100</f>
        <v>#DIV/0!</v>
      </c>
      <c r="CG566" s="279" t="e">
        <f>(CG597+CG610)/(CG611+CG621)*100</f>
        <v>#DIV/0!</v>
      </c>
      <c r="CH566" s="279" t="e">
        <f>(CH597+CH610)/(CH611+CH621)*100</f>
        <v>#DIV/0!</v>
      </c>
      <c r="CJ566" s="279" t="e">
        <f>(CJ597+CJ610)/(CJ611+CJ621)*100</f>
        <v>#DIV/0!</v>
      </c>
      <c r="CK566" s="279" t="e">
        <f>(CK597+CK610)/(CK611+CK621)*100</f>
        <v>#DIV/0!</v>
      </c>
    </row>
    <row r="567" spans="1:89" hidden="1" x14ac:dyDescent="0.25">
      <c r="A567" s="95"/>
      <c r="B567" s="16" t="s">
        <v>1185</v>
      </c>
      <c r="C567" s="107"/>
      <c r="D567" s="95" t="s">
        <v>8</v>
      </c>
      <c r="E567" s="279"/>
      <c r="F567" s="279"/>
      <c r="G567" s="279"/>
      <c r="H567" s="279">
        <f>(H598+H610)/(H612+H621)*100</f>
        <v>93</v>
      </c>
      <c r="I567" s="279">
        <f>(I598+I610)/(I612+I621)*100</f>
        <v>91.823899371069189</v>
      </c>
      <c r="J567" s="279" t="e">
        <f>(J598+J610)/(J612+J621)*100</f>
        <v>#DIV/0!</v>
      </c>
      <c r="K567" s="279" t="e">
        <f>(K598+K610)/(K612+K621)*100</f>
        <v>#DIV/0!</v>
      </c>
      <c r="L567" s="279" t="e">
        <f>(L598+L610)/(L612+L621)*100</f>
        <v>#DIV/0!</v>
      </c>
      <c r="M567" s="279" t="e">
        <f t="shared" ref="M567:N567" si="987">(M598+M610)/(M612+M621)*100</f>
        <v>#DIV/0!</v>
      </c>
      <c r="N567" s="279" t="e">
        <f t="shared" si="987"/>
        <v>#DIV/0!</v>
      </c>
      <c r="O567" s="281"/>
      <c r="Q567" s="279" t="e">
        <f>(Q598+Q610)/(Q612+Q621)*100</f>
        <v>#DIV/0!</v>
      </c>
      <c r="R567" s="279" t="e">
        <f>(R598+R610)/(R612+R621)*100</f>
        <v>#DIV/0!</v>
      </c>
      <c r="S567" s="279" t="e">
        <f>(S598+S610)/(S612+S621)*100</f>
        <v>#DIV/0!</v>
      </c>
      <c r="T567" s="279" t="e">
        <f>(T598+T610)/(T612+T621)*100</f>
        <v>#DIV/0!</v>
      </c>
      <c r="V567" s="279" t="e">
        <f>(V598+V610)/(V612+V621)*100</f>
        <v>#DIV/0!</v>
      </c>
      <c r="W567" s="279" t="e">
        <f>(W598+W610)/(W612+W621)*100</f>
        <v>#DIV/0!</v>
      </c>
      <c r="Y567" s="279" t="e">
        <f>(Y598+Y610)/(Y612+Y621)*100</f>
        <v>#DIV/0!</v>
      </c>
      <c r="Z567" s="279" t="e">
        <f>(Z598+Z610)/(Z612+Z621)*100</f>
        <v>#DIV/0!</v>
      </c>
      <c r="AB567" s="279" t="e">
        <f>(AB598+AB610)/(AB612+AB621)*100</f>
        <v>#DIV/0!</v>
      </c>
      <c r="AC567" s="279" t="e">
        <f>(AC598+AC610)/(AC612+AC621)*100</f>
        <v>#DIV/0!</v>
      </c>
      <c r="AE567" s="279" t="e">
        <f>(AE598+AE610)/(AE612+AE621)*100</f>
        <v>#DIV/0!</v>
      </c>
      <c r="AF567" s="279" t="e">
        <f>(AF598+AF610)/(AF612+AF621)*100</f>
        <v>#DIV/0!</v>
      </c>
      <c r="AH567" s="279" t="e">
        <f>(AH598+AH610)/(AH612+AH621)*100</f>
        <v>#DIV/0!</v>
      </c>
      <c r="AI567" s="279" t="e">
        <f>(AI598+AI610)/(AI612+AI621)*100</f>
        <v>#DIV/0!</v>
      </c>
      <c r="AK567" s="279" t="e">
        <f>(AK598+AK610)/(AK612+AK621)*100</f>
        <v>#DIV/0!</v>
      </c>
      <c r="AL567" s="279" t="e">
        <f>(AL598+AL610)/(AL612+AL621)*100</f>
        <v>#DIV/0!</v>
      </c>
      <c r="AN567" s="279" t="e">
        <f>(AN598+AN610)/(AN612+AN621)*100</f>
        <v>#DIV/0!</v>
      </c>
      <c r="AO567" s="279" t="e">
        <f>(AO598+AO610)/(AO612+AO621)*100</f>
        <v>#DIV/0!</v>
      </c>
      <c r="AQ567" s="279" t="e">
        <f>(AQ598+AQ610)/(AQ612+AQ621)*100</f>
        <v>#DIV/0!</v>
      </c>
      <c r="AR567" s="279" t="e">
        <f>(AR598+AR610)/(AR612+AR621)*100</f>
        <v>#DIV/0!</v>
      </c>
      <c r="AT567" s="279" t="e">
        <f>(AT598+AT610)/(AT612+AT621)*100</f>
        <v>#DIV/0!</v>
      </c>
      <c r="AU567" s="279" t="e">
        <f>(AU598+AU610)/(AU612+AU621)*100</f>
        <v>#DIV/0!</v>
      </c>
      <c r="AW567" s="279" t="e">
        <f>(AW598+AW610)/(AW612+AW621)*100</f>
        <v>#DIV/0!</v>
      </c>
      <c r="AX567" s="279" t="e">
        <f>(AX598+AX610)/(AX612+AX621)*100</f>
        <v>#DIV/0!</v>
      </c>
      <c r="AZ567" s="279" t="e">
        <f>(AZ598+AZ610)/(AZ612+AZ621)*100</f>
        <v>#DIV/0!</v>
      </c>
      <c r="BA567" s="279" t="e">
        <f>(BA598+BA610)/(BA612+BA621)*100</f>
        <v>#DIV/0!</v>
      </c>
      <c r="BC567" s="279" t="e">
        <f>(BC598+BC610)/(BC612+BC621)*100</f>
        <v>#DIV/0!</v>
      </c>
      <c r="BD567" s="279" t="e">
        <f>(BD598+BD610)/(BD612+BD621)*100</f>
        <v>#DIV/0!</v>
      </c>
      <c r="BF567" s="279" t="e">
        <f>(BF598+BF610)/(BF612+BF621)*100</f>
        <v>#DIV/0!</v>
      </c>
      <c r="BG567" s="279" t="e">
        <f>(BG598+BG610)/(BG612+BG621)*100</f>
        <v>#DIV/0!</v>
      </c>
      <c r="BI567" s="279" t="e">
        <f>(BI598+BI610)/(BI612+BI621)*100</f>
        <v>#DIV/0!</v>
      </c>
      <c r="BJ567" s="279" t="e">
        <f>(BJ598+BJ610)/(BJ612+BJ621)*100</f>
        <v>#DIV/0!</v>
      </c>
      <c r="BL567" s="279" t="e">
        <f>(BL598+BL610)/(BL612+BL621)*100</f>
        <v>#DIV/0!</v>
      </c>
      <c r="BM567" s="279" t="e">
        <f>(BM598+BM610)/(BM612+BM621)*100</f>
        <v>#DIV/0!</v>
      </c>
      <c r="BO567" s="279" t="e">
        <f>(BO598+BO610)/(BO612+BO621)*100</f>
        <v>#DIV/0!</v>
      </c>
      <c r="BP567" s="279" t="e">
        <f>(BP598+BP610)/(BP612+BP621)*100</f>
        <v>#DIV/0!</v>
      </c>
      <c r="BR567" s="279" t="e">
        <f>(BR598+BR610)/(BR612+BR621)*100</f>
        <v>#DIV/0!</v>
      </c>
      <c r="BS567" s="279" t="e">
        <f>(BS598+BS610)/(BS612+BS621)*100</f>
        <v>#DIV/0!</v>
      </c>
      <c r="BU567" s="279" t="e">
        <f>(BU598+BU610)/(BU612+BU621)*100</f>
        <v>#DIV/0!</v>
      </c>
      <c r="BV567" s="279" t="e">
        <f>(BV598+BV610)/(BV612+BV621)*100</f>
        <v>#DIV/0!</v>
      </c>
      <c r="BX567" s="279" t="e">
        <f>(BX598+BX610)/(BX612+BX621)*100</f>
        <v>#DIV/0!</v>
      </c>
      <c r="BY567" s="279" t="e">
        <f>(BY598+BY610)/(BY612+BY621)*100</f>
        <v>#DIV/0!</v>
      </c>
      <c r="CA567" s="279" t="e">
        <f>(CA598+CA610)/(CA612+CA621)*100</f>
        <v>#DIV/0!</v>
      </c>
      <c r="CB567" s="279" t="e">
        <f>(CB598+CB610)/(CB612+CB621)*100</f>
        <v>#DIV/0!</v>
      </c>
      <c r="CD567" s="279" t="e">
        <f>(CD598+CD610)/(CD612+CD621)*100</f>
        <v>#DIV/0!</v>
      </c>
      <c r="CE567" s="279" t="e">
        <f>(CE598+CE610)/(CE612+CE621)*100</f>
        <v>#DIV/0!</v>
      </c>
      <c r="CG567" s="279" t="e">
        <f>(CG598+CG610)/(CG612+CG621)*100</f>
        <v>#DIV/0!</v>
      </c>
      <c r="CH567" s="279" t="e">
        <f>(CH598+CH610)/(CH612+CH621)*100</f>
        <v>#DIV/0!</v>
      </c>
      <c r="CJ567" s="279" t="e">
        <f>(CJ598+CJ610)/(CJ612+CJ621)*100</f>
        <v>#DIV/0!</v>
      </c>
      <c r="CK567" s="279" t="e">
        <f>(CK598+CK610)/(CK612+CK621)*100</f>
        <v>#DIV/0!</v>
      </c>
    </row>
    <row r="568" spans="1:89" x14ac:dyDescent="0.25">
      <c r="A568" s="95"/>
      <c r="B568" s="96" t="s">
        <v>1184</v>
      </c>
      <c r="C568" s="107"/>
      <c r="D568" s="95" t="s">
        <v>8</v>
      </c>
      <c r="E568" s="279">
        <f t="shared" ref="E568:K568" si="988">(E599+E600)/(E613+E614)*100</f>
        <v>100</v>
      </c>
      <c r="F568" s="279">
        <f t="shared" si="988"/>
        <v>100</v>
      </c>
      <c r="G568" s="279">
        <f t="shared" si="988"/>
        <v>100</v>
      </c>
      <c r="H568" s="279">
        <f t="shared" si="988"/>
        <v>100</v>
      </c>
      <c r="I568" s="279">
        <f t="shared" si="988"/>
        <v>100</v>
      </c>
      <c r="J568" s="279">
        <f t="shared" si="988"/>
        <v>100</v>
      </c>
      <c r="K568" s="279">
        <f t="shared" si="988"/>
        <v>100</v>
      </c>
      <c r="L568" s="279" t="e">
        <f t="shared" ref="L568:M568" si="989">(L599+L600)/(L613+L614)*100</f>
        <v>#DIV/0!</v>
      </c>
      <c r="M568" s="279" t="e">
        <f t="shared" si="989"/>
        <v>#DIV/0!</v>
      </c>
      <c r="N568" s="279" t="e">
        <f t="shared" ref="N568" si="990">(N599+N600)/(N613+N614)*100</f>
        <v>#DIV/0!</v>
      </c>
      <c r="O568" s="281"/>
      <c r="Q568" s="279">
        <f>(Q599+Q600)/(Q613+Q614)*100</f>
        <v>100</v>
      </c>
      <c r="R568" s="279">
        <f>(R599+R600)/(R613+R614)*100</f>
        <v>100</v>
      </c>
      <c r="S568" s="279" t="e">
        <f>(S599+S600)/(S613+S614)*100</f>
        <v>#DIV/0!</v>
      </c>
      <c r="T568" s="279" t="e">
        <f>(T599+T600)/(T613+T614)*100</f>
        <v>#DIV/0!</v>
      </c>
      <c r="V568" s="279" t="e">
        <f>(V599+V600)/(V613+V614)*100</f>
        <v>#DIV/0!</v>
      </c>
      <c r="W568" s="279" t="e">
        <f>(W599+W600)/(W613+W614)*100</f>
        <v>#DIV/0!</v>
      </c>
      <c r="Y568" s="279" t="e">
        <f>(Y599+Y600)/(Y613+Y614)*100</f>
        <v>#DIV/0!</v>
      </c>
      <c r="Z568" s="279" t="e">
        <f>(Z599+Z600)/(Z613+Z614)*100</f>
        <v>#DIV/0!</v>
      </c>
      <c r="AB568" s="279" t="e">
        <f>(AB599+AB600)/(AB613+AB614)*100</f>
        <v>#DIV/0!</v>
      </c>
      <c r="AC568" s="279" t="e">
        <f>(AC599+AC600)/(AC613+AC614)*100</f>
        <v>#DIV/0!</v>
      </c>
      <c r="AE568" s="279" t="e">
        <f>(AE599+AE600)/(AE613+AE614)*100</f>
        <v>#DIV/0!</v>
      </c>
      <c r="AF568" s="279" t="e">
        <f>(AF599+AF600)/(AF613+AF614)*100</f>
        <v>#DIV/0!</v>
      </c>
      <c r="AH568" s="279" t="e">
        <f>(AH599+AH600)/(AH613+AH614)*100</f>
        <v>#DIV/0!</v>
      </c>
      <c r="AI568" s="279" t="e">
        <f>(AI599+AI600)/(AI613+AI614)*100</f>
        <v>#DIV/0!</v>
      </c>
      <c r="AK568" s="279" t="e">
        <f>(AK599+AK600)/(AK613+AK614)*100</f>
        <v>#DIV/0!</v>
      </c>
      <c r="AL568" s="279" t="e">
        <f>(AL599+AL600)/(AL613+AL614)*100</f>
        <v>#DIV/0!</v>
      </c>
      <c r="AN568" s="279" t="e">
        <f>(AN599+AN600)/(AN613+AN614)*100</f>
        <v>#DIV/0!</v>
      </c>
      <c r="AO568" s="279" t="e">
        <f>(AO599+AO600)/(AO613+AO614)*100</f>
        <v>#DIV/0!</v>
      </c>
      <c r="AQ568" s="279" t="e">
        <f>(AQ599+AQ600)/(AQ613+AQ614)*100</f>
        <v>#DIV/0!</v>
      </c>
      <c r="AR568" s="279" t="e">
        <f>(AR599+AR600)/(AR613+AR614)*100</f>
        <v>#DIV/0!</v>
      </c>
      <c r="AT568" s="279" t="e">
        <f>(AT599+AT600)/(AT613+AT614)*100</f>
        <v>#DIV/0!</v>
      </c>
      <c r="AU568" s="279" t="e">
        <f>(AU599+AU600)/(AU613+AU614)*100</f>
        <v>#DIV/0!</v>
      </c>
      <c r="AW568" s="279" t="e">
        <f>(AW599+AW600)/(AW613+AW614)*100</f>
        <v>#DIV/0!</v>
      </c>
      <c r="AX568" s="279" t="e">
        <f>(AX599+AX600)/(AX613+AX614)*100</f>
        <v>#DIV/0!</v>
      </c>
      <c r="AZ568" s="279" t="e">
        <f>(AZ599+AZ600)/(AZ613+AZ614)*100</f>
        <v>#DIV/0!</v>
      </c>
      <c r="BA568" s="279" t="e">
        <f>(BA599+BA600)/(BA613+BA614)*100</f>
        <v>#DIV/0!</v>
      </c>
      <c r="BC568" s="279">
        <f>(BC599+BC600)/(BC613+BC614)*100</f>
        <v>100</v>
      </c>
      <c r="BD568" s="279">
        <f>(BD599+BD600)/(BD613+BD614)*100</f>
        <v>100</v>
      </c>
      <c r="BF568" s="279">
        <f>(BF599+BF600)/(BF613+BF614)*100</f>
        <v>100</v>
      </c>
      <c r="BG568" s="279">
        <f>(BG599+BG600)/(BG613+BG614)*100</f>
        <v>100</v>
      </c>
      <c r="BI568" s="279">
        <f>(BI599+BI600)/(BI613+BI614)*100</f>
        <v>100</v>
      </c>
      <c r="BJ568" s="279">
        <f>(BJ599+BJ600)/(BJ613+BJ614)*100</f>
        <v>100</v>
      </c>
      <c r="BL568" s="279" t="e">
        <f>(BL599+BL600)/(BL613+BL614)*100</f>
        <v>#DIV/0!</v>
      </c>
      <c r="BM568" s="279" t="e">
        <f>(BM599+BM600)/(BM613+BM614)*100</f>
        <v>#DIV/0!</v>
      </c>
      <c r="BO568" s="279" t="e">
        <f>(BO599+BO600)/(BO613+BO614)*100</f>
        <v>#DIV/0!</v>
      </c>
      <c r="BP568" s="279" t="e">
        <f>(BP599+BP600)/(BP613+BP614)*100</f>
        <v>#DIV/0!</v>
      </c>
      <c r="BR568" s="279" t="e">
        <f>(BR599+BR600)/(BR613+BR614)*100</f>
        <v>#DIV/0!</v>
      </c>
      <c r="BS568" s="279" t="e">
        <f>(BS599+BS600)/(BS613+BS614)*100</f>
        <v>#DIV/0!</v>
      </c>
      <c r="BU568" s="279" t="e">
        <f>(BU599+BU600)/(BU613+BU614)*100</f>
        <v>#DIV/0!</v>
      </c>
      <c r="BV568" s="279" t="e">
        <f>(BV599+BV600)/(BV613+BV614)*100</f>
        <v>#DIV/0!</v>
      </c>
      <c r="BX568" s="279" t="e">
        <f>(BX599+BX600)/(BX613+BX614)*100</f>
        <v>#DIV/0!</v>
      </c>
      <c r="BY568" s="279" t="e">
        <f>(BY599+BY600)/(BY613+BY614)*100</f>
        <v>#DIV/0!</v>
      </c>
      <c r="CA568" s="279" t="e">
        <f>(CA599+CA600)/(CA613+CA614)*100</f>
        <v>#DIV/0!</v>
      </c>
      <c r="CB568" s="279" t="e">
        <f>(CB599+CB600)/(CB613+CB614)*100</f>
        <v>#DIV/0!</v>
      </c>
      <c r="CD568" s="279">
        <f>(CD599+CD600)/(CD613+CD614)*100</f>
        <v>100</v>
      </c>
      <c r="CE568" s="279">
        <f>(CE599+CE600)/(CE613+CE614)*100</f>
        <v>100</v>
      </c>
      <c r="CG568" s="279" t="e">
        <f>(CG599+CG600)/(CG613+CG614)*100</f>
        <v>#DIV/0!</v>
      </c>
      <c r="CH568" s="279" t="e">
        <f>(CH599+CH600)/(CH613+CH614)*100</f>
        <v>#DIV/0!</v>
      </c>
      <c r="CJ568" s="279" t="e">
        <f>(CJ599+CJ600)/(CJ613+CJ614)*100</f>
        <v>#DIV/0!</v>
      </c>
      <c r="CK568" s="279" t="e">
        <f>(CK599+CK600)/(CK613+CK614)*100</f>
        <v>#DIV/0!</v>
      </c>
    </row>
    <row r="569" spans="1:89" x14ac:dyDescent="0.25">
      <c r="A569" s="95"/>
      <c r="B569" s="96" t="s">
        <v>1183</v>
      </c>
      <c r="C569" s="107"/>
      <c r="D569" s="95" t="s">
        <v>8</v>
      </c>
      <c r="E569" s="279"/>
      <c r="F569" s="279"/>
      <c r="G569" s="279"/>
      <c r="H569" s="279">
        <f t="shared" ref="H569:J570" si="991">(H599)/(H613)*100</f>
        <v>100</v>
      </c>
      <c r="I569" s="279">
        <f t="shared" si="991"/>
        <v>100</v>
      </c>
      <c r="J569" s="279">
        <f t="shared" si="991"/>
        <v>100</v>
      </c>
      <c r="K569" s="279">
        <f>(K599)/(K613)*100</f>
        <v>100</v>
      </c>
      <c r="L569" s="279" t="e">
        <f>(L599)/(L613)*100</f>
        <v>#DIV/0!</v>
      </c>
      <c r="M569" s="279" t="e">
        <f t="shared" ref="M569:N570" si="992">(M599)/(M613)*100</f>
        <v>#DIV/0!</v>
      </c>
      <c r="N569" s="279" t="e">
        <f t="shared" si="992"/>
        <v>#DIV/0!</v>
      </c>
      <c r="O569" s="281"/>
      <c r="Q569" s="279">
        <f t="shared" ref="Q569:T570" si="993">(Q599)/(Q613)*100</f>
        <v>100</v>
      </c>
      <c r="R569" s="279">
        <f t="shared" si="993"/>
        <v>100</v>
      </c>
      <c r="S569" s="279" t="e">
        <f t="shared" si="993"/>
        <v>#DIV/0!</v>
      </c>
      <c r="T569" s="279" t="e">
        <f t="shared" si="993"/>
        <v>#DIV/0!</v>
      </c>
      <c r="V569" s="279" t="e">
        <f>(V599)/(V613)*100</f>
        <v>#DIV/0!</v>
      </c>
      <c r="W569" s="279" t="e">
        <f>(W599)/(W613)*100</f>
        <v>#DIV/0!</v>
      </c>
      <c r="Y569" s="279" t="e">
        <f>(Y599)/(Y613)*100</f>
        <v>#DIV/0!</v>
      </c>
      <c r="Z569" s="279" t="e">
        <f>(Z599)/(Z613)*100</f>
        <v>#DIV/0!</v>
      </c>
      <c r="AB569" s="279" t="e">
        <f>(AB599)/(AB613)*100</f>
        <v>#DIV/0!</v>
      </c>
      <c r="AC569" s="279" t="e">
        <f>(AC599)/(AC613)*100</f>
        <v>#DIV/0!</v>
      </c>
      <c r="AE569" s="279" t="e">
        <f>(AE599)/(AE613)*100</f>
        <v>#DIV/0!</v>
      </c>
      <c r="AF569" s="279" t="e">
        <f>(AF599)/(AF613)*100</f>
        <v>#DIV/0!</v>
      </c>
      <c r="AH569" s="279" t="e">
        <f>(AH599)/(AH613)*100</f>
        <v>#DIV/0!</v>
      </c>
      <c r="AI569" s="279" t="e">
        <f>(AI599)/(AI613)*100</f>
        <v>#DIV/0!</v>
      </c>
      <c r="AK569" s="279" t="e">
        <f>(AK599)/(AK613)*100</f>
        <v>#DIV/0!</v>
      </c>
      <c r="AL569" s="279" t="e">
        <f>(AL599)/(AL613)*100</f>
        <v>#DIV/0!</v>
      </c>
      <c r="AN569" s="279" t="e">
        <f>(AN599)/(AN613)*100</f>
        <v>#DIV/0!</v>
      </c>
      <c r="AO569" s="279" t="e">
        <f>(AO599)/(AO613)*100</f>
        <v>#DIV/0!</v>
      </c>
      <c r="AQ569" s="279" t="e">
        <f>(AQ599)/(AQ613)*100</f>
        <v>#DIV/0!</v>
      </c>
      <c r="AR569" s="279" t="e">
        <f>(AR599)/(AR613)*100</f>
        <v>#DIV/0!</v>
      </c>
      <c r="AT569" s="279" t="e">
        <f>(AT599)/(AT613)*100</f>
        <v>#DIV/0!</v>
      </c>
      <c r="AU569" s="279" t="e">
        <f>(AU599)/(AU613)*100</f>
        <v>#DIV/0!</v>
      </c>
      <c r="AW569" s="279" t="e">
        <f>(AW599)/(AW613)*100</f>
        <v>#DIV/0!</v>
      </c>
      <c r="AX569" s="279" t="e">
        <f>(AX599)/(AX613)*100</f>
        <v>#DIV/0!</v>
      </c>
      <c r="AZ569" s="279" t="e">
        <f>(AZ599)/(AZ613)*100</f>
        <v>#DIV/0!</v>
      </c>
      <c r="BA569" s="279" t="e">
        <f>(BA599)/(BA613)*100</f>
        <v>#DIV/0!</v>
      </c>
      <c r="BC569" s="279">
        <f>(BC599)/(BC613)*100</f>
        <v>100</v>
      </c>
      <c r="BD569" s="279">
        <f>(BD599)/(BD613)*100</f>
        <v>100</v>
      </c>
      <c r="BF569" s="279">
        <f>(BF599)/(BF613)*100</f>
        <v>100</v>
      </c>
      <c r="BG569" s="279">
        <f>(BG599)/(BG613)*100</f>
        <v>100</v>
      </c>
      <c r="BI569" s="279">
        <f>(BI599)/(BI613)*100</f>
        <v>100</v>
      </c>
      <c r="BJ569" s="279">
        <f>(BJ599)/(BJ613)*100</f>
        <v>100</v>
      </c>
      <c r="BL569" s="279" t="e">
        <f>(BL599)/(BL613)*100</f>
        <v>#DIV/0!</v>
      </c>
      <c r="BM569" s="279" t="e">
        <f>(BM599)/(BM613)*100</f>
        <v>#DIV/0!</v>
      </c>
      <c r="BO569" s="279" t="e">
        <f>(BO599)/(BO613)*100</f>
        <v>#DIV/0!</v>
      </c>
      <c r="BP569" s="279" t="e">
        <f>(BP599)/(BP613)*100</f>
        <v>#DIV/0!</v>
      </c>
      <c r="BR569" s="279" t="e">
        <f>(BR599)/(BR613)*100</f>
        <v>#DIV/0!</v>
      </c>
      <c r="BS569" s="279" t="e">
        <f>(BS599)/(BS613)*100</f>
        <v>#DIV/0!</v>
      </c>
      <c r="BU569" s="279" t="e">
        <f>(BU599)/(BU613)*100</f>
        <v>#DIV/0!</v>
      </c>
      <c r="BV569" s="279" t="e">
        <f>(BV599)/(BV613)*100</f>
        <v>#DIV/0!</v>
      </c>
      <c r="BX569" s="279" t="e">
        <f>(BX599)/(BX613)*100</f>
        <v>#DIV/0!</v>
      </c>
      <c r="BY569" s="279" t="e">
        <f>(BY599)/(BY613)*100</f>
        <v>#DIV/0!</v>
      </c>
      <c r="CA569" s="279" t="e">
        <f>(CA599)/(CA613)*100</f>
        <v>#DIV/0!</v>
      </c>
      <c r="CB569" s="279" t="e">
        <f>(CB599)/(CB613)*100</f>
        <v>#DIV/0!</v>
      </c>
      <c r="CD569" s="279">
        <f>(CD599)/(CD613)*100</f>
        <v>100</v>
      </c>
      <c r="CE569" s="279">
        <f>(CE599)/(CE613)*100</f>
        <v>100</v>
      </c>
      <c r="CG569" s="279" t="e">
        <f>(CG599)/(CG613)*100</f>
        <v>#DIV/0!</v>
      </c>
      <c r="CH569" s="279" t="e">
        <f>(CH599)/(CH613)*100</f>
        <v>#DIV/0!</v>
      </c>
      <c r="CJ569" s="279" t="e">
        <f>(CJ599)/(CJ613)*100</f>
        <v>#DIV/0!</v>
      </c>
      <c r="CK569" s="279" t="e">
        <f>(CK599)/(CK613)*100</f>
        <v>#DIV/0!</v>
      </c>
    </row>
    <row r="570" spans="1:89" x14ac:dyDescent="0.25">
      <c r="A570" s="95"/>
      <c r="B570" s="16" t="s">
        <v>1185</v>
      </c>
      <c r="C570" s="107"/>
      <c r="D570" s="95" t="s">
        <v>8</v>
      </c>
      <c r="E570" s="279"/>
      <c r="F570" s="279"/>
      <c r="G570" s="279"/>
      <c r="H570" s="279" t="e">
        <f t="shared" si="991"/>
        <v>#DIV/0!</v>
      </c>
      <c r="I570" s="279" t="e">
        <f t="shared" si="991"/>
        <v>#DIV/0!</v>
      </c>
      <c r="J570" s="279" t="e">
        <f t="shared" si="991"/>
        <v>#DIV/0!</v>
      </c>
      <c r="K570" s="279" t="e">
        <f>(K600)/(K614)*100</f>
        <v>#DIV/0!</v>
      </c>
      <c r="L570" s="279" t="e">
        <f>(L600)/(L614)*100</f>
        <v>#DIV/0!</v>
      </c>
      <c r="M570" s="279" t="e">
        <f t="shared" si="992"/>
        <v>#DIV/0!</v>
      </c>
      <c r="N570" s="279" t="e">
        <f t="shared" si="992"/>
        <v>#DIV/0!</v>
      </c>
      <c r="O570" s="281"/>
      <c r="Q570" s="279" t="e">
        <f t="shared" si="993"/>
        <v>#DIV/0!</v>
      </c>
      <c r="R570" s="279" t="e">
        <f t="shared" si="993"/>
        <v>#DIV/0!</v>
      </c>
      <c r="S570" s="279" t="e">
        <f t="shared" si="993"/>
        <v>#DIV/0!</v>
      </c>
      <c r="T570" s="279" t="e">
        <f t="shared" si="993"/>
        <v>#DIV/0!</v>
      </c>
      <c r="V570" s="279" t="e">
        <f>(V600)/(V614)*100</f>
        <v>#DIV/0!</v>
      </c>
      <c r="W570" s="279" t="e">
        <f>(W600)/(W614)*100</f>
        <v>#DIV/0!</v>
      </c>
      <c r="Y570" s="279" t="e">
        <f>(Y600)/(Y614)*100</f>
        <v>#DIV/0!</v>
      </c>
      <c r="Z570" s="279" t="e">
        <f>(Z600)/(Z614)*100</f>
        <v>#DIV/0!</v>
      </c>
      <c r="AB570" s="279" t="e">
        <f>(AB600)/(AB614)*100</f>
        <v>#DIV/0!</v>
      </c>
      <c r="AC570" s="279" t="e">
        <f>(AC600)/(AC614)*100</f>
        <v>#DIV/0!</v>
      </c>
      <c r="AE570" s="279" t="e">
        <f>(AE600)/(AE614)*100</f>
        <v>#DIV/0!</v>
      </c>
      <c r="AF570" s="279" t="e">
        <f>(AF600)/(AF614)*100</f>
        <v>#DIV/0!</v>
      </c>
      <c r="AH570" s="279" t="e">
        <f>(AH600)/(AH614)*100</f>
        <v>#DIV/0!</v>
      </c>
      <c r="AI570" s="279" t="e">
        <f>(AI600)/(AI614)*100</f>
        <v>#DIV/0!</v>
      </c>
      <c r="AK570" s="279" t="e">
        <f>(AK600)/(AK614)*100</f>
        <v>#DIV/0!</v>
      </c>
      <c r="AL570" s="279" t="e">
        <f>(AL600)/(AL614)*100</f>
        <v>#DIV/0!</v>
      </c>
      <c r="AN570" s="279" t="e">
        <f>(AN600)/(AN614)*100</f>
        <v>#DIV/0!</v>
      </c>
      <c r="AO570" s="279" t="e">
        <f>(AO600)/(AO614)*100</f>
        <v>#DIV/0!</v>
      </c>
      <c r="AQ570" s="279" t="e">
        <f>(AQ600)/(AQ614)*100</f>
        <v>#DIV/0!</v>
      </c>
      <c r="AR570" s="279" t="e">
        <f>(AR600)/(AR614)*100</f>
        <v>#DIV/0!</v>
      </c>
      <c r="AT570" s="279" t="e">
        <f>(AT600)/(AT614)*100</f>
        <v>#DIV/0!</v>
      </c>
      <c r="AU570" s="279" t="e">
        <f>(AU600)/(AU614)*100</f>
        <v>#DIV/0!</v>
      </c>
      <c r="AW570" s="279" t="e">
        <f>(AW600)/(AW614)*100</f>
        <v>#DIV/0!</v>
      </c>
      <c r="AX570" s="279" t="e">
        <f>(AX600)/(AX614)*100</f>
        <v>#DIV/0!</v>
      </c>
      <c r="AZ570" s="279" t="e">
        <f>(AZ600)/(AZ614)*100</f>
        <v>#DIV/0!</v>
      </c>
      <c r="BA570" s="279" t="e">
        <f>(BA600)/(BA614)*100</f>
        <v>#DIV/0!</v>
      </c>
      <c r="BC570" s="279" t="e">
        <f>(BC600)/(BC614)*100</f>
        <v>#DIV/0!</v>
      </c>
      <c r="BD570" s="279" t="e">
        <f>(BD600)/(BD614)*100</f>
        <v>#DIV/0!</v>
      </c>
      <c r="BF570" s="279" t="e">
        <f>(BF600)/(BF614)*100</f>
        <v>#DIV/0!</v>
      </c>
      <c r="BG570" s="279" t="e">
        <f>(BG600)/(BG614)*100</f>
        <v>#DIV/0!</v>
      </c>
      <c r="BI570" s="279" t="e">
        <f>(BI600)/(BI614)*100</f>
        <v>#DIV/0!</v>
      </c>
      <c r="BJ570" s="279" t="e">
        <f>(BJ600)/(BJ614)*100</f>
        <v>#DIV/0!</v>
      </c>
      <c r="BL570" s="279" t="e">
        <f>(BL600)/(BL614)*100</f>
        <v>#DIV/0!</v>
      </c>
      <c r="BM570" s="279" t="e">
        <f>(BM600)/(BM614)*100</f>
        <v>#DIV/0!</v>
      </c>
      <c r="BO570" s="279" t="e">
        <f>(BO600)/(BO614)*100</f>
        <v>#DIV/0!</v>
      </c>
      <c r="BP570" s="279" t="e">
        <f>(BP600)/(BP614)*100</f>
        <v>#DIV/0!</v>
      </c>
      <c r="BR570" s="279" t="e">
        <f>(BR600)/(BR614)*100</f>
        <v>#DIV/0!</v>
      </c>
      <c r="BS570" s="279" t="e">
        <f>(BS600)/(BS614)*100</f>
        <v>#DIV/0!</v>
      </c>
      <c r="BU570" s="279" t="e">
        <f>(BU600)/(BU614)*100</f>
        <v>#DIV/0!</v>
      </c>
      <c r="BV570" s="279" t="e">
        <f>(BV600)/(BV614)*100</f>
        <v>#DIV/0!</v>
      </c>
      <c r="BX570" s="279" t="e">
        <f>(BX600)/(BX614)*100</f>
        <v>#DIV/0!</v>
      </c>
      <c r="BY570" s="279" t="e">
        <f>(BY600)/(BY614)*100</f>
        <v>#DIV/0!</v>
      </c>
      <c r="CA570" s="279" t="e">
        <f>(CA600)/(CA614)*100</f>
        <v>#DIV/0!</v>
      </c>
      <c r="CB570" s="279" t="e">
        <f>(CB600)/(CB614)*100</f>
        <v>#DIV/0!</v>
      </c>
      <c r="CD570" s="279" t="e">
        <f>(CD600)/(CD614)*100</f>
        <v>#DIV/0!</v>
      </c>
      <c r="CE570" s="279" t="e">
        <f>(CE600)/(CE614)*100</f>
        <v>#DIV/0!</v>
      </c>
      <c r="CG570" s="279" t="e">
        <f>(CG600)/(CG614)*100</f>
        <v>#DIV/0!</v>
      </c>
      <c r="CH570" s="279" t="e">
        <f>(CH600)/(CH614)*100</f>
        <v>#DIV/0!</v>
      </c>
      <c r="CJ570" s="279" t="e">
        <f>(CJ600)/(CJ614)*100</f>
        <v>#DIV/0!</v>
      </c>
      <c r="CK570" s="279" t="e">
        <f>(CK600)/(CK614)*100</f>
        <v>#DIV/0!</v>
      </c>
    </row>
    <row r="571" spans="1:89" ht="45" x14ac:dyDescent="0.25">
      <c r="A571" s="107"/>
      <c r="B571" s="16" t="s">
        <v>2303</v>
      </c>
      <c r="C571" s="95"/>
      <c r="D571" s="107"/>
      <c r="E571" s="291"/>
      <c r="F571" s="291"/>
      <c r="G571" s="291"/>
      <c r="H571" s="291"/>
      <c r="I571" s="291">
        <f t="shared" ref="I571:N571" si="994">I572+I573</f>
        <v>464</v>
      </c>
      <c r="J571" s="291">
        <f t="shared" si="994"/>
        <v>460</v>
      </c>
      <c r="K571" s="291">
        <f t="shared" si="994"/>
        <v>460</v>
      </c>
      <c r="L571" s="291">
        <f t="shared" si="994"/>
        <v>18</v>
      </c>
      <c r="M571" s="291">
        <f t="shared" si="994"/>
        <v>18</v>
      </c>
      <c r="N571" s="291">
        <f t="shared" si="994"/>
        <v>18</v>
      </c>
      <c r="Q571" s="291">
        <f>Q572+Q573</f>
        <v>460</v>
      </c>
      <c r="R571" s="291">
        <f>R572+R573</f>
        <v>469</v>
      </c>
      <c r="S571" s="291">
        <f>S572+S573</f>
        <v>16</v>
      </c>
      <c r="T571" s="291">
        <f>T572+T573</f>
        <v>17</v>
      </c>
      <c r="V571" s="291">
        <f>V572+V573</f>
        <v>13</v>
      </c>
      <c r="W571" s="291">
        <f>W572+W573</f>
        <v>14</v>
      </c>
      <c r="Y571" s="291">
        <f>Y572+Y573</f>
        <v>21</v>
      </c>
      <c r="Z571" s="291">
        <f>Z572+Z573</f>
        <v>21</v>
      </c>
      <c r="AB571" s="291">
        <f>AB572+AB573</f>
        <v>23</v>
      </c>
      <c r="AC571" s="291">
        <f>AC572+AC573</f>
        <v>23</v>
      </c>
      <c r="AE571" s="291">
        <f>AE572+AE573</f>
        <v>28</v>
      </c>
      <c r="AF571" s="291">
        <f>AF572+AF573</f>
        <v>28</v>
      </c>
      <c r="AH571" s="291">
        <f>AH572+AH573</f>
        <v>29</v>
      </c>
      <c r="AI571" s="291">
        <f>AI572+AI573</f>
        <v>29</v>
      </c>
      <c r="AK571" s="291">
        <f>AK572+AK573</f>
        <v>15</v>
      </c>
      <c r="AL571" s="291">
        <f>AL572+AL573</f>
        <v>15</v>
      </c>
      <c r="AN571" s="291">
        <f>AN572+AN573</f>
        <v>33</v>
      </c>
      <c r="AO571" s="291">
        <f>AO572+AO573</f>
        <v>33</v>
      </c>
      <c r="AQ571" s="291">
        <f>AQ572+AQ573</f>
        <v>29</v>
      </c>
      <c r="AR571" s="291">
        <f>AR572+AR573</f>
        <v>30</v>
      </c>
      <c r="AT571" s="291">
        <f>AT572+AT573</f>
        <v>13</v>
      </c>
      <c r="AU571" s="291">
        <f>AU572+AU573</f>
        <v>13</v>
      </c>
      <c r="AW571" s="291">
        <f>AW572+AW573</f>
        <v>7</v>
      </c>
      <c r="AX571" s="291">
        <f>AX572+AX573</f>
        <v>8</v>
      </c>
      <c r="AZ571" s="291">
        <f>AZ572+AZ573</f>
        <v>12</v>
      </c>
      <c r="BA571" s="291">
        <f>BA572+BA573</f>
        <v>12</v>
      </c>
      <c r="BC571" s="291">
        <f>BC572+BC573</f>
        <v>30</v>
      </c>
      <c r="BD571" s="291">
        <f>BD572+BD573</f>
        <v>30</v>
      </c>
      <c r="BF571" s="291">
        <f>BF572+BF573</f>
        <v>35</v>
      </c>
      <c r="BG571" s="291">
        <f>BG572+BG573</f>
        <v>38</v>
      </c>
      <c r="BI571" s="291">
        <f>BI572+BI573</f>
        <v>62</v>
      </c>
      <c r="BJ571" s="291">
        <f>BJ572+BJ573</f>
        <v>63</v>
      </c>
      <c r="BL571" s="291">
        <f>BL572+BL573</f>
        <v>7</v>
      </c>
      <c r="BM571" s="291">
        <f>BM572+BM573</f>
        <v>7</v>
      </c>
      <c r="BO571" s="291">
        <f>BO572+BO573</f>
        <v>8</v>
      </c>
      <c r="BP571" s="291">
        <f>BP572+BP573</f>
        <v>8</v>
      </c>
      <c r="BR571" s="291">
        <f>BR572+BR573</f>
        <v>14</v>
      </c>
      <c r="BS571" s="291">
        <f>BS572+BS573</f>
        <v>14</v>
      </c>
      <c r="BU571" s="291">
        <f>BU572+BU573</f>
        <v>9</v>
      </c>
      <c r="BV571" s="291">
        <f>BV572+BV573</f>
        <v>8</v>
      </c>
      <c r="BX571" s="291">
        <f>BX572+BX573</f>
        <v>5</v>
      </c>
      <c r="BY571" s="291">
        <f>BY572+BY573</f>
        <v>5</v>
      </c>
      <c r="CA571" s="291">
        <f>CA572+CA573</f>
        <v>10</v>
      </c>
      <c r="CB571" s="291">
        <f>CB572+CB573</f>
        <v>11</v>
      </c>
      <c r="CD571" s="291">
        <f>CD572+CD573</f>
        <v>12</v>
      </c>
      <c r="CE571" s="291">
        <f>CE572+CE573</f>
        <v>13</v>
      </c>
      <c r="CG571" s="291">
        <f>CG572+CG573</f>
        <v>29</v>
      </c>
      <c r="CH571" s="291">
        <f>CH572+CH573</f>
        <v>29</v>
      </c>
      <c r="CJ571" s="291">
        <f>CJ572+CJ573</f>
        <v>0</v>
      </c>
      <c r="CK571" s="291">
        <f>CK572+CK573</f>
        <v>0</v>
      </c>
    </row>
    <row r="572" spans="1:89" ht="60" x14ac:dyDescent="0.25">
      <c r="A572" s="321"/>
      <c r="B572" s="311" t="s">
        <v>1183</v>
      </c>
      <c r="C572" s="312" t="s">
        <v>2768</v>
      </c>
      <c r="D572" s="107"/>
      <c r="E572" s="291"/>
      <c r="F572" s="291"/>
      <c r="G572" s="291"/>
      <c r="H572" s="291"/>
      <c r="I572" s="291">
        <v>319</v>
      </c>
      <c r="J572" s="291">
        <v>317</v>
      </c>
      <c r="K572" s="291">
        <v>314</v>
      </c>
      <c r="L572" s="291">
        <v>5</v>
      </c>
      <c r="M572" s="291">
        <v>5</v>
      </c>
      <c r="N572" s="291">
        <v>5</v>
      </c>
      <c r="Q572" s="283">
        <f>S572+V572+Y572+AB572+AE572+AH572+AK572+AN572+AQ572+AT572+AW572+AZ572+BC572+BF572+BI572+BL572+BO572+BR572+BU572+BX572+CA572+CD572+CG572+CJ572</f>
        <v>314</v>
      </c>
      <c r="R572" s="283">
        <f>T572+W572+Z572+AC572+AF572+AI572+AL572+AO572+AR572+AU572+AX572+BA572+BD572+BG572+BJ572+BM572+BP572+BS572+BV572+BY572+CB572+CE572+CH572+CK572</f>
        <v>323</v>
      </c>
      <c r="S572" s="267">
        <v>6</v>
      </c>
      <c r="T572" s="267">
        <v>7</v>
      </c>
      <c r="V572" s="267">
        <v>5</v>
      </c>
      <c r="W572" s="267">
        <v>5</v>
      </c>
      <c r="Y572" s="267">
        <v>6</v>
      </c>
      <c r="Z572" s="267">
        <v>6</v>
      </c>
      <c r="AB572" s="267">
        <v>4</v>
      </c>
      <c r="AC572" s="267">
        <v>4</v>
      </c>
      <c r="AE572" s="267">
        <v>9</v>
      </c>
      <c r="AF572" s="267">
        <v>11</v>
      </c>
      <c r="AH572" s="267">
        <v>8</v>
      </c>
      <c r="AI572" s="267">
        <v>8</v>
      </c>
      <c r="AK572" s="267">
        <v>13</v>
      </c>
      <c r="AL572" s="267">
        <v>13</v>
      </c>
      <c r="AN572" s="267">
        <v>15</v>
      </c>
      <c r="AO572" s="267">
        <v>15</v>
      </c>
      <c r="AQ572" s="267">
        <v>0</v>
      </c>
      <c r="AR572" s="267">
        <v>0</v>
      </c>
      <c r="AT572" s="267">
        <v>13</v>
      </c>
      <c r="AU572" s="267">
        <v>13</v>
      </c>
      <c r="AW572" s="267">
        <v>7</v>
      </c>
      <c r="AX572" s="267">
        <v>8</v>
      </c>
      <c r="AZ572" s="267">
        <v>12</v>
      </c>
      <c r="BA572" s="267">
        <v>12</v>
      </c>
      <c r="BC572" s="267">
        <v>30</v>
      </c>
      <c r="BD572" s="267">
        <v>30</v>
      </c>
      <c r="BF572" s="267">
        <v>35</v>
      </c>
      <c r="BG572" s="267">
        <v>38</v>
      </c>
      <c r="BI572" s="267">
        <v>62</v>
      </c>
      <c r="BJ572" s="267">
        <v>63</v>
      </c>
      <c r="BL572" s="267">
        <v>7</v>
      </c>
      <c r="BM572" s="267">
        <v>7</v>
      </c>
      <c r="BO572" s="267">
        <v>8</v>
      </c>
      <c r="BP572" s="267">
        <v>8</v>
      </c>
      <c r="BR572" s="267">
        <v>14</v>
      </c>
      <c r="BS572" s="267">
        <v>14</v>
      </c>
      <c r="BU572" s="267">
        <v>9</v>
      </c>
      <c r="BV572" s="267">
        <v>8</v>
      </c>
      <c r="BX572" s="267">
        <v>5</v>
      </c>
      <c r="BY572" s="267">
        <v>5</v>
      </c>
      <c r="CA572" s="267">
        <v>10</v>
      </c>
      <c r="CB572" s="267">
        <v>11</v>
      </c>
      <c r="CD572" s="267">
        <v>12</v>
      </c>
      <c r="CE572" s="267">
        <v>13</v>
      </c>
      <c r="CG572" s="267">
        <v>24</v>
      </c>
      <c r="CH572" s="267">
        <v>24</v>
      </c>
      <c r="CJ572" s="267">
        <v>0</v>
      </c>
      <c r="CK572" s="267">
        <v>0</v>
      </c>
    </row>
    <row r="573" spans="1:89" ht="60" x14ac:dyDescent="0.25">
      <c r="A573" s="321"/>
      <c r="B573" s="311" t="s">
        <v>1185</v>
      </c>
      <c r="C573" s="312" t="s">
        <v>2768</v>
      </c>
      <c r="D573" s="107"/>
      <c r="E573" s="291"/>
      <c r="F573" s="291"/>
      <c r="G573" s="291"/>
      <c r="H573" s="291"/>
      <c r="I573" s="291">
        <v>145</v>
      </c>
      <c r="J573" s="291">
        <v>143</v>
      </c>
      <c r="K573" s="291">
        <v>146</v>
      </c>
      <c r="L573" s="291">
        <v>13</v>
      </c>
      <c r="M573" s="291">
        <v>13</v>
      </c>
      <c r="N573" s="291">
        <v>13</v>
      </c>
      <c r="Q573" s="283">
        <f>S573+V573+Y573+AB573+AE573+AH573+AK573+AN573+AQ573+AT573+AW573+AZ573+BC573+BF573+BI573+BL573+BO573+BR573+BU573+BX573+CA573+CD573+CG573+CJ573</f>
        <v>146</v>
      </c>
      <c r="R573" s="283">
        <f>T573+W573+Z573+AC573+AF573+AI573+AL573+AO573+AR573+AU573+AX573+BA573+BD573+BG573+BJ573+BM573+BP573+BS573+BV573+BY573+CB573+CE573+CH573+CK573</f>
        <v>146</v>
      </c>
      <c r="S573" s="267">
        <v>10</v>
      </c>
      <c r="T573" s="267">
        <v>10</v>
      </c>
      <c r="V573" s="267">
        <v>8</v>
      </c>
      <c r="W573" s="267">
        <v>9</v>
      </c>
      <c r="Y573" s="267">
        <v>15</v>
      </c>
      <c r="Z573" s="267">
        <v>15</v>
      </c>
      <c r="AB573" s="267">
        <v>19</v>
      </c>
      <c r="AC573" s="267">
        <v>19</v>
      </c>
      <c r="AE573" s="267">
        <v>19</v>
      </c>
      <c r="AF573" s="267">
        <v>17</v>
      </c>
      <c r="AH573" s="267">
        <v>21</v>
      </c>
      <c r="AI573" s="267">
        <v>21</v>
      </c>
      <c r="AK573" s="267">
        <v>2</v>
      </c>
      <c r="AL573" s="267">
        <v>2</v>
      </c>
      <c r="AN573" s="267">
        <v>18</v>
      </c>
      <c r="AO573" s="267">
        <v>18</v>
      </c>
      <c r="AQ573" s="267">
        <v>29</v>
      </c>
      <c r="AR573" s="267">
        <v>30</v>
      </c>
      <c r="AT573" s="267">
        <v>0</v>
      </c>
      <c r="AU573" s="267">
        <v>0</v>
      </c>
      <c r="AW573" s="267">
        <v>0</v>
      </c>
      <c r="AX573" s="267">
        <v>0</v>
      </c>
      <c r="AZ573" s="267">
        <v>0</v>
      </c>
      <c r="BA573" s="267">
        <v>0</v>
      </c>
      <c r="BC573" s="267">
        <v>0</v>
      </c>
      <c r="BD573" s="267">
        <v>0</v>
      </c>
      <c r="BF573" s="267">
        <v>0</v>
      </c>
      <c r="BG573" s="267">
        <v>0</v>
      </c>
      <c r="BI573" s="267">
        <v>0</v>
      </c>
      <c r="BJ573" s="267">
        <v>0</v>
      </c>
      <c r="BL573" s="267">
        <v>0</v>
      </c>
      <c r="BM573" s="267">
        <v>0</v>
      </c>
      <c r="BO573" s="267">
        <v>0</v>
      </c>
      <c r="BP573" s="267">
        <v>0</v>
      </c>
      <c r="BR573" s="267">
        <v>0</v>
      </c>
      <c r="BS573" s="267">
        <v>0</v>
      </c>
      <c r="BU573" s="267">
        <v>0</v>
      </c>
      <c r="BV573" s="267">
        <v>0</v>
      </c>
      <c r="BX573" s="267">
        <v>0</v>
      </c>
      <c r="BY573" s="267">
        <v>0</v>
      </c>
      <c r="CA573" s="267">
        <v>0</v>
      </c>
      <c r="CB573" s="267">
        <v>0</v>
      </c>
      <c r="CD573" s="267">
        <v>0</v>
      </c>
      <c r="CE573" s="267">
        <v>0</v>
      </c>
      <c r="CG573" s="267">
        <v>5</v>
      </c>
      <c r="CH573" s="267">
        <v>5</v>
      </c>
      <c r="CJ573" s="267">
        <v>0</v>
      </c>
      <c r="CK573" s="267">
        <v>0</v>
      </c>
    </row>
    <row r="574" spans="1:89" x14ac:dyDescent="0.25">
      <c r="A574" s="321"/>
      <c r="B574" s="311" t="s">
        <v>2715</v>
      </c>
      <c r="C574" s="95"/>
      <c r="D574" s="107"/>
      <c r="E574" s="291"/>
      <c r="F574" s="291"/>
      <c r="G574" s="291"/>
      <c r="H574" s="291"/>
      <c r="I574" s="291">
        <f t="shared" ref="I574:N574" si="995">I575+I576</f>
        <v>479</v>
      </c>
      <c r="J574" s="291">
        <f t="shared" si="995"/>
        <v>468</v>
      </c>
      <c r="K574" s="291">
        <f t="shared" si="995"/>
        <v>468</v>
      </c>
      <c r="L574" s="291">
        <f t="shared" si="995"/>
        <v>31</v>
      </c>
      <c r="M574" s="291">
        <f t="shared" si="995"/>
        <v>34</v>
      </c>
      <c r="N574" s="291">
        <f t="shared" si="995"/>
        <v>33</v>
      </c>
      <c r="Q574" s="291">
        <f>Q575+Q576</f>
        <v>468</v>
      </c>
      <c r="R574" s="291">
        <f>R575+R576</f>
        <v>482</v>
      </c>
      <c r="S574" s="291">
        <f>S575+S576</f>
        <v>16</v>
      </c>
      <c r="T574" s="291">
        <f>T575+T576</f>
        <v>17</v>
      </c>
      <c r="V574" s="291">
        <f>V575+V576</f>
        <v>16</v>
      </c>
      <c r="W574" s="291">
        <f>W575+W576</f>
        <v>17</v>
      </c>
      <c r="Y574" s="291">
        <f>Y575+Y576</f>
        <v>21</v>
      </c>
      <c r="Z574" s="291">
        <f>Z575+Z576</f>
        <v>21</v>
      </c>
      <c r="AB574" s="291">
        <f>AB575+AB576</f>
        <v>23</v>
      </c>
      <c r="AC574" s="291">
        <f>AC575+AC576</f>
        <v>23</v>
      </c>
      <c r="AE574" s="291">
        <f>AE575+AE576</f>
        <v>29</v>
      </c>
      <c r="AF574" s="291">
        <f>AF575+AF576</f>
        <v>29</v>
      </c>
      <c r="AH574" s="291">
        <f>AH575+AH576</f>
        <v>31</v>
      </c>
      <c r="AI574" s="291">
        <f>AI575+AI576</f>
        <v>31</v>
      </c>
      <c r="AK574" s="291">
        <f>AK575+AK576</f>
        <v>15</v>
      </c>
      <c r="AL574" s="291">
        <f>AL575+AL576</f>
        <v>15</v>
      </c>
      <c r="AN574" s="291">
        <f>AN575+AN576</f>
        <v>33</v>
      </c>
      <c r="AO574" s="291">
        <f>AO575+AO576</f>
        <v>33</v>
      </c>
      <c r="AQ574" s="291">
        <f>AQ575+AQ576</f>
        <v>31</v>
      </c>
      <c r="AR574" s="291">
        <f>AR575+AR576</f>
        <v>37</v>
      </c>
      <c r="AT574" s="291">
        <f>AT575+AT576</f>
        <v>13</v>
      </c>
      <c r="AU574" s="291">
        <f>AU575+AU576</f>
        <v>13</v>
      </c>
      <c r="AW574" s="291">
        <f>AW575+AW576</f>
        <v>7</v>
      </c>
      <c r="AX574" s="291">
        <f>AX575+AX576</f>
        <v>8</v>
      </c>
      <c r="AZ574" s="291">
        <f>AZ575+AZ576</f>
        <v>12</v>
      </c>
      <c r="BA574" s="291">
        <f>BA575+BA576</f>
        <v>12</v>
      </c>
      <c r="BC574" s="291">
        <f>BC575+BC576</f>
        <v>30</v>
      </c>
      <c r="BD574" s="291">
        <f>BD575+BD576</f>
        <v>30</v>
      </c>
      <c r="BF574" s="291">
        <f>BF575+BF576</f>
        <v>35</v>
      </c>
      <c r="BG574" s="291">
        <f>BG575+BG576</f>
        <v>38</v>
      </c>
      <c r="BI574" s="291">
        <f>BI575+BI576</f>
        <v>62</v>
      </c>
      <c r="BJ574" s="291">
        <f>BJ575+BJ576</f>
        <v>63</v>
      </c>
      <c r="BL574" s="291">
        <f>BL575+BL576</f>
        <v>7</v>
      </c>
      <c r="BM574" s="291">
        <f>BM575+BM576</f>
        <v>7</v>
      </c>
      <c r="BO574" s="291">
        <f>BO575+BO576</f>
        <v>8</v>
      </c>
      <c r="BP574" s="291">
        <f>BP575+BP576</f>
        <v>8</v>
      </c>
      <c r="BR574" s="291">
        <f>BR575+BR576</f>
        <v>14</v>
      </c>
      <c r="BS574" s="291">
        <f>BS575+BS576</f>
        <v>14</v>
      </c>
      <c r="BU574" s="291">
        <f>BU575+BU576</f>
        <v>9</v>
      </c>
      <c r="BV574" s="291">
        <f>BV575+BV576</f>
        <v>8</v>
      </c>
      <c r="BX574" s="291">
        <f>BX575+BX576</f>
        <v>5</v>
      </c>
      <c r="BY574" s="291">
        <f>BY575+BY576</f>
        <v>5</v>
      </c>
      <c r="CA574" s="291">
        <f>CA575+CA576</f>
        <v>10</v>
      </c>
      <c r="CB574" s="291">
        <f>CB575+CB576</f>
        <v>11</v>
      </c>
      <c r="CD574" s="291">
        <f>CD575+CD576</f>
        <v>12</v>
      </c>
      <c r="CE574" s="291">
        <f>CE575+CE576</f>
        <v>13</v>
      </c>
      <c r="CG574" s="291">
        <f>CG575+CG576</f>
        <v>29</v>
      </c>
      <c r="CH574" s="291">
        <f>CH575+CH576</f>
        <v>29</v>
      </c>
      <c r="CJ574" s="291">
        <f>CJ575+CJ576</f>
        <v>0</v>
      </c>
      <c r="CK574" s="291">
        <f>CK575+CK576</f>
        <v>0</v>
      </c>
    </row>
    <row r="575" spans="1:89" ht="60" x14ac:dyDescent="0.25">
      <c r="A575" s="321"/>
      <c r="B575" s="311" t="s">
        <v>1183</v>
      </c>
      <c r="C575" s="312" t="s">
        <v>2767</v>
      </c>
      <c r="D575" s="107"/>
      <c r="E575" s="291"/>
      <c r="F575" s="291"/>
      <c r="G575" s="291"/>
      <c r="H575" s="291"/>
      <c r="I575" s="291">
        <v>320</v>
      </c>
      <c r="J575" s="291">
        <v>318</v>
      </c>
      <c r="K575" s="291">
        <v>316</v>
      </c>
      <c r="L575" s="291">
        <v>9</v>
      </c>
      <c r="M575" s="291">
        <v>13</v>
      </c>
      <c r="N575" s="291">
        <v>13</v>
      </c>
      <c r="Q575" s="283">
        <f>S575+V575+Y575+AB575+AE575+AH575+AK575+AN575+AQ575+AT575+AW575+AZ575+BC575+BF575+BI575+BL575+BO575+BR575+BU575+BX575+CA575+CD575+CG575+CJ575</f>
        <v>316</v>
      </c>
      <c r="R575" s="283">
        <f>T575+W575+Z575+AC575+AF575+AI575+AL575+AO575+AR575+AU575+AX575+BA575+BD575+BG575+BJ575+BM575+BP575+BS575+BV575+BY575+CB575+CE575+CH575+CK575</f>
        <v>325</v>
      </c>
      <c r="S575" s="267">
        <v>6</v>
      </c>
      <c r="T575" s="267">
        <v>7</v>
      </c>
      <c r="V575" s="267">
        <v>6</v>
      </c>
      <c r="W575" s="267">
        <v>6</v>
      </c>
      <c r="Y575" s="267">
        <v>6</v>
      </c>
      <c r="Z575" s="267">
        <v>6</v>
      </c>
      <c r="AB575" s="267">
        <v>4</v>
      </c>
      <c r="AC575" s="267">
        <v>4</v>
      </c>
      <c r="AE575" s="267">
        <v>9</v>
      </c>
      <c r="AF575" s="267">
        <v>11</v>
      </c>
      <c r="AH575" s="267">
        <v>9</v>
      </c>
      <c r="AI575" s="267">
        <v>9</v>
      </c>
      <c r="AK575" s="267">
        <v>13</v>
      </c>
      <c r="AL575" s="267">
        <v>13</v>
      </c>
      <c r="AN575" s="267">
        <v>15</v>
      </c>
      <c r="AO575" s="267">
        <v>15</v>
      </c>
      <c r="AQ575" s="267">
        <v>0</v>
      </c>
      <c r="AR575" s="267">
        <v>0</v>
      </c>
      <c r="AT575" s="267">
        <v>13</v>
      </c>
      <c r="AU575" s="267">
        <v>13</v>
      </c>
      <c r="AW575" s="267">
        <v>7</v>
      </c>
      <c r="AX575" s="267">
        <v>8</v>
      </c>
      <c r="AZ575" s="267">
        <v>12</v>
      </c>
      <c r="BA575" s="267">
        <v>12</v>
      </c>
      <c r="BC575" s="267">
        <v>30</v>
      </c>
      <c r="BD575" s="267">
        <v>30</v>
      </c>
      <c r="BF575" s="267">
        <v>35</v>
      </c>
      <c r="BG575" s="267">
        <v>38</v>
      </c>
      <c r="BI575" s="267">
        <v>62</v>
      </c>
      <c r="BJ575" s="267">
        <v>63</v>
      </c>
      <c r="BL575" s="267">
        <v>7</v>
      </c>
      <c r="BM575" s="267">
        <v>7</v>
      </c>
      <c r="BO575" s="267">
        <v>8</v>
      </c>
      <c r="BP575" s="267">
        <v>8</v>
      </c>
      <c r="BR575" s="267">
        <v>14</v>
      </c>
      <c r="BS575" s="267">
        <v>14</v>
      </c>
      <c r="BU575" s="267">
        <v>9</v>
      </c>
      <c r="BV575" s="267">
        <v>8</v>
      </c>
      <c r="BX575" s="267">
        <v>5</v>
      </c>
      <c r="BY575" s="267">
        <v>5</v>
      </c>
      <c r="CA575" s="267">
        <v>10</v>
      </c>
      <c r="CB575" s="267">
        <v>11</v>
      </c>
      <c r="CD575" s="267">
        <v>12</v>
      </c>
      <c r="CE575" s="267">
        <v>13</v>
      </c>
      <c r="CG575" s="267">
        <v>24</v>
      </c>
      <c r="CH575" s="267">
        <v>24</v>
      </c>
      <c r="CJ575" s="267">
        <v>0</v>
      </c>
      <c r="CK575" s="267">
        <v>0</v>
      </c>
    </row>
    <row r="576" spans="1:89" ht="60" x14ac:dyDescent="0.25">
      <c r="A576" s="321"/>
      <c r="B576" s="311" t="s">
        <v>1185</v>
      </c>
      <c r="C576" s="312" t="s">
        <v>2767</v>
      </c>
      <c r="D576" s="107"/>
      <c r="E576" s="291"/>
      <c r="F576" s="291"/>
      <c r="G576" s="291"/>
      <c r="H576" s="291"/>
      <c r="I576" s="291">
        <v>159</v>
      </c>
      <c r="J576" s="291">
        <v>150</v>
      </c>
      <c r="K576" s="291">
        <v>152</v>
      </c>
      <c r="L576" s="291">
        <v>22</v>
      </c>
      <c r="M576" s="291">
        <v>21</v>
      </c>
      <c r="N576" s="291">
        <v>20</v>
      </c>
      <c r="Q576" s="283">
        <f>S576+V576+Y576+AB576+AE576+AH576+AK576+AN576+AQ576+AT576+AW576+AZ576+BC576+BF576+BI576+BL576+BO576+BR576+BU576+BX576+CA576+CD576+CG576+CJ576</f>
        <v>152</v>
      </c>
      <c r="R576" s="283">
        <f>T576+W576+Z576+AC576+AF576+AI576+AL576+AO576+AR576+AU576+AX576+BA576+BD576+BG576+BJ576+BM576+BP576+BS576+BV576+BY576+CB576+CE576+CH576+CK576</f>
        <v>157</v>
      </c>
      <c r="S576" s="267">
        <v>10</v>
      </c>
      <c r="T576" s="267">
        <v>10</v>
      </c>
      <c r="V576" s="267">
        <v>10</v>
      </c>
      <c r="W576" s="267">
        <v>11</v>
      </c>
      <c r="Y576" s="267">
        <v>15</v>
      </c>
      <c r="Z576" s="267">
        <v>15</v>
      </c>
      <c r="AB576" s="267">
        <v>19</v>
      </c>
      <c r="AC576" s="267">
        <v>19</v>
      </c>
      <c r="AE576" s="267">
        <v>20</v>
      </c>
      <c r="AF576" s="267">
        <v>18</v>
      </c>
      <c r="AH576" s="267">
        <v>22</v>
      </c>
      <c r="AI576" s="267">
        <v>22</v>
      </c>
      <c r="AK576" s="267">
        <v>2</v>
      </c>
      <c r="AL576" s="267">
        <v>2</v>
      </c>
      <c r="AN576" s="267">
        <v>18</v>
      </c>
      <c r="AO576" s="267">
        <v>18</v>
      </c>
      <c r="AQ576" s="267">
        <v>31</v>
      </c>
      <c r="AR576" s="267">
        <v>37</v>
      </c>
      <c r="AT576" s="267">
        <v>0</v>
      </c>
      <c r="AU576" s="267">
        <v>0</v>
      </c>
      <c r="AW576" s="267">
        <v>0</v>
      </c>
      <c r="AX576" s="267">
        <v>0</v>
      </c>
      <c r="AZ576" s="267">
        <v>0</v>
      </c>
      <c r="BA576" s="267">
        <v>0</v>
      </c>
      <c r="BC576" s="267">
        <v>0</v>
      </c>
      <c r="BD576" s="267">
        <v>0</v>
      </c>
      <c r="BF576" s="267">
        <v>0</v>
      </c>
      <c r="BG576" s="267">
        <v>0</v>
      </c>
      <c r="BI576" s="267">
        <v>0</v>
      </c>
      <c r="BJ576" s="267">
        <v>0</v>
      </c>
      <c r="BL576" s="267">
        <v>0</v>
      </c>
      <c r="BM576" s="267">
        <v>0</v>
      </c>
      <c r="BO576" s="267">
        <v>0</v>
      </c>
      <c r="BP576" s="267">
        <v>0</v>
      </c>
      <c r="BR576" s="267">
        <v>0</v>
      </c>
      <c r="BS576" s="267">
        <v>0</v>
      </c>
      <c r="BU576" s="267">
        <v>0</v>
      </c>
      <c r="BV576" s="267">
        <v>0</v>
      </c>
      <c r="BX576" s="267">
        <v>0</v>
      </c>
      <c r="BY576" s="267">
        <v>0</v>
      </c>
      <c r="CA576" s="267">
        <v>0</v>
      </c>
      <c r="CB576" s="267">
        <v>0</v>
      </c>
      <c r="CD576" s="267">
        <v>0</v>
      </c>
      <c r="CE576" s="267">
        <v>0</v>
      </c>
      <c r="CG576" s="267">
        <v>5</v>
      </c>
      <c r="CH576" s="267">
        <v>5</v>
      </c>
      <c r="CJ576" s="267">
        <v>0</v>
      </c>
      <c r="CK576" s="267">
        <v>0</v>
      </c>
    </row>
    <row r="577" spans="1:14" ht="30" x14ac:dyDescent="0.25">
      <c r="A577" s="416"/>
      <c r="B577" s="419" t="s">
        <v>197</v>
      </c>
      <c r="C577" s="95" t="s">
        <v>1194</v>
      </c>
      <c r="D577" s="95" t="s">
        <v>1112</v>
      </c>
      <c r="E577" s="291">
        <v>222</v>
      </c>
      <c r="F577" s="291">
        <v>223</v>
      </c>
      <c r="G577" s="291">
        <v>218</v>
      </c>
      <c r="H577" s="291">
        <f>H582</f>
        <v>222</v>
      </c>
      <c r="I577" s="291">
        <f>I582</f>
        <v>220</v>
      </c>
      <c r="J577" s="291">
        <f>J582</f>
        <v>0</v>
      </c>
      <c r="K577" s="291">
        <f>K582</f>
        <v>0</v>
      </c>
      <c r="L577" s="291">
        <v>5</v>
      </c>
      <c r="M577" s="291">
        <f t="shared" ref="M577:N577" si="996">M582</f>
        <v>5</v>
      </c>
      <c r="N577" s="291">
        <f t="shared" si="996"/>
        <v>5</v>
      </c>
    </row>
    <row r="578" spans="1:14" ht="30" x14ac:dyDescent="0.25">
      <c r="A578" s="417"/>
      <c r="B578" s="420"/>
      <c r="C578" s="95" t="s">
        <v>1196</v>
      </c>
      <c r="D578" s="95" t="s">
        <v>1112</v>
      </c>
      <c r="E578" s="291">
        <v>100</v>
      </c>
      <c r="F578" s="291">
        <v>98</v>
      </c>
      <c r="G578" s="291">
        <v>96</v>
      </c>
      <c r="H578" s="291">
        <f>H583</f>
        <v>94</v>
      </c>
      <c r="I578" s="291">
        <v>147</v>
      </c>
      <c r="J578" s="291">
        <f>J583</f>
        <v>0</v>
      </c>
      <c r="K578" s="291">
        <f>K583</f>
        <v>0</v>
      </c>
      <c r="L578" s="291">
        <v>13</v>
      </c>
      <c r="M578" s="291">
        <f>M583</f>
        <v>13</v>
      </c>
      <c r="N578" s="291">
        <f>N583</f>
        <v>13</v>
      </c>
    </row>
    <row r="579" spans="1:14" ht="30" x14ac:dyDescent="0.25">
      <c r="A579" s="417"/>
      <c r="B579" s="420"/>
      <c r="C579" s="95" t="s">
        <v>1195</v>
      </c>
      <c r="D579" s="95" t="s">
        <v>1112</v>
      </c>
      <c r="E579" s="291">
        <v>5</v>
      </c>
      <c r="F579" s="291">
        <v>5</v>
      </c>
      <c r="G579" s="291">
        <v>5</v>
      </c>
      <c r="H579" s="291">
        <f t="shared" ref="H579:J580" si="997">H585</f>
        <v>4</v>
      </c>
      <c r="I579" s="291">
        <f t="shared" si="997"/>
        <v>6</v>
      </c>
      <c r="J579" s="291">
        <f t="shared" si="997"/>
        <v>0</v>
      </c>
      <c r="K579" s="291">
        <f>K585</f>
        <v>0</v>
      </c>
      <c r="L579" s="291">
        <f>L585</f>
        <v>0</v>
      </c>
      <c r="M579" s="291">
        <f t="shared" ref="M579:N580" si="998">M585</f>
        <v>0</v>
      </c>
      <c r="N579" s="291">
        <f t="shared" si="998"/>
        <v>0</v>
      </c>
    </row>
    <row r="580" spans="1:14" ht="30" x14ac:dyDescent="0.25">
      <c r="A580" s="418"/>
      <c r="B580" s="421"/>
      <c r="C580" s="95" t="s">
        <v>1197</v>
      </c>
      <c r="D580" s="95" t="s">
        <v>1112</v>
      </c>
      <c r="E580" s="291">
        <v>0</v>
      </c>
      <c r="F580" s="291">
        <v>0</v>
      </c>
      <c r="G580" s="291">
        <v>0</v>
      </c>
      <c r="H580" s="291">
        <f t="shared" si="997"/>
        <v>0</v>
      </c>
      <c r="I580" s="291">
        <f t="shared" si="997"/>
        <v>0</v>
      </c>
      <c r="J580" s="291">
        <f t="shared" si="997"/>
        <v>0</v>
      </c>
      <c r="K580" s="291">
        <f>K586</f>
        <v>0</v>
      </c>
      <c r="L580" s="291">
        <f>L586</f>
        <v>0</v>
      </c>
      <c r="M580" s="291">
        <f t="shared" si="998"/>
        <v>0</v>
      </c>
      <c r="N580" s="291">
        <f t="shared" si="998"/>
        <v>0</v>
      </c>
    </row>
    <row r="581" spans="1:14" x14ac:dyDescent="0.25">
      <c r="A581" s="264"/>
      <c r="B581" s="262" t="s">
        <v>1182</v>
      </c>
      <c r="C581" s="95"/>
      <c r="D581" s="95"/>
      <c r="E581" s="291"/>
      <c r="F581" s="291"/>
      <c r="G581" s="291"/>
      <c r="H581" s="291">
        <f>H582+H583</f>
        <v>316</v>
      </c>
      <c r="I581" s="291">
        <f>I582+I583</f>
        <v>314</v>
      </c>
      <c r="J581" s="291">
        <f>J582+J583</f>
        <v>0</v>
      </c>
      <c r="K581" s="291">
        <f>K582+K583</f>
        <v>0</v>
      </c>
      <c r="L581" s="291">
        <f>L582+L583</f>
        <v>18</v>
      </c>
      <c r="M581" s="291">
        <f t="shared" ref="M581:N581" si="999">M582+M583</f>
        <v>18</v>
      </c>
      <c r="N581" s="291">
        <f t="shared" si="999"/>
        <v>18</v>
      </c>
    </row>
    <row r="582" spans="1:14" ht="105" x14ac:dyDescent="0.25">
      <c r="A582" s="264"/>
      <c r="B582" s="312"/>
      <c r="C582" s="312" t="s">
        <v>1500</v>
      </c>
      <c r="D582" s="95"/>
      <c r="E582" s="291"/>
      <c r="F582" s="291"/>
      <c r="G582" s="291"/>
      <c r="H582" s="291">
        <v>222</v>
      </c>
      <c r="I582" s="291">
        <v>220</v>
      </c>
      <c r="J582" s="291"/>
      <c r="K582" s="291"/>
      <c r="L582" s="291">
        <v>5</v>
      </c>
      <c r="M582" s="291">
        <v>5</v>
      </c>
      <c r="N582" s="291">
        <v>5</v>
      </c>
    </row>
    <row r="583" spans="1:14" ht="105" x14ac:dyDescent="0.25">
      <c r="A583" s="264"/>
      <c r="B583" s="312"/>
      <c r="C583" s="312" t="s">
        <v>1500</v>
      </c>
      <c r="D583" s="95"/>
      <c r="E583" s="291"/>
      <c r="F583" s="291"/>
      <c r="G583" s="291"/>
      <c r="H583" s="291">
        <v>94</v>
      </c>
      <c r="I583" s="291">
        <v>94</v>
      </c>
      <c r="J583" s="291"/>
      <c r="K583" s="291"/>
      <c r="L583" s="291">
        <v>13</v>
      </c>
      <c r="M583" s="291">
        <v>13</v>
      </c>
      <c r="N583" s="291">
        <v>13</v>
      </c>
    </row>
    <row r="584" spans="1:14" x14ac:dyDescent="0.25">
      <c r="A584" s="264"/>
      <c r="B584" s="332" t="s">
        <v>1184</v>
      </c>
      <c r="C584" s="95"/>
      <c r="D584" s="95"/>
      <c r="E584" s="291"/>
      <c r="F584" s="291"/>
      <c r="G584" s="291"/>
      <c r="H584" s="291">
        <f>H585+H586</f>
        <v>4</v>
      </c>
      <c r="I584" s="291">
        <f>I585+I586</f>
        <v>6</v>
      </c>
      <c r="J584" s="291">
        <f>J585+J586</f>
        <v>0</v>
      </c>
      <c r="K584" s="291">
        <f>K585+K586</f>
        <v>0</v>
      </c>
      <c r="L584" s="291">
        <f>L585+L586</f>
        <v>0</v>
      </c>
      <c r="M584" s="291">
        <f t="shared" ref="M584:N584" si="1000">M585+M586</f>
        <v>0</v>
      </c>
      <c r="N584" s="291">
        <f t="shared" si="1000"/>
        <v>0</v>
      </c>
    </row>
    <row r="585" spans="1:14" ht="105" x14ac:dyDescent="0.25">
      <c r="A585" s="264"/>
      <c r="B585" s="312"/>
      <c r="C585" s="312" t="s">
        <v>1500</v>
      </c>
      <c r="D585" s="95"/>
      <c r="E585" s="291"/>
      <c r="F585" s="291"/>
      <c r="G585" s="291"/>
      <c r="H585" s="291">
        <v>4</v>
      </c>
      <c r="I585" s="291">
        <v>6</v>
      </c>
      <c r="J585" s="291"/>
      <c r="K585" s="291"/>
      <c r="L585" s="291"/>
      <c r="M585" s="291"/>
      <c r="N585" s="291"/>
    </row>
    <row r="586" spans="1:14" ht="105" x14ac:dyDescent="0.25">
      <c r="A586" s="264"/>
      <c r="B586" s="312"/>
      <c r="C586" s="312" t="s">
        <v>1500</v>
      </c>
      <c r="D586" s="95"/>
      <c r="E586" s="291"/>
      <c r="F586" s="291"/>
      <c r="G586" s="291"/>
      <c r="H586" s="291">
        <v>0</v>
      </c>
      <c r="I586" s="291">
        <v>0</v>
      </c>
      <c r="J586" s="291"/>
      <c r="K586" s="291"/>
      <c r="L586" s="291"/>
      <c r="M586" s="291"/>
      <c r="N586" s="291"/>
    </row>
    <row r="587" spans="1:14" ht="30" x14ac:dyDescent="0.25">
      <c r="A587" s="416"/>
      <c r="B587" s="419" t="s">
        <v>64</v>
      </c>
      <c r="C587" s="95" t="s">
        <v>1198</v>
      </c>
      <c r="D587" s="95" t="s">
        <v>1112</v>
      </c>
      <c r="E587" s="291">
        <v>222</v>
      </c>
      <c r="F587" s="291">
        <v>223</v>
      </c>
      <c r="G587" s="291">
        <v>218</v>
      </c>
      <c r="H587" s="291">
        <f>H592</f>
        <v>222</v>
      </c>
      <c r="I587" s="291">
        <f>I592</f>
        <v>220</v>
      </c>
      <c r="J587" s="291">
        <f>J592</f>
        <v>0</v>
      </c>
      <c r="K587" s="291">
        <f>K592</f>
        <v>0</v>
      </c>
      <c r="L587" s="291">
        <v>5</v>
      </c>
      <c r="M587" s="291">
        <f t="shared" ref="M587:N587" si="1001">M592</f>
        <v>5</v>
      </c>
      <c r="N587" s="291">
        <f t="shared" si="1001"/>
        <v>5</v>
      </c>
    </row>
    <row r="588" spans="1:14" ht="30" x14ac:dyDescent="0.25">
      <c r="A588" s="417"/>
      <c r="B588" s="420"/>
      <c r="C588" s="95" t="s">
        <v>1200</v>
      </c>
      <c r="D588" s="95" t="s">
        <v>1112</v>
      </c>
      <c r="E588" s="291">
        <v>109</v>
      </c>
      <c r="F588" s="291">
        <v>107</v>
      </c>
      <c r="G588" s="291">
        <v>105</v>
      </c>
      <c r="H588" s="291">
        <f>H593</f>
        <v>98</v>
      </c>
      <c r="I588" s="291">
        <v>157</v>
      </c>
      <c r="J588" s="291">
        <f>J594</f>
        <v>0</v>
      </c>
      <c r="K588" s="291">
        <f>K594</f>
        <v>0</v>
      </c>
      <c r="L588" s="291">
        <v>0</v>
      </c>
      <c r="M588" s="291">
        <f>M594</f>
        <v>0</v>
      </c>
      <c r="N588" s="291">
        <f>N594</f>
        <v>0</v>
      </c>
    </row>
    <row r="589" spans="1:14" ht="30" x14ac:dyDescent="0.25">
      <c r="A589" s="417"/>
      <c r="B589" s="420"/>
      <c r="C589" s="95" t="s">
        <v>1199</v>
      </c>
      <c r="D589" s="95" t="s">
        <v>1112</v>
      </c>
      <c r="E589" s="291">
        <v>5</v>
      </c>
      <c r="F589" s="291">
        <v>5</v>
      </c>
      <c r="G589" s="291">
        <v>5</v>
      </c>
      <c r="H589" s="291">
        <f t="shared" ref="H589:J590" si="1002">H595</f>
        <v>4</v>
      </c>
      <c r="I589" s="291">
        <f t="shared" si="1002"/>
        <v>6</v>
      </c>
      <c r="J589" s="291">
        <f t="shared" si="1002"/>
        <v>0</v>
      </c>
      <c r="K589" s="291">
        <f>K595</f>
        <v>0</v>
      </c>
      <c r="L589" s="291">
        <v>0</v>
      </c>
      <c r="M589" s="291">
        <f t="shared" ref="M589:N590" si="1003">M595</f>
        <v>0</v>
      </c>
      <c r="N589" s="291">
        <f t="shared" si="1003"/>
        <v>0</v>
      </c>
    </row>
    <row r="590" spans="1:14" ht="30" x14ac:dyDescent="0.25">
      <c r="A590" s="418"/>
      <c r="B590" s="421"/>
      <c r="C590" s="95" t="s">
        <v>1201</v>
      </c>
      <c r="D590" s="95" t="s">
        <v>1112</v>
      </c>
      <c r="E590" s="291">
        <v>0</v>
      </c>
      <c r="F590" s="291">
        <v>0</v>
      </c>
      <c r="G590" s="291">
        <v>0</v>
      </c>
      <c r="H590" s="291">
        <f t="shared" si="1002"/>
        <v>0</v>
      </c>
      <c r="I590" s="291">
        <f t="shared" si="1002"/>
        <v>0</v>
      </c>
      <c r="J590" s="291">
        <f t="shared" si="1002"/>
        <v>0</v>
      </c>
      <c r="K590" s="291">
        <f>K596</f>
        <v>0</v>
      </c>
      <c r="L590" s="291">
        <f>L596</f>
        <v>0</v>
      </c>
      <c r="M590" s="291">
        <f t="shared" si="1003"/>
        <v>0</v>
      </c>
      <c r="N590" s="291">
        <f t="shared" si="1003"/>
        <v>0</v>
      </c>
    </row>
    <row r="591" spans="1:14" x14ac:dyDescent="0.25">
      <c r="A591" s="264"/>
      <c r="B591" s="262" t="s">
        <v>1182</v>
      </c>
      <c r="C591" s="95"/>
      <c r="D591" s="95"/>
      <c r="E591" s="291"/>
      <c r="F591" s="291"/>
      <c r="G591" s="291"/>
      <c r="H591" s="291">
        <f>H592+H593</f>
        <v>320</v>
      </c>
      <c r="I591" s="291">
        <f>I592+I593</f>
        <v>318</v>
      </c>
      <c r="J591" s="291">
        <f>J592+J593</f>
        <v>0</v>
      </c>
      <c r="K591" s="291">
        <f>K592+K593</f>
        <v>0</v>
      </c>
      <c r="L591" s="291">
        <f>L592+L593</f>
        <v>18</v>
      </c>
      <c r="M591" s="291">
        <f t="shared" ref="M591:N591" si="1004">M592+M593</f>
        <v>18</v>
      </c>
      <c r="N591" s="291">
        <f t="shared" si="1004"/>
        <v>18</v>
      </c>
    </row>
    <row r="592" spans="1:14" ht="105" x14ac:dyDescent="0.25">
      <c r="A592" s="264"/>
      <c r="B592" s="312"/>
      <c r="C592" s="312" t="s">
        <v>1501</v>
      </c>
      <c r="D592" s="95"/>
      <c r="E592" s="291"/>
      <c r="F592" s="291"/>
      <c r="G592" s="291"/>
      <c r="H592" s="291">
        <v>222</v>
      </c>
      <c r="I592" s="291">
        <v>220</v>
      </c>
      <c r="J592" s="291"/>
      <c r="K592" s="291"/>
      <c r="L592" s="291">
        <v>5</v>
      </c>
      <c r="M592" s="291">
        <v>5</v>
      </c>
      <c r="N592" s="291">
        <v>5</v>
      </c>
    </row>
    <row r="593" spans="1:89" ht="105" x14ac:dyDescent="0.25">
      <c r="A593" s="264"/>
      <c r="B593" s="312"/>
      <c r="C593" s="312" t="s">
        <v>1501</v>
      </c>
      <c r="D593" s="95"/>
      <c r="E593" s="291"/>
      <c r="F593" s="291"/>
      <c r="G593" s="291"/>
      <c r="H593" s="291">
        <v>98</v>
      </c>
      <c r="I593" s="291">
        <v>98</v>
      </c>
      <c r="J593" s="291"/>
      <c r="K593" s="291"/>
      <c r="L593" s="291">
        <v>13</v>
      </c>
      <c r="M593" s="291">
        <v>13</v>
      </c>
      <c r="N593" s="291">
        <v>13</v>
      </c>
    </row>
    <row r="594" spans="1:89" x14ac:dyDescent="0.25">
      <c r="A594" s="264"/>
      <c r="B594" s="332" t="s">
        <v>1184</v>
      </c>
      <c r="C594" s="95"/>
      <c r="D594" s="95"/>
      <c r="E594" s="291"/>
      <c r="F594" s="291"/>
      <c r="G594" s="291"/>
      <c r="H594" s="291">
        <f>H595+H596</f>
        <v>4</v>
      </c>
      <c r="I594" s="291">
        <f>I595+I596</f>
        <v>6</v>
      </c>
      <c r="J594" s="291">
        <f>J595+J596</f>
        <v>0</v>
      </c>
      <c r="K594" s="291">
        <f>K595+K596</f>
        <v>0</v>
      </c>
      <c r="L594" s="291">
        <f>L595+L596</f>
        <v>0</v>
      </c>
      <c r="M594" s="291">
        <f t="shared" ref="M594:N594" si="1005">M595+M596</f>
        <v>0</v>
      </c>
      <c r="N594" s="291">
        <f t="shared" si="1005"/>
        <v>0</v>
      </c>
    </row>
    <row r="595" spans="1:89" ht="105" x14ac:dyDescent="0.25">
      <c r="A595" s="264"/>
      <c r="B595" s="312"/>
      <c r="C595" s="312" t="s">
        <v>1501</v>
      </c>
      <c r="D595" s="95"/>
      <c r="E595" s="291"/>
      <c r="F595" s="291"/>
      <c r="G595" s="291"/>
      <c r="H595" s="291">
        <v>4</v>
      </c>
      <c r="I595" s="291">
        <v>6</v>
      </c>
      <c r="J595" s="291"/>
      <c r="K595" s="291"/>
      <c r="L595" s="291">
        <v>0</v>
      </c>
      <c r="M595" s="291"/>
      <c r="N595" s="291"/>
    </row>
    <row r="596" spans="1:89" ht="105" x14ac:dyDescent="0.25">
      <c r="A596" s="264"/>
      <c r="B596" s="312"/>
      <c r="C596" s="312" t="s">
        <v>1501</v>
      </c>
      <c r="D596" s="95"/>
      <c r="E596" s="291"/>
      <c r="F596" s="291"/>
      <c r="G596" s="291"/>
      <c r="H596" s="291">
        <v>0</v>
      </c>
      <c r="I596" s="291">
        <v>0</v>
      </c>
      <c r="J596" s="291"/>
      <c r="K596" s="291"/>
      <c r="L596" s="291"/>
      <c r="M596" s="291"/>
      <c r="N596" s="291"/>
    </row>
    <row r="597" spans="1:89" ht="30" x14ac:dyDescent="0.25">
      <c r="A597" s="416"/>
      <c r="B597" s="419" t="s">
        <v>198</v>
      </c>
      <c r="C597" s="95" t="s">
        <v>1202</v>
      </c>
      <c r="D597" s="95" t="s">
        <v>1112</v>
      </c>
      <c r="E597" s="291">
        <v>221</v>
      </c>
      <c r="F597" s="291">
        <v>223</v>
      </c>
      <c r="G597" s="291">
        <v>218</v>
      </c>
      <c r="H597" s="291">
        <f>H602</f>
        <v>222</v>
      </c>
      <c r="I597" s="291">
        <f>I602</f>
        <v>220</v>
      </c>
      <c r="J597" s="291">
        <f>J602</f>
        <v>0</v>
      </c>
      <c r="K597" s="291">
        <f>K602</f>
        <v>0</v>
      </c>
      <c r="L597" s="291">
        <f>L602</f>
        <v>5</v>
      </c>
      <c r="M597" s="291">
        <f t="shared" ref="M597:N597" si="1006">M602</f>
        <v>5</v>
      </c>
      <c r="N597" s="291">
        <f t="shared" si="1006"/>
        <v>5</v>
      </c>
    </row>
    <row r="598" spans="1:89" ht="30" x14ac:dyDescent="0.25">
      <c r="A598" s="417"/>
      <c r="B598" s="420"/>
      <c r="C598" s="95" t="s">
        <v>1204</v>
      </c>
      <c r="D598" s="95" t="s">
        <v>1112</v>
      </c>
      <c r="E598" s="291">
        <v>101</v>
      </c>
      <c r="F598" s="291">
        <v>103</v>
      </c>
      <c r="G598" s="291">
        <v>99</v>
      </c>
      <c r="H598" s="291">
        <f>H603</f>
        <v>93</v>
      </c>
      <c r="I598" s="291">
        <v>146</v>
      </c>
      <c r="J598" s="291">
        <f>J603</f>
        <v>0</v>
      </c>
      <c r="K598" s="291">
        <f>K603</f>
        <v>0</v>
      </c>
      <c r="L598" s="291">
        <f>L603</f>
        <v>13</v>
      </c>
      <c r="M598" s="291">
        <f>M603</f>
        <v>13</v>
      </c>
      <c r="N598" s="291">
        <f>N603</f>
        <v>13</v>
      </c>
    </row>
    <row r="599" spans="1:89" ht="30" x14ac:dyDescent="0.25">
      <c r="A599" s="417"/>
      <c r="B599" s="420"/>
      <c r="C599" s="95" t="s">
        <v>1203</v>
      </c>
      <c r="D599" s="95" t="s">
        <v>1112</v>
      </c>
      <c r="E599" s="291">
        <v>5</v>
      </c>
      <c r="F599" s="291">
        <v>5</v>
      </c>
      <c r="G599" s="291">
        <v>5</v>
      </c>
      <c r="H599" s="291">
        <f t="shared" ref="H599:J600" si="1007">H605</f>
        <v>4</v>
      </c>
      <c r="I599" s="291">
        <f t="shared" si="1007"/>
        <v>4</v>
      </c>
      <c r="J599" s="291">
        <f t="shared" si="1007"/>
        <v>4</v>
      </c>
      <c r="K599" s="291">
        <f>K605</f>
        <v>6</v>
      </c>
      <c r="L599" s="291">
        <f>L605</f>
        <v>0</v>
      </c>
      <c r="M599" s="291">
        <f t="shared" ref="M599:N600" si="1008">M605</f>
        <v>0</v>
      </c>
      <c r="N599" s="291">
        <f t="shared" si="1008"/>
        <v>0</v>
      </c>
      <c r="Q599" s="291">
        <f t="shared" ref="Q599:T600" si="1009">Q605</f>
        <v>6</v>
      </c>
      <c r="R599" s="291">
        <f t="shared" si="1009"/>
        <v>6</v>
      </c>
      <c r="S599" s="291">
        <f t="shared" si="1009"/>
        <v>0</v>
      </c>
      <c r="T599" s="291">
        <f t="shared" si="1009"/>
        <v>0</v>
      </c>
      <c r="V599" s="291">
        <f>V605</f>
        <v>0</v>
      </c>
      <c r="W599" s="291">
        <f>W605</f>
        <v>0</v>
      </c>
      <c r="Y599" s="291">
        <f>Y605</f>
        <v>0</v>
      </c>
      <c r="Z599" s="291">
        <f>Z605</f>
        <v>0</v>
      </c>
      <c r="AB599" s="291">
        <f>AB605</f>
        <v>0</v>
      </c>
      <c r="AC599" s="291">
        <f>AC605</f>
        <v>0</v>
      </c>
      <c r="AE599" s="291">
        <f>AE605</f>
        <v>0</v>
      </c>
      <c r="AF599" s="291">
        <f>AF605</f>
        <v>0</v>
      </c>
      <c r="AH599" s="291">
        <f>AH605</f>
        <v>0</v>
      </c>
      <c r="AI599" s="291">
        <f>AI605</f>
        <v>0</v>
      </c>
      <c r="AK599" s="291">
        <f>AK605</f>
        <v>0</v>
      </c>
      <c r="AL599" s="291">
        <f>AL605</f>
        <v>0</v>
      </c>
      <c r="AN599" s="291">
        <f>AN605</f>
        <v>0</v>
      </c>
      <c r="AO599" s="291">
        <f>AO605</f>
        <v>0</v>
      </c>
      <c r="AQ599" s="291">
        <f>AQ605</f>
        <v>0</v>
      </c>
      <c r="AR599" s="291">
        <f>AR605</f>
        <v>0</v>
      </c>
      <c r="AT599" s="291">
        <f>AT605</f>
        <v>0</v>
      </c>
      <c r="AU599" s="291">
        <f>AU605</f>
        <v>0</v>
      </c>
      <c r="AW599" s="291">
        <f>AW605</f>
        <v>0</v>
      </c>
      <c r="AX599" s="291">
        <f>AX605</f>
        <v>0</v>
      </c>
      <c r="AZ599" s="291">
        <f>AZ605</f>
        <v>0</v>
      </c>
      <c r="BA599" s="291">
        <f>BA605</f>
        <v>0</v>
      </c>
      <c r="BC599" s="291">
        <f>BC605</f>
        <v>1</v>
      </c>
      <c r="BD599" s="291">
        <f>BD605</f>
        <v>1</v>
      </c>
      <c r="BF599" s="291">
        <f>BF605</f>
        <v>1</v>
      </c>
      <c r="BG599" s="291">
        <f>BG605</f>
        <v>1</v>
      </c>
      <c r="BI599" s="291">
        <f>BI605</f>
        <v>1</v>
      </c>
      <c r="BJ599" s="291">
        <f>BJ605</f>
        <v>1</v>
      </c>
      <c r="BL599" s="291">
        <f>BL605</f>
        <v>0</v>
      </c>
      <c r="BM599" s="291">
        <f>BM605</f>
        <v>0</v>
      </c>
      <c r="BO599" s="291">
        <f>BO605</f>
        <v>0</v>
      </c>
      <c r="BP599" s="291">
        <f>BP605</f>
        <v>0</v>
      </c>
      <c r="BR599" s="291">
        <f>BR605</f>
        <v>0</v>
      </c>
      <c r="BS599" s="291">
        <f>BS605</f>
        <v>0</v>
      </c>
      <c r="BU599" s="291">
        <f>BU605</f>
        <v>0</v>
      </c>
      <c r="BV599" s="291">
        <f>BV605</f>
        <v>0</v>
      </c>
      <c r="BX599" s="291">
        <f>BX605</f>
        <v>0</v>
      </c>
      <c r="BY599" s="291">
        <f>BY605</f>
        <v>0</v>
      </c>
      <c r="CA599" s="291">
        <f>CA605</f>
        <v>0</v>
      </c>
      <c r="CB599" s="291">
        <f>CB605</f>
        <v>0</v>
      </c>
      <c r="CD599" s="291">
        <f>CD605</f>
        <v>3</v>
      </c>
      <c r="CE599" s="291">
        <f>CE605</f>
        <v>3</v>
      </c>
      <c r="CG599" s="291">
        <f>CG605</f>
        <v>0</v>
      </c>
      <c r="CH599" s="291">
        <f>CH605</f>
        <v>0</v>
      </c>
      <c r="CJ599" s="291">
        <f>CJ605</f>
        <v>0</v>
      </c>
      <c r="CK599" s="291">
        <f>CK605</f>
        <v>0</v>
      </c>
    </row>
    <row r="600" spans="1:89" ht="30" x14ac:dyDescent="0.25">
      <c r="A600" s="418"/>
      <c r="B600" s="421"/>
      <c r="C600" s="95" t="s">
        <v>1205</v>
      </c>
      <c r="D600" s="95" t="s">
        <v>1112</v>
      </c>
      <c r="E600" s="291">
        <v>0</v>
      </c>
      <c r="F600" s="291">
        <v>0</v>
      </c>
      <c r="G600" s="291">
        <v>0</v>
      </c>
      <c r="H600" s="291">
        <f t="shared" si="1007"/>
        <v>0</v>
      </c>
      <c r="I600" s="291">
        <f t="shared" si="1007"/>
        <v>0</v>
      </c>
      <c r="J600" s="291">
        <f t="shared" si="1007"/>
        <v>0</v>
      </c>
      <c r="K600" s="291">
        <f>K606</f>
        <v>0</v>
      </c>
      <c r="L600" s="291">
        <f>L606</f>
        <v>0</v>
      </c>
      <c r="M600" s="291">
        <f t="shared" si="1008"/>
        <v>0</v>
      </c>
      <c r="N600" s="291">
        <f t="shared" si="1008"/>
        <v>0</v>
      </c>
      <c r="Q600" s="291">
        <f t="shared" si="1009"/>
        <v>0</v>
      </c>
      <c r="R600" s="291">
        <f t="shared" si="1009"/>
        <v>0</v>
      </c>
      <c r="S600" s="291">
        <f t="shared" si="1009"/>
        <v>0</v>
      </c>
      <c r="T600" s="291">
        <f t="shared" si="1009"/>
        <v>0</v>
      </c>
      <c r="V600" s="291">
        <f>V606</f>
        <v>0</v>
      </c>
      <c r="W600" s="291">
        <f>W606</f>
        <v>0</v>
      </c>
      <c r="Y600" s="291">
        <f>Y606</f>
        <v>0</v>
      </c>
      <c r="Z600" s="291">
        <f>Z606</f>
        <v>0</v>
      </c>
      <c r="AB600" s="291">
        <f>AB606</f>
        <v>0</v>
      </c>
      <c r="AC600" s="291">
        <f>AC606</f>
        <v>0</v>
      </c>
      <c r="AE600" s="291">
        <f>AE606</f>
        <v>0</v>
      </c>
      <c r="AF600" s="291">
        <f>AF606</f>
        <v>0</v>
      </c>
      <c r="AH600" s="291">
        <f>AH606</f>
        <v>0</v>
      </c>
      <c r="AI600" s="291">
        <f>AI606</f>
        <v>0</v>
      </c>
      <c r="AK600" s="291">
        <f>AK606</f>
        <v>0</v>
      </c>
      <c r="AL600" s="291">
        <f>AL606</f>
        <v>0</v>
      </c>
      <c r="AN600" s="291">
        <f>AN606</f>
        <v>0</v>
      </c>
      <c r="AO600" s="291">
        <f>AO606</f>
        <v>0</v>
      </c>
      <c r="AQ600" s="291">
        <f>AQ606</f>
        <v>0</v>
      </c>
      <c r="AR600" s="291">
        <f>AR606</f>
        <v>0</v>
      </c>
      <c r="AT600" s="291">
        <f>AT606</f>
        <v>0</v>
      </c>
      <c r="AU600" s="291">
        <f>AU606</f>
        <v>0</v>
      </c>
      <c r="AW600" s="291">
        <f>AW606</f>
        <v>0</v>
      </c>
      <c r="AX600" s="291">
        <f>AX606</f>
        <v>0</v>
      </c>
      <c r="AZ600" s="291">
        <f>AZ606</f>
        <v>0</v>
      </c>
      <c r="BA600" s="291">
        <f>BA606</f>
        <v>0</v>
      </c>
      <c r="BC600" s="291">
        <f>BC606</f>
        <v>0</v>
      </c>
      <c r="BD600" s="291">
        <f>BD606</f>
        <v>0</v>
      </c>
      <c r="BF600" s="291">
        <f>BF606</f>
        <v>0</v>
      </c>
      <c r="BG600" s="291">
        <f>BG606</f>
        <v>0</v>
      </c>
      <c r="BI600" s="291">
        <f>BI606</f>
        <v>0</v>
      </c>
      <c r="BJ600" s="291">
        <f>BJ606</f>
        <v>0</v>
      </c>
      <c r="BL600" s="291">
        <f>BL606</f>
        <v>0</v>
      </c>
      <c r="BM600" s="291">
        <f>BM606</f>
        <v>0</v>
      </c>
      <c r="BO600" s="291">
        <f>BO606</f>
        <v>0</v>
      </c>
      <c r="BP600" s="291">
        <f>BP606</f>
        <v>0</v>
      </c>
      <c r="BR600" s="291">
        <f>BR606</f>
        <v>0</v>
      </c>
      <c r="BS600" s="291">
        <f>BS606</f>
        <v>0</v>
      </c>
      <c r="BU600" s="291">
        <f>BU606</f>
        <v>0</v>
      </c>
      <c r="BV600" s="291">
        <f>BV606</f>
        <v>0</v>
      </c>
      <c r="BX600" s="291">
        <f>BX606</f>
        <v>0</v>
      </c>
      <c r="BY600" s="291">
        <f>BY606</f>
        <v>0</v>
      </c>
      <c r="CA600" s="291">
        <f>CA606</f>
        <v>0</v>
      </c>
      <c r="CB600" s="291">
        <f>CB606</f>
        <v>0</v>
      </c>
      <c r="CD600" s="291">
        <f>CD606</f>
        <v>0</v>
      </c>
      <c r="CE600" s="291">
        <f>CE606</f>
        <v>0</v>
      </c>
      <c r="CG600" s="291">
        <f>CG606</f>
        <v>0</v>
      </c>
      <c r="CH600" s="291">
        <f>CH606</f>
        <v>0</v>
      </c>
      <c r="CJ600" s="291">
        <f>CJ606</f>
        <v>0</v>
      </c>
      <c r="CK600" s="291">
        <f>CK606</f>
        <v>0</v>
      </c>
    </row>
    <row r="601" spans="1:89" x14ac:dyDescent="0.25">
      <c r="A601" s="264"/>
      <c r="B601" s="262" t="s">
        <v>1182</v>
      </c>
      <c r="C601" s="95"/>
      <c r="D601" s="95"/>
      <c r="E601" s="291"/>
      <c r="F601" s="291"/>
      <c r="G601" s="291"/>
      <c r="H601" s="291">
        <f>H602+H603</f>
        <v>315</v>
      </c>
      <c r="I601" s="291">
        <f>I602+I603</f>
        <v>314</v>
      </c>
      <c r="J601" s="291">
        <f>J602+J603</f>
        <v>0</v>
      </c>
      <c r="K601" s="291">
        <f>K602+K603</f>
        <v>0</v>
      </c>
      <c r="L601" s="291">
        <f>L602+L603</f>
        <v>18</v>
      </c>
      <c r="M601" s="291">
        <f t="shared" ref="M601:N601" si="1010">M602+M603</f>
        <v>18</v>
      </c>
      <c r="N601" s="291">
        <f t="shared" si="1010"/>
        <v>18</v>
      </c>
    </row>
    <row r="602" spans="1:89" ht="105" x14ac:dyDescent="0.25">
      <c r="A602" s="264"/>
      <c r="B602" s="312"/>
      <c r="C602" s="312" t="s">
        <v>1502</v>
      </c>
      <c r="D602" s="95"/>
      <c r="E602" s="291"/>
      <c r="F602" s="291"/>
      <c r="G602" s="291"/>
      <c r="H602" s="291">
        <v>222</v>
      </c>
      <c r="I602" s="291">
        <v>220</v>
      </c>
      <c r="J602" s="291"/>
      <c r="K602" s="291"/>
      <c r="L602" s="291">
        <v>5</v>
      </c>
      <c r="M602" s="291">
        <v>5</v>
      </c>
      <c r="N602" s="291">
        <v>5</v>
      </c>
    </row>
    <row r="603" spans="1:89" ht="105" x14ac:dyDescent="0.25">
      <c r="A603" s="264"/>
      <c r="B603" s="312"/>
      <c r="C603" s="312" t="s">
        <v>1502</v>
      </c>
      <c r="D603" s="95"/>
      <c r="E603" s="291"/>
      <c r="F603" s="291"/>
      <c r="G603" s="291"/>
      <c r="H603" s="291">
        <v>93</v>
      </c>
      <c r="I603" s="291">
        <v>94</v>
      </c>
      <c r="J603" s="291"/>
      <c r="K603" s="291"/>
      <c r="L603" s="291">
        <v>13</v>
      </c>
      <c r="M603" s="291">
        <v>13</v>
      </c>
      <c r="N603" s="291">
        <v>13</v>
      </c>
    </row>
    <row r="604" spans="1:89" x14ac:dyDescent="0.25">
      <c r="A604" s="264"/>
      <c r="B604" s="332" t="s">
        <v>1184</v>
      </c>
      <c r="C604" s="95"/>
      <c r="D604" s="95"/>
      <c r="E604" s="291"/>
      <c r="F604" s="291"/>
      <c r="G604" s="291"/>
      <c r="H604" s="291">
        <f>H605+H606</f>
        <v>4</v>
      </c>
      <c r="I604" s="291">
        <f>I605+I606</f>
        <v>4</v>
      </c>
      <c r="J604" s="291">
        <f>J605+J606</f>
        <v>4</v>
      </c>
      <c r="K604" s="291">
        <f>K605+K606</f>
        <v>6</v>
      </c>
      <c r="L604" s="291">
        <f>L605+L606</f>
        <v>0</v>
      </c>
      <c r="M604" s="291">
        <f t="shared" ref="M604:N604" si="1011">M605+M606</f>
        <v>0</v>
      </c>
      <c r="N604" s="291">
        <f t="shared" si="1011"/>
        <v>0</v>
      </c>
      <c r="Q604" s="291">
        <f>Q605+Q606</f>
        <v>6</v>
      </c>
      <c r="R604" s="291">
        <f>R605+R606</f>
        <v>6</v>
      </c>
      <c r="S604" s="291">
        <f>S605+S606</f>
        <v>0</v>
      </c>
      <c r="T604" s="291">
        <f>T605+T606</f>
        <v>0</v>
      </c>
      <c r="V604" s="291">
        <f>V605+V606</f>
        <v>0</v>
      </c>
      <c r="W604" s="291">
        <f>W605+W606</f>
        <v>0</v>
      </c>
      <c r="Y604" s="291">
        <f>Y605+Y606</f>
        <v>0</v>
      </c>
      <c r="Z604" s="291">
        <f>Z605+Z606</f>
        <v>0</v>
      </c>
      <c r="AB604" s="291">
        <f>AB605+AB606</f>
        <v>0</v>
      </c>
      <c r="AC604" s="291">
        <f>AC605+AC606</f>
        <v>0</v>
      </c>
      <c r="AE604" s="291">
        <f>AE605+AE606</f>
        <v>0</v>
      </c>
      <c r="AF604" s="291">
        <f>AF605+AF606</f>
        <v>0</v>
      </c>
      <c r="AH604" s="291">
        <f>AH605+AH606</f>
        <v>0</v>
      </c>
      <c r="AI604" s="291">
        <f>AI605+AI606</f>
        <v>0</v>
      </c>
      <c r="AK604" s="291">
        <f>AK605+AK606</f>
        <v>0</v>
      </c>
      <c r="AL604" s="291">
        <f>AL605+AL606</f>
        <v>0</v>
      </c>
      <c r="AN604" s="291">
        <f>AN605+AN606</f>
        <v>0</v>
      </c>
      <c r="AO604" s="291">
        <f>AO605+AO606</f>
        <v>0</v>
      </c>
      <c r="AQ604" s="291">
        <f>AQ605+AQ606</f>
        <v>0</v>
      </c>
      <c r="AR604" s="291">
        <f>AR605+AR606</f>
        <v>0</v>
      </c>
      <c r="AT604" s="291">
        <f>AT605+AT606</f>
        <v>0</v>
      </c>
      <c r="AU604" s="291">
        <f>AU605+AU606</f>
        <v>0</v>
      </c>
      <c r="AW604" s="291">
        <f>AW605+AW606</f>
        <v>0</v>
      </c>
      <c r="AX604" s="291">
        <f>AX605+AX606</f>
        <v>0</v>
      </c>
      <c r="AZ604" s="291">
        <f>AZ605+AZ606</f>
        <v>0</v>
      </c>
      <c r="BA604" s="291">
        <f>BA605+BA606</f>
        <v>0</v>
      </c>
      <c r="BC604" s="291">
        <f>BC605+BC606</f>
        <v>1</v>
      </c>
      <c r="BD604" s="291">
        <f>BD605+BD606</f>
        <v>1</v>
      </c>
      <c r="BF604" s="291">
        <f>BF605+BF606</f>
        <v>1</v>
      </c>
      <c r="BG604" s="291">
        <f>BG605+BG606</f>
        <v>1</v>
      </c>
      <c r="BI604" s="291">
        <f>BI605+BI606</f>
        <v>1</v>
      </c>
      <c r="BJ604" s="291">
        <f>BJ605+BJ606</f>
        <v>1</v>
      </c>
      <c r="BL604" s="291">
        <f>BL605+BL606</f>
        <v>0</v>
      </c>
      <c r="BM604" s="291">
        <f>BM605+BM606</f>
        <v>0</v>
      </c>
      <c r="BO604" s="291">
        <f>BO605+BO606</f>
        <v>0</v>
      </c>
      <c r="BP604" s="291">
        <f>BP605+BP606</f>
        <v>0</v>
      </c>
      <c r="BR604" s="291">
        <f>BR605+BR606</f>
        <v>0</v>
      </c>
      <c r="BS604" s="291">
        <f>BS605+BS606</f>
        <v>0</v>
      </c>
      <c r="BU604" s="291">
        <f>BU605+BU606</f>
        <v>0</v>
      </c>
      <c r="BV604" s="291">
        <f>BV605+BV606</f>
        <v>0</v>
      </c>
      <c r="BX604" s="291">
        <f>BX605+BX606</f>
        <v>0</v>
      </c>
      <c r="BY604" s="291">
        <f>BY605+BY606</f>
        <v>0</v>
      </c>
      <c r="CA604" s="291">
        <f>CA605+CA606</f>
        <v>0</v>
      </c>
      <c r="CB604" s="291">
        <f>CB605+CB606</f>
        <v>0</v>
      </c>
      <c r="CD604" s="291">
        <f>CD605+CD606</f>
        <v>3</v>
      </c>
      <c r="CE604" s="291">
        <f>CE605+CE606</f>
        <v>3</v>
      </c>
      <c r="CG604" s="291">
        <f>CG605+CG606</f>
        <v>0</v>
      </c>
      <c r="CH604" s="291">
        <f>CH605+CH606</f>
        <v>0</v>
      </c>
      <c r="CJ604" s="291">
        <f>CJ605+CJ606</f>
        <v>0</v>
      </c>
      <c r="CK604" s="291">
        <f>CK605+CK606</f>
        <v>0</v>
      </c>
    </row>
    <row r="605" spans="1:89" ht="105" x14ac:dyDescent="0.25">
      <c r="A605" s="264"/>
      <c r="B605" s="312"/>
      <c r="C605" s="312" t="s">
        <v>1502</v>
      </c>
      <c r="D605" s="95"/>
      <c r="E605" s="291"/>
      <c r="F605" s="291"/>
      <c r="G605" s="291"/>
      <c r="H605" s="291">
        <v>4</v>
      </c>
      <c r="I605" s="291">
        <v>4</v>
      </c>
      <c r="J605" s="291">
        <v>4</v>
      </c>
      <c r="K605" s="291">
        <v>6</v>
      </c>
      <c r="L605" s="291">
        <v>0</v>
      </c>
      <c r="M605" s="291">
        <v>0</v>
      </c>
      <c r="N605" s="291">
        <v>0</v>
      </c>
      <c r="Q605" s="283">
        <f>S605+V605+Y605+AB605+AE605+AH605+AK605+AN605+AQ605+AT605+AW605+AZ605+BC605+BF605+BI605+BL605+BO605+BR605+BU605+BX605+CA605+CD605+CG605+CJ605</f>
        <v>6</v>
      </c>
      <c r="R605" s="283">
        <f>T605+W605+Z605+AC605+AF605+AI605+AL605+AO605+AR605+AU605+AX605+BA605+BD605+BG605+BJ605+BM605+BP605+BS605+BV605+BY605+CB605+CE605+CH605+CK605</f>
        <v>6</v>
      </c>
      <c r="S605" s="283">
        <v>0</v>
      </c>
      <c r="T605" s="283">
        <v>0</v>
      </c>
      <c r="U605" s="283"/>
      <c r="V605" s="283">
        <v>0</v>
      </c>
      <c r="W605" s="283">
        <v>0</v>
      </c>
      <c r="X605" s="283"/>
      <c r="Y605" s="283">
        <v>0</v>
      </c>
      <c r="Z605" s="283">
        <v>0</v>
      </c>
      <c r="AA605" s="283"/>
      <c r="AB605" s="283">
        <v>0</v>
      </c>
      <c r="AC605" s="283">
        <v>0</v>
      </c>
      <c r="AD605" s="283"/>
      <c r="AE605" s="283">
        <v>0</v>
      </c>
      <c r="AF605" s="283">
        <v>0</v>
      </c>
      <c r="AG605" s="283"/>
      <c r="AH605" s="283">
        <v>0</v>
      </c>
      <c r="AI605" s="283">
        <v>0</v>
      </c>
      <c r="AJ605" s="283"/>
      <c r="AK605" s="283">
        <v>0</v>
      </c>
      <c r="AL605" s="283">
        <v>0</v>
      </c>
      <c r="AM605" s="283"/>
      <c r="AN605" s="283">
        <v>0</v>
      </c>
      <c r="AO605" s="283">
        <v>0</v>
      </c>
      <c r="AP605" s="283"/>
      <c r="AQ605" s="283">
        <v>0</v>
      </c>
      <c r="AR605" s="283">
        <v>0</v>
      </c>
      <c r="AS605" s="283"/>
      <c r="AT605" s="283">
        <v>0</v>
      </c>
      <c r="AU605" s="283">
        <v>0</v>
      </c>
      <c r="AV605" s="283"/>
      <c r="AW605" s="283">
        <v>0</v>
      </c>
      <c r="AX605" s="283">
        <v>0</v>
      </c>
      <c r="AY605" s="283"/>
      <c r="AZ605" s="283">
        <v>0</v>
      </c>
      <c r="BA605" s="283">
        <v>0</v>
      </c>
      <c r="BB605" s="283"/>
      <c r="BC605" s="283">
        <v>1</v>
      </c>
      <c r="BD605" s="283">
        <v>1</v>
      </c>
      <c r="BE605" s="283"/>
      <c r="BF605" s="283">
        <v>1</v>
      </c>
      <c r="BG605" s="283">
        <v>1</v>
      </c>
      <c r="BH605" s="283"/>
      <c r="BI605" s="283">
        <v>1</v>
      </c>
      <c r="BJ605" s="283">
        <v>1</v>
      </c>
      <c r="BK605" s="283"/>
      <c r="BL605" s="283">
        <v>0</v>
      </c>
      <c r="BM605" s="283">
        <v>0</v>
      </c>
      <c r="BN605" s="283"/>
      <c r="BO605" s="283">
        <v>0</v>
      </c>
      <c r="BP605" s="283">
        <v>0</v>
      </c>
      <c r="BQ605" s="283"/>
      <c r="BR605" s="283">
        <v>0</v>
      </c>
      <c r="BS605" s="283">
        <v>0</v>
      </c>
      <c r="BT605" s="283"/>
      <c r="BU605" s="283">
        <v>0</v>
      </c>
      <c r="BV605" s="283">
        <v>0</v>
      </c>
      <c r="BW605" s="283"/>
      <c r="BX605" s="283">
        <v>0</v>
      </c>
      <c r="BY605" s="283">
        <v>0</v>
      </c>
      <c r="BZ605" s="283"/>
      <c r="CA605" s="283">
        <v>0</v>
      </c>
      <c r="CB605" s="283">
        <v>0</v>
      </c>
      <c r="CC605" s="283"/>
      <c r="CD605" s="283">
        <v>3</v>
      </c>
      <c r="CE605" s="283">
        <v>3</v>
      </c>
      <c r="CF605" s="283"/>
      <c r="CG605" s="283">
        <v>0</v>
      </c>
      <c r="CH605" s="283">
        <v>0</v>
      </c>
      <c r="CI605" s="283"/>
      <c r="CJ605" s="283">
        <v>0</v>
      </c>
      <c r="CK605" s="283">
        <v>0</v>
      </c>
    </row>
    <row r="606" spans="1:89" ht="105" x14ac:dyDescent="0.25">
      <c r="A606" s="264"/>
      <c r="B606" s="312"/>
      <c r="C606" s="312" t="s">
        <v>1502</v>
      </c>
      <c r="D606" s="95"/>
      <c r="E606" s="291"/>
      <c r="F606" s="291"/>
      <c r="G606" s="291"/>
      <c r="H606" s="291">
        <v>0</v>
      </c>
      <c r="I606" s="291">
        <v>0</v>
      </c>
      <c r="J606" s="291">
        <v>0</v>
      </c>
      <c r="K606" s="291">
        <v>0</v>
      </c>
      <c r="L606" s="291">
        <v>0</v>
      </c>
      <c r="M606" s="291">
        <v>0</v>
      </c>
      <c r="N606" s="291">
        <v>0</v>
      </c>
      <c r="Q606" s="283">
        <f>S606+V606+Y606+AB606+AE606+AH606+AK606+AN606+AQ606+AT606+AW606+AZ606+BC606+BF606+BI606+BL606+BO606+BR606+BU606+BX606+CA606+CD606+CG606+CJ606</f>
        <v>0</v>
      </c>
      <c r="R606" s="283">
        <f>T606+W606+Z606+AC606+AF606+AI606+AL606+AO606+AR606+AU606+AX606+BA606+BD606+BG606+BJ606+BM606+BP606+BS606+BV606+BY606+CB606+CE606+CH606+CK606</f>
        <v>0</v>
      </c>
      <c r="S606" s="283">
        <v>0</v>
      </c>
      <c r="T606" s="283">
        <v>0</v>
      </c>
      <c r="U606" s="283"/>
      <c r="V606" s="283">
        <v>0</v>
      </c>
      <c r="W606" s="283">
        <v>0</v>
      </c>
      <c r="X606" s="283"/>
      <c r="Y606" s="283">
        <v>0</v>
      </c>
      <c r="Z606" s="283">
        <v>0</v>
      </c>
      <c r="AA606" s="283"/>
      <c r="AB606" s="283">
        <v>0</v>
      </c>
      <c r="AC606" s="283">
        <v>0</v>
      </c>
      <c r="AD606" s="283"/>
      <c r="AE606" s="283">
        <v>0</v>
      </c>
      <c r="AF606" s="283">
        <v>0</v>
      </c>
      <c r="AG606" s="283"/>
      <c r="AH606" s="283">
        <v>0</v>
      </c>
      <c r="AI606" s="283">
        <v>0</v>
      </c>
      <c r="AJ606" s="283"/>
      <c r="AK606" s="283">
        <v>0</v>
      </c>
      <c r="AL606" s="283">
        <v>0</v>
      </c>
      <c r="AM606" s="283"/>
      <c r="AN606" s="283">
        <v>0</v>
      </c>
      <c r="AO606" s="283">
        <v>0</v>
      </c>
      <c r="AP606" s="283"/>
      <c r="AQ606" s="283">
        <v>0</v>
      </c>
      <c r="AR606" s="283">
        <v>0</v>
      </c>
      <c r="AS606" s="283"/>
      <c r="AT606" s="283">
        <v>0</v>
      </c>
      <c r="AU606" s="283">
        <v>0</v>
      </c>
      <c r="AV606" s="283"/>
      <c r="AW606" s="283">
        <v>0</v>
      </c>
      <c r="AX606" s="283">
        <v>0</v>
      </c>
      <c r="AY606" s="283"/>
      <c r="AZ606" s="283">
        <v>0</v>
      </c>
      <c r="BA606" s="283">
        <v>0</v>
      </c>
      <c r="BB606" s="283"/>
      <c r="BC606" s="283">
        <v>0</v>
      </c>
      <c r="BD606" s="283">
        <v>0</v>
      </c>
      <c r="BE606" s="283"/>
      <c r="BF606" s="283">
        <v>0</v>
      </c>
      <c r="BG606" s="283">
        <v>0</v>
      </c>
      <c r="BH606" s="283"/>
      <c r="BI606" s="283">
        <v>0</v>
      </c>
      <c r="BJ606" s="283">
        <v>0</v>
      </c>
      <c r="BK606" s="283"/>
      <c r="BL606" s="283">
        <v>0</v>
      </c>
      <c r="BM606" s="283">
        <v>0</v>
      </c>
      <c r="BN606" s="283"/>
      <c r="BO606" s="283">
        <v>0</v>
      </c>
      <c r="BP606" s="283">
        <v>0</v>
      </c>
      <c r="BQ606" s="283"/>
      <c r="BR606" s="283">
        <v>0</v>
      </c>
      <c r="BS606" s="283">
        <v>0</v>
      </c>
      <c r="BT606" s="283"/>
      <c r="BU606" s="283">
        <v>0</v>
      </c>
      <c r="BV606" s="283">
        <v>0</v>
      </c>
      <c r="BW606" s="283"/>
      <c r="BX606" s="283">
        <v>0</v>
      </c>
      <c r="BY606" s="283">
        <v>0</v>
      </c>
      <c r="BZ606" s="283"/>
      <c r="CA606" s="283">
        <v>0</v>
      </c>
      <c r="CB606" s="283">
        <v>0</v>
      </c>
      <c r="CC606" s="283"/>
      <c r="CD606" s="283">
        <v>0</v>
      </c>
      <c r="CE606" s="283">
        <v>0</v>
      </c>
      <c r="CF606" s="283"/>
      <c r="CG606" s="283">
        <v>0</v>
      </c>
      <c r="CH606" s="283">
        <v>0</v>
      </c>
      <c r="CI606" s="283"/>
      <c r="CJ606" s="283">
        <v>0</v>
      </c>
      <c r="CK606" s="283">
        <v>0</v>
      </c>
    </row>
    <row r="607" spans="1:89" ht="30" x14ac:dyDescent="0.25">
      <c r="A607" s="107"/>
      <c r="B607" s="16" t="s">
        <v>199</v>
      </c>
      <c r="C607" s="95"/>
      <c r="D607" s="107"/>
      <c r="E607" s="291"/>
      <c r="F607" s="291"/>
      <c r="G607" s="291"/>
      <c r="H607" s="291"/>
      <c r="I607" s="291"/>
      <c r="J607" s="291"/>
      <c r="K607" s="291"/>
      <c r="L607" s="291"/>
      <c r="M607" s="291"/>
      <c r="N607" s="291"/>
    </row>
    <row r="608" spans="1:89" x14ac:dyDescent="0.25">
      <c r="A608" s="107"/>
      <c r="B608" s="16" t="s">
        <v>197</v>
      </c>
      <c r="C608" s="95" t="s">
        <v>200</v>
      </c>
      <c r="D608" s="95" t="s">
        <v>1112</v>
      </c>
      <c r="E608" s="291">
        <v>6</v>
      </c>
      <c r="F608" s="291">
        <v>4</v>
      </c>
      <c r="G608" s="291">
        <v>3</v>
      </c>
      <c r="H608" s="291">
        <v>0</v>
      </c>
      <c r="I608" s="291">
        <v>0</v>
      </c>
      <c r="J608" s="291">
        <v>0</v>
      </c>
      <c r="K608" s="291"/>
      <c r="L608" s="291">
        <v>0</v>
      </c>
      <c r="M608" s="291"/>
      <c r="N608" s="291"/>
    </row>
    <row r="609" spans="1:89" x14ac:dyDescent="0.25">
      <c r="A609" s="107"/>
      <c r="B609" s="16" t="s">
        <v>64</v>
      </c>
      <c r="C609" s="95" t="s">
        <v>201</v>
      </c>
      <c r="D609" s="95" t="s">
        <v>1112</v>
      </c>
      <c r="E609" s="291">
        <v>6</v>
      </c>
      <c r="F609" s="291">
        <v>4</v>
      </c>
      <c r="G609" s="291">
        <v>3</v>
      </c>
      <c r="H609" s="291">
        <v>0</v>
      </c>
      <c r="I609" s="291">
        <v>0</v>
      </c>
      <c r="J609" s="291">
        <v>0</v>
      </c>
      <c r="K609" s="291"/>
      <c r="L609" s="291">
        <v>0</v>
      </c>
      <c r="M609" s="291"/>
      <c r="N609" s="291"/>
    </row>
    <row r="610" spans="1:89" x14ac:dyDescent="0.25">
      <c r="A610" s="107"/>
      <c r="B610" s="16" t="s">
        <v>198</v>
      </c>
      <c r="C610" s="95" t="s">
        <v>202</v>
      </c>
      <c r="D610" s="95" t="s">
        <v>1112</v>
      </c>
      <c r="E610" s="291">
        <v>6</v>
      </c>
      <c r="F610" s="291">
        <v>4</v>
      </c>
      <c r="G610" s="291">
        <v>3</v>
      </c>
      <c r="H610" s="291">
        <v>0</v>
      </c>
      <c r="I610" s="291">
        <v>0</v>
      </c>
      <c r="J610" s="291">
        <v>0</v>
      </c>
      <c r="K610" s="291"/>
      <c r="L610" s="291">
        <v>0</v>
      </c>
      <c r="M610" s="291"/>
      <c r="N610" s="291"/>
    </row>
    <row r="611" spans="1:89" ht="30" x14ac:dyDescent="0.25">
      <c r="A611" s="416"/>
      <c r="B611" s="419" t="s">
        <v>203</v>
      </c>
      <c r="C611" s="95" t="s">
        <v>1206</v>
      </c>
      <c r="D611" s="95" t="s">
        <v>1112</v>
      </c>
      <c r="E611" s="291">
        <v>223</v>
      </c>
      <c r="F611" s="291">
        <v>223</v>
      </c>
      <c r="G611" s="291">
        <v>218</v>
      </c>
      <c r="H611" s="291">
        <f t="shared" ref="H611:J612" si="1012">H616</f>
        <v>222</v>
      </c>
      <c r="I611" s="291">
        <f t="shared" si="1012"/>
        <v>220</v>
      </c>
      <c r="J611" s="291">
        <f t="shared" si="1012"/>
        <v>0</v>
      </c>
      <c r="K611" s="291">
        <f>K616</f>
        <v>0</v>
      </c>
      <c r="L611" s="291">
        <f>L616</f>
        <v>0</v>
      </c>
      <c r="M611" s="291">
        <f t="shared" ref="M611:N612" si="1013">M616</f>
        <v>0</v>
      </c>
      <c r="N611" s="291">
        <f t="shared" si="1013"/>
        <v>0</v>
      </c>
    </row>
    <row r="612" spans="1:89" ht="30" x14ac:dyDescent="0.25">
      <c r="A612" s="417"/>
      <c r="B612" s="420"/>
      <c r="C612" s="95" t="s">
        <v>1208</v>
      </c>
      <c r="D612" s="95" t="s">
        <v>1112</v>
      </c>
      <c r="E612" s="291">
        <v>113</v>
      </c>
      <c r="F612" s="291">
        <v>111</v>
      </c>
      <c r="G612" s="291">
        <v>108</v>
      </c>
      <c r="H612" s="291">
        <f t="shared" si="1012"/>
        <v>100</v>
      </c>
      <c r="I612" s="291">
        <f t="shared" si="1012"/>
        <v>159</v>
      </c>
      <c r="J612" s="291">
        <f t="shared" si="1012"/>
        <v>0</v>
      </c>
      <c r="K612" s="291">
        <f>K617</f>
        <v>0</v>
      </c>
      <c r="L612" s="291">
        <f>L617</f>
        <v>0</v>
      </c>
      <c r="M612" s="291">
        <f t="shared" si="1013"/>
        <v>0</v>
      </c>
      <c r="N612" s="291">
        <f t="shared" si="1013"/>
        <v>0</v>
      </c>
    </row>
    <row r="613" spans="1:89" ht="30" x14ac:dyDescent="0.25">
      <c r="A613" s="417"/>
      <c r="B613" s="420"/>
      <c r="C613" s="95" t="s">
        <v>1207</v>
      </c>
      <c r="D613" s="95" t="s">
        <v>1112</v>
      </c>
      <c r="E613" s="291">
        <v>5</v>
      </c>
      <c r="F613" s="291">
        <v>5</v>
      </c>
      <c r="G613" s="291">
        <v>5</v>
      </c>
      <c r="H613" s="291">
        <f t="shared" ref="H613:J614" si="1014">H619</f>
        <v>4</v>
      </c>
      <c r="I613" s="291">
        <f t="shared" si="1014"/>
        <v>4</v>
      </c>
      <c r="J613" s="291">
        <f t="shared" si="1014"/>
        <v>4</v>
      </c>
      <c r="K613" s="291">
        <f>K619</f>
        <v>6</v>
      </c>
      <c r="L613" s="291">
        <f>L619</f>
        <v>0</v>
      </c>
      <c r="M613" s="291">
        <f t="shared" ref="M613:N614" si="1015">M619</f>
        <v>0</v>
      </c>
      <c r="N613" s="291">
        <f t="shared" si="1015"/>
        <v>0</v>
      </c>
      <c r="Q613" s="291">
        <f t="shared" ref="Q613:T614" si="1016">Q619</f>
        <v>6</v>
      </c>
      <c r="R613" s="291">
        <f t="shared" si="1016"/>
        <v>6</v>
      </c>
      <c r="S613" s="291">
        <f t="shared" si="1016"/>
        <v>0</v>
      </c>
      <c r="T613" s="291">
        <f t="shared" si="1016"/>
        <v>0</v>
      </c>
      <c r="V613" s="291">
        <f>V619</f>
        <v>0</v>
      </c>
      <c r="W613" s="291">
        <f>W619</f>
        <v>0</v>
      </c>
      <c r="Y613" s="291">
        <f>Y619</f>
        <v>0</v>
      </c>
      <c r="Z613" s="291">
        <f>Z619</f>
        <v>0</v>
      </c>
      <c r="AB613" s="291">
        <f>AB619</f>
        <v>0</v>
      </c>
      <c r="AC613" s="291">
        <f>AC619</f>
        <v>0</v>
      </c>
      <c r="AE613" s="291">
        <f>AE619</f>
        <v>0</v>
      </c>
      <c r="AF613" s="291">
        <f>AF619</f>
        <v>0</v>
      </c>
      <c r="AH613" s="291">
        <f>AH619</f>
        <v>0</v>
      </c>
      <c r="AI613" s="291">
        <f>AI619</f>
        <v>0</v>
      </c>
      <c r="AK613" s="291">
        <f>AK619</f>
        <v>0</v>
      </c>
      <c r="AL613" s="291">
        <f>AL619</f>
        <v>0</v>
      </c>
      <c r="AN613" s="291">
        <f>AN619</f>
        <v>0</v>
      </c>
      <c r="AO613" s="291">
        <f>AO619</f>
        <v>0</v>
      </c>
      <c r="AQ613" s="291">
        <f>AQ619</f>
        <v>0</v>
      </c>
      <c r="AR613" s="291">
        <f>AR619</f>
        <v>0</v>
      </c>
      <c r="AT613" s="291">
        <f>AT619</f>
        <v>0</v>
      </c>
      <c r="AU613" s="291">
        <f>AU619</f>
        <v>0</v>
      </c>
      <c r="AW613" s="291">
        <f>AW619</f>
        <v>0</v>
      </c>
      <c r="AX613" s="291">
        <f>AX619</f>
        <v>0</v>
      </c>
      <c r="AZ613" s="291">
        <f>AZ619</f>
        <v>0</v>
      </c>
      <c r="BA613" s="291">
        <f>BA619</f>
        <v>0</v>
      </c>
      <c r="BC613" s="291">
        <f>BC619</f>
        <v>1</v>
      </c>
      <c r="BD613" s="291">
        <f>BD619</f>
        <v>1</v>
      </c>
      <c r="BF613" s="291">
        <f>BF619</f>
        <v>1</v>
      </c>
      <c r="BG613" s="291">
        <f>BG619</f>
        <v>1</v>
      </c>
      <c r="BI613" s="291">
        <f>BI619</f>
        <v>1</v>
      </c>
      <c r="BJ613" s="291">
        <f>BJ619</f>
        <v>1</v>
      </c>
      <c r="BL613" s="291">
        <f>BL619</f>
        <v>0</v>
      </c>
      <c r="BM613" s="291">
        <f>BM619</f>
        <v>0</v>
      </c>
      <c r="BO613" s="291">
        <f>BO619</f>
        <v>0</v>
      </c>
      <c r="BP613" s="291">
        <f>BP619</f>
        <v>0</v>
      </c>
      <c r="BR613" s="291">
        <f>BR619</f>
        <v>0</v>
      </c>
      <c r="BS613" s="291">
        <f>BS619</f>
        <v>0</v>
      </c>
      <c r="BU613" s="291">
        <f>BU619</f>
        <v>0</v>
      </c>
      <c r="BV613" s="291">
        <f>BV619</f>
        <v>0</v>
      </c>
      <c r="BX613" s="291">
        <f>BX619</f>
        <v>0</v>
      </c>
      <c r="BY613" s="291">
        <f>BY619</f>
        <v>0</v>
      </c>
      <c r="CA613" s="291">
        <f>CA619</f>
        <v>0</v>
      </c>
      <c r="CB613" s="291">
        <f>CB619</f>
        <v>0</v>
      </c>
      <c r="CD613" s="291">
        <f>CD619</f>
        <v>3</v>
      </c>
      <c r="CE613" s="291">
        <f>CE619</f>
        <v>3</v>
      </c>
      <c r="CG613" s="291">
        <f>CG619</f>
        <v>0</v>
      </c>
      <c r="CH613" s="291">
        <f>CH619</f>
        <v>0</v>
      </c>
      <c r="CJ613" s="291">
        <f>CJ619</f>
        <v>0</v>
      </c>
      <c r="CK613" s="291">
        <f>CK619</f>
        <v>0</v>
      </c>
    </row>
    <row r="614" spans="1:89" ht="30" x14ac:dyDescent="0.25">
      <c r="A614" s="418"/>
      <c r="B614" s="421"/>
      <c r="C614" s="95" t="s">
        <v>1209</v>
      </c>
      <c r="D614" s="95" t="s">
        <v>1112</v>
      </c>
      <c r="E614" s="291">
        <v>0</v>
      </c>
      <c r="F614" s="291">
        <v>0</v>
      </c>
      <c r="G614" s="291">
        <v>0</v>
      </c>
      <c r="H614" s="291">
        <f t="shared" si="1014"/>
        <v>0</v>
      </c>
      <c r="I614" s="291">
        <f t="shared" si="1014"/>
        <v>0</v>
      </c>
      <c r="J614" s="291">
        <f t="shared" si="1014"/>
        <v>0</v>
      </c>
      <c r="K614" s="291">
        <f>K620</f>
        <v>0</v>
      </c>
      <c r="L614" s="291">
        <f>L620</f>
        <v>0</v>
      </c>
      <c r="M614" s="291">
        <f t="shared" si="1015"/>
        <v>0</v>
      </c>
      <c r="N614" s="291">
        <f t="shared" si="1015"/>
        <v>0</v>
      </c>
      <c r="Q614" s="291">
        <f t="shared" si="1016"/>
        <v>0</v>
      </c>
      <c r="R614" s="291">
        <f t="shared" si="1016"/>
        <v>0</v>
      </c>
      <c r="S614" s="291">
        <f t="shared" si="1016"/>
        <v>0</v>
      </c>
      <c r="T614" s="291">
        <f t="shared" si="1016"/>
        <v>0</v>
      </c>
      <c r="V614" s="291">
        <f>V620</f>
        <v>0</v>
      </c>
      <c r="W614" s="291">
        <f>W620</f>
        <v>0</v>
      </c>
      <c r="Y614" s="291">
        <f>Y620</f>
        <v>0</v>
      </c>
      <c r="Z614" s="291">
        <f>Z620</f>
        <v>0</v>
      </c>
      <c r="AB614" s="291">
        <f>AB620</f>
        <v>0</v>
      </c>
      <c r="AC614" s="291">
        <f>AC620</f>
        <v>0</v>
      </c>
      <c r="AE614" s="291">
        <f>AE620</f>
        <v>0</v>
      </c>
      <c r="AF614" s="291">
        <f>AF620</f>
        <v>0</v>
      </c>
      <c r="AH614" s="291">
        <f>AH620</f>
        <v>0</v>
      </c>
      <c r="AI614" s="291">
        <f>AI620</f>
        <v>0</v>
      </c>
      <c r="AK614" s="291">
        <f>AK620</f>
        <v>0</v>
      </c>
      <c r="AL614" s="291">
        <f>AL620</f>
        <v>0</v>
      </c>
      <c r="AN614" s="291">
        <f>AN620</f>
        <v>0</v>
      </c>
      <c r="AO614" s="291">
        <f>AO620</f>
        <v>0</v>
      </c>
      <c r="AQ614" s="291">
        <f>AQ620</f>
        <v>0</v>
      </c>
      <c r="AR614" s="291">
        <f>AR620</f>
        <v>0</v>
      </c>
      <c r="AT614" s="291">
        <f>AT620</f>
        <v>0</v>
      </c>
      <c r="AU614" s="291">
        <f>AU620</f>
        <v>0</v>
      </c>
      <c r="AW614" s="291">
        <f>AW620</f>
        <v>0</v>
      </c>
      <c r="AX614" s="291">
        <f>AX620</f>
        <v>0</v>
      </c>
      <c r="AZ614" s="291">
        <f>AZ620</f>
        <v>0</v>
      </c>
      <c r="BA614" s="291">
        <f>BA620</f>
        <v>0</v>
      </c>
      <c r="BC614" s="291">
        <f>BC620</f>
        <v>0</v>
      </c>
      <c r="BD614" s="291">
        <f>BD620</f>
        <v>0</v>
      </c>
      <c r="BF614" s="291">
        <f>BF620</f>
        <v>0</v>
      </c>
      <c r="BG614" s="291">
        <f>BG620</f>
        <v>0</v>
      </c>
      <c r="BI614" s="291">
        <f>BI620</f>
        <v>0</v>
      </c>
      <c r="BJ614" s="291">
        <f>BJ620</f>
        <v>0</v>
      </c>
      <c r="BL614" s="291">
        <f>BL620</f>
        <v>0</v>
      </c>
      <c r="BM614" s="291">
        <f>BM620</f>
        <v>0</v>
      </c>
      <c r="BO614" s="291">
        <f>BO620</f>
        <v>0</v>
      </c>
      <c r="BP614" s="291">
        <f>BP620</f>
        <v>0</v>
      </c>
      <c r="BR614" s="291">
        <f>BR620</f>
        <v>0</v>
      </c>
      <c r="BS614" s="291">
        <f>BS620</f>
        <v>0</v>
      </c>
      <c r="BU614" s="291">
        <f>BU620</f>
        <v>0</v>
      </c>
      <c r="BV614" s="291">
        <f>BV620</f>
        <v>0</v>
      </c>
      <c r="BX614" s="291">
        <f>BX620</f>
        <v>0</v>
      </c>
      <c r="BY614" s="291">
        <f>BY620</f>
        <v>0</v>
      </c>
      <c r="CA614" s="291">
        <f>CA620</f>
        <v>0</v>
      </c>
      <c r="CB614" s="291">
        <f>CB620</f>
        <v>0</v>
      </c>
      <c r="CD614" s="291">
        <f>CD620</f>
        <v>0</v>
      </c>
      <c r="CE614" s="291">
        <f>CE620</f>
        <v>0</v>
      </c>
      <c r="CG614" s="291">
        <f>CG620</f>
        <v>0</v>
      </c>
      <c r="CH614" s="291">
        <f>CH620</f>
        <v>0</v>
      </c>
      <c r="CJ614" s="291">
        <f>CJ620</f>
        <v>0</v>
      </c>
      <c r="CK614" s="291">
        <f>CK620</f>
        <v>0</v>
      </c>
    </row>
    <row r="615" spans="1:89" x14ac:dyDescent="0.25">
      <c r="A615" s="265"/>
      <c r="B615" s="262" t="s">
        <v>1182</v>
      </c>
      <c r="C615" s="95"/>
      <c r="D615" s="95"/>
      <c r="E615" s="291"/>
      <c r="F615" s="291"/>
      <c r="G615" s="291"/>
      <c r="H615" s="291">
        <f>H616+H617</f>
        <v>322</v>
      </c>
      <c r="I615" s="291">
        <f>I616+I617</f>
        <v>379</v>
      </c>
      <c r="J615" s="291">
        <f>J616+J617</f>
        <v>0</v>
      </c>
      <c r="K615" s="291">
        <f>K616+K617</f>
        <v>0</v>
      </c>
      <c r="L615" s="291">
        <f>L616+L617</f>
        <v>0</v>
      </c>
      <c r="M615" s="291">
        <f t="shared" ref="M615:N615" si="1017">M616+M617</f>
        <v>0</v>
      </c>
      <c r="N615" s="291">
        <f t="shared" si="1017"/>
        <v>0</v>
      </c>
    </row>
    <row r="616" spans="1:89" x14ac:dyDescent="0.25">
      <c r="A616" s="265"/>
      <c r="B616" s="248"/>
      <c r="C616" s="95"/>
      <c r="D616" s="95"/>
      <c r="E616" s="291"/>
      <c r="F616" s="291"/>
      <c r="G616" s="291"/>
      <c r="H616" s="291">
        <v>222</v>
      </c>
      <c r="I616" s="291">
        <v>220</v>
      </c>
      <c r="J616" s="291"/>
      <c r="K616" s="291"/>
      <c r="L616" s="291"/>
      <c r="M616" s="291"/>
      <c r="N616" s="291"/>
    </row>
    <row r="617" spans="1:89" x14ac:dyDescent="0.25">
      <c r="A617" s="265"/>
      <c r="B617" s="248"/>
      <c r="C617" s="95"/>
      <c r="D617" s="95"/>
      <c r="E617" s="291"/>
      <c r="F617" s="291"/>
      <c r="G617" s="291"/>
      <c r="H617" s="291">
        <v>100</v>
      </c>
      <c r="I617" s="291">
        <v>159</v>
      </c>
      <c r="J617" s="291"/>
      <c r="K617" s="291"/>
      <c r="L617" s="291"/>
      <c r="M617" s="291"/>
      <c r="N617" s="291"/>
    </row>
    <row r="618" spans="1:89" x14ac:dyDescent="0.25">
      <c r="A618" s="265"/>
      <c r="B618" s="332" t="s">
        <v>1184</v>
      </c>
      <c r="C618" s="95"/>
      <c r="D618" s="95"/>
      <c r="E618" s="291"/>
      <c r="F618" s="291"/>
      <c r="G618" s="291"/>
      <c r="H618" s="291">
        <f>H619+H620</f>
        <v>4</v>
      </c>
      <c r="I618" s="291">
        <f>I619+I620</f>
        <v>4</v>
      </c>
      <c r="J618" s="291">
        <f>J619+J620</f>
        <v>4</v>
      </c>
      <c r="K618" s="291">
        <f>K619+K620</f>
        <v>6</v>
      </c>
      <c r="L618" s="291">
        <f>L619+L620</f>
        <v>0</v>
      </c>
      <c r="M618" s="291">
        <f t="shared" ref="M618:N618" si="1018">M619+M620</f>
        <v>0</v>
      </c>
      <c r="N618" s="291">
        <f t="shared" si="1018"/>
        <v>0</v>
      </c>
    </row>
    <row r="619" spans="1:89" x14ac:dyDescent="0.25">
      <c r="A619" s="265"/>
      <c r="B619" s="332"/>
      <c r="C619" s="95"/>
      <c r="D619" s="95"/>
      <c r="E619" s="291"/>
      <c r="F619" s="291"/>
      <c r="G619" s="291"/>
      <c r="H619" s="291">
        <v>4</v>
      </c>
      <c r="I619" s="291">
        <v>4</v>
      </c>
      <c r="J619" s="291">
        <v>4</v>
      </c>
      <c r="K619" s="291">
        <v>6</v>
      </c>
      <c r="L619" s="291">
        <v>0</v>
      </c>
      <c r="M619" s="291">
        <v>0</v>
      </c>
      <c r="N619" s="291">
        <v>0</v>
      </c>
      <c r="Q619" s="283">
        <f>S619+V619+Y619+AB619+AE619+AH619+AK619+AN619+AQ619+AT619+AW619+AZ619+BC619+BF619+BI619+BL619+BO619+BR619+BU619+BX619+CA619+CD619+CG619+CJ619</f>
        <v>6</v>
      </c>
      <c r="R619" s="283">
        <f>T619+W619+Z619+AC619+AF619+AI619+AL619+AO619+AR619+AU619+AX619+BA619+BD619+BG619+BJ619+BM619+BP619+BS619+BV619+BY619+CB619+CE619+CH619+CK619</f>
        <v>6</v>
      </c>
      <c r="S619" s="267">
        <v>0</v>
      </c>
      <c r="T619" s="267">
        <v>0</v>
      </c>
      <c r="V619" s="267">
        <v>0</v>
      </c>
      <c r="W619" s="267">
        <v>0</v>
      </c>
      <c r="Y619" s="267">
        <v>0</v>
      </c>
      <c r="Z619" s="267">
        <v>0</v>
      </c>
      <c r="AB619" s="267">
        <v>0</v>
      </c>
      <c r="AC619" s="267">
        <v>0</v>
      </c>
      <c r="AE619" s="267">
        <v>0</v>
      </c>
      <c r="AF619" s="267">
        <v>0</v>
      </c>
      <c r="AH619" s="267">
        <v>0</v>
      </c>
      <c r="AI619" s="267">
        <v>0</v>
      </c>
      <c r="AK619" s="267">
        <v>0</v>
      </c>
      <c r="AL619" s="267">
        <v>0</v>
      </c>
      <c r="AN619" s="267">
        <v>0</v>
      </c>
      <c r="AO619" s="267">
        <v>0</v>
      </c>
      <c r="AQ619" s="267">
        <v>0</v>
      </c>
      <c r="AR619" s="267">
        <v>0</v>
      </c>
      <c r="AT619" s="267">
        <v>0</v>
      </c>
      <c r="AU619" s="267">
        <v>0</v>
      </c>
      <c r="AW619" s="267">
        <v>0</v>
      </c>
      <c r="AX619" s="267">
        <v>0</v>
      </c>
      <c r="AZ619" s="267">
        <v>0</v>
      </c>
      <c r="BA619" s="267">
        <v>0</v>
      </c>
      <c r="BC619" s="267">
        <v>1</v>
      </c>
      <c r="BD619" s="267">
        <v>1</v>
      </c>
      <c r="BF619" s="267">
        <v>1</v>
      </c>
      <c r="BG619" s="267">
        <v>1</v>
      </c>
      <c r="BI619" s="267">
        <v>1</v>
      </c>
      <c r="BJ619" s="267">
        <v>1</v>
      </c>
      <c r="BL619" s="267">
        <v>0</v>
      </c>
      <c r="BM619" s="267">
        <v>0</v>
      </c>
      <c r="BO619" s="267">
        <v>0</v>
      </c>
      <c r="BP619" s="267">
        <v>0</v>
      </c>
      <c r="BR619" s="267">
        <v>0</v>
      </c>
      <c r="BS619" s="267">
        <v>0</v>
      </c>
      <c r="BU619" s="267">
        <v>0</v>
      </c>
      <c r="BV619" s="267">
        <v>0</v>
      </c>
      <c r="BX619" s="267">
        <v>0</v>
      </c>
      <c r="BY619" s="267">
        <v>0</v>
      </c>
      <c r="CA619" s="267">
        <v>0</v>
      </c>
      <c r="CB619" s="267">
        <v>0</v>
      </c>
      <c r="CD619" s="267">
        <v>3</v>
      </c>
      <c r="CE619" s="267">
        <v>3</v>
      </c>
      <c r="CG619" s="267">
        <v>0</v>
      </c>
      <c r="CH619" s="267">
        <v>0</v>
      </c>
      <c r="CJ619" s="267">
        <v>0</v>
      </c>
      <c r="CK619" s="267">
        <v>0</v>
      </c>
    </row>
    <row r="620" spans="1:89" x14ac:dyDescent="0.25">
      <c r="A620" s="265"/>
      <c r="B620" s="332"/>
      <c r="C620" s="95"/>
      <c r="D620" s="95"/>
      <c r="E620" s="291"/>
      <c r="F620" s="291"/>
      <c r="G620" s="291"/>
      <c r="H620" s="291">
        <v>0</v>
      </c>
      <c r="I620" s="291">
        <v>0</v>
      </c>
      <c r="J620" s="291">
        <v>0</v>
      </c>
      <c r="K620" s="291">
        <v>0</v>
      </c>
      <c r="L620" s="291">
        <v>0</v>
      </c>
      <c r="M620" s="291">
        <v>0</v>
      </c>
      <c r="N620" s="291">
        <v>0</v>
      </c>
      <c r="Q620" s="283">
        <f>S620+V620+Y620+AB620+AE620+AH620+AK620+AN620+AQ620+AT620+AW620+AZ620+BC620+BF620+BI620+BL620+BO620+BR620+BU620+BX620+CA620+CD620+CG620+CJ620</f>
        <v>0</v>
      </c>
      <c r="R620" s="283">
        <f>T620+W620+Z620+AC620+AF620+AI620+AL620+AO620+AR620+AU620+AX620+BA620+BD620+BG620+BJ620+BM620+BP620+BS620+BV620+BY620+CB620+CE620+CH620+CK620</f>
        <v>0</v>
      </c>
      <c r="S620" s="267">
        <v>0</v>
      </c>
      <c r="T620" s="267">
        <v>0</v>
      </c>
      <c r="V620" s="267">
        <v>0</v>
      </c>
      <c r="W620" s="267">
        <v>0</v>
      </c>
      <c r="Y620" s="267">
        <v>0</v>
      </c>
      <c r="Z620" s="267">
        <v>0</v>
      </c>
      <c r="AB620" s="267">
        <v>0</v>
      </c>
      <c r="AC620" s="267">
        <v>0</v>
      </c>
      <c r="AE620" s="267">
        <v>0</v>
      </c>
      <c r="AF620" s="267">
        <v>0</v>
      </c>
      <c r="AH620" s="267">
        <v>0</v>
      </c>
      <c r="AI620" s="267">
        <v>0</v>
      </c>
      <c r="AK620" s="267">
        <v>0</v>
      </c>
      <c r="AL620" s="267">
        <v>0</v>
      </c>
      <c r="AN620" s="267">
        <v>0</v>
      </c>
      <c r="AO620" s="267">
        <v>0</v>
      </c>
      <c r="AQ620" s="267">
        <v>0</v>
      </c>
      <c r="AR620" s="267">
        <v>0</v>
      </c>
      <c r="AT620" s="267">
        <v>0</v>
      </c>
      <c r="AU620" s="267">
        <v>0</v>
      </c>
      <c r="AW620" s="267">
        <v>0</v>
      </c>
      <c r="AX620" s="267">
        <v>0</v>
      </c>
      <c r="AZ620" s="267">
        <v>0</v>
      </c>
      <c r="BA620" s="267">
        <v>0</v>
      </c>
      <c r="BC620" s="267">
        <v>0</v>
      </c>
      <c r="BD620" s="267">
        <v>0</v>
      </c>
      <c r="BF620" s="267">
        <v>0</v>
      </c>
      <c r="BG620" s="267">
        <v>0</v>
      </c>
      <c r="BI620" s="267">
        <v>0</v>
      </c>
      <c r="BJ620" s="267">
        <v>0</v>
      </c>
      <c r="BL620" s="267">
        <v>0</v>
      </c>
      <c r="BM620" s="267">
        <v>0</v>
      </c>
      <c r="BO620" s="267">
        <v>0</v>
      </c>
      <c r="BP620" s="267">
        <v>0</v>
      </c>
      <c r="BR620" s="267">
        <v>0</v>
      </c>
      <c r="BS620" s="267">
        <v>0</v>
      </c>
      <c r="BU620" s="267">
        <v>0</v>
      </c>
      <c r="BV620" s="267">
        <v>0</v>
      </c>
      <c r="BX620" s="267">
        <v>0</v>
      </c>
      <c r="BY620" s="267">
        <v>0</v>
      </c>
      <c r="CA620" s="267">
        <v>0</v>
      </c>
      <c r="CB620" s="267">
        <v>0</v>
      </c>
      <c r="CD620" s="267">
        <v>0</v>
      </c>
      <c r="CE620" s="267">
        <v>0</v>
      </c>
      <c r="CG620" s="267">
        <v>0</v>
      </c>
      <c r="CH620" s="267">
        <v>0</v>
      </c>
      <c r="CJ620" s="267">
        <v>0</v>
      </c>
      <c r="CK620" s="267">
        <v>0</v>
      </c>
    </row>
    <row r="621" spans="1:89" x14ac:dyDescent="0.25">
      <c r="A621" s="107"/>
      <c r="B621" s="16" t="s">
        <v>204</v>
      </c>
      <c r="C621" s="95" t="s">
        <v>205</v>
      </c>
      <c r="D621" s="95" t="s">
        <v>1112</v>
      </c>
      <c r="E621" s="291">
        <v>7</v>
      </c>
      <c r="F621" s="291">
        <v>5</v>
      </c>
      <c r="G621" s="291">
        <v>4</v>
      </c>
      <c r="H621" s="291">
        <v>0</v>
      </c>
      <c r="I621" s="291">
        <v>0</v>
      </c>
      <c r="J621" s="291">
        <v>0</v>
      </c>
      <c r="K621" s="291">
        <v>0</v>
      </c>
      <c r="L621" s="291">
        <v>0</v>
      </c>
      <c r="M621" s="291">
        <v>0</v>
      </c>
      <c r="N621" s="291">
        <v>0</v>
      </c>
    </row>
    <row r="622" spans="1:89" ht="75" x14ac:dyDescent="0.25">
      <c r="A622" s="95" t="s">
        <v>208</v>
      </c>
      <c r="B622" s="96" t="s">
        <v>1682</v>
      </c>
      <c r="C622" s="107"/>
      <c r="D622" s="95"/>
      <c r="E622" s="280"/>
      <c r="F622" s="280"/>
      <c r="G622" s="280"/>
      <c r="H622" s="280"/>
      <c r="I622" s="280"/>
      <c r="J622" s="280"/>
      <c r="K622" s="280"/>
      <c r="L622" s="280"/>
      <c r="M622" s="280"/>
      <c r="N622" s="280"/>
      <c r="O622" s="281" t="s">
        <v>217</v>
      </c>
    </row>
    <row r="623" spans="1:89" x14ac:dyDescent="0.25">
      <c r="A623" s="311"/>
      <c r="B623" s="96" t="s">
        <v>1182</v>
      </c>
      <c r="C623" s="107"/>
      <c r="D623" s="95"/>
      <c r="E623" s="279"/>
      <c r="F623" s="279"/>
      <c r="G623" s="279"/>
      <c r="H623" s="279"/>
      <c r="I623" s="279"/>
      <c r="J623" s="279"/>
      <c r="K623" s="279"/>
      <c r="L623" s="279"/>
      <c r="M623" s="279"/>
      <c r="N623" s="279"/>
      <c r="O623" s="281"/>
    </row>
    <row r="624" spans="1:89" x14ac:dyDescent="0.25">
      <c r="A624" s="263"/>
      <c r="B624" s="311" t="s">
        <v>180</v>
      </c>
      <c r="C624" s="107"/>
      <c r="D624" s="95" t="s">
        <v>1112</v>
      </c>
      <c r="E624" s="279">
        <f>(E638+E639+E658)/(E660+E662)*100</f>
        <v>15.763097949886104</v>
      </c>
      <c r="F624" s="279">
        <f>(F638+F639+F658)/(F660+F662)*100</f>
        <v>18.061856535215849</v>
      </c>
      <c r="G624" s="279">
        <f>(G638+G639+G658)/(G660+G662)*100</f>
        <v>18.782929264483755</v>
      </c>
      <c r="H624" s="279">
        <f>(H638+H639+H658)/(H660+H662)*100</f>
        <v>19.572854707989844</v>
      </c>
      <c r="I624" s="279">
        <f>(I638+I639+I658)/(I660+I662)*100</f>
        <v>19.714141738054881</v>
      </c>
      <c r="J624" s="279">
        <f>(J638+J639+J658)/(((J660*J673))+J662)*100</f>
        <v>19.708071074038195</v>
      </c>
      <c r="K624" s="279">
        <f>(K638+K639+K658)/(((K660*K673))+K662)*100</f>
        <v>19.607091238999651</v>
      </c>
      <c r="L624" s="279">
        <f>(L638+L639+L658)/(((L660*L673))+L662)*100</f>
        <v>19.799707907364908</v>
      </c>
      <c r="M624" s="279">
        <f>(M638+M639+M658)/(((M660*M673))+M662)*100</f>
        <v>29.397141081417029</v>
      </c>
      <c r="N624" s="279">
        <f>(N638+N639+N658)/(((N660*N673))+N662)*100</f>
        <v>28.750784682988073</v>
      </c>
      <c r="O624" s="281"/>
      <c r="Q624" s="279">
        <f>(Q638+Q639+Q658)/(((Q660*Q673))+Q662)*100</f>
        <v>19.607091238999651</v>
      </c>
      <c r="R624" s="279">
        <f>(R638+R639+R658)/(((R660*R673))+R662)*100</f>
        <v>21.012488207032138</v>
      </c>
      <c r="S624" s="279">
        <f>(S638+S639+S658)/(((S660*S673))+S662)*100</f>
        <v>18.800204725589285</v>
      </c>
      <c r="T624" s="279">
        <f>(T638+T639+T658)/(((T660*T673))+T662)*100</f>
        <v>20.507903716957589</v>
      </c>
      <c r="V624" s="279">
        <f>(V638+V639+V658)/(((V660*V673))+V662)*100</f>
        <v>15.285172003909043</v>
      </c>
      <c r="W624" s="279">
        <f>(W638+W639+W658)/(((W660*W673))+W662)*100</f>
        <v>15.95004602765178</v>
      </c>
      <c r="Y624" s="279">
        <f>(Y638+Y639+Y658)/(((Y660*Y673))+Y662)*100</f>
        <v>47.162022703818366</v>
      </c>
      <c r="Z624" s="279">
        <f>(Z638+Z639+Z658)/(((Z660*Z673))+Z662)*100</f>
        <v>49.359916054564536</v>
      </c>
      <c r="AB624" s="279">
        <f>(AB638+AB639+AB658)/(((AB660*AB673))+AB662)*100</f>
        <v>52.070783132530117</v>
      </c>
      <c r="AC624" s="279">
        <f>(AC638+AC639+AC658)/(((AC660*AC673))+AC662)*100</f>
        <v>50.426702067134457</v>
      </c>
      <c r="AE624" s="279">
        <f>(AE638+AE639+AE658)/(((AE660*AE673))+AE662)*100</f>
        <v>25.489140809350179</v>
      </c>
      <c r="AF624" s="279">
        <f>(AF638+AF639+AF658)/(((AF660*AF673))+AF662)*100</f>
        <v>28.655596841869592</v>
      </c>
      <c r="AH624" s="279">
        <f>(AH638+AH639+AH658)/(((AH660*AH673))+AH662)*100</f>
        <v>25.224682389707308</v>
      </c>
      <c r="AI624" s="279">
        <f>(AI638+AI639+AI658)/(((AI660*AI673))+AI662)*100</f>
        <v>27.843558457864663</v>
      </c>
      <c r="AK624" s="279">
        <f>(AK638+AK639+AK658)/(((AK660*AK673))+AK662)*100</f>
        <v>18.048433162395895</v>
      </c>
      <c r="AL624" s="279">
        <f>(AL638+AL639+AL658)/(((AL660*AL673))+AL662)*100</f>
        <v>19.806365879896223</v>
      </c>
      <c r="AN624" s="279">
        <f>(AN638+AN639+AN658)/(((AN660*AN673))+AN662)*100</f>
        <v>20.468002732862672</v>
      </c>
      <c r="AO624" s="279">
        <f>(AO638+AO639+AO658)/(((AO660*AO673))+AO662)*100</f>
        <v>20.17394270122783</v>
      </c>
      <c r="AQ624" s="279">
        <f>(AQ638+AQ639+AQ658)/(((AQ660*AQ673))+AQ662)*100</f>
        <v>70.478507704785073</v>
      </c>
      <c r="AR624" s="279">
        <f>(AR638+AR639+AR658)/(((AR660*AR673))+AR662)*100</f>
        <v>73.658536585365852</v>
      </c>
      <c r="AT624" s="279">
        <f>(AT638+AT639+AT658)/(((AT660*AT673))+AT662)*100</f>
        <v>14.303023310373808</v>
      </c>
      <c r="AU624" s="279">
        <f>(AU638+AU639+AU658)/(((AU660*AU673))+AU662)*100</f>
        <v>13.924305462354047</v>
      </c>
      <c r="AW624" s="279">
        <f>(AW638+AW639+AW658)/(((AW660*AW673))+AW662)*100</f>
        <v>12.556990881458965</v>
      </c>
      <c r="AX624" s="279">
        <f>(AX638+AX639+AX658)/(((AX660*AX673))+AX662)*100</f>
        <v>12.750796924807799</v>
      </c>
      <c r="AZ624" s="279">
        <f>(AZ638+AZ639+AZ658)/(((AZ660*AZ673))+AZ662)*100</f>
        <v>14.661222406533112</v>
      </c>
      <c r="BA624" s="279">
        <f>(BA638+BA639+BA658)/(((BA660*BA673))+BA662)*100</f>
        <v>17.682136375421312</v>
      </c>
      <c r="BC624" s="279">
        <f>(BC638+BC639+BC658)/(((BC660*BC673))+BC662)*100</f>
        <v>15.739717618170657</v>
      </c>
      <c r="BD624" s="279">
        <f>(BD638+BD639+BD658)/(((BD660*BD673))+BD662)*100</f>
        <v>16.844609846867183</v>
      </c>
      <c r="BF624" s="279">
        <f>(BF638+BF639+BF658)/(((BF660*BF673))+BF662)*100</f>
        <v>19.431285402353225</v>
      </c>
      <c r="BG624" s="279">
        <f>(BG638+BG639+BG658)/(((BG660*BG673))+BG662)*100</f>
        <v>20.81365874473077</v>
      </c>
      <c r="BI624" s="279">
        <f>(BI638+BI639+BI658)/(((BI660*BI673))+BI662)*100</f>
        <v>16.898806081826994</v>
      </c>
      <c r="BJ624" s="279">
        <f>(BJ638+BJ639+BJ658)/(((BJ660*BJ673))+BJ662)*100</f>
        <v>19.804927075840343</v>
      </c>
      <c r="BL624" s="279">
        <f>(BL638+BL639+BL658)/(((BL660*BL673))+BL662)*100</f>
        <v>14.12439505287686</v>
      </c>
      <c r="BM624" s="279">
        <f>(BM638+BM639+BM658)/(((BM660*BM673))+BM662)*100</f>
        <v>14.552977154164418</v>
      </c>
      <c r="BO624" s="279">
        <f>(BO638+BO639+BO658)/(((BO660*BO673))+BO662)*100</f>
        <v>21.040681173131503</v>
      </c>
      <c r="BP624" s="279">
        <f>(BP638+BP639+BP658)/(((BP660*BP673))+BP662)*100</f>
        <v>22.711035909005453</v>
      </c>
      <c r="BR624" s="279">
        <f>(BR638+BR639+BR658)/(((BR660*BR673))+BR662)*100</f>
        <v>23.636140738016429</v>
      </c>
      <c r="BS624" s="279">
        <f>(BS638+BS639+BS658)/(((BS660*BS673))+BS662)*100</f>
        <v>25.626063700461948</v>
      </c>
      <c r="BU624" s="279">
        <f>(BU638+BU639+BU658)/(((BU660*BU673))+BU662)*100</f>
        <v>15.161733483202196</v>
      </c>
      <c r="BV624" s="279">
        <f>(BV638+BV639+BV658)/(((BV660*BV673))+BV662)*100</f>
        <v>15.311300903577173</v>
      </c>
      <c r="BX624" s="279">
        <f>(BX638+BX639+BX658)/(((BX660*BX673))+BX662)*100</f>
        <v>22.654784240150093</v>
      </c>
      <c r="BY624" s="279">
        <f>(BY638+BY639+BY658)/(((BY660*BY673))+BY662)*100</f>
        <v>22.905282331511838</v>
      </c>
      <c r="CA624" s="279">
        <f>(CA638+CA639+CA658)/(((CA660*CA673))+CA662)*100</f>
        <v>10.806317539484622</v>
      </c>
      <c r="CB624" s="279">
        <f>(CB638+CB639+CB658)/(((CB660*CB673))+CB662)*100</f>
        <v>10.580204778156997</v>
      </c>
      <c r="CD624" s="279">
        <f>(CD638+CD639+CD658)/(((CD660*CD673))+CD662)*100</f>
        <v>8.3971805087342943</v>
      </c>
      <c r="CE624" s="279">
        <f>(CE638+CE639+CE658)/(((CE660*CE673))+CE662)*100</f>
        <v>10.75891496494971</v>
      </c>
      <c r="CG624" s="279">
        <f>(CG638+CG639+CG658)/(((CG660*CG673))+CG662)*100</f>
        <v>31.711145996860285</v>
      </c>
      <c r="CH624" s="279">
        <f>(CH638+CH639+CH658)/(((CH660*CH673))+CH662)*100</f>
        <v>33.532557407989934</v>
      </c>
      <c r="CJ624" s="279" t="e">
        <f>(CJ638+CJ639+CJ658)/(((CJ660*CJ673))+CJ662)*100</f>
        <v>#DIV/0!</v>
      </c>
      <c r="CK624" s="279" t="e">
        <f>(CK638+CK639+CK658)/(((CK660*CK673))+CK662)*100</f>
        <v>#DIV/0!</v>
      </c>
    </row>
    <row r="625" spans="1:89" x14ac:dyDescent="0.25">
      <c r="A625" s="263"/>
      <c r="B625" s="96" t="s">
        <v>1183</v>
      </c>
      <c r="C625" s="107"/>
      <c r="D625" s="95"/>
      <c r="E625" s="279"/>
      <c r="F625" s="279"/>
      <c r="G625" s="279"/>
      <c r="H625" s="279">
        <f>(H638+H658)/(H664+H662+H665)*100</f>
        <v>17.240218489037538</v>
      </c>
      <c r="I625" s="279">
        <f>(I638+I658)/(I664+I662+I665)*100</f>
        <v>17.569762588444732</v>
      </c>
      <c r="J625" s="279">
        <f>(J638+I658)/(((J664*J674)+J662+J665))*100</f>
        <v>17.680138935210955</v>
      </c>
      <c r="K625" s="279">
        <f>(K638+J658)/(((K664*K674)+K662+K665))*100</f>
        <v>17.589526793360339</v>
      </c>
      <c r="L625" s="279">
        <f>(L638+K658)/(((L664*L674)+L662+L665))*100</f>
        <v>10.008071025020177</v>
      </c>
      <c r="M625" s="279">
        <f>(M638+K658)/(((M664*M674)+M662+M665))*100</f>
        <v>15.570260801868432</v>
      </c>
      <c r="N625" s="279">
        <f>(N638+L658)/(((N664*N674)+N662+N665))*100</f>
        <v>15.340030911901081</v>
      </c>
      <c r="O625" s="281"/>
      <c r="Q625" s="279">
        <f>(Q638+P658)/(((Q664*Q674)+Q662+Q665))*100</f>
        <v>17.589526793360339</v>
      </c>
      <c r="R625" s="279">
        <f>(R638+Q658)/(((R664*R674)+R662+R665))*100</f>
        <v>19.007286000321848</v>
      </c>
      <c r="S625" s="279">
        <f>(S638+R658)/(((S664*S674)+S662+S665))*100</f>
        <v>18.103123823861498</v>
      </c>
      <c r="T625" s="279">
        <f>(T638+S658)/(((T664*T674)+T662+T665))*100</f>
        <v>20.749797716443403</v>
      </c>
      <c r="V625" s="279">
        <f>(V638+U658)/(((V664*V674)+V662+V665))*100</f>
        <v>11.782301397962142</v>
      </c>
      <c r="W625" s="279">
        <f>(W638+V658)/(((W664*W674)+W662+W665))*100</f>
        <v>12.432505523457332</v>
      </c>
      <c r="Y625" s="279">
        <f>(Y638+X658)/(((Y664*Y674)+Y662+Y665))*100</f>
        <v>30.571145592604822</v>
      </c>
      <c r="Z625" s="279">
        <f>(Z638+Y658)/(((Z664*Z674)+Z662+Z665))*100</f>
        <v>31.147540983606557</v>
      </c>
      <c r="AB625" s="279">
        <f>(AB638+AA658)/(((AB664*AB674)+AB662+AB665))*100</f>
        <v>41.215050051777702</v>
      </c>
      <c r="AC625" s="279">
        <f>(AC638+AB658)/(((AC664*AC674)+AC662+AC665))*100</f>
        <v>39.965753424657535</v>
      </c>
      <c r="AE625" s="279">
        <f>(AE638+AD658)/(((AE664*AE674)+AE662+AE665))*100</f>
        <v>23.864851379285763</v>
      </c>
      <c r="AF625" s="279">
        <f>(AF638+AE658)/(((AF664*AF674)+AF662+AF665))*100</f>
        <v>27.10082319216534</v>
      </c>
      <c r="AH625" s="279">
        <f>(AH638+AG658)/(((AH664*AH674)+AH662+AH665))*100</f>
        <v>13.611740328754662</v>
      </c>
      <c r="AI625" s="279">
        <f>(AI638+AH658)/(((AI664*AI674)+AI662+AI665))*100</f>
        <v>14.448820954336853</v>
      </c>
      <c r="AK625" s="279">
        <f>(AK638+AJ658)/(((AK664*AK674)+AK662+AK665))*100</f>
        <v>17.816549930797297</v>
      </c>
      <c r="AL625" s="279">
        <f>(AL638+AK658)/(((AL664*AL674)+AL662+AL665))*100</f>
        <v>19.621816012329923</v>
      </c>
      <c r="AN625" s="279">
        <f>(AN638+AM658)/(((AN664*AN674)+AN662+AN665))*100</f>
        <v>18.628274009402286</v>
      </c>
      <c r="AO625" s="279">
        <f>(AO638+AN658)/(((AO664*AO674)+AO662+AO665))*100</f>
        <v>17.143095954530256</v>
      </c>
      <c r="AQ625" s="279" t="e">
        <f>(AQ638+AP658)/(((AQ664*AQ674)+AQ662+AQ665))*100</f>
        <v>#DIV/0!</v>
      </c>
      <c r="AR625" s="279" t="e">
        <f>(AR638+AQ658)/(((AR664*AR674)+AR662+AR665))*100</f>
        <v>#DIV/0!</v>
      </c>
      <c r="AT625" s="279">
        <f>(AT638+AS658)/(((AT664*AT674)+AT662+AT665))*100</f>
        <v>14.302865430925001</v>
      </c>
      <c r="AU625" s="279">
        <f>(AU638+AT658)/(((AU664*AU674)+AU662+AU665))*100</f>
        <v>13.924305462354047</v>
      </c>
      <c r="AW625" s="279">
        <f>(AW638+AV658)/(((AW664*AW674)+AW662+AW665))*100</f>
        <v>12.556990881458965</v>
      </c>
      <c r="AX625" s="279">
        <f>(AX638+AW658)/(((AX664*AX674)+AX662+AX665))*100</f>
        <v>12.750796924807799</v>
      </c>
      <c r="AZ625" s="279">
        <f>(AZ638+AY658)/(((AZ664*AZ674)+AZ662+AZ665))*100</f>
        <v>14.661222406533112</v>
      </c>
      <c r="BA625" s="279">
        <f>(BA638+AZ658)/(((BA664*BA674)+BA662+BA665))*100</f>
        <v>17.682136375421312</v>
      </c>
      <c r="BC625" s="279">
        <f>(BC638+BB658)/(((BC664*BC674)+BC662+BC665))*100</f>
        <v>15.739717618170657</v>
      </c>
      <c r="BD625" s="279">
        <f>(BD638+BC658)/(((BD664*BD674)+BD662+BD665))*100</f>
        <v>16.844609846867183</v>
      </c>
      <c r="BF625" s="279">
        <f>(BF638+BE658)/(((BF664*BF674)+BF662+BF665))*100</f>
        <v>19.43113607679652</v>
      </c>
      <c r="BG625" s="279">
        <f>(BG638+BF658)/(((BG664*BG674)+BG662+BG665))*100</f>
        <v>20.813325747476171</v>
      </c>
      <c r="BI625" s="279">
        <f>(BI638+BH658)/(((BI664*BI674)+BI662+BI665))*100</f>
        <v>16.89452186222379</v>
      </c>
      <c r="BJ625" s="279">
        <f>(BJ638+BI658)/(((BJ664*BJ674)+BJ662+BJ665))*100</f>
        <v>19.799985066799085</v>
      </c>
      <c r="BL625" s="279">
        <f>(BL638+BK658)/(((BL664*BL674)+BL662+BL665))*100</f>
        <v>14.12439505287686</v>
      </c>
      <c r="BM625" s="279">
        <f>(BM638+BL658)/(((BM664*BM674)+BM662+BM665))*100</f>
        <v>14.552977154164418</v>
      </c>
      <c r="BO625" s="279">
        <f>(BO638+BN658)/(((BO664*BO674)+BO662+BO665))*100</f>
        <v>21.040681173131503</v>
      </c>
      <c r="BP625" s="279">
        <f>(BP638+BO658)/(((BP664*BP674)+BP662+BP665))*100</f>
        <v>22.711035909005453</v>
      </c>
      <c r="BR625" s="279">
        <f>(BR638+BQ658)/(((BR664*BR674)+BR662+BR665))*100</f>
        <v>23.636140738016429</v>
      </c>
      <c r="BS625" s="279">
        <f>(BS638+BR658)/(((BS664*BS674)+BS662+BS665))*100</f>
        <v>25.626063700461948</v>
      </c>
      <c r="BU625" s="279">
        <f>(BU638+BT658)/(((BU664*BU674)+BU662+BU665))*100</f>
        <v>15.161733483202196</v>
      </c>
      <c r="BV625" s="279">
        <f>(BV638+BU658)/(((BV664*BV674)+BV662+BV665))*100</f>
        <v>15.311300903577173</v>
      </c>
      <c r="BX625" s="279">
        <f>(BX638+BW658)/(((BX664*BX674)+BX662+BX665))*100</f>
        <v>22.654784240150093</v>
      </c>
      <c r="BY625" s="279">
        <f>(BY638+BX658)/(((BY664*BY674)+BY662+BY665))*100</f>
        <v>22.905282331511838</v>
      </c>
      <c r="CA625" s="279">
        <f>(CA638+BZ658)/(((CA664*CA674)+CA662+CA665))*100</f>
        <v>10.806317539484622</v>
      </c>
      <c r="CB625" s="279">
        <f>(CB638+CA658)/(((CB664*CB674)+CB662+CB665))*100</f>
        <v>10.580204778156997</v>
      </c>
      <c r="CD625" s="279">
        <f>(CD638+CC658)/(((CD664*CD674)+CD662+CD665))*100</f>
        <v>8.3971805087342943</v>
      </c>
      <c r="CE625" s="279">
        <f>(CE638+CD658)/(((CE664*CE674)+CE662+CE665))*100</f>
        <v>10.75891496494971</v>
      </c>
      <c r="CG625" s="279">
        <f>(CG638+CF658)/(((CG664*CG674)+CG662+CG665))*100</f>
        <v>32.201572551822736</v>
      </c>
      <c r="CH625" s="279">
        <f>(CH638+CG658)/(((CH664*CH674)+CH662+CH665))*100</f>
        <v>34.305255579553631</v>
      </c>
      <c r="CJ625" s="279" t="e">
        <f>(CJ638+CI658)/(((CJ664*CJ674)+CJ662+CJ665))*100</f>
        <v>#DIV/0!</v>
      </c>
      <c r="CK625" s="279" t="e">
        <f>(CK638+CJ658)/(((CK664*CK674)+CK662+CK665))*100</f>
        <v>#DIV/0!</v>
      </c>
    </row>
    <row r="626" spans="1:89" x14ac:dyDescent="0.25">
      <c r="A626" s="263"/>
      <c r="B626" s="16" t="s">
        <v>1185</v>
      </c>
      <c r="C626" s="107"/>
      <c r="D626" s="95"/>
      <c r="E626" s="279"/>
      <c r="F626" s="279"/>
      <c r="G626" s="279"/>
      <c r="H626" s="279">
        <f>(H639+H658)/(H666+H662+H667)*100</f>
        <v>44.741929814283203</v>
      </c>
      <c r="I626" s="279">
        <f>(I639+I658)/(I666+I662+I667)*100</f>
        <v>41.652518392756086</v>
      </c>
      <c r="J626" s="279">
        <f>(J639+J659)/(((J666*J675)+J662+J667))*100</f>
        <v>40.33341135276067</v>
      </c>
      <c r="K626" s="279">
        <f>(K639+K659)/(((K666*K675)+K662+K667))*100</f>
        <v>40.840870700894705</v>
      </c>
      <c r="L626" s="279">
        <f>(L639+L659)/(((L666*L675)+L662+L667))*100</f>
        <v>30.280777537796975</v>
      </c>
      <c r="M626" s="279">
        <f>(M639+M659)/(((M666*M675)+M662+M667))*100</f>
        <v>45.128432240921171</v>
      </c>
      <c r="N626" s="279">
        <f>(N639+N659)/(((N666*N675)+N662+N667))*100</f>
        <v>44.591510725696033</v>
      </c>
      <c r="O626" s="281"/>
      <c r="Q626" s="279">
        <f>(Q639+Q659)/(((Q666*Q675)+Q662+Q667))*100</f>
        <v>40.840870700894705</v>
      </c>
      <c r="R626" s="279">
        <f>(R639+R659)/(((R666*R675)+R662+R667))*100</f>
        <v>42.867410984090789</v>
      </c>
      <c r="S626" s="279">
        <f>(S639+S659)/(((S666*S675)+S662+S667))*100</f>
        <v>19.882352941176471</v>
      </c>
      <c r="T626" s="279">
        <f>(T639+T659)/(((T666*T675)+T662+T667))*100</f>
        <v>20.09484291641968</v>
      </c>
      <c r="V626" s="279">
        <f>(V639+V659)/(((V666*V675)+V662+V667))*100</f>
        <v>20.521050554024903</v>
      </c>
      <c r="W626" s="279">
        <f>(W639+W659)/(((W666*W675)+W662+W667))*100</f>
        <v>20.964749536178108</v>
      </c>
      <c r="Y626" s="279">
        <f>(Y639+Y659)/(((Y666*Y675)+Y662+Y667))*100</f>
        <v>74.834801762114537</v>
      </c>
      <c r="Z626" s="279">
        <f>(Z639+Z659)/(((Z666*Z675)+Z662+Z667))*100</f>
        <v>80.011261261261254</v>
      </c>
      <c r="AB626" s="279">
        <f>(AB639+AB659)/(((AB666*AB675)+AB662+AB667))*100</f>
        <v>65.093167701863351</v>
      </c>
      <c r="AC626" s="279">
        <f>(AC639+AC659)/(((AC666*AC675)+AC662+AC667))*100</f>
        <v>63.408414789630264</v>
      </c>
      <c r="AE626" s="279">
        <f>(AE639+AE659)/(((AE666*AE675)+AE662+AE667))*100</f>
        <v>29.657794676806081</v>
      </c>
      <c r="AF626" s="279">
        <f>(AF639+AF659)/(((AF666*AF675)+AF662+AF667))*100</f>
        <v>33.02521008403361</v>
      </c>
      <c r="AH626" s="279">
        <f>(AH639+AH659)/(((AH666*AH675)+AH662+AH667))*100</f>
        <v>37.464032307685841</v>
      </c>
      <c r="AI626" s="279">
        <f>(AI639+AI659)/(((AI666*AI675)+AI662+AI667))*100</f>
        <v>42.155419300629731</v>
      </c>
      <c r="AK626" s="279">
        <f>(AK639+AK659)/(((AK666*AK675)+AK662+AK667))*100</f>
        <v>22.829470771359389</v>
      </c>
      <c r="AL626" s="279">
        <f>(AL639+AL659)/(((AL666*AL675)+AL662+AL667))*100</f>
        <v>23.685127133402993</v>
      </c>
      <c r="AN626" s="279">
        <f>(AN639+AN659)/(((AN666*AN675)+AN662+AN667))*100</f>
        <v>24.345364472753008</v>
      </c>
      <c r="AO626" s="279">
        <f>(AO639+AO659)/(((AO666*AO675)+AO662+AO667))*100</f>
        <v>26.616915422885572</v>
      </c>
      <c r="AQ626" s="279">
        <f>(AQ639+AQ659)/(((AQ666*AQ675)+AQ662+AQ667))*100</f>
        <v>70.478507704785073</v>
      </c>
      <c r="AR626" s="279">
        <f>(AR639+AR659)/(((AR666*AR675)+AR662+AR667))*100</f>
        <v>73.658536585365852</v>
      </c>
      <c r="AT626" s="279" t="e">
        <f>(AT639+AT659)/(((AT666*AT675)+AT662+AT667))*100</f>
        <v>#DIV/0!</v>
      </c>
      <c r="AU626" s="279" t="e">
        <f>(AU639+AU659)/(((AU666*AU675)+AU662+AU667))*100</f>
        <v>#DIV/0!</v>
      </c>
      <c r="AW626" s="279" t="e">
        <f>(AW639+AW659)/(((AW666*AW675)+AW662+AW667))*100</f>
        <v>#DIV/0!</v>
      </c>
      <c r="AX626" s="279" t="e">
        <f>(AX639+AX659)/(((AX666*AX675)+AX662+AX667))*100</f>
        <v>#DIV/0!</v>
      </c>
      <c r="AZ626" s="279" t="e">
        <f>(AZ639+AZ659)/(((AZ666*AZ675)+AZ662+AZ667))*100</f>
        <v>#DIV/0!</v>
      </c>
      <c r="BA626" s="279" t="e">
        <f>(BA639+BA659)/(((BA666*BA675)+BA662+BA667))*100</f>
        <v>#DIV/0!</v>
      </c>
      <c r="BC626" s="279" t="e">
        <f>(BC639+BC659)/(((BC666*BC675)+BC662+BC667))*100</f>
        <v>#DIV/0!</v>
      </c>
      <c r="BD626" s="279" t="e">
        <f>(BD639+BD659)/(((BD666*BD675)+BD662+BD667))*100</f>
        <v>#DIV/0!</v>
      </c>
      <c r="BF626" s="279" t="e">
        <f>(BF639+BF659)/(((BF666*BF675)+BF662+BF667))*100</f>
        <v>#DIV/0!</v>
      </c>
      <c r="BG626" s="279" t="e">
        <f>(BG639+BG659)/(((BG666*BG675)+BG662+BG667))*100</f>
        <v>#DIV/0!</v>
      </c>
      <c r="BI626" s="279" t="e">
        <f>(BI639+BI659)/(((BI666*BI675)+BI662+BI667))*100</f>
        <v>#DIV/0!</v>
      </c>
      <c r="BJ626" s="279" t="e">
        <f>(BJ639+BJ659)/(((BJ666*BJ675)+BJ662+BJ667))*100</f>
        <v>#DIV/0!</v>
      </c>
      <c r="BL626" s="279" t="e">
        <f>(BL639+BL659)/(((BL666*BL675)+BL662+BL667))*100</f>
        <v>#DIV/0!</v>
      </c>
      <c r="BM626" s="279" t="e">
        <f>(BM639+BM659)/(((BM666*BM675)+BM662+BM667))*100</f>
        <v>#DIV/0!</v>
      </c>
      <c r="BO626" s="279" t="e">
        <f>(BO639+BO659)/(((BO666*BO675)+BO662+BO667))*100</f>
        <v>#DIV/0!</v>
      </c>
      <c r="BP626" s="279" t="e">
        <f>(BP639+BP659)/(((BP666*BP675)+BP662+BP667))*100</f>
        <v>#DIV/0!</v>
      </c>
      <c r="BR626" s="279" t="e">
        <f>(BR639+BR659)/(((BR666*BR675)+BR662+BR667))*100</f>
        <v>#DIV/0!</v>
      </c>
      <c r="BS626" s="279" t="e">
        <f>(BS639+BS659)/(((BS666*BS675)+BS662+BS667))*100</f>
        <v>#DIV/0!</v>
      </c>
      <c r="BU626" s="279" t="e">
        <f>(BU639+BU659)/(((BU666*BU675)+BU662+BU667))*100</f>
        <v>#DIV/0!</v>
      </c>
      <c r="BV626" s="279" t="e">
        <f>(BV639+BV659)/(((BV666*BV675)+BV662+BV667))*100</f>
        <v>#DIV/0!</v>
      </c>
      <c r="BX626" s="279" t="e">
        <f>(BX639+BX659)/(((BX666*BX675)+BX662+BX667))*100</f>
        <v>#DIV/0!</v>
      </c>
      <c r="BY626" s="279" t="e">
        <f>(BY639+BY659)/(((BY666*BY675)+BY662+BY667))*100</f>
        <v>#DIV/0!</v>
      </c>
      <c r="CA626" s="279" t="e">
        <f>(CA639+CA659)/(((CA666*CA675)+CA662+CA667))*100</f>
        <v>#DIV/0!</v>
      </c>
      <c r="CB626" s="279" t="e">
        <f>(CB639+CB659)/(((CB666*CB675)+CB662+CB667))*100</f>
        <v>#DIV/0!</v>
      </c>
      <c r="CD626" s="279" t="e">
        <f>(CD639+CD659)/(((CD666*CD675)+CD662+CD667))*100</f>
        <v>#DIV/0!</v>
      </c>
      <c r="CE626" s="279" t="e">
        <f>(CE639+CE659)/(((CE666*CE675)+CE662+CE667))*100</f>
        <v>#DIV/0!</v>
      </c>
      <c r="CG626" s="279">
        <f>(CG639+CG659)/(((CG666*CG675)+CG662+CG667))*100</f>
        <v>28.165374677002585</v>
      </c>
      <c r="CH626" s="279">
        <f>(CH639+CH659)/(((CH666*CH675)+CH662+CH667))*100</f>
        <v>28.179551122194514</v>
      </c>
      <c r="CJ626" s="279" t="e">
        <f>(CJ639+CJ659)/(((CJ666*CJ675)+CJ662+CJ667))*100</f>
        <v>#DIV/0!</v>
      </c>
      <c r="CK626" s="279" t="e">
        <f>(CK639+CK659)/(((CK666*CK675)+CK662+CK667))*100</f>
        <v>#DIV/0!</v>
      </c>
    </row>
    <row r="627" spans="1:89" x14ac:dyDescent="0.25">
      <c r="A627" s="263"/>
      <c r="B627" s="311" t="s">
        <v>218</v>
      </c>
      <c r="C627" s="107"/>
      <c r="D627" s="95"/>
      <c r="E627" s="279"/>
      <c r="F627" s="279"/>
      <c r="G627" s="279"/>
      <c r="H627" s="279"/>
      <c r="I627" s="279"/>
      <c r="J627" s="279"/>
      <c r="K627" s="279"/>
      <c r="L627" s="279"/>
      <c r="M627" s="279"/>
      <c r="N627" s="279"/>
      <c r="O627" s="281"/>
      <c r="Q627" s="279"/>
      <c r="R627" s="279"/>
      <c r="S627" s="279"/>
      <c r="T627" s="279"/>
      <c r="V627" s="279"/>
      <c r="W627" s="279"/>
      <c r="Y627" s="279"/>
      <c r="Z627" s="279"/>
      <c r="AB627" s="279"/>
      <c r="AC627" s="279"/>
      <c r="AE627" s="279"/>
      <c r="AF627" s="279"/>
      <c r="AH627" s="279"/>
      <c r="AI627" s="279"/>
      <c r="AK627" s="279"/>
      <c r="AL627" s="279"/>
      <c r="AN627" s="279"/>
      <c r="AO627" s="279"/>
      <c r="AQ627" s="279"/>
      <c r="AR627" s="279"/>
      <c r="AT627" s="279"/>
      <c r="AU627" s="279"/>
      <c r="AW627" s="279"/>
      <c r="AX627" s="279"/>
      <c r="AZ627" s="279"/>
      <c r="BA627" s="279"/>
      <c r="BC627" s="279"/>
      <c r="BD627" s="279"/>
      <c r="BF627" s="279"/>
      <c r="BG627" s="279"/>
      <c r="BI627" s="279"/>
      <c r="BJ627" s="279"/>
      <c r="BL627" s="279"/>
      <c r="BM627" s="279"/>
      <c r="BO627" s="279"/>
      <c r="BP627" s="279"/>
      <c r="BR627" s="279"/>
      <c r="BS627" s="279"/>
      <c r="BU627" s="279"/>
      <c r="BV627" s="279"/>
      <c r="BX627" s="279"/>
      <c r="BY627" s="279"/>
      <c r="CA627" s="279"/>
      <c r="CB627" s="279"/>
      <c r="CD627" s="279"/>
      <c r="CE627" s="279"/>
      <c r="CG627" s="279"/>
      <c r="CH627" s="279"/>
      <c r="CJ627" s="279"/>
      <c r="CK627" s="279"/>
    </row>
    <row r="628" spans="1:89" x14ac:dyDescent="0.25">
      <c r="A628" s="263"/>
      <c r="B628" s="311" t="s">
        <v>180</v>
      </c>
      <c r="C628" s="107"/>
      <c r="D628" s="95" t="s">
        <v>1112</v>
      </c>
      <c r="E628" s="279">
        <f>(E648+E649+E659)/(E660+E662)*100</f>
        <v>9.4315958729733342</v>
      </c>
      <c r="F628" s="279">
        <f>(F648+F649+F659)/(F660+F662)*100</f>
        <v>11.182323107826734</v>
      </c>
      <c r="G628" s="279">
        <f>(G648+G649+G659)/(G660+G662)*100</f>
        <v>12.139986175469138</v>
      </c>
      <c r="H628" s="279">
        <f>(H648+H649+H659)/(H660+H662)*100</f>
        <v>13.257107079500901</v>
      </c>
      <c r="I628" s="279">
        <f>(I648+I649+I659)/(I660+I662)*100</f>
        <v>13.641027990288149</v>
      </c>
      <c r="J628" s="279">
        <f>(J648+J649+J659)/(((J660*J673))+J662)*100</f>
        <v>13.670079920250593</v>
      </c>
      <c r="K628" s="279">
        <f>(K648+K649+K659)/(((K660*K673))+K662)*100</f>
        <v>13.626150593336975</v>
      </c>
      <c r="L628" s="279">
        <f>(L648+L649+L659)/(((L660*L673))+L662)*100</f>
        <v>0</v>
      </c>
      <c r="M628" s="279">
        <f>(M648+M649+M659)/(((M660*M673))+M662)*100</f>
        <v>19.453076444996892</v>
      </c>
      <c r="N628" s="279">
        <f>(N648+N649+N659)/(((N660*N673))+N662)*100</f>
        <v>15.56811048336472</v>
      </c>
      <c r="O628" s="281"/>
      <c r="Q628" s="279">
        <f>(Q648+Q649+Q659)/(((Q660*Q673))+Q662)*100</f>
        <v>13.626150593336975</v>
      </c>
      <c r="R628" s="279">
        <f>(R648+R649+R659)/(((R660*R673))+R662)*100</f>
        <v>14.454765232149668</v>
      </c>
      <c r="S628" s="279">
        <f>(S648+S649+S659)/(((S660*S673))+S662)*100</f>
        <v>17.721316298113468</v>
      </c>
      <c r="T628" s="279">
        <f>(T648+T649+T659)/(((T660*T673))+T662)*100</f>
        <v>18.783986046427312</v>
      </c>
      <c r="V628" s="279">
        <f>(V648+V649+V659)/(((V660*V673))+V662)*100</f>
        <v>9.1659825417075993</v>
      </c>
      <c r="W628" s="279">
        <f>(W648+W649+W659)/(((W660*W673))+W662)*100</f>
        <v>9.6821365663061911</v>
      </c>
      <c r="Y628" s="279">
        <f>(Y648+Y649+Y659)/(((Y660*Y673))+Y662)*100</f>
        <v>16.016511867905056</v>
      </c>
      <c r="Z628" s="279">
        <f>(Z648+Z649+Z659)/(((Z660*Z673))+Z662)*100</f>
        <v>23.588667366211961</v>
      </c>
      <c r="AB628" s="279">
        <f>(AB648+AB649+AB659)/(((AB660*AB673))+AB662)*100</f>
        <v>36.201054216867469</v>
      </c>
      <c r="AC628" s="279">
        <f>(AC648+AC649+AC659)/(((AC660*AC673))+AC662)*100</f>
        <v>36.146406220367908</v>
      </c>
      <c r="AE628" s="279">
        <f>(AE648+AE649+AE659)/(((AE660*AE673))+AE662)*100</f>
        <v>13.170428095458856</v>
      </c>
      <c r="AF628" s="279">
        <f>(AF648+AF649+AF659)/(((AF660*AF673))+AF662)*100</f>
        <v>14.413851264303773</v>
      </c>
      <c r="AH628" s="279">
        <f>(AH648+AH649+AH659)/(((AH660*AH673))+AH662)*100</f>
        <v>17.756848787491329</v>
      </c>
      <c r="AI628" s="279">
        <f>(AI648+AI649+AI659)/(((AI660*AI673))+AI662)*100</f>
        <v>19.852394422624769</v>
      </c>
      <c r="AK628" s="279">
        <f>(AK648+AK649+AK659)/(((AK660*AK673))+AK662)*100</f>
        <v>15.216365192764625</v>
      </c>
      <c r="AL628" s="279">
        <f>(AL648+AL649+AL659)/(((AL660*AL673))+AL662)*100</f>
        <v>17.101183319622855</v>
      </c>
      <c r="AN628" s="279">
        <f>(AN648+AN649+AN659)/(((AN660*AN673))+AN662)*100</f>
        <v>12.85014803006149</v>
      </c>
      <c r="AO628" s="279">
        <f>(AO648+AO649+AO659)/(((AO660*AO673))+AO662)*100</f>
        <v>12.642110050022737</v>
      </c>
      <c r="AQ628" s="279">
        <f>(AQ648+AQ649+AQ659)/(((AQ660*AQ673))+AQ662)*100</f>
        <v>31.265206812652067</v>
      </c>
      <c r="AR628" s="279">
        <f>(AR648+AR649+AR659)/(((AR660*AR673))+AR662)*100</f>
        <v>34.878048780487802</v>
      </c>
      <c r="AT628" s="279">
        <f>(AT648+AT649+AT659)/(((AT660*AT673))+AT662)*100</f>
        <v>10.499987515087614</v>
      </c>
      <c r="AU628" s="279">
        <f>(AU648+AU649+AU659)/(((AU660*AU673))+AU662)*100</f>
        <v>10.079184002147363</v>
      </c>
      <c r="AW628" s="279">
        <f>(AW648+AW649+AW659)/(((AW660*AW673))+AW662)*100</f>
        <v>11.702127659574469</v>
      </c>
      <c r="AX628" s="279">
        <f>(AX648+AX649+AX659)/(((AX660*AX673))+AX662)*100</f>
        <v>10.069379336208513</v>
      </c>
      <c r="AZ628" s="279">
        <f>(AZ648+AZ649+AZ659)/(((AZ660*AZ673))+AZ662)*100</f>
        <v>14.661222406533112</v>
      </c>
      <c r="BA628" s="279">
        <f>(BA648+BA649+BA659)/(((BA660*BA673))+BA662)*100</f>
        <v>16.217267306196526</v>
      </c>
      <c r="BC628" s="279">
        <f>(BC648+BC649+BC659)/(((BC660*BC673))+BC662)*100</f>
        <v>9.1589932473910363</v>
      </c>
      <c r="BD628" s="279">
        <f>(BD648+BD649+BD659)/(((BD660*BD673))+BD662)*100</f>
        <v>10.859618083094382</v>
      </c>
      <c r="BF628" s="279">
        <f>(BF648+BF649+BF659)/(((BF660*BF673))+BF662)*100</f>
        <v>13.789755108799916</v>
      </c>
      <c r="BG628" s="279">
        <f>(BG648+BG649+BG659)/(((BG660*BG673))+BG662)*100</f>
        <v>14.763342477237387</v>
      </c>
      <c r="BI628" s="279">
        <f>(BI648+BI649+BI659)/(((BI660*BI673))+BI662)*100</f>
        <v>11.514114553354618</v>
      </c>
      <c r="BJ628" s="279">
        <f>(BJ648+BJ649+BJ659)/(((BJ660*BJ673))+BJ662)*100</f>
        <v>11.915349583747288</v>
      </c>
      <c r="BL628" s="279">
        <f>(BL648+BL649+BL659)/(((BL660*BL673))+BL662)*100</f>
        <v>12.152715540419431</v>
      </c>
      <c r="BM628" s="279">
        <f>(BM648+BM649+BM659)/(((BM660*BM673))+BM662)*100</f>
        <v>12.358337830545061</v>
      </c>
      <c r="BO628" s="279">
        <f>(BO648+BO649+BO659)/(((BO660*BO673))+BO662)*100</f>
        <v>19.262062440870388</v>
      </c>
      <c r="BP628" s="279">
        <f>(BP648+BP649+BP659)/(((BP660*BP673))+BP662)*100</f>
        <v>19.89095694679451</v>
      </c>
      <c r="BR628" s="279">
        <f>(BR648+BR649+BR659)/(((BR660*BR673))+BR662)*100</f>
        <v>23.513546647051612</v>
      </c>
      <c r="BS628" s="279">
        <f>(BS648+BS649+BS659)/(((BS660*BS673))+BS662)*100</f>
        <v>24.702163870654022</v>
      </c>
      <c r="BU628" s="279">
        <f>(BU648+BU649+BU659)/(((BU660*BU673))+BU662)*100</f>
        <v>10.5532658923442</v>
      </c>
      <c r="BV628" s="279">
        <f>(BV648+BV649+BV659)/(((BV660*BV673))+BV662)*100</f>
        <v>11.325659116227255</v>
      </c>
      <c r="BX628" s="279">
        <f>(BX648+BX649+BX659)/(((BX660*BX673))+BX662)*100</f>
        <v>11.350844277673545</v>
      </c>
      <c r="BY628" s="279">
        <f>(BY648+BY649+BY659)/(((BY660*BY673))+BY662)*100</f>
        <v>11.020036429872496</v>
      </c>
      <c r="CA628" s="279">
        <f>(CA648+CA649+CA659)/(((CA660*CA673))+CA662)*100</f>
        <v>8.6783042394014966</v>
      </c>
      <c r="CB628" s="279">
        <f>(CB648+CB649+CB659)/(((CB660*CB673))+CB662)*100</f>
        <v>9.7579894508222154</v>
      </c>
      <c r="CD628" s="279">
        <f>(CD648+CD649+CD659)/(((CD660*CD673))+CD662)*100</f>
        <v>7.5850444376340791</v>
      </c>
      <c r="CE628" s="279">
        <f>(CE648+CE649+CE659)/(((CE660*CE673))+CE662)*100</f>
        <v>10.286498018896678</v>
      </c>
      <c r="CG628" s="279">
        <f>(CG648+CG649+CG659)/(((CG660*CG673))+CG662)*100</f>
        <v>24.081632653061224</v>
      </c>
      <c r="CH628" s="279">
        <f>(CH648+CH649+CH659)/(((CH660*CH673))+CH662)*100</f>
        <v>25.133689839572192</v>
      </c>
      <c r="CJ628" s="279" t="e">
        <f>(CJ648+CJ649+CJ659)/(((CJ660*CJ673))+CJ662)*100</f>
        <v>#DIV/0!</v>
      </c>
      <c r="CK628" s="279" t="e">
        <f>(CK648+CK649+CK659)/(((CK660*CK673))+CK662)*100</f>
        <v>#DIV/0!</v>
      </c>
    </row>
    <row r="629" spans="1:89" x14ac:dyDescent="0.25">
      <c r="A629" s="263"/>
      <c r="B629" s="96" t="s">
        <v>1183</v>
      </c>
      <c r="C629" s="107"/>
      <c r="D629" s="95"/>
      <c r="E629" s="279"/>
      <c r="F629" s="279"/>
      <c r="G629" s="279"/>
      <c r="H629" s="279">
        <f>(H648+H659)/(H664+H662+H665)*100</f>
        <v>12.388284991366859</v>
      </c>
      <c r="I629" s="279">
        <f>(I648+I659)/(I664+I662+I665)*100</f>
        <v>12.943229420727874</v>
      </c>
      <c r="J629" s="279">
        <f>(J648+J659)/(((J664*J674)+J662+J665))*100</f>
        <v>13.084618342411664</v>
      </c>
      <c r="K629" s="279">
        <f>(K648+K659)/(((K664*K674)+K662+K665))*100</f>
        <v>13.033965897238236</v>
      </c>
      <c r="L629" s="279">
        <f>(L648+L659)/(((L664*L674)+L662+L665))*100</f>
        <v>0</v>
      </c>
      <c r="M629" s="279">
        <f>(M648+M659)/(((M664*M674)+M662+M665))*100</f>
        <v>9.0307512650836905</v>
      </c>
      <c r="N629" s="279">
        <f>(N648+N659)/(((N664*N674)+N662+N665))*100</f>
        <v>8.7326120556414217</v>
      </c>
      <c r="O629" s="281"/>
      <c r="Q629" s="279">
        <f>(Q648+Q659)/(((Q664*Q674)+Q662+Q665))*100</f>
        <v>13.033965897238236</v>
      </c>
      <c r="R629" s="279">
        <f>(R648+R659)/(((R664*R674)+R662+R665))*100</f>
        <v>13.639937557390244</v>
      </c>
      <c r="S629" s="279">
        <f>(S648+S659)/(((S664*S674)+S662+S665))*100</f>
        <v>16.974030861874294</v>
      </c>
      <c r="T629" s="279">
        <f>(T648+T659)/(((T664*T674)+T662+T665))*100</f>
        <v>18.592106446102672</v>
      </c>
      <c r="V629" s="279">
        <f>(V648+V659)/(((V664*V674)+V662+V665))*100</f>
        <v>9.8185844983017834</v>
      </c>
      <c r="W629" s="279">
        <f>(W648+W659)/(((W664*W674)+W662+W665))*100</f>
        <v>10.439839132938038</v>
      </c>
      <c r="Y629" s="279">
        <f>(Y648+Y659)/(((Y664*Y674)+Y662+Y665))*100</f>
        <v>11.389897655992076</v>
      </c>
      <c r="Z629" s="279">
        <f>(Z648+Z659)/(((Z664*Z674)+Z662+Z665))*100</f>
        <v>13.382402141184343</v>
      </c>
      <c r="AB629" s="279">
        <f>(AB648+AB659)/(((AB664*AB674)+AB662+AB665))*100</f>
        <v>32.516396272005522</v>
      </c>
      <c r="AC629" s="279">
        <f>(AC648+AC659)/(((AC664*AC674)+AC662+AC665))*100</f>
        <v>32.465753424657535</v>
      </c>
      <c r="AE629" s="279">
        <f>(AE648+AE659)/(((AE664*AE674)+AE662+AE665))*100</f>
        <v>11.718582935348207</v>
      </c>
      <c r="AF629" s="279">
        <f>(AF648+AF659)/(((AF664*AF674)+AF662+AF665))*100</f>
        <v>12.352664884181859</v>
      </c>
      <c r="AH629" s="279">
        <f>(AH648+AH659)/(((AH664*AH674)+AH662+AH665))*100</f>
        <v>9.0071753510750447</v>
      </c>
      <c r="AI629" s="279">
        <f>(AI648+AI659)/(((AI664*AI674)+AI662+AI665))*100</f>
        <v>10.037276181163975</v>
      </c>
      <c r="AK629" s="279">
        <f>(AK648+AK659)/(((AK664*AK674)+AK662+AK665))*100</f>
        <v>14.863901354695299</v>
      </c>
      <c r="AL629" s="279">
        <f>(AL648+AL659)/(((AL664*AL674)+AL662+AL665))*100</f>
        <v>16.804494456505527</v>
      </c>
      <c r="AN629" s="279">
        <f>(AN648+AN659)/(((AN664*AN674)+AN662+AN665))*100</f>
        <v>15.883143049026192</v>
      </c>
      <c r="AO629" s="279">
        <f>(AO648+AO659)/(((AO664*AO674)+AO662+AO665))*100</f>
        <v>14.451688398528919</v>
      </c>
      <c r="AQ629" s="279" t="e">
        <f>(AQ648+AQ659)/(((AQ664*AQ674)+AQ662+AQ665))*100</f>
        <v>#DIV/0!</v>
      </c>
      <c r="AR629" s="279" t="e">
        <f>(AR648+AR659)/(((AR664*AR674)+AR662+AR665))*100</f>
        <v>#DIV/0!</v>
      </c>
      <c r="AT629" s="279">
        <f>(AT648+AT659)/(((AT664*AT674)+AT662+AT665))*100</f>
        <v>10.499871614259838</v>
      </c>
      <c r="AU629" s="279">
        <f>(AU648+AU659)/(((AU664*AU674)+AU662+AU665))*100</f>
        <v>10.079184002147363</v>
      </c>
      <c r="AW629" s="279">
        <f>(AW648+AW659)/(((AW664*AW674)+AW662+AW665))*100</f>
        <v>11.702127659574469</v>
      </c>
      <c r="AX629" s="279">
        <f>(AX648+AX659)/(((AX664*AX674)+AX662+AX665))*100</f>
        <v>10.069379336208513</v>
      </c>
      <c r="AZ629" s="279">
        <f>(AZ648+AZ659)/(((AZ664*AZ674)+AZ662+AZ665))*100</f>
        <v>14.661222406533112</v>
      </c>
      <c r="BA629" s="279">
        <f>(BA648+BA659)/(((BA664*BA674)+BA662+BA665))*100</f>
        <v>16.217267306196526</v>
      </c>
      <c r="BC629" s="279">
        <f>(BC648+BC659)/(((BC664*BC674)+BC662+BC665))*100</f>
        <v>9.1589932473910363</v>
      </c>
      <c r="BD629" s="279">
        <f>(BD648+BD659)/(((BD664*BD674)+BD662+BD665))*100</f>
        <v>10.859618083094382</v>
      </c>
      <c r="BF629" s="279">
        <f>(BF648+BF659)/(((BF664*BF674)+BF662+BF665))*100</f>
        <v>13.789649137279467</v>
      </c>
      <c r="BG629" s="279">
        <f>(BG648+BG659)/(((BG664*BG674)+BG662+BG665))*100</f>
        <v>14.763106278855645</v>
      </c>
      <c r="BI629" s="279">
        <f>(BI648+BI659)/(((BI664*BI674)+BI662+BI665))*100</f>
        <v>11.511195471672506</v>
      </c>
      <c r="BJ629" s="279">
        <f>(BJ648+BJ659)/(((BJ664*BJ674)+BJ662+BJ665))*100</f>
        <v>11.912376295072853</v>
      </c>
      <c r="BL629" s="279">
        <f>(BL648+BL659)/(((BL664*BL674)+BL662+BL665))*100</f>
        <v>12.152715540419431</v>
      </c>
      <c r="BM629" s="279">
        <f>(BM648+BM659)/(((BM664*BM674)+BM662+BM665))*100</f>
        <v>12.358337830545061</v>
      </c>
      <c r="BO629" s="279">
        <f>(BO648+BO659)/(((BO664*BO674)+BO662+BO665))*100</f>
        <v>19.262062440870388</v>
      </c>
      <c r="BP629" s="279">
        <f>(BP648+BP659)/(((BP664*BP674)+BP662+BP665))*100</f>
        <v>19.89095694679451</v>
      </c>
      <c r="BR629" s="279">
        <f>(BR648+BR659)/(((BR664*BR674)+BR662+BR665))*100</f>
        <v>23.513546647051612</v>
      </c>
      <c r="BS629" s="279">
        <f>(BS648+BS659)/(((BS664*BS674)+BS662+BS665))*100</f>
        <v>24.702163870654022</v>
      </c>
      <c r="BU629" s="279">
        <f>(BU648+BU659)/(((BU664*BU674)+BU662+BU665))*100</f>
        <v>10.5532658923442</v>
      </c>
      <c r="BV629" s="279">
        <f>(BV648+BV659)/(((BV664*BV674)+BV662+BV665))*100</f>
        <v>11.325659116227255</v>
      </c>
      <c r="BX629" s="279">
        <f>(BX648+BX659)/(((BX664*BX674)+BX662+BX665))*100</f>
        <v>11.350844277673545</v>
      </c>
      <c r="BY629" s="279">
        <f>(BY648+BY659)/(((BY664*BY674)+BY662+BY665))*100</f>
        <v>11.020036429872496</v>
      </c>
      <c r="CA629" s="279">
        <f>(CA648+CA659)/(((CA664*CA674)+CA662+CA665))*100</f>
        <v>8.6783042394014966</v>
      </c>
      <c r="CB629" s="279">
        <f>(CB648+CB659)/(((CB664*CB674)+CB662+CB665))*100</f>
        <v>9.7579894508222154</v>
      </c>
      <c r="CD629" s="279">
        <f>(CD648+CD659)/(((CD664*CD674)+CD662+CD665))*100</f>
        <v>7.5850444376340791</v>
      </c>
      <c r="CE629" s="279">
        <f>(CE648+CE659)/(((CE664*CE674)+CE662+CE665))*100</f>
        <v>10.286498018896678</v>
      </c>
      <c r="CG629" s="279">
        <f>(CG648+CG659)/(((CG664*CG674)+CG662+CG665))*100</f>
        <v>25.911365260900642</v>
      </c>
      <c r="CH629" s="279">
        <f>(CH648+CH659)/(((CH664*CH674)+CH662+CH665))*100</f>
        <v>25.449964002879771</v>
      </c>
      <c r="CJ629" s="279" t="e">
        <f>(CJ648+CJ659)/(((CJ664*CJ674)+CJ662+CJ665))*100</f>
        <v>#DIV/0!</v>
      </c>
      <c r="CK629" s="279" t="e">
        <f>(CK648+CK659)/(((CK664*CK674)+CK662+CK665))*100</f>
        <v>#DIV/0!</v>
      </c>
    </row>
    <row r="630" spans="1:89" x14ac:dyDescent="0.25">
      <c r="A630" s="263"/>
      <c r="B630" s="16" t="s">
        <v>1185</v>
      </c>
      <c r="C630" s="107"/>
      <c r="D630" s="95"/>
      <c r="E630" s="279"/>
      <c r="F630" s="279"/>
      <c r="G630" s="279"/>
      <c r="H630" s="279">
        <f>(H649+H659)/(H666+H662+H667)*100</f>
        <v>22.631671451168785</v>
      </c>
      <c r="I630" s="279">
        <f>(I649+I659)/(I666+I662+I667)*100</f>
        <v>20.77995575448886</v>
      </c>
      <c r="J630" s="279">
        <f>(J649+J659)/(((J666*J675)+J662+J667))*100</f>
        <v>19.614364375787936</v>
      </c>
      <c r="K630" s="279">
        <f>(K649+K659)/(((K666*K675)+K662+K667))*100</f>
        <v>19.849024051981225</v>
      </c>
      <c r="L630" s="279">
        <f>(L649+L659)/(((L666*L675)+L662+L667))*100</f>
        <v>0</v>
      </c>
      <c r="M630" s="279">
        <f>(M649+M659)/(((M666*M675)+M662+M667))*100</f>
        <v>31.310894596988486</v>
      </c>
      <c r="N630" s="279">
        <f>(N649+N659)/(((N666*N675)+N662+N667))*100</f>
        <v>23.642172523961662</v>
      </c>
      <c r="O630" s="281"/>
      <c r="Q630" s="279">
        <f>(Q649+Q659)/(((Q666*Q675)+Q662+Q667))*100</f>
        <v>19.849024051981225</v>
      </c>
      <c r="R630" s="279">
        <f>(R649+R659)/(((R666*R675)+R662+R667))*100</f>
        <v>23.328720050283991</v>
      </c>
      <c r="S630" s="279">
        <f>(S649+S659)/(((S666*S675)+S662+S667))*100</f>
        <v>18.882352941176471</v>
      </c>
      <c r="T630" s="279">
        <f>(T649+T659)/(((T666*T675)+T662+T667))*100</f>
        <v>19.087136929460581</v>
      </c>
      <c r="V630" s="279">
        <f>(V649+V659)/(((V666*V675)+V662+V667))*100</f>
        <v>8.1828488190504292</v>
      </c>
      <c r="W630" s="279">
        <f>(W649+W659)/(((W666*W675)+W662+W667))*100</f>
        <v>8.5961657390228812</v>
      </c>
      <c r="Y630" s="279">
        <f>(Y649+Y659)/(((Y666*Y675)+Y662+Y667))*100</f>
        <v>23.733480176211454</v>
      </c>
      <c r="Z630" s="279">
        <f>(Z649+Z659)/(((Z666*Z675)+Z662+Z667))*100</f>
        <v>40.765765765765764</v>
      </c>
      <c r="AB630" s="279">
        <f>(AB649+AB659)/(((AB666*AB675)+AB662+AB667))*100</f>
        <v>40.621118012422357</v>
      </c>
      <c r="AC630" s="279">
        <f>(AC649+AC659)/(((AC666*AC675)+AC662+AC667))*100</f>
        <v>40.713982150446235</v>
      </c>
      <c r="AE630" s="279">
        <f>(AE649+AE659)/(((AE666*AE675)+AE662+AE667))*100</f>
        <v>16.958174904942965</v>
      </c>
      <c r="AF630" s="279">
        <f>(AF649+AF659)/(((AF666*AF675)+AF662+AF667))*100</f>
        <v>20.336134453781511</v>
      </c>
      <c r="AH630" s="279">
        <f>(AH649+AH659)/(((AH666*AH675)+AH662+AH667))*100</f>
        <v>26.97921780519356</v>
      </c>
      <c r="AI630" s="279">
        <f>(AI649+AI659)/(((AI666*AI675)+AI662+AI667))*100</f>
        <v>30.339783295422425</v>
      </c>
      <c r="AK630" s="279">
        <f>(AK649+AK659)/(((AK666*AK675)+AK662+AK667))*100</f>
        <v>22.483569699066067</v>
      </c>
      <c r="AL630" s="279">
        <f>(AL649+AL659)/(((AL666*AL675)+AL662+AL667))*100</f>
        <v>23.336816440264716</v>
      </c>
      <c r="AN630" s="279">
        <f>(AN649+AN659)/(((AN666*AN675)+AN662+AN667))*100</f>
        <v>6.4578910120311388</v>
      </c>
      <c r="AO630" s="279">
        <f>(AO649+AO659)/(((AO666*AO675)+AO662+AO667))*100</f>
        <v>8.795309168443497</v>
      </c>
      <c r="AQ630" s="279">
        <f>(AQ649+AQ659)/(((AQ666*AQ675)+AQ662+AQ667))*100</f>
        <v>31.265206812652067</v>
      </c>
      <c r="AR630" s="279">
        <f>(AR649+AR659)/(((AR666*AR675)+AR662+AR667))*100</f>
        <v>34.878048780487802</v>
      </c>
      <c r="AT630" s="279" t="e">
        <f>(AT649+AT659)/(((AT666*AT675)+AT662+AT667))*100</f>
        <v>#DIV/0!</v>
      </c>
      <c r="AU630" s="279" t="e">
        <f>(AU649+AU659)/(((AU666*AU675)+AU662+AU667))*100</f>
        <v>#DIV/0!</v>
      </c>
      <c r="AW630" s="279" t="e">
        <f>(AW649+AW659)/(((AW666*AW675)+AW662+AW667))*100</f>
        <v>#DIV/0!</v>
      </c>
      <c r="AX630" s="279" t="e">
        <f>(AX649+AX659)/(((AX666*AX675)+AX662+AX667))*100</f>
        <v>#DIV/0!</v>
      </c>
      <c r="AZ630" s="279" t="e">
        <f>(AZ649+AZ659)/(((AZ666*AZ675)+AZ662+AZ667))*100</f>
        <v>#DIV/0!</v>
      </c>
      <c r="BA630" s="279" t="e">
        <f>(BA649+BA659)/(((BA666*BA675)+BA662+BA667))*100</f>
        <v>#DIV/0!</v>
      </c>
      <c r="BC630" s="279" t="e">
        <f>(BC649+BC659)/(((BC666*BC675)+BC662+BC667))*100</f>
        <v>#DIV/0!</v>
      </c>
      <c r="BD630" s="279" t="e">
        <f>(BD649+BD659)/(((BD666*BD675)+BD662+BD667))*100</f>
        <v>#DIV/0!</v>
      </c>
      <c r="BF630" s="279" t="e">
        <f>(BF649+BF659)/(((BF666*BF675)+BF662+BF667))*100</f>
        <v>#DIV/0!</v>
      </c>
      <c r="BG630" s="279" t="e">
        <f>(BG649+BG659)/(((BG666*BG675)+BG662+BG667))*100</f>
        <v>#DIV/0!</v>
      </c>
      <c r="BI630" s="279" t="e">
        <f>(BI649+BI659)/(((BI666*BI675)+BI662+BI667))*100</f>
        <v>#DIV/0!</v>
      </c>
      <c r="BJ630" s="279" t="e">
        <f>(BJ649+BJ659)/(((BJ666*BJ675)+BJ662+BJ667))*100</f>
        <v>#DIV/0!</v>
      </c>
      <c r="BL630" s="279" t="e">
        <f>(BL649+BL659)/(((BL666*BL675)+BL662+BL667))*100</f>
        <v>#DIV/0!</v>
      </c>
      <c r="BM630" s="279" t="e">
        <f>(BM649+BM659)/(((BM666*BM675)+BM662+BM667))*100</f>
        <v>#DIV/0!</v>
      </c>
      <c r="BO630" s="279" t="e">
        <f>(BO649+BO659)/(((BO666*BO675)+BO662+BO667))*100</f>
        <v>#DIV/0!</v>
      </c>
      <c r="BP630" s="279" t="e">
        <f>(BP649+BP659)/(((BP666*BP675)+BP662+BP667))*100</f>
        <v>#DIV/0!</v>
      </c>
      <c r="BR630" s="279" t="e">
        <f>(BR649+BR659)/(((BR666*BR675)+BR662+BR667))*100</f>
        <v>#DIV/0!</v>
      </c>
      <c r="BS630" s="279" t="e">
        <f>(BS649+BS659)/(((BS666*BS675)+BS662+BS667))*100</f>
        <v>#DIV/0!</v>
      </c>
      <c r="BU630" s="279" t="e">
        <f>(BU649+BU659)/(((BU666*BU675)+BU662+BU667))*100</f>
        <v>#DIV/0!</v>
      </c>
      <c r="BV630" s="279" t="e">
        <f>(BV649+BV659)/(((BV666*BV675)+BV662+BV667))*100</f>
        <v>#DIV/0!</v>
      </c>
      <c r="BX630" s="279" t="e">
        <f>(BX649+BX659)/(((BX666*BX675)+BX662+BX667))*100</f>
        <v>#DIV/0!</v>
      </c>
      <c r="BY630" s="279" t="e">
        <f>(BY649+BY659)/(((BY666*BY675)+BY662+BY667))*100</f>
        <v>#DIV/0!</v>
      </c>
      <c r="CA630" s="279" t="e">
        <f>(CA649+CA659)/(((CA666*CA675)+CA662+CA667))*100</f>
        <v>#DIV/0!</v>
      </c>
      <c r="CB630" s="279" t="e">
        <f>(CB649+CB659)/(((CB666*CB675)+CB662+CB667))*100</f>
        <v>#DIV/0!</v>
      </c>
      <c r="CD630" s="279" t="e">
        <f>(CD649+CD659)/(((CD666*CD675)+CD662+CD667))*100</f>
        <v>#DIV/0!</v>
      </c>
      <c r="CE630" s="279" t="e">
        <f>(CE649+CE659)/(((CE666*CE675)+CE662+CE667))*100</f>
        <v>#DIV/0!</v>
      </c>
      <c r="CG630" s="279">
        <f>(CG649+CG659)/(((CG666*CG675)+CG662+CG667))*100</f>
        <v>10.852713178294573</v>
      </c>
      <c r="CH630" s="279">
        <f>(CH649+CH659)/(((CH666*CH675)+CH662+CH667))*100</f>
        <v>22.942643391521198</v>
      </c>
      <c r="CJ630" s="279" t="e">
        <f>(CJ649+CJ659)/(((CJ666*CJ675)+CJ662+CJ667))*100</f>
        <v>#DIV/0!</v>
      </c>
      <c r="CK630" s="279" t="e">
        <f>(CK649+CK659)/(((CK666*CK675)+CK662+CK667))*100</f>
        <v>#DIV/0!</v>
      </c>
    </row>
    <row r="631" spans="1:89" x14ac:dyDescent="0.25">
      <c r="A631" s="263"/>
      <c r="B631" s="96" t="s">
        <v>1184</v>
      </c>
      <c r="C631" s="107"/>
      <c r="D631" s="95"/>
      <c r="E631" s="279"/>
      <c r="F631" s="279"/>
      <c r="G631" s="279"/>
      <c r="H631" s="279"/>
      <c r="I631" s="279"/>
      <c r="J631" s="279"/>
      <c r="K631" s="279"/>
      <c r="L631" s="279"/>
      <c r="M631" s="279"/>
      <c r="N631" s="279"/>
      <c r="O631" s="281"/>
      <c r="Q631" s="279"/>
      <c r="R631" s="279"/>
      <c r="S631" s="279"/>
      <c r="T631" s="279"/>
      <c r="V631" s="279"/>
      <c r="W631" s="279"/>
      <c r="Y631" s="279"/>
      <c r="Z631" s="279"/>
      <c r="AB631" s="279"/>
      <c r="AC631" s="279"/>
      <c r="AE631" s="279"/>
      <c r="AF631" s="279"/>
      <c r="AH631" s="279"/>
      <c r="AI631" s="279"/>
      <c r="AK631" s="279"/>
      <c r="AL631" s="279"/>
      <c r="AN631" s="279"/>
      <c r="AO631" s="279"/>
      <c r="AQ631" s="279"/>
      <c r="AR631" s="279"/>
      <c r="AT631" s="279"/>
      <c r="AU631" s="279"/>
      <c r="AW631" s="279"/>
      <c r="AX631" s="279"/>
      <c r="AZ631" s="279"/>
      <c r="BA631" s="279"/>
      <c r="BC631" s="279"/>
      <c r="BD631" s="279"/>
      <c r="BF631" s="279"/>
      <c r="BG631" s="279"/>
      <c r="BI631" s="279"/>
      <c r="BJ631" s="279"/>
      <c r="BL631" s="279"/>
      <c r="BM631" s="279"/>
      <c r="BO631" s="279"/>
      <c r="BP631" s="279"/>
      <c r="BR631" s="279"/>
      <c r="BS631" s="279"/>
      <c r="BU631" s="279"/>
      <c r="BV631" s="279"/>
      <c r="BX631" s="279"/>
      <c r="BY631" s="279"/>
      <c r="CA631" s="279"/>
      <c r="CB631" s="279"/>
      <c r="CD631" s="279"/>
      <c r="CE631" s="279"/>
      <c r="CG631" s="279"/>
      <c r="CH631" s="279"/>
      <c r="CJ631" s="279"/>
      <c r="CK631" s="279"/>
    </row>
    <row r="632" spans="1:89" x14ac:dyDescent="0.25">
      <c r="A632" s="263"/>
      <c r="B632" s="311" t="s">
        <v>180</v>
      </c>
      <c r="C632" s="107"/>
      <c r="D632" s="95" t="s">
        <v>1112</v>
      </c>
      <c r="E632" s="279">
        <f t="shared" ref="E632:K632" si="1019">(E640+E641)/(E661)*100</f>
        <v>13.325330132052821</v>
      </c>
      <c r="F632" s="279">
        <f t="shared" si="1019"/>
        <v>11.325028312570781</v>
      </c>
      <c r="G632" s="279">
        <f t="shared" si="1019"/>
        <v>10.654008438818567</v>
      </c>
      <c r="H632" s="279">
        <f t="shared" si="1019"/>
        <v>15.012106537530268</v>
      </c>
      <c r="I632" s="279">
        <f t="shared" si="1019"/>
        <v>14.175824175824175</v>
      </c>
      <c r="J632" s="279">
        <f t="shared" si="1019"/>
        <v>16.468039003250272</v>
      </c>
      <c r="K632" s="279">
        <f t="shared" si="1019"/>
        <v>17.241379310344829</v>
      </c>
      <c r="L632" s="279" t="e">
        <f t="shared" ref="L632:M632" si="1020">(L640+L641)/(L661)*100</f>
        <v>#DIV/0!</v>
      </c>
      <c r="M632" s="279" t="e">
        <f t="shared" si="1020"/>
        <v>#DIV/0!</v>
      </c>
      <c r="N632" s="279" t="e">
        <f t="shared" ref="N632" si="1021">(N640+N641)/(N661)*100</f>
        <v>#DIV/0!</v>
      </c>
      <c r="O632" s="281"/>
      <c r="Q632" s="279">
        <f>(Q640+Q641)/(Q661)*100</f>
        <v>17.241379310344829</v>
      </c>
      <c r="R632" s="279">
        <f>(R640+R641)/(R661)*100</f>
        <v>18.300653594771241</v>
      </c>
      <c r="S632" s="279" t="e">
        <f>(S640+S641)/(S661)*100</f>
        <v>#DIV/0!</v>
      </c>
      <c r="T632" s="279" t="e">
        <f>(T640+T641)/(T661)*100</f>
        <v>#DIV/0!</v>
      </c>
      <c r="V632" s="279" t="e">
        <f>(V640+V641)/(V661)*100</f>
        <v>#DIV/0!</v>
      </c>
      <c r="W632" s="279" t="e">
        <f>(W640+W641)/(W661)*100</f>
        <v>#DIV/0!</v>
      </c>
      <c r="Y632" s="279" t="e">
        <f>(Y640+Y641)/(Y661)*100</f>
        <v>#DIV/0!</v>
      </c>
      <c r="Z632" s="279" t="e">
        <f>(Z640+Z641)/(Z661)*100</f>
        <v>#DIV/0!</v>
      </c>
      <c r="AB632" s="279" t="e">
        <f>(AB640+AB641)/(AB661)*100</f>
        <v>#DIV/0!</v>
      </c>
      <c r="AC632" s="279" t="e">
        <f>(AC640+AC641)/(AC661)*100</f>
        <v>#DIV/0!</v>
      </c>
      <c r="AE632" s="279" t="e">
        <f>(AE640+AE641)/(AE661)*100</f>
        <v>#DIV/0!</v>
      </c>
      <c r="AF632" s="279" t="e">
        <f>(AF640+AF641)/(AF661)*100</f>
        <v>#DIV/0!</v>
      </c>
      <c r="AH632" s="279" t="e">
        <f>(AH640+AH641)/(AH661)*100</f>
        <v>#DIV/0!</v>
      </c>
      <c r="AI632" s="279" t="e">
        <f>(AI640+AI641)/(AI661)*100</f>
        <v>#DIV/0!</v>
      </c>
      <c r="AK632" s="279" t="e">
        <f>(AK640+AK641)/(AK661)*100</f>
        <v>#DIV/0!</v>
      </c>
      <c r="AL632" s="279" t="e">
        <f>(AL640+AL641)/(AL661)*100</f>
        <v>#DIV/0!</v>
      </c>
      <c r="AN632" s="279" t="e">
        <f>(AN640+AN641)/(AN661)*100</f>
        <v>#DIV/0!</v>
      </c>
      <c r="AO632" s="279" t="e">
        <f>(AO640+AO641)/(AO661)*100</f>
        <v>#DIV/0!</v>
      </c>
      <c r="AQ632" s="279" t="e">
        <f>(AQ640+AQ641)/(AQ661)*100</f>
        <v>#DIV/0!</v>
      </c>
      <c r="AR632" s="279" t="e">
        <f>(AR640+AR641)/(AR661)*100</f>
        <v>#DIV/0!</v>
      </c>
      <c r="AT632" s="279" t="e">
        <f>(AT640+AT641)/(AT661)*100</f>
        <v>#DIV/0!</v>
      </c>
      <c r="AU632" s="279" t="e">
        <f>(AU640+AU641)/(AU661)*100</f>
        <v>#DIV/0!</v>
      </c>
      <c r="AW632" s="279" t="e">
        <f>(AW640+AW641)/(AW661)*100</f>
        <v>#DIV/0!</v>
      </c>
      <c r="AX632" s="279" t="e">
        <f>(AX640+AX641)/(AX661)*100</f>
        <v>#DIV/0!</v>
      </c>
      <c r="AZ632" s="279" t="e">
        <f>(AZ640+AZ641)/(AZ661)*100</f>
        <v>#DIV/0!</v>
      </c>
      <c r="BA632" s="279" t="e">
        <f>(BA640+BA641)/(BA661)*100</f>
        <v>#DIV/0!</v>
      </c>
      <c r="BC632" s="279">
        <f>(BC640+BC641)/(BC661)*100</f>
        <v>12.834224598930483</v>
      </c>
      <c r="BD632" s="279">
        <f>(BD640+BD641)/(BD661)*100</f>
        <v>12.76595744680851</v>
      </c>
      <c r="BF632" s="279">
        <f>(BF640+BF641)/(BF661)*100</f>
        <v>6.4171122994652414</v>
      </c>
      <c r="BG632" s="279">
        <f>(BG640+BG641)/(BG661)*100</f>
        <v>10.05586592178771</v>
      </c>
      <c r="BI632" s="279">
        <f>(BI640+BI641)/(BI661)*100</f>
        <v>21.559633027522938</v>
      </c>
      <c r="BJ632" s="279">
        <f>(BJ640+BJ641)/(BJ661)*100</f>
        <v>22.641509433962266</v>
      </c>
      <c r="BL632" s="279" t="e">
        <f>(BL640+BL641)/(BL661)*100</f>
        <v>#DIV/0!</v>
      </c>
      <c r="BM632" s="279" t="e">
        <f>(BM640+BM641)/(BM661)*100</f>
        <v>#DIV/0!</v>
      </c>
      <c r="BO632" s="279" t="e">
        <f>(BO640+BO641)/(BO661)*100</f>
        <v>#DIV/0!</v>
      </c>
      <c r="BP632" s="279" t="e">
        <f>(BP640+BP641)/(BP661)*100</f>
        <v>#DIV/0!</v>
      </c>
      <c r="BR632" s="279" t="e">
        <f>(BR640+BR641)/(BR661)*100</f>
        <v>#DIV/0!</v>
      </c>
      <c r="BS632" s="279" t="e">
        <f>(BS640+BS641)/(BS661)*100</f>
        <v>#DIV/0!</v>
      </c>
      <c r="BU632" s="279" t="e">
        <f>(BU640+BU641)/(BU661)*100</f>
        <v>#DIV/0!</v>
      </c>
      <c r="BV632" s="279" t="e">
        <f>(BV640+BV641)/(BV661)*100</f>
        <v>#DIV/0!</v>
      </c>
      <c r="BX632" s="279" t="e">
        <f>(BX640+BX641)/(BX661)*100</f>
        <v>#DIV/0!</v>
      </c>
      <c r="BY632" s="279" t="e">
        <f>(BY640+BY641)/(BY661)*100</f>
        <v>#DIV/0!</v>
      </c>
      <c r="CA632" s="279" t="e">
        <f>(CA640+CA641)/(CA661)*100</f>
        <v>#DIV/0!</v>
      </c>
      <c r="CB632" s="279" t="e">
        <f>(CB640+CB641)/(CB661)*100</f>
        <v>#DIV/0!</v>
      </c>
      <c r="CD632" s="279">
        <f>(CD640+CD641)/(CD661)*100</f>
        <v>25.423728813559322</v>
      </c>
      <c r="CE632" s="279">
        <f>(CE640+CE641)/(CE661)*100</f>
        <v>23.622047244094489</v>
      </c>
      <c r="CG632" s="279" t="e">
        <f>(CG640+CG641)/(CG661)*100</f>
        <v>#DIV/0!</v>
      </c>
      <c r="CH632" s="279" t="e">
        <f>(CH640+CH641)/(CH661)*100</f>
        <v>#DIV/0!</v>
      </c>
      <c r="CJ632" s="279" t="e">
        <f>(CJ640+CJ641)/(CJ661)*100</f>
        <v>#DIV/0!</v>
      </c>
      <c r="CK632" s="279" t="e">
        <f>(CK640+CK641)/(CK661)*100</f>
        <v>#DIV/0!</v>
      </c>
    </row>
    <row r="633" spans="1:89" x14ac:dyDescent="0.25">
      <c r="A633" s="263"/>
      <c r="B633" s="96" t="s">
        <v>1183</v>
      </c>
      <c r="C633" s="107"/>
      <c r="D633" s="95"/>
      <c r="E633" s="279"/>
      <c r="F633" s="279"/>
      <c r="G633" s="279"/>
      <c r="H633" s="279">
        <f>(H640)/(H661)*100</f>
        <v>15.012106537530268</v>
      </c>
      <c r="I633" s="279">
        <f>(I640)/(I661)*100</f>
        <v>14.175824175824175</v>
      </c>
      <c r="J633" s="279">
        <f>(J640)/(J661)*100</f>
        <v>16.468039003250272</v>
      </c>
      <c r="K633" s="279">
        <f>(K640)/(K661)*100</f>
        <v>17.241379310344829</v>
      </c>
      <c r="L633" s="279" t="e">
        <f>(L640)/(L661)*100</f>
        <v>#DIV/0!</v>
      </c>
      <c r="M633" s="279" t="e">
        <f t="shared" ref="M633:N633" si="1022">(M640)/(M661)*100</f>
        <v>#DIV/0!</v>
      </c>
      <c r="N633" s="279" t="e">
        <f t="shared" si="1022"/>
        <v>#DIV/0!</v>
      </c>
      <c r="O633" s="281"/>
      <c r="Q633" s="279">
        <f>(Q640)/(Q661)*100</f>
        <v>17.241379310344829</v>
      </c>
      <c r="R633" s="279">
        <f>(R640)/(R661)*100</f>
        <v>18.300653594771241</v>
      </c>
      <c r="S633" s="279" t="e">
        <f>(S640)/(S661)*100</f>
        <v>#DIV/0!</v>
      </c>
      <c r="T633" s="279" t="e">
        <f>(T640)/(T661)*100</f>
        <v>#DIV/0!</v>
      </c>
      <c r="V633" s="279" t="e">
        <f>(V640)/(V661)*100</f>
        <v>#DIV/0!</v>
      </c>
      <c r="W633" s="279" t="e">
        <f>(W640)/(W661)*100</f>
        <v>#DIV/0!</v>
      </c>
      <c r="Y633" s="279" t="e">
        <f>(Y640)/(Y661)*100</f>
        <v>#DIV/0!</v>
      </c>
      <c r="Z633" s="279" t="e">
        <f>(Z640)/(Z661)*100</f>
        <v>#DIV/0!</v>
      </c>
      <c r="AB633" s="279" t="e">
        <f>(AB640)/(AB661)*100</f>
        <v>#DIV/0!</v>
      </c>
      <c r="AC633" s="279" t="e">
        <f>(AC640)/(AC661)*100</f>
        <v>#DIV/0!</v>
      </c>
      <c r="AE633" s="279" t="e">
        <f>(AE640)/(AE661)*100</f>
        <v>#DIV/0!</v>
      </c>
      <c r="AF633" s="279" t="e">
        <f>(AF640)/(AF661)*100</f>
        <v>#DIV/0!</v>
      </c>
      <c r="AH633" s="279" t="e">
        <f>(AH640)/(AH661)*100</f>
        <v>#DIV/0!</v>
      </c>
      <c r="AI633" s="279" t="e">
        <f>(AI640)/(AI661)*100</f>
        <v>#DIV/0!</v>
      </c>
      <c r="AK633" s="279" t="e">
        <f>(AK640)/(AK661)*100</f>
        <v>#DIV/0!</v>
      </c>
      <c r="AL633" s="279" t="e">
        <f>(AL640)/(AL661)*100</f>
        <v>#DIV/0!</v>
      </c>
      <c r="AN633" s="279" t="e">
        <f>(AN640)/(AN661)*100</f>
        <v>#DIV/0!</v>
      </c>
      <c r="AO633" s="279" t="e">
        <f>(AO640)/(AO661)*100</f>
        <v>#DIV/0!</v>
      </c>
      <c r="AQ633" s="279" t="e">
        <f>(AQ640)/(AQ661)*100</f>
        <v>#DIV/0!</v>
      </c>
      <c r="AR633" s="279" t="e">
        <f>(AR640)/(AR661)*100</f>
        <v>#DIV/0!</v>
      </c>
      <c r="AT633" s="279" t="e">
        <f>(AT640)/(AT661)*100</f>
        <v>#DIV/0!</v>
      </c>
      <c r="AU633" s="279" t="e">
        <f>(AU640)/(AU661)*100</f>
        <v>#DIV/0!</v>
      </c>
      <c r="AW633" s="279" t="e">
        <f>(AW640)/(AW661)*100</f>
        <v>#DIV/0!</v>
      </c>
      <c r="AX633" s="279" t="e">
        <f>(AX640)/(AX661)*100</f>
        <v>#DIV/0!</v>
      </c>
      <c r="AZ633" s="279" t="e">
        <f>(AZ640)/(AZ661)*100</f>
        <v>#DIV/0!</v>
      </c>
      <c r="BA633" s="279" t="e">
        <f>(BA640)/(BA661)*100</f>
        <v>#DIV/0!</v>
      </c>
      <c r="BC633" s="279">
        <f>(BC640)/(BC661)*100</f>
        <v>12.834224598930483</v>
      </c>
      <c r="BD633" s="279">
        <f>(BD640)/(BD661)*100</f>
        <v>12.76595744680851</v>
      </c>
      <c r="BF633" s="279">
        <f>(BF640)/(BF661)*100</f>
        <v>6.4171122994652414</v>
      </c>
      <c r="BG633" s="279">
        <f>(BG640)/(BG661)*100</f>
        <v>10.05586592178771</v>
      </c>
      <c r="BI633" s="279">
        <f>(BI640)/(BI661)*100</f>
        <v>21.559633027522938</v>
      </c>
      <c r="BJ633" s="279">
        <f>(BJ640)/(BJ661)*100</f>
        <v>22.641509433962266</v>
      </c>
      <c r="BL633" s="279" t="e">
        <f>(BL640)/(BL661)*100</f>
        <v>#DIV/0!</v>
      </c>
      <c r="BM633" s="279" t="e">
        <f>(BM640)/(BM661)*100</f>
        <v>#DIV/0!</v>
      </c>
      <c r="BO633" s="279" t="e">
        <f>(BO640)/(BO661)*100</f>
        <v>#DIV/0!</v>
      </c>
      <c r="BP633" s="279" t="e">
        <f>(BP640)/(BP661)*100</f>
        <v>#DIV/0!</v>
      </c>
      <c r="BR633" s="279" t="e">
        <f>(BR640)/(BR661)*100</f>
        <v>#DIV/0!</v>
      </c>
      <c r="BS633" s="279" t="e">
        <f>(BS640)/(BS661)*100</f>
        <v>#DIV/0!</v>
      </c>
      <c r="BU633" s="279" t="e">
        <f>(BU640)/(BU661)*100</f>
        <v>#DIV/0!</v>
      </c>
      <c r="BV633" s="279" t="e">
        <f>(BV640)/(BV661)*100</f>
        <v>#DIV/0!</v>
      </c>
      <c r="BX633" s="279" t="e">
        <f>(BX640)/(BX661)*100</f>
        <v>#DIV/0!</v>
      </c>
      <c r="BY633" s="279" t="e">
        <f>(BY640)/(BY661)*100</f>
        <v>#DIV/0!</v>
      </c>
      <c r="CA633" s="279" t="e">
        <f>(CA640)/(CA661)*100</f>
        <v>#DIV/0!</v>
      </c>
      <c r="CB633" s="279" t="e">
        <f>(CB640)/(CB661)*100</f>
        <v>#DIV/0!</v>
      </c>
      <c r="CD633" s="279">
        <f>(CD640)/(CD661)*100</f>
        <v>25.423728813559322</v>
      </c>
      <c r="CE633" s="279">
        <f>(CE640)/(CE661)*100</f>
        <v>23.622047244094489</v>
      </c>
      <c r="CG633" s="279" t="e">
        <f>(CG640)/(CG661)*100</f>
        <v>#DIV/0!</v>
      </c>
      <c r="CH633" s="279" t="e">
        <f>(CH640)/(CH661)*100</f>
        <v>#DIV/0!</v>
      </c>
      <c r="CJ633" s="279" t="e">
        <f>(CJ640)/(CJ661)*100</f>
        <v>#DIV/0!</v>
      </c>
      <c r="CK633" s="279" t="e">
        <f>(CK640)/(CK661)*100</f>
        <v>#DIV/0!</v>
      </c>
    </row>
    <row r="634" spans="1:89" x14ac:dyDescent="0.25">
      <c r="A634" s="263"/>
      <c r="B634" s="16" t="s">
        <v>1185</v>
      </c>
      <c r="C634" s="107"/>
      <c r="D634" s="95"/>
      <c r="E634" s="279"/>
      <c r="F634" s="279"/>
      <c r="G634" s="279"/>
      <c r="H634" s="279">
        <f>(H641)/(H661)*100</f>
        <v>0</v>
      </c>
      <c r="I634" s="279">
        <f>(I641)/(I661)*100</f>
        <v>0</v>
      </c>
      <c r="J634" s="279">
        <f>(J641)/(J661)*100</f>
        <v>0</v>
      </c>
      <c r="K634" s="279">
        <f>(K641)/(K661)*100</f>
        <v>0</v>
      </c>
      <c r="L634" s="279" t="e">
        <f>(L641)/(L661)*100</f>
        <v>#DIV/0!</v>
      </c>
      <c r="M634" s="279" t="e">
        <f t="shared" ref="M634:N634" si="1023">(M641)/(M661)*100</f>
        <v>#DIV/0!</v>
      </c>
      <c r="N634" s="279" t="e">
        <f t="shared" si="1023"/>
        <v>#DIV/0!</v>
      </c>
      <c r="O634" s="281"/>
      <c r="Q634" s="279">
        <f>(Q641)/(Q661)*100</f>
        <v>0</v>
      </c>
      <c r="R634" s="279">
        <f>(R641)/(R661)*100</f>
        <v>0</v>
      </c>
      <c r="S634" s="279" t="e">
        <f>(S641)/(S661)*100</f>
        <v>#DIV/0!</v>
      </c>
      <c r="T634" s="279" t="e">
        <f>(T641)/(T661)*100</f>
        <v>#DIV/0!</v>
      </c>
      <c r="V634" s="279" t="e">
        <f>(V641)/(V661)*100</f>
        <v>#DIV/0!</v>
      </c>
      <c r="W634" s="279" t="e">
        <f>(W641)/(W661)*100</f>
        <v>#DIV/0!</v>
      </c>
      <c r="Y634" s="279" t="e">
        <f>(Y641)/(Y661)*100</f>
        <v>#DIV/0!</v>
      </c>
      <c r="Z634" s="279" t="e">
        <f>(Z641)/(Z661)*100</f>
        <v>#DIV/0!</v>
      </c>
      <c r="AB634" s="279" t="e">
        <f>(AB641)/(AB661)*100</f>
        <v>#DIV/0!</v>
      </c>
      <c r="AC634" s="279" t="e">
        <f>(AC641)/(AC661)*100</f>
        <v>#DIV/0!</v>
      </c>
      <c r="AE634" s="279" t="e">
        <f>(AE641)/(AE661)*100</f>
        <v>#DIV/0!</v>
      </c>
      <c r="AF634" s="279" t="e">
        <f>(AF641)/(AF661)*100</f>
        <v>#DIV/0!</v>
      </c>
      <c r="AH634" s="279" t="e">
        <f>(AH641)/(AH661)*100</f>
        <v>#DIV/0!</v>
      </c>
      <c r="AI634" s="279" t="e">
        <f>(AI641)/(AI661)*100</f>
        <v>#DIV/0!</v>
      </c>
      <c r="AK634" s="279" t="e">
        <f>(AK641)/(AK661)*100</f>
        <v>#DIV/0!</v>
      </c>
      <c r="AL634" s="279" t="e">
        <f>(AL641)/(AL661)*100</f>
        <v>#DIV/0!</v>
      </c>
      <c r="AN634" s="279" t="e">
        <f>(AN641)/(AN661)*100</f>
        <v>#DIV/0!</v>
      </c>
      <c r="AO634" s="279" t="e">
        <f>(AO641)/(AO661)*100</f>
        <v>#DIV/0!</v>
      </c>
      <c r="AQ634" s="279" t="e">
        <f>(AQ641)/(AQ661)*100</f>
        <v>#DIV/0!</v>
      </c>
      <c r="AR634" s="279" t="e">
        <f>(AR641)/(AR661)*100</f>
        <v>#DIV/0!</v>
      </c>
      <c r="AT634" s="279" t="e">
        <f>(AT641)/(AT661)*100</f>
        <v>#DIV/0!</v>
      </c>
      <c r="AU634" s="279" t="e">
        <f>(AU641)/(AU661)*100</f>
        <v>#DIV/0!</v>
      </c>
      <c r="AW634" s="279" t="e">
        <f>(AW641)/(AW661)*100</f>
        <v>#DIV/0!</v>
      </c>
      <c r="AX634" s="279" t="e">
        <f>(AX641)/(AX661)*100</f>
        <v>#DIV/0!</v>
      </c>
      <c r="AZ634" s="279" t="e">
        <f>(AZ641)/(AZ661)*100</f>
        <v>#DIV/0!</v>
      </c>
      <c r="BA634" s="279" t="e">
        <f>(BA641)/(BA661)*100</f>
        <v>#DIV/0!</v>
      </c>
      <c r="BC634" s="279">
        <f>(BC641)/(BC661)*100</f>
        <v>0</v>
      </c>
      <c r="BD634" s="279">
        <f>(BD641)/(BD661)*100</f>
        <v>0</v>
      </c>
      <c r="BF634" s="279">
        <f>(BF641)/(BF661)*100</f>
        <v>0</v>
      </c>
      <c r="BG634" s="279">
        <f>(BG641)/(BG661)*100</f>
        <v>0</v>
      </c>
      <c r="BI634" s="279">
        <f>(BI641)/(BI661)*100</f>
        <v>0</v>
      </c>
      <c r="BJ634" s="279">
        <f>(BJ641)/(BJ661)*100</f>
        <v>0</v>
      </c>
      <c r="BL634" s="279" t="e">
        <f>(BL641)/(BL661)*100</f>
        <v>#DIV/0!</v>
      </c>
      <c r="BM634" s="279" t="e">
        <f>(BM641)/(BM661)*100</f>
        <v>#DIV/0!</v>
      </c>
      <c r="BO634" s="279" t="e">
        <f>(BO641)/(BO661)*100</f>
        <v>#DIV/0!</v>
      </c>
      <c r="BP634" s="279" t="e">
        <f>(BP641)/(BP661)*100</f>
        <v>#DIV/0!</v>
      </c>
      <c r="BR634" s="279" t="e">
        <f>(BR641)/(BR661)*100</f>
        <v>#DIV/0!</v>
      </c>
      <c r="BS634" s="279" t="e">
        <f>(BS641)/(BS661)*100</f>
        <v>#DIV/0!</v>
      </c>
      <c r="BU634" s="279" t="e">
        <f>(BU641)/(BU661)*100</f>
        <v>#DIV/0!</v>
      </c>
      <c r="BV634" s="279" t="e">
        <f>(BV641)/(BV661)*100</f>
        <v>#DIV/0!</v>
      </c>
      <c r="BX634" s="279" t="e">
        <f>(BX641)/(BX661)*100</f>
        <v>#DIV/0!</v>
      </c>
      <c r="BY634" s="279" t="e">
        <f>(BY641)/(BY661)*100</f>
        <v>#DIV/0!</v>
      </c>
      <c r="CA634" s="279" t="e">
        <f>(CA641)/(CA661)*100</f>
        <v>#DIV/0!</v>
      </c>
      <c r="CB634" s="279" t="e">
        <f>(CB641)/(CB661)*100</f>
        <v>#DIV/0!</v>
      </c>
      <c r="CD634" s="279">
        <f>(CD641)/(CD661)*100</f>
        <v>0</v>
      </c>
      <c r="CE634" s="279">
        <f>(CE641)/(CE661)*100</f>
        <v>0</v>
      </c>
      <c r="CG634" s="279" t="e">
        <f>(CG641)/(CG661)*100</f>
        <v>#DIV/0!</v>
      </c>
      <c r="CH634" s="279" t="e">
        <f>(CH641)/(CH661)*100</f>
        <v>#DIV/0!</v>
      </c>
      <c r="CJ634" s="279" t="e">
        <f>(CJ641)/(CJ661)*100</f>
        <v>#DIV/0!</v>
      </c>
      <c r="CK634" s="279" t="e">
        <f>(CK641)/(CK661)*100</f>
        <v>#DIV/0!</v>
      </c>
    </row>
    <row r="635" spans="1:89" x14ac:dyDescent="0.25">
      <c r="A635" s="263"/>
      <c r="B635" s="311" t="s">
        <v>218</v>
      </c>
      <c r="C635" s="107"/>
      <c r="D635" s="95" t="s">
        <v>1112</v>
      </c>
      <c r="E635" s="279">
        <f t="shared" ref="E635:K635" si="1024">(E650+E651)/(E661)*100</f>
        <v>12.12484993997599</v>
      </c>
      <c r="F635" s="279">
        <f t="shared" si="1024"/>
        <v>9.1732729331823339</v>
      </c>
      <c r="G635" s="279">
        <f t="shared" si="1024"/>
        <v>9.1772151898734187</v>
      </c>
      <c r="H635" s="279">
        <f t="shared" si="1024"/>
        <v>12.832929782082324</v>
      </c>
      <c r="I635" s="279">
        <f t="shared" si="1024"/>
        <v>12.197802197802197</v>
      </c>
      <c r="J635" s="279">
        <f t="shared" si="1024"/>
        <v>16.468039003250272</v>
      </c>
      <c r="K635" s="279">
        <f t="shared" si="1024"/>
        <v>17.241379310344829</v>
      </c>
      <c r="L635" s="279" t="e">
        <f t="shared" ref="L635:M635" si="1025">(L650+L651)/(L661)*100</f>
        <v>#DIV/0!</v>
      </c>
      <c r="M635" s="279" t="e">
        <f t="shared" si="1025"/>
        <v>#DIV/0!</v>
      </c>
      <c r="N635" s="279" t="e">
        <f t="shared" ref="N635" si="1026">(N650+N651)/(N661)*100</f>
        <v>#DIV/0!</v>
      </c>
      <c r="O635" s="281"/>
      <c r="Q635" s="279">
        <f>(Q650+Q651)/(Q661)*100</f>
        <v>17.241379310344829</v>
      </c>
      <c r="R635" s="279">
        <f>(R650+R651)/(R661)*100</f>
        <v>18.300653594771241</v>
      </c>
      <c r="S635" s="279" t="e">
        <f>(S650+S651)/(S661)*100</f>
        <v>#DIV/0!</v>
      </c>
      <c r="T635" s="279" t="e">
        <f>(T650+T651)/(T661)*100</f>
        <v>#DIV/0!</v>
      </c>
      <c r="V635" s="279" t="e">
        <f>(V650+V651)/(V661)*100</f>
        <v>#DIV/0!</v>
      </c>
      <c r="W635" s="279" t="e">
        <f>(W650+W651)/(W661)*100</f>
        <v>#DIV/0!</v>
      </c>
      <c r="Y635" s="279" t="e">
        <f>(Y650+Y651)/(Y661)*100</f>
        <v>#DIV/0!</v>
      </c>
      <c r="Z635" s="279" t="e">
        <f>(Z650+Z651)/(Z661)*100</f>
        <v>#DIV/0!</v>
      </c>
      <c r="AB635" s="279" t="e">
        <f>(AB650+AB651)/(AB661)*100</f>
        <v>#DIV/0!</v>
      </c>
      <c r="AC635" s="279" t="e">
        <f>(AC650+AC651)/(AC661)*100</f>
        <v>#DIV/0!</v>
      </c>
      <c r="AE635" s="279" t="e">
        <f>(AE650+AE651)/(AE661)*100</f>
        <v>#DIV/0!</v>
      </c>
      <c r="AF635" s="279" t="e">
        <f>(AF650+AF651)/(AF661)*100</f>
        <v>#DIV/0!</v>
      </c>
      <c r="AH635" s="279" t="e">
        <f>(AH650+AH651)/(AH661)*100</f>
        <v>#DIV/0!</v>
      </c>
      <c r="AI635" s="279" t="e">
        <f>(AI650+AI651)/(AI661)*100</f>
        <v>#DIV/0!</v>
      </c>
      <c r="AK635" s="279" t="e">
        <f>(AK650+AK651)/(AK661)*100</f>
        <v>#DIV/0!</v>
      </c>
      <c r="AL635" s="279" t="e">
        <f>(AL650+AL651)/(AL661)*100</f>
        <v>#DIV/0!</v>
      </c>
      <c r="AN635" s="279" t="e">
        <f>(AN650+AN651)/(AN661)*100</f>
        <v>#DIV/0!</v>
      </c>
      <c r="AO635" s="279" t="e">
        <f>(AO650+AO651)/(AO661)*100</f>
        <v>#DIV/0!</v>
      </c>
      <c r="AQ635" s="279" t="e">
        <f>(AQ650+AQ651)/(AQ661)*100</f>
        <v>#DIV/0!</v>
      </c>
      <c r="AR635" s="279" t="e">
        <f>(AR650+AR651)/(AR661)*100</f>
        <v>#DIV/0!</v>
      </c>
      <c r="AT635" s="279" t="e">
        <f>(AT650+AT651)/(AT661)*100</f>
        <v>#DIV/0!</v>
      </c>
      <c r="AU635" s="279" t="e">
        <f>(AU650+AU651)/(AU661)*100</f>
        <v>#DIV/0!</v>
      </c>
      <c r="AW635" s="279" t="e">
        <f>(AW650+AW651)/(AW661)*100</f>
        <v>#DIV/0!</v>
      </c>
      <c r="AX635" s="279" t="e">
        <f>(AX650+AX651)/(AX661)*100</f>
        <v>#DIV/0!</v>
      </c>
      <c r="AZ635" s="279" t="e">
        <f>(AZ650+AZ651)/(AZ661)*100</f>
        <v>#DIV/0!</v>
      </c>
      <c r="BA635" s="279" t="e">
        <f>(BA650+BA651)/(BA661)*100</f>
        <v>#DIV/0!</v>
      </c>
      <c r="BC635" s="279">
        <f>(BC650+BC651)/(BC661)*100</f>
        <v>12.834224598930483</v>
      </c>
      <c r="BD635" s="279">
        <f>(BD650+BD651)/(BD661)*100</f>
        <v>12.76595744680851</v>
      </c>
      <c r="BF635" s="279">
        <f>(BF650+BF651)/(BF661)*100</f>
        <v>6.4171122994652414</v>
      </c>
      <c r="BG635" s="279">
        <f>(BG650+BG651)/(BG661)*100</f>
        <v>10.05586592178771</v>
      </c>
      <c r="BI635" s="279">
        <f>(BI650+BI651)/(BI661)*100</f>
        <v>21.559633027522938</v>
      </c>
      <c r="BJ635" s="279">
        <f>(BJ650+BJ651)/(BJ661)*100</f>
        <v>22.641509433962266</v>
      </c>
      <c r="BL635" s="279" t="e">
        <f>(BL650+BL651)/(BL661)*100</f>
        <v>#DIV/0!</v>
      </c>
      <c r="BM635" s="279" t="e">
        <f>(BM650+BM651)/(BM661)*100</f>
        <v>#DIV/0!</v>
      </c>
      <c r="BO635" s="279" t="e">
        <f>(BO650+BO651)/(BO661)*100</f>
        <v>#DIV/0!</v>
      </c>
      <c r="BP635" s="279" t="e">
        <f>(BP650+BP651)/(BP661)*100</f>
        <v>#DIV/0!</v>
      </c>
      <c r="BR635" s="279" t="e">
        <f>(BR650+BR651)/(BR661)*100</f>
        <v>#DIV/0!</v>
      </c>
      <c r="BS635" s="279" t="e">
        <f>(BS650+BS651)/(BS661)*100</f>
        <v>#DIV/0!</v>
      </c>
      <c r="BU635" s="279" t="e">
        <f>(BU650+BU651)/(BU661)*100</f>
        <v>#DIV/0!</v>
      </c>
      <c r="BV635" s="279" t="e">
        <f>(BV650+BV651)/(BV661)*100</f>
        <v>#DIV/0!</v>
      </c>
      <c r="BX635" s="279" t="e">
        <f>(BX650+BX651)/(BX661)*100</f>
        <v>#DIV/0!</v>
      </c>
      <c r="BY635" s="279" t="e">
        <f>(BY650+BY651)/(BY661)*100</f>
        <v>#DIV/0!</v>
      </c>
      <c r="CA635" s="279" t="e">
        <f>(CA650+CA651)/(CA661)*100</f>
        <v>#DIV/0!</v>
      </c>
      <c r="CB635" s="279" t="e">
        <f>(CB650+CB651)/(CB661)*100</f>
        <v>#DIV/0!</v>
      </c>
      <c r="CD635" s="279">
        <f>(CD650+CD651)/(CD661)*100</f>
        <v>25.423728813559322</v>
      </c>
      <c r="CE635" s="279">
        <f>(CE650+CE651)/(CE661)*100</f>
        <v>23.622047244094489</v>
      </c>
      <c r="CG635" s="279" t="e">
        <f>(CG650+CG651)/(CG661)*100</f>
        <v>#DIV/0!</v>
      </c>
      <c r="CH635" s="279" t="e">
        <f>(CH650+CH651)/(CH661)*100</f>
        <v>#DIV/0!</v>
      </c>
      <c r="CJ635" s="279" t="e">
        <f>(CJ650+CJ651)/(CJ661)*100</f>
        <v>#DIV/0!</v>
      </c>
      <c r="CK635" s="279" t="e">
        <f>(CK650+CK651)/(CK661)*100</f>
        <v>#DIV/0!</v>
      </c>
    </row>
    <row r="636" spans="1:89" x14ac:dyDescent="0.25">
      <c r="A636" s="263"/>
      <c r="B636" s="96" t="s">
        <v>1183</v>
      </c>
      <c r="C636" s="107"/>
      <c r="D636" s="95"/>
      <c r="E636" s="279"/>
      <c r="F636" s="279"/>
      <c r="G636" s="279"/>
      <c r="H636" s="279">
        <f>(H650)/(H661)*100</f>
        <v>12.832929782082324</v>
      </c>
      <c r="I636" s="279">
        <f>(I650)/(I661)*100</f>
        <v>12.197802197802197</v>
      </c>
      <c r="J636" s="279">
        <f>(J650)/(J661)*100</f>
        <v>16.468039003250272</v>
      </c>
      <c r="K636" s="279">
        <f>(K650)/(K661)*100</f>
        <v>17.241379310344829</v>
      </c>
      <c r="L636" s="279" t="e">
        <f>(L650)/(L661)*100</f>
        <v>#DIV/0!</v>
      </c>
      <c r="M636" s="279" t="e">
        <f t="shared" ref="M636:N636" si="1027">(M650)/(M661)*100</f>
        <v>#DIV/0!</v>
      </c>
      <c r="N636" s="279" t="e">
        <f t="shared" si="1027"/>
        <v>#DIV/0!</v>
      </c>
      <c r="O636" s="281"/>
      <c r="Q636" s="279">
        <f>(Q650)/(Q661)*100</f>
        <v>17.241379310344829</v>
      </c>
      <c r="R636" s="279">
        <f>(R650)/(R661)*100</f>
        <v>18.300653594771241</v>
      </c>
      <c r="S636" s="279" t="e">
        <f>(S650)/(S661)*100</f>
        <v>#DIV/0!</v>
      </c>
      <c r="T636" s="279" t="e">
        <f>(T650)/(T661)*100</f>
        <v>#DIV/0!</v>
      </c>
      <c r="V636" s="279" t="e">
        <f>(V650)/(V661)*100</f>
        <v>#DIV/0!</v>
      </c>
      <c r="W636" s="279" t="e">
        <f>(W650)/(W661)*100</f>
        <v>#DIV/0!</v>
      </c>
      <c r="Y636" s="279" t="e">
        <f>(Y650)/(Y661)*100</f>
        <v>#DIV/0!</v>
      </c>
      <c r="Z636" s="279" t="e">
        <f>(Z650)/(Z661)*100</f>
        <v>#DIV/0!</v>
      </c>
      <c r="AB636" s="279" t="e">
        <f>(AB650)/(AB661)*100</f>
        <v>#DIV/0!</v>
      </c>
      <c r="AC636" s="279" t="e">
        <f>(AC650)/(AC661)*100</f>
        <v>#DIV/0!</v>
      </c>
      <c r="AE636" s="279" t="e">
        <f>(AE650)/(AE661)*100</f>
        <v>#DIV/0!</v>
      </c>
      <c r="AF636" s="279" t="e">
        <f>(AF650)/(AF661)*100</f>
        <v>#DIV/0!</v>
      </c>
      <c r="AH636" s="279" t="e">
        <f>(AH650)/(AH661)*100</f>
        <v>#DIV/0!</v>
      </c>
      <c r="AI636" s="279" t="e">
        <f>(AI650)/(AI661)*100</f>
        <v>#DIV/0!</v>
      </c>
      <c r="AK636" s="279" t="e">
        <f>(AK650)/(AK661)*100</f>
        <v>#DIV/0!</v>
      </c>
      <c r="AL636" s="279" t="e">
        <f>(AL650)/(AL661)*100</f>
        <v>#DIV/0!</v>
      </c>
      <c r="AN636" s="279" t="e">
        <f>(AN650)/(AN661)*100</f>
        <v>#DIV/0!</v>
      </c>
      <c r="AO636" s="279" t="e">
        <f>(AO650)/(AO661)*100</f>
        <v>#DIV/0!</v>
      </c>
      <c r="AQ636" s="279" t="e">
        <f>(AQ650)/(AQ661)*100</f>
        <v>#DIV/0!</v>
      </c>
      <c r="AR636" s="279" t="e">
        <f>(AR650)/(AR661)*100</f>
        <v>#DIV/0!</v>
      </c>
      <c r="AT636" s="279" t="e">
        <f>(AT650)/(AT661)*100</f>
        <v>#DIV/0!</v>
      </c>
      <c r="AU636" s="279" t="e">
        <f>(AU650)/(AU661)*100</f>
        <v>#DIV/0!</v>
      </c>
      <c r="AW636" s="279" t="e">
        <f>(AW650)/(AW661)*100</f>
        <v>#DIV/0!</v>
      </c>
      <c r="AX636" s="279" t="e">
        <f>(AX650)/(AX661)*100</f>
        <v>#DIV/0!</v>
      </c>
      <c r="AZ636" s="279" t="e">
        <f>(AZ650)/(AZ661)*100</f>
        <v>#DIV/0!</v>
      </c>
      <c r="BA636" s="279" t="e">
        <f>(BA650)/(BA661)*100</f>
        <v>#DIV/0!</v>
      </c>
      <c r="BC636" s="279">
        <f>(BC650)/(BC661)*100</f>
        <v>12.834224598930483</v>
      </c>
      <c r="BD636" s="279">
        <f>(BD650)/(BD661)*100</f>
        <v>12.76595744680851</v>
      </c>
      <c r="BF636" s="279">
        <f>(BF650)/(BF661)*100</f>
        <v>6.4171122994652414</v>
      </c>
      <c r="BG636" s="279">
        <f>(BG650)/(BG661)*100</f>
        <v>10.05586592178771</v>
      </c>
      <c r="BI636" s="279">
        <f>(BI650)/(BI661)*100</f>
        <v>21.559633027522938</v>
      </c>
      <c r="BJ636" s="279">
        <f>(BJ650)/(BJ661)*100</f>
        <v>22.641509433962266</v>
      </c>
      <c r="BL636" s="279" t="e">
        <f>(BL650)/(BL661)*100</f>
        <v>#DIV/0!</v>
      </c>
      <c r="BM636" s="279" t="e">
        <f>(BM650)/(BM661)*100</f>
        <v>#DIV/0!</v>
      </c>
      <c r="BO636" s="279" t="e">
        <f>(BO650)/(BO661)*100</f>
        <v>#DIV/0!</v>
      </c>
      <c r="BP636" s="279" t="e">
        <f>(BP650)/(BP661)*100</f>
        <v>#DIV/0!</v>
      </c>
      <c r="BR636" s="279" t="e">
        <f>(BR650)/(BR661)*100</f>
        <v>#DIV/0!</v>
      </c>
      <c r="BS636" s="279" t="e">
        <f>(BS650)/(BS661)*100</f>
        <v>#DIV/0!</v>
      </c>
      <c r="BU636" s="279" t="e">
        <f>(BU650)/(BU661)*100</f>
        <v>#DIV/0!</v>
      </c>
      <c r="BV636" s="279" t="e">
        <f>(BV650)/(BV661)*100</f>
        <v>#DIV/0!</v>
      </c>
      <c r="BX636" s="279" t="e">
        <f>(BX650)/(BX661)*100</f>
        <v>#DIV/0!</v>
      </c>
      <c r="BY636" s="279" t="e">
        <f>(BY650)/(BY661)*100</f>
        <v>#DIV/0!</v>
      </c>
      <c r="CA636" s="279" t="e">
        <f>(CA650)/(CA661)*100</f>
        <v>#DIV/0!</v>
      </c>
      <c r="CB636" s="279" t="e">
        <f>(CB650)/(CB661)*100</f>
        <v>#DIV/0!</v>
      </c>
      <c r="CD636" s="279">
        <f>(CD650)/(CD661)*100</f>
        <v>25.423728813559322</v>
      </c>
      <c r="CE636" s="279">
        <f>(CE650)/(CE661)*100</f>
        <v>23.622047244094489</v>
      </c>
      <c r="CG636" s="279" t="e">
        <f>(CG650)/(CG661)*100</f>
        <v>#DIV/0!</v>
      </c>
      <c r="CH636" s="279" t="e">
        <f>(CH650)/(CH661)*100</f>
        <v>#DIV/0!</v>
      </c>
      <c r="CJ636" s="279" t="e">
        <f>(CJ650)/(CJ661)*100</f>
        <v>#DIV/0!</v>
      </c>
      <c r="CK636" s="279" t="e">
        <f>(CK650)/(CK661)*100</f>
        <v>#DIV/0!</v>
      </c>
    </row>
    <row r="637" spans="1:89" x14ac:dyDescent="0.25">
      <c r="A637" s="263"/>
      <c r="B637" s="16" t="s">
        <v>1185</v>
      </c>
      <c r="C637" s="107"/>
      <c r="D637" s="95"/>
      <c r="E637" s="279"/>
      <c r="F637" s="279"/>
      <c r="G637" s="279"/>
      <c r="H637" s="279">
        <f>(H651)/(H661)*100</f>
        <v>0</v>
      </c>
      <c r="I637" s="279">
        <f>(I651)/(I661)*100</f>
        <v>0</v>
      </c>
      <c r="J637" s="279">
        <f>(J651)/(J661)*100</f>
        <v>0</v>
      </c>
      <c r="K637" s="279">
        <f>(K651)/(K661)*100</f>
        <v>0</v>
      </c>
      <c r="L637" s="279" t="e">
        <f>(L651)/(L661)*100</f>
        <v>#DIV/0!</v>
      </c>
      <c r="M637" s="279" t="e">
        <f t="shared" ref="M637:N637" si="1028">(M651)/(M661)*100</f>
        <v>#DIV/0!</v>
      </c>
      <c r="N637" s="279" t="e">
        <f t="shared" si="1028"/>
        <v>#DIV/0!</v>
      </c>
      <c r="O637" s="281"/>
      <c r="Q637" s="279">
        <f>(Q651)/(Q661)*100</f>
        <v>0</v>
      </c>
      <c r="R637" s="279">
        <f>(R651)/(R661)*100</f>
        <v>0</v>
      </c>
      <c r="S637" s="279" t="e">
        <f>(S651)/(S661)*100</f>
        <v>#DIV/0!</v>
      </c>
      <c r="T637" s="279" t="e">
        <f>(T651)/(T661)*100</f>
        <v>#DIV/0!</v>
      </c>
      <c r="V637" s="279" t="e">
        <f>(V651)/(V661)*100</f>
        <v>#DIV/0!</v>
      </c>
      <c r="W637" s="279" t="e">
        <f>(W651)/(W661)*100</f>
        <v>#DIV/0!</v>
      </c>
      <c r="Y637" s="279" t="e">
        <f>(Y651)/(Y661)*100</f>
        <v>#DIV/0!</v>
      </c>
      <c r="Z637" s="279" t="e">
        <f>(Z651)/(Z661)*100</f>
        <v>#DIV/0!</v>
      </c>
      <c r="AB637" s="279" t="e">
        <f>(AB651)/(AB661)*100</f>
        <v>#DIV/0!</v>
      </c>
      <c r="AC637" s="279" t="e">
        <f>(AC651)/(AC661)*100</f>
        <v>#DIV/0!</v>
      </c>
      <c r="AE637" s="279" t="e">
        <f>(AE651)/(AE661)*100</f>
        <v>#DIV/0!</v>
      </c>
      <c r="AF637" s="279" t="e">
        <f>(AF651)/(AF661)*100</f>
        <v>#DIV/0!</v>
      </c>
      <c r="AH637" s="279" t="e">
        <f>(AH651)/(AH661)*100</f>
        <v>#DIV/0!</v>
      </c>
      <c r="AI637" s="279" t="e">
        <f>(AI651)/(AI661)*100</f>
        <v>#DIV/0!</v>
      </c>
      <c r="AK637" s="279" t="e">
        <f>(AK651)/(AK661)*100</f>
        <v>#DIV/0!</v>
      </c>
      <c r="AL637" s="279" t="e">
        <f>(AL651)/(AL661)*100</f>
        <v>#DIV/0!</v>
      </c>
      <c r="AN637" s="279" t="e">
        <f>(AN651)/(AN661)*100</f>
        <v>#DIV/0!</v>
      </c>
      <c r="AO637" s="279" t="e">
        <f>(AO651)/(AO661)*100</f>
        <v>#DIV/0!</v>
      </c>
      <c r="AQ637" s="279" t="e">
        <f>(AQ651)/(AQ661)*100</f>
        <v>#DIV/0!</v>
      </c>
      <c r="AR637" s="279" t="e">
        <f>(AR651)/(AR661)*100</f>
        <v>#DIV/0!</v>
      </c>
      <c r="AT637" s="279" t="e">
        <f>(AT651)/(AT661)*100</f>
        <v>#DIV/0!</v>
      </c>
      <c r="AU637" s="279" t="e">
        <f>(AU651)/(AU661)*100</f>
        <v>#DIV/0!</v>
      </c>
      <c r="AW637" s="279" t="e">
        <f>(AW651)/(AW661)*100</f>
        <v>#DIV/0!</v>
      </c>
      <c r="AX637" s="279" t="e">
        <f>(AX651)/(AX661)*100</f>
        <v>#DIV/0!</v>
      </c>
      <c r="AZ637" s="279" t="e">
        <f>(AZ651)/(AZ661)*100</f>
        <v>#DIV/0!</v>
      </c>
      <c r="BA637" s="279" t="e">
        <f>(BA651)/(BA661)*100</f>
        <v>#DIV/0!</v>
      </c>
      <c r="BC637" s="279">
        <f>(BC651)/(BC661)*100</f>
        <v>0</v>
      </c>
      <c r="BD637" s="279">
        <f>(BD651)/(BD661)*100</f>
        <v>0</v>
      </c>
      <c r="BF637" s="279">
        <f>(BF651)/(BF661)*100</f>
        <v>0</v>
      </c>
      <c r="BG637" s="279">
        <f>(BG651)/(BG661)*100</f>
        <v>0</v>
      </c>
      <c r="BI637" s="279">
        <f>(BI651)/(BI661)*100</f>
        <v>0</v>
      </c>
      <c r="BJ637" s="279">
        <f>(BJ651)/(BJ661)*100</f>
        <v>0</v>
      </c>
      <c r="BL637" s="279" t="e">
        <f>(BL651)/(BL661)*100</f>
        <v>#DIV/0!</v>
      </c>
      <c r="BM637" s="279" t="e">
        <f>(BM651)/(BM661)*100</f>
        <v>#DIV/0!</v>
      </c>
      <c r="BO637" s="279" t="e">
        <f>(BO651)/(BO661)*100</f>
        <v>#DIV/0!</v>
      </c>
      <c r="BP637" s="279" t="e">
        <f>(BP651)/(BP661)*100</f>
        <v>#DIV/0!</v>
      </c>
      <c r="BR637" s="279" t="e">
        <f>(BR651)/(BR661)*100</f>
        <v>#DIV/0!</v>
      </c>
      <c r="BS637" s="279" t="e">
        <f>(BS651)/(BS661)*100</f>
        <v>#DIV/0!</v>
      </c>
      <c r="BU637" s="279" t="e">
        <f>(BU651)/(BU661)*100</f>
        <v>#DIV/0!</v>
      </c>
      <c r="BV637" s="279" t="e">
        <f>(BV651)/(BV661)*100</f>
        <v>#DIV/0!</v>
      </c>
      <c r="BX637" s="279" t="e">
        <f>(BX651)/(BX661)*100</f>
        <v>#DIV/0!</v>
      </c>
      <c r="BY637" s="279" t="e">
        <f>(BY651)/(BY661)*100</f>
        <v>#DIV/0!</v>
      </c>
      <c r="CA637" s="279" t="e">
        <f>(CA651)/(CA661)*100</f>
        <v>#DIV/0!</v>
      </c>
      <c r="CB637" s="279" t="e">
        <f>(CB651)/(CB661)*100</f>
        <v>#DIV/0!</v>
      </c>
      <c r="CD637" s="279">
        <f>(CD651)/(CD661)*100</f>
        <v>0</v>
      </c>
      <c r="CE637" s="279">
        <f>(CE651)/(CE661)*100</f>
        <v>0</v>
      </c>
      <c r="CG637" s="279" t="e">
        <f>(CG651)/(CG661)*100</f>
        <v>#DIV/0!</v>
      </c>
      <c r="CH637" s="279" t="e">
        <f>(CH651)/(CH661)*100</f>
        <v>#DIV/0!</v>
      </c>
      <c r="CJ637" s="279" t="e">
        <f>(CJ651)/(CJ661)*100</f>
        <v>#DIV/0!</v>
      </c>
      <c r="CK637" s="279" t="e">
        <f>(CK651)/(CK661)*100</f>
        <v>#DIV/0!</v>
      </c>
    </row>
    <row r="638" spans="1:89" ht="30" x14ac:dyDescent="0.25">
      <c r="A638" s="416"/>
      <c r="B638" s="419" t="s">
        <v>209</v>
      </c>
      <c r="C638" s="95" t="s">
        <v>1213</v>
      </c>
      <c r="D638" s="95" t="s">
        <v>1112</v>
      </c>
      <c r="E638" s="282">
        <v>23375</v>
      </c>
      <c r="F638" s="282">
        <v>27646</v>
      </c>
      <c r="G638" s="282">
        <v>29505</v>
      </c>
      <c r="H638" s="282">
        <f t="shared" ref="H638:J639" si="1029">H643</f>
        <v>31752</v>
      </c>
      <c r="I638" s="282">
        <f t="shared" si="1029"/>
        <v>34938</v>
      </c>
      <c r="J638" s="282">
        <f>J643</f>
        <v>36018</v>
      </c>
      <c r="K638" s="282">
        <f>K643</f>
        <v>36974</v>
      </c>
      <c r="L638" s="282">
        <f>L643</f>
        <v>248</v>
      </c>
      <c r="M638" s="282">
        <f>M643</f>
        <v>400</v>
      </c>
      <c r="N638" s="282">
        <f>N643</f>
        <v>397</v>
      </c>
      <c r="Q638" s="282">
        <f t="shared" ref="Q638:T639" si="1030">Q643</f>
        <v>36974</v>
      </c>
      <c r="R638" s="282">
        <f t="shared" si="1030"/>
        <v>40877</v>
      </c>
      <c r="S638" s="282">
        <f t="shared" si="1030"/>
        <v>481</v>
      </c>
      <c r="T638" s="282">
        <f t="shared" si="1030"/>
        <v>577</v>
      </c>
      <c r="V638" s="282">
        <f>V643</f>
        <v>276</v>
      </c>
      <c r="W638" s="282">
        <f>W643</f>
        <v>287</v>
      </c>
      <c r="Y638" s="282">
        <f>Y643</f>
        <v>926</v>
      </c>
      <c r="Z638" s="282">
        <f>Z643</f>
        <v>931</v>
      </c>
      <c r="AB638" s="282">
        <f>AB643</f>
        <v>1194</v>
      </c>
      <c r="AC638" s="282">
        <f>AC643</f>
        <v>1167</v>
      </c>
      <c r="AE638" s="282">
        <f>AE643</f>
        <v>837</v>
      </c>
      <c r="AF638" s="282">
        <f>AF643</f>
        <v>939</v>
      </c>
      <c r="AH638" s="282">
        <f>AH643</f>
        <v>337</v>
      </c>
      <c r="AI638" s="282">
        <f>AI643</f>
        <v>357</v>
      </c>
      <c r="AK638" s="282">
        <f>AK643</f>
        <v>1062</v>
      </c>
      <c r="AL638" s="282">
        <f>AL643</f>
        <v>1184</v>
      </c>
      <c r="AN638" s="282">
        <f>AN643</f>
        <v>2219</v>
      </c>
      <c r="AO638" s="282">
        <f>AO643</f>
        <v>2051</v>
      </c>
      <c r="AQ638" s="282">
        <f>AQ643</f>
        <v>0</v>
      </c>
      <c r="AR638" s="282">
        <f>AR643</f>
        <v>0</v>
      </c>
      <c r="AT638" s="282">
        <f>AT643</f>
        <v>2061</v>
      </c>
      <c r="AU638" s="282">
        <f>AU643</f>
        <v>2075</v>
      </c>
      <c r="AW638" s="282">
        <f>AW643</f>
        <v>661</v>
      </c>
      <c r="AX638" s="282">
        <f>AX643</f>
        <v>680</v>
      </c>
      <c r="AZ638" s="282">
        <f>AZ643</f>
        <v>1149</v>
      </c>
      <c r="BA638" s="282">
        <f>BA643</f>
        <v>1364</v>
      </c>
      <c r="BC638" s="282">
        <f>BC643</f>
        <v>2564</v>
      </c>
      <c r="BD638" s="282">
        <f>BD643</f>
        <v>2761</v>
      </c>
      <c r="BF638" s="282">
        <f>BF643</f>
        <v>6620</v>
      </c>
      <c r="BG638" s="282">
        <f>BG643</f>
        <v>7293</v>
      </c>
      <c r="BI638" s="282">
        <f>BI643</f>
        <v>8963</v>
      </c>
      <c r="BJ638" s="282">
        <f>BJ643</f>
        <v>11005</v>
      </c>
      <c r="BL638" s="282">
        <f>BL643</f>
        <v>788</v>
      </c>
      <c r="BM638" s="282">
        <f>BM643</f>
        <v>809</v>
      </c>
      <c r="BO638" s="282">
        <f>BO643</f>
        <v>1112</v>
      </c>
      <c r="BP638" s="282">
        <f>BP643</f>
        <v>1208</v>
      </c>
      <c r="BR638" s="282">
        <f>BR643</f>
        <v>1928</v>
      </c>
      <c r="BS638" s="282">
        <f>BS643</f>
        <v>2108</v>
      </c>
      <c r="BU638" s="282">
        <f>BU643</f>
        <v>1214</v>
      </c>
      <c r="BV638" s="282">
        <f>BV643</f>
        <v>1237</v>
      </c>
      <c r="BX638" s="282">
        <f>BX643</f>
        <v>483</v>
      </c>
      <c r="BY638" s="282">
        <f>BY643</f>
        <v>503</v>
      </c>
      <c r="CA638" s="282">
        <f>CA643</f>
        <v>650</v>
      </c>
      <c r="CB638" s="282">
        <f>CB643</f>
        <v>682</v>
      </c>
      <c r="CD638" s="282">
        <f>CD643</f>
        <v>548</v>
      </c>
      <c r="CE638" s="282">
        <f>CE643</f>
        <v>706</v>
      </c>
      <c r="CG638" s="282">
        <f>CG643</f>
        <v>901</v>
      </c>
      <c r="CH638" s="282">
        <f>CH643</f>
        <v>953</v>
      </c>
      <c r="CJ638" s="282">
        <f>CJ643</f>
        <v>0</v>
      </c>
      <c r="CK638" s="282">
        <f>CK643</f>
        <v>0</v>
      </c>
    </row>
    <row r="639" spans="1:89" ht="30" x14ac:dyDescent="0.25">
      <c r="A639" s="417"/>
      <c r="B639" s="420"/>
      <c r="C639" s="95" t="s">
        <v>1214</v>
      </c>
      <c r="D639" s="95" t="s">
        <v>1112</v>
      </c>
      <c r="E639" s="282">
        <v>5726</v>
      </c>
      <c r="F639" s="282">
        <v>6522</v>
      </c>
      <c r="G639" s="282">
        <v>6989</v>
      </c>
      <c r="H639" s="282">
        <f t="shared" si="1029"/>
        <v>7637</v>
      </c>
      <c r="I639" s="282">
        <f t="shared" si="1029"/>
        <v>8096</v>
      </c>
      <c r="J639" s="282">
        <f t="shared" si="1029"/>
        <v>8069</v>
      </c>
      <c r="K639" s="282">
        <f>K644</f>
        <v>8148</v>
      </c>
      <c r="L639" s="282">
        <f>L644</f>
        <v>701</v>
      </c>
      <c r="M639" s="282">
        <f>M644</f>
        <v>1019</v>
      </c>
      <c r="N639" s="282">
        <f>N644</f>
        <v>977</v>
      </c>
      <c r="Q639" s="282">
        <f t="shared" si="1030"/>
        <v>8148</v>
      </c>
      <c r="R639" s="282">
        <f t="shared" si="1030"/>
        <v>8449</v>
      </c>
      <c r="S639" s="282">
        <f t="shared" si="1030"/>
        <v>338</v>
      </c>
      <c r="T639" s="282">
        <f t="shared" si="1030"/>
        <v>339</v>
      </c>
      <c r="V639" s="282">
        <f>V644</f>
        <v>321</v>
      </c>
      <c r="W639" s="282">
        <f>W644</f>
        <v>339</v>
      </c>
      <c r="Y639" s="282">
        <f>Y644</f>
        <v>1359</v>
      </c>
      <c r="Z639" s="282">
        <f>Z644</f>
        <v>1421</v>
      </c>
      <c r="AB639" s="282">
        <f>AB644</f>
        <v>1572</v>
      </c>
      <c r="AC639" s="282">
        <f>AC644</f>
        <v>1492</v>
      </c>
      <c r="AE639" s="282">
        <f>AE644</f>
        <v>390</v>
      </c>
      <c r="AF639" s="282">
        <f>AF644</f>
        <v>393</v>
      </c>
      <c r="AH639" s="282">
        <f>AH644</f>
        <v>879</v>
      </c>
      <c r="AI639" s="282">
        <f>AI644</f>
        <v>974</v>
      </c>
      <c r="AK639" s="282">
        <f>AK644</f>
        <v>66</v>
      </c>
      <c r="AL639" s="282">
        <f>AL644</f>
        <v>68</v>
      </c>
      <c r="AN639" s="282">
        <f>AN644</f>
        <v>1376</v>
      </c>
      <c r="AO639" s="282">
        <f>AO644</f>
        <v>1498</v>
      </c>
      <c r="AQ639" s="282">
        <f>AQ644</f>
        <v>1738</v>
      </c>
      <c r="AR639" s="282">
        <f>AR644</f>
        <v>1812</v>
      </c>
      <c r="AT639" s="282">
        <f>AT644</f>
        <v>0</v>
      </c>
      <c r="AU639" s="282">
        <f>AU644</f>
        <v>0</v>
      </c>
      <c r="AW639" s="282">
        <f>AW644</f>
        <v>0</v>
      </c>
      <c r="AX639" s="282">
        <f>AX644</f>
        <v>0</v>
      </c>
      <c r="AZ639" s="282">
        <f>AZ644</f>
        <v>0</v>
      </c>
      <c r="BA639" s="282">
        <f>BA644</f>
        <v>0</v>
      </c>
      <c r="BC639" s="282">
        <f>BC644</f>
        <v>0</v>
      </c>
      <c r="BD639" s="282">
        <f>BD644</f>
        <v>0</v>
      </c>
      <c r="BF639" s="282">
        <f>BF644</f>
        <v>0</v>
      </c>
      <c r="BG639" s="282">
        <f>BG644</f>
        <v>0</v>
      </c>
      <c r="BI639" s="282">
        <f>BI644</f>
        <v>0</v>
      </c>
      <c r="BJ639" s="282">
        <f>BJ644</f>
        <v>0</v>
      </c>
      <c r="BL639" s="282">
        <f>BL644</f>
        <v>0</v>
      </c>
      <c r="BM639" s="282">
        <f>BM644</f>
        <v>0</v>
      </c>
      <c r="BO639" s="282">
        <f>BO644</f>
        <v>0</v>
      </c>
      <c r="BP639" s="282">
        <f>BP644</f>
        <v>0</v>
      </c>
      <c r="BR639" s="282">
        <f>BR644</f>
        <v>0</v>
      </c>
      <c r="BS639" s="282">
        <f>BS644</f>
        <v>0</v>
      </c>
      <c r="BU639" s="282">
        <f>BU644</f>
        <v>0</v>
      </c>
      <c r="BV639" s="282">
        <f>BV644</f>
        <v>0</v>
      </c>
      <c r="BX639" s="282">
        <f>BX644</f>
        <v>0</v>
      </c>
      <c r="BY639" s="282">
        <f>BY644</f>
        <v>0</v>
      </c>
      <c r="CA639" s="282">
        <f>CA644</f>
        <v>0</v>
      </c>
      <c r="CB639" s="282">
        <f>CB644</f>
        <v>0</v>
      </c>
      <c r="CD639" s="282">
        <f>CD644</f>
        <v>0</v>
      </c>
      <c r="CE639" s="282">
        <f>CE644</f>
        <v>0</v>
      </c>
      <c r="CG639" s="282">
        <f>CG644</f>
        <v>109</v>
      </c>
      <c r="CH639" s="282">
        <f>CH644</f>
        <v>113</v>
      </c>
      <c r="CJ639" s="282">
        <f>CJ644</f>
        <v>0</v>
      </c>
      <c r="CK639" s="282">
        <f>CK644</f>
        <v>0</v>
      </c>
    </row>
    <row r="640" spans="1:89" ht="30" x14ac:dyDescent="0.25">
      <c r="A640" s="417"/>
      <c r="B640" s="420"/>
      <c r="C640" s="95" t="s">
        <v>1215</v>
      </c>
      <c r="D640" s="95" t="s">
        <v>1112</v>
      </c>
      <c r="E640" s="282">
        <v>111</v>
      </c>
      <c r="F640" s="282">
        <v>100</v>
      </c>
      <c r="G640" s="282">
        <v>101</v>
      </c>
      <c r="H640" s="282">
        <f t="shared" ref="H640:J641" si="1031">H646</f>
        <v>124</v>
      </c>
      <c r="I640" s="282">
        <f t="shared" si="1031"/>
        <v>129</v>
      </c>
      <c r="J640" s="282">
        <f t="shared" si="1031"/>
        <v>152</v>
      </c>
      <c r="K640" s="282">
        <f>K646</f>
        <v>160</v>
      </c>
      <c r="L640" s="282">
        <f>L646</f>
        <v>0</v>
      </c>
      <c r="M640" s="282">
        <f t="shared" ref="M640:N641" si="1032">M646</f>
        <v>0</v>
      </c>
      <c r="N640" s="282">
        <f t="shared" si="1032"/>
        <v>0</v>
      </c>
      <c r="Q640" s="282">
        <f t="shared" ref="Q640:T641" si="1033">Q646</f>
        <v>160</v>
      </c>
      <c r="R640" s="282">
        <f t="shared" si="1033"/>
        <v>168</v>
      </c>
      <c r="S640" s="282">
        <f t="shared" si="1033"/>
        <v>0</v>
      </c>
      <c r="T640" s="282">
        <f t="shared" si="1033"/>
        <v>0</v>
      </c>
      <c r="V640" s="282">
        <f>V646</f>
        <v>0</v>
      </c>
      <c r="W640" s="282">
        <f>W646</f>
        <v>0</v>
      </c>
      <c r="Y640" s="282">
        <f>Y646</f>
        <v>0</v>
      </c>
      <c r="Z640" s="282">
        <f>Z646</f>
        <v>0</v>
      </c>
      <c r="AB640" s="282">
        <f>AB646</f>
        <v>0</v>
      </c>
      <c r="AC640" s="282">
        <f>AC646</f>
        <v>0</v>
      </c>
      <c r="AE640" s="282">
        <f>AE646</f>
        <v>0</v>
      </c>
      <c r="AF640" s="282">
        <f>AF646</f>
        <v>0</v>
      </c>
      <c r="AH640" s="282">
        <f>AH646</f>
        <v>0</v>
      </c>
      <c r="AI640" s="282">
        <f>AI646</f>
        <v>0</v>
      </c>
      <c r="AK640" s="282">
        <f>AK646</f>
        <v>0</v>
      </c>
      <c r="AL640" s="282">
        <f>AL646</f>
        <v>0</v>
      </c>
      <c r="AN640" s="282">
        <f>AN646</f>
        <v>0</v>
      </c>
      <c r="AO640" s="282">
        <f>AO646</f>
        <v>0</v>
      </c>
      <c r="AQ640" s="282">
        <f>AQ646</f>
        <v>0</v>
      </c>
      <c r="AR640" s="282">
        <f>AR646</f>
        <v>0</v>
      </c>
      <c r="AT640" s="282">
        <f>AT646</f>
        <v>0</v>
      </c>
      <c r="AU640" s="282">
        <f>AU646</f>
        <v>0</v>
      </c>
      <c r="AW640" s="282">
        <f>AW646</f>
        <v>0</v>
      </c>
      <c r="AX640" s="282">
        <f>AX646</f>
        <v>0</v>
      </c>
      <c r="AZ640" s="282">
        <f>AZ646</f>
        <v>0</v>
      </c>
      <c r="BA640" s="282">
        <f>BA646</f>
        <v>0</v>
      </c>
      <c r="BC640" s="282">
        <f>BC646</f>
        <v>24</v>
      </c>
      <c r="BD640" s="282">
        <f>BD646</f>
        <v>24</v>
      </c>
      <c r="BF640" s="282">
        <f>BF646</f>
        <v>12</v>
      </c>
      <c r="BG640" s="282">
        <f>BG646</f>
        <v>18</v>
      </c>
      <c r="BI640" s="282">
        <f>BI646</f>
        <v>94</v>
      </c>
      <c r="BJ640" s="282">
        <f>BJ646</f>
        <v>96</v>
      </c>
      <c r="BL640" s="282">
        <f>BL646</f>
        <v>0</v>
      </c>
      <c r="BM640" s="282">
        <f>BM646</f>
        <v>0</v>
      </c>
      <c r="BO640" s="282">
        <f>BO646</f>
        <v>0</v>
      </c>
      <c r="BP640" s="282">
        <f>BP646</f>
        <v>0</v>
      </c>
      <c r="BR640" s="282">
        <f>BR646</f>
        <v>0</v>
      </c>
      <c r="BS640" s="282">
        <f>BS646</f>
        <v>0</v>
      </c>
      <c r="BU640" s="282">
        <f>BU646</f>
        <v>0</v>
      </c>
      <c r="BV640" s="282">
        <f>BV646</f>
        <v>0</v>
      </c>
      <c r="BX640" s="282">
        <f>BX646</f>
        <v>0</v>
      </c>
      <c r="BY640" s="282">
        <f>BY646</f>
        <v>0</v>
      </c>
      <c r="CA640" s="282">
        <f>CA646</f>
        <v>0</v>
      </c>
      <c r="CB640" s="282">
        <f>CB646</f>
        <v>0</v>
      </c>
      <c r="CD640" s="282">
        <f>CD646</f>
        <v>30</v>
      </c>
      <c r="CE640" s="282">
        <f>CE646</f>
        <v>30</v>
      </c>
      <c r="CG640" s="282">
        <f>CG646</f>
        <v>0</v>
      </c>
      <c r="CH640" s="282">
        <f>CH646</f>
        <v>0</v>
      </c>
      <c r="CJ640" s="282">
        <f>CJ646</f>
        <v>0</v>
      </c>
      <c r="CK640" s="282">
        <f>CK646</f>
        <v>0</v>
      </c>
    </row>
    <row r="641" spans="1:89" ht="30" x14ac:dyDescent="0.25">
      <c r="A641" s="418"/>
      <c r="B641" s="421"/>
      <c r="C641" s="95" t="s">
        <v>1216</v>
      </c>
      <c r="D641" s="95" t="s">
        <v>1112</v>
      </c>
      <c r="E641" s="282">
        <v>0</v>
      </c>
      <c r="F641" s="282">
        <v>0</v>
      </c>
      <c r="G641" s="282">
        <v>0</v>
      </c>
      <c r="H641" s="282">
        <f t="shared" si="1031"/>
        <v>0</v>
      </c>
      <c r="I641" s="282">
        <f t="shared" si="1031"/>
        <v>0</v>
      </c>
      <c r="J641" s="282">
        <f t="shared" si="1031"/>
        <v>0</v>
      </c>
      <c r="K641" s="282">
        <f>K647</f>
        <v>0</v>
      </c>
      <c r="L641" s="282">
        <f>L647</f>
        <v>0</v>
      </c>
      <c r="M641" s="282">
        <f t="shared" si="1032"/>
        <v>0</v>
      </c>
      <c r="N641" s="282">
        <f t="shared" si="1032"/>
        <v>0</v>
      </c>
      <c r="Q641" s="282">
        <f t="shared" si="1033"/>
        <v>0</v>
      </c>
      <c r="R641" s="282">
        <f t="shared" si="1033"/>
        <v>0</v>
      </c>
      <c r="S641" s="282">
        <f t="shared" si="1033"/>
        <v>0</v>
      </c>
      <c r="T641" s="282">
        <f t="shared" si="1033"/>
        <v>0</v>
      </c>
      <c r="V641" s="282">
        <f>V647</f>
        <v>0</v>
      </c>
      <c r="W641" s="282">
        <f>W647</f>
        <v>0</v>
      </c>
      <c r="Y641" s="282">
        <f>Y647</f>
        <v>0</v>
      </c>
      <c r="Z641" s="282">
        <f>Z647</f>
        <v>0</v>
      </c>
      <c r="AB641" s="282">
        <f>AB647</f>
        <v>0</v>
      </c>
      <c r="AC641" s="282">
        <f>AC647</f>
        <v>0</v>
      </c>
      <c r="AE641" s="282">
        <f>AE647</f>
        <v>0</v>
      </c>
      <c r="AF641" s="282">
        <f>AF647</f>
        <v>0</v>
      </c>
      <c r="AH641" s="282">
        <f>AH647</f>
        <v>0</v>
      </c>
      <c r="AI641" s="282">
        <f>AI647</f>
        <v>0</v>
      </c>
      <c r="AK641" s="282">
        <f>AK647</f>
        <v>0</v>
      </c>
      <c r="AL641" s="282">
        <f>AL647</f>
        <v>0</v>
      </c>
      <c r="AN641" s="282">
        <f>AN647</f>
        <v>0</v>
      </c>
      <c r="AO641" s="282">
        <f>AO647</f>
        <v>0</v>
      </c>
      <c r="AQ641" s="282">
        <f>AQ647</f>
        <v>0</v>
      </c>
      <c r="AR641" s="282">
        <f>AR647</f>
        <v>0</v>
      </c>
      <c r="AT641" s="282">
        <f>AT647</f>
        <v>0</v>
      </c>
      <c r="AU641" s="282">
        <f>AU647</f>
        <v>0</v>
      </c>
      <c r="AW641" s="282">
        <f>AW647</f>
        <v>0</v>
      </c>
      <c r="AX641" s="282">
        <f>AX647</f>
        <v>0</v>
      </c>
      <c r="AZ641" s="282">
        <f>AZ647</f>
        <v>0</v>
      </c>
      <c r="BA641" s="282">
        <f>BA647</f>
        <v>0</v>
      </c>
      <c r="BC641" s="282">
        <f>BC647</f>
        <v>0</v>
      </c>
      <c r="BD641" s="282">
        <f>BD647</f>
        <v>0</v>
      </c>
      <c r="BF641" s="282">
        <f>BF647</f>
        <v>0</v>
      </c>
      <c r="BG641" s="282">
        <f>BG647</f>
        <v>0</v>
      </c>
      <c r="BI641" s="282">
        <f>BI647</f>
        <v>0</v>
      </c>
      <c r="BJ641" s="282">
        <f>BJ647</f>
        <v>0</v>
      </c>
      <c r="BL641" s="282">
        <f>BL647</f>
        <v>0</v>
      </c>
      <c r="BM641" s="282">
        <f>BM647</f>
        <v>0</v>
      </c>
      <c r="BO641" s="282">
        <f>BO647</f>
        <v>0</v>
      </c>
      <c r="BP641" s="282">
        <f>BP647</f>
        <v>0</v>
      </c>
      <c r="BR641" s="282">
        <f>BR647</f>
        <v>0</v>
      </c>
      <c r="BS641" s="282">
        <f>BS647</f>
        <v>0</v>
      </c>
      <c r="BU641" s="282">
        <f>BU647</f>
        <v>0</v>
      </c>
      <c r="BV641" s="282">
        <f>BV647</f>
        <v>0</v>
      </c>
      <c r="BX641" s="282">
        <f>BX647</f>
        <v>0</v>
      </c>
      <c r="BY641" s="282">
        <f>BY647</f>
        <v>0</v>
      </c>
      <c r="CA641" s="282">
        <f>CA647</f>
        <v>0</v>
      </c>
      <c r="CB641" s="282">
        <f>CB647</f>
        <v>0</v>
      </c>
      <c r="CD641" s="282">
        <f>CD647</f>
        <v>0</v>
      </c>
      <c r="CE641" s="282">
        <f>CE647</f>
        <v>0</v>
      </c>
      <c r="CG641" s="282">
        <f>CG647</f>
        <v>0</v>
      </c>
      <c r="CH641" s="282">
        <f>CH647</f>
        <v>0</v>
      </c>
      <c r="CJ641" s="282">
        <f>CJ647</f>
        <v>0</v>
      </c>
      <c r="CK641" s="282">
        <f>CK647</f>
        <v>0</v>
      </c>
    </row>
    <row r="642" spans="1:89" x14ac:dyDescent="0.25">
      <c r="A642" s="264"/>
      <c r="B642" s="262" t="s">
        <v>1182</v>
      </c>
      <c r="C642" s="95"/>
      <c r="D642" s="95"/>
      <c r="E642" s="282"/>
      <c r="F642" s="282"/>
      <c r="G642" s="282"/>
      <c r="H642" s="282">
        <f>H643+H644</f>
        <v>39389</v>
      </c>
      <c r="I642" s="282">
        <f>I643+I644</f>
        <v>43034</v>
      </c>
      <c r="J642" s="282">
        <f>J643+J644</f>
        <v>44087</v>
      </c>
      <c r="K642" s="282">
        <f>K643+K644</f>
        <v>45122</v>
      </c>
      <c r="L642" s="282">
        <f>L643+L644</f>
        <v>949</v>
      </c>
      <c r="M642" s="282">
        <f t="shared" ref="M642:N642" si="1034">M643+M644</f>
        <v>1419</v>
      </c>
      <c r="N642" s="282">
        <f t="shared" si="1034"/>
        <v>1374</v>
      </c>
    </row>
    <row r="643" spans="1:89" ht="30" x14ac:dyDescent="0.25">
      <c r="A643" s="264"/>
      <c r="B643" s="312"/>
      <c r="C643" s="312" t="s">
        <v>1503</v>
      </c>
      <c r="D643" s="95"/>
      <c r="E643" s="282"/>
      <c r="F643" s="282"/>
      <c r="G643" s="282"/>
      <c r="H643" s="282">
        <v>31752</v>
      </c>
      <c r="I643" s="282">
        <v>34938</v>
      </c>
      <c r="J643" s="282">
        <v>36018</v>
      </c>
      <c r="K643" s="282">
        <v>36974</v>
      </c>
      <c r="L643" s="282">
        <v>248</v>
      </c>
      <c r="M643" s="282">
        <v>400</v>
      </c>
      <c r="N643" s="282">
        <v>397</v>
      </c>
      <c r="O643" s="286"/>
      <c r="P643" s="286"/>
      <c r="Q643" s="286">
        <f>S643+V643+Y643+AB643+AE643+AH643+AK643+AN643+AQ643+AT643+AW643+AZ643+BC643+BF643+BI643+BL643+BO643+BR643+BU643+BX643+CA643+CD643+CG643+CJ643</f>
        <v>36974</v>
      </c>
      <c r="R643" s="286">
        <f>T643+W643+Z643+AC643+AF643+AI643+AL643+AO643+AR643+AU643+AX643+BA643+BD643+BG643+BJ643+BM643+BP643+BS643+BV643+BY643+CB643+CE643+CH643+CK643</f>
        <v>40877</v>
      </c>
      <c r="S643" s="286">
        <v>481</v>
      </c>
      <c r="T643" s="286">
        <v>577</v>
      </c>
      <c r="U643" s="286"/>
      <c r="V643" s="286">
        <v>276</v>
      </c>
      <c r="W643" s="286">
        <v>287</v>
      </c>
      <c r="X643" s="286"/>
      <c r="Y643" s="286">
        <v>926</v>
      </c>
      <c r="Z643" s="286">
        <v>931</v>
      </c>
      <c r="AA643" s="286"/>
      <c r="AB643" s="286">
        <v>1194</v>
      </c>
      <c r="AC643" s="286">
        <v>1167</v>
      </c>
      <c r="AD643" s="286"/>
      <c r="AE643" s="286">
        <v>837</v>
      </c>
      <c r="AF643" s="286">
        <v>939</v>
      </c>
      <c r="AG643" s="286"/>
      <c r="AH643" s="286">
        <v>337</v>
      </c>
      <c r="AI643" s="286">
        <v>357</v>
      </c>
      <c r="AJ643" s="286"/>
      <c r="AK643" s="286">
        <v>1062</v>
      </c>
      <c r="AL643" s="286">
        <v>1184</v>
      </c>
      <c r="AM643" s="286"/>
      <c r="AN643" s="286">
        <v>2219</v>
      </c>
      <c r="AO643" s="286">
        <v>2051</v>
      </c>
      <c r="AP643" s="286"/>
      <c r="AQ643" s="286">
        <v>0</v>
      </c>
      <c r="AR643" s="286">
        <v>0</v>
      </c>
      <c r="AS643" s="286"/>
      <c r="AT643" s="286">
        <v>2061</v>
      </c>
      <c r="AU643" s="286">
        <v>2075</v>
      </c>
      <c r="AV643" s="286"/>
      <c r="AW643" s="286">
        <v>661</v>
      </c>
      <c r="AX643" s="286">
        <v>680</v>
      </c>
      <c r="AY643" s="286"/>
      <c r="AZ643" s="286">
        <v>1149</v>
      </c>
      <c r="BA643" s="286">
        <v>1364</v>
      </c>
      <c r="BB643" s="286"/>
      <c r="BC643" s="286">
        <v>2564</v>
      </c>
      <c r="BD643" s="286">
        <v>2761</v>
      </c>
      <c r="BE643" s="286"/>
      <c r="BF643" s="286">
        <v>6620</v>
      </c>
      <c r="BG643" s="286">
        <v>7293</v>
      </c>
      <c r="BH643" s="286"/>
      <c r="BI643" s="286">
        <v>8963</v>
      </c>
      <c r="BJ643" s="286">
        <v>11005</v>
      </c>
      <c r="BK643" s="286"/>
      <c r="BL643" s="286">
        <v>788</v>
      </c>
      <c r="BM643" s="286">
        <v>809</v>
      </c>
      <c r="BN643" s="286"/>
      <c r="BO643" s="286">
        <v>1112</v>
      </c>
      <c r="BP643" s="286">
        <v>1208</v>
      </c>
      <c r="BQ643" s="286"/>
      <c r="BR643" s="286">
        <v>1928</v>
      </c>
      <c r="BS643" s="286">
        <v>2108</v>
      </c>
      <c r="BT643" s="286"/>
      <c r="BU643" s="286">
        <v>1214</v>
      </c>
      <c r="BV643" s="286">
        <v>1237</v>
      </c>
      <c r="BW643" s="286"/>
      <c r="BX643" s="286">
        <v>483</v>
      </c>
      <c r="BY643" s="286">
        <v>503</v>
      </c>
      <c r="BZ643" s="286"/>
      <c r="CA643" s="286">
        <v>650</v>
      </c>
      <c r="CB643" s="286">
        <v>682</v>
      </c>
      <c r="CC643" s="286"/>
      <c r="CD643" s="286">
        <v>548</v>
      </c>
      <c r="CE643" s="286">
        <v>706</v>
      </c>
      <c r="CF643" s="286"/>
      <c r="CG643" s="286">
        <v>901</v>
      </c>
      <c r="CH643" s="286">
        <v>953</v>
      </c>
      <c r="CI643" s="286"/>
      <c r="CJ643" s="286">
        <v>0</v>
      </c>
      <c r="CK643" s="286">
        <v>0</v>
      </c>
    </row>
    <row r="644" spans="1:89" ht="30" x14ac:dyDescent="0.25">
      <c r="A644" s="264"/>
      <c r="B644" s="312"/>
      <c r="C644" s="312" t="s">
        <v>1503</v>
      </c>
      <c r="D644" s="95"/>
      <c r="E644" s="282"/>
      <c r="F644" s="282"/>
      <c r="G644" s="282"/>
      <c r="H644" s="282">
        <v>7637</v>
      </c>
      <c r="I644" s="282">
        <v>8096</v>
      </c>
      <c r="J644" s="282">
        <v>8069</v>
      </c>
      <c r="K644" s="282">
        <v>8148</v>
      </c>
      <c r="L644" s="282">
        <v>701</v>
      </c>
      <c r="M644" s="282">
        <v>1019</v>
      </c>
      <c r="N644" s="282">
        <v>977</v>
      </c>
      <c r="Q644" s="286">
        <f>S644+V644+Y644+AB644+AE644+AH644+AK644+AN644+AQ644+AT644+AW644+AZ644+BC644+BF644+BI644+BL644+BO644+BR644+BU644+BX644+CA644+CD644+CG644+CJ644</f>
        <v>8148</v>
      </c>
      <c r="R644" s="286">
        <f>T644+W644+Z644+AC644+AF644+AI644+AL644+AO644+AR644+AU644+AX644+BA644+BD644+BG644+BJ644+BM644+BP644+BS644+BV644+BY644+CB644+CE644+CH644+CK644</f>
        <v>8449</v>
      </c>
      <c r="S644" s="286">
        <v>338</v>
      </c>
      <c r="T644" s="286">
        <v>339</v>
      </c>
      <c r="U644" s="286"/>
      <c r="V644" s="286">
        <v>321</v>
      </c>
      <c r="W644" s="286">
        <v>339</v>
      </c>
      <c r="X644" s="286"/>
      <c r="Y644" s="286">
        <v>1359</v>
      </c>
      <c r="Z644" s="286">
        <v>1421</v>
      </c>
      <c r="AA644" s="286"/>
      <c r="AB644" s="286">
        <v>1572</v>
      </c>
      <c r="AC644" s="286">
        <v>1492</v>
      </c>
      <c r="AD644" s="286"/>
      <c r="AE644" s="286">
        <v>390</v>
      </c>
      <c r="AF644" s="286">
        <v>393</v>
      </c>
      <c r="AG644" s="286"/>
      <c r="AH644" s="286">
        <v>879</v>
      </c>
      <c r="AI644" s="286">
        <v>974</v>
      </c>
      <c r="AJ644" s="286"/>
      <c r="AK644" s="286">
        <v>66</v>
      </c>
      <c r="AL644" s="286">
        <v>68</v>
      </c>
      <c r="AM644" s="286"/>
      <c r="AN644" s="286">
        <v>1376</v>
      </c>
      <c r="AO644" s="286">
        <v>1498</v>
      </c>
      <c r="AP644" s="286"/>
      <c r="AQ644" s="286">
        <v>1738</v>
      </c>
      <c r="AR644" s="286">
        <v>1812</v>
      </c>
      <c r="AS644" s="286"/>
      <c r="AT644" s="286">
        <v>0</v>
      </c>
      <c r="AU644" s="286">
        <v>0</v>
      </c>
      <c r="AV644" s="286"/>
      <c r="AW644" s="286">
        <v>0</v>
      </c>
      <c r="AX644" s="286">
        <v>0</v>
      </c>
      <c r="AY644" s="286"/>
      <c r="AZ644" s="286">
        <v>0</v>
      </c>
      <c r="BA644" s="286">
        <v>0</v>
      </c>
      <c r="BB644" s="286"/>
      <c r="BC644" s="286">
        <v>0</v>
      </c>
      <c r="BD644" s="286">
        <v>0</v>
      </c>
      <c r="BE644" s="286"/>
      <c r="BF644" s="286">
        <v>0</v>
      </c>
      <c r="BG644" s="286">
        <v>0</v>
      </c>
      <c r="BH644" s="286"/>
      <c r="BI644" s="286">
        <v>0</v>
      </c>
      <c r="BJ644" s="286">
        <v>0</v>
      </c>
      <c r="BK644" s="286"/>
      <c r="BL644" s="286">
        <v>0</v>
      </c>
      <c r="BM644" s="286">
        <v>0</v>
      </c>
      <c r="BN644" s="286"/>
      <c r="BO644" s="286">
        <v>0</v>
      </c>
      <c r="BP644" s="286">
        <v>0</v>
      </c>
      <c r="BQ644" s="286"/>
      <c r="BR644" s="286">
        <v>0</v>
      </c>
      <c r="BS644" s="286">
        <v>0</v>
      </c>
      <c r="BT644" s="286"/>
      <c r="BU644" s="286">
        <v>0</v>
      </c>
      <c r="BV644" s="286">
        <v>0</v>
      </c>
      <c r="BW644" s="286"/>
      <c r="BX644" s="286">
        <v>0</v>
      </c>
      <c r="BY644" s="286">
        <v>0</v>
      </c>
      <c r="BZ644" s="286"/>
      <c r="CA644" s="286">
        <v>0</v>
      </c>
      <c r="CB644" s="286">
        <v>0</v>
      </c>
      <c r="CC644" s="286"/>
      <c r="CD644" s="286">
        <v>0</v>
      </c>
      <c r="CE644" s="286">
        <v>0</v>
      </c>
      <c r="CF644" s="286"/>
      <c r="CG644" s="286">
        <v>109</v>
      </c>
      <c r="CH644" s="286">
        <v>113</v>
      </c>
      <c r="CI644" s="286"/>
      <c r="CJ644" s="286">
        <v>0</v>
      </c>
      <c r="CK644" s="286">
        <v>0</v>
      </c>
    </row>
    <row r="645" spans="1:89" x14ac:dyDescent="0.25">
      <c r="A645" s="264"/>
      <c r="B645" s="332" t="s">
        <v>1184</v>
      </c>
      <c r="C645" s="95"/>
      <c r="D645" s="95"/>
      <c r="E645" s="282"/>
      <c r="F645" s="282"/>
      <c r="G645" s="282"/>
      <c r="H645" s="282">
        <f>H646+H647</f>
        <v>124</v>
      </c>
      <c r="I645" s="282">
        <f>I646+I647</f>
        <v>129</v>
      </c>
      <c r="J645" s="282">
        <f>J646+J647</f>
        <v>152</v>
      </c>
      <c r="K645" s="282">
        <f>K646+K647</f>
        <v>160</v>
      </c>
      <c r="L645" s="282">
        <f>L646+L647</f>
        <v>0</v>
      </c>
      <c r="M645" s="282">
        <f t="shared" ref="M645:N645" si="1035">M646+M647</f>
        <v>0</v>
      </c>
      <c r="N645" s="282">
        <f t="shared" si="1035"/>
        <v>0</v>
      </c>
      <c r="Q645" s="286"/>
      <c r="R645" s="286"/>
      <c r="S645" s="286"/>
      <c r="T645" s="286"/>
      <c r="U645" s="286"/>
      <c r="V645" s="286"/>
      <c r="W645" s="286"/>
      <c r="X645" s="286"/>
      <c r="Y645" s="286"/>
      <c r="Z645" s="286"/>
      <c r="AA645" s="286"/>
      <c r="AB645" s="286"/>
      <c r="AC645" s="286"/>
      <c r="AD645" s="286"/>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86"/>
      <c r="BT645" s="286"/>
      <c r="BU645" s="286"/>
      <c r="BV645" s="286"/>
      <c r="BW645" s="286"/>
      <c r="BX645" s="286"/>
      <c r="BY645" s="286"/>
      <c r="BZ645" s="286"/>
      <c r="CA645" s="286"/>
      <c r="CB645" s="286"/>
      <c r="CC645" s="286"/>
      <c r="CD645" s="286"/>
      <c r="CE645" s="286"/>
      <c r="CF645" s="286"/>
      <c r="CG645" s="286"/>
      <c r="CH645" s="286"/>
      <c r="CI645" s="286"/>
      <c r="CJ645" s="286"/>
      <c r="CK645" s="286"/>
    </row>
    <row r="646" spans="1:89" ht="30" x14ac:dyDescent="0.25">
      <c r="A646" s="264"/>
      <c r="B646" s="312"/>
      <c r="C646" s="312" t="s">
        <v>1503</v>
      </c>
      <c r="D646" s="95"/>
      <c r="E646" s="282"/>
      <c r="F646" s="282"/>
      <c r="G646" s="282"/>
      <c r="H646" s="282">
        <v>124</v>
      </c>
      <c r="I646" s="282">
        <v>129</v>
      </c>
      <c r="J646" s="282">
        <v>152</v>
      </c>
      <c r="K646" s="282">
        <v>160</v>
      </c>
      <c r="L646" s="282">
        <v>0</v>
      </c>
      <c r="M646" s="282">
        <v>0</v>
      </c>
      <c r="N646" s="282">
        <v>0</v>
      </c>
      <c r="Q646" s="286">
        <f>S646+V646+Y646+AB646+AE646+AH646+AK646+AN646+AQ646+AT646+AW646+AZ646+BC646+BF646+BI646+BL646+BO646+BR646+BU646+BX646+CA646+CD646+CG646+CJ646</f>
        <v>160</v>
      </c>
      <c r="R646" s="286">
        <f>T646+W646+Z646+AC646+AF646+AI646+AL646+AO646+AR646+AU646+AX646+BA646+BD646+BG646+BJ646+BM646+BP646+BS646+BV646+BY646+CB646+CE646+CH646+CK646</f>
        <v>168</v>
      </c>
      <c r="S646" s="286">
        <v>0</v>
      </c>
      <c r="T646" s="286">
        <v>0</v>
      </c>
      <c r="U646" s="286"/>
      <c r="V646" s="286">
        <v>0</v>
      </c>
      <c r="W646" s="286">
        <v>0</v>
      </c>
      <c r="X646" s="286"/>
      <c r="Y646" s="286">
        <v>0</v>
      </c>
      <c r="Z646" s="286">
        <v>0</v>
      </c>
      <c r="AA646" s="286"/>
      <c r="AB646" s="286">
        <v>0</v>
      </c>
      <c r="AC646" s="286">
        <v>0</v>
      </c>
      <c r="AD646" s="286"/>
      <c r="AE646" s="286">
        <v>0</v>
      </c>
      <c r="AF646" s="286">
        <v>0</v>
      </c>
      <c r="AG646" s="286"/>
      <c r="AH646" s="286">
        <v>0</v>
      </c>
      <c r="AI646" s="286">
        <v>0</v>
      </c>
      <c r="AJ646" s="286"/>
      <c r="AK646" s="286">
        <v>0</v>
      </c>
      <c r="AL646" s="286">
        <v>0</v>
      </c>
      <c r="AM646" s="286"/>
      <c r="AN646" s="286">
        <v>0</v>
      </c>
      <c r="AO646" s="286">
        <v>0</v>
      </c>
      <c r="AP646" s="286"/>
      <c r="AQ646" s="286">
        <v>0</v>
      </c>
      <c r="AR646" s="286">
        <v>0</v>
      </c>
      <c r="AS646" s="286"/>
      <c r="AT646" s="286">
        <v>0</v>
      </c>
      <c r="AU646" s="286">
        <v>0</v>
      </c>
      <c r="AV646" s="286"/>
      <c r="AW646" s="286">
        <v>0</v>
      </c>
      <c r="AX646" s="286">
        <v>0</v>
      </c>
      <c r="AY646" s="286"/>
      <c r="AZ646" s="286">
        <v>0</v>
      </c>
      <c r="BA646" s="286">
        <v>0</v>
      </c>
      <c r="BB646" s="286"/>
      <c r="BC646" s="286">
        <v>24</v>
      </c>
      <c r="BD646" s="286">
        <v>24</v>
      </c>
      <c r="BE646" s="286"/>
      <c r="BF646" s="286">
        <v>12</v>
      </c>
      <c r="BG646" s="286">
        <v>18</v>
      </c>
      <c r="BH646" s="286"/>
      <c r="BI646" s="286">
        <v>94</v>
      </c>
      <c r="BJ646" s="286">
        <v>96</v>
      </c>
      <c r="BK646" s="286"/>
      <c r="BL646" s="286">
        <v>0</v>
      </c>
      <c r="BM646" s="286">
        <v>0</v>
      </c>
      <c r="BN646" s="286"/>
      <c r="BO646" s="286">
        <v>0</v>
      </c>
      <c r="BP646" s="286">
        <v>0</v>
      </c>
      <c r="BQ646" s="286"/>
      <c r="BR646" s="286">
        <v>0</v>
      </c>
      <c r="BS646" s="286">
        <v>0</v>
      </c>
      <c r="BT646" s="286"/>
      <c r="BU646" s="286">
        <v>0</v>
      </c>
      <c r="BV646" s="286">
        <v>0</v>
      </c>
      <c r="BW646" s="286"/>
      <c r="BX646" s="286">
        <v>0</v>
      </c>
      <c r="BY646" s="286">
        <v>0</v>
      </c>
      <c r="BZ646" s="286"/>
      <c r="CA646" s="286">
        <v>0</v>
      </c>
      <c r="CB646" s="286">
        <v>0</v>
      </c>
      <c r="CC646" s="286"/>
      <c r="CD646" s="286">
        <v>30</v>
      </c>
      <c r="CE646" s="286">
        <v>30</v>
      </c>
      <c r="CF646" s="286"/>
      <c r="CG646" s="286">
        <v>0</v>
      </c>
      <c r="CH646" s="286">
        <v>0</v>
      </c>
      <c r="CI646" s="286"/>
      <c r="CJ646" s="302">
        <v>0</v>
      </c>
      <c r="CK646" s="302">
        <v>0</v>
      </c>
    </row>
    <row r="647" spans="1:89" ht="30" x14ac:dyDescent="0.25">
      <c r="A647" s="264"/>
      <c r="B647" s="312"/>
      <c r="C647" s="312" t="s">
        <v>1503</v>
      </c>
      <c r="D647" s="95"/>
      <c r="E647" s="282"/>
      <c r="F647" s="282"/>
      <c r="G647" s="282"/>
      <c r="H647" s="282">
        <v>0</v>
      </c>
      <c r="I647" s="282">
        <v>0</v>
      </c>
      <c r="J647" s="282">
        <v>0</v>
      </c>
      <c r="K647" s="282">
        <v>0</v>
      </c>
      <c r="L647" s="282">
        <v>0</v>
      </c>
      <c r="M647" s="282">
        <v>0</v>
      </c>
      <c r="N647" s="282">
        <v>0</v>
      </c>
      <c r="Q647" s="286">
        <f>S647+V647+Y647+AB647+AE647+AH647+AK647+AN647+AQ647+AT647+AW647+AZ647+BC647+BF647+BI647+BL647+BO647+BR647+BU647+BX647+CA647+CD647+CG647+CJ647</f>
        <v>0</v>
      </c>
      <c r="R647" s="286">
        <f>T647+W647+Z647+AC647+AF647+AI647+AL647+AO647+AR647+AU647+AX647+BA647+BD647+BG647+BJ647+BM647+BP647+BS647+BV647+BY647+CB647+CE647+CH647+CK647</f>
        <v>0</v>
      </c>
      <c r="S647" s="286">
        <v>0</v>
      </c>
      <c r="T647" s="286">
        <v>0</v>
      </c>
      <c r="U647" s="286"/>
      <c r="V647" s="286">
        <v>0</v>
      </c>
      <c r="W647" s="286">
        <v>0</v>
      </c>
      <c r="X647" s="286"/>
      <c r="Y647" s="286">
        <v>0</v>
      </c>
      <c r="Z647" s="286">
        <v>0</v>
      </c>
      <c r="AA647" s="286"/>
      <c r="AB647" s="286">
        <v>0</v>
      </c>
      <c r="AC647" s="286">
        <v>0</v>
      </c>
      <c r="AD647" s="286"/>
      <c r="AE647" s="286">
        <v>0</v>
      </c>
      <c r="AF647" s="286">
        <v>0</v>
      </c>
      <c r="AG647" s="286"/>
      <c r="AH647" s="286">
        <v>0</v>
      </c>
      <c r="AI647" s="286">
        <v>0</v>
      </c>
      <c r="AJ647" s="286"/>
      <c r="AK647" s="286">
        <v>0</v>
      </c>
      <c r="AL647" s="286">
        <v>0</v>
      </c>
      <c r="AM647" s="286"/>
      <c r="AN647" s="286">
        <v>0</v>
      </c>
      <c r="AO647" s="286">
        <v>0</v>
      </c>
      <c r="AP647" s="286"/>
      <c r="AQ647" s="286">
        <v>0</v>
      </c>
      <c r="AR647" s="286">
        <v>0</v>
      </c>
      <c r="AS647" s="286"/>
      <c r="AT647" s="286">
        <v>0</v>
      </c>
      <c r="AU647" s="286">
        <v>0</v>
      </c>
      <c r="AV647" s="286"/>
      <c r="AW647" s="286">
        <v>0</v>
      </c>
      <c r="AX647" s="286">
        <v>0</v>
      </c>
      <c r="AY647" s="286"/>
      <c r="AZ647" s="286">
        <v>0</v>
      </c>
      <c r="BA647" s="286">
        <v>0</v>
      </c>
      <c r="BB647" s="286"/>
      <c r="BC647" s="286">
        <v>0</v>
      </c>
      <c r="BD647" s="286">
        <v>0</v>
      </c>
      <c r="BE647" s="286"/>
      <c r="BF647" s="286">
        <v>0</v>
      </c>
      <c r="BG647" s="286">
        <v>0</v>
      </c>
      <c r="BH647" s="286"/>
      <c r="BI647" s="286">
        <v>0</v>
      </c>
      <c r="BJ647" s="286">
        <v>0</v>
      </c>
      <c r="BK647" s="286"/>
      <c r="BL647" s="286">
        <v>0</v>
      </c>
      <c r="BM647" s="286">
        <v>0</v>
      </c>
      <c r="BN647" s="286"/>
      <c r="BO647" s="286">
        <v>0</v>
      </c>
      <c r="BP647" s="286">
        <v>0</v>
      </c>
      <c r="BQ647" s="286"/>
      <c r="BR647" s="286">
        <v>0</v>
      </c>
      <c r="BS647" s="286">
        <v>0</v>
      </c>
      <c r="BT647" s="286"/>
      <c r="BU647" s="286">
        <v>0</v>
      </c>
      <c r="BV647" s="286">
        <v>0</v>
      </c>
      <c r="BW647" s="286"/>
      <c r="BX647" s="286">
        <v>0</v>
      </c>
      <c r="BY647" s="286">
        <v>0</v>
      </c>
      <c r="BZ647" s="286"/>
      <c r="CA647" s="286">
        <v>0</v>
      </c>
      <c r="CB647" s="286">
        <v>0</v>
      </c>
      <c r="CC647" s="286"/>
      <c r="CD647" s="286">
        <v>0</v>
      </c>
      <c r="CE647" s="286">
        <v>0</v>
      </c>
      <c r="CF647" s="286"/>
      <c r="CG647" s="286">
        <v>0</v>
      </c>
      <c r="CH647" s="286">
        <v>0</v>
      </c>
      <c r="CI647" s="286"/>
      <c r="CJ647" s="302">
        <v>0</v>
      </c>
      <c r="CK647" s="302">
        <v>0</v>
      </c>
    </row>
    <row r="648" spans="1:89" ht="30" x14ac:dyDescent="0.25">
      <c r="A648" s="416"/>
      <c r="B648" s="419" t="s">
        <v>210</v>
      </c>
      <c r="C648" s="95" t="s">
        <v>1219</v>
      </c>
      <c r="D648" s="95" t="s">
        <v>1112</v>
      </c>
      <c r="E648" s="282">
        <v>14677</v>
      </c>
      <c r="F648" s="282">
        <v>18249</v>
      </c>
      <c r="G648" s="282">
        <v>20170</v>
      </c>
      <c r="H648" s="282">
        <f t="shared" ref="H648:K649" si="1036">H653</f>
        <v>22816</v>
      </c>
      <c r="I648" s="282">
        <f t="shared" si="1036"/>
        <v>25738</v>
      </c>
      <c r="J648" s="282">
        <f t="shared" si="1036"/>
        <v>26656</v>
      </c>
      <c r="K648" s="282">
        <f t="shared" si="1036"/>
        <v>27398</v>
      </c>
      <c r="L648" s="282">
        <f t="shared" ref="L648:M649" si="1037">L653</f>
        <v>0</v>
      </c>
      <c r="M648" s="282">
        <f t="shared" si="1037"/>
        <v>232</v>
      </c>
      <c r="N648" s="282">
        <f t="shared" ref="N648" si="1038">N653</f>
        <v>226</v>
      </c>
      <c r="Q648" s="282">
        <f t="shared" ref="Q648:T649" si="1039">Q653</f>
        <v>27398</v>
      </c>
      <c r="R648" s="282">
        <f t="shared" si="1039"/>
        <v>29334</v>
      </c>
      <c r="S648" s="282">
        <f t="shared" si="1039"/>
        <v>451</v>
      </c>
      <c r="T648" s="282">
        <f t="shared" si="1039"/>
        <v>517</v>
      </c>
      <c r="U648" s="286"/>
      <c r="V648" s="282">
        <f>V653</f>
        <v>230</v>
      </c>
      <c r="W648" s="282">
        <f>W653</f>
        <v>241</v>
      </c>
      <c r="X648" s="286"/>
      <c r="Y648" s="282">
        <f>Y653</f>
        <v>345</v>
      </c>
      <c r="Z648" s="282">
        <f>Z653</f>
        <v>400</v>
      </c>
      <c r="AA648" s="286"/>
      <c r="AB648" s="282">
        <f>AB653</f>
        <v>942</v>
      </c>
      <c r="AC648" s="282">
        <f>AC653</f>
        <v>948</v>
      </c>
      <c r="AD648" s="286"/>
      <c r="AE648" s="282">
        <f>AE653</f>
        <v>411</v>
      </c>
      <c r="AF648" s="282">
        <f>AF653</f>
        <v>428</v>
      </c>
      <c r="AG648" s="286"/>
      <c r="AH648" s="282">
        <f>AH653</f>
        <v>223</v>
      </c>
      <c r="AI648" s="282">
        <f>AI653</f>
        <v>248</v>
      </c>
      <c r="AJ648" s="286"/>
      <c r="AK648" s="282">
        <f>AK653</f>
        <v>886</v>
      </c>
      <c r="AL648" s="282">
        <f>AL653</f>
        <v>1014</v>
      </c>
      <c r="AM648" s="286"/>
      <c r="AN648" s="282">
        <f>AN653</f>
        <v>1892</v>
      </c>
      <c r="AO648" s="282">
        <f>AO653</f>
        <v>1729</v>
      </c>
      <c r="AP648" s="286"/>
      <c r="AQ648" s="282">
        <f>AQ653</f>
        <v>0</v>
      </c>
      <c r="AR648" s="282">
        <f>AR653</f>
        <v>0</v>
      </c>
      <c r="AS648" s="286"/>
      <c r="AT648" s="282">
        <f>AT653</f>
        <v>1513</v>
      </c>
      <c r="AU648" s="282">
        <f>AU653</f>
        <v>1502</v>
      </c>
      <c r="AV648" s="286"/>
      <c r="AW648" s="282">
        <f>AW653</f>
        <v>616</v>
      </c>
      <c r="AX648" s="282">
        <f>AX653</f>
        <v>537</v>
      </c>
      <c r="AY648" s="286"/>
      <c r="AZ648" s="282">
        <f>AZ653</f>
        <v>1149</v>
      </c>
      <c r="BA648" s="282">
        <f>BA653</f>
        <v>1251</v>
      </c>
      <c r="BB648" s="286"/>
      <c r="BC648" s="282">
        <f>BC653</f>
        <v>1492</v>
      </c>
      <c r="BD648" s="282">
        <f>BD653</f>
        <v>1780</v>
      </c>
      <c r="BE648" s="286"/>
      <c r="BF648" s="282">
        <f>BF653</f>
        <v>4698</v>
      </c>
      <c r="BG648" s="282">
        <f>BG653</f>
        <v>5173</v>
      </c>
      <c r="BH648" s="286"/>
      <c r="BI648" s="282">
        <f>BI653</f>
        <v>6107</v>
      </c>
      <c r="BJ648" s="282">
        <f>BJ653</f>
        <v>6621</v>
      </c>
      <c r="BK648" s="286"/>
      <c r="BL648" s="282">
        <f>BL653</f>
        <v>678</v>
      </c>
      <c r="BM648" s="282">
        <f>BM653</f>
        <v>687</v>
      </c>
      <c r="BN648" s="286"/>
      <c r="BO648" s="282">
        <f>BO653</f>
        <v>1018</v>
      </c>
      <c r="BP648" s="282">
        <f>BP653</f>
        <v>1058</v>
      </c>
      <c r="BQ648" s="286"/>
      <c r="BR648" s="282">
        <f>BR653</f>
        <v>1918</v>
      </c>
      <c r="BS648" s="282">
        <f>BS653</f>
        <v>2032</v>
      </c>
      <c r="BT648" s="286"/>
      <c r="BU648" s="282">
        <f>BU653</f>
        <v>845</v>
      </c>
      <c r="BV648" s="282">
        <f>BV653</f>
        <v>915</v>
      </c>
      <c r="BW648" s="286"/>
      <c r="BX648" s="282">
        <f>BX653</f>
        <v>242</v>
      </c>
      <c r="BY648" s="282">
        <f>BY653</f>
        <v>242</v>
      </c>
      <c r="BZ648" s="286"/>
      <c r="CA648" s="282">
        <f>CA653</f>
        <v>522</v>
      </c>
      <c r="CB648" s="282">
        <f>CB653</f>
        <v>629</v>
      </c>
      <c r="CC648" s="286"/>
      <c r="CD648" s="282">
        <f>CD653</f>
        <v>495</v>
      </c>
      <c r="CE648" s="282">
        <f>CE653</f>
        <v>675</v>
      </c>
      <c r="CF648" s="286"/>
      <c r="CG648" s="282">
        <f>CG653</f>
        <v>725</v>
      </c>
      <c r="CH648" s="282">
        <f>CH653</f>
        <v>707</v>
      </c>
      <c r="CI648" s="286"/>
      <c r="CJ648" s="282">
        <f>CJ653</f>
        <v>0</v>
      </c>
      <c r="CK648" s="282">
        <f>CK653</f>
        <v>0</v>
      </c>
    </row>
    <row r="649" spans="1:89" ht="30" x14ac:dyDescent="0.25">
      <c r="A649" s="417"/>
      <c r="B649" s="420"/>
      <c r="C649" s="95" t="s">
        <v>1220</v>
      </c>
      <c r="D649" s="95" t="s">
        <v>1112</v>
      </c>
      <c r="E649" s="282">
        <v>2855</v>
      </c>
      <c r="F649" s="282">
        <v>3004</v>
      </c>
      <c r="G649" s="282">
        <v>3406</v>
      </c>
      <c r="H649" s="282">
        <f t="shared" si="1036"/>
        <v>3863</v>
      </c>
      <c r="I649" s="282">
        <f t="shared" si="1036"/>
        <v>4039</v>
      </c>
      <c r="J649" s="282">
        <f t="shared" si="1036"/>
        <v>3924</v>
      </c>
      <c r="K649" s="282">
        <f t="shared" si="1036"/>
        <v>3960</v>
      </c>
      <c r="L649" s="282">
        <f t="shared" ref="L649" si="1040">L654</f>
        <v>0</v>
      </c>
      <c r="M649" s="282">
        <f t="shared" si="1037"/>
        <v>707</v>
      </c>
      <c r="N649" s="282">
        <f t="shared" ref="N649" si="1041">N654</f>
        <v>518</v>
      </c>
      <c r="Q649" s="282">
        <f t="shared" si="1039"/>
        <v>3960</v>
      </c>
      <c r="R649" s="282">
        <f t="shared" si="1039"/>
        <v>4598</v>
      </c>
      <c r="S649" s="282">
        <f t="shared" si="1039"/>
        <v>321</v>
      </c>
      <c r="T649" s="282">
        <f t="shared" si="1039"/>
        <v>322</v>
      </c>
      <c r="U649" s="286"/>
      <c r="V649" s="282">
        <f>V654</f>
        <v>128</v>
      </c>
      <c r="W649" s="282">
        <f>W654</f>
        <v>139</v>
      </c>
      <c r="X649" s="286"/>
      <c r="Y649" s="282">
        <f>Y654</f>
        <v>431</v>
      </c>
      <c r="Z649" s="282">
        <f>Z654</f>
        <v>724</v>
      </c>
      <c r="AA649" s="286"/>
      <c r="AB649" s="282">
        <f>AB654</f>
        <v>981</v>
      </c>
      <c r="AC649" s="282">
        <f>AC654</f>
        <v>958</v>
      </c>
      <c r="AD649" s="286"/>
      <c r="AE649" s="282">
        <f>AE654</f>
        <v>223</v>
      </c>
      <c r="AF649" s="282">
        <f>AF654</f>
        <v>242</v>
      </c>
      <c r="AG649" s="286"/>
      <c r="AH649" s="282">
        <f>AH654</f>
        <v>633</v>
      </c>
      <c r="AI649" s="282">
        <f>AI654</f>
        <v>701</v>
      </c>
      <c r="AJ649" s="286"/>
      <c r="AK649" s="282">
        <f>AK654</f>
        <v>65</v>
      </c>
      <c r="AL649" s="282">
        <f>AL654</f>
        <v>67</v>
      </c>
      <c r="AM649" s="286"/>
      <c r="AN649" s="282">
        <f>AN654</f>
        <v>365</v>
      </c>
      <c r="AO649" s="282">
        <f>AO654</f>
        <v>495</v>
      </c>
      <c r="AP649" s="286"/>
      <c r="AQ649" s="282">
        <f>AQ654</f>
        <v>771</v>
      </c>
      <c r="AR649" s="282">
        <f>AR654</f>
        <v>858</v>
      </c>
      <c r="AS649" s="286"/>
      <c r="AT649" s="282">
        <f>AT654</f>
        <v>0</v>
      </c>
      <c r="AU649" s="282">
        <f>AU654</f>
        <v>0</v>
      </c>
      <c r="AV649" s="286"/>
      <c r="AW649" s="282">
        <f>AW654</f>
        <v>0</v>
      </c>
      <c r="AX649" s="282">
        <f>AX654</f>
        <v>0</v>
      </c>
      <c r="AY649" s="286"/>
      <c r="AZ649" s="282">
        <f>AZ654</f>
        <v>0</v>
      </c>
      <c r="BA649" s="282">
        <f>BA654</f>
        <v>0</v>
      </c>
      <c r="BB649" s="286"/>
      <c r="BC649" s="282">
        <f>BC654</f>
        <v>0</v>
      </c>
      <c r="BD649" s="282">
        <f>BD654</f>
        <v>0</v>
      </c>
      <c r="BE649" s="286"/>
      <c r="BF649" s="282">
        <f>BF654</f>
        <v>0</v>
      </c>
      <c r="BG649" s="282">
        <f>BG654</f>
        <v>0</v>
      </c>
      <c r="BH649" s="286"/>
      <c r="BI649" s="282">
        <f>BI654</f>
        <v>0</v>
      </c>
      <c r="BJ649" s="282">
        <f>BJ654</f>
        <v>0</v>
      </c>
      <c r="BK649" s="286"/>
      <c r="BL649" s="282">
        <f>BL654</f>
        <v>0</v>
      </c>
      <c r="BM649" s="282">
        <f>BM654</f>
        <v>0</v>
      </c>
      <c r="BN649" s="286"/>
      <c r="BO649" s="282">
        <f>BO654</f>
        <v>0</v>
      </c>
      <c r="BP649" s="282">
        <f>BP654</f>
        <v>0</v>
      </c>
      <c r="BQ649" s="286"/>
      <c r="BR649" s="282">
        <f>BR654</f>
        <v>0</v>
      </c>
      <c r="BS649" s="282">
        <f>BS654</f>
        <v>0</v>
      </c>
      <c r="BT649" s="286"/>
      <c r="BU649" s="282">
        <f>BU654</f>
        <v>0</v>
      </c>
      <c r="BV649" s="282">
        <f>BV654</f>
        <v>0</v>
      </c>
      <c r="BW649" s="286"/>
      <c r="BX649" s="282">
        <f>BX654</f>
        <v>0</v>
      </c>
      <c r="BY649" s="282">
        <f>BY654</f>
        <v>0</v>
      </c>
      <c r="BZ649" s="286"/>
      <c r="CA649" s="282">
        <f>CA654</f>
        <v>0</v>
      </c>
      <c r="CB649" s="282">
        <f>CB654</f>
        <v>0</v>
      </c>
      <c r="CC649" s="286"/>
      <c r="CD649" s="282">
        <f>CD654</f>
        <v>0</v>
      </c>
      <c r="CE649" s="282">
        <f>CE654</f>
        <v>0</v>
      </c>
      <c r="CF649" s="286"/>
      <c r="CG649" s="282">
        <f>CG654</f>
        <v>42</v>
      </c>
      <c r="CH649" s="282">
        <f>CH654</f>
        <v>92</v>
      </c>
      <c r="CI649" s="286"/>
      <c r="CJ649" s="282">
        <f>CJ654</f>
        <v>0</v>
      </c>
      <c r="CK649" s="282">
        <f>CK654</f>
        <v>0</v>
      </c>
    </row>
    <row r="650" spans="1:89" ht="30" x14ac:dyDescent="0.25">
      <c r="A650" s="417"/>
      <c r="B650" s="420"/>
      <c r="C650" s="95" t="s">
        <v>1217</v>
      </c>
      <c r="D650" s="95" t="s">
        <v>1112</v>
      </c>
      <c r="E650" s="282">
        <v>101</v>
      </c>
      <c r="F650" s="282">
        <v>81</v>
      </c>
      <c r="G650" s="282">
        <v>87</v>
      </c>
      <c r="H650" s="282">
        <f t="shared" ref="H650:K651" si="1042">H656</f>
        <v>106</v>
      </c>
      <c r="I650" s="282">
        <f t="shared" si="1042"/>
        <v>111</v>
      </c>
      <c r="J650" s="282">
        <f t="shared" si="1042"/>
        <v>152</v>
      </c>
      <c r="K650" s="282">
        <f t="shared" si="1042"/>
        <v>160</v>
      </c>
      <c r="L650" s="282">
        <f t="shared" ref="L650:M651" si="1043">L656</f>
        <v>0</v>
      </c>
      <c r="M650" s="282">
        <f t="shared" si="1043"/>
        <v>0</v>
      </c>
      <c r="N650" s="282">
        <f t="shared" ref="N650" si="1044">N656</f>
        <v>0</v>
      </c>
      <c r="Q650" s="282">
        <f t="shared" ref="Q650:T651" si="1045">Q656</f>
        <v>160</v>
      </c>
      <c r="R650" s="282">
        <f t="shared" si="1045"/>
        <v>168</v>
      </c>
      <c r="S650" s="282">
        <f t="shared" si="1045"/>
        <v>0</v>
      </c>
      <c r="T650" s="282">
        <f t="shared" si="1045"/>
        <v>0</v>
      </c>
      <c r="U650" s="286"/>
      <c r="V650" s="282">
        <f>V656</f>
        <v>0</v>
      </c>
      <c r="W650" s="282">
        <f>W656</f>
        <v>0</v>
      </c>
      <c r="X650" s="286"/>
      <c r="Y650" s="282">
        <f>Y656</f>
        <v>0</v>
      </c>
      <c r="Z650" s="282">
        <f>Z656</f>
        <v>0</v>
      </c>
      <c r="AA650" s="286"/>
      <c r="AB650" s="282">
        <f>AB656</f>
        <v>0</v>
      </c>
      <c r="AC650" s="282">
        <f>AC656</f>
        <v>0</v>
      </c>
      <c r="AD650" s="286"/>
      <c r="AE650" s="282">
        <f>AE656</f>
        <v>0</v>
      </c>
      <c r="AF650" s="282">
        <f>AF656</f>
        <v>0</v>
      </c>
      <c r="AG650" s="286"/>
      <c r="AH650" s="282">
        <f>AH656</f>
        <v>0</v>
      </c>
      <c r="AI650" s="282">
        <f>AI656</f>
        <v>0</v>
      </c>
      <c r="AJ650" s="286"/>
      <c r="AK650" s="282">
        <f>AK656</f>
        <v>0</v>
      </c>
      <c r="AL650" s="282">
        <f>AL656</f>
        <v>0</v>
      </c>
      <c r="AM650" s="286"/>
      <c r="AN650" s="282">
        <f>AN656</f>
        <v>0</v>
      </c>
      <c r="AO650" s="282">
        <f>AO656</f>
        <v>0</v>
      </c>
      <c r="AP650" s="286"/>
      <c r="AQ650" s="282">
        <f>AQ656</f>
        <v>0</v>
      </c>
      <c r="AR650" s="282">
        <f>AR656</f>
        <v>0</v>
      </c>
      <c r="AS650" s="286"/>
      <c r="AT650" s="282">
        <f>AT656</f>
        <v>0</v>
      </c>
      <c r="AU650" s="282">
        <f>AU656</f>
        <v>0</v>
      </c>
      <c r="AV650" s="286"/>
      <c r="AW650" s="282">
        <f>AW656</f>
        <v>0</v>
      </c>
      <c r="AX650" s="282">
        <f>AX656</f>
        <v>0</v>
      </c>
      <c r="AY650" s="286"/>
      <c r="AZ650" s="282">
        <f>AZ656</f>
        <v>0</v>
      </c>
      <c r="BA650" s="282">
        <f>BA656</f>
        <v>0</v>
      </c>
      <c r="BB650" s="286"/>
      <c r="BC650" s="282">
        <f>BC656</f>
        <v>24</v>
      </c>
      <c r="BD650" s="282">
        <f>BD656</f>
        <v>24</v>
      </c>
      <c r="BE650" s="286"/>
      <c r="BF650" s="282">
        <f>BF656</f>
        <v>12</v>
      </c>
      <c r="BG650" s="282">
        <f>BG656</f>
        <v>18</v>
      </c>
      <c r="BH650" s="286"/>
      <c r="BI650" s="282">
        <f>BI656</f>
        <v>94</v>
      </c>
      <c r="BJ650" s="282">
        <f>BJ656</f>
        <v>96</v>
      </c>
      <c r="BK650" s="286"/>
      <c r="BL650" s="282">
        <f>BL656</f>
        <v>0</v>
      </c>
      <c r="BM650" s="282">
        <f>BM656</f>
        <v>0</v>
      </c>
      <c r="BN650" s="286"/>
      <c r="BO650" s="282">
        <f>BO656</f>
        <v>0</v>
      </c>
      <c r="BP650" s="282">
        <f>BP656</f>
        <v>0</v>
      </c>
      <c r="BQ650" s="286"/>
      <c r="BR650" s="282">
        <f>BR656</f>
        <v>0</v>
      </c>
      <c r="BS650" s="282">
        <f>BS656</f>
        <v>0</v>
      </c>
      <c r="BT650" s="286"/>
      <c r="BU650" s="282">
        <f>BU656</f>
        <v>0</v>
      </c>
      <c r="BV650" s="282">
        <f>BV656</f>
        <v>0</v>
      </c>
      <c r="BW650" s="286"/>
      <c r="BX650" s="282">
        <f>BX656</f>
        <v>0</v>
      </c>
      <c r="BY650" s="282">
        <f>BY656</f>
        <v>0</v>
      </c>
      <c r="BZ650" s="286"/>
      <c r="CA650" s="282">
        <f>CA656</f>
        <v>0</v>
      </c>
      <c r="CB650" s="282">
        <f>CB656</f>
        <v>0</v>
      </c>
      <c r="CC650" s="286"/>
      <c r="CD650" s="282">
        <f>CD656</f>
        <v>30</v>
      </c>
      <c r="CE650" s="282">
        <f>CE656</f>
        <v>30</v>
      </c>
      <c r="CF650" s="286"/>
      <c r="CG650" s="282">
        <f>CG656</f>
        <v>0</v>
      </c>
      <c r="CH650" s="282">
        <f>CH656</f>
        <v>0</v>
      </c>
      <c r="CI650" s="286"/>
      <c r="CJ650" s="282">
        <f>CJ656</f>
        <v>0</v>
      </c>
      <c r="CK650" s="282">
        <f>CK656</f>
        <v>0</v>
      </c>
    </row>
    <row r="651" spans="1:89" ht="30" x14ac:dyDescent="0.25">
      <c r="A651" s="418"/>
      <c r="B651" s="421"/>
      <c r="C651" s="95" t="s">
        <v>1218</v>
      </c>
      <c r="D651" s="95" t="s">
        <v>1112</v>
      </c>
      <c r="E651" s="282">
        <v>0</v>
      </c>
      <c r="F651" s="282">
        <v>0</v>
      </c>
      <c r="G651" s="282">
        <v>0</v>
      </c>
      <c r="H651" s="282">
        <f t="shared" si="1042"/>
        <v>0</v>
      </c>
      <c r="I651" s="282">
        <f t="shared" si="1042"/>
        <v>0</v>
      </c>
      <c r="J651" s="282">
        <f t="shared" si="1042"/>
        <v>0</v>
      </c>
      <c r="K651" s="282">
        <f t="shared" si="1042"/>
        <v>0</v>
      </c>
      <c r="L651" s="282">
        <f t="shared" ref="L651" si="1046">L657</f>
        <v>0</v>
      </c>
      <c r="M651" s="282">
        <f t="shared" si="1043"/>
        <v>0</v>
      </c>
      <c r="N651" s="282">
        <f t="shared" ref="N651" si="1047">N657</f>
        <v>0</v>
      </c>
      <c r="Q651" s="282">
        <f t="shared" si="1045"/>
        <v>0</v>
      </c>
      <c r="R651" s="282">
        <f t="shared" si="1045"/>
        <v>0</v>
      </c>
      <c r="S651" s="282">
        <f t="shared" si="1045"/>
        <v>0</v>
      </c>
      <c r="T651" s="282">
        <f t="shared" si="1045"/>
        <v>0</v>
      </c>
      <c r="U651" s="286"/>
      <c r="V651" s="282">
        <f>V657</f>
        <v>0</v>
      </c>
      <c r="W651" s="282">
        <f>W657</f>
        <v>0</v>
      </c>
      <c r="X651" s="286"/>
      <c r="Y651" s="282">
        <f>Y657</f>
        <v>0</v>
      </c>
      <c r="Z651" s="282">
        <f>Z657</f>
        <v>0</v>
      </c>
      <c r="AA651" s="286"/>
      <c r="AB651" s="282">
        <f>AB657</f>
        <v>0</v>
      </c>
      <c r="AC651" s="282">
        <f>AC657</f>
        <v>0</v>
      </c>
      <c r="AD651" s="286"/>
      <c r="AE651" s="282">
        <f>AE657</f>
        <v>0</v>
      </c>
      <c r="AF651" s="282">
        <f>AF657</f>
        <v>0</v>
      </c>
      <c r="AG651" s="286"/>
      <c r="AH651" s="282">
        <f>AH657</f>
        <v>0</v>
      </c>
      <c r="AI651" s="282">
        <f>AI657</f>
        <v>0</v>
      </c>
      <c r="AJ651" s="286"/>
      <c r="AK651" s="282">
        <f>AK657</f>
        <v>0</v>
      </c>
      <c r="AL651" s="282">
        <f>AL657</f>
        <v>0</v>
      </c>
      <c r="AM651" s="286"/>
      <c r="AN651" s="282">
        <f>AN657</f>
        <v>0</v>
      </c>
      <c r="AO651" s="282">
        <f>AO657</f>
        <v>0</v>
      </c>
      <c r="AP651" s="286"/>
      <c r="AQ651" s="282">
        <f>AQ657</f>
        <v>0</v>
      </c>
      <c r="AR651" s="282">
        <f>AR657</f>
        <v>0</v>
      </c>
      <c r="AS651" s="286"/>
      <c r="AT651" s="282">
        <f>AT657</f>
        <v>0</v>
      </c>
      <c r="AU651" s="282">
        <f>AU657</f>
        <v>0</v>
      </c>
      <c r="AV651" s="286"/>
      <c r="AW651" s="282">
        <f>AW657</f>
        <v>0</v>
      </c>
      <c r="AX651" s="282">
        <f>AX657</f>
        <v>0</v>
      </c>
      <c r="AY651" s="286"/>
      <c r="AZ651" s="282">
        <f>AZ657</f>
        <v>0</v>
      </c>
      <c r="BA651" s="282">
        <f>BA657</f>
        <v>0</v>
      </c>
      <c r="BB651" s="286"/>
      <c r="BC651" s="282">
        <f>BC657</f>
        <v>0</v>
      </c>
      <c r="BD651" s="282">
        <f>BD657</f>
        <v>0</v>
      </c>
      <c r="BE651" s="286"/>
      <c r="BF651" s="282">
        <f>BF657</f>
        <v>0</v>
      </c>
      <c r="BG651" s="282">
        <f>BG657</f>
        <v>0</v>
      </c>
      <c r="BH651" s="286"/>
      <c r="BI651" s="282">
        <f>BI657</f>
        <v>0</v>
      </c>
      <c r="BJ651" s="282">
        <f>BJ657</f>
        <v>0</v>
      </c>
      <c r="BK651" s="286"/>
      <c r="BL651" s="282">
        <f>BL657</f>
        <v>0</v>
      </c>
      <c r="BM651" s="282">
        <f>BM657</f>
        <v>0</v>
      </c>
      <c r="BN651" s="286"/>
      <c r="BO651" s="282">
        <f>BO657</f>
        <v>0</v>
      </c>
      <c r="BP651" s="282">
        <f>BP657</f>
        <v>0</v>
      </c>
      <c r="BQ651" s="286"/>
      <c r="BR651" s="282">
        <f>BR657</f>
        <v>0</v>
      </c>
      <c r="BS651" s="282">
        <f>BS657</f>
        <v>0</v>
      </c>
      <c r="BT651" s="286"/>
      <c r="BU651" s="282">
        <f>BU657</f>
        <v>0</v>
      </c>
      <c r="BV651" s="282">
        <f>BV657</f>
        <v>0</v>
      </c>
      <c r="BW651" s="286"/>
      <c r="BX651" s="282">
        <f>BX657</f>
        <v>0</v>
      </c>
      <c r="BY651" s="282">
        <f>BY657</f>
        <v>0</v>
      </c>
      <c r="BZ651" s="286"/>
      <c r="CA651" s="282">
        <f>CA657</f>
        <v>0</v>
      </c>
      <c r="CB651" s="282">
        <f>CB657</f>
        <v>0</v>
      </c>
      <c r="CC651" s="286"/>
      <c r="CD651" s="282">
        <f>CD657</f>
        <v>0</v>
      </c>
      <c r="CE651" s="282">
        <f>CE657</f>
        <v>0</v>
      </c>
      <c r="CF651" s="286"/>
      <c r="CG651" s="282">
        <f>CG657</f>
        <v>0</v>
      </c>
      <c r="CH651" s="282">
        <f>CH657</f>
        <v>0</v>
      </c>
      <c r="CI651" s="286"/>
      <c r="CJ651" s="282">
        <f>CJ657</f>
        <v>0</v>
      </c>
      <c r="CK651" s="282">
        <f>CK657</f>
        <v>0</v>
      </c>
    </row>
    <row r="652" spans="1:89" x14ac:dyDescent="0.25">
      <c r="A652" s="264"/>
      <c r="B652" s="262" t="s">
        <v>1182</v>
      </c>
      <c r="C652" s="95"/>
      <c r="D652" s="95"/>
      <c r="E652" s="282"/>
      <c r="F652" s="282"/>
      <c r="G652" s="282"/>
      <c r="H652" s="282">
        <f>H653+H654</f>
        <v>26679</v>
      </c>
      <c r="I652" s="282">
        <f>I653+I654</f>
        <v>29777</v>
      </c>
      <c r="J652" s="282">
        <f>J653+J654</f>
        <v>30580</v>
      </c>
      <c r="K652" s="282">
        <f>K653+K654</f>
        <v>31358</v>
      </c>
      <c r="L652" s="282">
        <f>L653+L654</f>
        <v>0</v>
      </c>
      <c r="M652" s="282">
        <f t="shared" ref="M652:N652" si="1048">M653+M654</f>
        <v>939</v>
      </c>
      <c r="N652" s="282">
        <f t="shared" si="1048"/>
        <v>744</v>
      </c>
      <c r="Q652" s="286"/>
      <c r="R652" s="286"/>
      <c r="S652" s="286"/>
      <c r="T652" s="286"/>
      <c r="U652" s="286"/>
      <c r="V652" s="286"/>
      <c r="W652" s="286"/>
      <c r="X652" s="286"/>
      <c r="Y652" s="286"/>
      <c r="Z652" s="286"/>
      <c r="AA652" s="286"/>
      <c r="AB652" s="286"/>
      <c r="AC652" s="286"/>
      <c r="AD652" s="286"/>
      <c r="AE652" s="286"/>
      <c r="AF652" s="286"/>
      <c r="AG652" s="286"/>
      <c r="AH652" s="286"/>
      <c r="AI652" s="286"/>
      <c r="AJ652" s="286"/>
      <c r="AK652" s="286"/>
      <c r="AL652" s="286"/>
      <c r="AM652" s="286"/>
      <c r="AN652" s="286"/>
      <c r="AO652" s="286"/>
      <c r="AP652" s="286"/>
      <c r="AQ652" s="286"/>
      <c r="AR652" s="286"/>
      <c r="AS652" s="286"/>
      <c r="AT652" s="286"/>
      <c r="AU652" s="286"/>
      <c r="AV652" s="286"/>
      <c r="AW652" s="286"/>
      <c r="AX652" s="286"/>
      <c r="AY652" s="286"/>
      <c r="AZ652" s="286"/>
      <c r="BA652" s="286"/>
      <c r="BB652" s="286"/>
      <c r="BC652" s="286"/>
      <c r="BD652" s="286"/>
      <c r="BE652" s="286"/>
      <c r="BF652" s="286"/>
      <c r="BG652" s="286"/>
      <c r="BH652" s="286"/>
      <c r="BI652" s="286"/>
      <c r="BJ652" s="286"/>
      <c r="BK652" s="286"/>
      <c r="BL652" s="286"/>
      <c r="BM652" s="286"/>
      <c r="BN652" s="286"/>
      <c r="BO652" s="286"/>
      <c r="BP652" s="286"/>
      <c r="BQ652" s="286"/>
      <c r="BR652" s="286"/>
      <c r="BS652" s="286"/>
      <c r="BT652" s="286"/>
      <c r="BU652" s="286"/>
      <c r="BV652" s="286"/>
      <c r="BW652" s="286"/>
      <c r="BX652" s="286"/>
      <c r="BY652" s="286"/>
      <c r="BZ652" s="286"/>
      <c r="CA652" s="286"/>
      <c r="CB652" s="286"/>
      <c r="CC652" s="286"/>
      <c r="CD652" s="286"/>
      <c r="CE652" s="286"/>
      <c r="CF652" s="286"/>
      <c r="CG652" s="286"/>
      <c r="CH652" s="286"/>
      <c r="CI652" s="286"/>
      <c r="CJ652" s="286"/>
      <c r="CK652" s="286"/>
    </row>
    <row r="653" spans="1:89" ht="30" x14ac:dyDescent="0.25">
      <c r="A653" s="264"/>
      <c r="B653" s="312"/>
      <c r="C653" s="312" t="s">
        <v>1504</v>
      </c>
      <c r="D653" s="95"/>
      <c r="E653" s="282"/>
      <c r="F653" s="282"/>
      <c r="G653" s="282"/>
      <c r="H653" s="282">
        <v>22816</v>
      </c>
      <c r="I653" s="282">
        <v>25738</v>
      </c>
      <c r="J653" s="282">
        <v>26656</v>
      </c>
      <c r="K653" s="282">
        <v>27398</v>
      </c>
      <c r="L653" s="282">
        <v>0</v>
      </c>
      <c r="M653" s="282">
        <v>232</v>
      </c>
      <c r="N653" s="282">
        <v>226</v>
      </c>
      <c r="O653" s="286"/>
      <c r="Q653" s="286">
        <f>S653+V653+Y653+AB653+AE653+AH653+AK653+AN653+AQ653+AT653+AW653+AZ653+BC653+BF653+BI653+BL653+BO653+BR653+BU653+BX653+CA653+CD653+CG653+CJ653</f>
        <v>27398</v>
      </c>
      <c r="R653" s="286">
        <f>T653+W653+Z653+AC653+AF653+AI653+AL653+AO653+AR653+AU653+AX653+BA653+BD653+BG653+BJ653+BM653+BP653+BS653+BV653+BY653+CB653+CE653+CH653+CK653</f>
        <v>29334</v>
      </c>
      <c r="S653" s="286">
        <v>451</v>
      </c>
      <c r="T653" s="286">
        <v>517</v>
      </c>
      <c r="U653" s="286"/>
      <c r="V653" s="286">
        <v>230</v>
      </c>
      <c r="W653" s="286">
        <v>241</v>
      </c>
      <c r="X653" s="286"/>
      <c r="Y653" s="286">
        <v>345</v>
      </c>
      <c r="Z653" s="286">
        <v>400</v>
      </c>
      <c r="AA653" s="286"/>
      <c r="AB653" s="286">
        <v>942</v>
      </c>
      <c r="AC653" s="286">
        <v>948</v>
      </c>
      <c r="AD653" s="286"/>
      <c r="AE653" s="286">
        <v>411</v>
      </c>
      <c r="AF653" s="286">
        <v>428</v>
      </c>
      <c r="AG653" s="286"/>
      <c r="AH653" s="286">
        <v>223</v>
      </c>
      <c r="AI653" s="286">
        <v>248</v>
      </c>
      <c r="AJ653" s="286"/>
      <c r="AK653" s="286">
        <v>886</v>
      </c>
      <c r="AL653" s="286">
        <v>1014</v>
      </c>
      <c r="AM653" s="286"/>
      <c r="AN653" s="286">
        <v>1892</v>
      </c>
      <c r="AO653" s="286">
        <v>1729</v>
      </c>
      <c r="AP653" s="286"/>
      <c r="AQ653" s="286">
        <v>0</v>
      </c>
      <c r="AR653" s="286">
        <v>0</v>
      </c>
      <c r="AS653" s="286"/>
      <c r="AT653" s="286">
        <v>1513</v>
      </c>
      <c r="AU653" s="286">
        <v>1502</v>
      </c>
      <c r="AV653" s="286"/>
      <c r="AW653" s="286">
        <v>616</v>
      </c>
      <c r="AX653" s="286">
        <v>537</v>
      </c>
      <c r="AY653" s="286"/>
      <c r="AZ653" s="286">
        <v>1149</v>
      </c>
      <c r="BA653" s="286">
        <v>1251</v>
      </c>
      <c r="BB653" s="286"/>
      <c r="BC653" s="286">
        <v>1492</v>
      </c>
      <c r="BD653" s="286">
        <v>1780</v>
      </c>
      <c r="BE653" s="286"/>
      <c r="BF653" s="286">
        <v>4698</v>
      </c>
      <c r="BG653" s="286">
        <v>5173</v>
      </c>
      <c r="BH653" s="286"/>
      <c r="BI653" s="286">
        <v>6107</v>
      </c>
      <c r="BJ653" s="286">
        <v>6621</v>
      </c>
      <c r="BK653" s="286"/>
      <c r="BL653" s="286">
        <v>678</v>
      </c>
      <c r="BM653" s="286">
        <v>687</v>
      </c>
      <c r="BN653" s="286"/>
      <c r="BO653" s="286">
        <v>1018</v>
      </c>
      <c r="BP653" s="286">
        <v>1058</v>
      </c>
      <c r="BQ653" s="286"/>
      <c r="BR653" s="286">
        <v>1918</v>
      </c>
      <c r="BS653" s="286">
        <v>2032</v>
      </c>
      <c r="BT653" s="286"/>
      <c r="BU653" s="286">
        <v>845</v>
      </c>
      <c r="BV653" s="286">
        <v>915</v>
      </c>
      <c r="BW653" s="286"/>
      <c r="BX653" s="286">
        <v>242</v>
      </c>
      <c r="BY653" s="286">
        <v>242</v>
      </c>
      <c r="BZ653" s="286"/>
      <c r="CA653" s="286">
        <v>522</v>
      </c>
      <c r="CB653" s="286">
        <v>629</v>
      </c>
      <c r="CC653" s="286"/>
      <c r="CD653" s="286">
        <v>495</v>
      </c>
      <c r="CE653" s="286">
        <v>675</v>
      </c>
      <c r="CF653" s="286"/>
      <c r="CG653" s="286">
        <v>725</v>
      </c>
      <c r="CH653" s="286">
        <v>707</v>
      </c>
      <c r="CI653" s="286"/>
      <c r="CJ653" s="286">
        <v>0</v>
      </c>
      <c r="CK653" s="286">
        <v>0</v>
      </c>
    </row>
    <row r="654" spans="1:89" ht="30" x14ac:dyDescent="0.25">
      <c r="A654" s="264"/>
      <c r="B654" s="312"/>
      <c r="C654" s="312" t="s">
        <v>1504</v>
      </c>
      <c r="D654" s="95"/>
      <c r="E654" s="282"/>
      <c r="F654" s="282"/>
      <c r="G654" s="282"/>
      <c r="H654" s="282">
        <v>3863</v>
      </c>
      <c r="I654" s="282">
        <v>4039</v>
      </c>
      <c r="J654" s="282">
        <v>3924</v>
      </c>
      <c r="K654" s="282">
        <v>3960</v>
      </c>
      <c r="L654" s="282">
        <v>0</v>
      </c>
      <c r="M654" s="282">
        <v>707</v>
      </c>
      <c r="N654" s="282">
        <v>518</v>
      </c>
      <c r="Q654" s="286">
        <f>S654+V654+Y654+AB654+AE654+AH654+AK654+AN654+AQ654+AT654+AW654+AZ654+BC654+BF654+BI654+BL654+BO654+BR654+BU654+BX654+CA654+CD654+CG654+CJ654</f>
        <v>3960</v>
      </c>
      <c r="R654" s="286">
        <f>T654+W654+Z654+AC654+AF654+AI654+AL654+AO654+AR654+AU654+AX654+BA654+BD654+BG654+BJ654+BM654+BP654+BS654+BV654+BY654+CB654+CE654+CH654+CK654</f>
        <v>4598</v>
      </c>
      <c r="S654" s="286">
        <v>321</v>
      </c>
      <c r="T654" s="286">
        <v>322</v>
      </c>
      <c r="U654" s="286"/>
      <c r="V654" s="286">
        <v>128</v>
      </c>
      <c r="W654" s="286">
        <v>139</v>
      </c>
      <c r="X654" s="286"/>
      <c r="Y654" s="286">
        <v>431</v>
      </c>
      <c r="Z654" s="286">
        <v>724</v>
      </c>
      <c r="AA654" s="286"/>
      <c r="AB654" s="286">
        <v>981</v>
      </c>
      <c r="AC654" s="286">
        <v>958</v>
      </c>
      <c r="AD654" s="286"/>
      <c r="AE654" s="286">
        <v>223</v>
      </c>
      <c r="AF654" s="286">
        <v>242</v>
      </c>
      <c r="AG654" s="286"/>
      <c r="AH654" s="286">
        <v>633</v>
      </c>
      <c r="AI654" s="286">
        <v>701</v>
      </c>
      <c r="AJ654" s="286"/>
      <c r="AK654" s="286">
        <v>65</v>
      </c>
      <c r="AL654" s="286">
        <v>67</v>
      </c>
      <c r="AM654" s="286"/>
      <c r="AN654" s="286">
        <v>365</v>
      </c>
      <c r="AO654" s="286">
        <v>495</v>
      </c>
      <c r="AP654" s="286"/>
      <c r="AQ654" s="286">
        <v>771</v>
      </c>
      <c r="AR654" s="286">
        <v>858</v>
      </c>
      <c r="AS654" s="286"/>
      <c r="AT654" s="286">
        <v>0</v>
      </c>
      <c r="AU654" s="286">
        <v>0</v>
      </c>
      <c r="AV654" s="286"/>
      <c r="AW654" s="286">
        <v>0</v>
      </c>
      <c r="AX654" s="286">
        <v>0</v>
      </c>
      <c r="AY654" s="286"/>
      <c r="AZ654" s="286">
        <v>0</v>
      </c>
      <c r="BA654" s="286">
        <v>0</v>
      </c>
      <c r="BB654" s="286"/>
      <c r="BC654" s="286">
        <v>0</v>
      </c>
      <c r="BD654" s="286">
        <v>0</v>
      </c>
      <c r="BE654" s="286"/>
      <c r="BF654" s="286">
        <v>0</v>
      </c>
      <c r="BG654" s="286">
        <v>0</v>
      </c>
      <c r="BH654" s="286"/>
      <c r="BI654" s="286">
        <v>0</v>
      </c>
      <c r="BJ654" s="286">
        <v>0</v>
      </c>
      <c r="BK654" s="286"/>
      <c r="BL654" s="286">
        <v>0</v>
      </c>
      <c r="BM654" s="286">
        <v>0</v>
      </c>
      <c r="BN654" s="286"/>
      <c r="BO654" s="286">
        <v>0</v>
      </c>
      <c r="BP654" s="286">
        <v>0</v>
      </c>
      <c r="BQ654" s="286"/>
      <c r="BR654" s="286">
        <v>0</v>
      </c>
      <c r="BS654" s="286">
        <v>0</v>
      </c>
      <c r="BT654" s="286"/>
      <c r="BU654" s="286">
        <v>0</v>
      </c>
      <c r="BV654" s="286">
        <v>0</v>
      </c>
      <c r="BW654" s="286"/>
      <c r="BX654" s="286">
        <v>0</v>
      </c>
      <c r="BY654" s="286">
        <v>0</v>
      </c>
      <c r="BZ654" s="286"/>
      <c r="CA654" s="286">
        <v>0</v>
      </c>
      <c r="CB654" s="286">
        <v>0</v>
      </c>
      <c r="CC654" s="286"/>
      <c r="CD654" s="286">
        <v>0</v>
      </c>
      <c r="CE654" s="286">
        <v>0</v>
      </c>
      <c r="CF654" s="286"/>
      <c r="CG654" s="286">
        <v>42</v>
      </c>
      <c r="CH654" s="286">
        <v>92</v>
      </c>
      <c r="CI654" s="286"/>
      <c r="CJ654" s="286">
        <v>0</v>
      </c>
      <c r="CK654" s="286">
        <v>0</v>
      </c>
    </row>
    <row r="655" spans="1:89" x14ac:dyDescent="0.25">
      <c r="A655" s="264"/>
      <c r="B655" s="332" t="s">
        <v>1184</v>
      </c>
      <c r="C655" s="95"/>
      <c r="D655" s="95"/>
      <c r="E655" s="282"/>
      <c r="F655" s="282"/>
      <c r="G655" s="282"/>
      <c r="H655" s="282">
        <f>H656+H657</f>
        <v>106</v>
      </c>
      <c r="I655" s="282">
        <f>I656+I657</f>
        <v>111</v>
      </c>
      <c r="J655" s="282">
        <f>J656+J657</f>
        <v>152</v>
      </c>
      <c r="K655" s="282">
        <f>K656+K657</f>
        <v>160</v>
      </c>
      <c r="L655" s="282">
        <f>L656+L657</f>
        <v>0</v>
      </c>
      <c r="M655" s="282">
        <f t="shared" ref="M655:N655" si="1049">M656+M657</f>
        <v>0</v>
      </c>
      <c r="N655" s="282">
        <f t="shared" si="1049"/>
        <v>0</v>
      </c>
      <c r="Q655" s="305"/>
      <c r="R655" s="305"/>
      <c r="S655" s="305"/>
      <c r="T655" s="302"/>
      <c r="U655" s="305"/>
      <c r="V655" s="305"/>
      <c r="W655" s="302"/>
      <c r="X655" s="305"/>
      <c r="Y655" s="305"/>
      <c r="Z655" s="302"/>
      <c r="AA655" s="305"/>
      <c r="AB655" s="305"/>
      <c r="AC655" s="302"/>
      <c r="AD655" s="305"/>
      <c r="AE655" s="305"/>
      <c r="AF655" s="302"/>
      <c r="AG655" s="305"/>
      <c r="AH655" s="305"/>
      <c r="AI655" s="302"/>
      <c r="AJ655" s="305"/>
      <c r="AK655" s="305"/>
      <c r="AL655" s="302"/>
      <c r="AM655" s="305"/>
      <c r="AN655" s="305"/>
      <c r="AO655" s="302"/>
      <c r="AP655" s="305"/>
      <c r="AQ655" s="305"/>
      <c r="AR655" s="302"/>
      <c r="AS655" s="305"/>
      <c r="AT655" s="305"/>
      <c r="AU655" s="302"/>
      <c r="AV655" s="305"/>
      <c r="AW655" s="305"/>
      <c r="AX655" s="302"/>
      <c r="AY655" s="305"/>
      <c r="AZ655" s="305"/>
      <c r="BA655" s="302"/>
      <c r="BB655" s="305"/>
      <c r="BC655" s="305"/>
      <c r="BD655" s="302"/>
      <c r="BE655" s="305"/>
      <c r="BF655" s="305"/>
      <c r="BG655" s="302"/>
      <c r="BH655" s="305"/>
      <c r="BI655" s="305"/>
      <c r="BJ655" s="302"/>
      <c r="BK655" s="305"/>
      <c r="BL655" s="305"/>
      <c r="BM655" s="302"/>
      <c r="BN655" s="305"/>
      <c r="BO655" s="305"/>
      <c r="BP655" s="302"/>
      <c r="BQ655" s="305"/>
      <c r="BR655" s="305"/>
      <c r="BS655" s="302"/>
      <c r="BT655" s="305"/>
      <c r="BU655" s="305"/>
      <c r="BV655" s="302"/>
      <c r="BW655" s="305"/>
      <c r="BX655" s="305"/>
      <c r="BY655" s="302"/>
      <c r="BZ655" s="305"/>
      <c r="CA655" s="305"/>
      <c r="CB655" s="302"/>
      <c r="CC655" s="305"/>
      <c r="CD655" s="305"/>
      <c r="CE655" s="302"/>
      <c r="CF655" s="305"/>
      <c r="CG655" s="305"/>
      <c r="CH655" s="302"/>
      <c r="CI655" s="305"/>
      <c r="CJ655" s="305"/>
      <c r="CK655" s="305"/>
    </row>
    <row r="656" spans="1:89" ht="30" x14ac:dyDescent="0.25">
      <c r="A656" s="264"/>
      <c r="B656" s="312"/>
      <c r="C656" s="312" t="s">
        <v>1504</v>
      </c>
      <c r="D656" s="95"/>
      <c r="E656" s="282"/>
      <c r="F656" s="282"/>
      <c r="G656" s="282"/>
      <c r="H656" s="282">
        <v>106</v>
      </c>
      <c r="I656" s="282">
        <v>111</v>
      </c>
      <c r="J656" s="282">
        <v>152</v>
      </c>
      <c r="K656" s="282">
        <v>160</v>
      </c>
      <c r="L656" s="282">
        <v>0</v>
      </c>
      <c r="M656" s="282">
        <v>0</v>
      </c>
      <c r="N656" s="282">
        <v>0</v>
      </c>
      <c r="Q656" s="286">
        <f>S656+V656+Y656+AB656+AE656+AH656+AK656+AN656+AQ656+AT656+AW656+AZ656+BC656+BF656+BI656+BL656+BO656+BR656+BU656+BX656+CA656+CD656+CG656+CJ656</f>
        <v>160</v>
      </c>
      <c r="R656" s="286">
        <f>T656+W656+Z656+AC656+AF656+AI656+AL656+AO656+AR656+AU656+AX656+BA656+BD656+BG656+BJ656+BM656+BP656+BS656+BV656+BY656+CB656+CE656+CH656+CK656</f>
        <v>168</v>
      </c>
      <c r="S656" s="286">
        <v>0</v>
      </c>
      <c r="T656" s="286">
        <v>0</v>
      </c>
      <c r="U656" s="286"/>
      <c r="V656" s="286">
        <v>0</v>
      </c>
      <c r="W656" s="286">
        <v>0</v>
      </c>
      <c r="X656" s="286"/>
      <c r="Y656" s="286">
        <v>0</v>
      </c>
      <c r="Z656" s="286">
        <v>0</v>
      </c>
      <c r="AA656" s="286"/>
      <c r="AB656" s="286">
        <v>0</v>
      </c>
      <c r="AC656" s="286">
        <v>0</v>
      </c>
      <c r="AD656" s="286"/>
      <c r="AE656" s="286">
        <v>0</v>
      </c>
      <c r="AF656" s="286">
        <v>0</v>
      </c>
      <c r="AG656" s="286"/>
      <c r="AH656" s="286">
        <v>0</v>
      </c>
      <c r="AI656" s="286">
        <v>0</v>
      </c>
      <c r="AJ656" s="286"/>
      <c r="AK656" s="286">
        <v>0</v>
      </c>
      <c r="AL656" s="286">
        <v>0</v>
      </c>
      <c r="AM656" s="286"/>
      <c r="AN656" s="286">
        <v>0</v>
      </c>
      <c r="AO656" s="286">
        <v>0</v>
      </c>
      <c r="AP656" s="286"/>
      <c r="AQ656" s="286">
        <v>0</v>
      </c>
      <c r="AR656" s="286">
        <v>0</v>
      </c>
      <c r="AS656" s="286"/>
      <c r="AT656" s="286">
        <v>0</v>
      </c>
      <c r="AU656" s="286">
        <v>0</v>
      </c>
      <c r="AV656" s="286"/>
      <c r="AW656" s="286">
        <v>0</v>
      </c>
      <c r="AX656" s="286">
        <v>0</v>
      </c>
      <c r="AY656" s="286"/>
      <c r="AZ656" s="286">
        <v>0</v>
      </c>
      <c r="BA656" s="286">
        <v>0</v>
      </c>
      <c r="BB656" s="286"/>
      <c r="BC656" s="286">
        <v>24</v>
      </c>
      <c r="BD656" s="286">
        <v>24</v>
      </c>
      <c r="BE656" s="286"/>
      <c r="BF656" s="286">
        <v>12</v>
      </c>
      <c r="BG656" s="286">
        <v>18</v>
      </c>
      <c r="BH656" s="286"/>
      <c r="BI656" s="286">
        <v>94</v>
      </c>
      <c r="BJ656" s="286">
        <v>96</v>
      </c>
      <c r="BK656" s="286"/>
      <c r="BL656" s="286">
        <v>0</v>
      </c>
      <c r="BM656" s="286">
        <v>0</v>
      </c>
      <c r="BN656" s="286"/>
      <c r="BO656" s="286">
        <v>0</v>
      </c>
      <c r="BP656" s="286">
        <v>0</v>
      </c>
      <c r="BQ656" s="286"/>
      <c r="BR656" s="286">
        <v>0</v>
      </c>
      <c r="BS656" s="286">
        <v>0</v>
      </c>
      <c r="BT656" s="286"/>
      <c r="BU656" s="286">
        <v>0</v>
      </c>
      <c r="BV656" s="286">
        <v>0</v>
      </c>
      <c r="BW656" s="286"/>
      <c r="BX656" s="286">
        <v>0</v>
      </c>
      <c r="BY656" s="286">
        <v>0</v>
      </c>
      <c r="BZ656" s="286"/>
      <c r="CA656" s="286">
        <v>0</v>
      </c>
      <c r="CB656" s="286">
        <v>0</v>
      </c>
      <c r="CC656" s="286"/>
      <c r="CD656" s="286">
        <v>30</v>
      </c>
      <c r="CE656" s="286">
        <v>30</v>
      </c>
      <c r="CF656" s="286"/>
      <c r="CG656" s="286">
        <v>0</v>
      </c>
      <c r="CH656" s="286">
        <v>0</v>
      </c>
      <c r="CI656" s="286"/>
      <c r="CJ656" s="286">
        <v>0</v>
      </c>
      <c r="CK656" s="286">
        <v>0</v>
      </c>
    </row>
    <row r="657" spans="1:89" ht="30" x14ac:dyDescent="0.25">
      <c r="A657" s="264"/>
      <c r="B657" s="312"/>
      <c r="C657" s="312" t="s">
        <v>1504</v>
      </c>
      <c r="D657" s="95"/>
      <c r="E657" s="282"/>
      <c r="F657" s="282"/>
      <c r="G657" s="282"/>
      <c r="H657" s="282">
        <v>0</v>
      </c>
      <c r="I657" s="282">
        <v>0</v>
      </c>
      <c r="J657" s="282">
        <v>0</v>
      </c>
      <c r="K657" s="282">
        <v>0</v>
      </c>
      <c r="L657" s="282">
        <v>0</v>
      </c>
      <c r="M657" s="282">
        <v>0</v>
      </c>
      <c r="N657" s="282">
        <v>0</v>
      </c>
      <c r="Q657" s="286">
        <f>S657+V657+Y657+AB657+AE657+AH657+AK657+AN657+AQ657+AT657+AW657+AZ657+BC657+BF657+BI657+BL657+BO657+BR657+BU657+BX657+CA657+CD657+CG657+CJ657</f>
        <v>0</v>
      </c>
      <c r="R657" s="286">
        <f>T657+W657+Z657+AC657+AF657+AI657+AL657+AO657+AR657+AU657+AX657+BA657+BD657+BG657+BJ657+BM657+BP657+BS657+BV657+BY657+CB657+CE657+CH657+CK657</f>
        <v>0</v>
      </c>
      <c r="S657" s="286">
        <v>0</v>
      </c>
      <c r="T657" s="286">
        <v>0</v>
      </c>
      <c r="U657" s="286"/>
      <c r="V657" s="286">
        <v>0</v>
      </c>
      <c r="W657" s="286">
        <v>0</v>
      </c>
      <c r="X657" s="286"/>
      <c r="Y657" s="286">
        <v>0</v>
      </c>
      <c r="Z657" s="286">
        <v>0</v>
      </c>
      <c r="AA657" s="286"/>
      <c r="AB657" s="286">
        <v>0</v>
      </c>
      <c r="AC657" s="286">
        <v>0</v>
      </c>
      <c r="AD657" s="286"/>
      <c r="AE657" s="286">
        <v>0</v>
      </c>
      <c r="AF657" s="286">
        <v>0</v>
      </c>
      <c r="AG657" s="286"/>
      <c r="AH657" s="286">
        <v>0</v>
      </c>
      <c r="AI657" s="286">
        <v>0</v>
      </c>
      <c r="AJ657" s="286"/>
      <c r="AK657" s="286">
        <v>0</v>
      </c>
      <c r="AL657" s="286">
        <v>0</v>
      </c>
      <c r="AM657" s="286"/>
      <c r="AN657" s="286">
        <v>0</v>
      </c>
      <c r="AO657" s="286">
        <v>0</v>
      </c>
      <c r="AP657" s="286"/>
      <c r="AQ657" s="286">
        <v>0</v>
      </c>
      <c r="AR657" s="286">
        <v>0</v>
      </c>
      <c r="AS657" s="286"/>
      <c r="AT657" s="286">
        <v>0</v>
      </c>
      <c r="AU657" s="286">
        <v>0</v>
      </c>
      <c r="AV657" s="286"/>
      <c r="AW657" s="286">
        <v>0</v>
      </c>
      <c r="AX657" s="286">
        <v>0</v>
      </c>
      <c r="AY657" s="286"/>
      <c r="AZ657" s="286">
        <v>0</v>
      </c>
      <c r="BA657" s="286">
        <v>0</v>
      </c>
      <c r="BB657" s="286"/>
      <c r="BC657" s="286">
        <v>0</v>
      </c>
      <c r="BD657" s="286">
        <v>0</v>
      </c>
      <c r="BE657" s="286"/>
      <c r="BF657" s="286">
        <v>0</v>
      </c>
      <c r="BG657" s="286">
        <v>0</v>
      </c>
      <c r="BH657" s="286"/>
      <c r="BI657" s="286">
        <v>0</v>
      </c>
      <c r="BJ657" s="286">
        <v>0</v>
      </c>
      <c r="BK657" s="286"/>
      <c r="BL657" s="286">
        <v>0</v>
      </c>
      <c r="BM657" s="286">
        <v>0</v>
      </c>
      <c r="BN657" s="286"/>
      <c r="BO657" s="286">
        <v>0</v>
      </c>
      <c r="BP657" s="286">
        <v>0</v>
      </c>
      <c r="BQ657" s="286"/>
      <c r="BR657" s="286">
        <v>0</v>
      </c>
      <c r="BS657" s="286">
        <v>0</v>
      </c>
      <c r="BT657" s="286"/>
      <c r="BU657" s="286">
        <v>0</v>
      </c>
      <c r="BV657" s="286">
        <v>0</v>
      </c>
      <c r="BW657" s="286"/>
      <c r="BX657" s="286">
        <v>0</v>
      </c>
      <c r="BY657" s="286">
        <v>0</v>
      </c>
      <c r="BZ657" s="286"/>
      <c r="CA657" s="286">
        <v>0</v>
      </c>
      <c r="CB657" s="286">
        <v>0</v>
      </c>
      <c r="CC657" s="286"/>
      <c r="CD657" s="286">
        <v>0</v>
      </c>
      <c r="CE657" s="286">
        <v>0</v>
      </c>
      <c r="CF657" s="286"/>
      <c r="CG657" s="286">
        <v>0</v>
      </c>
      <c r="CH657" s="286">
        <v>0</v>
      </c>
      <c r="CI657" s="286"/>
      <c r="CJ657" s="286">
        <v>0</v>
      </c>
      <c r="CK657" s="286">
        <v>0</v>
      </c>
    </row>
    <row r="658" spans="1:89" ht="30" x14ac:dyDescent="0.25">
      <c r="A658" s="262"/>
      <c r="B658" s="16" t="s">
        <v>211</v>
      </c>
      <c r="C658" s="95" t="s">
        <v>212</v>
      </c>
      <c r="D658" s="95" t="s">
        <v>1112</v>
      </c>
      <c r="E658" s="282">
        <v>309</v>
      </c>
      <c r="F658" s="282">
        <v>270</v>
      </c>
      <c r="G658" s="282">
        <v>190</v>
      </c>
      <c r="H658" s="282">
        <v>0</v>
      </c>
      <c r="I658" s="282">
        <v>0</v>
      </c>
      <c r="J658" s="282">
        <v>0</v>
      </c>
      <c r="K658" s="282">
        <v>0</v>
      </c>
      <c r="L658" s="282">
        <v>0</v>
      </c>
      <c r="M658" s="282">
        <v>0</v>
      </c>
      <c r="N658" s="282">
        <v>0</v>
      </c>
      <c r="Q658" s="296"/>
      <c r="R658" s="296"/>
    </row>
    <row r="659" spans="1:89" ht="45" x14ac:dyDescent="0.25">
      <c r="A659" s="262"/>
      <c r="B659" s="16" t="s">
        <v>213</v>
      </c>
      <c r="C659" s="95" t="s">
        <v>1161</v>
      </c>
      <c r="D659" s="95" t="s">
        <v>1112</v>
      </c>
      <c r="E659" s="282">
        <v>65</v>
      </c>
      <c r="F659" s="282">
        <v>68</v>
      </c>
      <c r="G659" s="282">
        <v>134</v>
      </c>
      <c r="H659" s="282">
        <v>0</v>
      </c>
      <c r="I659" s="282">
        <v>0</v>
      </c>
      <c r="J659" s="282">
        <v>0</v>
      </c>
      <c r="K659" s="282">
        <v>0</v>
      </c>
      <c r="L659" s="282">
        <v>0</v>
      </c>
      <c r="M659" s="282">
        <v>0</v>
      </c>
      <c r="N659" s="282">
        <v>0</v>
      </c>
      <c r="Q659" s="296"/>
      <c r="R659" s="296"/>
    </row>
    <row r="660" spans="1:89" ht="30" x14ac:dyDescent="0.25">
      <c r="A660" s="416"/>
      <c r="B660" s="419" t="s">
        <v>154</v>
      </c>
      <c r="C660" s="95" t="s">
        <v>214</v>
      </c>
      <c r="D660" s="95" t="s">
        <v>950</v>
      </c>
      <c r="E660" s="282">
        <v>184018</v>
      </c>
      <c r="F660" s="282">
        <v>189010</v>
      </c>
      <c r="G660" s="282">
        <v>193980</v>
      </c>
      <c r="H660" s="282">
        <f>H663</f>
        <v>201243</v>
      </c>
      <c r="I660" s="282">
        <f>I663</f>
        <v>218290</v>
      </c>
      <c r="J660" s="282">
        <f>J663</f>
        <v>224290</v>
      </c>
      <c r="K660" s="282">
        <f>K663</f>
        <v>230708</v>
      </c>
      <c r="L660" s="282">
        <f>L663</f>
        <v>4793</v>
      </c>
      <c r="M660" s="282">
        <f t="shared" ref="M660:N660" si="1050">M663</f>
        <v>4827</v>
      </c>
      <c r="N660" s="282">
        <f t="shared" si="1050"/>
        <v>4779</v>
      </c>
      <c r="Q660" s="282">
        <f>Q663</f>
        <v>230708</v>
      </c>
      <c r="R660" s="282">
        <f>R663</f>
        <v>235297</v>
      </c>
      <c r="S660" s="282">
        <f>S663</f>
        <v>4363</v>
      </c>
      <c r="T660" s="282">
        <f>T663</f>
        <v>4479</v>
      </c>
      <c r="V660" s="282">
        <f>V663</f>
        <v>3918</v>
      </c>
      <c r="W660" s="282">
        <f>W663</f>
        <v>3933</v>
      </c>
      <c r="Y660" s="282">
        <f>Y663</f>
        <v>4845</v>
      </c>
      <c r="Z660" s="282">
        <f>Z663</f>
        <v>4765</v>
      </c>
      <c r="AB660" s="282">
        <f>AB663</f>
        <v>5312</v>
      </c>
      <c r="AC660" s="282">
        <f>AC663</f>
        <v>5273</v>
      </c>
      <c r="AE660" s="282">
        <f>AE663</f>
        <v>4856</v>
      </c>
      <c r="AF660" s="282">
        <f>AF663</f>
        <v>4683</v>
      </c>
      <c r="AH660" s="282">
        <f>AH663</f>
        <v>4838</v>
      </c>
      <c r="AI660" s="282">
        <f>AI663</f>
        <v>4794</v>
      </c>
      <c r="AK660" s="282">
        <f>AK663</f>
        <v>6268</v>
      </c>
      <c r="AL660" s="282">
        <f>AL663</f>
        <v>6344</v>
      </c>
      <c r="AN660" s="282">
        <f>AN663</f>
        <v>17564</v>
      </c>
      <c r="AO660" s="282">
        <f>AO663</f>
        <v>17592</v>
      </c>
      <c r="AQ660" s="282">
        <f>AQ663</f>
        <v>2466</v>
      </c>
      <c r="AR660" s="282">
        <f>AR663</f>
        <v>2460</v>
      </c>
      <c r="AT660" s="282">
        <f>AT663</f>
        <v>14416</v>
      </c>
      <c r="AU660" s="282">
        <f>AU663</f>
        <v>14902</v>
      </c>
      <c r="AW660" s="282">
        <f>AW663</f>
        <v>5264</v>
      </c>
      <c r="AX660" s="282">
        <f>AX663</f>
        <v>5333</v>
      </c>
      <c r="AZ660" s="282">
        <f>AZ663</f>
        <v>7837</v>
      </c>
      <c r="BA660" s="282">
        <f>BA663</f>
        <v>7714</v>
      </c>
      <c r="BC660" s="282">
        <f>BC663</f>
        <v>16290</v>
      </c>
      <c r="BD660" s="282">
        <f>BD663</f>
        <v>16391</v>
      </c>
      <c r="BF660" s="282">
        <f>BF663</f>
        <v>34166</v>
      </c>
      <c r="BG660" s="282">
        <f>BG663</f>
        <v>35124</v>
      </c>
      <c r="BI660" s="282">
        <f>BI663</f>
        <v>53419</v>
      </c>
      <c r="BJ660" s="282">
        <f>BJ663</f>
        <v>55944</v>
      </c>
      <c r="BL660" s="282">
        <f>BL663</f>
        <v>5579</v>
      </c>
      <c r="BM660" s="282">
        <f>BM663</f>
        <v>5559</v>
      </c>
      <c r="BO660" s="282">
        <f>BO663</f>
        <v>5285</v>
      </c>
      <c r="BP660" s="282">
        <f>BP663</f>
        <v>5319</v>
      </c>
      <c r="BR660" s="282">
        <f>BR663</f>
        <v>8157</v>
      </c>
      <c r="BS660" s="282">
        <f>BS663</f>
        <v>8226</v>
      </c>
      <c r="BU660" s="282">
        <f>BU663</f>
        <v>8007</v>
      </c>
      <c r="BV660" s="282">
        <f>BV663</f>
        <v>8079</v>
      </c>
      <c r="BX660" s="282">
        <f>BX663</f>
        <v>2132</v>
      </c>
      <c r="BY660" s="282">
        <f>BY663</f>
        <v>2196</v>
      </c>
      <c r="CA660" s="282">
        <f>CA663</f>
        <v>6015</v>
      </c>
      <c r="CB660" s="282">
        <f>CB663</f>
        <v>6446</v>
      </c>
      <c r="CD660" s="282">
        <f>CD663</f>
        <v>6526</v>
      </c>
      <c r="CE660" s="282">
        <f>CE663</f>
        <v>6562</v>
      </c>
      <c r="CG660" s="282">
        <f>CG663</f>
        <v>3185</v>
      </c>
      <c r="CH660" s="282">
        <f>CH663</f>
        <v>3179</v>
      </c>
      <c r="CJ660" s="282">
        <f>CJ663</f>
        <v>0</v>
      </c>
      <c r="CK660" s="282">
        <f>CK663</f>
        <v>0</v>
      </c>
    </row>
    <row r="661" spans="1:89" ht="30" x14ac:dyDescent="0.25">
      <c r="A661" s="418"/>
      <c r="B661" s="421"/>
      <c r="C661" s="95" t="s">
        <v>214</v>
      </c>
      <c r="D661" s="95" t="s">
        <v>950</v>
      </c>
      <c r="E661" s="282">
        <v>833</v>
      </c>
      <c r="F661" s="282">
        <v>883</v>
      </c>
      <c r="G661" s="282">
        <v>948</v>
      </c>
      <c r="H661" s="282">
        <f>H668</f>
        <v>826</v>
      </c>
      <c r="I661" s="282">
        <f>I668</f>
        <v>910</v>
      </c>
      <c r="J661" s="282">
        <f>J668</f>
        <v>923</v>
      </c>
      <c r="K661" s="282">
        <f>K668</f>
        <v>928</v>
      </c>
      <c r="L661" s="282">
        <f>L668</f>
        <v>0</v>
      </c>
      <c r="M661" s="282">
        <f t="shared" ref="M661:N661" si="1051">M668</f>
        <v>0</v>
      </c>
      <c r="N661" s="282">
        <f t="shared" si="1051"/>
        <v>0</v>
      </c>
      <c r="Q661" s="282">
        <f>Q668</f>
        <v>928</v>
      </c>
      <c r="R661" s="282">
        <f>R668</f>
        <v>918</v>
      </c>
      <c r="S661" s="282">
        <f>S668</f>
        <v>0</v>
      </c>
      <c r="T661" s="282">
        <f>T668</f>
        <v>0</v>
      </c>
      <c r="V661" s="282">
        <f>V668</f>
        <v>0</v>
      </c>
      <c r="W661" s="282">
        <f>W668</f>
        <v>0</v>
      </c>
      <c r="Y661" s="282">
        <f>Y668</f>
        <v>0</v>
      </c>
      <c r="Z661" s="282">
        <f>Z668</f>
        <v>0</v>
      </c>
      <c r="AB661" s="282">
        <f>AB668</f>
        <v>0</v>
      </c>
      <c r="AC661" s="282">
        <f>AC668</f>
        <v>0</v>
      </c>
      <c r="AE661" s="282">
        <f>AE668</f>
        <v>0</v>
      </c>
      <c r="AF661" s="282">
        <f>AF668</f>
        <v>0</v>
      </c>
      <c r="AH661" s="282">
        <f>AH668</f>
        <v>0</v>
      </c>
      <c r="AI661" s="282">
        <f>AI668</f>
        <v>0</v>
      </c>
      <c r="AK661" s="282">
        <f>AK668</f>
        <v>0</v>
      </c>
      <c r="AL661" s="282">
        <f>AL668</f>
        <v>0</v>
      </c>
      <c r="AN661" s="282">
        <f>AN668</f>
        <v>0</v>
      </c>
      <c r="AO661" s="282">
        <f>AO668</f>
        <v>0</v>
      </c>
      <c r="AQ661" s="282">
        <f>AQ668</f>
        <v>0</v>
      </c>
      <c r="AR661" s="282">
        <f>AR668</f>
        <v>0</v>
      </c>
      <c r="AT661" s="282">
        <f>AT668</f>
        <v>0</v>
      </c>
      <c r="AU661" s="282">
        <f>AU668</f>
        <v>0</v>
      </c>
      <c r="AW661" s="282">
        <f>AW668</f>
        <v>0</v>
      </c>
      <c r="AX661" s="282">
        <f>AX668</f>
        <v>0</v>
      </c>
      <c r="AZ661" s="282">
        <f>AZ668</f>
        <v>0</v>
      </c>
      <c r="BA661" s="282">
        <f>BA668</f>
        <v>0</v>
      </c>
      <c r="BC661" s="282">
        <f>BC668</f>
        <v>187</v>
      </c>
      <c r="BD661" s="282">
        <f>BD668</f>
        <v>188</v>
      </c>
      <c r="BF661" s="282">
        <f>BF668</f>
        <v>187</v>
      </c>
      <c r="BG661" s="282">
        <f>BG668</f>
        <v>179</v>
      </c>
      <c r="BI661" s="282">
        <f>BI668</f>
        <v>436</v>
      </c>
      <c r="BJ661" s="282">
        <f>BJ668</f>
        <v>424</v>
      </c>
      <c r="BL661" s="282">
        <f>BL668</f>
        <v>0</v>
      </c>
      <c r="BM661" s="282">
        <f>BM668</f>
        <v>0</v>
      </c>
      <c r="BO661" s="282">
        <f>BO668</f>
        <v>0</v>
      </c>
      <c r="BP661" s="282">
        <f>BP668</f>
        <v>0</v>
      </c>
      <c r="BR661" s="282">
        <f>BR668</f>
        <v>0</v>
      </c>
      <c r="BS661" s="282">
        <f>BS668</f>
        <v>0</v>
      </c>
      <c r="BU661" s="282">
        <f>BU668</f>
        <v>0</v>
      </c>
      <c r="BV661" s="282">
        <f>BV668</f>
        <v>0</v>
      </c>
      <c r="BX661" s="282">
        <f>BX668</f>
        <v>0</v>
      </c>
      <c r="BY661" s="282">
        <f>BY668</f>
        <v>0</v>
      </c>
      <c r="CA661" s="282">
        <f>CA668</f>
        <v>0</v>
      </c>
      <c r="CB661" s="282">
        <f>CB668</f>
        <v>0</v>
      </c>
      <c r="CD661" s="282">
        <f>CD668</f>
        <v>118</v>
      </c>
      <c r="CE661" s="282">
        <f>CE668</f>
        <v>127</v>
      </c>
      <c r="CG661" s="282">
        <f>CG668</f>
        <v>0</v>
      </c>
      <c r="CH661" s="282">
        <f>CH668</f>
        <v>0</v>
      </c>
      <c r="CJ661" s="282">
        <f>CJ668</f>
        <v>0</v>
      </c>
      <c r="CK661" s="282">
        <f>CK668</f>
        <v>0</v>
      </c>
    </row>
    <row r="662" spans="1:89" ht="30" x14ac:dyDescent="0.25">
      <c r="A662" s="262"/>
      <c r="B662" s="16" t="s">
        <v>215</v>
      </c>
      <c r="C662" s="95" t="s">
        <v>216</v>
      </c>
      <c r="D662" s="95" t="s">
        <v>950</v>
      </c>
      <c r="E662" s="282">
        <v>2557</v>
      </c>
      <c r="F662" s="282">
        <v>1657</v>
      </c>
      <c r="G662" s="282">
        <v>1325</v>
      </c>
      <c r="H662" s="282">
        <v>0</v>
      </c>
      <c r="I662" s="282">
        <v>0</v>
      </c>
      <c r="J662" s="282">
        <v>0</v>
      </c>
      <c r="K662" s="282">
        <v>0</v>
      </c>
      <c r="L662" s="282">
        <v>0</v>
      </c>
      <c r="M662" s="282">
        <v>0</v>
      </c>
      <c r="N662" s="282">
        <v>0</v>
      </c>
      <c r="Q662" s="282">
        <v>0</v>
      </c>
      <c r="R662" s="282">
        <v>0</v>
      </c>
      <c r="S662" s="282">
        <v>0</v>
      </c>
      <c r="T662" s="282">
        <v>0</v>
      </c>
      <c r="V662" s="282">
        <v>0</v>
      </c>
      <c r="W662" s="282">
        <v>0</v>
      </c>
      <c r="Y662" s="282">
        <v>0</v>
      </c>
      <c r="Z662" s="282">
        <v>0</v>
      </c>
      <c r="AB662" s="282">
        <v>0</v>
      </c>
      <c r="AC662" s="282">
        <v>0</v>
      </c>
      <c r="AE662" s="282">
        <v>0</v>
      </c>
      <c r="AF662" s="282"/>
      <c r="AH662" s="282">
        <v>0</v>
      </c>
      <c r="AI662" s="282">
        <v>0</v>
      </c>
      <c r="AK662" s="282">
        <v>0</v>
      </c>
      <c r="AL662" s="282">
        <v>0</v>
      </c>
      <c r="AM662" s="333"/>
      <c r="AN662" s="282">
        <v>0</v>
      </c>
      <c r="AO662" s="282">
        <v>0</v>
      </c>
      <c r="AQ662" s="282">
        <v>0</v>
      </c>
      <c r="AR662" s="282">
        <v>0</v>
      </c>
      <c r="AT662" s="282">
        <v>0</v>
      </c>
      <c r="AU662" s="282">
        <v>0</v>
      </c>
      <c r="AW662" s="282">
        <v>0</v>
      </c>
      <c r="AX662" s="282">
        <v>0</v>
      </c>
      <c r="AZ662" s="282">
        <v>0</v>
      </c>
      <c r="BA662" s="282">
        <v>0</v>
      </c>
      <c r="BC662" s="282">
        <v>0</v>
      </c>
      <c r="BD662" s="282">
        <v>0</v>
      </c>
      <c r="BF662" s="282">
        <v>0</v>
      </c>
      <c r="BG662" s="282">
        <v>0</v>
      </c>
      <c r="BI662" s="282">
        <v>0</v>
      </c>
      <c r="BJ662" s="282">
        <v>0</v>
      </c>
      <c r="BL662" s="282">
        <v>0</v>
      </c>
      <c r="BM662" s="282">
        <v>0</v>
      </c>
      <c r="BO662" s="282">
        <v>0</v>
      </c>
      <c r="BP662" s="282">
        <v>0</v>
      </c>
      <c r="BR662" s="282">
        <v>0</v>
      </c>
      <c r="BS662" s="282">
        <v>0</v>
      </c>
      <c r="BU662" s="282">
        <v>0</v>
      </c>
      <c r="BV662" s="282">
        <v>0</v>
      </c>
      <c r="BX662" s="282">
        <v>0</v>
      </c>
      <c r="BY662" s="282">
        <v>0</v>
      </c>
      <c r="CA662" s="282">
        <v>0</v>
      </c>
      <c r="CB662" s="282">
        <v>0</v>
      </c>
      <c r="CD662" s="282">
        <v>0</v>
      </c>
      <c r="CE662" s="282">
        <v>0</v>
      </c>
      <c r="CG662" s="282">
        <v>0</v>
      </c>
      <c r="CH662" s="282">
        <v>0</v>
      </c>
      <c r="CJ662" s="282">
        <v>0</v>
      </c>
      <c r="CK662" s="282">
        <v>0</v>
      </c>
    </row>
    <row r="663" spans="1:89" x14ac:dyDescent="0.25">
      <c r="A663" s="262"/>
      <c r="B663" s="262" t="s">
        <v>1182</v>
      </c>
      <c r="C663" s="95"/>
      <c r="D663" s="95"/>
      <c r="E663" s="282"/>
      <c r="F663" s="282"/>
      <c r="G663" s="282"/>
      <c r="H663" s="282">
        <f>H664+H665+H666+H667</f>
        <v>201243</v>
      </c>
      <c r="I663" s="282">
        <f>I664+I665+I666+I667</f>
        <v>218290</v>
      </c>
      <c r="J663" s="282">
        <f>J664+J665+J666+J667</f>
        <v>224290</v>
      </c>
      <c r="K663" s="282">
        <f>K664+K665+K666+K667</f>
        <v>230708</v>
      </c>
      <c r="L663" s="282">
        <f>L664+L665+L666+L667</f>
        <v>4793</v>
      </c>
      <c r="M663" s="282">
        <f t="shared" ref="M663:N663" si="1052">M664+M665+M666+M667</f>
        <v>4827</v>
      </c>
      <c r="N663" s="282">
        <f t="shared" si="1052"/>
        <v>4779</v>
      </c>
      <c r="Q663" s="282">
        <f>Q664+Q665+Q666+Q667</f>
        <v>230708</v>
      </c>
      <c r="R663" s="282">
        <f>R664+R665+R666+R667</f>
        <v>235297</v>
      </c>
      <c r="S663" s="282">
        <f>S664+S665+S666+S667</f>
        <v>4363</v>
      </c>
      <c r="T663" s="282">
        <f>T664+T665+T666+T667</f>
        <v>4479</v>
      </c>
      <c r="V663" s="282">
        <f>V664+V665+V666+V667</f>
        <v>3918</v>
      </c>
      <c r="W663" s="282">
        <f>W664+W665+W666+W667</f>
        <v>3933</v>
      </c>
      <c r="Y663" s="282">
        <f>Y664+Y665+Y666+Y667</f>
        <v>4845</v>
      </c>
      <c r="Z663" s="282">
        <f>Z664+Z665+Z666+Z667</f>
        <v>4765</v>
      </c>
      <c r="AB663" s="282">
        <f>AB664+AB665+AB666+AB667</f>
        <v>5312</v>
      </c>
      <c r="AC663" s="282">
        <f>AC664+AC665+AC666+AC667</f>
        <v>5273</v>
      </c>
      <c r="AE663" s="282">
        <f>AE664+AE665+AE666+AE667</f>
        <v>4856</v>
      </c>
      <c r="AF663" s="282">
        <f>AF664+AF665+AF666+AF667</f>
        <v>4683</v>
      </c>
      <c r="AH663" s="282">
        <f>AH664+AH665+AH666+AH667</f>
        <v>4838</v>
      </c>
      <c r="AI663" s="282">
        <f>AI664+AI665+AI666+AI667</f>
        <v>4794</v>
      </c>
      <c r="AK663" s="282">
        <f>AK664+AK665+AK666+AK667</f>
        <v>6268</v>
      </c>
      <c r="AL663" s="282">
        <f>AL664+AL665+AL666+AL667</f>
        <v>6344</v>
      </c>
      <c r="AN663" s="282">
        <f>AN664+AN665+AN666+AN667</f>
        <v>17564</v>
      </c>
      <c r="AO663" s="282">
        <f>AO664+AO665+AO666+AO667</f>
        <v>17592</v>
      </c>
      <c r="AQ663" s="282">
        <f>AQ664+AQ665+AQ666+AQ667</f>
        <v>2466</v>
      </c>
      <c r="AR663" s="282">
        <f>AR664+AR665+AR666+AR667</f>
        <v>2460</v>
      </c>
      <c r="AT663" s="282">
        <f>AT664+AT665+AT666+AT667</f>
        <v>14416</v>
      </c>
      <c r="AU663" s="282">
        <f>AU664+AU665+AU666+AU667</f>
        <v>14902</v>
      </c>
      <c r="AW663" s="282">
        <f>AW664+AW665+AW666+AW667</f>
        <v>5264</v>
      </c>
      <c r="AX663" s="282">
        <f>AX664+AX665+AX666+AX667</f>
        <v>5333</v>
      </c>
      <c r="AZ663" s="282">
        <f>AZ664+AZ665+AZ666+AZ667</f>
        <v>7837</v>
      </c>
      <c r="BA663" s="282">
        <f>BA664+BA665+BA666+BA667</f>
        <v>7714</v>
      </c>
      <c r="BC663" s="282">
        <f>BC664+BC665+BC666+BC667</f>
        <v>16290</v>
      </c>
      <c r="BD663" s="282">
        <f>BD664+BD665+BD666+BD667</f>
        <v>16391</v>
      </c>
      <c r="BF663" s="282">
        <f>BF664+BF665+BF666+BF667</f>
        <v>34166</v>
      </c>
      <c r="BG663" s="282">
        <f>BG664+BG665+BG666+BG667</f>
        <v>35124</v>
      </c>
      <c r="BI663" s="282">
        <f>BI664+BI665+BI666+BI667</f>
        <v>53419</v>
      </c>
      <c r="BJ663" s="282">
        <f>BJ664+BJ665+BJ666+BJ667</f>
        <v>55944</v>
      </c>
      <c r="BL663" s="282">
        <f>BL664+BL665+BL666+BL667</f>
        <v>5579</v>
      </c>
      <c r="BM663" s="282">
        <f>BM664+BM665+BM666+BM667</f>
        <v>5559</v>
      </c>
      <c r="BO663" s="282">
        <f>BO664+BO665+BO666+BO667</f>
        <v>5285</v>
      </c>
      <c r="BP663" s="282">
        <f>BP664+BP665+BP666+BP667</f>
        <v>5319</v>
      </c>
      <c r="BR663" s="282">
        <f>BR664+BR665+BR666+BR667</f>
        <v>8157</v>
      </c>
      <c r="BS663" s="282">
        <f>BS664+BS665+BS666+BS667</f>
        <v>8226</v>
      </c>
      <c r="BU663" s="282">
        <f>BU664+BU665+BU666+BU667</f>
        <v>8007</v>
      </c>
      <c r="BV663" s="282">
        <f>BV664+BV665+BV666+BV667</f>
        <v>8079</v>
      </c>
      <c r="BX663" s="282">
        <f>BX664+BX665+BX666+BX667</f>
        <v>2132</v>
      </c>
      <c r="BY663" s="282">
        <f>BY664+BY665+BY666+BY667</f>
        <v>2196</v>
      </c>
      <c r="CA663" s="282">
        <f>CA664+CA665+CA666+CA667</f>
        <v>6015</v>
      </c>
      <c r="CB663" s="282">
        <f>CB664+CB665+CB666+CB667</f>
        <v>6446</v>
      </c>
      <c r="CD663" s="282">
        <f>CD664+CD665+CD666+CD667</f>
        <v>6526</v>
      </c>
      <c r="CE663" s="282">
        <f>CE664+CE665+CE666+CE667</f>
        <v>6562</v>
      </c>
      <c r="CG663" s="282">
        <f>CG664+CG665+CG666+CG667</f>
        <v>3185</v>
      </c>
      <c r="CH663" s="282">
        <f>CH664+CH665+CH666+CH667</f>
        <v>3179</v>
      </c>
      <c r="CJ663" s="282">
        <f>CJ664+CJ665+CJ666+CJ667</f>
        <v>0</v>
      </c>
      <c r="CK663" s="282">
        <f>CK664+CK665+CK666+CK667</f>
        <v>0</v>
      </c>
    </row>
    <row r="664" spans="1:89" ht="30" x14ac:dyDescent="0.25">
      <c r="A664" s="262"/>
      <c r="B664" s="312"/>
      <c r="C664" s="312" t="s">
        <v>1499</v>
      </c>
      <c r="D664" s="95"/>
      <c r="E664" s="282"/>
      <c r="F664" s="282"/>
      <c r="G664" s="282"/>
      <c r="H664" s="282">
        <v>183749</v>
      </c>
      <c r="I664" s="282">
        <v>190827</v>
      </c>
      <c r="J664" s="282">
        <f>J501</f>
        <v>196998</v>
      </c>
      <c r="K664" s="282">
        <f>K501</f>
        <v>203456</v>
      </c>
      <c r="L664" s="282">
        <f>L501</f>
        <v>2473</v>
      </c>
      <c r="M664" s="282">
        <f>M501</f>
        <v>2445</v>
      </c>
      <c r="N664" s="282">
        <f>N501</f>
        <v>2465</v>
      </c>
      <c r="O664" s="286"/>
      <c r="Q664" s="286">
        <f t="shared" ref="Q664:R667" si="1053">S664+V664+Y664+AB664+AE664+AH664+AK664+AN664+AQ664+AT664+AW664+AZ664+BC664+BF664+BI664+BL664+BO664+BR664+BU664+BX664+CA664+CD664+CG664+CJ664</f>
        <v>203456</v>
      </c>
      <c r="R664" s="286">
        <f t="shared" si="1053"/>
        <v>208017</v>
      </c>
      <c r="S664" s="286">
        <f>S501</f>
        <v>2663</v>
      </c>
      <c r="T664" s="286">
        <f>T501</f>
        <v>2792</v>
      </c>
      <c r="U664" s="286"/>
      <c r="V664" s="286">
        <f>V501</f>
        <v>2155</v>
      </c>
      <c r="W664" s="286">
        <f>W501</f>
        <v>2134</v>
      </c>
      <c r="X664" s="286"/>
      <c r="Y664" s="286">
        <f>Y501</f>
        <v>2960</v>
      </c>
      <c r="Z664" s="286">
        <f>Z501</f>
        <v>2929</v>
      </c>
      <c r="AA664" s="286"/>
      <c r="AB664" s="286">
        <f>AB501</f>
        <v>2897</v>
      </c>
      <c r="AC664" s="286">
        <f>AC501</f>
        <v>2920</v>
      </c>
      <c r="AD664" s="286"/>
      <c r="AE664" s="286">
        <f>AE501</f>
        <v>2898</v>
      </c>
      <c r="AF664" s="286">
        <f>AF501</f>
        <v>2904</v>
      </c>
      <c r="AG664" s="286"/>
      <c r="AH664" s="286">
        <f>AH501</f>
        <v>2486</v>
      </c>
      <c r="AI664" s="286">
        <f>AI501</f>
        <v>2473</v>
      </c>
      <c r="AJ664" s="286"/>
      <c r="AK664" s="286">
        <f>AK501</f>
        <v>5978</v>
      </c>
      <c r="AL664" s="286">
        <f>AL501</f>
        <v>6056</v>
      </c>
      <c r="AM664" s="286"/>
      <c r="AN664" s="286">
        <f>AN501</f>
        <v>11912</v>
      </c>
      <c r="AO664" s="286">
        <f>AO501</f>
        <v>11964</v>
      </c>
      <c r="AP664" s="286"/>
      <c r="AQ664" s="286">
        <f>AQ501</f>
        <v>0</v>
      </c>
      <c r="AR664" s="286">
        <f>AR501</f>
        <v>0</v>
      </c>
      <c r="AS664" s="286"/>
      <c r="AT664" s="286">
        <f>AT501</f>
        <v>14061</v>
      </c>
      <c r="AU664" s="286">
        <f>AU501</f>
        <v>14547</v>
      </c>
      <c r="AV664" s="286"/>
      <c r="AW664" s="286">
        <f>AW501</f>
        <v>5264</v>
      </c>
      <c r="AX664" s="286">
        <f>AX501</f>
        <v>5333</v>
      </c>
      <c r="AY664" s="286"/>
      <c r="AZ664" s="286">
        <f>AZ501</f>
        <v>7294</v>
      </c>
      <c r="BA664" s="286">
        <f>BA501</f>
        <v>7206</v>
      </c>
      <c r="BB664" s="286"/>
      <c r="BC664" s="286">
        <f>BC501</f>
        <v>14540</v>
      </c>
      <c r="BD664" s="286">
        <f>BD501</f>
        <v>14814</v>
      </c>
      <c r="BE664" s="286"/>
      <c r="BF664" s="286">
        <f>BF501</f>
        <v>34074</v>
      </c>
      <c r="BG664" s="286">
        <f>BG501</f>
        <v>34891</v>
      </c>
      <c r="BH664" s="286"/>
      <c r="BI664" s="286">
        <f>BI501</f>
        <v>51527</v>
      </c>
      <c r="BJ664" s="286">
        <f>BJ501</f>
        <v>53886</v>
      </c>
      <c r="BK664" s="286"/>
      <c r="BL664" s="286">
        <f>BL501</f>
        <v>5579</v>
      </c>
      <c r="BM664" s="286">
        <f>BM501</f>
        <v>5559</v>
      </c>
      <c r="BN664" s="286"/>
      <c r="BO664" s="286">
        <f>BO501</f>
        <v>5285</v>
      </c>
      <c r="BP664" s="286">
        <f>BP501</f>
        <v>5319</v>
      </c>
      <c r="BQ664" s="286"/>
      <c r="BR664" s="286">
        <f>BR501</f>
        <v>8022</v>
      </c>
      <c r="BS664" s="286">
        <f>BS501</f>
        <v>8109</v>
      </c>
      <c r="BT664" s="286"/>
      <c r="BU664" s="286">
        <f>BU501</f>
        <v>8007</v>
      </c>
      <c r="BV664" s="286">
        <f>BV501</f>
        <v>8079</v>
      </c>
      <c r="BW664" s="286"/>
      <c r="BX664" s="286">
        <f>BX501</f>
        <v>2132</v>
      </c>
      <c r="BY664" s="286">
        <f>BY501</f>
        <v>2196</v>
      </c>
      <c r="BZ664" s="286"/>
      <c r="CA664" s="286">
        <f>CA501</f>
        <v>5721</v>
      </c>
      <c r="CB664" s="286">
        <f>CB501</f>
        <v>5816</v>
      </c>
      <c r="CC664" s="286"/>
      <c r="CD664" s="286">
        <f>CD501</f>
        <v>5310</v>
      </c>
      <c r="CE664" s="286">
        <f>CE501</f>
        <v>5416</v>
      </c>
      <c r="CF664" s="286"/>
      <c r="CG664" s="286">
        <f>CG501</f>
        <v>2691</v>
      </c>
      <c r="CH664" s="286">
        <f>CH501</f>
        <v>2674</v>
      </c>
      <c r="CI664" s="286"/>
      <c r="CJ664" s="286">
        <f>CJ501</f>
        <v>0</v>
      </c>
      <c r="CK664" s="286">
        <f>CK501</f>
        <v>0</v>
      </c>
    </row>
    <row r="665" spans="1:89" ht="30" x14ac:dyDescent="0.25">
      <c r="A665" s="262"/>
      <c r="B665" s="312"/>
      <c r="C665" s="312" t="s">
        <v>1592</v>
      </c>
      <c r="D665" s="95"/>
      <c r="E665" s="282"/>
      <c r="F665" s="282"/>
      <c r="G665" s="282"/>
      <c r="H665" s="282">
        <v>425</v>
      </c>
      <c r="I665" s="282">
        <v>8026</v>
      </c>
      <c r="J665" s="282">
        <f>J505</f>
        <v>7281</v>
      </c>
      <c r="K665" s="282">
        <f>K505</f>
        <v>7296</v>
      </c>
      <c r="L665" s="282">
        <f>L505</f>
        <v>5</v>
      </c>
      <c r="M665" s="282">
        <f>M505</f>
        <v>124</v>
      </c>
      <c r="N665" s="282">
        <f>N505</f>
        <v>123</v>
      </c>
      <c r="Q665" s="286">
        <f t="shared" si="1053"/>
        <v>7296</v>
      </c>
      <c r="R665" s="286">
        <f t="shared" si="1053"/>
        <v>7565</v>
      </c>
      <c r="S665" s="286">
        <f>S505</f>
        <v>0</v>
      </c>
      <c r="T665" s="286">
        <f>T505</f>
        <v>0</v>
      </c>
      <c r="U665" s="286"/>
      <c r="V665" s="286">
        <f>V505</f>
        <v>195</v>
      </c>
      <c r="W665" s="286">
        <f>W505</f>
        <v>182</v>
      </c>
      <c r="X665" s="286"/>
      <c r="Y665" s="286">
        <f>Y505</f>
        <v>69</v>
      </c>
      <c r="Z665" s="286">
        <f>Z505</f>
        <v>60</v>
      </c>
      <c r="AA665" s="286"/>
      <c r="AB665" s="286">
        <f>AB505</f>
        <v>0</v>
      </c>
      <c r="AC665" s="286">
        <f>AC505</f>
        <v>0</v>
      </c>
      <c r="AD665" s="286"/>
      <c r="AE665" s="286">
        <f>AE505</f>
        <v>643</v>
      </c>
      <c r="AF665" s="286">
        <f>AF505</f>
        <v>589</v>
      </c>
      <c r="AG665" s="286"/>
      <c r="AH665" s="286">
        <f>AH505</f>
        <v>5</v>
      </c>
      <c r="AI665" s="286">
        <f>AI505</f>
        <v>6</v>
      </c>
      <c r="AJ665" s="286"/>
      <c r="AK665" s="286">
        <f>AK505</f>
        <v>0</v>
      </c>
      <c r="AL665" s="286">
        <f>AL505</f>
        <v>0</v>
      </c>
      <c r="AM665" s="286"/>
      <c r="AN665" s="286">
        <f>AN505</f>
        <v>0</v>
      </c>
      <c r="AO665" s="286">
        <f>AO505</f>
        <v>0</v>
      </c>
      <c r="AP665" s="286"/>
      <c r="AQ665" s="286">
        <f>AQ505</f>
        <v>0</v>
      </c>
      <c r="AR665" s="286">
        <f>AR505</f>
        <v>0</v>
      </c>
      <c r="AS665" s="286"/>
      <c r="AT665" s="286">
        <f>AT505</f>
        <v>355</v>
      </c>
      <c r="AU665" s="286">
        <f>AU505</f>
        <v>355</v>
      </c>
      <c r="AV665" s="286"/>
      <c r="AW665" s="286">
        <f>AW505</f>
        <v>0</v>
      </c>
      <c r="AX665" s="286">
        <f>AX505</f>
        <v>0</v>
      </c>
      <c r="AY665" s="286"/>
      <c r="AZ665" s="286">
        <f>AZ505</f>
        <v>543</v>
      </c>
      <c r="BA665" s="286">
        <f>BA505</f>
        <v>508</v>
      </c>
      <c r="BB665" s="286"/>
      <c r="BC665" s="286">
        <f>BC505</f>
        <v>1750</v>
      </c>
      <c r="BD665" s="286">
        <f>BD505</f>
        <v>1577</v>
      </c>
      <c r="BE665" s="286"/>
      <c r="BF665" s="286">
        <f>BF505</f>
        <v>92</v>
      </c>
      <c r="BG665" s="286">
        <f>BG505</f>
        <v>233</v>
      </c>
      <c r="BH665" s="286"/>
      <c r="BI665" s="286">
        <f>BI505</f>
        <v>1892</v>
      </c>
      <c r="BJ665" s="286">
        <f>BJ505</f>
        <v>2058</v>
      </c>
      <c r="BK665" s="286"/>
      <c r="BL665" s="286">
        <f>BL505</f>
        <v>0</v>
      </c>
      <c r="BM665" s="286">
        <f>BM505</f>
        <v>0</v>
      </c>
      <c r="BN665" s="286"/>
      <c r="BO665" s="286">
        <f>BO505</f>
        <v>0</v>
      </c>
      <c r="BP665" s="286">
        <f>BP505</f>
        <v>0</v>
      </c>
      <c r="BQ665" s="286"/>
      <c r="BR665" s="286">
        <f>BR505</f>
        <v>135</v>
      </c>
      <c r="BS665" s="286">
        <f>BS505</f>
        <v>117</v>
      </c>
      <c r="BT665" s="286"/>
      <c r="BU665" s="286">
        <f>BU505</f>
        <v>0</v>
      </c>
      <c r="BV665" s="286">
        <f>BV505</f>
        <v>0</v>
      </c>
      <c r="BW665" s="286"/>
      <c r="BX665" s="286">
        <f>BX505</f>
        <v>0</v>
      </c>
      <c r="BY665" s="286">
        <f>BY505</f>
        <v>0</v>
      </c>
      <c r="BZ665" s="286"/>
      <c r="CA665" s="286">
        <f>CA505</f>
        <v>294</v>
      </c>
      <c r="CB665" s="286">
        <f>CB505</f>
        <v>630</v>
      </c>
      <c r="CC665" s="286"/>
      <c r="CD665" s="286">
        <f>CD505</f>
        <v>1216</v>
      </c>
      <c r="CE665" s="286">
        <f>CE505</f>
        <v>1146</v>
      </c>
      <c r="CF665" s="286"/>
      <c r="CG665" s="286">
        <f>CG505</f>
        <v>107</v>
      </c>
      <c r="CH665" s="286">
        <f>CH505</f>
        <v>104</v>
      </c>
      <c r="CI665" s="286"/>
      <c r="CJ665" s="286">
        <f>CJ505</f>
        <v>0</v>
      </c>
      <c r="CK665" s="286">
        <f>CK505</f>
        <v>0</v>
      </c>
    </row>
    <row r="666" spans="1:89" ht="30" x14ac:dyDescent="0.25">
      <c r="A666" s="262"/>
      <c r="B666" s="312"/>
      <c r="C666" s="312" t="s">
        <v>1499</v>
      </c>
      <c r="D666" s="95"/>
      <c r="E666" s="282"/>
      <c r="F666" s="282"/>
      <c r="G666" s="282"/>
      <c r="H666" s="282">
        <v>17069</v>
      </c>
      <c r="I666" s="282">
        <v>17364</v>
      </c>
      <c r="J666" s="282">
        <f>J502</f>
        <v>17637</v>
      </c>
      <c r="K666" s="282">
        <f>K502</f>
        <v>17634</v>
      </c>
      <c r="L666" s="282">
        <f>L502</f>
        <v>1971</v>
      </c>
      <c r="M666" s="282">
        <f>M502</f>
        <v>1934</v>
      </c>
      <c r="N666" s="282">
        <f>N502</f>
        <v>1878</v>
      </c>
      <c r="Q666" s="286">
        <f t="shared" si="1053"/>
        <v>17634</v>
      </c>
      <c r="R666" s="286">
        <f t="shared" si="1053"/>
        <v>17454</v>
      </c>
      <c r="S666" s="286">
        <f>S502</f>
        <v>1265</v>
      </c>
      <c r="T666" s="286">
        <f>T502</f>
        <v>1262</v>
      </c>
      <c r="U666" s="286"/>
      <c r="V666" s="286">
        <f>V502</f>
        <v>1444</v>
      </c>
      <c r="W666" s="286">
        <f>W502</f>
        <v>1445</v>
      </c>
      <c r="X666" s="286"/>
      <c r="Y666" s="286">
        <f>Y502</f>
        <v>1458</v>
      </c>
      <c r="Z666" s="286">
        <f>Z502</f>
        <v>1415</v>
      </c>
      <c r="AA666" s="286"/>
      <c r="AB666" s="286">
        <f>AB502</f>
        <v>2221</v>
      </c>
      <c r="AC666" s="286">
        <f>AC502</f>
        <v>2166</v>
      </c>
      <c r="AD666" s="286"/>
      <c r="AE666" s="286">
        <f>AE502</f>
        <v>987</v>
      </c>
      <c r="AF666" s="286">
        <f>AF502</f>
        <v>905</v>
      </c>
      <c r="AG666" s="286"/>
      <c r="AH666" s="286">
        <f>AH502</f>
        <v>1978</v>
      </c>
      <c r="AI666" s="286">
        <f>AI502</f>
        <v>1971</v>
      </c>
      <c r="AJ666" s="286"/>
      <c r="AK666" s="286">
        <f>AK502</f>
        <v>290</v>
      </c>
      <c r="AL666" s="286">
        <f>AL502</f>
        <v>288</v>
      </c>
      <c r="AM666" s="286"/>
      <c r="AN666" s="286">
        <f>AN502</f>
        <v>5457</v>
      </c>
      <c r="AO666" s="286">
        <f>AO502</f>
        <v>5441</v>
      </c>
      <c r="AP666" s="286"/>
      <c r="AQ666" s="286">
        <f>AQ502</f>
        <v>2147</v>
      </c>
      <c r="AR666" s="286">
        <f>AR502</f>
        <v>2160</v>
      </c>
      <c r="AS666" s="286"/>
      <c r="AT666" s="286">
        <f>AT502</f>
        <v>0</v>
      </c>
      <c r="AU666" s="286">
        <f>AU502</f>
        <v>0</v>
      </c>
      <c r="AV666" s="286"/>
      <c r="AW666" s="286">
        <f>AW502</f>
        <v>0</v>
      </c>
      <c r="AX666" s="286">
        <f>AX502</f>
        <v>0</v>
      </c>
      <c r="AY666" s="286"/>
      <c r="AZ666" s="286">
        <f>AZ502</f>
        <v>0</v>
      </c>
      <c r="BA666" s="286">
        <f>BA502</f>
        <v>0</v>
      </c>
      <c r="BB666" s="286"/>
      <c r="BC666" s="286">
        <f>BC502</f>
        <v>0</v>
      </c>
      <c r="BD666" s="286">
        <f>BD502</f>
        <v>0</v>
      </c>
      <c r="BE666" s="286"/>
      <c r="BF666" s="286">
        <f>BF502</f>
        <v>0</v>
      </c>
      <c r="BG666" s="286">
        <f>BG502</f>
        <v>0</v>
      </c>
      <c r="BH666" s="286"/>
      <c r="BI666" s="286">
        <f>BI502</f>
        <v>0</v>
      </c>
      <c r="BJ666" s="286">
        <f>BJ502</f>
        <v>0</v>
      </c>
      <c r="BK666" s="286"/>
      <c r="BL666" s="286">
        <f>BL502</f>
        <v>0</v>
      </c>
      <c r="BM666" s="286">
        <f>BM502</f>
        <v>0</v>
      </c>
      <c r="BN666" s="286"/>
      <c r="BO666" s="286">
        <f>BO502</f>
        <v>0</v>
      </c>
      <c r="BP666" s="286">
        <f>BP502</f>
        <v>0</v>
      </c>
      <c r="BQ666" s="286"/>
      <c r="BR666" s="286">
        <f>BR502</f>
        <v>0</v>
      </c>
      <c r="BS666" s="286">
        <f>BS502</f>
        <v>0</v>
      </c>
      <c r="BT666" s="286"/>
      <c r="BU666" s="286">
        <f>BU502</f>
        <v>0</v>
      </c>
      <c r="BV666" s="286">
        <f>BV502</f>
        <v>0</v>
      </c>
      <c r="BW666" s="286"/>
      <c r="BX666" s="286">
        <f>BX502</f>
        <v>0</v>
      </c>
      <c r="BY666" s="286">
        <f>BY502</f>
        <v>0</v>
      </c>
      <c r="BZ666" s="286"/>
      <c r="CA666" s="286">
        <f>CA502</f>
        <v>0</v>
      </c>
      <c r="CB666" s="286">
        <f>CB502</f>
        <v>0</v>
      </c>
      <c r="CC666" s="286"/>
      <c r="CD666" s="286">
        <f>CD502</f>
        <v>0</v>
      </c>
      <c r="CE666" s="286">
        <f>CE502</f>
        <v>0</v>
      </c>
      <c r="CF666" s="286"/>
      <c r="CG666" s="286">
        <f>CG502</f>
        <v>387</v>
      </c>
      <c r="CH666" s="286">
        <f>CH502</f>
        <v>401</v>
      </c>
      <c r="CI666" s="286"/>
      <c r="CJ666" s="286">
        <f>CJ502</f>
        <v>0</v>
      </c>
      <c r="CK666" s="286">
        <f>CK502</f>
        <v>0</v>
      </c>
    </row>
    <row r="667" spans="1:89" ht="30" x14ac:dyDescent="0.25">
      <c r="A667" s="262"/>
      <c r="B667" s="312"/>
      <c r="C667" s="312" t="s">
        <v>1592</v>
      </c>
      <c r="D667" s="95"/>
      <c r="E667" s="282"/>
      <c r="F667" s="282"/>
      <c r="G667" s="282"/>
      <c r="H667" s="282">
        <v>0</v>
      </c>
      <c r="I667" s="282">
        <v>2073</v>
      </c>
      <c r="J667" s="282">
        <f>J506</f>
        <v>2374</v>
      </c>
      <c r="K667" s="282">
        <f>K506</f>
        <v>2322</v>
      </c>
      <c r="L667" s="282">
        <f>L506</f>
        <v>344</v>
      </c>
      <c r="M667" s="282">
        <f>M506</f>
        <v>324</v>
      </c>
      <c r="N667" s="282">
        <f>N506</f>
        <v>313</v>
      </c>
      <c r="Q667" s="286">
        <f t="shared" si="1053"/>
        <v>2322</v>
      </c>
      <c r="R667" s="286">
        <f t="shared" si="1053"/>
        <v>2261</v>
      </c>
      <c r="S667" s="286">
        <f>S506</f>
        <v>435</v>
      </c>
      <c r="T667" s="286">
        <f>T506</f>
        <v>425</v>
      </c>
      <c r="U667" s="286"/>
      <c r="V667" s="286">
        <f>V506</f>
        <v>124</v>
      </c>
      <c r="W667" s="286">
        <f>W506</f>
        <v>172</v>
      </c>
      <c r="X667" s="286"/>
      <c r="Y667" s="286">
        <f>Y506</f>
        <v>358</v>
      </c>
      <c r="Z667" s="286">
        <f>Z506</f>
        <v>361</v>
      </c>
      <c r="AA667" s="286"/>
      <c r="AB667" s="286">
        <f>AB506</f>
        <v>194</v>
      </c>
      <c r="AC667" s="286">
        <f>AC506</f>
        <v>187</v>
      </c>
      <c r="AD667" s="286"/>
      <c r="AE667" s="286">
        <f>AE506</f>
        <v>328</v>
      </c>
      <c r="AF667" s="286">
        <f>AF506</f>
        <v>285</v>
      </c>
      <c r="AG667" s="286"/>
      <c r="AH667" s="286">
        <f>AH506</f>
        <v>369</v>
      </c>
      <c r="AI667" s="286">
        <f>AI506</f>
        <v>344</v>
      </c>
      <c r="AJ667" s="286"/>
      <c r="AK667" s="286">
        <f>AK506</f>
        <v>0</v>
      </c>
      <c r="AL667" s="286">
        <f>AL506</f>
        <v>0</v>
      </c>
      <c r="AM667" s="286"/>
      <c r="AN667" s="286">
        <f>AN506</f>
        <v>195</v>
      </c>
      <c r="AO667" s="286">
        <f>AO506</f>
        <v>187</v>
      </c>
      <c r="AP667" s="286"/>
      <c r="AQ667" s="286">
        <f>AQ506</f>
        <v>319</v>
      </c>
      <c r="AR667" s="286">
        <f>AR506</f>
        <v>300</v>
      </c>
      <c r="AS667" s="286"/>
      <c r="AT667" s="286">
        <f>AT506</f>
        <v>0</v>
      </c>
      <c r="AU667" s="286">
        <f>AU506</f>
        <v>0</v>
      </c>
      <c r="AV667" s="286"/>
      <c r="AW667" s="286">
        <f>AW506</f>
        <v>0</v>
      </c>
      <c r="AX667" s="286">
        <f>AX506</f>
        <v>0</v>
      </c>
      <c r="AY667" s="286"/>
      <c r="AZ667" s="286">
        <f>AZ506</f>
        <v>0</v>
      </c>
      <c r="BA667" s="286">
        <f>BA506</f>
        <v>0</v>
      </c>
      <c r="BB667" s="286"/>
      <c r="BC667" s="286">
        <f>BC506</f>
        <v>0</v>
      </c>
      <c r="BD667" s="286">
        <f>BD506</f>
        <v>0</v>
      </c>
      <c r="BE667" s="286"/>
      <c r="BF667" s="286">
        <f>BF506</f>
        <v>0</v>
      </c>
      <c r="BG667" s="286">
        <f>BG506</f>
        <v>0</v>
      </c>
      <c r="BH667" s="286"/>
      <c r="BI667" s="286">
        <f>BI506</f>
        <v>0</v>
      </c>
      <c r="BJ667" s="286">
        <f>BJ506</f>
        <v>0</v>
      </c>
      <c r="BK667" s="286"/>
      <c r="BL667" s="286">
        <f>BL506</f>
        <v>0</v>
      </c>
      <c r="BM667" s="286">
        <f>BM506</f>
        <v>0</v>
      </c>
      <c r="BN667" s="286"/>
      <c r="BO667" s="286">
        <f>BO506</f>
        <v>0</v>
      </c>
      <c r="BP667" s="286">
        <f>BP506</f>
        <v>0</v>
      </c>
      <c r="BQ667" s="286"/>
      <c r="BR667" s="286">
        <f>BR506</f>
        <v>0</v>
      </c>
      <c r="BS667" s="286">
        <f>BS506</f>
        <v>0</v>
      </c>
      <c r="BT667" s="286"/>
      <c r="BU667" s="286">
        <f>BU506</f>
        <v>0</v>
      </c>
      <c r="BV667" s="286">
        <f>BV506</f>
        <v>0</v>
      </c>
      <c r="BW667" s="286"/>
      <c r="BX667" s="286">
        <f>BX506</f>
        <v>0</v>
      </c>
      <c r="BY667" s="286">
        <f>BY506</f>
        <v>0</v>
      </c>
      <c r="BZ667" s="286"/>
      <c r="CA667" s="286">
        <f>CA506</f>
        <v>0</v>
      </c>
      <c r="CB667" s="286">
        <f>CB506</f>
        <v>0</v>
      </c>
      <c r="CC667" s="286"/>
      <c r="CD667" s="286">
        <f>CD506</f>
        <v>0</v>
      </c>
      <c r="CE667" s="286">
        <f>CE506</f>
        <v>0</v>
      </c>
      <c r="CF667" s="286"/>
      <c r="CG667" s="286">
        <f>CG506</f>
        <v>0</v>
      </c>
      <c r="CH667" s="286">
        <f>CH506</f>
        <v>0</v>
      </c>
      <c r="CI667" s="286"/>
      <c r="CJ667" s="286">
        <f>CJ506</f>
        <v>0</v>
      </c>
      <c r="CK667" s="286">
        <f>CK506</f>
        <v>0</v>
      </c>
    </row>
    <row r="668" spans="1:89" x14ac:dyDescent="0.25">
      <c r="A668" s="262"/>
      <c r="B668" s="332" t="s">
        <v>1184</v>
      </c>
      <c r="C668" s="95"/>
      <c r="D668" s="95"/>
      <c r="E668" s="282"/>
      <c r="F668" s="282"/>
      <c r="G668" s="282"/>
      <c r="H668" s="282">
        <f>H669+H670+H671+H672</f>
        <v>826</v>
      </c>
      <c r="I668" s="282">
        <f>I669+I670+I671+I672</f>
        <v>910</v>
      </c>
      <c r="J668" s="282">
        <f>J669+J670+J671+J672</f>
        <v>923</v>
      </c>
      <c r="K668" s="282">
        <f>K669+K670+K671+K672</f>
        <v>928</v>
      </c>
      <c r="L668" s="282">
        <f>L669+L670+L671+L672</f>
        <v>0</v>
      </c>
      <c r="M668" s="282">
        <f t="shared" ref="M668:N668" si="1054">M669+M670+M671+M672</f>
        <v>0</v>
      </c>
      <c r="N668" s="282">
        <f t="shared" si="1054"/>
        <v>0</v>
      </c>
      <c r="Q668" s="282">
        <f>Q669+Q670+Q671+Q672</f>
        <v>928</v>
      </c>
      <c r="R668" s="282">
        <f>R669+R670+R671+R672</f>
        <v>918</v>
      </c>
      <c r="S668" s="282">
        <f>S669+S670+S671+S672</f>
        <v>0</v>
      </c>
      <c r="T668" s="282">
        <f>T669+T670+T671+T672</f>
        <v>0</v>
      </c>
      <c r="U668" s="286"/>
      <c r="V668" s="282">
        <f>V669+V670+V671+V672</f>
        <v>0</v>
      </c>
      <c r="W668" s="282">
        <f>W669+W670+W671+W672</f>
        <v>0</v>
      </c>
      <c r="X668" s="286"/>
      <c r="Y668" s="282">
        <f>Y669+Y670+Y671+Y672</f>
        <v>0</v>
      </c>
      <c r="Z668" s="282">
        <f>Z669+Z670+Z671+Z672</f>
        <v>0</v>
      </c>
      <c r="AA668" s="286"/>
      <c r="AB668" s="282">
        <f>AB669+AB670+AB671+AB672</f>
        <v>0</v>
      </c>
      <c r="AC668" s="282">
        <f>AC669+AC670+AC671+AC672</f>
        <v>0</v>
      </c>
      <c r="AD668" s="286"/>
      <c r="AE668" s="282">
        <f>AE669+AE670+AE671+AE672</f>
        <v>0</v>
      </c>
      <c r="AF668" s="282">
        <f>AF669+AF670+AF671+AF672</f>
        <v>0</v>
      </c>
      <c r="AG668" s="286"/>
      <c r="AH668" s="282">
        <f>AH669+AH670+AH671+AH672</f>
        <v>0</v>
      </c>
      <c r="AI668" s="282">
        <f>AI669+AI670+AI671+AI672</f>
        <v>0</v>
      </c>
      <c r="AJ668" s="286"/>
      <c r="AK668" s="282">
        <f>AK669+AK670+AK671+AK672</f>
        <v>0</v>
      </c>
      <c r="AL668" s="282">
        <f>AL669+AL670+AL671+AL672</f>
        <v>0</v>
      </c>
      <c r="AM668" s="286"/>
      <c r="AN668" s="282">
        <f>AN669+AN670+AN671+AN672</f>
        <v>0</v>
      </c>
      <c r="AO668" s="282">
        <f>AO669+AO670+AO671+AO672</f>
        <v>0</v>
      </c>
      <c r="AP668" s="286"/>
      <c r="AQ668" s="282">
        <f>AQ669+AQ670+AQ671+AQ672</f>
        <v>0</v>
      </c>
      <c r="AR668" s="282">
        <f>AR669+AR670+AR671+AR672</f>
        <v>0</v>
      </c>
      <c r="AS668" s="286"/>
      <c r="AT668" s="282">
        <f>AT669+AT670+AT671+AT672</f>
        <v>0</v>
      </c>
      <c r="AU668" s="282">
        <f>AU669+AU670+AU671+AU672</f>
        <v>0</v>
      </c>
      <c r="AV668" s="286"/>
      <c r="AW668" s="282">
        <f>AW669+AW670+AW671+AW672</f>
        <v>0</v>
      </c>
      <c r="AX668" s="282">
        <f>AX669+AX670+AX671+AX672</f>
        <v>0</v>
      </c>
      <c r="AY668" s="286"/>
      <c r="AZ668" s="282">
        <f>AZ669+AZ670+AZ671+AZ672</f>
        <v>0</v>
      </c>
      <c r="BA668" s="282">
        <f>BA669+BA670+BA671+BA672</f>
        <v>0</v>
      </c>
      <c r="BB668" s="286"/>
      <c r="BC668" s="282">
        <f>BC669+BC670+BC671+BC672</f>
        <v>187</v>
      </c>
      <c r="BD668" s="282">
        <f>BD669+BD670+BD671+BD672</f>
        <v>188</v>
      </c>
      <c r="BE668" s="286"/>
      <c r="BF668" s="282">
        <f>BF669+BF670+BF671+BF672</f>
        <v>187</v>
      </c>
      <c r="BG668" s="282">
        <f>BG669+BG670+BG671+BG672</f>
        <v>179</v>
      </c>
      <c r="BH668" s="286"/>
      <c r="BI668" s="282">
        <f>BI669+BI670+BI671+BI672</f>
        <v>436</v>
      </c>
      <c r="BJ668" s="282">
        <f>BJ669+BJ670+BJ671+BJ672</f>
        <v>424</v>
      </c>
      <c r="BK668" s="286"/>
      <c r="BL668" s="282">
        <f>BL669+BL670+BL671+BL672</f>
        <v>0</v>
      </c>
      <c r="BM668" s="282">
        <f>BM669+BM670+BM671+BM672</f>
        <v>0</v>
      </c>
      <c r="BN668" s="286"/>
      <c r="BO668" s="282">
        <f>BO669+BO670+BO671+BO672</f>
        <v>0</v>
      </c>
      <c r="BP668" s="282">
        <f>BP669+BP670+BP671+BP672</f>
        <v>0</v>
      </c>
      <c r="BQ668" s="286"/>
      <c r="BR668" s="282">
        <f>BR669+BR670+BR671+BR672</f>
        <v>0</v>
      </c>
      <c r="BS668" s="282">
        <f>BS669+BS670+BS671+BS672</f>
        <v>0</v>
      </c>
      <c r="BT668" s="286"/>
      <c r="BU668" s="282">
        <f>BU669+BU670+BU671+BU672</f>
        <v>0</v>
      </c>
      <c r="BV668" s="282">
        <f>BV669+BV670+BV671+BV672</f>
        <v>0</v>
      </c>
      <c r="BW668" s="286"/>
      <c r="BX668" s="282">
        <f>BX669+BX670+BX671+BX672</f>
        <v>0</v>
      </c>
      <c r="BY668" s="282">
        <f>BY669+BY670+BY671+BY672</f>
        <v>0</v>
      </c>
      <c r="BZ668" s="286"/>
      <c r="CA668" s="282">
        <f>CA669+CA670+CA671+CA672</f>
        <v>0</v>
      </c>
      <c r="CB668" s="282">
        <f>CB669+CB670+CB671+CB672</f>
        <v>0</v>
      </c>
      <c r="CC668" s="286"/>
      <c r="CD668" s="282">
        <f>CD669+CD670+CD671+CD672</f>
        <v>118</v>
      </c>
      <c r="CE668" s="282">
        <f>CE669+CE670+CE671+CE672</f>
        <v>127</v>
      </c>
      <c r="CF668" s="286"/>
      <c r="CG668" s="282">
        <f>CG669+CG670+CG671+CG672</f>
        <v>0</v>
      </c>
      <c r="CH668" s="282">
        <f>CH669+CH670+CH671+CH672</f>
        <v>0</v>
      </c>
      <c r="CI668" s="286"/>
      <c r="CJ668" s="282">
        <f>CJ669+CJ670+CJ671+CJ672</f>
        <v>0</v>
      </c>
      <c r="CK668" s="282">
        <f>CK669+CK670+CK671+CK672</f>
        <v>0</v>
      </c>
    </row>
    <row r="669" spans="1:89" ht="30" x14ac:dyDescent="0.25">
      <c r="A669" s="262"/>
      <c r="B669" s="312"/>
      <c r="C669" s="312" t="s">
        <v>1499</v>
      </c>
      <c r="D669" s="95"/>
      <c r="E669" s="282"/>
      <c r="F669" s="282"/>
      <c r="G669" s="282"/>
      <c r="H669" s="282">
        <v>826</v>
      </c>
      <c r="I669" s="282">
        <v>910</v>
      </c>
      <c r="J669" s="282">
        <f>J508</f>
        <v>923</v>
      </c>
      <c r="K669" s="282">
        <f>K508</f>
        <v>928</v>
      </c>
      <c r="L669" s="282">
        <f>L508</f>
        <v>0</v>
      </c>
      <c r="M669" s="282">
        <f>M508</f>
        <v>0</v>
      </c>
      <c r="N669" s="282">
        <f>N508</f>
        <v>0</v>
      </c>
      <c r="Q669" s="286">
        <f t="shared" ref="Q669:R672" si="1055">S669+V669+Y669+AB669+AE669+AH669+AK669+AN669+AQ669+AT669+AW669+AZ669+BC669+BF669+BI669+BL669+BO669+BR669+BU669+BX669+CA669+CD669+CG669+CJ669</f>
        <v>928</v>
      </c>
      <c r="R669" s="286">
        <f t="shared" si="1055"/>
        <v>918</v>
      </c>
      <c r="S669" s="286">
        <f>S508</f>
        <v>0</v>
      </c>
      <c r="T669" s="286">
        <f>T508</f>
        <v>0</v>
      </c>
      <c r="U669" s="286"/>
      <c r="V669" s="286">
        <f>V508</f>
        <v>0</v>
      </c>
      <c r="W669" s="286">
        <f>W508</f>
        <v>0</v>
      </c>
      <c r="X669" s="286"/>
      <c r="Y669" s="286">
        <f>Y508</f>
        <v>0</v>
      </c>
      <c r="Z669" s="286">
        <f>Z508</f>
        <v>0</v>
      </c>
      <c r="AA669" s="286"/>
      <c r="AB669" s="286">
        <f>AB508</f>
        <v>0</v>
      </c>
      <c r="AC669" s="286">
        <f>AC508</f>
        <v>0</v>
      </c>
      <c r="AD669" s="286"/>
      <c r="AE669" s="286">
        <f>AE508</f>
        <v>0</v>
      </c>
      <c r="AF669" s="286">
        <f>AF508</f>
        <v>0</v>
      </c>
      <c r="AG669" s="286"/>
      <c r="AH669" s="286">
        <f>AH508</f>
        <v>0</v>
      </c>
      <c r="AI669" s="286">
        <f>AI508</f>
        <v>0</v>
      </c>
      <c r="AJ669" s="286"/>
      <c r="AK669" s="286">
        <f>AK508</f>
        <v>0</v>
      </c>
      <c r="AL669" s="286">
        <f>AL508</f>
        <v>0</v>
      </c>
      <c r="AM669" s="286"/>
      <c r="AN669" s="286">
        <f>AN508</f>
        <v>0</v>
      </c>
      <c r="AO669" s="286">
        <f>AO508</f>
        <v>0</v>
      </c>
      <c r="AP669" s="286"/>
      <c r="AQ669" s="286">
        <f>AQ508</f>
        <v>0</v>
      </c>
      <c r="AR669" s="286">
        <f>AR508</f>
        <v>0</v>
      </c>
      <c r="AS669" s="286"/>
      <c r="AT669" s="286">
        <f>AT508</f>
        <v>0</v>
      </c>
      <c r="AU669" s="286">
        <f>AU508</f>
        <v>0</v>
      </c>
      <c r="AV669" s="286"/>
      <c r="AW669" s="286">
        <f>AW508</f>
        <v>0</v>
      </c>
      <c r="AX669" s="286">
        <f>AX508</f>
        <v>0</v>
      </c>
      <c r="AY669" s="286"/>
      <c r="AZ669" s="286">
        <f>AZ508</f>
        <v>0</v>
      </c>
      <c r="BA669" s="286">
        <f>BA508</f>
        <v>0</v>
      </c>
      <c r="BB669" s="286"/>
      <c r="BC669" s="286">
        <f>BC508</f>
        <v>187</v>
      </c>
      <c r="BD669" s="286">
        <f>BD508</f>
        <v>188</v>
      </c>
      <c r="BE669" s="286"/>
      <c r="BF669" s="286">
        <f>BF508</f>
        <v>187</v>
      </c>
      <c r="BG669" s="286">
        <f>BG508</f>
        <v>179</v>
      </c>
      <c r="BH669" s="286"/>
      <c r="BI669" s="286">
        <f>BI508</f>
        <v>436</v>
      </c>
      <c r="BJ669" s="286">
        <f>BJ508</f>
        <v>424</v>
      </c>
      <c r="BK669" s="286"/>
      <c r="BL669" s="286">
        <f>BL508</f>
        <v>0</v>
      </c>
      <c r="BM669" s="286">
        <f>BM508</f>
        <v>0</v>
      </c>
      <c r="BN669" s="286"/>
      <c r="BO669" s="286">
        <f>BO508</f>
        <v>0</v>
      </c>
      <c r="BP669" s="286">
        <f>BP508</f>
        <v>0</v>
      </c>
      <c r="BQ669" s="286"/>
      <c r="BR669" s="286">
        <f>BR508</f>
        <v>0</v>
      </c>
      <c r="BS669" s="286">
        <f>BS508</f>
        <v>0</v>
      </c>
      <c r="BT669" s="286"/>
      <c r="BU669" s="286">
        <f>BU508</f>
        <v>0</v>
      </c>
      <c r="BV669" s="286">
        <f>BV508</f>
        <v>0</v>
      </c>
      <c r="BW669" s="286"/>
      <c r="BX669" s="286">
        <f>BX508</f>
        <v>0</v>
      </c>
      <c r="BY669" s="286">
        <f>BY508</f>
        <v>0</v>
      </c>
      <c r="BZ669" s="286"/>
      <c r="CA669" s="286">
        <f>CA508</f>
        <v>0</v>
      </c>
      <c r="CB669" s="286">
        <f>CB508</f>
        <v>0</v>
      </c>
      <c r="CC669" s="286"/>
      <c r="CD669" s="286">
        <f>CD508</f>
        <v>118</v>
      </c>
      <c r="CE669" s="286">
        <f>CE508</f>
        <v>127</v>
      </c>
      <c r="CF669" s="286"/>
      <c r="CG669" s="286">
        <f>CG508</f>
        <v>0</v>
      </c>
      <c r="CH669" s="286">
        <f>CH508</f>
        <v>0</v>
      </c>
      <c r="CI669" s="286"/>
      <c r="CJ669" s="286">
        <f>CJ508</f>
        <v>0</v>
      </c>
      <c r="CK669" s="286">
        <f>CK508</f>
        <v>0</v>
      </c>
    </row>
    <row r="670" spans="1:89" ht="30" x14ac:dyDescent="0.25">
      <c r="A670" s="262"/>
      <c r="B670" s="312"/>
      <c r="C670" s="312" t="s">
        <v>1592</v>
      </c>
      <c r="D670" s="95"/>
      <c r="E670" s="282"/>
      <c r="F670" s="282"/>
      <c r="G670" s="282"/>
      <c r="H670" s="282">
        <v>0</v>
      </c>
      <c r="I670" s="282">
        <v>0</v>
      </c>
      <c r="J670" s="282">
        <f>J512</f>
        <v>0</v>
      </c>
      <c r="K670" s="282">
        <f>K512</f>
        <v>0</v>
      </c>
      <c r="L670" s="282">
        <f>L512</f>
        <v>0</v>
      </c>
      <c r="M670" s="282">
        <f>M512</f>
        <v>0</v>
      </c>
      <c r="N670" s="282">
        <f>N512</f>
        <v>0</v>
      </c>
      <c r="Q670" s="286">
        <f t="shared" si="1055"/>
        <v>0</v>
      </c>
      <c r="R670" s="286">
        <f t="shared" si="1055"/>
        <v>0</v>
      </c>
      <c r="S670" s="286">
        <f>S512</f>
        <v>0</v>
      </c>
      <c r="T670" s="286">
        <f>T512</f>
        <v>0</v>
      </c>
      <c r="U670" s="286"/>
      <c r="V670" s="286">
        <f>V512</f>
        <v>0</v>
      </c>
      <c r="W670" s="286">
        <f>W512</f>
        <v>0</v>
      </c>
      <c r="X670" s="286"/>
      <c r="Y670" s="286">
        <f>Y512</f>
        <v>0</v>
      </c>
      <c r="Z670" s="286">
        <f>Z512</f>
        <v>0</v>
      </c>
      <c r="AA670" s="286"/>
      <c r="AB670" s="286">
        <f>AB512</f>
        <v>0</v>
      </c>
      <c r="AC670" s="286">
        <f>AC512</f>
        <v>0</v>
      </c>
      <c r="AD670" s="286"/>
      <c r="AE670" s="286">
        <f>AE512</f>
        <v>0</v>
      </c>
      <c r="AF670" s="286">
        <f>AF512</f>
        <v>0</v>
      </c>
      <c r="AG670" s="286"/>
      <c r="AH670" s="286">
        <f>AH512</f>
        <v>0</v>
      </c>
      <c r="AI670" s="286">
        <f>AI512</f>
        <v>0</v>
      </c>
      <c r="AJ670" s="286"/>
      <c r="AK670" s="286">
        <f>AK512</f>
        <v>0</v>
      </c>
      <c r="AL670" s="286">
        <f>AL512</f>
        <v>0</v>
      </c>
      <c r="AM670" s="286"/>
      <c r="AN670" s="286">
        <f>AN512</f>
        <v>0</v>
      </c>
      <c r="AO670" s="286">
        <f>AO512</f>
        <v>0</v>
      </c>
      <c r="AP670" s="286"/>
      <c r="AQ670" s="286">
        <f>AQ512</f>
        <v>0</v>
      </c>
      <c r="AR670" s="286">
        <f>AR512</f>
        <v>0</v>
      </c>
      <c r="AS670" s="286"/>
      <c r="AT670" s="286">
        <f>AT512</f>
        <v>0</v>
      </c>
      <c r="AU670" s="286">
        <f>AU512</f>
        <v>0</v>
      </c>
      <c r="AV670" s="286"/>
      <c r="AW670" s="286">
        <f>AW512</f>
        <v>0</v>
      </c>
      <c r="AX670" s="286">
        <f>AX512</f>
        <v>0</v>
      </c>
      <c r="AY670" s="286"/>
      <c r="AZ670" s="286">
        <f>AZ512</f>
        <v>0</v>
      </c>
      <c r="BA670" s="286">
        <f>BA512</f>
        <v>0</v>
      </c>
      <c r="BB670" s="286"/>
      <c r="BC670" s="286">
        <f>BC512</f>
        <v>0</v>
      </c>
      <c r="BD670" s="286">
        <f>BD512</f>
        <v>0</v>
      </c>
      <c r="BE670" s="286"/>
      <c r="BF670" s="286">
        <f>BF512</f>
        <v>0</v>
      </c>
      <c r="BG670" s="286">
        <f>BG512</f>
        <v>0</v>
      </c>
      <c r="BH670" s="286"/>
      <c r="BI670" s="286">
        <f>BI512</f>
        <v>0</v>
      </c>
      <c r="BJ670" s="286">
        <f>BJ512</f>
        <v>0</v>
      </c>
      <c r="BK670" s="286"/>
      <c r="BL670" s="286">
        <f>BL512</f>
        <v>0</v>
      </c>
      <c r="BM670" s="286">
        <f>BM512</f>
        <v>0</v>
      </c>
      <c r="BN670" s="286"/>
      <c r="BO670" s="286">
        <f>BO512</f>
        <v>0</v>
      </c>
      <c r="BP670" s="286">
        <f>BP512</f>
        <v>0</v>
      </c>
      <c r="BQ670" s="286"/>
      <c r="BR670" s="286">
        <f>BR512</f>
        <v>0</v>
      </c>
      <c r="BS670" s="286">
        <f>BS512</f>
        <v>0</v>
      </c>
      <c r="BT670" s="286"/>
      <c r="BU670" s="286">
        <f>BU512</f>
        <v>0</v>
      </c>
      <c r="BV670" s="286">
        <f>BV512</f>
        <v>0</v>
      </c>
      <c r="BW670" s="286"/>
      <c r="BX670" s="286">
        <f>BX512</f>
        <v>0</v>
      </c>
      <c r="BY670" s="286">
        <f>BY512</f>
        <v>0</v>
      </c>
      <c r="BZ670" s="286"/>
      <c r="CA670" s="286">
        <f>CA512</f>
        <v>0</v>
      </c>
      <c r="CB670" s="286">
        <f>CB512</f>
        <v>0</v>
      </c>
      <c r="CC670" s="286"/>
      <c r="CD670" s="286">
        <f>CD512</f>
        <v>0</v>
      </c>
      <c r="CE670" s="286">
        <f>CE512</f>
        <v>0</v>
      </c>
      <c r="CF670" s="286"/>
      <c r="CG670" s="286">
        <f>CG512</f>
        <v>0</v>
      </c>
      <c r="CH670" s="286">
        <f>CH512</f>
        <v>0</v>
      </c>
      <c r="CI670" s="286"/>
      <c r="CJ670" s="286">
        <f>CJ512</f>
        <v>0</v>
      </c>
      <c r="CK670" s="286">
        <f>CK512</f>
        <v>0</v>
      </c>
    </row>
    <row r="671" spans="1:89" ht="30" x14ac:dyDescent="0.25">
      <c r="A671" s="262"/>
      <c r="B671" s="312"/>
      <c r="C671" s="312" t="s">
        <v>1499</v>
      </c>
      <c r="D671" s="95"/>
      <c r="E671" s="282"/>
      <c r="F671" s="282"/>
      <c r="G671" s="282"/>
      <c r="H671" s="282">
        <v>0</v>
      </c>
      <c r="I671" s="282">
        <v>0</v>
      </c>
      <c r="J671" s="282">
        <f>J509</f>
        <v>0</v>
      </c>
      <c r="K671" s="282">
        <f>K509</f>
        <v>0</v>
      </c>
      <c r="L671" s="282">
        <f>L509</f>
        <v>0</v>
      </c>
      <c r="M671" s="282">
        <f>M509</f>
        <v>0</v>
      </c>
      <c r="N671" s="282">
        <f>N509</f>
        <v>0</v>
      </c>
      <c r="Q671" s="286">
        <f t="shared" si="1055"/>
        <v>0</v>
      </c>
      <c r="R671" s="286">
        <f t="shared" si="1055"/>
        <v>0</v>
      </c>
      <c r="S671" s="286">
        <f>S509</f>
        <v>0</v>
      </c>
      <c r="T671" s="286">
        <f>T509</f>
        <v>0</v>
      </c>
      <c r="U671" s="286"/>
      <c r="V671" s="286">
        <f>V509</f>
        <v>0</v>
      </c>
      <c r="W671" s="286">
        <f>W509</f>
        <v>0</v>
      </c>
      <c r="X671" s="286"/>
      <c r="Y671" s="286">
        <f>Y509</f>
        <v>0</v>
      </c>
      <c r="Z671" s="286">
        <f>Z509</f>
        <v>0</v>
      </c>
      <c r="AA671" s="286"/>
      <c r="AB671" s="286">
        <f>AB509</f>
        <v>0</v>
      </c>
      <c r="AC671" s="286">
        <f>AC509</f>
        <v>0</v>
      </c>
      <c r="AD671" s="286"/>
      <c r="AE671" s="286">
        <f>AE509</f>
        <v>0</v>
      </c>
      <c r="AF671" s="286">
        <f>AF509</f>
        <v>0</v>
      </c>
      <c r="AG671" s="286"/>
      <c r="AH671" s="286">
        <f>AH509</f>
        <v>0</v>
      </c>
      <c r="AI671" s="286">
        <f>AI509</f>
        <v>0</v>
      </c>
      <c r="AJ671" s="286"/>
      <c r="AK671" s="286">
        <f>AK509</f>
        <v>0</v>
      </c>
      <c r="AL671" s="286">
        <f>AL509</f>
        <v>0</v>
      </c>
      <c r="AM671" s="286"/>
      <c r="AN671" s="286">
        <f>AN509</f>
        <v>0</v>
      </c>
      <c r="AO671" s="286">
        <f>AO509</f>
        <v>0</v>
      </c>
      <c r="AP671" s="286"/>
      <c r="AQ671" s="286">
        <f>AQ509</f>
        <v>0</v>
      </c>
      <c r="AR671" s="286">
        <f>AR509</f>
        <v>0</v>
      </c>
      <c r="AS671" s="286"/>
      <c r="AT671" s="286">
        <f>AT509</f>
        <v>0</v>
      </c>
      <c r="AU671" s="286">
        <f>AU509</f>
        <v>0</v>
      </c>
      <c r="AV671" s="286"/>
      <c r="AW671" s="286">
        <f>AW509</f>
        <v>0</v>
      </c>
      <c r="AX671" s="286">
        <f>AX509</f>
        <v>0</v>
      </c>
      <c r="AY671" s="286"/>
      <c r="AZ671" s="286">
        <f>AZ509</f>
        <v>0</v>
      </c>
      <c r="BA671" s="286">
        <f>BA509</f>
        <v>0</v>
      </c>
      <c r="BB671" s="286"/>
      <c r="BC671" s="286">
        <f>BC509</f>
        <v>0</v>
      </c>
      <c r="BD671" s="286">
        <f>BD509</f>
        <v>0</v>
      </c>
      <c r="BE671" s="286"/>
      <c r="BF671" s="286">
        <f>BF509</f>
        <v>0</v>
      </c>
      <c r="BG671" s="286">
        <f>BG509</f>
        <v>0</v>
      </c>
      <c r="BH671" s="286"/>
      <c r="BI671" s="286">
        <f>BI509</f>
        <v>0</v>
      </c>
      <c r="BJ671" s="286">
        <f>BJ509</f>
        <v>0</v>
      </c>
      <c r="BK671" s="286"/>
      <c r="BL671" s="286">
        <f>BL509</f>
        <v>0</v>
      </c>
      <c r="BM671" s="286">
        <f>BM509</f>
        <v>0</v>
      </c>
      <c r="BN671" s="286"/>
      <c r="BO671" s="286">
        <f>BO509</f>
        <v>0</v>
      </c>
      <c r="BP671" s="286">
        <f>BP509</f>
        <v>0</v>
      </c>
      <c r="BQ671" s="286"/>
      <c r="BR671" s="286">
        <f>BR509</f>
        <v>0</v>
      </c>
      <c r="BS671" s="286">
        <f>BS509</f>
        <v>0</v>
      </c>
      <c r="BT671" s="286"/>
      <c r="BU671" s="286">
        <f>BU509</f>
        <v>0</v>
      </c>
      <c r="BV671" s="286">
        <f>BV509</f>
        <v>0</v>
      </c>
      <c r="BW671" s="286"/>
      <c r="BX671" s="286">
        <f>BX509</f>
        <v>0</v>
      </c>
      <c r="BY671" s="286">
        <f>BY509</f>
        <v>0</v>
      </c>
      <c r="BZ671" s="286"/>
      <c r="CA671" s="286">
        <f>CA509</f>
        <v>0</v>
      </c>
      <c r="CB671" s="286">
        <f>CB509</f>
        <v>0</v>
      </c>
      <c r="CC671" s="286"/>
      <c r="CD671" s="286">
        <f>CD509</f>
        <v>0</v>
      </c>
      <c r="CE671" s="286">
        <f>CE509</f>
        <v>0</v>
      </c>
      <c r="CF671" s="286"/>
      <c r="CG671" s="286">
        <f>CG509</f>
        <v>0</v>
      </c>
      <c r="CH671" s="286">
        <f>CH509</f>
        <v>0</v>
      </c>
      <c r="CI671" s="286"/>
      <c r="CJ671" s="286">
        <f>CJ509</f>
        <v>0</v>
      </c>
      <c r="CK671" s="286">
        <f>CK509</f>
        <v>0</v>
      </c>
    </row>
    <row r="672" spans="1:89" ht="30" x14ac:dyDescent="0.25">
      <c r="A672" s="262"/>
      <c r="B672" s="312"/>
      <c r="C672" s="312" t="s">
        <v>1592</v>
      </c>
      <c r="D672" s="95"/>
      <c r="E672" s="282"/>
      <c r="F672" s="282"/>
      <c r="G672" s="282"/>
      <c r="H672" s="282">
        <v>0</v>
      </c>
      <c r="I672" s="282">
        <v>0</v>
      </c>
      <c r="J672" s="282">
        <f>J513</f>
        <v>0</v>
      </c>
      <c r="K672" s="282">
        <f>K513</f>
        <v>0</v>
      </c>
      <c r="L672" s="282">
        <f>L513</f>
        <v>0</v>
      </c>
      <c r="M672" s="282">
        <f>M513</f>
        <v>0</v>
      </c>
      <c r="N672" s="282">
        <f>N513</f>
        <v>0</v>
      </c>
      <c r="Q672" s="286">
        <f t="shared" si="1055"/>
        <v>0</v>
      </c>
      <c r="R672" s="286">
        <f t="shared" si="1055"/>
        <v>0</v>
      </c>
      <c r="S672" s="286">
        <f>S513</f>
        <v>0</v>
      </c>
      <c r="T672" s="286">
        <f>T513</f>
        <v>0</v>
      </c>
      <c r="U672" s="286"/>
      <c r="V672" s="286">
        <f>V513</f>
        <v>0</v>
      </c>
      <c r="W672" s="286">
        <f>W513</f>
        <v>0</v>
      </c>
      <c r="X672" s="286"/>
      <c r="Y672" s="286">
        <f>Y513</f>
        <v>0</v>
      </c>
      <c r="Z672" s="286">
        <f>Z513</f>
        <v>0</v>
      </c>
      <c r="AA672" s="286"/>
      <c r="AB672" s="286">
        <f>AB513</f>
        <v>0</v>
      </c>
      <c r="AC672" s="286">
        <f>AC513</f>
        <v>0</v>
      </c>
      <c r="AD672" s="286"/>
      <c r="AE672" s="286">
        <f>AE513</f>
        <v>0</v>
      </c>
      <c r="AF672" s="286">
        <f>AF513</f>
        <v>0</v>
      </c>
      <c r="AG672" s="286"/>
      <c r="AH672" s="286">
        <f>AH513</f>
        <v>0</v>
      </c>
      <c r="AI672" s="286">
        <f>AI513</f>
        <v>0</v>
      </c>
      <c r="AJ672" s="286"/>
      <c r="AK672" s="286">
        <f>AK513</f>
        <v>0</v>
      </c>
      <c r="AL672" s="286">
        <f>AL513</f>
        <v>0</v>
      </c>
      <c r="AM672" s="286"/>
      <c r="AN672" s="286">
        <f>AN513</f>
        <v>0</v>
      </c>
      <c r="AO672" s="286">
        <f>AO513</f>
        <v>0</v>
      </c>
      <c r="AP672" s="286"/>
      <c r="AQ672" s="286">
        <f>AQ513</f>
        <v>0</v>
      </c>
      <c r="AR672" s="286">
        <f>AR513</f>
        <v>0</v>
      </c>
      <c r="AS672" s="286"/>
      <c r="AT672" s="286">
        <f>AT513</f>
        <v>0</v>
      </c>
      <c r="AU672" s="286">
        <f>AU513</f>
        <v>0</v>
      </c>
      <c r="AV672" s="286"/>
      <c r="AW672" s="286">
        <f>AW513</f>
        <v>0</v>
      </c>
      <c r="AX672" s="286">
        <f>AX513</f>
        <v>0</v>
      </c>
      <c r="AY672" s="286"/>
      <c r="AZ672" s="286">
        <f>AZ513</f>
        <v>0</v>
      </c>
      <c r="BA672" s="286">
        <f>BA513</f>
        <v>0</v>
      </c>
      <c r="BB672" s="286"/>
      <c r="BC672" s="286">
        <f>BC513</f>
        <v>0</v>
      </c>
      <c r="BD672" s="286">
        <f>BD513</f>
        <v>0</v>
      </c>
      <c r="BE672" s="286"/>
      <c r="BF672" s="286">
        <f>BF513</f>
        <v>0</v>
      </c>
      <c r="BG672" s="286">
        <f>BG513</f>
        <v>0</v>
      </c>
      <c r="BH672" s="286"/>
      <c r="BI672" s="286">
        <f>BI513</f>
        <v>0</v>
      </c>
      <c r="BJ672" s="286">
        <f>BJ513</f>
        <v>0</v>
      </c>
      <c r="BK672" s="286"/>
      <c r="BL672" s="286">
        <f>BL513</f>
        <v>0</v>
      </c>
      <c r="BM672" s="286">
        <f>BM513</f>
        <v>0</v>
      </c>
      <c r="BN672" s="286"/>
      <c r="BO672" s="286">
        <f>BO513</f>
        <v>0</v>
      </c>
      <c r="BP672" s="286">
        <f>BP513</f>
        <v>0</v>
      </c>
      <c r="BQ672" s="286"/>
      <c r="BR672" s="286">
        <f>BR513</f>
        <v>0</v>
      </c>
      <c r="BS672" s="286">
        <f>BS513</f>
        <v>0</v>
      </c>
      <c r="BT672" s="286"/>
      <c r="BU672" s="286">
        <f>BU513</f>
        <v>0</v>
      </c>
      <c r="BV672" s="286">
        <f>BV513</f>
        <v>0</v>
      </c>
      <c r="BW672" s="286"/>
      <c r="BX672" s="286">
        <f>BX513</f>
        <v>0</v>
      </c>
      <c r="BY672" s="286">
        <f>BY513</f>
        <v>0</v>
      </c>
      <c r="BZ672" s="286"/>
      <c r="CA672" s="286">
        <f>CA513</f>
        <v>0</v>
      </c>
      <c r="CB672" s="286">
        <f>CB513</f>
        <v>0</v>
      </c>
      <c r="CC672" s="286"/>
      <c r="CD672" s="286">
        <f>CD513</f>
        <v>0</v>
      </c>
      <c r="CE672" s="286">
        <f>CE513</f>
        <v>0</v>
      </c>
      <c r="CF672" s="286"/>
      <c r="CG672" s="286">
        <f>CG513</f>
        <v>0</v>
      </c>
      <c r="CH672" s="286">
        <f>CH513</f>
        <v>0</v>
      </c>
      <c r="CI672" s="286"/>
      <c r="CJ672" s="286">
        <f>CJ513</f>
        <v>0</v>
      </c>
      <c r="CK672" s="286">
        <f>CK513</f>
        <v>0</v>
      </c>
    </row>
    <row r="673" spans="1:89" x14ac:dyDescent="0.25">
      <c r="A673" s="107"/>
      <c r="B673" s="16" t="s">
        <v>2716</v>
      </c>
      <c r="C673" s="95"/>
      <c r="D673" s="95"/>
      <c r="E673" s="282"/>
      <c r="F673" s="282"/>
      <c r="G673" s="282"/>
      <c r="H673" s="331">
        <f>((H679+H680+H681+H688+H689+H690)+((0.25*(H682+H683+H684+H691+H692+H693))+((0.1*(H685+H686+H687+H694+H695+H696)))))/(H676)</f>
        <v>0.99597595232079428</v>
      </c>
      <c r="I673" s="331">
        <f>((I679+I680+I681+I688+I689+I690)+((0.25*(I682+I683+I684+I691+I692+I693))+((0.1*(I685+I686+I687+I694+I695+I696)))))/(I676)</f>
        <v>0.99686997014925371</v>
      </c>
      <c r="J673" s="331">
        <f>((J679+J680+J681+J688+J689+J690)+((0.25*(J682+J683+J684+J691+J692+J693))+((0.1*(J685+J686+J687+J694+J695+J696)))))/(J676)</f>
        <v>0.99737049520833432</v>
      </c>
      <c r="K673" s="331">
        <f>((K679+K680+K681+K688+K689+K690)+((0.25*(K682+K683+K684+K691+K692+K693))+((0.1*(K685+K686+K687+K694+K695+K696)))))/(K676)</f>
        <v>0.99749911052463291</v>
      </c>
      <c r="L673" s="331">
        <f>((L679+L680+L681+L688+L689+L690)+((0.25*(L682+L683+L684+L691+L692+L693))+((0.1*(L685+L686+L687+L694+L695+L696)))))/(L676)</f>
        <v>1</v>
      </c>
      <c r="M673" s="331">
        <f t="shared" ref="M673:N673" si="1056">((M679+M680+M681+M688+M689+M690)+((0.25*(M682+M683+M684+M691+M692+M693))+((0.1*(M685+M686+M687+M694+M695+M696)))))/(M676)</f>
        <v>1</v>
      </c>
      <c r="N673" s="331">
        <f t="shared" si="1056"/>
        <v>1</v>
      </c>
      <c r="Q673" s="331">
        <f>((Q679+Q680+Q681+Q688+Q689+Q690)+((0.25*(Q682+Q683+Q684+Q691+Q692+Q693))+((0.1*(Q685+Q686+Q687+Q694+Q695+Q696)))))/(Q676)</f>
        <v>0.99749911052463291</v>
      </c>
      <c r="R673" s="331">
        <f>((R679+R680+R681+R688+R689+R690)+((0.25*(R682+R683+R684+R691+R692+R693))+((0.1*(R685+R686+R687+R694+R695+R696)))))/(R676)</f>
        <v>0.99765877287405813</v>
      </c>
      <c r="S673" s="331">
        <f>((S679+S680+S681+S688+S689+S690)+((0.25*(S682+S683+S684+S691+S692+S693))+((0.1*(S685+S686+S687+S694+S695+S696)))))/(S676)</f>
        <v>0.99847250509164964</v>
      </c>
      <c r="T673" s="331">
        <f>((T679+T680+T681+T688+T689+T690)+((0.25*(T682+T683+T684+T691+T692+T693))+((0.1*(T685+T686+T687+T694+T695+T696)))))/(T676)</f>
        <v>0.99722496299950669</v>
      </c>
      <c r="V673" s="331">
        <f>((V679+V680+V681+V688+V689+V690)+((0.25*(V682+V683+V684+V691+V692+V693))+((0.1*(V685+V686+V687+V694+V695+V696)))))/(V676)</f>
        <v>0.99687239366138447</v>
      </c>
      <c r="W673" s="331">
        <f>((W679+W680+W681+W688+W689+W690)+((0.25*(W682+W683+W684+W691+W692+W693))+((0.1*(W685+W686+W687+W694+W695+W696)))))/(W676)</f>
        <v>0.99790327089740005</v>
      </c>
      <c r="Y673" s="331">
        <f>((Y679+Y680+Y681+Y688+Y689+Y690)+((0.25*(Y682+Y683+Y684+Y691+Y692+Y693))+((0.1*(Y685+Y686+Y687+Y694+Y695+Y696)))))/(Y676)</f>
        <v>1</v>
      </c>
      <c r="Z673" s="331">
        <f>((Z679+Z680+Z681+Z688+Z689+Z690)+((0.25*(Z682+Z683+Z684+Z691+Z692+Z693))+((0.1*(Z685+Z686+Z687+Z694+Z695+Z696)))))/(Z676)</f>
        <v>1</v>
      </c>
      <c r="AB673" s="331">
        <f>((AB679+AB680+AB681+AB688+AB689+AB690)+((0.25*(AB682+AB683+AB684+AB691+AB692+AB693))+((0.1*(AB685+AB686+AB687+AB694+AB695+AB696)))))/(AB676)</f>
        <v>1</v>
      </c>
      <c r="AC673" s="331">
        <f>((AC679+AC680+AC681+AC688+AC689+AC690)+((0.25*(AC682+AC683+AC684+AC691+AC692+AC693))+((0.1*(AC685+AC686+AC687+AC694+AC695+AC696)))))/(AC676)</f>
        <v>1</v>
      </c>
      <c r="AE673" s="331">
        <f>((AE679+AE680+AE681+AE688+AE689+AE690)+((0.25*(AE682+AE683+AE684+AE691+AE692+AE693))+((0.1*(AE685+AE686+AE687+AE694+AE695+AE696)))))/(AE676)</f>
        <v>0.99131274131274127</v>
      </c>
      <c r="AF673" s="331">
        <f>((AF679+AF680+AF681+AF688+AF689+AF690)+((0.25*(AF682+AF683+AF684+AF691+AF692+AF693))+((0.1*(AF685+AF686+AF687+AF694+AF695+AF696)))))/(AF676)</f>
        <v>0.9925916298414349</v>
      </c>
      <c r="AH673" s="331">
        <f>((AH679+AH680+AH681+AH688+AH689+AH690)+((0.25*(AH682+AH683+AH684+AH691+AH692+AH693))+((0.1*(AH685+AH686+AH687+AH694+AH695+AH696)))))/(AH676)</f>
        <v>0.99641900937081651</v>
      </c>
      <c r="AI673" s="331">
        <f>((AI679+AI680+AI681+AI688+AI689+AI690)+((0.25*(AI682+AI683+AI684+AI691+AI692+AI693))+((0.1*(AI685+AI686+AI687+AI694+AI695+AI696)))))/(AI676)</f>
        <v>0.9971380471380471</v>
      </c>
      <c r="AK673" s="331">
        <f>((AK679+AK680+AK681+AK688+AK689+AK690)+((0.25*(AK682+AK683+AK684+AK691+AK692+AK693))+((0.1*(AK685+AK686+AK687+AK694+AK695+AK696)))))/(AK676)</f>
        <v>0.99710433950223365</v>
      </c>
      <c r="AL673" s="331">
        <f>((AL679+AL680+AL681+AL688+AL689+AL690)+((0.25*(AL682+AL683+AL684+AL691+AL692+AL693))+((0.1*(AL685+AL686+AL687+AL694+AL695+AL696)))))/(AL676)</f>
        <v>0.99640605296342999</v>
      </c>
      <c r="AN673" s="331">
        <f>((AN679+AN680+AN681+AN688+AN689+AN690)+((0.25*(AN682+AN683+AN684+AN691+AN692+AN693))+((0.1*(AN685+AN686+AN687+AN694+AN695+AN696)))))/(AN676)</f>
        <v>1</v>
      </c>
      <c r="AO673" s="331">
        <f>((AO679+AO680+AO681+AO688+AO689+AO690)+((0.25*(AO682+AO683+AO684+AO691+AO692+AO693))+((0.1*(AO685+AO686+AO687+AO694+AO695+AO696)))))/(AO676)</f>
        <v>1</v>
      </c>
      <c r="AQ673" s="331">
        <f>((AQ679+AQ680+AQ681+AQ688+AQ689+AQ690)+((0.25*(AQ682+AQ683+AQ684+AQ691+AQ692+AQ693))+((0.1*(AQ685+AQ686+AQ687+AQ694+AQ695+AQ696)))))/(AQ676)</f>
        <v>1</v>
      </c>
      <c r="AR673" s="331">
        <f>((AR679+AR680+AR681+AR688+AR689+AR690)+((0.25*(AR682+AR683+AR684+AR691+AR692+AR693))+((0.1*(AR685+AR686+AR687+AR694+AR695+AR696)))))/(AR676)</f>
        <v>1</v>
      </c>
      <c r="AT673" s="331">
        <f>((AT679+AT680+AT681+AT688+AT689+AT690)+((0.25*(AT682+AT683+AT684+AT691+AT692+AT693))+((0.1*(AT685+AT686+AT687+AT694+AT695+AT696)))))/(AT676)</f>
        <v>0.99955195220823556</v>
      </c>
      <c r="AU673" s="331">
        <f>((AU679+AU680+AU681+AU688+AU689+AU690)+((0.25*(AU682+AU683+AU684+AU691+AU692+AU693))+((0.1*(AU685+AU686+AU687+AU694+AU695+AU696)))))/(AU676)</f>
        <v>1</v>
      </c>
      <c r="AW673" s="331">
        <f>((AW679+AW680+AW681+AW688+AW689+AW690)+((0.25*(AW682+AW683+AW684+AW691+AW692+AW693))+((0.1*(AW685+AW686+AW687+AW694+AW695+AW696)))))/(AW676)</f>
        <v>1</v>
      </c>
      <c r="AX673" s="331">
        <f>((AX679+AX680+AX681+AX688+AX689+AX690)+((0.25*(AX682+AX683+AX684+AX691+AX692+AX693))+((0.1*(AX685+AX686+AX687+AX694+AX695+AX696)))))/(AX676)</f>
        <v>1</v>
      </c>
      <c r="AZ673" s="331">
        <f>((AZ679+AZ680+AZ681+AZ688+AZ689+AZ690)+((0.25*(AZ682+AZ683+AZ684+AZ691+AZ692+AZ693))+((0.1*(AZ685+AZ686+AZ687+AZ694+AZ695+AZ696)))))/(AZ676)</f>
        <v>1</v>
      </c>
      <c r="BA673" s="331">
        <f>((BA679+BA680+BA681+BA688+BA689+BA690)+((0.25*(BA682+BA683+BA684+BA691+BA692+BA693))+((0.1*(BA685+BA686+BA687+BA694+BA695+BA696)))))/(BA676)</f>
        <v>1</v>
      </c>
      <c r="BC673" s="331">
        <f>((BC679+BC680+BC681+BC688+BC689+BC690)+((0.25*(BC682+BC683+BC684+BC691+BC692+BC693))+((0.1*(BC685+BC686+BC687+BC694+BC695+BC696)))))/(BC676)</f>
        <v>1</v>
      </c>
      <c r="BD673" s="331">
        <f>((BD679+BD680+BD681+BD688+BD689+BD690)+((0.25*(BD682+BD683+BD684+BD691+BD692+BD693))+((0.1*(BD685+BD686+BD687+BD694+BD695+BD696)))))/(BD676)</f>
        <v>1</v>
      </c>
      <c r="BF673" s="331">
        <f>((BF679+BF680+BF681+BF688+BF689+BF690)+((0.25*(BF682+BF683+BF684+BF691+BF692+BF693))+((0.1*(BF685+BF686+BF687+BF694+BF695+BF696)))))/(BF676)</f>
        <v>0.99715419865152799</v>
      </c>
      <c r="BG673" s="331">
        <f>((BG679+BG680+BG681+BG688+BG689+BG690)+((0.25*(BG682+BG683+BG684+BG691+BG692+BG693))+((0.1*(BG685+BG686+BG687+BG694+BG695+BG696)))))/(BG676)</f>
        <v>0.99759397002044059</v>
      </c>
      <c r="BI673" s="331">
        <f>((BI679+BI680+BI681+BI688+BI689+BI690)+((0.25*(BI682+BI683+BI684+BI691+BI692+BI693))+((0.1*(BI685+BI686+BI687+BI694+BI695+BI696)))))/(BI676)</f>
        <v>0.99289110563393945</v>
      </c>
      <c r="BJ673" s="331">
        <f>((BJ679+BJ680+BJ681+BJ688+BJ689+BJ690)+((0.25*(BJ682+BJ683+BJ684+BJ691+BJ692+BJ693))+((0.1*(BJ685+BJ686+BJ687+BJ694+BJ695+BJ696)))))/(BJ676)</f>
        <v>0.99326077274245628</v>
      </c>
      <c r="BL673" s="331">
        <f>((BL679+BL680+BL681+BL688+BL689+BL690)+((0.25*(BL682+BL683+BL684+BL691+BL692+BL693))+((0.1*(BL685+BL686+BL687+BL694+BL695+BL696)))))/(BL676)</f>
        <v>1</v>
      </c>
      <c r="BM673" s="331">
        <f>((BM679+BM680+BM681+BM688+BM689+BM690)+((0.25*(BM682+BM683+BM684+BM691+BM692+BM693))+((0.1*(BM685+BM686+BM687+BM694+BM695+BM696)))))/(BM676)</f>
        <v>1</v>
      </c>
      <c r="BO673" s="331">
        <f>((BO679+BO680+BO681+BO688+BO689+BO690)+((0.25*(BO682+BO683+BO684+BO691+BO692+BO693))+((0.1*(BO685+BO686+BO687+BO694+BO695+BO696)))))/(BO676)</f>
        <v>1</v>
      </c>
      <c r="BP673" s="331">
        <f>((BP679+BP680+BP681+BP688+BP689+BP690)+((0.25*(BP682+BP683+BP684+BP691+BP692+BP693))+((0.1*(BP685+BP686+BP687+BP694+BP695+BP696)))))/(BP676)</f>
        <v>1</v>
      </c>
      <c r="BR673" s="331">
        <f>((BR679+BR680+BR681+BR688+BR689+BR690)+((0.25*(BR682+BR683+BR684+BR691+BR692+BR693))+((0.1*(BR685+BR686+BR687+BR694+BR695+BR696)))))/(BR676)</f>
        <v>1</v>
      </c>
      <c r="BS673" s="331">
        <f>((BS679+BS680+BS681+BS688+BS689+BS690)+((0.25*(BS682+BS683+BS684+BS691+BS692+BS693))+((0.1*(BS685+BS686+BS687+BS694+BS695+BS696)))))/(BS676)</f>
        <v>1</v>
      </c>
      <c r="BU673" s="331">
        <f>((BU679+BU680+BU681+BU688+BU689+BU690)+((0.25*(BU682+BU683+BU684+BU691+BU692+BU693))+((0.1*(BU685+BU686+BU687+BU694+BU695+BU696)))))/(BU676)</f>
        <v>1</v>
      </c>
      <c r="BV673" s="331">
        <f>((BV679+BV680+BV681+BV688+BV689+BV690)+((0.25*(BV682+BV683+BV684+BV691+BV692+BV693))+((0.1*(BV685+BV686+BV687+BV694+BV695+BV696)))))/(BV676)</f>
        <v>1</v>
      </c>
      <c r="BX673" s="331">
        <f>((BX679+BX680+BX681+BX688+BX689+BX690)+((0.25*(BX682+BX683+BX684+BX691+BX692+BX693))+((0.1*(BX685+BX686+BX687+BX694+BX695+BX696)))))/(BX676)</f>
        <v>1</v>
      </c>
      <c r="BY673" s="331">
        <f>((BY679+BY680+BY681+BY688+BY689+BY690)+((0.25*(BY682+BY683+BY684+BY691+BY692+BY693))+((0.1*(BY685+BY686+BY687+BY694+BY695+BY696)))))/(BY676)</f>
        <v>1</v>
      </c>
      <c r="CA673" s="331">
        <f>((CA679+CA680+CA681+CA688+CA689+CA690)+((0.25*(CA682+CA683+CA684+CA691+CA692+CA693))+((0.1*(CA685+CA686+CA687+CA694+CA695+CA696)))))/(CA676)</f>
        <v>1</v>
      </c>
      <c r="CB673" s="331">
        <f>((CB679+CB680+CB681+CB688+CB689+CB690)+((0.25*(CB682+CB683+CB684+CB691+CB692+CB693))+((0.1*(CB685+CB686+CB687+CB694+CB695+CB696)))))/(CB676)</f>
        <v>1</v>
      </c>
      <c r="CD673" s="331">
        <f>((CD679+CD680+CD681+CD688+CD689+CD690)+((0.25*(CD682+CD683+CD684+CD691+CD692+CD693))+((0.1*(CD685+CD686+CD687+CD694+CD695+CD696)))))/(CD676)</f>
        <v>1</v>
      </c>
      <c r="CE673" s="331">
        <f>((CE679+CE680+CE681+CE688+CE689+CE690)+((0.25*(CE682+CE683+CE684+CE691+CE692+CE693))+((0.1*(CE685+CE686+CE687+CE694+CE695+CE696)))))/(CE676)</f>
        <v>1</v>
      </c>
      <c r="CG673" s="331">
        <f>((CG679+CG680+CG681+CG688+CG689+CG690)+((0.25*(CG682+CG683+CG684+CG691+CG692+CG693))+((0.1*(CG685+CG686+CG687+CG694+CG695+CG696)))))/(CG676)</f>
        <v>1</v>
      </c>
      <c r="CH673" s="331">
        <f>((CH679+CH680+CH681+CH688+CH689+CH690)+((0.25*(CH682+CH683+CH684+CH691+CH692+CH693))+((0.1*(CH685+CH686+CH687+CH694+CH695+CH696)))))/(CH676)</f>
        <v>1</v>
      </c>
      <c r="CJ673" s="331">
        <f>((CJ679+CJ680+CJ681+CJ688+CJ689+CJ690)+((0.25*(CJ682+CJ683+CJ684+CJ691+CJ692+CJ693))+((0.1*(CJ685+CJ686+CJ687+CJ694+CJ695+CJ696)))))/(CJ676)</f>
        <v>1</v>
      </c>
      <c r="CK673" s="331">
        <f>((CK679+CK680+CK681+CK688+CK689+CK690)+((0.25*(CK682+CK683+CK684+CK691+CK692+CK693))+((0.1*(CK685+CK686+CK687+CK694+CK695+CK696)))))/(CK676)</f>
        <v>1</v>
      </c>
    </row>
    <row r="674" spans="1:89" x14ac:dyDescent="0.25">
      <c r="A674" s="107"/>
      <c r="B674" s="16" t="s">
        <v>2717</v>
      </c>
      <c r="C674" s="95"/>
      <c r="D674" s="95"/>
      <c r="E674" s="282"/>
      <c r="F674" s="282"/>
      <c r="G674" s="282"/>
      <c r="H674" s="331">
        <f>(H679+H680+H681+((0.25*(H682+H683+H684))+((0.1*(H685+H686+H687)))))/H677</f>
        <v>0.99584868303607654</v>
      </c>
      <c r="I674" s="331">
        <f>(I679+I680+I681+((0.25*(I682+I683+I684))+((0.1*(I685+I686+I687)))))/I677</f>
        <v>0.99668709067321071</v>
      </c>
      <c r="J674" s="331">
        <f>(J679+J680+J681+((0.25*(J682+J683+J684))+((0.1*(J685+J686+J687)))))/J677</f>
        <v>0.99716300956266224</v>
      </c>
      <c r="K674" s="331">
        <f>(K679+K680+K681+((0.25*(K682+K683+K684))+((0.1*(K685+K686+K687)))))/K677</f>
        <v>0.99730964740186989</v>
      </c>
      <c r="L674" s="331">
        <f>(L679+L680+L681+((0.25*(L682+L683+L684))+((0.1*(L685+L686+L687)))))/L677</f>
        <v>1</v>
      </c>
      <c r="M674" s="331">
        <f t="shared" ref="M674:N674" si="1057">(M679+M680+M681+((0.25*(M682+M683+M684))+((0.1*(M685+M686+M687)))))/M677</f>
        <v>1</v>
      </c>
      <c r="N674" s="331">
        <f t="shared" si="1057"/>
        <v>1</v>
      </c>
      <c r="Q674" s="331">
        <f>(Q679+Q680+Q681+((0.25*(Q682+Q683+Q684))+((0.1*(Q685+Q686+Q687)))))/Q677</f>
        <v>0.99730964740186989</v>
      </c>
      <c r="R674" s="331">
        <f>(R679+R680+R681+((0.25*(R682+R683+R684))+((0.1*(R685+R686+R687)))))/R677</f>
        <v>0.99748883768512242</v>
      </c>
      <c r="S674" s="331">
        <f>(S679+S680+S681+((0.25*(S682+S683+S684))+((0.1*(S685+S686+S687)))))/S677</f>
        <v>0.99774690199023652</v>
      </c>
      <c r="T674" s="331">
        <f>(T679+T680+T681+((0.25*(T682+T683+T684))+((0.1*(T685+T686+T687)))))/T677</f>
        <v>0.99597063037249278</v>
      </c>
      <c r="V674" s="331">
        <f>(V679+V680+V681+((0.25*(V682+V683+V684))+((0.1*(V685+V686+V687)))))/V677</f>
        <v>0.99651810584958223</v>
      </c>
      <c r="W674" s="331">
        <f>(W679+W680+W681+((0.25*(W682+W683+W684))+((0.1*(W685+W686+W687)))))/W677</f>
        <v>0.99646892655367236</v>
      </c>
      <c r="Y674" s="331">
        <f>(Y679+Y680+Y681+((0.25*(Y682+Y683+Y684))+((0.1*(Y685+Y686+Y687)))))/Y677</f>
        <v>1</v>
      </c>
      <c r="Z674" s="331">
        <f>(Z679+Z680+Z681+((0.25*(Z682+Z683+Z684))+((0.1*(Z685+Z686+Z687)))))/Z677</f>
        <v>1</v>
      </c>
      <c r="AB674" s="331">
        <f>(AB679+AB680+AB681+((0.25*(AB682+AB683+AB684))+((0.1*(AB685+AB686+AB687)))))/AB677</f>
        <v>1</v>
      </c>
      <c r="AC674" s="331">
        <f>(AC679+AC680+AC681+((0.25*(AC682+AC683+AC684))+((0.1*(AC685+AC686+AC687)))))/AC677</f>
        <v>1</v>
      </c>
      <c r="AE674" s="331">
        <f>(AE679+AE680+AE681+((0.25*(AE682+AE683+AE684))+((0.1*(AE685+AE686+AE687)))))/AE677</f>
        <v>0.98835403726708071</v>
      </c>
      <c r="AF674" s="331">
        <f>(AF679+AF680+AF681+((0.25*(AF682+AF683+AF684))+((0.1*(AF685+AF686+AF687)))))/AF677</f>
        <v>0.99030282408982651</v>
      </c>
      <c r="AH674" s="331">
        <f>(AH679+AH680+AH681+((0.25*(AH682+AH683+AH684))+((0.1*(AH685+AH686+AH687)))))/AH677</f>
        <v>0.99388733519776262</v>
      </c>
      <c r="AI674" s="331">
        <f>(AI679+AI680+AI681+((0.25*(AI682+AI683+AI684))+((0.1*(AI685+AI686+AI687)))))/AI677</f>
        <v>0.99668008048289736</v>
      </c>
      <c r="AK674" s="331">
        <f>(AK679+AK680+AK681+((0.25*(AK682+AK683+AK684))+((0.1*(AK685+AK686+AK687)))))/AK677</f>
        <v>0.99711441953830715</v>
      </c>
      <c r="AL674" s="331">
        <f>(AL679+AL680+AL681+((0.25*(AL682+AL683+AL684))+((0.1*(AL685+AL686+AL687)))))/AL677</f>
        <v>0.99638375165125503</v>
      </c>
      <c r="AN674" s="331">
        <f>(AN679+AN680+AN681+((0.25*(AN682+AN683+AN684))+((0.1*(AN685+AN686+AN687)))))/AN677</f>
        <v>1</v>
      </c>
      <c r="AO674" s="331">
        <f>(AO679+AO680+AO681+((0.25*(AO682+AO683+AO684))+((0.1*(AO685+AO686+AO687)))))/AO677</f>
        <v>1</v>
      </c>
      <c r="AQ674" s="331" t="e">
        <f>(AQ679+AQ680+AQ681+((0.25*(AQ682+AQ683+AQ684))+((0.1*(AQ685+AQ686+AQ687)))))/AQ677</f>
        <v>#DIV/0!</v>
      </c>
      <c r="AR674" s="331" t="e">
        <f>(AR679+AR680+AR681+((0.25*(AR682+AR683+AR684))+((0.1*(AR685+AR686+AR687)))))/AR677</f>
        <v>#DIV/0!</v>
      </c>
      <c r="AT674" s="331">
        <f>(AT679+AT680+AT681+((0.25*(AT682+AT683+AT684))+((0.1*(AT685+AT686+AT687)))))/AT677</f>
        <v>0.99955195220823556</v>
      </c>
      <c r="AU674" s="331">
        <f>(AU679+AU680+AU681+((0.25*(AU682+AU683+AU684))+((0.1*(AU685+AU686+AU687)))))/AU677</f>
        <v>1</v>
      </c>
      <c r="AW674" s="331">
        <f>(AW679+AW680+AW681+((0.25*(AW682+AW683+AW684))+((0.1*(AW685+AW686+AW687)))))/AW677</f>
        <v>1</v>
      </c>
      <c r="AX674" s="331">
        <f>(AX679+AX680+AX681+((0.25*(AX682+AX683+AX684))+((0.1*(AX685+AX686+AX687)))))/AX677</f>
        <v>1</v>
      </c>
      <c r="AZ674" s="331">
        <f>(AZ679+AZ680+AZ681+((0.25*(AZ682+AZ683+AZ684))+((0.1*(AZ685+AZ686+AZ687)))))/AZ677</f>
        <v>1</v>
      </c>
      <c r="BA674" s="331">
        <f>(BA679+BA680+BA681+((0.25*(BA682+BA683+BA684))+((0.1*(BA685+BA686+BA687)))))/BA677</f>
        <v>1</v>
      </c>
      <c r="BC674" s="331">
        <f>(BC679+BC680+BC681+((0.25*(BC682+BC683+BC684))+((0.1*(BC685+BC686+BC687)))))/BC677</f>
        <v>1</v>
      </c>
      <c r="BD674" s="331">
        <f>(BD679+BD680+BD681+((0.25*(BD682+BD683+BD684))+((0.1*(BD685+BD686+BD687)))))/BD677</f>
        <v>1</v>
      </c>
      <c r="BF674" s="331">
        <f>(BF679+BF680+BF681+((0.25*(BF682+BF683+BF684))+((0.1*(BF685+BF686+BF687)))))/BF677</f>
        <v>0.99715419865152799</v>
      </c>
      <c r="BG674" s="331">
        <f>(BG679+BG680+BG681+((0.25*(BG682+BG683+BG684))+((0.1*(BG685+BG686+BG687)))))/BG677</f>
        <v>0.99759397002044059</v>
      </c>
      <c r="BI674" s="331">
        <f>(BI679+BI680+BI681+((0.25*(BI682+BI683+BI684))+((0.1*(BI685+BI686+BI687)))))/BI677</f>
        <v>0.99289110563393945</v>
      </c>
      <c r="BJ674" s="331">
        <f>(BJ679+BJ680+BJ681+((0.25*(BJ682+BJ683+BJ684))+((0.1*(BJ685+BJ686+BJ687)))))/BJ677</f>
        <v>0.99326077274245628</v>
      </c>
      <c r="BL674" s="331">
        <f>(BL679+BL680+BL681+((0.25*(BL682+BL683+BL684))+((0.1*(BL685+BL686+BL687)))))/BL677</f>
        <v>1</v>
      </c>
      <c r="BM674" s="331">
        <f>(BM679+BM680+BM681+((0.25*(BM682+BM683+BM684))+((0.1*(BM685+BM686+BM687)))))/BM677</f>
        <v>1</v>
      </c>
      <c r="BO674" s="331">
        <f>(BO679+BO680+BO681+((0.25*(BO682+BO683+BO684))+((0.1*(BO685+BO686+BO687)))))/BO677</f>
        <v>1</v>
      </c>
      <c r="BP674" s="331">
        <f>(BP679+BP680+BP681+((0.25*(BP682+BP683+BP684))+((0.1*(BP685+BP686+BP687)))))/BP677</f>
        <v>1</v>
      </c>
      <c r="BR674" s="331">
        <f>(BR679+BR680+BR681+((0.25*(BR682+BR683+BR684))+((0.1*(BR685+BR686+BR687)))))/BR677</f>
        <v>1</v>
      </c>
      <c r="BS674" s="331">
        <f>(BS679+BS680+BS681+((0.25*(BS682+BS683+BS684))+((0.1*(BS685+BS686+BS687)))))/BS677</f>
        <v>1</v>
      </c>
      <c r="BU674" s="331">
        <f>(BU679+BU680+BU681+((0.25*(BU682+BU683+BU684))+((0.1*(BU685+BU686+BU687)))))/BU677</f>
        <v>1</v>
      </c>
      <c r="BV674" s="331">
        <f>(BV679+BV680+BV681+((0.25*(BV682+BV683+BV684))+((0.1*(BV685+BV686+BV687)))))/BV677</f>
        <v>1</v>
      </c>
      <c r="BX674" s="331">
        <f>(BX679+BX680+BX681+((0.25*(BX682+BX683+BX684))+((0.1*(BX685+BX686+BX687)))))/BX677</f>
        <v>1</v>
      </c>
      <c r="BY674" s="331">
        <f>(BY679+BY680+BY681+((0.25*(BY682+BY683+BY684))+((0.1*(BY685+BY686+BY687)))))/BY677</f>
        <v>1</v>
      </c>
      <c r="CA674" s="331">
        <f>(CA679+CA680+CA681+((0.25*(CA682+CA683+CA684))+((0.1*(CA685+CA686+CA687)))))/CA677</f>
        <v>1</v>
      </c>
      <c r="CB674" s="331">
        <f>(CB679+CB680+CB681+((0.25*(CB682+CB683+CB684))+((0.1*(CB685+CB686+CB687)))))/CB677</f>
        <v>1</v>
      </c>
      <c r="CD674" s="331">
        <f>(CD679+CD680+CD681+((0.25*(CD682+CD683+CD684))+((0.1*(CD685+CD686+CD687)))))/CD677</f>
        <v>1</v>
      </c>
      <c r="CE674" s="331">
        <f>(CE679+CE680+CE681+((0.25*(CE682+CE683+CE684))+((0.1*(CE685+CE686+CE687)))))/CE677</f>
        <v>1</v>
      </c>
      <c r="CG674" s="331">
        <f>(CG679+CG680+CG681+((0.25*(CG682+CG683+CG684))+((0.1*(CG685+CG686+CG687)))))/CG677</f>
        <v>1</v>
      </c>
      <c r="CH674" s="331">
        <f>(CH679+CH680+CH681+((0.25*(CH682+CH683+CH684))+((0.1*(CH685+CH686+CH687)))))/CH677</f>
        <v>1</v>
      </c>
      <c r="CJ674" s="331">
        <f>(CJ679+CJ680+CJ681+((0.25*(CJ682+CJ683+CJ684))+((0.1*(CJ685+CJ686+CJ687)))))/CJ677</f>
        <v>1</v>
      </c>
      <c r="CK674" s="331">
        <f>(CK679+CK680+CK681+((0.25*(CK682+CK683+CK684))+((0.1*(CK685+CK686+CK687)))))/CK677</f>
        <v>1</v>
      </c>
    </row>
    <row r="675" spans="1:89" x14ac:dyDescent="0.25">
      <c r="A675" s="107"/>
      <c r="B675" s="16" t="s">
        <v>2718</v>
      </c>
      <c r="C675" s="95"/>
      <c r="D675" s="95"/>
      <c r="E675" s="282"/>
      <c r="F675" s="282"/>
      <c r="G675" s="282"/>
      <c r="H675" s="331">
        <f>(H688+H689+H690+((0.25*(H691+H692+H693))+((0.1*(H694+H695+H696)))))/H678</f>
        <v>0.99736052259887009</v>
      </c>
      <c r="I675" s="331">
        <f>(I688+I689+I690+((0.25*(I691+I692+I693))+((0.1*(I694+I695+I696)))))/I678</f>
        <v>0.99888213712451268</v>
      </c>
      <c r="J675" s="331">
        <f>(J688+J689+J690+((0.25*(J691+J692+J693))+((0.1*(J694+J695+J696)))))/J678</f>
        <v>0.99970212765957445</v>
      </c>
      <c r="K675" s="331">
        <f>(K688+K689+K690+((0.25*(K691+K692+K693))+((0.1*(K694+K695+K696)))))/K678</f>
        <v>0.99969394695080471</v>
      </c>
      <c r="L675" s="331">
        <f>(L688+L689+L690+((0.25*(L691+L692+L693))+((0.1*(L694+L695+L696)))))/L678</f>
        <v>1</v>
      </c>
      <c r="M675" s="331">
        <f t="shared" ref="M675:N675" si="1058">(M688+M689+M690+((0.25*(M691+M692+M693))+((0.1*(M694+M695+M696)))))/M678</f>
        <v>1</v>
      </c>
      <c r="N675" s="331">
        <f t="shared" si="1058"/>
        <v>1</v>
      </c>
      <c r="Q675" s="331">
        <f>(Q688+Q689+Q690+((0.25*(Q691+Q692+Q693))+((0.1*(Q694+Q695+Q696)))))/Q678</f>
        <v>0.99969394695080471</v>
      </c>
      <c r="R675" s="331">
        <f>(R688+R689+R690+((0.25*(R691+R692+R693))+((0.1*(R694+R695+R696)))))/R678</f>
        <v>0.99969125214408228</v>
      </c>
      <c r="S675" s="331">
        <f>(S688+S689+S690+((0.25*(S691+S692+S693))+((0.1*(S694+S695+S696)))))/S678</f>
        <v>1</v>
      </c>
      <c r="T675" s="331">
        <f>(T688+T689+T690+((0.25*(T691+T692+T693))+((0.1*(T694+T695+T696)))))/T678</f>
        <v>1</v>
      </c>
      <c r="V675" s="331">
        <f>(V688+V689+V690+((0.25*(V691+V692+V693))+((0.1*(V694+V695+V696)))))/V678</f>
        <v>0.99740124740124736</v>
      </c>
      <c r="W675" s="331">
        <f>(W688+W689+W690+((0.25*(W691+W692+W693))+((0.1*(W694+W695+W696)))))/W678</f>
        <v>1</v>
      </c>
      <c r="Y675" s="331">
        <f>(Y688+Y689+Y690+((0.25*(Y691+Y692+Y693))+((0.1*(Y694+Y695+Y696)))))/Y678</f>
        <v>1</v>
      </c>
      <c r="Z675" s="331">
        <f>(Z688+Z689+Z690+((0.25*(Z691+Z692+Z693))+((0.1*(Z694+Z695+Z696)))))/Z678</f>
        <v>1</v>
      </c>
      <c r="AB675" s="331">
        <f>(AB688+AB689+AB690+((0.25*(AB691+AB692+AB693))+((0.1*(AB694+AB695+AB696)))))/AB678</f>
        <v>1</v>
      </c>
      <c r="AC675" s="331">
        <f>(AC688+AC689+AC690+((0.25*(AC691+AC692+AC693))+((0.1*(AC694+AC695+AC696)))))/AC678</f>
        <v>1</v>
      </c>
      <c r="AE675" s="331">
        <f>(AE688+AE689+AE690+((0.25*(AE691+AE692+AE693))+((0.1*(AE694+AE695+AE696)))))/AE678</f>
        <v>1</v>
      </c>
      <c r="AF675" s="331">
        <f>(AF688+AF689+AF690+((0.25*(AF691+AF692+AF693))+((0.1*(AF694+AF695+AF696)))))/AF678</f>
        <v>1</v>
      </c>
      <c r="AH675" s="331">
        <f>(AH688+AH689+AH690+((0.25*(AH691+AH692+AH693))+((0.1*(AH694+AH695+AH696)))))/AH678</f>
        <v>0.99962102071753411</v>
      </c>
      <c r="AI675" s="331">
        <f>(AI688+AI689+AI690+((0.25*(AI691+AI692+AI693))+((0.1*(AI694+AI695+AI696)))))/AI678</f>
        <v>0.99771573604060915</v>
      </c>
      <c r="AK675" s="331">
        <f>(AK688+AK689+AK690+((0.25*(AK691+AK692+AK693))+((0.1*(AK694+AK695+AK696)))))/AK678</f>
        <v>0.99689655172413805</v>
      </c>
      <c r="AL675" s="331">
        <f>(AL688+AL689+AL690+((0.25*(AL691+AL692+AL693))+((0.1*(AL694+AL695+AL696)))))/AL678</f>
        <v>0.99687500000000007</v>
      </c>
      <c r="AN675" s="331">
        <f>(AN688+AN689+AN690+((0.25*(AN691+AN692+AN693))+((0.1*(AN694+AN695+AN696)))))/AN678</f>
        <v>1</v>
      </c>
      <c r="AO675" s="331">
        <f>(AO688+AO689+AO690+((0.25*(AO691+AO692+AO693))+((0.1*(AO694+AO695+AO696)))))/AO678</f>
        <v>1</v>
      </c>
      <c r="AQ675" s="331">
        <f>(AQ688+AQ689+AQ690+((0.25*(AQ691+AQ692+AQ693))+((0.1*(AQ694+AQ695+AQ696)))))/AQ678</f>
        <v>1</v>
      </c>
      <c r="AR675" s="331">
        <f>(AR688+AR689+AR690+((0.25*(AR691+AR692+AR693))+((0.1*(AR694+AR695+AR696)))))/AR678</f>
        <v>1</v>
      </c>
      <c r="AT675" s="331" t="e">
        <f>(AT688+AT689+AT690+((0.25*(AT691+AT692+AT693))+((0.1*(AT694+AT695+AT696)))))/AT678</f>
        <v>#DIV/0!</v>
      </c>
      <c r="AU675" s="331" t="e">
        <f>(AU688+AU689+AU690+((0.25*(AU691+AU692+AU693))+((0.1*(AU694+AU695+AU696)))))/AU678</f>
        <v>#DIV/0!</v>
      </c>
      <c r="AW675" s="331" t="e">
        <f>(AW688+AW689+AW690+((0.25*(AW691+AW692+AW693))+((0.1*(AW694+AW695+AW696)))))/AW678</f>
        <v>#DIV/0!</v>
      </c>
      <c r="AX675" s="331" t="e">
        <f>(AX688+AX689+AX690+((0.25*(AX691+AX692+AX693))+((0.1*(AX694+AX695+AX696)))))/AX678</f>
        <v>#DIV/0!</v>
      </c>
      <c r="AZ675" s="331" t="e">
        <f>(AZ688+AZ689+AZ690+((0.25*(AZ691+AZ692+AZ693))+((0.1*(AZ694+AZ695+AZ696)))))/AZ678</f>
        <v>#DIV/0!</v>
      </c>
      <c r="BA675" s="331" t="e">
        <f>(BA688+BA689+BA690+((0.25*(BA691+BA692+BA693))+((0.1*(BA694+BA695+BA696)))))/BA678</f>
        <v>#DIV/0!</v>
      </c>
      <c r="BC675" s="331" t="e">
        <f>(BC688+BC689+BC690+((0.25*(BC691+BC692+BC693))+((0.1*(BC694+BC695+BC696)))))/BC678</f>
        <v>#DIV/0!</v>
      </c>
      <c r="BD675" s="331" t="e">
        <f>(BD688+BD689+BD690+((0.25*(BD691+BD692+BD693))+((0.1*(BD694+BD695+BD696)))))/BD678</f>
        <v>#DIV/0!</v>
      </c>
      <c r="BF675" s="331" t="e">
        <f>(BF688+BF689+BF690+((0.25*(BF691+BF692+BF693))+((0.1*(BF694+BF695+BF696)))))/BF678</f>
        <v>#DIV/0!</v>
      </c>
      <c r="BG675" s="331" t="e">
        <f>(BG688+BG689+BG690+((0.25*(BG691+BG692+BG693))+((0.1*(BG694+BG695+BG696)))))/BG678</f>
        <v>#DIV/0!</v>
      </c>
      <c r="BI675" s="331" t="e">
        <f>(BI688+BI689+BI690+((0.25*(BI691+BI692+BI693))+((0.1*(BI694+BI695+BI696)))))/BI678</f>
        <v>#DIV/0!</v>
      </c>
      <c r="BJ675" s="331" t="e">
        <f>(BJ688+BJ689+BJ690+((0.25*(BJ691+BJ692+BJ693))+((0.1*(BJ694+BJ695+BJ696)))))/BJ678</f>
        <v>#DIV/0!</v>
      </c>
      <c r="BL675" s="331" t="e">
        <f>(BL688+BL689+BL690+((0.25*(BL691+BL692+BL693))+((0.1*(BL694+BL695+BL696)))))/BL678</f>
        <v>#DIV/0!</v>
      </c>
      <c r="BM675" s="331" t="e">
        <f>(BM688+BM689+BM690+((0.25*(BM691+BM692+BM693))+((0.1*(BM694+BM695+BM696)))))/BM678</f>
        <v>#DIV/0!</v>
      </c>
      <c r="BO675" s="331" t="e">
        <f>(BO688+BO689+BO690+((0.25*(BO691+BO692+BO693))+((0.1*(BO694+BO695+BO696)))))/BO678</f>
        <v>#DIV/0!</v>
      </c>
      <c r="BP675" s="331" t="e">
        <f>(BP688+BP689+BP690+((0.25*(BP691+BP692+BP693))+((0.1*(BP694+BP695+BP696)))))/BP678</f>
        <v>#DIV/0!</v>
      </c>
      <c r="BR675" s="331" t="e">
        <f>(BR688+BR689+BR690+((0.25*(BR691+BR692+BR693))+((0.1*(BR694+BR695+BR696)))))/BR678</f>
        <v>#DIV/0!</v>
      </c>
      <c r="BS675" s="331" t="e">
        <f>(BS688+BS689+BS690+((0.25*(BS691+BS692+BS693))+((0.1*(BS694+BS695+BS696)))))/BS678</f>
        <v>#DIV/0!</v>
      </c>
      <c r="BU675" s="331" t="e">
        <f>(BU688+BU689+BU690+((0.25*(BU691+BU692+BU693))+((0.1*(BU694+BU695+BU696)))))/BU678</f>
        <v>#DIV/0!</v>
      </c>
      <c r="BV675" s="331" t="e">
        <f>(BV688+BV689+BV690+((0.25*(BV691+BV692+BV693))+((0.1*(BV694+BV695+BV696)))))/BV678</f>
        <v>#DIV/0!</v>
      </c>
      <c r="BX675" s="331" t="e">
        <f>(BX688+BX689+BX690+((0.25*(BX691+BX692+BX693))+((0.1*(BX694+BX695+BX696)))))/BX678</f>
        <v>#DIV/0!</v>
      </c>
      <c r="BY675" s="331" t="e">
        <f>(BY688+BY689+BY690+((0.25*(BY691+BY692+BY693))+((0.1*(BY694+BY695+BY696)))))/BY678</f>
        <v>#DIV/0!</v>
      </c>
      <c r="CA675" s="331" t="e">
        <f>(CA688+CA689+CA690+((0.25*(CA691+CA692+CA693))+((0.1*(CA694+CA695+CA696)))))/CA678</f>
        <v>#DIV/0!</v>
      </c>
      <c r="CB675" s="331" t="e">
        <f>(CB688+CB689+CB690+((0.25*(CB691+CB692+CB693))+((0.1*(CB694+CB695+CB696)))))/CB678</f>
        <v>#DIV/0!</v>
      </c>
      <c r="CD675" s="331" t="e">
        <f>(CD688+CD689+CD690+((0.25*(CD691+CD692+CD693))+((0.1*(CD694+CD695+CD696)))))/CD678</f>
        <v>#DIV/0!</v>
      </c>
      <c r="CE675" s="331" t="e">
        <f>(CE688+CE689+CE690+((0.25*(CE691+CE692+CE693))+((0.1*(CE694+CE695+CE696)))))/CE678</f>
        <v>#DIV/0!</v>
      </c>
      <c r="CG675" s="331">
        <f>(CG688+CG689+CG690+((0.25*(CG691+CG692+CG693))+((0.1*(CG694+CG695+CG696)))))/CG678</f>
        <v>1</v>
      </c>
      <c r="CH675" s="331">
        <f>(CH688+CH689+CH690+((0.25*(CH691+CH692+CH693))+((0.1*(CH694+CH695+CH696)))))/CH678</f>
        <v>1</v>
      </c>
      <c r="CJ675" s="331" t="e">
        <f>(CJ688+CJ689+CJ690+((0.25*(CJ691+CJ692+CJ693))+((0.1*(CJ694+CJ695+CJ696)))))/CJ678</f>
        <v>#DIV/0!</v>
      </c>
      <c r="CK675" s="331" t="e">
        <f>(CK688+CK689+CK690+((0.25*(CK691+CK692+CK693))+((0.1*(CK694+CK695+CK696)))))/CK678</f>
        <v>#DIV/0!</v>
      </c>
    </row>
    <row r="676" spans="1:89" x14ac:dyDescent="0.25">
      <c r="A676" s="107"/>
      <c r="B676" s="16"/>
      <c r="C676" s="95"/>
      <c r="D676" s="95"/>
      <c r="E676" s="282"/>
      <c r="F676" s="282"/>
      <c r="G676" s="282"/>
      <c r="H676" s="282">
        <f>SUM(H679:H696)</f>
        <v>201849</v>
      </c>
      <c r="I676" s="282">
        <f>SUM(I679:I696)</f>
        <v>209375</v>
      </c>
      <c r="J676" s="282">
        <f>SUM(J679:J696)</f>
        <v>215687</v>
      </c>
      <c r="K676" s="282">
        <f>SUM(K679:K696)</f>
        <v>222041</v>
      </c>
      <c r="L676" s="282">
        <f>SUM(L679:L696)</f>
        <v>4438</v>
      </c>
      <c r="M676" s="282">
        <f t="shared" ref="M676:N676" si="1059">SUM(M679:M696)</f>
        <v>4416</v>
      </c>
      <c r="N676" s="282">
        <f t="shared" si="1059"/>
        <v>4348</v>
      </c>
      <c r="Q676" s="282">
        <f>SUM(Q679:Q696)</f>
        <v>222041</v>
      </c>
      <c r="R676" s="282">
        <f>SUM(R679:R696)</f>
        <v>226676</v>
      </c>
      <c r="S676" s="282">
        <f>SUM(S679:S696)</f>
        <v>3928</v>
      </c>
      <c r="T676" s="282">
        <f>SUM(T679:T696)</f>
        <v>4054</v>
      </c>
      <c r="V676" s="282">
        <f>SUM(V679:V696)</f>
        <v>3597</v>
      </c>
      <c r="W676" s="282">
        <f>SUM(W679:W696)</f>
        <v>3577</v>
      </c>
      <c r="Y676" s="282">
        <f>SUM(Y679:Y696)</f>
        <v>4418</v>
      </c>
      <c r="Z676" s="282">
        <f>SUM(Z679:Z696)</f>
        <v>4344</v>
      </c>
      <c r="AB676" s="282">
        <f>SUM(AB679:AB696)</f>
        <v>5122</v>
      </c>
      <c r="AC676" s="282">
        <f>SUM(AC679:AC696)</f>
        <v>5114</v>
      </c>
      <c r="AE676" s="282">
        <f>SUM(AE679:AE696)</f>
        <v>3885</v>
      </c>
      <c r="AF676" s="282">
        <f>SUM(AF679:AF696)</f>
        <v>3847</v>
      </c>
      <c r="AH676" s="282">
        <f>SUM(AH679:AH696)</f>
        <v>4482</v>
      </c>
      <c r="AI676" s="282">
        <f>SUM(AI679:AI696)</f>
        <v>4455</v>
      </c>
      <c r="AK676" s="282">
        <f>SUM(AK679:AK696)</f>
        <v>6268</v>
      </c>
      <c r="AL676" s="282">
        <f>SUM(AL679:AL696)</f>
        <v>6344</v>
      </c>
      <c r="AN676" s="282">
        <f>SUM(AN679:AN696)</f>
        <v>17393</v>
      </c>
      <c r="AO676" s="282">
        <f>SUM(AO679:AO696)</f>
        <v>17445</v>
      </c>
      <c r="AQ676" s="282">
        <f>SUM(AQ679:AQ696)</f>
        <v>2150</v>
      </c>
      <c r="AR676" s="282">
        <f>SUM(AR679:AR696)</f>
        <v>2157</v>
      </c>
      <c r="AT676" s="282">
        <f>SUM(AT679:AT696)</f>
        <v>14061</v>
      </c>
      <c r="AU676" s="282">
        <f>SUM(AU679:AU696)</f>
        <v>14547</v>
      </c>
      <c r="AW676" s="282">
        <f>SUM(AW679:AW696)</f>
        <v>5269</v>
      </c>
      <c r="AX676" s="282">
        <f>SUM(AX679:AX696)</f>
        <v>5356</v>
      </c>
      <c r="AZ676" s="282">
        <f>SUM(AZ679:AZ696)</f>
        <v>7300</v>
      </c>
      <c r="BA676" s="282">
        <f>SUM(BA679:BA696)</f>
        <v>7246</v>
      </c>
      <c r="BC676" s="282">
        <f>SUM(BC679:BC696)</f>
        <v>14538</v>
      </c>
      <c r="BD676" s="282">
        <f>SUM(BD679:BD696)</f>
        <v>14814</v>
      </c>
      <c r="BF676" s="282">
        <f>SUM(BF679:BF696)</f>
        <v>34261</v>
      </c>
      <c r="BG676" s="282">
        <f>SUM(BG679:BG696)</f>
        <v>35224</v>
      </c>
      <c r="BI676" s="282">
        <f>SUM(BI679:BI696)</f>
        <v>51527</v>
      </c>
      <c r="BJ676" s="282">
        <f>SUM(BJ679:BJ696)</f>
        <v>53886</v>
      </c>
      <c r="BL676" s="282">
        <f>SUM(BL679:BL696)</f>
        <v>5617</v>
      </c>
      <c r="BM676" s="282">
        <f>SUM(BM679:BM696)</f>
        <v>5590</v>
      </c>
      <c r="BO676" s="282">
        <f>SUM(BO679:BO696)</f>
        <v>5284</v>
      </c>
      <c r="BP676" s="282">
        <f>SUM(BP679:BP696)</f>
        <v>5319</v>
      </c>
      <c r="BR676" s="282">
        <f>SUM(BR679:BR696)</f>
        <v>8021</v>
      </c>
      <c r="BS676" s="282">
        <f>SUM(BS679:BS696)</f>
        <v>8109</v>
      </c>
      <c r="BU676" s="282">
        <f>SUM(BU679:BU696)</f>
        <v>8017</v>
      </c>
      <c r="BV676" s="282">
        <f>SUM(BV679:BV696)</f>
        <v>8098</v>
      </c>
      <c r="BX676" s="282">
        <f>SUM(BX679:BX696)</f>
        <v>2132</v>
      </c>
      <c r="BY676" s="282">
        <f>SUM(BY679:BY696)</f>
        <v>2198</v>
      </c>
      <c r="CA676" s="282">
        <f>SUM(CA679:CA696)</f>
        <v>5710</v>
      </c>
      <c r="CB676" s="282">
        <f>SUM(CB679:CB696)</f>
        <v>5835</v>
      </c>
      <c r="CD676" s="282">
        <f>SUM(CD679:CD696)</f>
        <v>5310</v>
      </c>
      <c r="CE676" s="282">
        <f>SUM(CE679:CE696)</f>
        <v>5416</v>
      </c>
      <c r="CG676" s="282">
        <f>SUM(CG679:CG696)</f>
        <v>3085</v>
      </c>
      <c r="CH676" s="282">
        <f>SUM(CH679:CH696)</f>
        <v>3031</v>
      </c>
      <c r="CJ676" s="282">
        <f>SUM(CJ679:CJ696)</f>
        <v>666</v>
      </c>
      <c r="CK676" s="282">
        <f>SUM(CK679:CK696)</f>
        <v>670</v>
      </c>
    </row>
    <row r="677" spans="1:89" x14ac:dyDescent="0.25">
      <c r="A677" s="107"/>
      <c r="B677" s="16"/>
      <c r="C677" s="95"/>
      <c r="D677" s="95"/>
      <c r="E677" s="282"/>
      <c r="F677" s="282"/>
      <c r="G677" s="282"/>
      <c r="H677" s="282">
        <f>SUM(H679:H687)</f>
        <v>184857</v>
      </c>
      <c r="I677" s="282">
        <f>SUM(I679:I687)</f>
        <v>191931</v>
      </c>
      <c r="J677" s="282">
        <f>SUM(J679:J687)</f>
        <v>198062</v>
      </c>
      <c r="K677" s="282">
        <f>SUM(K679:K687)</f>
        <v>204397</v>
      </c>
      <c r="L677" s="282">
        <f>SUM(L679:L687)</f>
        <v>2474</v>
      </c>
      <c r="M677" s="282">
        <f t="shared" ref="M677:N677" si="1060">SUM(M679:M687)</f>
        <v>2475</v>
      </c>
      <c r="N677" s="282">
        <f t="shared" si="1060"/>
        <v>2472</v>
      </c>
      <c r="Q677" s="282">
        <f>SUM(Q679:Q687)</f>
        <v>204397</v>
      </c>
      <c r="R677" s="282">
        <f>SUM(R679:R687)</f>
        <v>209186</v>
      </c>
      <c r="S677" s="282">
        <f>SUM(S679:S687)</f>
        <v>2663</v>
      </c>
      <c r="T677" s="282">
        <f>SUM(T679:T687)</f>
        <v>2792</v>
      </c>
      <c r="V677" s="282">
        <f>SUM(V679:V687)</f>
        <v>2154</v>
      </c>
      <c r="W677" s="282">
        <f>SUM(W679:W687)</f>
        <v>2124</v>
      </c>
      <c r="Y677" s="282">
        <f>SUM(Y679:Y687)</f>
        <v>2960</v>
      </c>
      <c r="Z677" s="282">
        <f>SUM(Z679:Z687)</f>
        <v>2929</v>
      </c>
      <c r="AB677" s="282">
        <f>SUM(AB679:AB687)</f>
        <v>2910</v>
      </c>
      <c r="AC677" s="282">
        <f>SUM(AC679:AC687)</f>
        <v>2938</v>
      </c>
      <c r="AE677" s="282">
        <f>SUM(AE679:AE687)</f>
        <v>2898</v>
      </c>
      <c r="AF677" s="282">
        <f>SUM(AF679:AF687)</f>
        <v>2939</v>
      </c>
      <c r="AH677" s="282">
        <f>SUM(AH679:AH687)</f>
        <v>2503</v>
      </c>
      <c r="AI677" s="282">
        <f>SUM(AI679:AI687)</f>
        <v>2485</v>
      </c>
      <c r="AK677" s="282">
        <f>SUM(AK679:AK687)</f>
        <v>5978</v>
      </c>
      <c r="AL677" s="282">
        <f>SUM(AL679:AL687)</f>
        <v>6056</v>
      </c>
      <c r="AN677" s="282">
        <f>SUM(AN679:AN687)</f>
        <v>11915</v>
      </c>
      <c r="AO677" s="282">
        <f>SUM(AO679:AO687)</f>
        <v>11981</v>
      </c>
      <c r="AQ677" s="282">
        <f>SUM(AQ679:AQ687)</f>
        <v>0</v>
      </c>
      <c r="AR677" s="282">
        <f>SUM(AR679:AR687)</f>
        <v>0</v>
      </c>
      <c r="AT677" s="282">
        <f>SUM(AT679:AT687)</f>
        <v>14061</v>
      </c>
      <c r="AU677" s="282">
        <f>SUM(AU679:AU687)</f>
        <v>14547</v>
      </c>
      <c r="AW677" s="282">
        <f>SUM(AW679:AW687)</f>
        <v>5269</v>
      </c>
      <c r="AX677" s="282">
        <f>SUM(AX679:AX687)</f>
        <v>5356</v>
      </c>
      <c r="AZ677" s="282">
        <f>SUM(AZ679:AZ687)</f>
        <v>7300</v>
      </c>
      <c r="BA677" s="282">
        <f>SUM(BA679:BA687)</f>
        <v>7246</v>
      </c>
      <c r="BC677" s="282">
        <f>SUM(BC679:BC687)</f>
        <v>14538</v>
      </c>
      <c r="BD677" s="282">
        <f>SUM(BD679:BD687)</f>
        <v>14814</v>
      </c>
      <c r="BF677" s="282">
        <f>SUM(BF679:BF687)</f>
        <v>34261</v>
      </c>
      <c r="BG677" s="282">
        <f>SUM(BG679:BG687)</f>
        <v>35224</v>
      </c>
      <c r="BI677" s="282">
        <f>SUM(BI679:BI687)</f>
        <v>51527</v>
      </c>
      <c r="BJ677" s="282">
        <f>SUM(BJ679:BJ687)</f>
        <v>53886</v>
      </c>
      <c r="BL677" s="282">
        <f>SUM(BL679:BL687)</f>
        <v>5617</v>
      </c>
      <c r="BM677" s="282">
        <f>SUM(BM679:BM687)</f>
        <v>5590</v>
      </c>
      <c r="BO677" s="282">
        <f>SUM(BO679:BO687)</f>
        <v>5284</v>
      </c>
      <c r="BP677" s="282">
        <f>SUM(BP679:BP687)</f>
        <v>5319</v>
      </c>
      <c r="BR677" s="282">
        <f>SUM(BR679:BR687)</f>
        <v>8021</v>
      </c>
      <c r="BS677" s="282">
        <f>SUM(BS679:BS687)</f>
        <v>8109</v>
      </c>
      <c r="BU677" s="282">
        <f>SUM(BU679:BU687)</f>
        <v>8017</v>
      </c>
      <c r="BV677" s="282">
        <f>SUM(BV679:BV687)</f>
        <v>8098</v>
      </c>
      <c r="BX677" s="282">
        <f>SUM(BX679:BX687)</f>
        <v>2132</v>
      </c>
      <c r="BY677" s="282">
        <f>SUM(BY679:BY687)</f>
        <v>2198</v>
      </c>
      <c r="CA677" s="282">
        <f>SUM(CA679:CA687)</f>
        <v>5710</v>
      </c>
      <c r="CB677" s="282">
        <f>SUM(CB679:CB687)</f>
        <v>5835</v>
      </c>
      <c r="CD677" s="282">
        <f>SUM(CD679:CD687)</f>
        <v>5310</v>
      </c>
      <c r="CE677" s="282">
        <f>SUM(CE679:CE687)</f>
        <v>5416</v>
      </c>
      <c r="CG677" s="282">
        <f>SUM(CG679:CG687)</f>
        <v>2703</v>
      </c>
      <c r="CH677" s="282">
        <f>SUM(CH679:CH687)</f>
        <v>2634</v>
      </c>
      <c r="CJ677" s="282">
        <f>SUM(CJ679:CJ687)</f>
        <v>666</v>
      </c>
      <c r="CK677" s="282">
        <f>SUM(CK679:CK687)</f>
        <v>670</v>
      </c>
    </row>
    <row r="678" spans="1:89" x14ac:dyDescent="0.25">
      <c r="A678" s="107"/>
      <c r="B678" s="16"/>
      <c r="C678" s="95"/>
      <c r="D678" s="95"/>
      <c r="E678" s="282"/>
      <c r="F678" s="282"/>
      <c r="G678" s="282"/>
      <c r="H678" s="282">
        <f>SUM(H688:H696)</f>
        <v>16992</v>
      </c>
      <c r="I678" s="282">
        <f>SUM(I688:I696)</f>
        <v>17444</v>
      </c>
      <c r="J678" s="282">
        <f>SUM(J688:J696)</f>
        <v>17625</v>
      </c>
      <c r="K678" s="282">
        <f>SUM(K688:K696)</f>
        <v>17644</v>
      </c>
      <c r="L678" s="282">
        <f>SUM(L688:L696)</f>
        <v>1964</v>
      </c>
      <c r="M678" s="282">
        <f t="shared" ref="M678:N678" si="1061">SUM(M688:M696)</f>
        <v>1941</v>
      </c>
      <c r="N678" s="282">
        <f t="shared" si="1061"/>
        <v>1876</v>
      </c>
      <c r="Q678" s="282">
        <f>SUM(Q688:Q696)</f>
        <v>17644</v>
      </c>
      <c r="R678" s="282">
        <f>SUM(R688:R696)</f>
        <v>17490</v>
      </c>
      <c r="S678" s="282">
        <f>SUM(S688:S696)</f>
        <v>1265</v>
      </c>
      <c r="T678" s="282">
        <f>SUM(T688:T696)</f>
        <v>1262</v>
      </c>
      <c r="V678" s="282">
        <f>SUM(V688:V696)</f>
        <v>1443</v>
      </c>
      <c r="W678" s="282">
        <f>SUM(W688:W696)</f>
        <v>1453</v>
      </c>
      <c r="Y678" s="282">
        <f>SUM(Y688:Y696)</f>
        <v>1458</v>
      </c>
      <c r="Z678" s="282">
        <f>SUM(Z688:Z696)</f>
        <v>1415</v>
      </c>
      <c r="AB678" s="282">
        <f>SUM(AB688:AB696)</f>
        <v>2212</v>
      </c>
      <c r="AC678" s="282">
        <f>SUM(AC688:AC696)</f>
        <v>2176</v>
      </c>
      <c r="AE678" s="282">
        <f>SUM(AE688:AE696)</f>
        <v>987</v>
      </c>
      <c r="AF678" s="282">
        <f>SUM(AF688:AF696)</f>
        <v>908</v>
      </c>
      <c r="AH678" s="282">
        <f>SUM(AH688:AH696)</f>
        <v>1979</v>
      </c>
      <c r="AI678" s="282">
        <f>SUM(AI688:AI696)</f>
        <v>1970</v>
      </c>
      <c r="AK678" s="282">
        <f>SUM(AK688:AK696)</f>
        <v>290</v>
      </c>
      <c r="AL678" s="282">
        <f>SUM(AL688:AL696)</f>
        <v>288</v>
      </c>
      <c r="AN678" s="282">
        <f>SUM(AN688:AN696)</f>
        <v>5478</v>
      </c>
      <c r="AO678" s="282">
        <f>SUM(AO688:AO696)</f>
        <v>5464</v>
      </c>
      <c r="AQ678" s="282">
        <f>SUM(AQ688:AQ696)</f>
        <v>2150</v>
      </c>
      <c r="AR678" s="282">
        <f>SUM(AR688:AR696)</f>
        <v>2157</v>
      </c>
      <c r="AT678" s="282">
        <f>SUM(AT688:AT696)</f>
        <v>0</v>
      </c>
      <c r="AU678" s="282">
        <f>SUM(AU688:AU696)</f>
        <v>0</v>
      </c>
      <c r="AW678" s="282">
        <f>SUM(AW688:AW696)</f>
        <v>0</v>
      </c>
      <c r="AX678" s="282">
        <f>SUM(AX688:AX696)</f>
        <v>0</v>
      </c>
      <c r="AZ678" s="282">
        <f>SUM(AZ688:AZ696)</f>
        <v>0</v>
      </c>
      <c r="BA678" s="282">
        <f>SUM(BA688:BA696)</f>
        <v>0</v>
      </c>
      <c r="BC678" s="282">
        <f>SUM(BC688:BC696)</f>
        <v>0</v>
      </c>
      <c r="BD678" s="282">
        <f>SUM(BD688:BD696)</f>
        <v>0</v>
      </c>
      <c r="BF678" s="282">
        <f>SUM(BF688:BF696)</f>
        <v>0</v>
      </c>
      <c r="BG678" s="282">
        <f>SUM(BG688:BG696)</f>
        <v>0</v>
      </c>
      <c r="BI678" s="282">
        <f>SUM(BI688:BI696)</f>
        <v>0</v>
      </c>
      <c r="BJ678" s="282">
        <f>SUM(BJ688:BJ696)</f>
        <v>0</v>
      </c>
      <c r="BL678" s="282">
        <f>SUM(BL688:BL696)</f>
        <v>0</v>
      </c>
      <c r="BM678" s="282">
        <f>SUM(BM688:BM696)</f>
        <v>0</v>
      </c>
      <c r="BO678" s="282">
        <f>SUM(BO688:BO696)</f>
        <v>0</v>
      </c>
      <c r="BP678" s="282">
        <f>SUM(BP688:BP696)</f>
        <v>0</v>
      </c>
      <c r="BR678" s="282">
        <f>SUM(BR688:BR696)</f>
        <v>0</v>
      </c>
      <c r="BS678" s="282">
        <f>SUM(BS688:BS696)</f>
        <v>0</v>
      </c>
      <c r="BU678" s="282">
        <f>SUM(BU688:BU696)</f>
        <v>0</v>
      </c>
      <c r="BV678" s="282">
        <f>SUM(BV688:BV696)</f>
        <v>0</v>
      </c>
      <c r="BX678" s="282">
        <f>SUM(BX688:BX696)</f>
        <v>0</v>
      </c>
      <c r="BY678" s="282">
        <f>SUM(BY688:BY696)</f>
        <v>0</v>
      </c>
      <c r="CA678" s="282">
        <f>SUM(CA688:CA696)</f>
        <v>0</v>
      </c>
      <c r="CB678" s="282">
        <f>SUM(CB688:CB696)</f>
        <v>0</v>
      </c>
      <c r="CD678" s="282">
        <f>SUM(CD688:CD696)</f>
        <v>0</v>
      </c>
      <c r="CE678" s="282">
        <f>SUM(CE688:CE696)</f>
        <v>0</v>
      </c>
      <c r="CG678" s="282">
        <f>SUM(CG688:CG696)</f>
        <v>382</v>
      </c>
      <c r="CH678" s="282">
        <f>SUM(CH688:CH696)</f>
        <v>397</v>
      </c>
      <c r="CJ678" s="282">
        <f>SUM(CJ688:CJ696)</f>
        <v>0</v>
      </c>
      <c r="CK678" s="282">
        <f>SUM(CK688:CK696)</f>
        <v>0</v>
      </c>
    </row>
    <row r="679" spans="1:89" ht="30" x14ac:dyDescent="0.25">
      <c r="A679" s="107"/>
      <c r="B679" s="312"/>
      <c r="C679" s="312" t="s">
        <v>1593</v>
      </c>
      <c r="D679" s="95"/>
      <c r="E679" s="282"/>
      <c r="F679" s="282"/>
      <c r="G679" s="282"/>
      <c r="H679" s="282">
        <v>180435</v>
      </c>
      <c r="I679" s="282">
        <v>187583</v>
      </c>
      <c r="J679" s="282">
        <f t="shared" ref="J679:K696" si="1062">J528</f>
        <v>193546</v>
      </c>
      <c r="K679" s="282">
        <f t="shared" si="1062"/>
        <v>199765</v>
      </c>
      <c r="L679" s="282">
        <f t="shared" ref="L679:M694" si="1063">L528</f>
        <v>2474</v>
      </c>
      <c r="M679" s="282">
        <f t="shared" si="1063"/>
        <v>2475</v>
      </c>
      <c r="N679" s="282">
        <f t="shared" ref="N679" si="1064">N528</f>
        <v>2472</v>
      </c>
      <c r="O679" s="286"/>
      <c r="Q679" s="286">
        <f t="shared" ref="Q679:Q696" si="1065">S679+V679+Y679+AB679+AE679+AH679+AK679+AN679+AQ679+AT679+AW679+AZ679+BC679+BF679+BI679+BL679+BO679+BR679+BU679+BX679+CA679+CD679+CG679+CJ679</f>
        <v>199765</v>
      </c>
      <c r="R679" s="286">
        <f t="shared" ref="R679:R696" si="1066">T679+W679+Z679+AC679+AF679+AI679+AL679+AO679+AR679+AU679+AX679+BA679+BD679+BG679+BJ679+BM679+BP679+BS679+BV679+BY679+CB679+CE679+CH679+CK679</f>
        <v>204600</v>
      </c>
      <c r="S679" s="286">
        <f t="shared" ref="S679:T696" si="1067">S528</f>
        <v>2623</v>
      </c>
      <c r="T679" s="286">
        <f t="shared" si="1067"/>
        <v>2733</v>
      </c>
      <c r="U679" s="286"/>
      <c r="V679" s="286">
        <f t="shared" ref="V679:W696" si="1068">V528</f>
        <v>2144</v>
      </c>
      <c r="W679" s="286">
        <f t="shared" si="1068"/>
        <v>2114</v>
      </c>
      <c r="X679" s="286"/>
      <c r="Y679" s="286">
        <f t="shared" ref="Y679:Z696" si="1069">Y528</f>
        <v>2960</v>
      </c>
      <c r="Z679" s="286">
        <f t="shared" si="1069"/>
        <v>2929</v>
      </c>
      <c r="AA679" s="286"/>
      <c r="AB679" s="286">
        <f t="shared" ref="AB679:AC696" si="1070">AB528</f>
        <v>2910</v>
      </c>
      <c r="AC679" s="286">
        <f t="shared" si="1070"/>
        <v>2938</v>
      </c>
      <c r="AD679" s="286"/>
      <c r="AE679" s="286">
        <f t="shared" ref="AE679:AF696" si="1071">AE528</f>
        <v>2779</v>
      </c>
      <c r="AF679" s="286">
        <f t="shared" si="1071"/>
        <v>2839</v>
      </c>
      <c r="AG679" s="286"/>
      <c r="AH679" s="286">
        <f t="shared" ref="AH679:AI696" si="1072">AH528</f>
        <v>2486</v>
      </c>
      <c r="AI679" s="286">
        <f t="shared" si="1072"/>
        <v>2474</v>
      </c>
      <c r="AJ679" s="286"/>
      <c r="AK679" s="286">
        <f t="shared" ref="AK679:AL696" si="1073">AK528</f>
        <v>5793</v>
      </c>
      <c r="AL679" s="286">
        <f t="shared" si="1073"/>
        <v>5866</v>
      </c>
      <c r="AM679" s="286"/>
      <c r="AN679" s="286">
        <f t="shared" ref="AN679:AO696" si="1074">AN528</f>
        <v>11819</v>
      </c>
      <c r="AO679" s="286">
        <f t="shared" si="1074"/>
        <v>11889</v>
      </c>
      <c r="AP679" s="286"/>
      <c r="AQ679" s="286">
        <f t="shared" ref="AQ679:AR696" si="1075">AQ528</f>
        <v>0</v>
      </c>
      <c r="AR679" s="286">
        <f t="shared" si="1075"/>
        <v>0</v>
      </c>
      <c r="AS679" s="286"/>
      <c r="AT679" s="286">
        <f t="shared" ref="AT679:AU696" si="1076">AT528</f>
        <v>13883</v>
      </c>
      <c r="AU679" s="286">
        <f t="shared" si="1076"/>
        <v>14407</v>
      </c>
      <c r="AV679" s="286"/>
      <c r="AW679" s="286">
        <f t="shared" ref="AW679:AX696" si="1077">AW528</f>
        <v>5196</v>
      </c>
      <c r="AX679" s="286">
        <f t="shared" si="1077"/>
        <v>5281</v>
      </c>
      <c r="AY679" s="286"/>
      <c r="AZ679" s="286">
        <f t="shared" ref="AZ679:BA696" si="1078">AZ528</f>
        <v>7300</v>
      </c>
      <c r="BA679" s="286">
        <f t="shared" si="1078"/>
        <v>7246</v>
      </c>
      <c r="BB679" s="286"/>
      <c r="BC679" s="286">
        <f t="shared" ref="BC679:BD696" si="1079">BC528</f>
        <v>14385</v>
      </c>
      <c r="BD679" s="286">
        <f t="shared" si="1079"/>
        <v>14670</v>
      </c>
      <c r="BE679" s="286"/>
      <c r="BF679" s="286">
        <f t="shared" ref="BF679:BG696" si="1080">BF528</f>
        <v>34019</v>
      </c>
      <c r="BG679" s="286">
        <f t="shared" si="1080"/>
        <v>34985</v>
      </c>
      <c r="BH679" s="286"/>
      <c r="BI679" s="286">
        <f t="shared" ref="BI679:BJ696" si="1081">BI528</f>
        <v>50296</v>
      </c>
      <c r="BJ679" s="286">
        <f t="shared" si="1081"/>
        <v>52650</v>
      </c>
      <c r="BK679" s="286"/>
      <c r="BL679" s="286">
        <f t="shared" ref="BL679:BM696" si="1082">BL528</f>
        <v>5617</v>
      </c>
      <c r="BM679" s="286">
        <f t="shared" si="1082"/>
        <v>5590</v>
      </c>
      <c r="BN679" s="286"/>
      <c r="BO679" s="286">
        <f t="shared" ref="BO679:BP696" si="1083">BO528</f>
        <v>5276</v>
      </c>
      <c r="BP679" s="286">
        <f t="shared" si="1083"/>
        <v>5300</v>
      </c>
      <c r="BQ679" s="286"/>
      <c r="BR679" s="286">
        <f t="shared" ref="BR679:BS696" si="1084">BR528</f>
        <v>8021</v>
      </c>
      <c r="BS679" s="286">
        <f t="shared" si="1084"/>
        <v>8109</v>
      </c>
      <c r="BT679" s="286"/>
      <c r="BU679" s="286">
        <f t="shared" ref="BU679:BV696" si="1085">BU528</f>
        <v>7972</v>
      </c>
      <c r="BV679" s="286">
        <f t="shared" si="1085"/>
        <v>8054</v>
      </c>
      <c r="BW679" s="286"/>
      <c r="BX679" s="286">
        <f t="shared" ref="BX679:BY696" si="1086">BX528</f>
        <v>2132</v>
      </c>
      <c r="BY679" s="286">
        <f t="shared" si="1086"/>
        <v>2198</v>
      </c>
      <c r="BZ679" s="286"/>
      <c r="CA679" s="286">
        <f t="shared" ref="CA679:CB696" si="1087">CA528</f>
        <v>5700</v>
      </c>
      <c r="CB679" s="286">
        <f t="shared" si="1087"/>
        <v>5824</v>
      </c>
      <c r="CC679" s="286"/>
      <c r="CD679" s="286">
        <f t="shared" ref="CD679:CE696" si="1088">CD528</f>
        <v>5310</v>
      </c>
      <c r="CE679" s="286">
        <f t="shared" si="1088"/>
        <v>5416</v>
      </c>
      <c r="CF679" s="286"/>
      <c r="CG679" s="286">
        <f t="shared" ref="CG679:CH696" si="1089">CG528</f>
        <v>478</v>
      </c>
      <c r="CH679" s="286">
        <f t="shared" si="1089"/>
        <v>418</v>
      </c>
      <c r="CI679" s="286"/>
      <c r="CJ679" s="286">
        <f t="shared" ref="CJ679:CK696" si="1090">CJ528</f>
        <v>666</v>
      </c>
      <c r="CK679" s="286">
        <f t="shared" si="1090"/>
        <v>670</v>
      </c>
    </row>
    <row r="680" spans="1:89" ht="30" x14ac:dyDescent="0.25">
      <c r="A680" s="107"/>
      <c r="B680" s="312"/>
      <c r="C680" s="312" t="s">
        <v>1594</v>
      </c>
      <c r="D680" s="95"/>
      <c r="E680" s="282"/>
      <c r="F680" s="282"/>
      <c r="G680" s="282"/>
      <c r="H680" s="282">
        <v>1648</v>
      </c>
      <c r="I680" s="282">
        <v>1681</v>
      </c>
      <c r="J680" s="282">
        <f t="shared" si="1062"/>
        <v>1891</v>
      </c>
      <c r="K680" s="282">
        <f t="shared" si="1062"/>
        <v>1945</v>
      </c>
      <c r="L680" s="282">
        <f t="shared" ref="L680" si="1091">L529</f>
        <v>0</v>
      </c>
      <c r="M680" s="282">
        <f t="shared" si="1063"/>
        <v>0</v>
      </c>
      <c r="N680" s="282">
        <f t="shared" ref="N680" si="1092">N529</f>
        <v>0</v>
      </c>
      <c r="Q680" s="286">
        <f t="shared" si="1065"/>
        <v>1945</v>
      </c>
      <c r="R680" s="286">
        <f t="shared" si="1066"/>
        <v>1928</v>
      </c>
      <c r="S680" s="286">
        <f t="shared" si="1067"/>
        <v>32</v>
      </c>
      <c r="T680" s="286">
        <f t="shared" si="1067"/>
        <v>44</v>
      </c>
      <c r="U680" s="286"/>
      <c r="V680" s="286">
        <f t="shared" si="1068"/>
        <v>0</v>
      </c>
      <c r="W680" s="286">
        <f t="shared" si="1068"/>
        <v>0</v>
      </c>
      <c r="X680" s="286"/>
      <c r="Y680" s="286">
        <f t="shared" si="1069"/>
        <v>0</v>
      </c>
      <c r="Z680" s="286">
        <f t="shared" si="1069"/>
        <v>0</v>
      </c>
      <c r="AA680" s="286"/>
      <c r="AB680" s="286">
        <f t="shared" si="1070"/>
        <v>0</v>
      </c>
      <c r="AC680" s="286">
        <f t="shared" si="1070"/>
        <v>0</v>
      </c>
      <c r="AD680" s="286"/>
      <c r="AE680" s="286">
        <f t="shared" si="1071"/>
        <v>0</v>
      </c>
      <c r="AF680" s="286">
        <f t="shared" si="1071"/>
        <v>0</v>
      </c>
      <c r="AG680" s="286"/>
      <c r="AH680" s="286">
        <f t="shared" si="1072"/>
        <v>0</v>
      </c>
      <c r="AI680" s="286">
        <f t="shared" si="1072"/>
        <v>0</v>
      </c>
      <c r="AJ680" s="286"/>
      <c r="AK680" s="286">
        <f t="shared" si="1073"/>
        <v>155</v>
      </c>
      <c r="AL680" s="286">
        <f t="shared" si="1073"/>
        <v>154</v>
      </c>
      <c r="AM680" s="286"/>
      <c r="AN680" s="286">
        <f t="shared" si="1074"/>
        <v>33</v>
      </c>
      <c r="AO680" s="286">
        <f t="shared" si="1074"/>
        <v>24</v>
      </c>
      <c r="AP680" s="286"/>
      <c r="AQ680" s="286">
        <f t="shared" si="1075"/>
        <v>0</v>
      </c>
      <c r="AR680" s="286">
        <f t="shared" si="1075"/>
        <v>0</v>
      </c>
      <c r="AS680" s="286"/>
      <c r="AT680" s="286">
        <f t="shared" si="1076"/>
        <v>171</v>
      </c>
      <c r="AU680" s="286">
        <f t="shared" si="1076"/>
        <v>140</v>
      </c>
      <c r="AV680" s="286"/>
      <c r="AW680" s="286">
        <f t="shared" si="1077"/>
        <v>63</v>
      </c>
      <c r="AX680" s="286">
        <f t="shared" si="1077"/>
        <v>66</v>
      </c>
      <c r="AY680" s="286"/>
      <c r="AZ680" s="286">
        <f t="shared" si="1078"/>
        <v>0</v>
      </c>
      <c r="BA680" s="286">
        <f t="shared" si="1078"/>
        <v>0</v>
      </c>
      <c r="BB680" s="286"/>
      <c r="BC680" s="286">
        <f t="shared" si="1079"/>
        <v>153</v>
      </c>
      <c r="BD680" s="286">
        <f t="shared" si="1079"/>
        <v>144</v>
      </c>
      <c r="BE680" s="286"/>
      <c r="BF680" s="286">
        <f t="shared" si="1080"/>
        <v>112</v>
      </c>
      <c r="BG680" s="286">
        <f t="shared" si="1080"/>
        <v>119</v>
      </c>
      <c r="BH680" s="286"/>
      <c r="BI680" s="286">
        <f t="shared" si="1081"/>
        <v>788</v>
      </c>
      <c r="BJ680" s="286">
        <f t="shared" si="1081"/>
        <v>793</v>
      </c>
      <c r="BK680" s="286"/>
      <c r="BL680" s="286">
        <f t="shared" si="1082"/>
        <v>0</v>
      </c>
      <c r="BM680" s="286">
        <f t="shared" si="1082"/>
        <v>0</v>
      </c>
      <c r="BN680" s="286"/>
      <c r="BO680" s="286">
        <f t="shared" si="1083"/>
        <v>8</v>
      </c>
      <c r="BP680" s="286">
        <f t="shared" si="1083"/>
        <v>19</v>
      </c>
      <c r="BQ680" s="286"/>
      <c r="BR680" s="286">
        <f t="shared" si="1084"/>
        <v>0</v>
      </c>
      <c r="BS680" s="286">
        <f t="shared" si="1084"/>
        <v>0</v>
      </c>
      <c r="BT680" s="286"/>
      <c r="BU680" s="286">
        <f t="shared" si="1085"/>
        <v>0</v>
      </c>
      <c r="BV680" s="286">
        <f t="shared" si="1085"/>
        <v>0</v>
      </c>
      <c r="BW680" s="286"/>
      <c r="BX680" s="286">
        <f t="shared" si="1086"/>
        <v>0</v>
      </c>
      <c r="BY680" s="286">
        <f t="shared" si="1086"/>
        <v>0</v>
      </c>
      <c r="BZ680" s="286"/>
      <c r="CA680" s="286">
        <f t="shared" si="1087"/>
        <v>10</v>
      </c>
      <c r="CB680" s="286">
        <f t="shared" si="1087"/>
        <v>11</v>
      </c>
      <c r="CC680" s="286"/>
      <c r="CD680" s="286">
        <f t="shared" si="1088"/>
        <v>0</v>
      </c>
      <c r="CE680" s="286">
        <f t="shared" si="1088"/>
        <v>0</v>
      </c>
      <c r="CF680" s="286"/>
      <c r="CG680" s="286">
        <f t="shared" si="1089"/>
        <v>420</v>
      </c>
      <c r="CH680" s="286">
        <f t="shared" si="1089"/>
        <v>414</v>
      </c>
      <c r="CI680" s="286"/>
      <c r="CJ680" s="286">
        <f t="shared" si="1090"/>
        <v>0</v>
      </c>
      <c r="CK680" s="286">
        <f t="shared" si="1090"/>
        <v>0</v>
      </c>
    </row>
    <row r="681" spans="1:89" ht="30" x14ac:dyDescent="0.25">
      <c r="A681" s="107"/>
      <c r="B681" s="312"/>
      <c r="C681" s="312" t="s">
        <v>1595</v>
      </c>
      <c r="D681" s="95"/>
      <c r="E681" s="282"/>
      <c r="F681" s="282"/>
      <c r="G681" s="282"/>
      <c r="H681" s="282">
        <v>1807</v>
      </c>
      <c r="I681" s="282">
        <v>1865</v>
      </c>
      <c r="J681" s="282">
        <f t="shared" si="1062"/>
        <v>1926</v>
      </c>
      <c r="K681" s="282">
        <f t="shared" si="1062"/>
        <v>2004</v>
      </c>
      <c r="L681" s="282">
        <f t="shared" ref="L681" si="1093">L530</f>
        <v>0</v>
      </c>
      <c r="M681" s="282">
        <f t="shared" si="1063"/>
        <v>0</v>
      </c>
      <c r="N681" s="282">
        <f t="shared" ref="N681" si="1094">N530</f>
        <v>0</v>
      </c>
      <c r="Q681" s="286">
        <f t="shared" si="1065"/>
        <v>2004</v>
      </c>
      <c r="R681" s="286">
        <f t="shared" si="1066"/>
        <v>1999</v>
      </c>
      <c r="S681" s="286">
        <f t="shared" si="1067"/>
        <v>0</v>
      </c>
      <c r="T681" s="286">
        <f t="shared" si="1067"/>
        <v>0</v>
      </c>
      <c r="U681" s="286"/>
      <c r="V681" s="286">
        <f t="shared" si="1068"/>
        <v>0</v>
      </c>
      <c r="W681" s="286">
        <f t="shared" si="1068"/>
        <v>0</v>
      </c>
      <c r="X681" s="286"/>
      <c r="Y681" s="286">
        <f t="shared" si="1069"/>
        <v>0</v>
      </c>
      <c r="Z681" s="286">
        <f t="shared" si="1069"/>
        <v>0</v>
      </c>
      <c r="AA681" s="286"/>
      <c r="AB681" s="286">
        <f t="shared" si="1070"/>
        <v>0</v>
      </c>
      <c r="AC681" s="286">
        <f t="shared" si="1070"/>
        <v>0</v>
      </c>
      <c r="AD681" s="286"/>
      <c r="AE681" s="286">
        <f t="shared" si="1071"/>
        <v>74</v>
      </c>
      <c r="AF681" s="286">
        <f t="shared" si="1071"/>
        <v>62</v>
      </c>
      <c r="AG681" s="286"/>
      <c r="AH681" s="286">
        <f t="shared" si="1072"/>
        <v>0</v>
      </c>
      <c r="AI681" s="286">
        <f t="shared" si="1072"/>
        <v>0</v>
      </c>
      <c r="AJ681" s="286"/>
      <c r="AK681" s="286">
        <f t="shared" si="1073"/>
        <v>7</v>
      </c>
      <c r="AL681" s="286">
        <f t="shared" si="1073"/>
        <v>7</v>
      </c>
      <c r="AM681" s="286"/>
      <c r="AN681" s="286">
        <f t="shared" si="1074"/>
        <v>63</v>
      </c>
      <c r="AO681" s="286">
        <f t="shared" si="1074"/>
        <v>68</v>
      </c>
      <c r="AP681" s="286"/>
      <c r="AQ681" s="286">
        <f t="shared" si="1075"/>
        <v>0</v>
      </c>
      <c r="AR681" s="286">
        <f t="shared" si="1075"/>
        <v>0</v>
      </c>
      <c r="AS681" s="286"/>
      <c r="AT681" s="286">
        <f t="shared" si="1076"/>
        <v>0</v>
      </c>
      <c r="AU681" s="286">
        <f t="shared" si="1076"/>
        <v>0</v>
      </c>
      <c r="AV681" s="286"/>
      <c r="AW681" s="286">
        <f t="shared" si="1077"/>
        <v>10</v>
      </c>
      <c r="AX681" s="286">
        <f t="shared" si="1077"/>
        <v>9</v>
      </c>
      <c r="AY681" s="286"/>
      <c r="AZ681" s="286">
        <f t="shared" si="1078"/>
        <v>0</v>
      </c>
      <c r="BA681" s="286">
        <f t="shared" si="1078"/>
        <v>0</v>
      </c>
      <c r="BB681" s="286"/>
      <c r="BC681" s="286">
        <f t="shared" si="1079"/>
        <v>0</v>
      </c>
      <c r="BD681" s="286">
        <f t="shared" si="1079"/>
        <v>0</v>
      </c>
      <c r="BE681" s="286"/>
      <c r="BF681" s="286">
        <f t="shared" si="1080"/>
        <v>0</v>
      </c>
      <c r="BG681" s="286">
        <f t="shared" si="1080"/>
        <v>7</v>
      </c>
      <c r="BH681" s="286"/>
      <c r="BI681" s="286">
        <f t="shared" si="1081"/>
        <v>0</v>
      </c>
      <c r="BJ681" s="286">
        <f t="shared" si="1081"/>
        <v>0</v>
      </c>
      <c r="BK681" s="286"/>
      <c r="BL681" s="286">
        <f t="shared" si="1082"/>
        <v>0</v>
      </c>
      <c r="BM681" s="286">
        <f t="shared" si="1082"/>
        <v>0</v>
      </c>
      <c r="BN681" s="286"/>
      <c r="BO681" s="286">
        <f t="shared" si="1083"/>
        <v>0</v>
      </c>
      <c r="BP681" s="286">
        <f t="shared" si="1083"/>
        <v>0</v>
      </c>
      <c r="BQ681" s="286"/>
      <c r="BR681" s="286">
        <f t="shared" si="1084"/>
        <v>0</v>
      </c>
      <c r="BS681" s="286">
        <f t="shared" si="1084"/>
        <v>0</v>
      </c>
      <c r="BT681" s="286"/>
      <c r="BU681" s="286">
        <f t="shared" si="1085"/>
        <v>45</v>
      </c>
      <c r="BV681" s="286">
        <f t="shared" si="1085"/>
        <v>44</v>
      </c>
      <c r="BW681" s="286"/>
      <c r="BX681" s="286">
        <f t="shared" si="1086"/>
        <v>0</v>
      </c>
      <c r="BY681" s="286">
        <f t="shared" si="1086"/>
        <v>0</v>
      </c>
      <c r="BZ681" s="286"/>
      <c r="CA681" s="286">
        <f t="shared" si="1087"/>
        <v>0</v>
      </c>
      <c r="CB681" s="286">
        <f t="shared" si="1087"/>
        <v>0</v>
      </c>
      <c r="CC681" s="286"/>
      <c r="CD681" s="286">
        <f t="shared" si="1088"/>
        <v>0</v>
      </c>
      <c r="CE681" s="286">
        <f t="shared" si="1088"/>
        <v>0</v>
      </c>
      <c r="CF681" s="286"/>
      <c r="CG681" s="286">
        <f t="shared" si="1089"/>
        <v>1805</v>
      </c>
      <c r="CH681" s="286">
        <f t="shared" si="1089"/>
        <v>1802</v>
      </c>
      <c r="CI681" s="286"/>
      <c r="CJ681" s="286">
        <f t="shared" si="1090"/>
        <v>0</v>
      </c>
      <c r="CK681" s="286">
        <f t="shared" si="1090"/>
        <v>0</v>
      </c>
    </row>
    <row r="682" spans="1:89" ht="30" x14ac:dyDescent="0.25">
      <c r="A682" s="107"/>
      <c r="B682" s="312"/>
      <c r="C682" s="312" t="s">
        <v>2442</v>
      </c>
      <c r="D682" s="95"/>
      <c r="E682" s="282"/>
      <c r="F682" s="282"/>
      <c r="G682" s="282"/>
      <c r="H682" s="282">
        <v>686</v>
      </c>
      <c r="I682" s="282">
        <v>573</v>
      </c>
      <c r="J682" s="282">
        <f t="shared" si="1062"/>
        <v>448</v>
      </c>
      <c r="K682" s="282">
        <f t="shared" si="1062"/>
        <v>432</v>
      </c>
      <c r="L682" s="282">
        <f t="shared" ref="L682" si="1095">L531</f>
        <v>0</v>
      </c>
      <c r="M682" s="282">
        <f t="shared" si="1063"/>
        <v>0</v>
      </c>
      <c r="N682" s="282">
        <f t="shared" ref="N682" si="1096">N531</f>
        <v>0</v>
      </c>
      <c r="O682" s="286"/>
      <c r="Q682" s="286">
        <f t="shared" si="1065"/>
        <v>432</v>
      </c>
      <c r="R682" s="286">
        <f t="shared" si="1066"/>
        <v>452</v>
      </c>
      <c r="S682" s="286">
        <f t="shared" si="1067"/>
        <v>8</v>
      </c>
      <c r="T682" s="286">
        <f t="shared" si="1067"/>
        <v>15</v>
      </c>
      <c r="U682" s="286"/>
      <c r="V682" s="286">
        <f t="shared" si="1068"/>
        <v>10</v>
      </c>
      <c r="W682" s="286">
        <f t="shared" si="1068"/>
        <v>10</v>
      </c>
      <c r="X682" s="286"/>
      <c r="Y682" s="286">
        <f t="shared" si="1069"/>
        <v>0</v>
      </c>
      <c r="Z682" s="286">
        <f t="shared" si="1069"/>
        <v>0</v>
      </c>
      <c r="AA682" s="286"/>
      <c r="AB682" s="286">
        <f t="shared" si="1070"/>
        <v>0</v>
      </c>
      <c r="AC682" s="286">
        <f t="shared" si="1070"/>
        <v>0</v>
      </c>
      <c r="AD682" s="286"/>
      <c r="AE682" s="286">
        <f t="shared" si="1071"/>
        <v>45</v>
      </c>
      <c r="AF682" s="286">
        <f t="shared" si="1071"/>
        <v>38</v>
      </c>
      <c r="AG682" s="286"/>
      <c r="AH682" s="286">
        <f t="shared" si="1072"/>
        <v>0</v>
      </c>
      <c r="AI682" s="286">
        <f t="shared" si="1072"/>
        <v>11</v>
      </c>
      <c r="AJ682" s="286"/>
      <c r="AK682" s="286">
        <f t="shared" si="1073"/>
        <v>23</v>
      </c>
      <c r="AL682" s="286">
        <f t="shared" si="1073"/>
        <v>28</v>
      </c>
      <c r="AM682" s="286"/>
      <c r="AN682" s="286">
        <f t="shared" si="1074"/>
        <v>0</v>
      </c>
      <c r="AO682" s="286">
        <f t="shared" si="1074"/>
        <v>0</v>
      </c>
      <c r="AP682" s="286"/>
      <c r="AQ682" s="286">
        <f t="shared" si="1075"/>
        <v>0</v>
      </c>
      <c r="AR682" s="286">
        <f t="shared" si="1075"/>
        <v>0</v>
      </c>
      <c r="AS682" s="286"/>
      <c r="AT682" s="286">
        <f t="shared" si="1076"/>
        <v>0</v>
      </c>
      <c r="AU682" s="286">
        <f t="shared" si="1076"/>
        <v>0</v>
      </c>
      <c r="AV682" s="286"/>
      <c r="AW682" s="286">
        <f t="shared" si="1077"/>
        <v>0</v>
      </c>
      <c r="AX682" s="286">
        <f t="shared" si="1077"/>
        <v>0</v>
      </c>
      <c r="AY682" s="286"/>
      <c r="AZ682" s="286">
        <f t="shared" si="1078"/>
        <v>0</v>
      </c>
      <c r="BA682" s="286">
        <f t="shared" si="1078"/>
        <v>0</v>
      </c>
      <c r="BB682" s="286"/>
      <c r="BC682" s="286">
        <f t="shared" si="1079"/>
        <v>0</v>
      </c>
      <c r="BD682" s="286">
        <f t="shared" si="1079"/>
        <v>0</v>
      </c>
      <c r="BE682" s="286"/>
      <c r="BF682" s="286">
        <f t="shared" si="1080"/>
        <v>130</v>
      </c>
      <c r="BG682" s="286">
        <f t="shared" si="1080"/>
        <v>113</v>
      </c>
      <c r="BH682" s="286"/>
      <c r="BI682" s="286">
        <f t="shared" si="1081"/>
        <v>216</v>
      </c>
      <c r="BJ682" s="286">
        <f t="shared" si="1081"/>
        <v>237</v>
      </c>
      <c r="BK682" s="286"/>
      <c r="BL682" s="286">
        <f t="shared" si="1082"/>
        <v>0</v>
      </c>
      <c r="BM682" s="286">
        <f t="shared" si="1082"/>
        <v>0</v>
      </c>
      <c r="BN682" s="286"/>
      <c r="BO682" s="286">
        <f t="shared" si="1083"/>
        <v>0</v>
      </c>
      <c r="BP682" s="286">
        <f t="shared" si="1083"/>
        <v>0</v>
      </c>
      <c r="BQ682" s="286"/>
      <c r="BR682" s="286">
        <f t="shared" si="1084"/>
        <v>0</v>
      </c>
      <c r="BS682" s="286">
        <f t="shared" si="1084"/>
        <v>0</v>
      </c>
      <c r="BT682" s="286"/>
      <c r="BU682" s="286">
        <f t="shared" si="1085"/>
        <v>0</v>
      </c>
      <c r="BV682" s="286">
        <f t="shared" si="1085"/>
        <v>0</v>
      </c>
      <c r="BW682" s="286"/>
      <c r="BX682" s="286">
        <f t="shared" si="1086"/>
        <v>0</v>
      </c>
      <c r="BY682" s="286">
        <f t="shared" si="1086"/>
        <v>0</v>
      </c>
      <c r="BZ682" s="286"/>
      <c r="CA682" s="286">
        <f t="shared" si="1087"/>
        <v>0</v>
      </c>
      <c r="CB682" s="286">
        <f t="shared" si="1087"/>
        <v>0</v>
      </c>
      <c r="CC682" s="286"/>
      <c r="CD682" s="286">
        <f t="shared" si="1088"/>
        <v>0</v>
      </c>
      <c r="CE682" s="286">
        <f t="shared" si="1088"/>
        <v>0</v>
      </c>
      <c r="CF682" s="286"/>
      <c r="CG682" s="286">
        <f t="shared" si="1089"/>
        <v>0</v>
      </c>
      <c r="CH682" s="286">
        <f t="shared" si="1089"/>
        <v>0</v>
      </c>
      <c r="CI682" s="286"/>
      <c r="CJ682" s="286">
        <f t="shared" si="1090"/>
        <v>0</v>
      </c>
      <c r="CK682" s="286">
        <f t="shared" si="1090"/>
        <v>0</v>
      </c>
    </row>
    <row r="683" spans="1:89" ht="30" x14ac:dyDescent="0.25">
      <c r="A683" s="107"/>
      <c r="B683" s="312"/>
      <c r="C683" s="312" t="s">
        <v>1596</v>
      </c>
      <c r="D683" s="95"/>
      <c r="E683" s="282"/>
      <c r="F683" s="282"/>
      <c r="G683" s="282"/>
      <c r="H683" s="282">
        <v>0</v>
      </c>
      <c r="I683" s="282">
        <v>0</v>
      </c>
      <c r="J683" s="282">
        <f t="shared" si="1062"/>
        <v>0</v>
      </c>
      <c r="K683" s="282">
        <f t="shared" si="1062"/>
        <v>0</v>
      </c>
      <c r="L683" s="282">
        <f t="shared" ref="L683" si="1097">L532</f>
        <v>0</v>
      </c>
      <c r="M683" s="282">
        <f t="shared" si="1063"/>
        <v>0</v>
      </c>
      <c r="N683" s="282">
        <f t="shared" ref="N683" si="1098">N532</f>
        <v>0</v>
      </c>
      <c r="Q683" s="286">
        <f t="shared" si="1065"/>
        <v>0</v>
      </c>
      <c r="R683" s="286">
        <f t="shared" si="1066"/>
        <v>0</v>
      </c>
      <c r="S683" s="286">
        <f t="shared" si="1067"/>
        <v>0</v>
      </c>
      <c r="T683" s="286">
        <f t="shared" si="1067"/>
        <v>0</v>
      </c>
      <c r="U683" s="286"/>
      <c r="V683" s="286">
        <f t="shared" si="1068"/>
        <v>0</v>
      </c>
      <c r="W683" s="286">
        <f t="shared" si="1068"/>
        <v>0</v>
      </c>
      <c r="X683" s="286"/>
      <c r="Y683" s="286">
        <f t="shared" si="1069"/>
        <v>0</v>
      </c>
      <c r="Z683" s="286">
        <f t="shared" si="1069"/>
        <v>0</v>
      </c>
      <c r="AA683" s="286"/>
      <c r="AB683" s="286">
        <f t="shared" si="1070"/>
        <v>0</v>
      </c>
      <c r="AC683" s="286">
        <f t="shared" si="1070"/>
        <v>0</v>
      </c>
      <c r="AD683" s="286"/>
      <c r="AE683" s="286">
        <f t="shared" si="1071"/>
        <v>0</v>
      </c>
      <c r="AF683" s="286">
        <f t="shared" si="1071"/>
        <v>0</v>
      </c>
      <c r="AG683" s="286"/>
      <c r="AH683" s="286">
        <f t="shared" si="1072"/>
        <v>0</v>
      </c>
      <c r="AI683" s="286">
        <f t="shared" si="1072"/>
        <v>0</v>
      </c>
      <c r="AJ683" s="286"/>
      <c r="AK683" s="286">
        <f t="shared" si="1073"/>
        <v>0</v>
      </c>
      <c r="AL683" s="286">
        <f t="shared" si="1073"/>
        <v>0</v>
      </c>
      <c r="AM683" s="286"/>
      <c r="AN683" s="286">
        <f t="shared" si="1074"/>
        <v>0</v>
      </c>
      <c r="AO683" s="286">
        <f t="shared" si="1074"/>
        <v>0</v>
      </c>
      <c r="AP683" s="286"/>
      <c r="AQ683" s="286">
        <f t="shared" si="1075"/>
        <v>0</v>
      </c>
      <c r="AR683" s="286">
        <f t="shared" si="1075"/>
        <v>0</v>
      </c>
      <c r="AS683" s="286"/>
      <c r="AT683" s="286">
        <f t="shared" si="1076"/>
        <v>0</v>
      </c>
      <c r="AU683" s="286">
        <f t="shared" si="1076"/>
        <v>0</v>
      </c>
      <c r="AV683" s="286"/>
      <c r="AW683" s="286">
        <f t="shared" si="1077"/>
        <v>0</v>
      </c>
      <c r="AX683" s="286">
        <f t="shared" si="1077"/>
        <v>0</v>
      </c>
      <c r="AY683" s="286"/>
      <c r="AZ683" s="286">
        <f t="shared" si="1078"/>
        <v>0</v>
      </c>
      <c r="BA683" s="286">
        <f t="shared" si="1078"/>
        <v>0</v>
      </c>
      <c r="BB683" s="286"/>
      <c r="BC683" s="286">
        <f t="shared" si="1079"/>
        <v>0</v>
      </c>
      <c r="BD683" s="286">
        <f t="shared" si="1079"/>
        <v>0</v>
      </c>
      <c r="BE683" s="286"/>
      <c r="BF683" s="286">
        <f t="shared" si="1080"/>
        <v>0</v>
      </c>
      <c r="BG683" s="286">
        <f t="shared" si="1080"/>
        <v>0</v>
      </c>
      <c r="BH683" s="286"/>
      <c r="BI683" s="286">
        <f t="shared" si="1081"/>
        <v>0</v>
      </c>
      <c r="BJ683" s="286">
        <f t="shared" si="1081"/>
        <v>0</v>
      </c>
      <c r="BK683" s="286"/>
      <c r="BL683" s="286">
        <f t="shared" si="1082"/>
        <v>0</v>
      </c>
      <c r="BM683" s="286">
        <f t="shared" si="1082"/>
        <v>0</v>
      </c>
      <c r="BN683" s="286"/>
      <c r="BO683" s="286">
        <f t="shared" si="1083"/>
        <v>0</v>
      </c>
      <c r="BP683" s="286">
        <f t="shared" si="1083"/>
        <v>0</v>
      </c>
      <c r="BQ683" s="286"/>
      <c r="BR683" s="286">
        <f t="shared" si="1084"/>
        <v>0</v>
      </c>
      <c r="BS683" s="286">
        <f t="shared" si="1084"/>
        <v>0</v>
      </c>
      <c r="BT683" s="286"/>
      <c r="BU683" s="286">
        <f t="shared" si="1085"/>
        <v>0</v>
      </c>
      <c r="BV683" s="286">
        <f t="shared" si="1085"/>
        <v>0</v>
      </c>
      <c r="BW683" s="286"/>
      <c r="BX683" s="286">
        <f t="shared" si="1086"/>
        <v>0</v>
      </c>
      <c r="BY683" s="286">
        <f t="shared" si="1086"/>
        <v>0</v>
      </c>
      <c r="BZ683" s="286"/>
      <c r="CA683" s="286">
        <f t="shared" si="1087"/>
        <v>0</v>
      </c>
      <c r="CB683" s="286">
        <f t="shared" si="1087"/>
        <v>0</v>
      </c>
      <c r="CC683" s="286"/>
      <c r="CD683" s="286">
        <f t="shared" si="1088"/>
        <v>0</v>
      </c>
      <c r="CE683" s="286">
        <f t="shared" si="1088"/>
        <v>0</v>
      </c>
      <c r="CF683" s="286"/>
      <c r="CG683" s="286">
        <f t="shared" si="1089"/>
        <v>0</v>
      </c>
      <c r="CH683" s="286">
        <f t="shared" si="1089"/>
        <v>0</v>
      </c>
      <c r="CI683" s="286"/>
      <c r="CJ683" s="286">
        <f t="shared" si="1090"/>
        <v>0</v>
      </c>
      <c r="CK683" s="286">
        <f t="shared" si="1090"/>
        <v>0</v>
      </c>
    </row>
    <row r="684" spans="1:89" ht="30" x14ac:dyDescent="0.25">
      <c r="A684" s="107"/>
      <c r="B684" s="312"/>
      <c r="C684" s="312" t="s">
        <v>2440</v>
      </c>
      <c r="D684" s="95"/>
      <c r="E684" s="282"/>
      <c r="F684" s="282"/>
      <c r="G684" s="282"/>
      <c r="H684" s="282">
        <v>0</v>
      </c>
      <c r="I684" s="282">
        <v>0</v>
      </c>
      <c r="J684" s="282">
        <f t="shared" si="1062"/>
        <v>0</v>
      </c>
      <c r="K684" s="282">
        <f t="shared" si="1062"/>
        <v>0</v>
      </c>
      <c r="L684" s="282">
        <f t="shared" ref="L684" si="1099">L533</f>
        <v>0</v>
      </c>
      <c r="M684" s="282">
        <f t="shared" si="1063"/>
        <v>0</v>
      </c>
      <c r="N684" s="282">
        <f t="shared" ref="N684" si="1100">N533</f>
        <v>0</v>
      </c>
      <c r="Q684" s="286">
        <f t="shared" si="1065"/>
        <v>0</v>
      </c>
      <c r="R684" s="286">
        <f t="shared" si="1066"/>
        <v>0</v>
      </c>
      <c r="S684" s="286">
        <f t="shared" si="1067"/>
        <v>0</v>
      </c>
      <c r="T684" s="286">
        <f t="shared" si="1067"/>
        <v>0</v>
      </c>
      <c r="U684" s="286"/>
      <c r="V684" s="286">
        <f t="shared" si="1068"/>
        <v>0</v>
      </c>
      <c r="W684" s="286">
        <f t="shared" si="1068"/>
        <v>0</v>
      </c>
      <c r="X684" s="286"/>
      <c r="Y684" s="286">
        <f t="shared" si="1069"/>
        <v>0</v>
      </c>
      <c r="Z684" s="286">
        <f t="shared" si="1069"/>
        <v>0</v>
      </c>
      <c r="AA684" s="286"/>
      <c r="AB684" s="286">
        <f t="shared" si="1070"/>
        <v>0</v>
      </c>
      <c r="AC684" s="286">
        <f t="shared" si="1070"/>
        <v>0</v>
      </c>
      <c r="AD684" s="286"/>
      <c r="AE684" s="286">
        <f t="shared" si="1071"/>
        <v>0</v>
      </c>
      <c r="AF684" s="286">
        <f t="shared" si="1071"/>
        <v>0</v>
      </c>
      <c r="AG684" s="286"/>
      <c r="AH684" s="286">
        <f t="shared" si="1072"/>
        <v>0</v>
      </c>
      <c r="AI684" s="286">
        <f t="shared" si="1072"/>
        <v>0</v>
      </c>
      <c r="AJ684" s="286"/>
      <c r="AK684" s="286">
        <f t="shared" si="1073"/>
        <v>0</v>
      </c>
      <c r="AL684" s="286">
        <f t="shared" si="1073"/>
        <v>0</v>
      </c>
      <c r="AM684" s="286"/>
      <c r="AN684" s="286">
        <f t="shared" si="1074"/>
        <v>0</v>
      </c>
      <c r="AO684" s="286">
        <f t="shared" si="1074"/>
        <v>0</v>
      </c>
      <c r="AP684" s="286"/>
      <c r="AQ684" s="286">
        <f t="shared" si="1075"/>
        <v>0</v>
      </c>
      <c r="AR684" s="286">
        <f t="shared" si="1075"/>
        <v>0</v>
      </c>
      <c r="AS684" s="286"/>
      <c r="AT684" s="286">
        <f t="shared" si="1076"/>
        <v>0</v>
      </c>
      <c r="AU684" s="286">
        <f t="shared" si="1076"/>
        <v>0</v>
      </c>
      <c r="AV684" s="286"/>
      <c r="AW684" s="286">
        <f t="shared" si="1077"/>
        <v>0</v>
      </c>
      <c r="AX684" s="286">
        <f t="shared" si="1077"/>
        <v>0</v>
      </c>
      <c r="AY684" s="286"/>
      <c r="AZ684" s="286">
        <f t="shared" si="1078"/>
        <v>0</v>
      </c>
      <c r="BA684" s="286">
        <f t="shared" si="1078"/>
        <v>0</v>
      </c>
      <c r="BB684" s="286"/>
      <c r="BC684" s="286">
        <f t="shared" si="1079"/>
        <v>0</v>
      </c>
      <c r="BD684" s="286">
        <f t="shared" si="1079"/>
        <v>0</v>
      </c>
      <c r="BE684" s="286"/>
      <c r="BF684" s="286">
        <f t="shared" si="1080"/>
        <v>0</v>
      </c>
      <c r="BG684" s="286">
        <f t="shared" si="1080"/>
        <v>0</v>
      </c>
      <c r="BH684" s="286"/>
      <c r="BI684" s="286">
        <f t="shared" si="1081"/>
        <v>0</v>
      </c>
      <c r="BJ684" s="286">
        <f t="shared" si="1081"/>
        <v>0</v>
      </c>
      <c r="BK684" s="286"/>
      <c r="BL684" s="286">
        <f t="shared" si="1082"/>
        <v>0</v>
      </c>
      <c r="BM684" s="286">
        <f t="shared" si="1082"/>
        <v>0</v>
      </c>
      <c r="BN684" s="286"/>
      <c r="BO684" s="286">
        <f t="shared" si="1083"/>
        <v>0</v>
      </c>
      <c r="BP684" s="286">
        <f t="shared" si="1083"/>
        <v>0</v>
      </c>
      <c r="BQ684" s="286"/>
      <c r="BR684" s="286">
        <f t="shared" si="1084"/>
        <v>0</v>
      </c>
      <c r="BS684" s="286">
        <f t="shared" si="1084"/>
        <v>0</v>
      </c>
      <c r="BT684" s="286"/>
      <c r="BU684" s="286">
        <f t="shared" si="1085"/>
        <v>0</v>
      </c>
      <c r="BV684" s="286">
        <f t="shared" si="1085"/>
        <v>0</v>
      </c>
      <c r="BW684" s="286"/>
      <c r="BX684" s="286">
        <f t="shared" si="1086"/>
        <v>0</v>
      </c>
      <c r="BY684" s="286">
        <f t="shared" si="1086"/>
        <v>0</v>
      </c>
      <c r="BZ684" s="286"/>
      <c r="CA684" s="286">
        <f t="shared" si="1087"/>
        <v>0</v>
      </c>
      <c r="CB684" s="286">
        <f t="shared" si="1087"/>
        <v>0</v>
      </c>
      <c r="CC684" s="286"/>
      <c r="CD684" s="286">
        <f t="shared" si="1088"/>
        <v>0</v>
      </c>
      <c r="CE684" s="286">
        <f t="shared" si="1088"/>
        <v>0</v>
      </c>
      <c r="CF684" s="286"/>
      <c r="CG684" s="286">
        <f t="shared" si="1089"/>
        <v>0</v>
      </c>
      <c r="CH684" s="286">
        <f t="shared" si="1089"/>
        <v>0</v>
      </c>
      <c r="CI684" s="286"/>
      <c r="CJ684" s="286">
        <f t="shared" si="1090"/>
        <v>0</v>
      </c>
      <c r="CK684" s="286">
        <f t="shared" si="1090"/>
        <v>0</v>
      </c>
    </row>
    <row r="685" spans="1:89" ht="30" x14ac:dyDescent="0.25">
      <c r="A685" s="107"/>
      <c r="B685" s="312"/>
      <c r="C685" s="312" t="s">
        <v>2443</v>
      </c>
      <c r="D685" s="95"/>
      <c r="E685" s="282"/>
      <c r="F685" s="282"/>
      <c r="G685" s="282"/>
      <c r="H685" s="282">
        <v>281</v>
      </c>
      <c r="I685" s="282">
        <v>229</v>
      </c>
      <c r="J685" s="282">
        <f t="shared" si="1062"/>
        <v>251</v>
      </c>
      <c r="K685" s="282">
        <f t="shared" si="1062"/>
        <v>251</v>
      </c>
      <c r="L685" s="282">
        <f t="shared" ref="L685" si="1101">L534</f>
        <v>0</v>
      </c>
      <c r="M685" s="282">
        <f t="shared" si="1063"/>
        <v>0</v>
      </c>
      <c r="N685" s="282">
        <f t="shared" ref="N685" si="1102">N534</f>
        <v>0</v>
      </c>
      <c r="O685" s="286"/>
      <c r="Q685" s="286">
        <f t="shared" si="1065"/>
        <v>251</v>
      </c>
      <c r="R685" s="286">
        <f t="shared" si="1066"/>
        <v>207</v>
      </c>
      <c r="S685" s="286">
        <f t="shared" si="1067"/>
        <v>0</v>
      </c>
      <c r="T685" s="286">
        <f t="shared" si="1067"/>
        <v>0</v>
      </c>
      <c r="U685" s="286"/>
      <c r="V685" s="286">
        <f t="shared" si="1068"/>
        <v>0</v>
      </c>
      <c r="W685" s="286">
        <f t="shared" si="1068"/>
        <v>0</v>
      </c>
      <c r="X685" s="286"/>
      <c r="Y685" s="286">
        <f t="shared" si="1069"/>
        <v>0</v>
      </c>
      <c r="Z685" s="286">
        <f t="shared" si="1069"/>
        <v>0</v>
      </c>
      <c r="AA685" s="286"/>
      <c r="AB685" s="286">
        <f t="shared" si="1070"/>
        <v>0</v>
      </c>
      <c r="AC685" s="286">
        <f t="shared" si="1070"/>
        <v>0</v>
      </c>
      <c r="AD685" s="286"/>
      <c r="AE685" s="286">
        <f t="shared" si="1071"/>
        <v>0</v>
      </c>
      <c r="AF685" s="286">
        <f t="shared" si="1071"/>
        <v>0</v>
      </c>
      <c r="AG685" s="286"/>
      <c r="AH685" s="286">
        <f t="shared" si="1072"/>
        <v>17</v>
      </c>
      <c r="AI685" s="286">
        <f t="shared" si="1072"/>
        <v>0</v>
      </c>
      <c r="AJ685" s="286"/>
      <c r="AK685" s="286">
        <f t="shared" si="1073"/>
        <v>0</v>
      </c>
      <c r="AL685" s="286">
        <f t="shared" si="1073"/>
        <v>1</v>
      </c>
      <c r="AM685" s="286"/>
      <c r="AN685" s="286">
        <f t="shared" si="1074"/>
        <v>0</v>
      </c>
      <c r="AO685" s="286">
        <f t="shared" si="1074"/>
        <v>0</v>
      </c>
      <c r="AP685" s="286"/>
      <c r="AQ685" s="286">
        <f t="shared" si="1075"/>
        <v>0</v>
      </c>
      <c r="AR685" s="286">
        <f t="shared" si="1075"/>
        <v>0</v>
      </c>
      <c r="AS685" s="286"/>
      <c r="AT685" s="286">
        <f t="shared" si="1076"/>
        <v>7</v>
      </c>
      <c r="AU685" s="286">
        <f t="shared" si="1076"/>
        <v>0</v>
      </c>
      <c r="AV685" s="286"/>
      <c r="AW685" s="286">
        <f t="shared" si="1077"/>
        <v>0</v>
      </c>
      <c r="AX685" s="286">
        <f t="shared" si="1077"/>
        <v>0</v>
      </c>
      <c r="AY685" s="286"/>
      <c r="AZ685" s="286">
        <f t="shared" si="1078"/>
        <v>0</v>
      </c>
      <c r="BA685" s="286">
        <f t="shared" si="1078"/>
        <v>0</v>
      </c>
      <c r="BB685" s="286"/>
      <c r="BC685" s="286">
        <f t="shared" si="1079"/>
        <v>0</v>
      </c>
      <c r="BD685" s="286">
        <f t="shared" si="1079"/>
        <v>0</v>
      </c>
      <c r="BE685" s="286"/>
      <c r="BF685" s="286">
        <f t="shared" si="1080"/>
        <v>0</v>
      </c>
      <c r="BG685" s="286">
        <f t="shared" si="1080"/>
        <v>0</v>
      </c>
      <c r="BH685" s="286"/>
      <c r="BI685" s="286">
        <f t="shared" si="1081"/>
        <v>227</v>
      </c>
      <c r="BJ685" s="286">
        <f t="shared" si="1081"/>
        <v>206</v>
      </c>
      <c r="BK685" s="286"/>
      <c r="BL685" s="286">
        <f t="shared" si="1082"/>
        <v>0</v>
      </c>
      <c r="BM685" s="286">
        <f t="shared" si="1082"/>
        <v>0</v>
      </c>
      <c r="BN685" s="286"/>
      <c r="BO685" s="286">
        <f t="shared" si="1083"/>
        <v>0</v>
      </c>
      <c r="BP685" s="286">
        <f t="shared" si="1083"/>
        <v>0</v>
      </c>
      <c r="BQ685" s="286"/>
      <c r="BR685" s="286">
        <f t="shared" si="1084"/>
        <v>0</v>
      </c>
      <c r="BS685" s="286">
        <f t="shared" si="1084"/>
        <v>0</v>
      </c>
      <c r="BT685" s="286"/>
      <c r="BU685" s="286">
        <f t="shared" si="1085"/>
        <v>0</v>
      </c>
      <c r="BV685" s="286">
        <f t="shared" si="1085"/>
        <v>0</v>
      </c>
      <c r="BW685" s="286"/>
      <c r="BX685" s="286">
        <f t="shared" si="1086"/>
        <v>0</v>
      </c>
      <c r="BY685" s="286">
        <f t="shared" si="1086"/>
        <v>0</v>
      </c>
      <c r="BZ685" s="286"/>
      <c r="CA685" s="286">
        <f t="shared" si="1087"/>
        <v>0</v>
      </c>
      <c r="CB685" s="286">
        <f t="shared" si="1087"/>
        <v>0</v>
      </c>
      <c r="CC685" s="286"/>
      <c r="CD685" s="286">
        <f t="shared" si="1088"/>
        <v>0</v>
      </c>
      <c r="CE685" s="286">
        <f t="shared" si="1088"/>
        <v>0</v>
      </c>
      <c r="CF685" s="286"/>
      <c r="CG685" s="286">
        <f t="shared" si="1089"/>
        <v>0</v>
      </c>
      <c r="CH685" s="286">
        <f t="shared" si="1089"/>
        <v>0</v>
      </c>
      <c r="CI685" s="286"/>
      <c r="CJ685" s="286">
        <f t="shared" si="1090"/>
        <v>0</v>
      </c>
      <c r="CK685" s="286">
        <f t="shared" si="1090"/>
        <v>0</v>
      </c>
    </row>
    <row r="686" spans="1:89" ht="30" x14ac:dyDescent="0.25">
      <c r="A686" s="107"/>
      <c r="B686" s="312"/>
      <c r="C686" s="312" t="s">
        <v>1597</v>
      </c>
      <c r="D686" s="95"/>
      <c r="E686" s="282"/>
      <c r="F686" s="282"/>
      <c r="G686" s="282"/>
      <c r="H686" s="282">
        <v>0</v>
      </c>
      <c r="I686" s="282">
        <v>0</v>
      </c>
      <c r="J686" s="282">
        <f t="shared" si="1062"/>
        <v>0</v>
      </c>
      <c r="K686" s="282">
        <f t="shared" si="1062"/>
        <v>0</v>
      </c>
      <c r="L686" s="282">
        <f t="shared" ref="L686" si="1103">L535</f>
        <v>0</v>
      </c>
      <c r="M686" s="282">
        <f t="shared" si="1063"/>
        <v>0</v>
      </c>
      <c r="N686" s="282">
        <f t="shared" ref="N686" si="1104">N535</f>
        <v>0</v>
      </c>
      <c r="Q686" s="286">
        <f t="shared" si="1065"/>
        <v>0</v>
      </c>
      <c r="R686" s="286">
        <f t="shared" si="1066"/>
        <v>0</v>
      </c>
      <c r="S686" s="286">
        <f t="shared" si="1067"/>
        <v>0</v>
      </c>
      <c r="T686" s="286">
        <f t="shared" si="1067"/>
        <v>0</v>
      </c>
      <c r="U686" s="286"/>
      <c r="V686" s="286">
        <f t="shared" si="1068"/>
        <v>0</v>
      </c>
      <c r="W686" s="286">
        <f t="shared" si="1068"/>
        <v>0</v>
      </c>
      <c r="X686" s="286"/>
      <c r="Y686" s="286">
        <f t="shared" si="1069"/>
        <v>0</v>
      </c>
      <c r="Z686" s="286">
        <f t="shared" si="1069"/>
        <v>0</v>
      </c>
      <c r="AA686" s="286"/>
      <c r="AB686" s="286">
        <f t="shared" si="1070"/>
        <v>0</v>
      </c>
      <c r="AC686" s="286">
        <f t="shared" si="1070"/>
        <v>0</v>
      </c>
      <c r="AD686" s="286"/>
      <c r="AE686" s="286">
        <f t="shared" si="1071"/>
        <v>0</v>
      </c>
      <c r="AF686" s="286">
        <f t="shared" si="1071"/>
        <v>0</v>
      </c>
      <c r="AG686" s="286"/>
      <c r="AH686" s="286">
        <f t="shared" si="1072"/>
        <v>0</v>
      </c>
      <c r="AI686" s="286">
        <f t="shared" si="1072"/>
        <v>0</v>
      </c>
      <c r="AJ686" s="286"/>
      <c r="AK686" s="286">
        <f t="shared" si="1073"/>
        <v>0</v>
      </c>
      <c r="AL686" s="286">
        <f t="shared" si="1073"/>
        <v>0</v>
      </c>
      <c r="AM686" s="286"/>
      <c r="AN686" s="286">
        <f t="shared" si="1074"/>
        <v>0</v>
      </c>
      <c r="AO686" s="286">
        <f t="shared" si="1074"/>
        <v>0</v>
      </c>
      <c r="AP686" s="286"/>
      <c r="AQ686" s="286">
        <f t="shared" si="1075"/>
        <v>0</v>
      </c>
      <c r="AR686" s="286">
        <f t="shared" si="1075"/>
        <v>0</v>
      </c>
      <c r="AS686" s="286"/>
      <c r="AT686" s="286">
        <f t="shared" si="1076"/>
        <v>0</v>
      </c>
      <c r="AU686" s="286">
        <f t="shared" si="1076"/>
        <v>0</v>
      </c>
      <c r="AV686" s="286"/>
      <c r="AW686" s="286">
        <f t="shared" si="1077"/>
        <v>0</v>
      </c>
      <c r="AX686" s="286">
        <f t="shared" si="1077"/>
        <v>0</v>
      </c>
      <c r="AY686" s="286"/>
      <c r="AZ686" s="286">
        <f t="shared" si="1078"/>
        <v>0</v>
      </c>
      <c r="BA686" s="286">
        <f t="shared" si="1078"/>
        <v>0</v>
      </c>
      <c r="BB686" s="286"/>
      <c r="BC686" s="286">
        <f t="shared" si="1079"/>
        <v>0</v>
      </c>
      <c r="BD686" s="286">
        <f t="shared" si="1079"/>
        <v>0</v>
      </c>
      <c r="BE686" s="286"/>
      <c r="BF686" s="286">
        <f t="shared" si="1080"/>
        <v>0</v>
      </c>
      <c r="BG686" s="286">
        <f t="shared" si="1080"/>
        <v>0</v>
      </c>
      <c r="BH686" s="286"/>
      <c r="BI686" s="286">
        <f t="shared" si="1081"/>
        <v>0</v>
      </c>
      <c r="BJ686" s="286">
        <f t="shared" si="1081"/>
        <v>0</v>
      </c>
      <c r="BK686" s="286"/>
      <c r="BL686" s="286">
        <f t="shared" si="1082"/>
        <v>0</v>
      </c>
      <c r="BM686" s="286">
        <f t="shared" si="1082"/>
        <v>0</v>
      </c>
      <c r="BN686" s="286"/>
      <c r="BO686" s="286">
        <f t="shared" si="1083"/>
        <v>0</v>
      </c>
      <c r="BP686" s="286">
        <f t="shared" si="1083"/>
        <v>0</v>
      </c>
      <c r="BQ686" s="286"/>
      <c r="BR686" s="286">
        <f t="shared" si="1084"/>
        <v>0</v>
      </c>
      <c r="BS686" s="286">
        <f t="shared" si="1084"/>
        <v>0</v>
      </c>
      <c r="BT686" s="286"/>
      <c r="BU686" s="286">
        <f t="shared" si="1085"/>
        <v>0</v>
      </c>
      <c r="BV686" s="286">
        <f t="shared" si="1085"/>
        <v>0</v>
      </c>
      <c r="BW686" s="286"/>
      <c r="BX686" s="286">
        <f t="shared" si="1086"/>
        <v>0</v>
      </c>
      <c r="BY686" s="286">
        <f t="shared" si="1086"/>
        <v>0</v>
      </c>
      <c r="BZ686" s="286"/>
      <c r="CA686" s="286">
        <f t="shared" si="1087"/>
        <v>0</v>
      </c>
      <c r="CB686" s="286">
        <f t="shared" si="1087"/>
        <v>0</v>
      </c>
      <c r="CC686" s="286"/>
      <c r="CD686" s="286">
        <f t="shared" si="1088"/>
        <v>0</v>
      </c>
      <c r="CE686" s="286">
        <f t="shared" si="1088"/>
        <v>0</v>
      </c>
      <c r="CF686" s="286"/>
      <c r="CG686" s="286">
        <f t="shared" si="1089"/>
        <v>0</v>
      </c>
      <c r="CH686" s="286">
        <f t="shared" si="1089"/>
        <v>0</v>
      </c>
      <c r="CI686" s="286"/>
      <c r="CJ686" s="286">
        <f t="shared" si="1090"/>
        <v>0</v>
      </c>
      <c r="CK686" s="286">
        <f t="shared" si="1090"/>
        <v>0</v>
      </c>
    </row>
    <row r="687" spans="1:89" ht="30" x14ac:dyDescent="0.25">
      <c r="A687" s="107"/>
      <c r="B687" s="312"/>
      <c r="C687" s="312" t="s">
        <v>2441</v>
      </c>
      <c r="D687" s="95"/>
      <c r="E687" s="282"/>
      <c r="F687" s="282"/>
      <c r="G687" s="282"/>
      <c r="H687" s="282">
        <v>0</v>
      </c>
      <c r="I687" s="282">
        <v>0</v>
      </c>
      <c r="J687" s="282">
        <f t="shared" si="1062"/>
        <v>0</v>
      </c>
      <c r="K687" s="282">
        <f t="shared" si="1062"/>
        <v>0</v>
      </c>
      <c r="L687" s="282">
        <f t="shared" ref="L687" si="1105">L536</f>
        <v>0</v>
      </c>
      <c r="M687" s="282">
        <f t="shared" si="1063"/>
        <v>0</v>
      </c>
      <c r="N687" s="282">
        <f t="shared" ref="N687" si="1106">N536</f>
        <v>0</v>
      </c>
      <c r="Q687" s="286">
        <f t="shared" si="1065"/>
        <v>0</v>
      </c>
      <c r="R687" s="286">
        <f t="shared" si="1066"/>
        <v>0</v>
      </c>
      <c r="S687" s="286">
        <f t="shared" si="1067"/>
        <v>0</v>
      </c>
      <c r="T687" s="286">
        <f t="shared" si="1067"/>
        <v>0</v>
      </c>
      <c r="U687" s="286"/>
      <c r="V687" s="286">
        <f t="shared" si="1068"/>
        <v>0</v>
      </c>
      <c r="W687" s="286">
        <f t="shared" si="1068"/>
        <v>0</v>
      </c>
      <c r="X687" s="286"/>
      <c r="Y687" s="286">
        <f t="shared" si="1069"/>
        <v>0</v>
      </c>
      <c r="Z687" s="286">
        <f t="shared" si="1069"/>
        <v>0</v>
      </c>
      <c r="AA687" s="286"/>
      <c r="AB687" s="286">
        <f t="shared" si="1070"/>
        <v>0</v>
      </c>
      <c r="AC687" s="286">
        <f t="shared" si="1070"/>
        <v>0</v>
      </c>
      <c r="AD687" s="286"/>
      <c r="AE687" s="286">
        <f t="shared" si="1071"/>
        <v>0</v>
      </c>
      <c r="AF687" s="286">
        <f t="shared" si="1071"/>
        <v>0</v>
      </c>
      <c r="AG687" s="286"/>
      <c r="AH687" s="286">
        <f t="shared" si="1072"/>
        <v>0</v>
      </c>
      <c r="AI687" s="286">
        <f t="shared" si="1072"/>
        <v>0</v>
      </c>
      <c r="AJ687" s="286"/>
      <c r="AK687" s="286">
        <f t="shared" si="1073"/>
        <v>0</v>
      </c>
      <c r="AL687" s="286">
        <f t="shared" si="1073"/>
        <v>0</v>
      </c>
      <c r="AM687" s="286"/>
      <c r="AN687" s="286">
        <f t="shared" si="1074"/>
        <v>0</v>
      </c>
      <c r="AO687" s="286">
        <f t="shared" si="1074"/>
        <v>0</v>
      </c>
      <c r="AP687" s="286"/>
      <c r="AQ687" s="286">
        <f t="shared" si="1075"/>
        <v>0</v>
      </c>
      <c r="AR687" s="286">
        <f t="shared" si="1075"/>
        <v>0</v>
      </c>
      <c r="AS687" s="286"/>
      <c r="AT687" s="286">
        <f t="shared" si="1076"/>
        <v>0</v>
      </c>
      <c r="AU687" s="286">
        <f t="shared" si="1076"/>
        <v>0</v>
      </c>
      <c r="AV687" s="286"/>
      <c r="AW687" s="286">
        <f t="shared" si="1077"/>
        <v>0</v>
      </c>
      <c r="AX687" s="286">
        <f t="shared" si="1077"/>
        <v>0</v>
      </c>
      <c r="AY687" s="286"/>
      <c r="AZ687" s="286">
        <f t="shared" si="1078"/>
        <v>0</v>
      </c>
      <c r="BA687" s="286">
        <f t="shared" si="1078"/>
        <v>0</v>
      </c>
      <c r="BB687" s="286"/>
      <c r="BC687" s="286">
        <f t="shared" si="1079"/>
        <v>0</v>
      </c>
      <c r="BD687" s="286">
        <f t="shared" si="1079"/>
        <v>0</v>
      </c>
      <c r="BE687" s="286"/>
      <c r="BF687" s="286">
        <f t="shared" si="1080"/>
        <v>0</v>
      </c>
      <c r="BG687" s="286">
        <f t="shared" si="1080"/>
        <v>0</v>
      </c>
      <c r="BH687" s="286"/>
      <c r="BI687" s="286">
        <f t="shared" si="1081"/>
        <v>0</v>
      </c>
      <c r="BJ687" s="286">
        <f t="shared" si="1081"/>
        <v>0</v>
      </c>
      <c r="BK687" s="286"/>
      <c r="BL687" s="286">
        <f t="shared" si="1082"/>
        <v>0</v>
      </c>
      <c r="BM687" s="286">
        <f t="shared" si="1082"/>
        <v>0</v>
      </c>
      <c r="BN687" s="286"/>
      <c r="BO687" s="286">
        <f t="shared" si="1083"/>
        <v>0</v>
      </c>
      <c r="BP687" s="286">
        <f t="shared" si="1083"/>
        <v>0</v>
      </c>
      <c r="BQ687" s="286"/>
      <c r="BR687" s="286">
        <f t="shared" si="1084"/>
        <v>0</v>
      </c>
      <c r="BS687" s="286">
        <f t="shared" si="1084"/>
        <v>0</v>
      </c>
      <c r="BT687" s="286"/>
      <c r="BU687" s="286">
        <f t="shared" si="1085"/>
        <v>0</v>
      </c>
      <c r="BV687" s="286">
        <f t="shared" si="1085"/>
        <v>0</v>
      </c>
      <c r="BW687" s="286"/>
      <c r="BX687" s="286">
        <f t="shared" si="1086"/>
        <v>0</v>
      </c>
      <c r="BY687" s="286">
        <f t="shared" si="1086"/>
        <v>0</v>
      </c>
      <c r="BZ687" s="286"/>
      <c r="CA687" s="286">
        <f t="shared" si="1087"/>
        <v>0</v>
      </c>
      <c r="CB687" s="286">
        <f t="shared" si="1087"/>
        <v>0</v>
      </c>
      <c r="CC687" s="286"/>
      <c r="CD687" s="286">
        <f t="shared" si="1088"/>
        <v>0</v>
      </c>
      <c r="CE687" s="286">
        <f t="shared" si="1088"/>
        <v>0</v>
      </c>
      <c r="CF687" s="286"/>
      <c r="CG687" s="286">
        <f t="shared" si="1089"/>
        <v>0</v>
      </c>
      <c r="CH687" s="286">
        <f t="shared" si="1089"/>
        <v>0</v>
      </c>
      <c r="CI687" s="286"/>
      <c r="CJ687" s="286">
        <f t="shared" si="1090"/>
        <v>0</v>
      </c>
      <c r="CK687" s="286">
        <f t="shared" si="1090"/>
        <v>0</v>
      </c>
    </row>
    <row r="688" spans="1:89" ht="30" x14ac:dyDescent="0.25">
      <c r="A688" s="107"/>
      <c r="B688" s="312"/>
      <c r="C688" s="312" t="s">
        <v>1593</v>
      </c>
      <c r="D688" s="95"/>
      <c r="E688" s="282"/>
      <c r="F688" s="282"/>
      <c r="G688" s="282"/>
      <c r="H688" s="282">
        <v>16802</v>
      </c>
      <c r="I688" s="282">
        <v>17106</v>
      </c>
      <c r="J688" s="282">
        <f t="shared" si="1062"/>
        <v>17281</v>
      </c>
      <c r="K688" s="282">
        <f t="shared" si="1062"/>
        <v>17276</v>
      </c>
      <c r="L688" s="282">
        <f t="shared" ref="L688" si="1107">L537</f>
        <v>1964</v>
      </c>
      <c r="M688" s="282">
        <f t="shared" si="1063"/>
        <v>1941</v>
      </c>
      <c r="N688" s="282">
        <f t="shared" ref="N688" si="1108">N537</f>
        <v>1876</v>
      </c>
      <c r="Q688" s="286">
        <f t="shared" si="1065"/>
        <v>17276</v>
      </c>
      <c r="R688" s="286">
        <f t="shared" si="1066"/>
        <v>17125</v>
      </c>
      <c r="S688" s="286">
        <f t="shared" si="1067"/>
        <v>1265</v>
      </c>
      <c r="T688" s="286">
        <f t="shared" si="1067"/>
        <v>1262</v>
      </c>
      <c r="U688" s="286"/>
      <c r="V688" s="286">
        <f t="shared" si="1068"/>
        <v>1417</v>
      </c>
      <c r="W688" s="286">
        <f t="shared" si="1068"/>
        <v>1440</v>
      </c>
      <c r="X688" s="286"/>
      <c r="Y688" s="286">
        <f t="shared" si="1069"/>
        <v>1458</v>
      </c>
      <c r="Z688" s="286">
        <f t="shared" si="1069"/>
        <v>1415</v>
      </c>
      <c r="AA688" s="286"/>
      <c r="AB688" s="286">
        <f t="shared" si="1070"/>
        <v>2212</v>
      </c>
      <c r="AC688" s="286">
        <f t="shared" si="1070"/>
        <v>2176</v>
      </c>
      <c r="AD688" s="286"/>
      <c r="AE688" s="286">
        <f t="shared" si="1071"/>
        <v>978</v>
      </c>
      <c r="AF688" s="286">
        <f t="shared" si="1071"/>
        <v>899</v>
      </c>
      <c r="AG688" s="286"/>
      <c r="AH688" s="286">
        <f t="shared" si="1072"/>
        <v>1978</v>
      </c>
      <c r="AI688" s="286">
        <f t="shared" si="1072"/>
        <v>1964</v>
      </c>
      <c r="AJ688" s="286"/>
      <c r="AK688" s="286">
        <f t="shared" si="1073"/>
        <v>289</v>
      </c>
      <c r="AL688" s="286">
        <f t="shared" si="1073"/>
        <v>287</v>
      </c>
      <c r="AM688" s="286"/>
      <c r="AN688" s="286">
        <f t="shared" si="1074"/>
        <v>5421</v>
      </c>
      <c r="AO688" s="286">
        <f t="shared" si="1074"/>
        <v>5406</v>
      </c>
      <c r="AP688" s="286"/>
      <c r="AQ688" s="286">
        <f t="shared" si="1075"/>
        <v>2144</v>
      </c>
      <c r="AR688" s="286">
        <f t="shared" si="1075"/>
        <v>2154</v>
      </c>
      <c r="AS688" s="286"/>
      <c r="AT688" s="286">
        <f t="shared" si="1076"/>
        <v>0</v>
      </c>
      <c r="AU688" s="286">
        <f t="shared" si="1076"/>
        <v>0</v>
      </c>
      <c r="AV688" s="286"/>
      <c r="AW688" s="286">
        <f t="shared" si="1077"/>
        <v>0</v>
      </c>
      <c r="AX688" s="286">
        <f t="shared" si="1077"/>
        <v>0</v>
      </c>
      <c r="AY688" s="286"/>
      <c r="AZ688" s="286">
        <f t="shared" si="1078"/>
        <v>0</v>
      </c>
      <c r="BA688" s="286">
        <f t="shared" si="1078"/>
        <v>0</v>
      </c>
      <c r="BB688" s="286"/>
      <c r="BC688" s="286">
        <f t="shared" si="1079"/>
        <v>0</v>
      </c>
      <c r="BD688" s="286">
        <f t="shared" si="1079"/>
        <v>0</v>
      </c>
      <c r="BE688" s="286"/>
      <c r="BF688" s="286">
        <f t="shared" si="1080"/>
        <v>0</v>
      </c>
      <c r="BG688" s="286">
        <f t="shared" si="1080"/>
        <v>0</v>
      </c>
      <c r="BH688" s="286"/>
      <c r="BI688" s="286">
        <f t="shared" si="1081"/>
        <v>0</v>
      </c>
      <c r="BJ688" s="286">
        <f t="shared" si="1081"/>
        <v>0</v>
      </c>
      <c r="BK688" s="286"/>
      <c r="BL688" s="286">
        <f t="shared" si="1082"/>
        <v>0</v>
      </c>
      <c r="BM688" s="286">
        <f t="shared" si="1082"/>
        <v>0</v>
      </c>
      <c r="BN688" s="286"/>
      <c r="BO688" s="286">
        <f t="shared" si="1083"/>
        <v>0</v>
      </c>
      <c r="BP688" s="286">
        <f t="shared" si="1083"/>
        <v>0</v>
      </c>
      <c r="BQ688" s="286"/>
      <c r="BR688" s="286">
        <f t="shared" si="1084"/>
        <v>0</v>
      </c>
      <c r="BS688" s="286">
        <f t="shared" si="1084"/>
        <v>0</v>
      </c>
      <c r="BT688" s="286"/>
      <c r="BU688" s="286">
        <f t="shared" si="1085"/>
        <v>0</v>
      </c>
      <c r="BV688" s="286">
        <f t="shared" si="1085"/>
        <v>0</v>
      </c>
      <c r="BW688" s="286"/>
      <c r="BX688" s="286">
        <f t="shared" si="1086"/>
        <v>0</v>
      </c>
      <c r="BY688" s="286">
        <f t="shared" si="1086"/>
        <v>0</v>
      </c>
      <c r="BZ688" s="286"/>
      <c r="CA688" s="286">
        <f t="shared" si="1087"/>
        <v>0</v>
      </c>
      <c r="CB688" s="286">
        <f t="shared" si="1087"/>
        <v>0</v>
      </c>
      <c r="CC688" s="286"/>
      <c r="CD688" s="286">
        <f t="shared" si="1088"/>
        <v>0</v>
      </c>
      <c r="CE688" s="286">
        <f t="shared" si="1088"/>
        <v>0</v>
      </c>
      <c r="CF688" s="286"/>
      <c r="CG688" s="286">
        <f t="shared" si="1089"/>
        <v>114</v>
      </c>
      <c r="CH688" s="286">
        <f t="shared" si="1089"/>
        <v>122</v>
      </c>
      <c r="CI688" s="286"/>
      <c r="CJ688" s="286">
        <f t="shared" si="1090"/>
        <v>0</v>
      </c>
      <c r="CK688" s="286">
        <f t="shared" si="1090"/>
        <v>0</v>
      </c>
    </row>
    <row r="689" spans="1:89" ht="30" x14ac:dyDescent="0.25">
      <c r="A689" s="107"/>
      <c r="B689" s="312"/>
      <c r="C689" s="312" t="s">
        <v>1594</v>
      </c>
      <c r="D689" s="95"/>
      <c r="E689" s="282"/>
      <c r="F689" s="282"/>
      <c r="G689" s="282"/>
      <c r="H689" s="282">
        <v>0</v>
      </c>
      <c r="I689" s="282">
        <v>0</v>
      </c>
      <c r="J689" s="282">
        <f t="shared" si="1062"/>
        <v>0</v>
      </c>
      <c r="K689" s="282">
        <f t="shared" si="1062"/>
        <v>5</v>
      </c>
      <c r="L689" s="282">
        <f t="shared" ref="L689" si="1109">L538</f>
        <v>0</v>
      </c>
      <c r="M689" s="282">
        <f t="shared" si="1063"/>
        <v>0</v>
      </c>
      <c r="N689" s="282">
        <f t="shared" ref="N689" si="1110">N538</f>
        <v>0</v>
      </c>
      <c r="Q689" s="286">
        <f t="shared" si="1065"/>
        <v>5</v>
      </c>
      <c r="R689" s="286">
        <f t="shared" si="1066"/>
        <v>7</v>
      </c>
      <c r="S689" s="286">
        <f t="shared" si="1067"/>
        <v>0</v>
      </c>
      <c r="T689" s="286">
        <f t="shared" si="1067"/>
        <v>0</v>
      </c>
      <c r="U689" s="286"/>
      <c r="V689" s="286">
        <f t="shared" si="1068"/>
        <v>0</v>
      </c>
      <c r="W689" s="286">
        <f t="shared" si="1068"/>
        <v>0</v>
      </c>
      <c r="X689" s="286"/>
      <c r="Y689" s="286">
        <f t="shared" si="1069"/>
        <v>0</v>
      </c>
      <c r="Z689" s="286">
        <f t="shared" si="1069"/>
        <v>0</v>
      </c>
      <c r="AA689" s="286"/>
      <c r="AB689" s="286">
        <f t="shared" si="1070"/>
        <v>0</v>
      </c>
      <c r="AC689" s="286">
        <f t="shared" si="1070"/>
        <v>0</v>
      </c>
      <c r="AD689" s="286"/>
      <c r="AE689" s="286">
        <f t="shared" si="1071"/>
        <v>0</v>
      </c>
      <c r="AF689" s="286">
        <f t="shared" si="1071"/>
        <v>2</v>
      </c>
      <c r="AG689" s="286"/>
      <c r="AH689" s="286">
        <f t="shared" si="1072"/>
        <v>0</v>
      </c>
      <c r="AI689" s="286">
        <f t="shared" si="1072"/>
        <v>0</v>
      </c>
      <c r="AJ689" s="286"/>
      <c r="AK689" s="286">
        <f t="shared" si="1073"/>
        <v>0</v>
      </c>
      <c r="AL689" s="286">
        <f t="shared" si="1073"/>
        <v>0</v>
      </c>
      <c r="AM689" s="286"/>
      <c r="AN689" s="286">
        <f t="shared" si="1074"/>
        <v>5</v>
      </c>
      <c r="AO689" s="286">
        <f t="shared" si="1074"/>
        <v>5</v>
      </c>
      <c r="AP689" s="286"/>
      <c r="AQ689" s="286">
        <f t="shared" si="1075"/>
        <v>0</v>
      </c>
      <c r="AR689" s="286">
        <f t="shared" si="1075"/>
        <v>0</v>
      </c>
      <c r="AS689" s="286"/>
      <c r="AT689" s="286">
        <f t="shared" si="1076"/>
        <v>0</v>
      </c>
      <c r="AU689" s="286">
        <f t="shared" si="1076"/>
        <v>0</v>
      </c>
      <c r="AV689" s="286"/>
      <c r="AW689" s="286">
        <f t="shared" si="1077"/>
        <v>0</v>
      </c>
      <c r="AX689" s="286">
        <f t="shared" si="1077"/>
        <v>0</v>
      </c>
      <c r="AY689" s="286"/>
      <c r="AZ689" s="286">
        <f t="shared" si="1078"/>
        <v>0</v>
      </c>
      <c r="BA689" s="286">
        <f t="shared" si="1078"/>
        <v>0</v>
      </c>
      <c r="BB689" s="286"/>
      <c r="BC689" s="286">
        <f t="shared" si="1079"/>
        <v>0</v>
      </c>
      <c r="BD689" s="286">
        <f t="shared" si="1079"/>
        <v>0</v>
      </c>
      <c r="BE689" s="286"/>
      <c r="BF689" s="286">
        <f t="shared" si="1080"/>
        <v>0</v>
      </c>
      <c r="BG689" s="286">
        <f t="shared" si="1080"/>
        <v>0</v>
      </c>
      <c r="BH689" s="286"/>
      <c r="BI689" s="286">
        <f t="shared" si="1081"/>
        <v>0</v>
      </c>
      <c r="BJ689" s="286">
        <f t="shared" si="1081"/>
        <v>0</v>
      </c>
      <c r="BK689" s="286"/>
      <c r="BL689" s="286">
        <f t="shared" si="1082"/>
        <v>0</v>
      </c>
      <c r="BM689" s="286">
        <f t="shared" si="1082"/>
        <v>0</v>
      </c>
      <c r="BN689" s="286"/>
      <c r="BO689" s="286">
        <f t="shared" si="1083"/>
        <v>0</v>
      </c>
      <c r="BP689" s="286">
        <f t="shared" si="1083"/>
        <v>0</v>
      </c>
      <c r="BQ689" s="286"/>
      <c r="BR689" s="286">
        <f t="shared" si="1084"/>
        <v>0</v>
      </c>
      <c r="BS689" s="286">
        <f t="shared" si="1084"/>
        <v>0</v>
      </c>
      <c r="BT689" s="286"/>
      <c r="BU689" s="286">
        <f t="shared" si="1085"/>
        <v>0</v>
      </c>
      <c r="BV689" s="286">
        <f t="shared" si="1085"/>
        <v>0</v>
      </c>
      <c r="BW689" s="286"/>
      <c r="BX689" s="286">
        <f t="shared" si="1086"/>
        <v>0</v>
      </c>
      <c r="BY689" s="286">
        <f t="shared" si="1086"/>
        <v>0</v>
      </c>
      <c r="BZ689" s="286"/>
      <c r="CA689" s="286">
        <f t="shared" si="1087"/>
        <v>0</v>
      </c>
      <c r="CB689" s="286">
        <f t="shared" si="1087"/>
        <v>0</v>
      </c>
      <c r="CC689" s="286"/>
      <c r="CD689" s="286">
        <f t="shared" si="1088"/>
        <v>0</v>
      </c>
      <c r="CE689" s="286">
        <f t="shared" si="1088"/>
        <v>0</v>
      </c>
      <c r="CF689" s="286"/>
      <c r="CG689" s="286">
        <f t="shared" si="1089"/>
        <v>0</v>
      </c>
      <c r="CH689" s="286">
        <f t="shared" si="1089"/>
        <v>0</v>
      </c>
      <c r="CI689" s="286"/>
      <c r="CJ689" s="286">
        <f t="shared" si="1090"/>
        <v>0</v>
      </c>
      <c r="CK689" s="286">
        <f t="shared" si="1090"/>
        <v>0</v>
      </c>
    </row>
    <row r="690" spans="1:89" ht="30" x14ac:dyDescent="0.25">
      <c r="A690" s="107"/>
      <c r="B690" s="312"/>
      <c r="C690" s="312" t="s">
        <v>1595</v>
      </c>
      <c r="D690" s="95"/>
      <c r="E690" s="282"/>
      <c r="F690" s="282"/>
      <c r="G690" s="282"/>
      <c r="H690" s="282">
        <v>134</v>
      </c>
      <c r="I690" s="282">
        <v>312</v>
      </c>
      <c r="J690" s="282">
        <f t="shared" si="1062"/>
        <v>337</v>
      </c>
      <c r="K690" s="282">
        <f t="shared" si="1062"/>
        <v>356</v>
      </c>
      <c r="L690" s="282">
        <f t="shared" ref="L690" si="1111">L539</f>
        <v>0</v>
      </c>
      <c r="M690" s="282">
        <f t="shared" si="1063"/>
        <v>0</v>
      </c>
      <c r="N690" s="282">
        <f t="shared" ref="N690" si="1112">N539</f>
        <v>0</v>
      </c>
      <c r="Q690" s="286">
        <f t="shared" si="1065"/>
        <v>356</v>
      </c>
      <c r="R690" s="286">
        <f t="shared" si="1066"/>
        <v>351</v>
      </c>
      <c r="S690" s="286">
        <f t="shared" si="1067"/>
        <v>0</v>
      </c>
      <c r="T690" s="286">
        <f t="shared" si="1067"/>
        <v>0</v>
      </c>
      <c r="U690" s="286"/>
      <c r="V690" s="286">
        <f t="shared" si="1068"/>
        <v>21</v>
      </c>
      <c r="W690" s="286">
        <f t="shared" si="1068"/>
        <v>13</v>
      </c>
      <c r="X690" s="286"/>
      <c r="Y690" s="286">
        <f t="shared" si="1069"/>
        <v>0</v>
      </c>
      <c r="Z690" s="286">
        <f t="shared" si="1069"/>
        <v>0</v>
      </c>
      <c r="AA690" s="286"/>
      <c r="AB690" s="286">
        <f t="shared" si="1070"/>
        <v>0</v>
      </c>
      <c r="AC690" s="286">
        <f t="shared" si="1070"/>
        <v>0</v>
      </c>
      <c r="AD690" s="286"/>
      <c r="AE690" s="286">
        <f t="shared" si="1071"/>
        <v>9</v>
      </c>
      <c r="AF690" s="286">
        <f t="shared" si="1071"/>
        <v>7</v>
      </c>
      <c r="AG690" s="286"/>
      <c r="AH690" s="286">
        <f t="shared" si="1072"/>
        <v>0</v>
      </c>
      <c r="AI690" s="286">
        <f t="shared" si="1072"/>
        <v>0</v>
      </c>
      <c r="AJ690" s="286"/>
      <c r="AK690" s="286">
        <f t="shared" si="1073"/>
        <v>0</v>
      </c>
      <c r="AL690" s="286">
        <f t="shared" si="1073"/>
        <v>0</v>
      </c>
      <c r="AM690" s="286"/>
      <c r="AN690" s="286">
        <f t="shared" si="1074"/>
        <v>52</v>
      </c>
      <c r="AO690" s="286">
        <f t="shared" si="1074"/>
        <v>53</v>
      </c>
      <c r="AP690" s="286"/>
      <c r="AQ690" s="286">
        <f t="shared" si="1075"/>
        <v>6</v>
      </c>
      <c r="AR690" s="286">
        <f t="shared" si="1075"/>
        <v>3</v>
      </c>
      <c r="AS690" s="286"/>
      <c r="AT690" s="286">
        <f t="shared" si="1076"/>
        <v>0</v>
      </c>
      <c r="AU690" s="286">
        <f t="shared" si="1076"/>
        <v>0</v>
      </c>
      <c r="AV690" s="286"/>
      <c r="AW690" s="286">
        <f t="shared" si="1077"/>
        <v>0</v>
      </c>
      <c r="AX690" s="286">
        <f t="shared" si="1077"/>
        <v>0</v>
      </c>
      <c r="AY690" s="286"/>
      <c r="AZ690" s="286">
        <f t="shared" si="1078"/>
        <v>0</v>
      </c>
      <c r="BA690" s="286">
        <f t="shared" si="1078"/>
        <v>0</v>
      </c>
      <c r="BB690" s="286"/>
      <c r="BC690" s="286">
        <f t="shared" si="1079"/>
        <v>0</v>
      </c>
      <c r="BD690" s="286">
        <f t="shared" si="1079"/>
        <v>0</v>
      </c>
      <c r="BE690" s="286"/>
      <c r="BF690" s="286">
        <f t="shared" si="1080"/>
        <v>0</v>
      </c>
      <c r="BG690" s="286">
        <f t="shared" si="1080"/>
        <v>0</v>
      </c>
      <c r="BH690" s="286"/>
      <c r="BI690" s="286">
        <f t="shared" si="1081"/>
        <v>0</v>
      </c>
      <c r="BJ690" s="286">
        <f t="shared" si="1081"/>
        <v>0</v>
      </c>
      <c r="BK690" s="286"/>
      <c r="BL690" s="286">
        <f t="shared" si="1082"/>
        <v>0</v>
      </c>
      <c r="BM690" s="286">
        <f t="shared" si="1082"/>
        <v>0</v>
      </c>
      <c r="BN690" s="286"/>
      <c r="BO690" s="286">
        <f t="shared" si="1083"/>
        <v>0</v>
      </c>
      <c r="BP690" s="286">
        <f t="shared" si="1083"/>
        <v>0</v>
      </c>
      <c r="BQ690" s="286"/>
      <c r="BR690" s="286">
        <f t="shared" si="1084"/>
        <v>0</v>
      </c>
      <c r="BS690" s="286">
        <f t="shared" si="1084"/>
        <v>0</v>
      </c>
      <c r="BT690" s="286"/>
      <c r="BU690" s="286">
        <f t="shared" si="1085"/>
        <v>0</v>
      </c>
      <c r="BV690" s="286">
        <f t="shared" si="1085"/>
        <v>0</v>
      </c>
      <c r="BW690" s="286"/>
      <c r="BX690" s="286">
        <f t="shared" si="1086"/>
        <v>0</v>
      </c>
      <c r="BY690" s="286">
        <f t="shared" si="1086"/>
        <v>0</v>
      </c>
      <c r="BZ690" s="286"/>
      <c r="CA690" s="286">
        <f t="shared" si="1087"/>
        <v>0</v>
      </c>
      <c r="CB690" s="286">
        <f t="shared" si="1087"/>
        <v>0</v>
      </c>
      <c r="CC690" s="286"/>
      <c r="CD690" s="286">
        <f t="shared" si="1088"/>
        <v>0</v>
      </c>
      <c r="CE690" s="286">
        <f t="shared" si="1088"/>
        <v>0</v>
      </c>
      <c r="CF690" s="286"/>
      <c r="CG690" s="286">
        <f t="shared" si="1089"/>
        <v>268</v>
      </c>
      <c r="CH690" s="286">
        <f t="shared" si="1089"/>
        <v>275</v>
      </c>
      <c r="CI690" s="286"/>
      <c r="CJ690" s="286">
        <f t="shared" si="1090"/>
        <v>0</v>
      </c>
      <c r="CK690" s="286">
        <f t="shared" si="1090"/>
        <v>0</v>
      </c>
    </row>
    <row r="691" spans="1:89" ht="30" x14ac:dyDescent="0.25">
      <c r="A691" s="107"/>
      <c r="B691" s="312"/>
      <c r="C691" s="312" t="s">
        <v>2442</v>
      </c>
      <c r="D691" s="95"/>
      <c r="E691" s="282"/>
      <c r="F691" s="282"/>
      <c r="G691" s="282"/>
      <c r="H691" s="282">
        <v>37</v>
      </c>
      <c r="I691" s="282">
        <v>26</v>
      </c>
      <c r="J691" s="282">
        <f t="shared" si="1062"/>
        <v>7</v>
      </c>
      <c r="K691" s="282">
        <f t="shared" si="1062"/>
        <v>6</v>
      </c>
      <c r="L691" s="282">
        <f t="shared" ref="L691" si="1113">L540</f>
        <v>0</v>
      </c>
      <c r="M691" s="282">
        <f t="shared" si="1063"/>
        <v>0</v>
      </c>
      <c r="N691" s="282">
        <f t="shared" ref="N691" si="1114">N540</f>
        <v>0</v>
      </c>
      <c r="Q691" s="286">
        <f t="shared" si="1065"/>
        <v>6</v>
      </c>
      <c r="R691" s="286">
        <f t="shared" si="1066"/>
        <v>6</v>
      </c>
      <c r="S691" s="286">
        <f t="shared" si="1067"/>
        <v>0</v>
      </c>
      <c r="T691" s="286">
        <f t="shared" si="1067"/>
        <v>0</v>
      </c>
      <c r="U691" s="286"/>
      <c r="V691" s="286">
        <f t="shared" si="1068"/>
        <v>5</v>
      </c>
      <c r="W691" s="286">
        <f t="shared" si="1068"/>
        <v>0</v>
      </c>
      <c r="X691" s="286"/>
      <c r="Y691" s="286">
        <f t="shared" si="1069"/>
        <v>0</v>
      </c>
      <c r="Z691" s="286">
        <f t="shared" si="1069"/>
        <v>0</v>
      </c>
      <c r="AA691" s="286"/>
      <c r="AB691" s="286">
        <f t="shared" si="1070"/>
        <v>0</v>
      </c>
      <c r="AC691" s="286">
        <f t="shared" si="1070"/>
        <v>0</v>
      </c>
      <c r="AD691" s="286"/>
      <c r="AE691" s="286">
        <f t="shared" si="1071"/>
        <v>0</v>
      </c>
      <c r="AF691" s="286">
        <f t="shared" si="1071"/>
        <v>0</v>
      </c>
      <c r="AG691" s="286"/>
      <c r="AH691" s="286">
        <f t="shared" si="1072"/>
        <v>1</v>
      </c>
      <c r="AI691" s="286">
        <f t="shared" si="1072"/>
        <v>6</v>
      </c>
      <c r="AJ691" s="286"/>
      <c r="AK691" s="286">
        <f t="shared" si="1073"/>
        <v>0</v>
      </c>
      <c r="AL691" s="286">
        <f t="shared" si="1073"/>
        <v>0</v>
      </c>
      <c r="AM691" s="286"/>
      <c r="AN691" s="286">
        <f t="shared" si="1074"/>
        <v>0</v>
      </c>
      <c r="AO691" s="286">
        <f t="shared" si="1074"/>
        <v>0</v>
      </c>
      <c r="AP691" s="286"/>
      <c r="AQ691" s="286">
        <f t="shared" si="1075"/>
        <v>0</v>
      </c>
      <c r="AR691" s="286">
        <f t="shared" si="1075"/>
        <v>0</v>
      </c>
      <c r="AS691" s="286"/>
      <c r="AT691" s="286">
        <f t="shared" si="1076"/>
        <v>0</v>
      </c>
      <c r="AU691" s="286">
        <f t="shared" si="1076"/>
        <v>0</v>
      </c>
      <c r="AV691" s="286"/>
      <c r="AW691" s="286">
        <f t="shared" si="1077"/>
        <v>0</v>
      </c>
      <c r="AX691" s="286">
        <f t="shared" si="1077"/>
        <v>0</v>
      </c>
      <c r="AY691" s="286"/>
      <c r="AZ691" s="286">
        <f t="shared" si="1078"/>
        <v>0</v>
      </c>
      <c r="BA691" s="286">
        <f t="shared" si="1078"/>
        <v>0</v>
      </c>
      <c r="BB691" s="286"/>
      <c r="BC691" s="286">
        <f t="shared" si="1079"/>
        <v>0</v>
      </c>
      <c r="BD691" s="286">
        <f t="shared" si="1079"/>
        <v>0</v>
      </c>
      <c r="BE691" s="286"/>
      <c r="BF691" s="286">
        <f t="shared" si="1080"/>
        <v>0</v>
      </c>
      <c r="BG691" s="286">
        <f t="shared" si="1080"/>
        <v>0</v>
      </c>
      <c r="BH691" s="286"/>
      <c r="BI691" s="286">
        <f t="shared" si="1081"/>
        <v>0</v>
      </c>
      <c r="BJ691" s="286">
        <f t="shared" si="1081"/>
        <v>0</v>
      </c>
      <c r="BK691" s="286"/>
      <c r="BL691" s="286">
        <f t="shared" si="1082"/>
        <v>0</v>
      </c>
      <c r="BM691" s="286">
        <f t="shared" si="1082"/>
        <v>0</v>
      </c>
      <c r="BN691" s="286"/>
      <c r="BO691" s="286">
        <f t="shared" si="1083"/>
        <v>0</v>
      </c>
      <c r="BP691" s="286">
        <f t="shared" si="1083"/>
        <v>0</v>
      </c>
      <c r="BQ691" s="286"/>
      <c r="BR691" s="286">
        <f t="shared" si="1084"/>
        <v>0</v>
      </c>
      <c r="BS691" s="286">
        <f t="shared" si="1084"/>
        <v>0</v>
      </c>
      <c r="BT691" s="286"/>
      <c r="BU691" s="286">
        <f t="shared" si="1085"/>
        <v>0</v>
      </c>
      <c r="BV691" s="286">
        <f t="shared" si="1085"/>
        <v>0</v>
      </c>
      <c r="BW691" s="286"/>
      <c r="BX691" s="286">
        <f t="shared" si="1086"/>
        <v>0</v>
      </c>
      <c r="BY691" s="286">
        <f t="shared" si="1086"/>
        <v>0</v>
      </c>
      <c r="BZ691" s="286"/>
      <c r="CA691" s="286">
        <f t="shared" si="1087"/>
        <v>0</v>
      </c>
      <c r="CB691" s="286">
        <f t="shared" si="1087"/>
        <v>0</v>
      </c>
      <c r="CC691" s="286"/>
      <c r="CD691" s="286">
        <f t="shared" si="1088"/>
        <v>0</v>
      </c>
      <c r="CE691" s="286">
        <f t="shared" si="1088"/>
        <v>0</v>
      </c>
      <c r="CF691" s="286"/>
      <c r="CG691" s="286">
        <f t="shared" si="1089"/>
        <v>0</v>
      </c>
      <c r="CH691" s="286">
        <f t="shared" si="1089"/>
        <v>0</v>
      </c>
      <c r="CI691" s="286"/>
      <c r="CJ691" s="286">
        <f t="shared" si="1090"/>
        <v>0</v>
      </c>
      <c r="CK691" s="286">
        <f t="shared" si="1090"/>
        <v>0</v>
      </c>
    </row>
    <row r="692" spans="1:89" ht="30" x14ac:dyDescent="0.25">
      <c r="A692" s="107"/>
      <c r="B692" s="312"/>
      <c r="C692" s="312" t="s">
        <v>1596</v>
      </c>
      <c r="D692" s="95"/>
      <c r="E692" s="282"/>
      <c r="F692" s="282"/>
      <c r="G692" s="282"/>
      <c r="H692" s="282">
        <v>0</v>
      </c>
      <c r="I692" s="282">
        <v>0</v>
      </c>
      <c r="J692" s="282">
        <f t="shared" si="1062"/>
        <v>0</v>
      </c>
      <c r="K692" s="282">
        <f t="shared" si="1062"/>
        <v>0</v>
      </c>
      <c r="L692" s="282">
        <f t="shared" ref="L692" si="1115">L541</f>
        <v>0</v>
      </c>
      <c r="M692" s="282">
        <f t="shared" si="1063"/>
        <v>0</v>
      </c>
      <c r="N692" s="282">
        <f t="shared" ref="N692" si="1116">N541</f>
        <v>0</v>
      </c>
      <c r="Q692" s="286">
        <f t="shared" si="1065"/>
        <v>0</v>
      </c>
      <c r="R692" s="286">
        <f t="shared" si="1066"/>
        <v>0</v>
      </c>
      <c r="S692" s="286">
        <f t="shared" si="1067"/>
        <v>0</v>
      </c>
      <c r="T692" s="286">
        <f t="shared" si="1067"/>
        <v>0</v>
      </c>
      <c r="U692" s="286"/>
      <c r="V692" s="286">
        <f t="shared" si="1068"/>
        <v>0</v>
      </c>
      <c r="W692" s="286">
        <f t="shared" si="1068"/>
        <v>0</v>
      </c>
      <c r="X692" s="286"/>
      <c r="Y692" s="286">
        <f t="shared" si="1069"/>
        <v>0</v>
      </c>
      <c r="Z692" s="286">
        <f t="shared" si="1069"/>
        <v>0</v>
      </c>
      <c r="AA692" s="286"/>
      <c r="AB692" s="286">
        <f t="shared" si="1070"/>
        <v>0</v>
      </c>
      <c r="AC692" s="286">
        <f t="shared" si="1070"/>
        <v>0</v>
      </c>
      <c r="AD692" s="286"/>
      <c r="AE692" s="286">
        <f t="shared" si="1071"/>
        <v>0</v>
      </c>
      <c r="AF692" s="286">
        <f t="shared" si="1071"/>
        <v>0</v>
      </c>
      <c r="AG692" s="286"/>
      <c r="AH692" s="286">
        <f t="shared" si="1072"/>
        <v>0</v>
      </c>
      <c r="AI692" s="286">
        <f t="shared" si="1072"/>
        <v>0</v>
      </c>
      <c r="AJ692" s="286"/>
      <c r="AK692" s="286">
        <f t="shared" si="1073"/>
        <v>0</v>
      </c>
      <c r="AL692" s="286">
        <f t="shared" si="1073"/>
        <v>0</v>
      </c>
      <c r="AM692" s="286"/>
      <c r="AN692" s="286">
        <f t="shared" si="1074"/>
        <v>0</v>
      </c>
      <c r="AO692" s="286">
        <f t="shared" si="1074"/>
        <v>0</v>
      </c>
      <c r="AP692" s="286"/>
      <c r="AQ692" s="286">
        <f t="shared" si="1075"/>
        <v>0</v>
      </c>
      <c r="AR692" s="286">
        <f t="shared" si="1075"/>
        <v>0</v>
      </c>
      <c r="AS692" s="286"/>
      <c r="AT692" s="286">
        <f t="shared" si="1076"/>
        <v>0</v>
      </c>
      <c r="AU692" s="286">
        <f t="shared" si="1076"/>
        <v>0</v>
      </c>
      <c r="AV692" s="286"/>
      <c r="AW692" s="286">
        <f t="shared" si="1077"/>
        <v>0</v>
      </c>
      <c r="AX692" s="286">
        <f t="shared" si="1077"/>
        <v>0</v>
      </c>
      <c r="AY692" s="286"/>
      <c r="AZ692" s="286">
        <f t="shared" si="1078"/>
        <v>0</v>
      </c>
      <c r="BA692" s="286">
        <f t="shared" si="1078"/>
        <v>0</v>
      </c>
      <c r="BB692" s="286"/>
      <c r="BC692" s="286">
        <f t="shared" si="1079"/>
        <v>0</v>
      </c>
      <c r="BD692" s="286">
        <f t="shared" si="1079"/>
        <v>0</v>
      </c>
      <c r="BE692" s="286"/>
      <c r="BF692" s="286">
        <f t="shared" si="1080"/>
        <v>0</v>
      </c>
      <c r="BG692" s="286">
        <f t="shared" si="1080"/>
        <v>0</v>
      </c>
      <c r="BH692" s="286"/>
      <c r="BI692" s="286">
        <f t="shared" si="1081"/>
        <v>0</v>
      </c>
      <c r="BJ692" s="286">
        <f t="shared" si="1081"/>
        <v>0</v>
      </c>
      <c r="BK692" s="286"/>
      <c r="BL692" s="286">
        <f t="shared" si="1082"/>
        <v>0</v>
      </c>
      <c r="BM692" s="286">
        <f t="shared" si="1082"/>
        <v>0</v>
      </c>
      <c r="BN692" s="286"/>
      <c r="BO692" s="286">
        <f t="shared" si="1083"/>
        <v>0</v>
      </c>
      <c r="BP692" s="286">
        <f t="shared" si="1083"/>
        <v>0</v>
      </c>
      <c r="BQ692" s="286"/>
      <c r="BR692" s="286">
        <f t="shared" si="1084"/>
        <v>0</v>
      </c>
      <c r="BS692" s="286">
        <f t="shared" si="1084"/>
        <v>0</v>
      </c>
      <c r="BT692" s="286"/>
      <c r="BU692" s="286">
        <f t="shared" si="1085"/>
        <v>0</v>
      </c>
      <c r="BV692" s="286">
        <f t="shared" si="1085"/>
        <v>0</v>
      </c>
      <c r="BW692" s="286"/>
      <c r="BX692" s="286">
        <f t="shared" si="1086"/>
        <v>0</v>
      </c>
      <c r="BY692" s="286">
        <f t="shared" si="1086"/>
        <v>0</v>
      </c>
      <c r="BZ692" s="286"/>
      <c r="CA692" s="286">
        <f t="shared" si="1087"/>
        <v>0</v>
      </c>
      <c r="CB692" s="286">
        <f t="shared" si="1087"/>
        <v>0</v>
      </c>
      <c r="CC692" s="286"/>
      <c r="CD692" s="286">
        <f t="shared" si="1088"/>
        <v>0</v>
      </c>
      <c r="CE692" s="286">
        <f t="shared" si="1088"/>
        <v>0</v>
      </c>
      <c r="CF692" s="286"/>
      <c r="CG692" s="286">
        <f t="shared" si="1089"/>
        <v>0</v>
      </c>
      <c r="CH692" s="286">
        <f t="shared" si="1089"/>
        <v>0</v>
      </c>
      <c r="CI692" s="286"/>
      <c r="CJ692" s="286">
        <f t="shared" si="1090"/>
        <v>0</v>
      </c>
      <c r="CK692" s="286">
        <f t="shared" si="1090"/>
        <v>0</v>
      </c>
    </row>
    <row r="693" spans="1:89" ht="30" x14ac:dyDescent="0.25">
      <c r="A693" s="107"/>
      <c r="B693" s="312"/>
      <c r="C693" s="312" t="s">
        <v>2440</v>
      </c>
      <c r="D693" s="95"/>
      <c r="E693" s="282"/>
      <c r="F693" s="282"/>
      <c r="G693" s="282"/>
      <c r="H693" s="282">
        <v>0</v>
      </c>
      <c r="I693" s="282">
        <v>0</v>
      </c>
      <c r="J693" s="282">
        <f t="shared" si="1062"/>
        <v>0</v>
      </c>
      <c r="K693" s="282">
        <f t="shared" si="1062"/>
        <v>0</v>
      </c>
      <c r="L693" s="282">
        <f t="shared" ref="L693" si="1117">L542</f>
        <v>0</v>
      </c>
      <c r="M693" s="282">
        <f t="shared" si="1063"/>
        <v>0</v>
      </c>
      <c r="N693" s="282">
        <f t="shared" ref="N693" si="1118">N542</f>
        <v>0</v>
      </c>
      <c r="Q693" s="286">
        <f t="shared" si="1065"/>
        <v>0</v>
      </c>
      <c r="R693" s="286">
        <f t="shared" si="1066"/>
        <v>0</v>
      </c>
      <c r="S693" s="286">
        <f t="shared" si="1067"/>
        <v>0</v>
      </c>
      <c r="T693" s="286">
        <f t="shared" si="1067"/>
        <v>0</v>
      </c>
      <c r="U693" s="286"/>
      <c r="V693" s="286">
        <f t="shared" si="1068"/>
        <v>0</v>
      </c>
      <c r="W693" s="286">
        <f t="shared" si="1068"/>
        <v>0</v>
      </c>
      <c r="X693" s="286"/>
      <c r="Y693" s="286">
        <f t="shared" si="1069"/>
        <v>0</v>
      </c>
      <c r="Z693" s="286">
        <f t="shared" si="1069"/>
        <v>0</v>
      </c>
      <c r="AA693" s="286"/>
      <c r="AB693" s="286">
        <f t="shared" si="1070"/>
        <v>0</v>
      </c>
      <c r="AC693" s="286">
        <f t="shared" si="1070"/>
        <v>0</v>
      </c>
      <c r="AD693" s="286"/>
      <c r="AE693" s="286">
        <f t="shared" si="1071"/>
        <v>0</v>
      </c>
      <c r="AF693" s="286">
        <f t="shared" si="1071"/>
        <v>0</v>
      </c>
      <c r="AG693" s="286"/>
      <c r="AH693" s="286">
        <f t="shared" si="1072"/>
        <v>0</v>
      </c>
      <c r="AI693" s="286">
        <f t="shared" si="1072"/>
        <v>0</v>
      </c>
      <c r="AJ693" s="286"/>
      <c r="AK693" s="286">
        <f t="shared" si="1073"/>
        <v>0</v>
      </c>
      <c r="AL693" s="286">
        <f t="shared" si="1073"/>
        <v>0</v>
      </c>
      <c r="AM693" s="286"/>
      <c r="AN693" s="286">
        <f t="shared" si="1074"/>
        <v>0</v>
      </c>
      <c r="AO693" s="286">
        <f t="shared" si="1074"/>
        <v>0</v>
      </c>
      <c r="AP693" s="286"/>
      <c r="AQ693" s="286">
        <f t="shared" si="1075"/>
        <v>0</v>
      </c>
      <c r="AR693" s="286">
        <f t="shared" si="1075"/>
        <v>0</v>
      </c>
      <c r="AS693" s="286"/>
      <c r="AT693" s="286">
        <f t="shared" si="1076"/>
        <v>0</v>
      </c>
      <c r="AU693" s="286">
        <f t="shared" si="1076"/>
        <v>0</v>
      </c>
      <c r="AV693" s="286"/>
      <c r="AW693" s="286">
        <f t="shared" si="1077"/>
        <v>0</v>
      </c>
      <c r="AX693" s="286">
        <f t="shared" si="1077"/>
        <v>0</v>
      </c>
      <c r="AY693" s="286"/>
      <c r="AZ693" s="286">
        <f t="shared" si="1078"/>
        <v>0</v>
      </c>
      <c r="BA693" s="286">
        <f t="shared" si="1078"/>
        <v>0</v>
      </c>
      <c r="BB693" s="286"/>
      <c r="BC693" s="286">
        <f t="shared" si="1079"/>
        <v>0</v>
      </c>
      <c r="BD693" s="286">
        <f t="shared" si="1079"/>
        <v>0</v>
      </c>
      <c r="BE693" s="286"/>
      <c r="BF693" s="286">
        <f t="shared" si="1080"/>
        <v>0</v>
      </c>
      <c r="BG693" s="286">
        <f t="shared" si="1080"/>
        <v>0</v>
      </c>
      <c r="BH693" s="286"/>
      <c r="BI693" s="286">
        <f t="shared" si="1081"/>
        <v>0</v>
      </c>
      <c r="BJ693" s="286">
        <f t="shared" si="1081"/>
        <v>0</v>
      </c>
      <c r="BK693" s="286"/>
      <c r="BL693" s="286">
        <f t="shared" si="1082"/>
        <v>0</v>
      </c>
      <c r="BM693" s="286">
        <f t="shared" si="1082"/>
        <v>0</v>
      </c>
      <c r="BN693" s="286"/>
      <c r="BO693" s="286">
        <f t="shared" si="1083"/>
        <v>0</v>
      </c>
      <c r="BP693" s="286">
        <f t="shared" si="1083"/>
        <v>0</v>
      </c>
      <c r="BQ693" s="286"/>
      <c r="BR693" s="286">
        <f t="shared" si="1084"/>
        <v>0</v>
      </c>
      <c r="BS693" s="286">
        <f t="shared" si="1084"/>
        <v>0</v>
      </c>
      <c r="BT693" s="286"/>
      <c r="BU693" s="286">
        <f t="shared" si="1085"/>
        <v>0</v>
      </c>
      <c r="BV693" s="286">
        <f t="shared" si="1085"/>
        <v>0</v>
      </c>
      <c r="BW693" s="286"/>
      <c r="BX693" s="286">
        <f t="shared" si="1086"/>
        <v>0</v>
      </c>
      <c r="BY693" s="286">
        <f t="shared" si="1086"/>
        <v>0</v>
      </c>
      <c r="BZ693" s="286"/>
      <c r="CA693" s="286">
        <f t="shared" si="1087"/>
        <v>0</v>
      </c>
      <c r="CB693" s="286">
        <f t="shared" si="1087"/>
        <v>0</v>
      </c>
      <c r="CC693" s="286"/>
      <c r="CD693" s="286">
        <f t="shared" si="1088"/>
        <v>0</v>
      </c>
      <c r="CE693" s="286">
        <f t="shared" si="1088"/>
        <v>0</v>
      </c>
      <c r="CF693" s="286"/>
      <c r="CG693" s="286">
        <f t="shared" si="1089"/>
        <v>0</v>
      </c>
      <c r="CH693" s="286">
        <f t="shared" si="1089"/>
        <v>0</v>
      </c>
      <c r="CI693" s="286"/>
      <c r="CJ693" s="286">
        <f t="shared" si="1090"/>
        <v>0</v>
      </c>
      <c r="CK693" s="286">
        <f t="shared" si="1090"/>
        <v>0</v>
      </c>
    </row>
    <row r="694" spans="1:89" ht="30" x14ac:dyDescent="0.25">
      <c r="A694" s="107"/>
      <c r="B694" s="312"/>
      <c r="C694" s="312" t="s">
        <v>2443</v>
      </c>
      <c r="D694" s="95"/>
      <c r="E694" s="282"/>
      <c r="F694" s="282"/>
      <c r="G694" s="282"/>
      <c r="H694" s="282">
        <v>19</v>
      </c>
      <c r="I694" s="282">
        <v>0</v>
      </c>
      <c r="J694" s="282">
        <f t="shared" si="1062"/>
        <v>0</v>
      </c>
      <c r="K694" s="282">
        <f t="shared" si="1062"/>
        <v>1</v>
      </c>
      <c r="L694" s="282">
        <f t="shared" ref="L694" si="1119">L543</f>
        <v>0</v>
      </c>
      <c r="M694" s="282">
        <f t="shared" si="1063"/>
        <v>0</v>
      </c>
      <c r="N694" s="282">
        <f t="shared" ref="N694" si="1120">N543</f>
        <v>0</v>
      </c>
      <c r="Q694" s="286">
        <f t="shared" si="1065"/>
        <v>1</v>
      </c>
      <c r="R694" s="286">
        <f t="shared" si="1066"/>
        <v>1</v>
      </c>
      <c r="S694" s="286">
        <f t="shared" si="1067"/>
        <v>0</v>
      </c>
      <c r="T694" s="286">
        <f t="shared" si="1067"/>
        <v>0</v>
      </c>
      <c r="U694" s="286"/>
      <c r="V694" s="286">
        <f t="shared" si="1068"/>
        <v>0</v>
      </c>
      <c r="W694" s="286">
        <f t="shared" si="1068"/>
        <v>0</v>
      </c>
      <c r="X694" s="286"/>
      <c r="Y694" s="286">
        <f t="shared" si="1069"/>
        <v>0</v>
      </c>
      <c r="Z694" s="286">
        <f t="shared" si="1069"/>
        <v>0</v>
      </c>
      <c r="AA694" s="286"/>
      <c r="AB694" s="286">
        <f t="shared" si="1070"/>
        <v>0</v>
      </c>
      <c r="AC694" s="286">
        <f t="shared" si="1070"/>
        <v>0</v>
      </c>
      <c r="AD694" s="286"/>
      <c r="AE694" s="286">
        <f t="shared" si="1071"/>
        <v>0</v>
      </c>
      <c r="AF694" s="286">
        <f t="shared" si="1071"/>
        <v>0</v>
      </c>
      <c r="AG694" s="286"/>
      <c r="AH694" s="286">
        <f t="shared" si="1072"/>
        <v>0</v>
      </c>
      <c r="AI694" s="286">
        <f t="shared" si="1072"/>
        <v>0</v>
      </c>
      <c r="AJ694" s="286"/>
      <c r="AK694" s="286">
        <f t="shared" si="1073"/>
        <v>1</v>
      </c>
      <c r="AL694" s="286">
        <f t="shared" si="1073"/>
        <v>1</v>
      </c>
      <c r="AM694" s="286"/>
      <c r="AN694" s="286">
        <f t="shared" si="1074"/>
        <v>0</v>
      </c>
      <c r="AO694" s="286">
        <f t="shared" si="1074"/>
        <v>0</v>
      </c>
      <c r="AP694" s="286"/>
      <c r="AQ694" s="286">
        <f t="shared" si="1075"/>
        <v>0</v>
      </c>
      <c r="AR694" s="286">
        <f t="shared" si="1075"/>
        <v>0</v>
      </c>
      <c r="AS694" s="286"/>
      <c r="AT694" s="286">
        <f t="shared" si="1076"/>
        <v>0</v>
      </c>
      <c r="AU694" s="286">
        <f t="shared" si="1076"/>
        <v>0</v>
      </c>
      <c r="AV694" s="286"/>
      <c r="AW694" s="286">
        <f t="shared" si="1077"/>
        <v>0</v>
      </c>
      <c r="AX694" s="286">
        <f t="shared" si="1077"/>
        <v>0</v>
      </c>
      <c r="AY694" s="286"/>
      <c r="AZ694" s="286">
        <f t="shared" si="1078"/>
        <v>0</v>
      </c>
      <c r="BA694" s="286">
        <f t="shared" si="1078"/>
        <v>0</v>
      </c>
      <c r="BB694" s="286"/>
      <c r="BC694" s="286">
        <f t="shared" si="1079"/>
        <v>0</v>
      </c>
      <c r="BD694" s="286">
        <f t="shared" si="1079"/>
        <v>0</v>
      </c>
      <c r="BE694" s="286"/>
      <c r="BF694" s="286">
        <f t="shared" si="1080"/>
        <v>0</v>
      </c>
      <c r="BG694" s="286">
        <f t="shared" si="1080"/>
        <v>0</v>
      </c>
      <c r="BH694" s="286"/>
      <c r="BI694" s="286">
        <f t="shared" si="1081"/>
        <v>0</v>
      </c>
      <c r="BJ694" s="286">
        <f t="shared" si="1081"/>
        <v>0</v>
      </c>
      <c r="BK694" s="286"/>
      <c r="BL694" s="286">
        <f t="shared" si="1082"/>
        <v>0</v>
      </c>
      <c r="BM694" s="286">
        <f t="shared" si="1082"/>
        <v>0</v>
      </c>
      <c r="BN694" s="286"/>
      <c r="BO694" s="286">
        <f t="shared" si="1083"/>
        <v>0</v>
      </c>
      <c r="BP694" s="286">
        <f t="shared" si="1083"/>
        <v>0</v>
      </c>
      <c r="BQ694" s="286"/>
      <c r="BR694" s="286">
        <f t="shared" si="1084"/>
        <v>0</v>
      </c>
      <c r="BS694" s="286">
        <f t="shared" si="1084"/>
        <v>0</v>
      </c>
      <c r="BT694" s="286"/>
      <c r="BU694" s="286">
        <f t="shared" si="1085"/>
        <v>0</v>
      </c>
      <c r="BV694" s="286">
        <f t="shared" si="1085"/>
        <v>0</v>
      </c>
      <c r="BW694" s="286"/>
      <c r="BX694" s="286">
        <f t="shared" si="1086"/>
        <v>0</v>
      </c>
      <c r="BY694" s="286">
        <f t="shared" si="1086"/>
        <v>0</v>
      </c>
      <c r="BZ694" s="286"/>
      <c r="CA694" s="286">
        <f t="shared" si="1087"/>
        <v>0</v>
      </c>
      <c r="CB694" s="286">
        <f t="shared" si="1087"/>
        <v>0</v>
      </c>
      <c r="CC694" s="286"/>
      <c r="CD694" s="286">
        <f t="shared" si="1088"/>
        <v>0</v>
      </c>
      <c r="CE694" s="286">
        <f t="shared" si="1088"/>
        <v>0</v>
      </c>
      <c r="CF694" s="286"/>
      <c r="CG694" s="286">
        <f t="shared" si="1089"/>
        <v>0</v>
      </c>
      <c r="CH694" s="286">
        <f t="shared" si="1089"/>
        <v>0</v>
      </c>
      <c r="CI694" s="286"/>
      <c r="CJ694" s="286">
        <f t="shared" si="1090"/>
        <v>0</v>
      </c>
      <c r="CK694" s="286">
        <f t="shared" si="1090"/>
        <v>0</v>
      </c>
    </row>
    <row r="695" spans="1:89" ht="30" x14ac:dyDescent="0.25">
      <c r="A695" s="107"/>
      <c r="B695" s="312"/>
      <c r="C695" s="312" t="s">
        <v>1597</v>
      </c>
      <c r="D695" s="95"/>
      <c r="E695" s="282"/>
      <c r="F695" s="282"/>
      <c r="G695" s="282"/>
      <c r="H695" s="282">
        <v>0</v>
      </c>
      <c r="I695" s="282">
        <v>0</v>
      </c>
      <c r="J695" s="282">
        <f t="shared" si="1062"/>
        <v>0</v>
      </c>
      <c r="K695" s="282">
        <f t="shared" si="1062"/>
        <v>0</v>
      </c>
      <c r="L695" s="282">
        <f t="shared" ref="L695:M696" si="1121">L544</f>
        <v>0</v>
      </c>
      <c r="M695" s="282">
        <f t="shared" si="1121"/>
        <v>0</v>
      </c>
      <c r="N695" s="282">
        <f t="shared" ref="N695" si="1122">N544</f>
        <v>0</v>
      </c>
      <c r="Q695" s="286">
        <f t="shared" si="1065"/>
        <v>0</v>
      </c>
      <c r="R695" s="286">
        <f t="shared" si="1066"/>
        <v>0</v>
      </c>
      <c r="S695" s="286">
        <f t="shared" si="1067"/>
        <v>0</v>
      </c>
      <c r="T695" s="286">
        <f t="shared" si="1067"/>
        <v>0</v>
      </c>
      <c r="U695" s="286"/>
      <c r="V695" s="286">
        <f t="shared" si="1068"/>
        <v>0</v>
      </c>
      <c r="W695" s="286">
        <f t="shared" si="1068"/>
        <v>0</v>
      </c>
      <c r="X695" s="286"/>
      <c r="Y695" s="286">
        <f t="shared" si="1069"/>
        <v>0</v>
      </c>
      <c r="Z695" s="286">
        <f t="shared" si="1069"/>
        <v>0</v>
      </c>
      <c r="AA695" s="286"/>
      <c r="AB695" s="286">
        <f t="shared" si="1070"/>
        <v>0</v>
      </c>
      <c r="AC695" s="286">
        <f t="shared" si="1070"/>
        <v>0</v>
      </c>
      <c r="AD695" s="286"/>
      <c r="AE695" s="286">
        <f t="shared" si="1071"/>
        <v>0</v>
      </c>
      <c r="AF695" s="286">
        <f t="shared" si="1071"/>
        <v>0</v>
      </c>
      <c r="AG695" s="286"/>
      <c r="AH695" s="286">
        <f t="shared" si="1072"/>
        <v>0</v>
      </c>
      <c r="AI695" s="286">
        <f t="shared" si="1072"/>
        <v>0</v>
      </c>
      <c r="AJ695" s="286"/>
      <c r="AK695" s="286">
        <f t="shared" si="1073"/>
        <v>0</v>
      </c>
      <c r="AL695" s="286">
        <f t="shared" si="1073"/>
        <v>0</v>
      </c>
      <c r="AM695" s="286"/>
      <c r="AN695" s="286">
        <f t="shared" si="1074"/>
        <v>0</v>
      </c>
      <c r="AO695" s="286">
        <f t="shared" si="1074"/>
        <v>0</v>
      </c>
      <c r="AP695" s="286"/>
      <c r="AQ695" s="286">
        <f t="shared" si="1075"/>
        <v>0</v>
      </c>
      <c r="AR695" s="286">
        <f t="shared" si="1075"/>
        <v>0</v>
      </c>
      <c r="AS695" s="286"/>
      <c r="AT695" s="286">
        <f t="shared" si="1076"/>
        <v>0</v>
      </c>
      <c r="AU695" s="286">
        <f t="shared" si="1076"/>
        <v>0</v>
      </c>
      <c r="AV695" s="286"/>
      <c r="AW695" s="286">
        <f t="shared" si="1077"/>
        <v>0</v>
      </c>
      <c r="AX695" s="286">
        <f t="shared" si="1077"/>
        <v>0</v>
      </c>
      <c r="AY695" s="286"/>
      <c r="AZ695" s="286">
        <f t="shared" si="1078"/>
        <v>0</v>
      </c>
      <c r="BA695" s="286">
        <f t="shared" si="1078"/>
        <v>0</v>
      </c>
      <c r="BB695" s="286"/>
      <c r="BC695" s="286">
        <f t="shared" si="1079"/>
        <v>0</v>
      </c>
      <c r="BD695" s="286">
        <f t="shared" si="1079"/>
        <v>0</v>
      </c>
      <c r="BE695" s="286"/>
      <c r="BF695" s="286">
        <f t="shared" si="1080"/>
        <v>0</v>
      </c>
      <c r="BG695" s="286">
        <f t="shared" si="1080"/>
        <v>0</v>
      </c>
      <c r="BH695" s="286"/>
      <c r="BI695" s="286">
        <f t="shared" si="1081"/>
        <v>0</v>
      </c>
      <c r="BJ695" s="286">
        <f t="shared" si="1081"/>
        <v>0</v>
      </c>
      <c r="BK695" s="286"/>
      <c r="BL695" s="286">
        <f t="shared" si="1082"/>
        <v>0</v>
      </c>
      <c r="BM695" s="286">
        <f t="shared" si="1082"/>
        <v>0</v>
      </c>
      <c r="BN695" s="286"/>
      <c r="BO695" s="286">
        <f t="shared" si="1083"/>
        <v>0</v>
      </c>
      <c r="BP695" s="286">
        <f t="shared" si="1083"/>
        <v>0</v>
      </c>
      <c r="BQ695" s="286"/>
      <c r="BR695" s="286">
        <f t="shared" si="1084"/>
        <v>0</v>
      </c>
      <c r="BS695" s="286">
        <f t="shared" si="1084"/>
        <v>0</v>
      </c>
      <c r="BT695" s="286"/>
      <c r="BU695" s="286">
        <f t="shared" si="1085"/>
        <v>0</v>
      </c>
      <c r="BV695" s="286">
        <f t="shared" si="1085"/>
        <v>0</v>
      </c>
      <c r="BW695" s="286"/>
      <c r="BX695" s="286">
        <f t="shared" si="1086"/>
        <v>0</v>
      </c>
      <c r="BY695" s="286">
        <f t="shared" si="1086"/>
        <v>0</v>
      </c>
      <c r="BZ695" s="286"/>
      <c r="CA695" s="286">
        <f t="shared" si="1087"/>
        <v>0</v>
      </c>
      <c r="CB695" s="286">
        <f t="shared" si="1087"/>
        <v>0</v>
      </c>
      <c r="CC695" s="286"/>
      <c r="CD695" s="286">
        <f t="shared" si="1088"/>
        <v>0</v>
      </c>
      <c r="CE695" s="286">
        <f t="shared" si="1088"/>
        <v>0</v>
      </c>
      <c r="CF695" s="286"/>
      <c r="CG695" s="286">
        <f t="shared" si="1089"/>
        <v>0</v>
      </c>
      <c r="CH695" s="286">
        <f t="shared" si="1089"/>
        <v>0</v>
      </c>
      <c r="CI695" s="286"/>
      <c r="CJ695" s="286">
        <f t="shared" si="1090"/>
        <v>0</v>
      </c>
      <c r="CK695" s="286">
        <f t="shared" si="1090"/>
        <v>0</v>
      </c>
    </row>
    <row r="696" spans="1:89" ht="30" x14ac:dyDescent="0.25">
      <c r="A696" s="107"/>
      <c r="B696" s="312"/>
      <c r="C696" s="312" t="s">
        <v>2441</v>
      </c>
      <c r="D696" s="95"/>
      <c r="E696" s="282"/>
      <c r="F696" s="282"/>
      <c r="G696" s="282"/>
      <c r="H696" s="282">
        <v>0</v>
      </c>
      <c r="I696" s="282">
        <v>0</v>
      </c>
      <c r="J696" s="282">
        <f t="shared" si="1062"/>
        <v>0</v>
      </c>
      <c r="K696" s="282">
        <f t="shared" si="1062"/>
        <v>0</v>
      </c>
      <c r="L696" s="282">
        <f t="shared" ref="L696" si="1123">L545</f>
        <v>0</v>
      </c>
      <c r="M696" s="282">
        <f t="shared" si="1121"/>
        <v>0</v>
      </c>
      <c r="N696" s="282">
        <f t="shared" ref="N696" si="1124">N545</f>
        <v>0</v>
      </c>
      <c r="Q696" s="286">
        <f t="shared" si="1065"/>
        <v>0</v>
      </c>
      <c r="R696" s="286">
        <f t="shared" si="1066"/>
        <v>0</v>
      </c>
      <c r="S696" s="286">
        <f t="shared" si="1067"/>
        <v>0</v>
      </c>
      <c r="T696" s="286">
        <f t="shared" si="1067"/>
        <v>0</v>
      </c>
      <c r="U696" s="286"/>
      <c r="V696" s="286">
        <f t="shared" si="1068"/>
        <v>0</v>
      </c>
      <c r="W696" s="286">
        <f t="shared" si="1068"/>
        <v>0</v>
      </c>
      <c r="X696" s="286"/>
      <c r="Y696" s="286">
        <f t="shared" si="1069"/>
        <v>0</v>
      </c>
      <c r="Z696" s="286">
        <f t="shared" si="1069"/>
        <v>0</v>
      </c>
      <c r="AA696" s="286"/>
      <c r="AB696" s="286">
        <f t="shared" si="1070"/>
        <v>0</v>
      </c>
      <c r="AC696" s="286">
        <f t="shared" si="1070"/>
        <v>0</v>
      </c>
      <c r="AD696" s="286"/>
      <c r="AE696" s="286">
        <f t="shared" si="1071"/>
        <v>0</v>
      </c>
      <c r="AF696" s="286">
        <f t="shared" si="1071"/>
        <v>0</v>
      </c>
      <c r="AG696" s="286"/>
      <c r="AH696" s="286">
        <f t="shared" si="1072"/>
        <v>0</v>
      </c>
      <c r="AI696" s="286">
        <f t="shared" si="1072"/>
        <v>0</v>
      </c>
      <c r="AJ696" s="286"/>
      <c r="AK696" s="286">
        <f t="shared" si="1073"/>
        <v>0</v>
      </c>
      <c r="AL696" s="286">
        <f t="shared" si="1073"/>
        <v>0</v>
      </c>
      <c r="AM696" s="286"/>
      <c r="AN696" s="286">
        <f t="shared" si="1074"/>
        <v>0</v>
      </c>
      <c r="AO696" s="286">
        <f t="shared" si="1074"/>
        <v>0</v>
      </c>
      <c r="AP696" s="286"/>
      <c r="AQ696" s="286">
        <f t="shared" si="1075"/>
        <v>0</v>
      </c>
      <c r="AR696" s="286">
        <f t="shared" si="1075"/>
        <v>0</v>
      </c>
      <c r="AS696" s="286"/>
      <c r="AT696" s="286">
        <f t="shared" si="1076"/>
        <v>0</v>
      </c>
      <c r="AU696" s="286">
        <f t="shared" si="1076"/>
        <v>0</v>
      </c>
      <c r="AV696" s="286"/>
      <c r="AW696" s="286">
        <f t="shared" si="1077"/>
        <v>0</v>
      </c>
      <c r="AX696" s="286">
        <f t="shared" si="1077"/>
        <v>0</v>
      </c>
      <c r="AY696" s="286"/>
      <c r="AZ696" s="286">
        <f t="shared" si="1078"/>
        <v>0</v>
      </c>
      <c r="BA696" s="286">
        <f t="shared" si="1078"/>
        <v>0</v>
      </c>
      <c r="BB696" s="286"/>
      <c r="BC696" s="286">
        <f t="shared" si="1079"/>
        <v>0</v>
      </c>
      <c r="BD696" s="286">
        <f t="shared" si="1079"/>
        <v>0</v>
      </c>
      <c r="BE696" s="286"/>
      <c r="BF696" s="286">
        <f t="shared" si="1080"/>
        <v>0</v>
      </c>
      <c r="BG696" s="286">
        <f t="shared" si="1080"/>
        <v>0</v>
      </c>
      <c r="BH696" s="286"/>
      <c r="BI696" s="286">
        <f t="shared" si="1081"/>
        <v>0</v>
      </c>
      <c r="BJ696" s="286">
        <f t="shared" si="1081"/>
        <v>0</v>
      </c>
      <c r="BK696" s="286"/>
      <c r="BL696" s="286">
        <f t="shared" si="1082"/>
        <v>0</v>
      </c>
      <c r="BM696" s="286">
        <f t="shared" si="1082"/>
        <v>0</v>
      </c>
      <c r="BN696" s="286"/>
      <c r="BO696" s="286">
        <f t="shared" si="1083"/>
        <v>0</v>
      </c>
      <c r="BP696" s="286">
        <f t="shared" si="1083"/>
        <v>0</v>
      </c>
      <c r="BQ696" s="286"/>
      <c r="BR696" s="286">
        <f t="shared" si="1084"/>
        <v>0</v>
      </c>
      <c r="BS696" s="286">
        <f t="shared" si="1084"/>
        <v>0</v>
      </c>
      <c r="BT696" s="286"/>
      <c r="BU696" s="286">
        <f t="shared" si="1085"/>
        <v>0</v>
      </c>
      <c r="BV696" s="286">
        <f t="shared" si="1085"/>
        <v>0</v>
      </c>
      <c r="BW696" s="286"/>
      <c r="BX696" s="286">
        <f t="shared" si="1086"/>
        <v>0</v>
      </c>
      <c r="BY696" s="286">
        <f t="shared" si="1086"/>
        <v>0</v>
      </c>
      <c r="BZ696" s="286"/>
      <c r="CA696" s="286">
        <f t="shared" si="1087"/>
        <v>0</v>
      </c>
      <c r="CB696" s="286">
        <f t="shared" si="1087"/>
        <v>0</v>
      </c>
      <c r="CC696" s="286"/>
      <c r="CD696" s="286">
        <f t="shared" si="1088"/>
        <v>0</v>
      </c>
      <c r="CE696" s="286">
        <f t="shared" si="1088"/>
        <v>0</v>
      </c>
      <c r="CF696" s="286"/>
      <c r="CG696" s="286">
        <f t="shared" si="1089"/>
        <v>0</v>
      </c>
      <c r="CH696" s="286">
        <f t="shared" si="1089"/>
        <v>0</v>
      </c>
      <c r="CI696" s="286"/>
      <c r="CJ696" s="286">
        <f t="shared" si="1090"/>
        <v>0</v>
      </c>
      <c r="CK696" s="286">
        <f t="shared" si="1090"/>
        <v>0</v>
      </c>
    </row>
    <row r="697" spans="1:89" ht="105" x14ac:dyDescent="0.25">
      <c r="A697" s="95" t="s">
        <v>219</v>
      </c>
      <c r="B697" s="96" t="s">
        <v>1685</v>
      </c>
      <c r="C697" s="107"/>
      <c r="D697" s="95"/>
      <c r="E697" s="280"/>
      <c r="F697" s="280"/>
      <c r="G697" s="280"/>
      <c r="H697" s="280"/>
      <c r="I697" s="280"/>
      <c r="J697" s="280"/>
      <c r="K697" s="280"/>
      <c r="L697" s="280"/>
      <c r="M697" s="280"/>
      <c r="N697" s="280"/>
      <c r="O697" s="281" t="s">
        <v>217</v>
      </c>
    </row>
    <row r="698" spans="1:89" x14ac:dyDescent="0.25">
      <c r="A698" s="95"/>
      <c r="B698" s="96" t="s">
        <v>1182</v>
      </c>
      <c r="C698" s="107"/>
      <c r="D698" s="95" t="s">
        <v>8</v>
      </c>
      <c r="E698" s="279">
        <f>(E704+E705+E708)/(E715+E716+E719)*100</f>
        <v>52.478134110787167</v>
      </c>
      <c r="F698" s="279">
        <f>(F704+F705+F708)/(F715+F716+F719)*100</f>
        <v>69.616519174041301</v>
      </c>
      <c r="G698" s="279">
        <f>(G704+G705+G708)/(G715+G716+G719)*100</f>
        <v>71.818181818181813</v>
      </c>
      <c r="H698" s="279">
        <f>((H704+H705+H708)/(H715+H716+H719))*100</f>
        <v>83.850931677018636</v>
      </c>
      <c r="I698" s="279">
        <f>((I704+I705+I708)/(I715+I716+I719))*100</f>
        <v>86.477987421383645</v>
      </c>
      <c r="J698" s="279">
        <f>((J704+J705+J708)/(J715+J716+J719))*100</f>
        <v>90.322580645161281</v>
      </c>
      <c r="K698" s="279">
        <f>((K704+K705+K708)/(K715+K716+K719))*100</f>
        <v>95.765472312703579</v>
      </c>
      <c r="L698" s="279">
        <f>((L704+L705+L708)/(L715+L716+L719))*100</f>
        <v>0</v>
      </c>
      <c r="M698" s="279">
        <f t="shared" ref="M698:N698" si="1125">((M704+M705+M708)/(M715+M716+M719))*100</f>
        <v>0</v>
      </c>
      <c r="N698" s="279">
        <f t="shared" si="1125"/>
        <v>0</v>
      </c>
      <c r="O698" s="281"/>
      <c r="Q698" s="279">
        <f>((Q704+Q705+Q708)/(Q715+Q716+Q719))*100</f>
        <v>95.765472312703579</v>
      </c>
      <c r="R698" s="279">
        <f>((R704+R705+R708)/(R715+R716+R719))*100</f>
        <v>98.05825242718447</v>
      </c>
      <c r="S698" s="279">
        <f>((S704+S705+S708)/(S715+S716+S719))*100</f>
        <v>100</v>
      </c>
      <c r="T698" s="279">
        <f>((T704+T705+T708)/(T715+T716+T719))*100</f>
        <v>100</v>
      </c>
      <c r="V698" s="279">
        <f>((V704+V705+V708)/(V715+V716+V719))*100</f>
        <v>91.666666666666657</v>
      </c>
      <c r="W698" s="279">
        <f>((W704+W705+W708)/(W715+W716+W719))*100</f>
        <v>100</v>
      </c>
      <c r="Y698" s="279">
        <f>((Y704+Y705+Y708)/(Y715+Y716+Y719))*100</f>
        <v>80</v>
      </c>
      <c r="Z698" s="279">
        <f>((Z704+Z705+Z708)/(Z715+Z716+Z719))*100</f>
        <v>93.333333333333329</v>
      </c>
      <c r="AB698" s="279">
        <f>((AB704+AB705+AB708)/(AB715+AB716+AB719))*100</f>
        <v>100</v>
      </c>
      <c r="AC698" s="279">
        <f>((AC704+AC705+AC708)/(AC715+AC716+AC719))*100</f>
        <v>100</v>
      </c>
      <c r="AE698" s="279">
        <f>((AE704+AE705+AE708)/(AE715+AE716+AE719))*100</f>
        <v>82.35294117647058</v>
      </c>
      <c r="AF698" s="279">
        <f>((AF704+AF705+AF708)/(AF715+AF716+AF719))*100</f>
        <v>93.75</v>
      </c>
      <c r="AH698" s="279">
        <f>((AH704+AH705+AH708)/(AH715+AH716+AH719))*100</f>
        <v>83.333333333333343</v>
      </c>
      <c r="AI698" s="279">
        <f>((AI704+AI705+AI708)/(AI715+AI716+AI719))*100</f>
        <v>88.888888888888886</v>
      </c>
      <c r="AK698" s="279">
        <f>((AK704+AK705+AK708)/(AK715+AK716+AK719))*100</f>
        <v>100</v>
      </c>
      <c r="AL698" s="279">
        <f>((AL704+AL705+AL708)/(AL715+AL716+AL719))*100</f>
        <v>100</v>
      </c>
      <c r="AN698" s="279">
        <f>((AN704+AN705+AN708)/(AN715+AN716+AN719))*100</f>
        <v>100</v>
      </c>
      <c r="AO698" s="279">
        <f>((AO704+AO705+AO708)/(AO715+AO716+AO719))*100</f>
        <v>100</v>
      </c>
      <c r="AQ698" s="279">
        <f>((AQ704+AQ705+AQ708)/(AQ715+AQ716+AQ719))*100</f>
        <v>91.304347826086953</v>
      </c>
      <c r="AR698" s="279">
        <f>((AR704+AR705+AR708)/(AR715+AR716+AR719))*100</f>
        <v>95.833333333333343</v>
      </c>
      <c r="AT698" s="279">
        <f>((AT704+AT705+AT708)/(AT715+AT716+AT719))*100</f>
        <v>100</v>
      </c>
      <c r="AU698" s="279">
        <f>((AU704+AU705+AU708)/(AU715+AU716+AU719))*100</f>
        <v>100</v>
      </c>
      <c r="AW698" s="279">
        <f>((AW704+AW705+AW708)/(AW715+AW716+AW719))*100</f>
        <v>100</v>
      </c>
      <c r="AX698" s="279">
        <f>((AX704+AX705+AX708)/(AX715+AX716+AX719))*100</f>
        <v>100</v>
      </c>
      <c r="AZ698" s="279">
        <f>((AZ704+AZ705+AZ708)/(AZ715+AZ716+AZ719))*100</f>
        <v>100</v>
      </c>
      <c r="BA698" s="279">
        <f>((BA704+BA705+BA708)/(BA715+BA716+BA719))*100</f>
        <v>100</v>
      </c>
      <c r="BC698" s="279">
        <f>((BC704+BC705+BC708)/(BC715+BC716+BC719))*100</f>
        <v>100</v>
      </c>
      <c r="BD698" s="279">
        <f>((BD704+BD705+BD708)/(BD715+BD716+BD719))*100</f>
        <v>100</v>
      </c>
      <c r="BF698" s="279">
        <f>((BF704+BF705+BF708)/(BF715+BF716+BF719))*100</f>
        <v>100</v>
      </c>
      <c r="BG698" s="279">
        <f>((BG704+BG705+BG708)/(BG715+BG716+BG719))*100</f>
        <v>100</v>
      </c>
      <c r="BI698" s="279">
        <f>((BI704+BI705+BI708)/(BI715+BI716+BI719))*100</f>
        <v>100</v>
      </c>
      <c r="BJ698" s="279">
        <f>((BJ704+BJ705+BJ708)/(BJ715+BJ716+BJ719))*100</f>
        <v>100</v>
      </c>
      <c r="BL698" s="279">
        <f>((BL704+BL705+BL708)/(BL715+BL716+BL719))*100</f>
        <v>100</v>
      </c>
      <c r="BM698" s="279">
        <f>((BM704+BM705+BM708)/(BM715+BM716+BM719))*100</f>
        <v>100</v>
      </c>
      <c r="BO698" s="279">
        <f>((BO704+BO705+BO708)/(BO715+BO716+BO719))*100</f>
        <v>100</v>
      </c>
      <c r="BP698" s="279">
        <f>((BP704+BP705+BP708)/(BP715+BP716+BP719))*100</f>
        <v>100</v>
      </c>
      <c r="BR698" s="279">
        <f>((BR704+BR705+BR708)/(BR715+BR716+BR719))*100</f>
        <v>100</v>
      </c>
      <c r="BS698" s="279">
        <f>((BS704+BS705+BS708)/(BS715+BS716+BS719))*100</f>
        <v>100</v>
      </c>
      <c r="BU698" s="279">
        <f>((BU704+BU705+BU708)/(BU715+BU716+BU719))*100</f>
        <v>100</v>
      </c>
      <c r="BV698" s="279">
        <f>((BV704+BV705+BV708)/(BV715+BV716+BV719))*100</f>
        <v>100</v>
      </c>
      <c r="BX698" s="279">
        <f>((BX704+BX705+BX708)/(BX715+BX716+BX719))*100</f>
        <v>100</v>
      </c>
      <c r="BY698" s="279">
        <f>((BY704+BY705+BY708)/(BY715+BY716+BY719))*100</f>
        <v>100</v>
      </c>
      <c r="CA698" s="279">
        <f>((CA704+CA705+CA708)/(CA715+CA716+CA719))*100</f>
        <v>100</v>
      </c>
      <c r="CB698" s="279">
        <f>((CB704+CB705+CB708)/(CB715+CB716+CB719))*100</f>
        <v>100</v>
      </c>
      <c r="CD698" s="279">
        <f>((CD704+CD705+CD708)/(CD715+CD716+CD719))*100</f>
        <v>100</v>
      </c>
      <c r="CE698" s="279">
        <f>((CE704+CE705+CE708)/(CE715+CE716+CE719))*100</f>
        <v>100</v>
      </c>
      <c r="CG698" s="279">
        <f>((CG704+CG705+CG708)/(CG715+CG716+CG719))*100</f>
        <v>95.454545454545453</v>
      </c>
      <c r="CH698" s="279">
        <f>((CH704+CH705+CH708)/(CH715+CH716+CH719))*100</f>
        <v>95.454545454545453</v>
      </c>
      <c r="CJ698" s="279" t="e">
        <f>((CJ704+CJ705+CJ708)/(CJ715+CJ716+CJ719))*100</f>
        <v>#DIV/0!</v>
      </c>
      <c r="CK698" s="279" t="e">
        <f>((CK704+CK705+CK708)/(CK715+CK716+CK719))*100</f>
        <v>#DIV/0!</v>
      </c>
    </row>
    <row r="699" spans="1:89" x14ac:dyDescent="0.25">
      <c r="A699" s="95"/>
      <c r="B699" s="96" t="s">
        <v>1183</v>
      </c>
      <c r="C699" s="107"/>
      <c r="D699" s="95"/>
      <c r="E699" s="279"/>
      <c r="F699" s="279"/>
      <c r="G699" s="279"/>
      <c r="H699" s="279">
        <f>((H704+H708)/(H715+H719))*100</f>
        <v>96.396396396396398</v>
      </c>
      <c r="I699" s="279">
        <f>((I704+I708)/(I715+I719))*100</f>
        <v>97.727272727272734</v>
      </c>
      <c r="J699" s="279">
        <f>((J704+J708)/(J715+J719))*100</f>
        <v>100</v>
      </c>
      <c r="K699" s="279">
        <f>((K704+K708)/(K715+K719))*100</f>
        <v>99.53051643192488</v>
      </c>
      <c r="L699" s="279">
        <f>((L704+L708)/(L715+L719))*100</f>
        <v>0</v>
      </c>
      <c r="M699" s="279">
        <f t="shared" ref="M699:N699" si="1126">((M704+M708)/(M715+M719))*100</f>
        <v>0</v>
      </c>
      <c r="N699" s="279">
        <f t="shared" si="1126"/>
        <v>0</v>
      </c>
      <c r="O699" s="281"/>
      <c r="Q699" s="279">
        <f>((Q704+Q708)/(Q715+Q719))*100</f>
        <v>99.53051643192488</v>
      </c>
      <c r="R699" s="279">
        <f>((R704+R708)/(R715+R719))*100</f>
        <v>99.534883720930239</v>
      </c>
      <c r="S699" s="279">
        <f>((S704+S708)/(S715+S719))*100</f>
        <v>100</v>
      </c>
      <c r="T699" s="279">
        <f>((T704+T708)/(T715+T719))*100</f>
        <v>100</v>
      </c>
      <c r="V699" s="279">
        <f>((V704+V708)/(V715+V719))*100</f>
        <v>100</v>
      </c>
      <c r="W699" s="279">
        <f>((W704+W708)/(W715+W719))*100</f>
        <v>100</v>
      </c>
      <c r="Y699" s="279">
        <f>((Y704+Y708)/(Y715+Y719))*100</f>
        <v>100</v>
      </c>
      <c r="Z699" s="279">
        <f>((Z704+Z708)/(Z715+Z719))*100</f>
        <v>100</v>
      </c>
      <c r="AB699" s="279">
        <f>((AB704+AB708)/(AB715+AB719))*100</f>
        <v>100</v>
      </c>
      <c r="AC699" s="279">
        <f>((AC704+AC708)/(AC715+AC719))*100</f>
        <v>100</v>
      </c>
      <c r="AE699" s="279">
        <f>((AE704+AE708)/(AE715+AE719))*100</f>
        <v>100</v>
      </c>
      <c r="AF699" s="279">
        <f>((AF704+AF708)/(AF715+AF719))*100</f>
        <v>100</v>
      </c>
      <c r="AH699" s="279">
        <f>((AH704+AH708)/(AH715+AH719))*100</f>
        <v>100</v>
      </c>
      <c r="AI699" s="279">
        <f>((AI704+AI708)/(AI715+AI719))*100</f>
        <v>100</v>
      </c>
      <c r="AK699" s="279">
        <f>((AK704+AK708)/(AK715+AK719))*100</f>
        <v>100</v>
      </c>
      <c r="AL699" s="279">
        <f>((AL704+AL708)/(AL715+AL719))*100</f>
        <v>100</v>
      </c>
      <c r="AN699" s="279">
        <f>((AN704+AN708)/(AN715+AN719))*100</f>
        <v>100</v>
      </c>
      <c r="AO699" s="279">
        <f>((AO704+AO708)/(AO715+AO719))*100</f>
        <v>100</v>
      </c>
      <c r="AQ699" s="279" t="e">
        <f>((AQ704+AQ708)/(AQ715+AQ719))*100</f>
        <v>#DIV/0!</v>
      </c>
      <c r="AR699" s="279" t="e">
        <f>((AR704+AR708)/(AR715+AR719))*100</f>
        <v>#DIV/0!</v>
      </c>
      <c r="AT699" s="279">
        <f>((AT704+AT708)/(AT715+AT719))*100</f>
        <v>100</v>
      </c>
      <c r="AU699" s="279">
        <f>((AU704+AU708)/(AU715+AU719))*100</f>
        <v>100</v>
      </c>
      <c r="AW699" s="279">
        <f>((AW704+AW708)/(AW715+AW719))*100</f>
        <v>100</v>
      </c>
      <c r="AX699" s="279">
        <f>((AX704+AX708)/(AX715+AX719))*100</f>
        <v>100</v>
      </c>
      <c r="AZ699" s="279">
        <f>((AZ704+AZ708)/(AZ715+AZ719))*100</f>
        <v>100</v>
      </c>
      <c r="BA699" s="279">
        <f>((BA704+BA708)/(BA715+BA719))*100</f>
        <v>100</v>
      </c>
      <c r="BC699" s="279">
        <f>((BC704+BC708)/(BC715+BC719))*100</f>
        <v>100</v>
      </c>
      <c r="BD699" s="279">
        <f>((BD704+BD708)/(BD715+BD719))*100</f>
        <v>100</v>
      </c>
      <c r="BF699" s="279">
        <f>((BF704+BF708)/(BF715+BF719))*100</f>
        <v>100</v>
      </c>
      <c r="BG699" s="279">
        <f>((BG704+BG708)/(BG715+BG719))*100</f>
        <v>100</v>
      </c>
      <c r="BI699" s="279">
        <f>((BI704+BI708)/(BI715+BI719))*100</f>
        <v>100</v>
      </c>
      <c r="BJ699" s="279">
        <f>((BJ704+BJ708)/(BJ715+BJ719))*100</f>
        <v>100</v>
      </c>
      <c r="BL699" s="279">
        <f>((BL704+BL708)/(BL715+BL719))*100</f>
        <v>100</v>
      </c>
      <c r="BM699" s="279">
        <f>((BM704+BM708)/(BM715+BM719))*100</f>
        <v>100</v>
      </c>
      <c r="BO699" s="279">
        <f>((BO704+BO708)/(BO715+BO719))*100</f>
        <v>100</v>
      </c>
      <c r="BP699" s="279">
        <f>((BP704+BP708)/(BP715+BP719))*100</f>
        <v>100</v>
      </c>
      <c r="BR699" s="279">
        <f>((BR704+BR708)/(BR715+BR719))*100</f>
        <v>100</v>
      </c>
      <c r="BS699" s="279">
        <f>((BS704+BS708)/(BS715+BS719))*100</f>
        <v>100</v>
      </c>
      <c r="BU699" s="279">
        <f>((BU704+BU708)/(BU715+BU719))*100</f>
        <v>100</v>
      </c>
      <c r="BV699" s="279">
        <f>((BV704+BV708)/(BV715+BV719))*100</f>
        <v>100</v>
      </c>
      <c r="BX699" s="279">
        <f>((BX704+BX708)/(BX715+BX719))*100</f>
        <v>100</v>
      </c>
      <c r="BY699" s="279">
        <f>((BY704+BY708)/(BY715+BY719))*100</f>
        <v>100</v>
      </c>
      <c r="CA699" s="279">
        <f>((CA704+CA708)/(CA715+CA719))*100</f>
        <v>100</v>
      </c>
      <c r="CB699" s="279">
        <f>((CB704+CB708)/(CB715+CB719))*100</f>
        <v>100</v>
      </c>
      <c r="CD699" s="279">
        <f>((CD704+CD708)/(CD715+CD719))*100</f>
        <v>100</v>
      </c>
      <c r="CE699" s="279">
        <f>((CE704+CE708)/(CE715+CE719))*100</f>
        <v>100</v>
      </c>
      <c r="CG699" s="279">
        <f>((CG704+CG708)/(CG715+CG719))*100</f>
        <v>94.444444444444443</v>
      </c>
      <c r="CH699" s="279">
        <f>((CH704+CH708)/(CH715+CH719))*100</f>
        <v>94.444444444444443</v>
      </c>
      <c r="CJ699" s="279" t="e">
        <f>((CJ704+CJ708)/(CJ715+CJ719))*100</f>
        <v>#DIV/0!</v>
      </c>
      <c r="CK699" s="279" t="e">
        <f>((CK704+CK708)/(CK715+CK719))*100</f>
        <v>#DIV/0!</v>
      </c>
    </row>
    <row r="700" spans="1:89" x14ac:dyDescent="0.25">
      <c r="A700" s="95"/>
      <c r="B700" s="16" t="s">
        <v>1185</v>
      </c>
      <c r="C700" s="107"/>
      <c r="D700" s="95"/>
      <c r="E700" s="279"/>
      <c r="F700" s="279"/>
      <c r="G700" s="279"/>
      <c r="H700" s="279">
        <f>((H705+H708)/(H716+H719))*100</f>
        <v>56.000000000000007</v>
      </c>
      <c r="I700" s="279">
        <f>((I705+I708)/(I716+I719))*100</f>
        <v>61.224489795918366</v>
      </c>
      <c r="J700" s="279">
        <f>((J705+J708)/(J716+J719))*100</f>
        <v>68.421052631578945</v>
      </c>
      <c r="K700" s="279">
        <f>((K705+K708)/(K716+K719))*100</f>
        <v>87.2340425531915</v>
      </c>
      <c r="L700" s="279">
        <f>((L705+L708)/(L716+L719))*100</f>
        <v>0</v>
      </c>
      <c r="M700" s="279">
        <f t="shared" ref="M700:N700" si="1127">((M705+M708)/(M716+M719))*100</f>
        <v>0</v>
      </c>
      <c r="N700" s="279">
        <f t="shared" si="1127"/>
        <v>0</v>
      </c>
      <c r="O700" s="281"/>
      <c r="Q700" s="279">
        <f>((Q705+Q708)/(Q716+Q719))*100</f>
        <v>87.2340425531915</v>
      </c>
      <c r="R700" s="279">
        <f>((R705+R708)/(R716+R719))*100</f>
        <v>94.680851063829792</v>
      </c>
      <c r="S700" s="279">
        <f>((S705+S708)/(S716+S719))*100</f>
        <v>100</v>
      </c>
      <c r="T700" s="279">
        <f>((T705+T708)/(T716+T719))*100</f>
        <v>100</v>
      </c>
      <c r="V700" s="279">
        <f>((V705+V708)/(V716+V719))*100</f>
        <v>87.5</v>
      </c>
      <c r="W700" s="279">
        <f>((W705+W708)/(W716+W719))*100</f>
        <v>100</v>
      </c>
      <c r="Y700" s="279">
        <f>((Y705+Y708)/(Y716+Y719))*100</f>
        <v>70</v>
      </c>
      <c r="Z700" s="279">
        <f>((Z705+Z708)/(Z716+Z719))*100</f>
        <v>90</v>
      </c>
      <c r="AB700" s="279">
        <f>((AB705+AB708)/(AB716+AB719))*100</f>
        <v>100</v>
      </c>
      <c r="AC700" s="279">
        <f>((AC705+AC708)/(AC716+AC719))*100</f>
        <v>100</v>
      </c>
      <c r="AE700" s="279">
        <f>((AE705+AE708)/(AE716+AE719))*100</f>
        <v>72.727272727272734</v>
      </c>
      <c r="AF700" s="279">
        <f>((AF705+AF708)/(AF716+AF719))*100</f>
        <v>90</v>
      </c>
      <c r="AH700" s="279">
        <f>((AH705+AH708)/(AH716+AH719))*100</f>
        <v>76.923076923076934</v>
      </c>
      <c r="AI700" s="279">
        <f>((AI705+AI708)/(AI716+AI719))*100</f>
        <v>84.615384615384613</v>
      </c>
      <c r="AK700" s="279">
        <f>((AK705+AK708)/(AK716+AK719))*100</f>
        <v>100</v>
      </c>
      <c r="AL700" s="279">
        <f>((AL705+AL708)/(AL716+AL719))*100</f>
        <v>100</v>
      </c>
      <c r="AN700" s="279">
        <f>((AN705+AN708)/(AN716+AN719))*100</f>
        <v>100</v>
      </c>
      <c r="AO700" s="279">
        <f>((AO705+AO708)/(AO716+AO719))*100</f>
        <v>100</v>
      </c>
      <c r="AQ700" s="279">
        <f>((AQ705+AQ708)/(AQ716+AQ719))*100</f>
        <v>91.304347826086953</v>
      </c>
      <c r="AR700" s="279">
        <f>((AR705+AR708)/(AR716+AR719))*100</f>
        <v>95.833333333333343</v>
      </c>
      <c r="AT700" s="279" t="e">
        <f>((AT705+AT708)/(AT716+AT719))*100</f>
        <v>#DIV/0!</v>
      </c>
      <c r="AU700" s="279" t="e">
        <f>((AU705+AU708)/(AU716+AU719))*100</f>
        <v>#DIV/0!</v>
      </c>
      <c r="AW700" s="279" t="e">
        <f>((AW705+AW708)/(AW716+AW719))*100</f>
        <v>#DIV/0!</v>
      </c>
      <c r="AX700" s="279" t="e">
        <f>((AX705+AX708)/(AX716+AX719))*100</f>
        <v>#DIV/0!</v>
      </c>
      <c r="AZ700" s="279" t="e">
        <f>((AZ705+AZ708)/(AZ716+AZ719))*100</f>
        <v>#DIV/0!</v>
      </c>
      <c r="BA700" s="279" t="e">
        <f>((BA705+BA708)/(BA716+BA719))*100</f>
        <v>#DIV/0!</v>
      </c>
      <c r="BC700" s="279" t="e">
        <f>((BC705+BC708)/(BC716+BC719))*100</f>
        <v>#DIV/0!</v>
      </c>
      <c r="BD700" s="279" t="e">
        <f>((BD705+BD708)/(BD716+BD719))*100</f>
        <v>#DIV/0!</v>
      </c>
      <c r="BF700" s="279" t="e">
        <f>((BF705+BF708)/(BF716+BF719))*100</f>
        <v>#DIV/0!</v>
      </c>
      <c r="BG700" s="279" t="e">
        <f>((BG705+BG708)/(BG716+BG719))*100</f>
        <v>#DIV/0!</v>
      </c>
      <c r="BI700" s="279" t="e">
        <f>((BI705+BI708)/(BI716+BI719))*100</f>
        <v>#DIV/0!</v>
      </c>
      <c r="BJ700" s="279" t="e">
        <f>((BJ705+BJ708)/(BJ716+BJ719))*100</f>
        <v>#DIV/0!</v>
      </c>
      <c r="BL700" s="279" t="e">
        <f>((BL705+BL708)/(BL716+BL719))*100</f>
        <v>#DIV/0!</v>
      </c>
      <c r="BM700" s="279" t="e">
        <f>((BM705+BM708)/(BM716+BM719))*100</f>
        <v>#DIV/0!</v>
      </c>
      <c r="BO700" s="279" t="e">
        <f>((BO705+BO708)/(BO716+BO719))*100</f>
        <v>#DIV/0!</v>
      </c>
      <c r="BP700" s="279" t="e">
        <f>((BP705+BP708)/(BP716+BP719))*100</f>
        <v>#DIV/0!</v>
      </c>
      <c r="BR700" s="279" t="e">
        <f>((BR705+BR708)/(BR716+BR719))*100</f>
        <v>#DIV/0!</v>
      </c>
      <c r="BS700" s="279" t="e">
        <f>((BS705+BS708)/(BS716+BS719))*100</f>
        <v>#DIV/0!</v>
      </c>
      <c r="BU700" s="279" t="e">
        <f>((BU705+BU708)/(BU716+BU719))*100</f>
        <v>#DIV/0!</v>
      </c>
      <c r="BV700" s="279" t="e">
        <f>((BV705+BV708)/(BV716+BV719))*100</f>
        <v>#DIV/0!</v>
      </c>
      <c r="BX700" s="279" t="e">
        <f>((BX705+BX708)/(BX716+BX719))*100</f>
        <v>#DIV/0!</v>
      </c>
      <c r="BY700" s="279" t="e">
        <f>((BY705+BY708)/(BY716+BY719))*100</f>
        <v>#DIV/0!</v>
      </c>
      <c r="CA700" s="279" t="e">
        <f>((CA705+CA708)/(CA716+CA719))*100</f>
        <v>#DIV/0!</v>
      </c>
      <c r="CB700" s="279" t="e">
        <f>((CB705+CB708)/(CB716+CB719))*100</f>
        <v>#DIV/0!</v>
      </c>
      <c r="CD700" s="279" t="e">
        <f>((CD705+CD708)/(CD716+CD719))*100</f>
        <v>#DIV/0!</v>
      </c>
      <c r="CE700" s="279" t="e">
        <f>((CE705+CE708)/(CE716+CE719))*100</f>
        <v>#DIV/0!</v>
      </c>
      <c r="CG700" s="279">
        <f>((CG705+CG708)/(CG716+CG719))*100</f>
        <v>100</v>
      </c>
      <c r="CH700" s="279">
        <f>((CH705+CH708)/(CH716+CH719))*100</f>
        <v>100</v>
      </c>
      <c r="CJ700" s="279" t="e">
        <f>((CJ705+CJ708)/(CJ716+CJ719))*100</f>
        <v>#DIV/0!</v>
      </c>
      <c r="CK700" s="279" t="e">
        <f>((CK705+CK708)/(CK716+CK719))*100</f>
        <v>#DIV/0!</v>
      </c>
    </row>
    <row r="701" spans="1:89" x14ac:dyDescent="0.25">
      <c r="A701" s="95"/>
      <c r="B701" s="96" t="s">
        <v>1184</v>
      </c>
      <c r="C701" s="107"/>
      <c r="D701" s="95" t="s">
        <v>8</v>
      </c>
      <c r="E701" s="279">
        <f>(E706+E707)/(E717+E718)*100</f>
        <v>40</v>
      </c>
      <c r="F701" s="279">
        <f>(F706+F707)/(F717+F718)*100</f>
        <v>80</v>
      </c>
      <c r="G701" s="279">
        <f>(G706+G707)/(G717+G718)*100</f>
        <v>100</v>
      </c>
      <c r="H701" s="279">
        <f>((H706+H707)/(H717+H718))*100</f>
        <v>100</v>
      </c>
      <c r="I701" s="279">
        <f>((I706+I707)/(I717+I718))*100</f>
        <v>100</v>
      </c>
      <c r="J701" s="279">
        <f>((J706+J707)/(J717+J718))*100</f>
        <v>100</v>
      </c>
      <c r="K701" s="279">
        <f>((K706+K707)/(K717+K718))*100</f>
        <v>100</v>
      </c>
      <c r="L701" s="279" t="e">
        <f>((L706+L707)/(L717+L718))*100</f>
        <v>#DIV/0!</v>
      </c>
      <c r="M701" s="279" t="e">
        <f t="shared" ref="M701:N701" si="1128">((M706+M707)/(M717+M718))*100</f>
        <v>#DIV/0!</v>
      </c>
      <c r="N701" s="279" t="e">
        <f t="shared" si="1128"/>
        <v>#DIV/0!</v>
      </c>
      <c r="O701" s="281"/>
      <c r="Q701" s="279">
        <f>((Q706+Q707)/(Q717+Q718))*100</f>
        <v>100</v>
      </c>
      <c r="R701" s="279">
        <f>((R706+R707)/(R717+R718))*100</f>
        <v>100</v>
      </c>
      <c r="S701" s="279" t="e">
        <f>((S706+S707)/(S717+S718))*100</f>
        <v>#DIV/0!</v>
      </c>
      <c r="T701" s="279" t="e">
        <f>((T706+T707)/(T717+T718))*100</f>
        <v>#DIV/0!</v>
      </c>
      <c r="V701" s="279" t="e">
        <f>((V706+V707)/(V717+V718))*100</f>
        <v>#DIV/0!</v>
      </c>
      <c r="W701" s="279" t="e">
        <f>((W706+W707)/(W717+W718))*100</f>
        <v>#DIV/0!</v>
      </c>
      <c r="Y701" s="279" t="e">
        <f>((Y706+Y707)/(Y717+Y718))*100</f>
        <v>#DIV/0!</v>
      </c>
      <c r="Z701" s="279" t="e">
        <f>((Z706+Z707)/(Z717+Z718))*100</f>
        <v>#DIV/0!</v>
      </c>
      <c r="AB701" s="279" t="e">
        <f>((AB706+AB707)/(AB717+AB718))*100</f>
        <v>#DIV/0!</v>
      </c>
      <c r="AC701" s="279" t="e">
        <f>((AC706+AC707)/(AC717+AC718))*100</f>
        <v>#DIV/0!</v>
      </c>
      <c r="AE701" s="279" t="e">
        <f>((AE706+AE707)/(AE717+AE718))*100</f>
        <v>#DIV/0!</v>
      </c>
      <c r="AF701" s="279" t="e">
        <f>((AF706+AF707)/(AF717+AF718))*100</f>
        <v>#DIV/0!</v>
      </c>
      <c r="AH701" s="279" t="e">
        <f>((AH706+AH707)/(AH717+AH718))*100</f>
        <v>#DIV/0!</v>
      </c>
      <c r="AI701" s="279" t="e">
        <f>((AI706+AI707)/(AI717+AI718))*100</f>
        <v>#DIV/0!</v>
      </c>
      <c r="AK701" s="279" t="e">
        <f>((AK706+AK707)/(AK717+AK718))*100</f>
        <v>#DIV/0!</v>
      </c>
      <c r="AL701" s="279" t="e">
        <f>((AL706+AL707)/(AL717+AL718))*100</f>
        <v>#DIV/0!</v>
      </c>
      <c r="AN701" s="279" t="e">
        <f>((AN706+AN707)/(AN717+AN718))*100</f>
        <v>#DIV/0!</v>
      </c>
      <c r="AO701" s="279" t="e">
        <f>((AO706+AO707)/(AO717+AO718))*100</f>
        <v>#DIV/0!</v>
      </c>
      <c r="AQ701" s="279" t="e">
        <f>((AQ706+AQ707)/(AQ717+AQ718))*100</f>
        <v>#DIV/0!</v>
      </c>
      <c r="AR701" s="279" t="e">
        <f>((AR706+AR707)/(AR717+AR718))*100</f>
        <v>#DIV/0!</v>
      </c>
      <c r="AT701" s="279" t="e">
        <f>((AT706+AT707)/(AT717+AT718))*100</f>
        <v>#DIV/0!</v>
      </c>
      <c r="AU701" s="279" t="e">
        <f>((AU706+AU707)/(AU717+AU718))*100</f>
        <v>#DIV/0!</v>
      </c>
      <c r="AW701" s="279" t="e">
        <f>((AW706+AW707)/(AW717+AW718))*100</f>
        <v>#DIV/0!</v>
      </c>
      <c r="AX701" s="279" t="e">
        <f>((AX706+AX707)/(AX717+AX718))*100</f>
        <v>#DIV/0!</v>
      </c>
      <c r="AZ701" s="279" t="e">
        <f>((AZ706+AZ707)/(AZ717+AZ718))*100</f>
        <v>#DIV/0!</v>
      </c>
      <c r="BA701" s="279" t="e">
        <f>((BA706+BA707)/(BA717+BA718))*100</f>
        <v>#DIV/0!</v>
      </c>
      <c r="BC701" s="279">
        <f>((BC706+BC707)/(BC717+BC718))*100</f>
        <v>100</v>
      </c>
      <c r="BD701" s="279">
        <f>((BD706+BD707)/(BD717+BD718))*100</f>
        <v>100</v>
      </c>
      <c r="BF701" s="279">
        <f>((BF706+BF707)/(BF717+BF718))*100</f>
        <v>100</v>
      </c>
      <c r="BG701" s="279">
        <f>((BG706+BG707)/(BG717+BG718))*100</f>
        <v>100</v>
      </c>
      <c r="BI701" s="279">
        <f>((BI706+BI707)/(BI717+BI718))*100</f>
        <v>100</v>
      </c>
      <c r="BJ701" s="279">
        <f>((BJ706+BJ707)/(BJ717+BJ718))*100</f>
        <v>100</v>
      </c>
      <c r="BL701" s="279" t="e">
        <f>((BL706+BL707)/(BL717+BL718))*100</f>
        <v>#DIV/0!</v>
      </c>
      <c r="BM701" s="279" t="e">
        <f>((BM706+BM707)/(BM717+BM718))*100</f>
        <v>#DIV/0!</v>
      </c>
      <c r="BO701" s="279" t="e">
        <f>((BO706+BO707)/(BO717+BO718))*100</f>
        <v>#DIV/0!</v>
      </c>
      <c r="BP701" s="279" t="e">
        <f>((BP706+BP707)/(BP717+BP718))*100</f>
        <v>#DIV/0!</v>
      </c>
      <c r="BR701" s="279" t="e">
        <f>((BR706+BR707)/(BR717+BR718))*100</f>
        <v>#DIV/0!</v>
      </c>
      <c r="BS701" s="279" t="e">
        <f>((BS706+BS707)/(BS717+BS718))*100</f>
        <v>#DIV/0!</v>
      </c>
      <c r="BU701" s="279" t="e">
        <f>((BU706+BU707)/(BU717+BU718))*100</f>
        <v>#DIV/0!</v>
      </c>
      <c r="BV701" s="279" t="e">
        <f>((BV706+BV707)/(BV717+BV718))*100</f>
        <v>#DIV/0!</v>
      </c>
      <c r="BX701" s="279" t="e">
        <f>((BX706+BX707)/(BX717+BX718))*100</f>
        <v>#DIV/0!</v>
      </c>
      <c r="BY701" s="279" t="e">
        <f>((BY706+BY707)/(BY717+BY718))*100</f>
        <v>#DIV/0!</v>
      </c>
      <c r="CA701" s="279" t="e">
        <f>((CA706+CA707)/(CA717+CA718))*100</f>
        <v>#DIV/0!</v>
      </c>
      <c r="CB701" s="279" t="e">
        <f>((CB706+CB707)/(CB717+CB718))*100</f>
        <v>#DIV/0!</v>
      </c>
      <c r="CD701" s="279">
        <f>((CD706+CD707)/(CD717+CD718))*100</f>
        <v>100</v>
      </c>
      <c r="CE701" s="279">
        <f>((CE706+CE707)/(CE717+CE718))*100</f>
        <v>100</v>
      </c>
      <c r="CG701" s="279" t="e">
        <f>((CG706+CG707)/(CG717+CG718))*100</f>
        <v>#DIV/0!</v>
      </c>
      <c r="CH701" s="279" t="e">
        <f>((CH706+CH707)/(CH717+CH718))*100</f>
        <v>#DIV/0!</v>
      </c>
      <c r="CJ701" s="279" t="e">
        <f>((CJ706+CJ707)/(CJ717+CJ718))*100</f>
        <v>#DIV/0!</v>
      </c>
      <c r="CK701" s="279" t="e">
        <f>((CK706+CK707)/(CK717+CK718))*100</f>
        <v>#DIV/0!</v>
      </c>
    </row>
    <row r="702" spans="1:89" x14ac:dyDescent="0.25">
      <c r="A702" s="263"/>
      <c r="B702" s="96" t="s">
        <v>1183</v>
      </c>
      <c r="C702" s="107"/>
      <c r="D702" s="95"/>
      <c r="E702" s="279"/>
      <c r="F702" s="279"/>
      <c r="G702" s="279"/>
      <c r="H702" s="279">
        <f t="shared" ref="H702:J703" si="1129">((H706)/(H717))*100</f>
        <v>100</v>
      </c>
      <c r="I702" s="279">
        <f t="shared" si="1129"/>
        <v>100</v>
      </c>
      <c r="J702" s="279">
        <f t="shared" si="1129"/>
        <v>100</v>
      </c>
      <c r="K702" s="279">
        <f>((K706)/(K717))*100</f>
        <v>100</v>
      </c>
      <c r="L702" s="279" t="e">
        <f>((L706)/(L717))*100</f>
        <v>#DIV/0!</v>
      </c>
      <c r="M702" s="279" t="e">
        <f t="shared" ref="M702:N703" si="1130">((M706)/(M717))*100</f>
        <v>#DIV/0!</v>
      </c>
      <c r="N702" s="279" t="e">
        <f t="shared" si="1130"/>
        <v>#DIV/0!</v>
      </c>
      <c r="O702" s="281"/>
      <c r="Q702" s="279">
        <f t="shared" ref="Q702:T703" si="1131">((Q706)/(Q717))*100</f>
        <v>100</v>
      </c>
      <c r="R702" s="279">
        <f t="shared" si="1131"/>
        <v>100</v>
      </c>
      <c r="S702" s="279" t="e">
        <f t="shared" si="1131"/>
        <v>#DIV/0!</v>
      </c>
      <c r="T702" s="279" t="e">
        <f t="shared" si="1131"/>
        <v>#DIV/0!</v>
      </c>
      <c r="V702" s="279" t="e">
        <f>((V706)/(V717))*100</f>
        <v>#DIV/0!</v>
      </c>
      <c r="W702" s="279" t="e">
        <f>((W706)/(W717))*100</f>
        <v>#DIV/0!</v>
      </c>
      <c r="Y702" s="279" t="e">
        <f>((Y706)/(Y717))*100</f>
        <v>#DIV/0!</v>
      </c>
      <c r="Z702" s="279" t="e">
        <f>((Z706)/(Z717))*100</f>
        <v>#DIV/0!</v>
      </c>
      <c r="AB702" s="279" t="e">
        <f>((AB706)/(AB717))*100</f>
        <v>#DIV/0!</v>
      </c>
      <c r="AC702" s="279" t="e">
        <f>((AC706)/(AC717))*100</f>
        <v>#DIV/0!</v>
      </c>
      <c r="AE702" s="279" t="e">
        <f>((AE706)/(AE717))*100</f>
        <v>#DIV/0!</v>
      </c>
      <c r="AF702" s="279" t="e">
        <f>((AF706)/(AF717))*100</f>
        <v>#DIV/0!</v>
      </c>
      <c r="AH702" s="279" t="e">
        <f>((AH706)/(AH717))*100</f>
        <v>#DIV/0!</v>
      </c>
      <c r="AI702" s="279" t="e">
        <f>((AI706)/(AI717))*100</f>
        <v>#DIV/0!</v>
      </c>
      <c r="AK702" s="279" t="e">
        <f>((AK706)/(AK717))*100</f>
        <v>#DIV/0!</v>
      </c>
      <c r="AL702" s="279" t="e">
        <f>((AL706)/(AL717))*100</f>
        <v>#DIV/0!</v>
      </c>
      <c r="AN702" s="279" t="e">
        <f>((AN706)/(AN717))*100</f>
        <v>#DIV/0!</v>
      </c>
      <c r="AO702" s="279" t="e">
        <f>((AO706)/(AO717))*100</f>
        <v>#DIV/0!</v>
      </c>
      <c r="AQ702" s="279" t="e">
        <f>((AQ706)/(AQ717))*100</f>
        <v>#DIV/0!</v>
      </c>
      <c r="AR702" s="279" t="e">
        <f>((AR706)/(AR717))*100</f>
        <v>#DIV/0!</v>
      </c>
      <c r="AT702" s="279" t="e">
        <f>((AT706)/(AT717))*100</f>
        <v>#DIV/0!</v>
      </c>
      <c r="AU702" s="279" t="e">
        <f>((AU706)/(AU717))*100</f>
        <v>#DIV/0!</v>
      </c>
      <c r="AW702" s="279" t="e">
        <f>((AW706)/(AW717))*100</f>
        <v>#DIV/0!</v>
      </c>
      <c r="AX702" s="279" t="e">
        <f>((AX706)/(AX717))*100</f>
        <v>#DIV/0!</v>
      </c>
      <c r="AZ702" s="279" t="e">
        <f>((AZ706)/(AZ717))*100</f>
        <v>#DIV/0!</v>
      </c>
      <c r="BA702" s="279" t="e">
        <f>((BA706)/(BA717))*100</f>
        <v>#DIV/0!</v>
      </c>
      <c r="BC702" s="279">
        <f>((BC706)/(BC717))*100</f>
        <v>100</v>
      </c>
      <c r="BD702" s="279">
        <f>((BD706)/(BD717))*100</f>
        <v>100</v>
      </c>
      <c r="BF702" s="279">
        <f>((BF706)/(BF717))*100</f>
        <v>100</v>
      </c>
      <c r="BG702" s="279">
        <f>((BG706)/(BG717))*100</f>
        <v>100</v>
      </c>
      <c r="BI702" s="279">
        <f>((BI706)/(BI717))*100</f>
        <v>100</v>
      </c>
      <c r="BJ702" s="279">
        <f>((BJ706)/(BJ717))*100</f>
        <v>100</v>
      </c>
      <c r="BL702" s="279" t="e">
        <f>((BL706)/(BL717))*100</f>
        <v>#DIV/0!</v>
      </c>
      <c r="BM702" s="279" t="e">
        <f>((BM706)/(BM717))*100</f>
        <v>#DIV/0!</v>
      </c>
      <c r="BO702" s="279" t="e">
        <f>((BO706)/(BO717))*100</f>
        <v>#DIV/0!</v>
      </c>
      <c r="BP702" s="279" t="e">
        <f>((BP706)/(BP717))*100</f>
        <v>#DIV/0!</v>
      </c>
      <c r="BR702" s="279" t="e">
        <f>((BR706)/(BR717))*100</f>
        <v>#DIV/0!</v>
      </c>
      <c r="BS702" s="279" t="e">
        <f>((BS706)/(BS717))*100</f>
        <v>#DIV/0!</v>
      </c>
      <c r="BU702" s="279" t="e">
        <f>((BU706)/(BU717))*100</f>
        <v>#DIV/0!</v>
      </c>
      <c r="BV702" s="279" t="e">
        <f>((BV706)/(BV717))*100</f>
        <v>#DIV/0!</v>
      </c>
      <c r="BX702" s="279" t="e">
        <f>((BX706)/(BX717))*100</f>
        <v>#DIV/0!</v>
      </c>
      <c r="BY702" s="279" t="e">
        <f>((BY706)/(BY717))*100</f>
        <v>#DIV/0!</v>
      </c>
      <c r="CA702" s="279" t="e">
        <f>((CA706)/(CA717))*100</f>
        <v>#DIV/0!</v>
      </c>
      <c r="CB702" s="279" t="e">
        <f>((CB706)/(CB717))*100</f>
        <v>#DIV/0!</v>
      </c>
      <c r="CD702" s="279">
        <f>((CD706)/(CD717))*100</f>
        <v>100</v>
      </c>
      <c r="CE702" s="279">
        <f>((CE706)/(CE717))*100</f>
        <v>100</v>
      </c>
      <c r="CG702" s="279" t="e">
        <f>((CG706)/(CG717))*100</f>
        <v>#DIV/0!</v>
      </c>
      <c r="CH702" s="279" t="e">
        <f>((CH706)/(CH717))*100</f>
        <v>#DIV/0!</v>
      </c>
      <c r="CJ702" s="279" t="e">
        <f>((CJ706)/(CJ717))*100</f>
        <v>#DIV/0!</v>
      </c>
      <c r="CK702" s="279" t="e">
        <f>((CK706)/(CK717))*100</f>
        <v>#DIV/0!</v>
      </c>
    </row>
    <row r="703" spans="1:89" x14ac:dyDescent="0.25">
      <c r="A703" s="263"/>
      <c r="B703" s="16" t="s">
        <v>1185</v>
      </c>
      <c r="C703" s="107"/>
      <c r="D703" s="95"/>
      <c r="E703" s="279"/>
      <c r="F703" s="279"/>
      <c r="G703" s="279"/>
      <c r="H703" s="279" t="e">
        <f t="shared" si="1129"/>
        <v>#DIV/0!</v>
      </c>
      <c r="I703" s="279" t="e">
        <f t="shared" si="1129"/>
        <v>#DIV/0!</v>
      </c>
      <c r="J703" s="279" t="e">
        <f t="shared" si="1129"/>
        <v>#DIV/0!</v>
      </c>
      <c r="K703" s="279" t="e">
        <f>((K707)/(K718))*100</f>
        <v>#DIV/0!</v>
      </c>
      <c r="L703" s="279" t="e">
        <f>((L707)/(L718))*100</f>
        <v>#DIV/0!</v>
      </c>
      <c r="M703" s="279" t="e">
        <f t="shared" si="1130"/>
        <v>#DIV/0!</v>
      </c>
      <c r="N703" s="279" t="e">
        <f t="shared" si="1130"/>
        <v>#DIV/0!</v>
      </c>
      <c r="O703" s="281"/>
      <c r="Q703" s="279" t="e">
        <f t="shared" si="1131"/>
        <v>#DIV/0!</v>
      </c>
      <c r="R703" s="279" t="e">
        <f t="shared" si="1131"/>
        <v>#DIV/0!</v>
      </c>
      <c r="S703" s="279" t="e">
        <f t="shared" si="1131"/>
        <v>#DIV/0!</v>
      </c>
      <c r="T703" s="279" t="e">
        <f t="shared" si="1131"/>
        <v>#DIV/0!</v>
      </c>
      <c r="V703" s="279" t="e">
        <f>((V707)/(V718))*100</f>
        <v>#DIV/0!</v>
      </c>
      <c r="W703" s="279" t="e">
        <f>((W707)/(W718))*100</f>
        <v>#DIV/0!</v>
      </c>
      <c r="Y703" s="279" t="e">
        <f>((Y707)/(Y718))*100</f>
        <v>#DIV/0!</v>
      </c>
      <c r="Z703" s="279" t="e">
        <f>((Z707)/(Z718))*100</f>
        <v>#DIV/0!</v>
      </c>
      <c r="AB703" s="279" t="e">
        <f>((AB707)/(AB718))*100</f>
        <v>#DIV/0!</v>
      </c>
      <c r="AC703" s="279" t="e">
        <f>((AC707)/(AC718))*100</f>
        <v>#DIV/0!</v>
      </c>
      <c r="AE703" s="279" t="e">
        <f>((AE707)/(AE718))*100</f>
        <v>#DIV/0!</v>
      </c>
      <c r="AF703" s="279" t="e">
        <f>((AF707)/(AF718))*100</f>
        <v>#DIV/0!</v>
      </c>
      <c r="AH703" s="279" t="e">
        <f>((AH707)/(AH718))*100</f>
        <v>#DIV/0!</v>
      </c>
      <c r="AI703" s="279" t="e">
        <f>((AI707)/(AI718))*100</f>
        <v>#DIV/0!</v>
      </c>
      <c r="AK703" s="279" t="e">
        <f>((AK707)/(AK718))*100</f>
        <v>#DIV/0!</v>
      </c>
      <c r="AL703" s="279" t="e">
        <f>((AL707)/(AL718))*100</f>
        <v>#DIV/0!</v>
      </c>
      <c r="AN703" s="279" t="e">
        <f>((AN707)/(AN718))*100</f>
        <v>#DIV/0!</v>
      </c>
      <c r="AO703" s="279" t="e">
        <f>((AO707)/(AO718))*100</f>
        <v>#DIV/0!</v>
      </c>
      <c r="AQ703" s="279" t="e">
        <f>((AQ707)/(AQ718))*100</f>
        <v>#DIV/0!</v>
      </c>
      <c r="AR703" s="279" t="e">
        <f>((AR707)/(AR718))*100</f>
        <v>#DIV/0!</v>
      </c>
      <c r="AT703" s="279" t="e">
        <f>((AT707)/(AT718))*100</f>
        <v>#DIV/0!</v>
      </c>
      <c r="AU703" s="279" t="e">
        <f>((AU707)/(AU718))*100</f>
        <v>#DIV/0!</v>
      </c>
      <c r="AW703" s="279" t="e">
        <f>((AW707)/(AW718))*100</f>
        <v>#DIV/0!</v>
      </c>
      <c r="AX703" s="279" t="e">
        <f>((AX707)/(AX718))*100</f>
        <v>#DIV/0!</v>
      </c>
      <c r="AZ703" s="279" t="e">
        <f>((AZ707)/(AZ718))*100</f>
        <v>#DIV/0!</v>
      </c>
      <c r="BA703" s="279" t="e">
        <f>((BA707)/(BA718))*100</f>
        <v>#DIV/0!</v>
      </c>
      <c r="BC703" s="279" t="e">
        <f>((BC707)/(BC718))*100</f>
        <v>#DIV/0!</v>
      </c>
      <c r="BD703" s="279" t="e">
        <f>((BD707)/(BD718))*100</f>
        <v>#DIV/0!</v>
      </c>
      <c r="BF703" s="279" t="e">
        <f>((BF707)/(BF718))*100</f>
        <v>#DIV/0!</v>
      </c>
      <c r="BG703" s="279" t="e">
        <f>((BG707)/(BG718))*100</f>
        <v>#DIV/0!</v>
      </c>
      <c r="BI703" s="279" t="e">
        <f>((BI707)/(BI718))*100</f>
        <v>#DIV/0!</v>
      </c>
      <c r="BJ703" s="279" t="e">
        <f>((BJ707)/(BJ718))*100</f>
        <v>#DIV/0!</v>
      </c>
      <c r="BL703" s="279" t="e">
        <f>((BL707)/(BL718))*100</f>
        <v>#DIV/0!</v>
      </c>
      <c r="BM703" s="279" t="e">
        <f>((BM707)/(BM718))*100</f>
        <v>#DIV/0!</v>
      </c>
      <c r="BO703" s="279" t="e">
        <f>((BO707)/(BO718))*100</f>
        <v>#DIV/0!</v>
      </c>
      <c r="BP703" s="279" t="e">
        <f>((BP707)/(BP718))*100</f>
        <v>#DIV/0!</v>
      </c>
      <c r="BR703" s="279" t="e">
        <f>((BR707)/(BR718))*100</f>
        <v>#DIV/0!</v>
      </c>
      <c r="BS703" s="279" t="e">
        <f>((BS707)/(BS718))*100</f>
        <v>#DIV/0!</v>
      </c>
      <c r="BU703" s="279" t="e">
        <f>((BU707)/(BU718))*100</f>
        <v>#DIV/0!</v>
      </c>
      <c r="BV703" s="279" t="e">
        <f>((BV707)/(BV718))*100</f>
        <v>#DIV/0!</v>
      </c>
      <c r="BX703" s="279" t="e">
        <f>((BX707)/(BX718))*100</f>
        <v>#DIV/0!</v>
      </c>
      <c r="BY703" s="279" t="e">
        <f>((BY707)/(BY718))*100</f>
        <v>#DIV/0!</v>
      </c>
      <c r="CA703" s="279" t="e">
        <f>((CA707)/(CA718))*100</f>
        <v>#DIV/0!</v>
      </c>
      <c r="CB703" s="279" t="e">
        <f>((CB707)/(CB718))*100</f>
        <v>#DIV/0!</v>
      </c>
      <c r="CD703" s="279" t="e">
        <f>((CD707)/(CD718))*100</f>
        <v>#DIV/0!</v>
      </c>
      <c r="CE703" s="279" t="e">
        <f>((CE707)/(CE718))*100</f>
        <v>#DIV/0!</v>
      </c>
      <c r="CG703" s="279" t="e">
        <f>((CG707)/(CG718))*100</f>
        <v>#DIV/0!</v>
      </c>
      <c r="CH703" s="279" t="e">
        <f>((CH707)/(CH718))*100</f>
        <v>#DIV/0!</v>
      </c>
      <c r="CJ703" s="279" t="e">
        <f>((CJ707)/(CJ718))*100</f>
        <v>#DIV/0!</v>
      </c>
      <c r="CK703" s="279" t="e">
        <f>((CK707)/(CK718))*100</f>
        <v>#DIV/0!</v>
      </c>
    </row>
    <row r="704" spans="1:89" ht="30" x14ac:dyDescent="0.25">
      <c r="A704" s="416"/>
      <c r="B704" s="419" t="s">
        <v>220</v>
      </c>
      <c r="C704" s="95" t="s">
        <v>1221</v>
      </c>
      <c r="D704" s="95" t="s">
        <v>1112</v>
      </c>
      <c r="E704" s="291">
        <v>164</v>
      </c>
      <c r="F704" s="291">
        <v>204</v>
      </c>
      <c r="G704" s="291">
        <v>202</v>
      </c>
      <c r="H704" s="291">
        <f t="shared" ref="H704:J705" si="1132">H710</f>
        <v>214</v>
      </c>
      <c r="I704" s="291">
        <f t="shared" si="1132"/>
        <v>215</v>
      </c>
      <c r="J704" s="291">
        <f t="shared" si="1132"/>
        <v>215</v>
      </c>
      <c r="K704" s="291">
        <f>K710</f>
        <v>212</v>
      </c>
      <c r="L704" s="291">
        <f>L710</f>
        <v>0</v>
      </c>
      <c r="M704" s="291">
        <f t="shared" ref="M704:N705" si="1133">M710</f>
        <v>0</v>
      </c>
      <c r="N704" s="291">
        <f t="shared" si="1133"/>
        <v>0</v>
      </c>
      <c r="Q704" s="291">
        <f t="shared" ref="Q704:T705" si="1134">Q710</f>
        <v>212</v>
      </c>
      <c r="R704" s="291">
        <f t="shared" si="1134"/>
        <v>214</v>
      </c>
      <c r="S704" s="291">
        <f t="shared" si="1134"/>
        <v>3</v>
      </c>
      <c r="T704" s="291">
        <f t="shared" si="1134"/>
        <v>4</v>
      </c>
      <c r="V704" s="291">
        <f>V710</f>
        <v>4</v>
      </c>
      <c r="W704" s="291">
        <f>W710</f>
        <v>4</v>
      </c>
      <c r="Y704" s="291">
        <f>Y710</f>
        <v>5</v>
      </c>
      <c r="Z704" s="291">
        <f>Z710</f>
        <v>5</v>
      </c>
      <c r="AB704" s="291">
        <f>AB710</f>
        <v>3</v>
      </c>
      <c r="AC704" s="291">
        <f>AC710</f>
        <v>3</v>
      </c>
      <c r="AE704" s="291">
        <f>AE710</f>
        <v>6</v>
      </c>
      <c r="AF704" s="291">
        <f>AF710</f>
        <v>6</v>
      </c>
      <c r="AH704" s="291">
        <f>AH710</f>
        <v>5</v>
      </c>
      <c r="AI704" s="291">
        <f>AI710</f>
        <v>5</v>
      </c>
      <c r="AK704" s="291">
        <f>AK710</f>
        <v>10</v>
      </c>
      <c r="AL704" s="291">
        <f>AL710</f>
        <v>10</v>
      </c>
      <c r="AN704" s="291">
        <f>AN710</f>
        <v>11</v>
      </c>
      <c r="AO704" s="291">
        <f>AO710</f>
        <v>11</v>
      </c>
      <c r="AQ704" s="291">
        <f>AQ710</f>
        <v>0</v>
      </c>
      <c r="AR704" s="291">
        <f>AR710</f>
        <v>0</v>
      </c>
      <c r="AT704" s="291">
        <f>AT710</f>
        <v>9</v>
      </c>
      <c r="AU704" s="291">
        <f>AU710</f>
        <v>9</v>
      </c>
      <c r="AW704" s="291">
        <f>AW710</f>
        <v>6</v>
      </c>
      <c r="AX704" s="291">
        <f>AX710</f>
        <v>6</v>
      </c>
      <c r="AZ704" s="291">
        <f>AZ710</f>
        <v>7</v>
      </c>
      <c r="BA704" s="291">
        <f>BA710</f>
        <v>7</v>
      </c>
      <c r="BC704" s="291">
        <f>BC710</f>
        <v>15</v>
      </c>
      <c r="BD704" s="291">
        <f>BD710</f>
        <v>15</v>
      </c>
      <c r="BF704" s="291">
        <f>BF710</f>
        <v>33</v>
      </c>
      <c r="BG704" s="291">
        <f>BG710</f>
        <v>34</v>
      </c>
      <c r="BI704" s="291">
        <f>BI710</f>
        <v>37</v>
      </c>
      <c r="BJ704" s="291">
        <f>BJ710</f>
        <v>37</v>
      </c>
      <c r="BL704" s="291">
        <f>BL710</f>
        <v>6</v>
      </c>
      <c r="BM704" s="291">
        <f>BM710</f>
        <v>6</v>
      </c>
      <c r="BO704" s="291">
        <f>BO710</f>
        <v>6</v>
      </c>
      <c r="BP704" s="291">
        <f>BP710</f>
        <v>6</v>
      </c>
      <c r="BR704" s="291">
        <f>BR710</f>
        <v>8</v>
      </c>
      <c r="BS704" s="291">
        <f>BS710</f>
        <v>7</v>
      </c>
      <c r="BU704" s="291">
        <f>BU710</f>
        <v>7</v>
      </c>
      <c r="BV704" s="291">
        <f>BV710</f>
        <v>7</v>
      </c>
      <c r="BX704" s="291">
        <f>BX710</f>
        <v>3</v>
      </c>
      <c r="BY704" s="291">
        <f>BY710</f>
        <v>3</v>
      </c>
      <c r="CA704" s="291">
        <f>CA710</f>
        <v>6</v>
      </c>
      <c r="CB704" s="291">
        <f>CB710</f>
        <v>7</v>
      </c>
      <c r="CD704" s="291">
        <f>CD710</f>
        <v>5</v>
      </c>
      <c r="CE704" s="291">
        <f>CE710</f>
        <v>5</v>
      </c>
      <c r="CG704" s="291">
        <f>CG710</f>
        <v>17</v>
      </c>
      <c r="CH704" s="291">
        <f>CH710</f>
        <v>17</v>
      </c>
      <c r="CJ704" s="291">
        <f>CJ710</f>
        <v>0</v>
      </c>
      <c r="CK704" s="291">
        <f>CK710</f>
        <v>0</v>
      </c>
    </row>
    <row r="705" spans="1:89" ht="30" x14ac:dyDescent="0.25">
      <c r="A705" s="417"/>
      <c r="B705" s="420"/>
      <c r="C705" s="95" t="s">
        <v>1222</v>
      </c>
      <c r="D705" s="95" t="s">
        <v>1112</v>
      </c>
      <c r="E705" s="291">
        <v>13</v>
      </c>
      <c r="F705" s="291">
        <v>30</v>
      </c>
      <c r="G705" s="291">
        <v>34</v>
      </c>
      <c r="H705" s="291">
        <f t="shared" si="1132"/>
        <v>56</v>
      </c>
      <c r="I705" s="291">
        <f t="shared" si="1132"/>
        <v>60</v>
      </c>
      <c r="J705" s="291">
        <f t="shared" si="1132"/>
        <v>65</v>
      </c>
      <c r="K705" s="291">
        <f>K711</f>
        <v>82</v>
      </c>
      <c r="L705" s="291">
        <f>L711</f>
        <v>0</v>
      </c>
      <c r="M705" s="291">
        <f t="shared" si="1133"/>
        <v>0</v>
      </c>
      <c r="N705" s="291">
        <f t="shared" si="1133"/>
        <v>0</v>
      </c>
      <c r="Q705" s="291">
        <f t="shared" si="1134"/>
        <v>82</v>
      </c>
      <c r="R705" s="291">
        <f t="shared" si="1134"/>
        <v>89</v>
      </c>
      <c r="S705" s="291">
        <f t="shared" si="1134"/>
        <v>7</v>
      </c>
      <c r="T705" s="291">
        <f t="shared" si="1134"/>
        <v>7</v>
      </c>
      <c r="V705" s="291">
        <f>V711</f>
        <v>7</v>
      </c>
      <c r="W705" s="291">
        <f>W711</f>
        <v>8</v>
      </c>
      <c r="Y705" s="291">
        <f>Y711</f>
        <v>7</v>
      </c>
      <c r="Z705" s="291">
        <f>Z711</f>
        <v>9</v>
      </c>
      <c r="AB705" s="291">
        <f>AB711</f>
        <v>10</v>
      </c>
      <c r="AC705" s="291">
        <f>AC711</f>
        <v>10</v>
      </c>
      <c r="AE705" s="291">
        <f>AE711</f>
        <v>8</v>
      </c>
      <c r="AF705" s="291">
        <f>AF711</f>
        <v>9</v>
      </c>
      <c r="AH705" s="291">
        <f>AH711</f>
        <v>10</v>
      </c>
      <c r="AI705" s="291">
        <f>AI711</f>
        <v>11</v>
      </c>
      <c r="AK705" s="291">
        <f>AK711</f>
        <v>1</v>
      </c>
      <c r="AL705" s="291">
        <f>AL711</f>
        <v>1</v>
      </c>
      <c r="AN705" s="291">
        <f>AN711</f>
        <v>7</v>
      </c>
      <c r="AO705" s="291">
        <f>AO711</f>
        <v>7</v>
      </c>
      <c r="AQ705" s="291">
        <f>AQ711</f>
        <v>21</v>
      </c>
      <c r="AR705" s="291">
        <f>AR711</f>
        <v>23</v>
      </c>
      <c r="AT705" s="291">
        <f>AT711</f>
        <v>0</v>
      </c>
      <c r="AU705" s="291">
        <f>AU711</f>
        <v>0</v>
      </c>
      <c r="AW705" s="291">
        <f>AW711</f>
        <v>0</v>
      </c>
      <c r="AX705" s="291">
        <f>AX711</f>
        <v>0</v>
      </c>
      <c r="AZ705" s="291">
        <f>AZ711</f>
        <v>0</v>
      </c>
      <c r="BA705" s="291">
        <f>BA711</f>
        <v>0</v>
      </c>
      <c r="BC705" s="291">
        <f>BC711</f>
        <v>0</v>
      </c>
      <c r="BD705" s="291">
        <f>BD711</f>
        <v>0</v>
      </c>
      <c r="BF705" s="291">
        <f>BF711</f>
        <v>0</v>
      </c>
      <c r="BG705" s="291">
        <f>BG711</f>
        <v>0</v>
      </c>
      <c r="BI705" s="291">
        <f>BI711</f>
        <v>0</v>
      </c>
      <c r="BJ705" s="291">
        <f>BJ711</f>
        <v>0</v>
      </c>
      <c r="BL705" s="291">
        <f>BL711</f>
        <v>0</v>
      </c>
      <c r="BM705" s="291">
        <f>BM711</f>
        <v>0</v>
      </c>
      <c r="BO705" s="291">
        <f>BO711</f>
        <v>0</v>
      </c>
      <c r="BP705" s="291">
        <f>BP711</f>
        <v>0</v>
      </c>
      <c r="BR705" s="291">
        <f>BR711</f>
        <v>0</v>
      </c>
      <c r="BS705" s="291">
        <f>BS711</f>
        <v>0</v>
      </c>
      <c r="BU705" s="291">
        <f>BU711</f>
        <v>0</v>
      </c>
      <c r="BV705" s="291">
        <f>BV711</f>
        <v>0</v>
      </c>
      <c r="BX705" s="291">
        <f>BX711</f>
        <v>0</v>
      </c>
      <c r="BY705" s="291">
        <f>BY711</f>
        <v>0</v>
      </c>
      <c r="CA705" s="291">
        <f>CA711</f>
        <v>0</v>
      </c>
      <c r="CB705" s="291">
        <f>CB711</f>
        <v>0</v>
      </c>
      <c r="CD705" s="291">
        <f>CD711</f>
        <v>0</v>
      </c>
      <c r="CE705" s="291">
        <f>CE711</f>
        <v>0</v>
      </c>
      <c r="CG705" s="291">
        <f>CG711</f>
        <v>4</v>
      </c>
      <c r="CH705" s="291">
        <f>CH711</f>
        <v>4</v>
      </c>
      <c r="CJ705" s="291">
        <f>CJ711</f>
        <v>0</v>
      </c>
      <c r="CK705" s="291">
        <f>CK711</f>
        <v>0</v>
      </c>
    </row>
    <row r="706" spans="1:89" ht="30" x14ac:dyDescent="0.25">
      <c r="A706" s="417"/>
      <c r="B706" s="420"/>
      <c r="C706" s="95" t="s">
        <v>1223</v>
      </c>
      <c r="D706" s="95" t="s">
        <v>1112</v>
      </c>
      <c r="E706" s="291">
        <v>2</v>
      </c>
      <c r="F706" s="291">
        <v>4</v>
      </c>
      <c r="G706" s="291">
        <v>5</v>
      </c>
      <c r="H706" s="291">
        <f t="shared" ref="H706:J707" si="1135">H713</f>
        <v>4</v>
      </c>
      <c r="I706" s="291">
        <f t="shared" si="1135"/>
        <v>4</v>
      </c>
      <c r="J706" s="291">
        <f t="shared" si="1135"/>
        <v>4</v>
      </c>
      <c r="K706" s="291">
        <f>K713</f>
        <v>4</v>
      </c>
      <c r="L706" s="291">
        <f>L713</f>
        <v>0</v>
      </c>
      <c r="M706" s="291">
        <f t="shared" ref="M706:N707" si="1136">M713</f>
        <v>0</v>
      </c>
      <c r="N706" s="291">
        <f t="shared" si="1136"/>
        <v>0</v>
      </c>
      <c r="Q706" s="291">
        <f t="shared" ref="Q706:T707" si="1137">Q713</f>
        <v>4</v>
      </c>
      <c r="R706" s="291">
        <f t="shared" si="1137"/>
        <v>4</v>
      </c>
      <c r="S706" s="291">
        <f t="shared" si="1137"/>
        <v>0</v>
      </c>
      <c r="T706" s="291">
        <f t="shared" si="1137"/>
        <v>0</v>
      </c>
      <c r="V706" s="291">
        <f>V713</f>
        <v>0</v>
      </c>
      <c r="W706" s="291">
        <f>W713</f>
        <v>0</v>
      </c>
      <c r="Y706" s="291">
        <f>Y713</f>
        <v>0</v>
      </c>
      <c r="Z706" s="291">
        <f>Z713</f>
        <v>0</v>
      </c>
      <c r="AB706" s="291">
        <f>AB713</f>
        <v>0</v>
      </c>
      <c r="AC706" s="291">
        <f>AC713</f>
        <v>0</v>
      </c>
      <c r="AE706" s="291">
        <f>AE713</f>
        <v>0</v>
      </c>
      <c r="AF706" s="291">
        <f>AF713</f>
        <v>0</v>
      </c>
      <c r="AH706" s="291">
        <f>AH713</f>
        <v>0</v>
      </c>
      <c r="AI706" s="291">
        <f>AI713</f>
        <v>0</v>
      </c>
      <c r="AK706" s="291">
        <f>AK713</f>
        <v>0</v>
      </c>
      <c r="AL706" s="291">
        <f>AL713</f>
        <v>0</v>
      </c>
      <c r="AN706" s="291">
        <f>AN713</f>
        <v>0</v>
      </c>
      <c r="AO706" s="291">
        <f>AO713</f>
        <v>0</v>
      </c>
      <c r="AQ706" s="291">
        <f>AQ713</f>
        <v>0</v>
      </c>
      <c r="AR706" s="291">
        <f>AR713</f>
        <v>0</v>
      </c>
      <c r="AT706" s="291">
        <f>AT713</f>
        <v>0</v>
      </c>
      <c r="AU706" s="291">
        <f>AU713</f>
        <v>0</v>
      </c>
      <c r="AW706" s="291">
        <f>AW713</f>
        <v>0</v>
      </c>
      <c r="AX706" s="291">
        <f>AX713</f>
        <v>0</v>
      </c>
      <c r="AZ706" s="291">
        <f>AZ713</f>
        <v>0</v>
      </c>
      <c r="BA706" s="291">
        <f>BA713</f>
        <v>0</v>
      </c>
      <c r="BC706" s="291">
        <f>BC713</f>
        <v>1</v>
      </c>
      <c r="BD706" s="291">
        <f>BD713</f>
        <v>1</v>
      </c>
      <c r="BF706" s="291">
        <f>BF713</f>
        <v>1</v>
      </c>
      <c r="BG706" s="291">
        <f>BG713</f>
        <v>1</v>
      </c>
      <c r="BI706" s="291">
        <f>BI713</f>
        <v>1</v>
      </c>
      <c r="BJ706" s="291">
        <f>BJ713</f>
        <v>1</v>
      </c>
      <c r="BL706" s="291">
        <f>BL713</f>
        <v>0</v>
      </c>
      <c r="BM706" s="291">
        <f>BM713</f>
        <v>0</v>
      </c>
      <c r="BO706" s="291">
        <f>BO713</f>
        <v>0</v>
      </c>
      <c r="BP706" s="291">
        <f>BP713</f>
        <v>0</v>
      </c>
      <c r="BR706" s="291">
        <f>BR713</f>
        <v>0</v>
      </c>
      <c r="BS706" s="291">
        <f>BS713</f>
        <v>0</v>
      </c>
      <c r="BU706" s="291">
        <f>BU713</f>
        <v>0</v>
      </c>
      <c r="BV706" s="291">
        <f>BV713</f>
        <v>0</v>
      </c>
      <c r="BX706" s="291">
        <f>BX713</f>
        <v>0</v>
      </c>
      <c r="BY706" s="291">
        <f>BY713</f>
        <v>0</v>
      </c>
      <c r="CA706" s="291">
        <f>CA713</f>
        <v>0</v>
      </c>
      <c r="CB706" s="291">
        <f>CB713</f>
        <v>0</v>
      </c>
      <c r="CD706" s="291">
        <f>CD713</f>
        <v>1</v>
      </c>
      <c r="CE706" s="291">
        <f>CE713</f>
        <v>1</v>
      </c>
      <c r="CG706" s="291">
        <f>CG713</f>
        <v>0</v>
      </c>
      <c r="CH706" s="291">
        <f>CH713</f>
        <v>0</v>
      </c>
      <c r="CJ706" s="291">
        <f>CJ713</f>
        <v>0</v>
      </c>
      <c r="CK706" s="291">
        <f>CK713</f>
        <v>0</v>
      </c>
    </row>
    <row r="707" spans="1:89" ht="30" x14ac:dyDescent="0.25">
      <c r="A707" s="418"/>
      <c r="B707" s="421"/>
      <c r="C707" s="95" t="s">
        <v>1224</v>
      </c>
      <c r="D707" s="95" t="s">
        <v>1112</v>
      </c>
      <c r="E707" s="291">
        <v>0</v>
      </c>
      <c r="F707" s="291">
        <v>0</v>
      </c>
      <c r="G707" s="291">
        <v>0</v>
      </c>
      <c r="H707" s="291">
        <f t="shared" si="1135"/>
        <v>0</v>
      </c>
      <c r="I707" s="291">
        <f t="shared" si="1135"/>
        <v>0</v>
      </c>
      <c r="J707" s="291">
        <f t="shared" si="1135"/>
        <v>0</v>
      </c>
      <c r="K707" s="291">
        <f>K714</f>
        <v>0</v>
      </c>
      <c r="L707" s="291">
        <f>L714</f>
        <v>0</v>
      </c>
      <c r="M707" s="291">
        <f t="shared" si="1136"/>
        <v>0</v>
      </c>
      <c r="N707" s="291">
        <f t="shared" si="1136"/>
        <v>0</v>
      </c>
      <c r="Q707" s="291">
        <f t="shared" si="1137"/>
        <v>0</v>
      </c>
      <c r="R707" s="291">
        <f t="shared" si="1137"/>
        <v>0</v>
      </c>
      <c r="S707" s="291">
        <f t="shared" si="1137"/>
        <v>0</v>
      </c>
      <c r="T707" s="291">
        <f t="shared" si="1137"/>
        <v>0</v>
      </c>
      <c r="V707" s="291">
        <f>V714</f>
        <v>0</v>
      </c>
      <c r="W707" s="291">
        <f>W714</f>
        <v>0</v>
      </c>
      <c r="Y707" s="291">
        <f>Y714</f>
        <v>0</v>
      </c>
      <c r="Z707" s="291">
        <f>Z714</f>
        <v>0</v>
      </c>
      <c r="AB707" s="291">
        <f>AB714</f>
        <v>0</v>
      </c>
      <c r="AC707" s="291">
        <f>AC714</f>
        <v>0</v>
      </c>
      <c r="AE707" s="291">
        <f>AE714</f>
        <v>0</v>
      </c>
      <c r="AF707" s="291">
        <f>AF714</f>
        <v>0</v>
      </c>
      <c r="AH707" s="291">
        <f>AH714</f>
        <v>0</v>
      </c>
      <c r="AI707" s="291">
        <f>AI714</f>
        <v>0</v>
      </c>
      <c r="AK707" s="291">
        <f>AK714</f>
        <v>0</v>
      </c>
      <c r="AL707" s="291">
        <f>AL714</f>
        <v>0</v>
      </c>
      <c r="AN707" s="291">
        <f>AN714</f>
        <v>0</v>
      </c>
      <c r="AO707" s="291">
        <f>AO714</f>
        <v>0</v>
      </c>
      <c r="AQ707" s="291">
        <f>AQ714</f>
        <v>0</v>
      </c>
      <c r="AR707" s="291">
        <f>AR714</f>
        <v>0</v>
      </c>
      <c r="AT707" s="291">
        <f>AT714</f>
        <v>0</v>
      </c>
      <c r="AU707" s="291">
        <f>AU714</f>
        <v>0</v>
      </c>
      <c r="AW707" s="291">
        <f>AW714</f>
        <v>0</v>
      </c>
      <c r="AX707" s="291">
        <f>AX714</f>
        <v>0</v>
      </c>
      <c r="AZ707" s="291">
        <f>AZ714</f>
        <v>0</v>
      </c>
      <c r="BA707" s="291">
        <f>BA714</f>
        <v>0</v>
      </c>
      <c r="BC707" s="291">
        <f>BC714</f>
        <v>0</v>
      </c>
      <c r="BD707" s="291">
        <f>BD714</f>
        <v>0</v>
      </c>
      <c r="BF707" s="291">
        <f>BF714</f>
        <v>0</v>
      </c>
      <c r="BG707" s="291">
        <f>BG714</f>
        <v>0</v>
      </c>
      <c r="BI707" s="291">
        <f>BI714</f>
        <v>0</v>
      </c>
      <c r="BJ707" s="291">
        <f>BJ714</f>
        <v>0</v>
      </c>
      <c r="BL707" s="291">
        <f>BL714</f>
        <v>0</v>
      </c>
      <c r="BM707" s="291">
        <f>BM714</f>
        <v>0</v>
      </c>
      <c r="BO707" s="291">
        <f>BO714</f>
        <v>0</v>
      </c>
      <c r="BP707" s="291">
        <f>BP714</f>
        <v>0</v>
      </c>
      <c r="BR707" s="291">
        <f>BR714</f>
        <v>0</v>
      </c>
      <c r="BS707" s="291">
        <f>BS714</f>
        <v>0</v>
      </c>
      <c r="BU707" s="291">
        <f>BU714</f>
        <v>0</v>
      </c>
      <c r="BV707" s="291">
        <f>BV714</f>
        <v>0</v>
      </c>
      <c r="BX707" s="291">
        <f>BX714</f>
        <v>0</v>
      </c>
      <c r="BY707" s="291">
        <f>BY714</f>
        <v>0</v>
      </c>
      <c r="CA707" s="291">
        <f>CA714</f>
        <v>0</v>
      </c>
      <c r="CB707" s="291">
        <f>CB714</f>
        <v>0</v>
      </c>
      <c r="CD707" s="291">
        <f>CD714</f>
        <v>0</v>
      </c>
      <c r="CE707" s="291">
        <f>CE714</f>
        <v>0</v>
      </c>
      <c r="CG707" s="291">
        <f>CG714</f>
        <v>0</v>
      </c>
      <c r="CH707" s="291">
        <f>CH714</f>
        <v>0</v>
      </c>
      <c r="CJ707" s="291">
        <f>CJ714</f>
        <v>0</v>
      </c>
      <c r="CK707" s="291">
        <f>CK714</f>
        <v>0</v>
      </c>
    </row>
    <row r="708" spans="1:89" ht="45" x14ac:dyDescent="0.25">
      <c r="A708" s="107"/>
      <c r="B708" s="16" t="s">
        <v>221</v>
      </c>
      <c r="C708" s="95" t="s">
        <v>222</v>
      </c>
      <c r="D708" s="95" t="s">
        <v>1112</v>
      </c>
      <c r="E708" s="291">
        <v>3</v>
      </c>
      <c r="F708" s="291">
        <v>2</v>
      </c>
      <c r="G708" s="291">
        <v>1</v>
      </c>
      <c r="H708" s="291">
        <v>0</v>
      </c>
      <c r="I708" s="291">
        <v>0</v>
      </c>
      <c r="J708" s="291">
        <v>0</v>
      </c>
      <c r="K708" s="291">
        <v>0</v>
      </c>
      <c r="L708" s="291">
        <v>0</v>
      </c>
      <c r="M708" s="291">
        <v>0</v>
      </c>
      <c r="N708" s="291">
        <v>0</v>
      </c>
      <c r="Q708" s="291">
        <v>0</v>
      </c>
      <c r="R708" s="291">
        <v>0</v>
      </c>
      <c r="S708" s="291">
        <v>0</v>
      </c>
      <c r="T708" s="291">
        <v>0</v>
      </c>
      <c r="V708" s="291">
        <v>0</v>
      </c>
      <c r="W708" s="291">
        <v>0</v>
      </c>
      <c r="Y708" s="291">
        <v>0</v>
      </c>
      <c r="Z708" s="291">
        <v>0</v>
      </c>
      <c r="AB708" s="291">
        <v>0</v>
      </c>
      <c r="AC708" s="291">
        <v>0</v>
      </c>
      <c r="AE708" s="291">
        <v>0</v>
      </c>
      <c r="AF708" s="291">
        <v>0</v>
      </c>
      <c r="AH708" s="291">
        <v>0</v>
      </c>
      <c r="AI708" s="291">
        <v>0</v>
      </c>
      <c r="AK708" s="291">
        <v>0</v>
      </c>
      <c r="AL708" s="291">
        <v>0</v>
      </c>
      <c r="AN708" s="291">
        <v>0</v>
      </c>
      <c r="AO708" s="291">
        <v>0</v>
      </c>
      <c r="AQ708" s="291">
        <v>0</v>
      </c>
      <c r="AR708" s="291">
        <v>0</v>
      </c>
      <c r="AT708" s="291">
        <v>0</v>
      </c>
      <c r="AU708" s="291">
        <v>0</v>
      </c>
      <c r="AW708" s="291">
        <v>0</v>
      </c>
      <c r="AX708" s="291">
        <v>0</v>
      </c>
      <c r="AZ708" s="291">
        <v>0</v>
      </c>
      <c r="BA708" s="291">
        <v>0</v>
      </c>
      <c r="BC708" s="291">
        <v>0</v>
      </c>
      <c r="BD708" s="291">
        <v>0</v>
      </c>
      <c r="BF708" s="291">
        <v>0</v>
      </c>
      <c r="BG708" s="291">
        <v>0</v>
      </c>
      <c r="BI708" s="291">
        <v>0</v>
      </c>
      <c r="BJ708" s="291">
        <v>0</v>
      </c>
      <c r="BL708" s="291">
        <v>0</v>
      </c>
      <c r="BM708" s="291">
        <v>0</v>
      </c>
      <c r="BO708" s="291">
        <v>0</v>
      </c>
      <c r="BP708" s="291">
        <v>0</v>
      </c>
      <c r="BR708" s="291">
        <v>0</v>
      </c>
      <c r="BS708" s="291">
        <v>0</v>
      </c>
      <c r="BU708" s="291">
        <v>0</v>
      </c>
      <c r="BV708" s="291">
        <v>0</v>
      </c>
      <c r="BX708" s="291">
        <v>0</v>
      </c>
      <c r="BY708" s="291">
        <v>0</v>
      </c>
      <c r="CA708" s="291">
        <v>0</v>
      </c>
      <c r="CB708" s="291">
        <v>0</v>
      </c>
      <c r="CD708" s="291">
        <v>0</v>
      </c>
      <c r="CE708" s="291">
        <v>0</v>
      </c>
      <c r="CG708" s="291">
        <v>0</v>
      </c>
      <c r="CH708" s="291">
        <v>0</v>
      </c>
      <c r="CJ708" s="291">
        <v>0</v>
      </c>
      <c r="CK708" s="291">
        <v>0</v>
      </c>
    </row>
    <row r="709" spans="1:89" x14ac:dyDescent="0.25">
      <c r="A709" s="265"/>
      <c r="B709" s="262" t="s">
        <v>1182</v>
      </c>
      <c r="C709" s="95"/>
      <c r="D709" s="95"/>
      <c r="E709" s="291"/>
      <c r="F709" s="291"/>
      <c r="G709" s="291"/>
      <c r="H709" s="291">
        <f>H710+H711</f>
        <v>270</v>
      </c>
      <c r="I709" s="291">
        <f>I710+I711</f>
        <v>275</v>
      </c>
      <c r="J709" s="291">
        <f>J710+J711</f>
        <v>280</v>
      </c>
      <c r="K709" s="291">
        <f>K710+K711</f>
        <v>294</v>
      </c>
      <c r="L709" s="291">
        <f>L710+L711</f>
        <v>0</v>
      </c>
      <c r="M709" s="291">
        <f t="shared" ref="M709:N709" si="1138">M710+M711</f>
        <v>0</v>
      </c>
      <c r="N709" s="291">
        <f t="shared" si="1138"/>
        <v>0</v>
      </c>
      <c r="Q709" s="291">
        <f>Q710+Q711</f>
        <v>294</v>
      </c>
      <c r="R709" s="291">
        <f>R710+R711</f>
        <v>303</v>
      </c>
      <c r="S709" s="291">
        <f>S710+S711</f>
        <v>10</v>
      </c>
      <c r="T709" s="291">
        <f>T710+T711</f>
        <v>11</v>
      </c>
      <c r="V709" s="291">
        <f>V710+V711</f>
        <v>11</v>
      </c>
      <c r="W709" s="291">
        <f>W710+W711</f>
        <v>12</v>
      </c>
      <c r="Y709" s="291">
        <f>Y710+Y711</f>
        <v>12</v>
      </c>
      <c r="Z709" s="291">
        <f>Z710+Z711</f>
        <v>14</v>
      </c>
      <c r="AB709" s="291">
        <f>AB710+AB711</f>
        <v>13</v>
      </c>
      <c r="AC709" s="291">
        <f>AC710+AC711</f>
        <v>13</v>
      </c>
      <c r="AE709" s="291">
        <f>AE710+AE711</f>
        <v>14</v>
      </c>
      <c r="AF709" s="291">
        <f>AF710+AF711</f>
        <v>15</v>
      </c>
      <c r="AH709" s="291">
        <f>AH710+AH711</f>
        <v>15</v>
      </c>
      <c r="AI709" s="291">
        <f>AI710+AI711</f>
        <v>16</v>
      </c>
      <c r="AK709" s="291">
        <f>AK710+AK711</f>
        <v>11</v>
      </c>
      <c r="AL709" s="291">
        <f>AL710+AL711</f>
        <v>11</v>
      </c>
      <c r="AN709" s="291">
        <f>AN710+AN711</f>
        <v>18</v>
      </c>
      <c r="AO709" s="291">
        <f>AO710+AO711</f>
        <v>18</v>
      </c>
      <c r="AQ709" s="291">
        <f>AQ710+AQ711</f>
        <v>21</v>
      </c>
      <c r="AR709" s="291">
        <f>AR710+AR711</f>
        <v>23</v>
      </c>
      <c r="AT709" s="291">
        <f>AT710+AT711</f>
        <v>9</v>
      </c>
      <c r="AU709" s="291">
        <f>AU710+AU711</f>
        <v>9</v>
      </c>
      <c r="AW709" s="291">
        <f>AW710+AW711</f>
        <v>6</v>
      </c>
      <c r="AX709" s="291">
        <f>AX710+AX711</f>
        <v>6</v>
      </c>
      <c r="AZ709" s="291">
        <f>AZ710+AZ711</f>
        <v>7</v>
      </c>
      <c r="BA709" s="291">
        <f>BA710+BA711</f>
        <v>7</v>
      </c>
      <c r="BC709" s="291">
        <f>BC710+BC711</f>
        <v>15</v>
      </c>
      <c r="BD709" s="291">
        <f>BD710+BD711</f>
        <v>15</v>
      </c>
      <c r="BF709" s="291">
        <f>BF710+BF711</f>
        <v>33</v>
      </c>
      <c r="BG709" s="291">
        <f>BG710+BG711</f>
        <v>34</v>
      </c>
      <c r="BI709" s="291">
        <f>BI710+BI711</f>
        <v>37</v>
      </c>
      <c r="BJ709" s="291">
        <f>BJ710+BJ711</f>
        <v>37</v>
      </c>
      <c r="BL709" s="291">
        <f>BL710+BL711</f>
        <v>6</v>
      </c>
      <c r="BM709" s="291">
        <f>BM710+BM711</f>
        <v>6</v>
      </c>
      <c r="BO709" s="291">
        <f>BO710+BO711</f>
        <v>6</v>
      </c>
      <c r="BP709" s="291">
        <f>BP710+BP711</f>
        <v>6</v>
      </c>
      <c r="BR709" s="291">
        <f>BR710+BR711</f>
        <v>8</v>
      </c>
      <c r="BS709" s="291">
        <f>BS710+BS711</f>
        <v>7</v>
      </c>
      <c r="BU709" s="291">
        <f>BU710+BU711</f>
        <v>7</v>
      </c>
      <c r="BV709" s="291">
        <f>BV710+BV711</f>
        <v>7</v>
      </c>
      <c r="BX709" s="291">
        <f>BX710+BX711</f>
        <v>3</v>
      </c>
      <c r="BY709" s="291">
        <f>BY710+BY711</f>
        <v>3</v>
      </c>
      <c r="CA709" s="291">
        <f>CA710+CA711</f>
        <v>6</v>
      </c>
      <c r="CB709" s="291">
        <f>CB710+CB711</f>
        <v>7</v>
      </c>
      <c r="CD709" s="291">
        <f>CD710+CD711</f>
        <v>5</v>
      </c>
      <c r="CE709" s="291">
        <f>CE710+CE711</f>
        <v>5</v>
      </c>
      <c r="CG709" s="291">
        <f>CG710+CG711</f>
        <v>21</v>
      </c>
      <c r="CH709" s="291">
        <f>CH710+CH711</f>
        <v>21</v>
      </c>
      <c r="CJ709" s="291">
        <f>CJ710+CJ711</f>
        <v>0</v>
      </c>
      <c r="CK709" s="291">
        <f>CK710+CK711</f>
        <v>0</v>
      </c>
    </row>
    <row r="710" spans="1:89" ht="60" x14ac:dyDescent="0.25">
      <c r="A710" s="265"/>
      <c r="B710" s="312"/>
      <c r="C710" s="312" t="s">
        <v>2754</v>
      </c>
      <c r="D710" s="95"/>
      <c r="E710" s="291"/>
      <c r="F710" s="291"/>
      <c r="G710" s="291"/>
      <c r="H710" s="291">
        <v>214</v>
      </c>
      <c r="I710" s="291">
        <v>215</v>
      </c>
      <c r="J710" s="291">
        <v>215</v>
      </c>
      <c r="K710" s="291">
        <v>212</v>
      </c>
      <c r="L710" s="291">
        <v>0</v>
      </c>
      <c r="M710" s="291">
        <v>0</v>
      </c>
      <c r="N710" s="291">
        <v>0</v>
      </c>
      <c r="Q710" s="283">
        <f>S710+V710+Y710+AB710+AE710+AH710+AK710+AN710+AQ710+AT710+AW710+AZ710+BC710+BF710+BI710+BL710+BO710+BR710+BU710+BX710+CA710+CD710+CG710+CJ710</f>
        <v>212</v>
      </c>
      <c r="R710" s="283">
        <f>T710+W710+Z710+AC710+AF710+AI710+AL710+AO710+AR710+AU710+AX710+BA710+BD710+BG710+BJ710+BM710+BP710+BS710+BV710+BY710+CB710+CE710+CH710+CK710</f>
        <v>214</v>
      </c>
      <c r="S710" s="267">
        <v>3</v>
      </c>
      <c r="T710" s="267">
        <v>4</v>
      </c>
      <c r="V710" s="267">
        <v>4</v>
      </c>
      <c r="W710" s="267">
        <v>4</v>
      </c>
      <c r="Y710" s="267">
        <v>5</v>
      </c>
      <c r="Z710" s="267">
        <v>5</v>
      </c>
      <c r="AB710" s="267">
        <v>3</v>
      </c>
      <c r="AC710" s="267">
        <v>3</v>
      </c>
      <c r="AE710" s="267">
        <v>6</v>
      </c>
      <c r="AF710" s="267">
        <v>6</v>
      </c>
      <c r="AH710" s="267">
        <v>5</v>
      </c>
      <c r="AI710" s="267">
        <v>5</v>
      </c>
      <c r="AK710" s="267">
        <v>10</v>
      </c>
      <c r="AL710" s="267">
        <v>10</v>
      </c>
      <c r="AN710" s="267">
        <v>11</v>
      </c>
      <c r="AO710" s="267">
        <v>11</v>
      </c>
      <c r="AQ710" s="267">
        <v>0</v>
      </c>
      <c r="AR710" s="267">
        <v>0</v>
      </c>
      <c r="AT710" s="267">
        <v>9</v>
      </c>
      <c r="AU710" s="267">
        <v>9</v>
      </c>
      <c r="AW710" s="267">
        <v>6</v>
      </c>
      <c r="AX710" s="267">
        <v>6</v>
      </c>
      <c r="AZ710" s="267">
        <v>7</v>
      </c>
      <c r="BA710" s="267">
        <v>7</v>
      </c>
      <c r="BC710" s="267">
        <v>15</v>
      </c>
      <c r="BD710" s="267">
        <v>15</v>
      </c>
      <c r="BF710" s="267">
        <v>33</v>
      </c>
      <c r="BG710" s="267">
        <v>34</v>
      </c>
      <c r="BI710" s="267">
        <v>37</v>
      </c>
      <c r="BJ710" s="267">
        <v>37</v>
      </c>
      <c r="BL710" s="267">
        <v>6</v>
      </c>
      <c r="BM710" s="267">
        <v>6</v>
      </c>
      <c r="BO710" s="267">
        <v>6</v>
      </c>
      <c r="BP710" s="267">
        <v>6</v>
      </c>
      <c r="BR710" s="267">
        <v>8</v>
      </c>
      <c r="BS710" s="267">
        <v>7</v>
      </c>
      <c r="BU710" s="267">
        <v>7</v>
      </c>
      <c r="BV710" s="267">
        <v>7</v>
      </c>
      <c r="BX710" s="267">
        <v>3</v>
      </c>
      <c r="BY710" s="267">
        <v>3</v>
      </c>
      <c r="CA710" s="267">
        <v>6</v>
      </c>
      <c r="CB710" s="267">
        <v>7</v>
      </c>
      <c r="CD710" s="267">
        <v>5</v>
      </c>
      <c r="CE710" s="267">
        <v>5</v>
      </c>
      <c r="CG710" s="267">
        <v>17</v>
      </c>
      <c r="CH710" s="267">
        <v>17</v>
      </c>
      <c r="CJ710" s="267">
        <v>0</v>
      </c>
      <c r="CK710" s="267">
        <v>0</v>
      </c>
    </row>
    <row r="711" spans="1:89" ht="60" x14ac:dyDescent="0.25">
      <c r="A711" s="265"/>
      <c r="B711" s="312"/>
      <c r="C711" s="312" t="s">
        <v>2754</v>
      </c>
      <c r="D711" s="95"/>
      <c r="E711" s="291"/>
      <c r="F711" s="291"/>
      <c r="G711" s="291"/>
      <c r="H711" s="291">
        <v>56</v>
      </c>
      <c r="I711" s="291">
        <v>60</v>
      </c>
      <c r="J711" s="291">
        <v>65</v>
      </c>
      <c r="K711" s="291">
        <v>82</v>
      </c>
      <c r="L711" s="291">
        <v>0</v>
      </c>
      <c r="M711" s="291">
        <v>0</v>
      </c>
      <c r="N711" s="291">
        <v>0</v>
      </c>
      <c r="Q711" s="283">
        <f>S711+V711+Y711+AB711+AE711+AH711+AK711+AN711+AQ711+AT711+AW711+AZ711+BC711+BF711+BI711+BL711+BO711+BR711+BU711+BX711+CA711+CD711+CG711+CJ711</f>
        <v>82</v>
      </c>
      <c r="R711" s="283">
        <f>T711+W711+Z711+AC711+AF711+AI711+AL711+AO711+AR711+AU711+AX711+BA711+BD711+BG711+BJ711+BM711+BP711+BS711+BV711+BY711+CB711+CE711+CH711+CK711</f>
        <v>89</v>
      </c>
      <c r="S711" s="267">
        <v>7</v>
      </c>
      <c r="T711" s="267">
        <v>7</v>
      </c>
      <c r="V711" s="267">
        <v>7</v>
      </c>
      <c r="W711" s="267">
        <v>8</v>
      </c>
      <c r="Y711" s="267">
        <v>7</v>
      </c>
      <c r="Z711" s="267">
        <v>9</v>
      </c>
      <c r="AB711" s="267">
        <v>10</v>
      </c>
      <c r="AC711" s="267">
        <v>10</v>
      </c>
      <c r="AE711" s="267">
        <v>8</v>
      </c>
      <c r="AF711" s="267">
        <v>9</v>
      </c>
      <c r="AH711" s="267">
        <v>10</v>
      </c>
      <c r="AI711" s="267">
        <v>11</v>
      </c>
      <c r="AK711" s="267">
        <v>1</v>
      </c>
      <c r="AL711" s="267">
        <v>1</v>
      </c>
      <c r="AN711" s="267">
        <v>7</v>
      </c>
      <c r="AO711" s="267">
        <v>7</v>
      </c>
      <c r="AQ711" s="267">
        <v>21</v>
      </c>
      <c r="AR711" s="267">
        <v>23</v>
      </c>
      <c r="AT711" s="267">
        <v>0</v>
      </c>
      <c r="AU711" s="267">
        <v>0</v>
      </c>
      <c r="AW711" s="267">
        <v>0</v>
      </c>
      <c r="AX711" s="267">
        <v>0</v>
      </c>
      <c r="AZ711" s="267">
        <v>0</v>
      </c>
      <c r="BA711" s="267">
        <v>0</v>
      </c>
      <c r="BC711" s="267">
        <v>0</v>
      </c>
      <c r="BD711" s="267">
        <v>0</v>
      </c>
      <c r="BF711" s="267">
        <v>0</v>
      </c>
      <c r="BG711" s="267">
        <v>0</v>
      </c>
      <c r="BI711" s="267">
        <v>0</v>
      </c>
      <c r="BJ711" s="267">
        <v>0</v>
      </c>
      <c r="BL711" s="267">
        <v>0</v>
      </c>
      <c r="BM711" s="267">
        <v>0</v>
      </c>
      <c r="BO711" s="267">
        <v>0</v>
      </c>
      <c r="BP711" s="267">
        <v>0</v>
      </c>
      <c r="BR711" s="267">
        <v>0</v>
      </c>
      <c r="BS711" s="267">
        <v>0</v>
      </c>
      <c r="BU711" s="267">
        <v>0</v>
      </c>
      <c r="BV711" s="267">
        <v>0</v>
      </c>
      <c r="BX711" s="267">
        <v>0</v>
      </c>
      <c r="BY711" s="267">
        <v>0</v>
      </c>
      <c r="CA711" s="267">
        <v>0</v>
      </c>
      <c r="CB711" s="267">
        <v>0</v>
      </c>
      <c r="CD711" s="267">
        <v>0</v>
      </c>
      <c r="CE711" s="267">
        <v>0</v>
      </c>
      <c r="CG711" s="267">
        <v>4</v>
      </c>
      <c r="CH711" s="267">
        <v>4</v>
      </c>
      <c r="CJ711" s="267">
        <v>0</v>
      </c>
      <c r="CK711" s="267">
        <v>0</v>
      </c>
    </row>
    <row r="712" spans="1:89" x14ac:dyDescent="0.25">
      <c r="A712" s="265"/>
      <c r="B712" s="262" t="s">
        <v>1184</v>
      </c>
      <c r="C712" s="95"/>
      <c r="D712" s="95"/>
      <c r="E712" s="291"/>
      <c r="F712" s="291"/>
      <c r="G712" s="291"/>
      <c r="H712" s="291">
        <f>H713+H714</f>
        <v>4</v>
      </c>
      <c r="I712" s="291">
        <f>I713+I714</f>
        <v>4</v>
      </c>
      <c r="J712" s="291">
        <f>J713+J714</f>
        <v>4</v>
      </c>
      <c r="K712" s="291">
        <f>K713+K714</f>
        <v>4</v>
      </c>
      <c r="L712" s="291">
        <f>L713+L714</f>
        <v>0</v>
      </c>
      <c r="M712" s="291">
        <f t="shared" ref="M712:N712" si="1139">M713+M714</f>
        <v>0</v>
      </c>
      <c r="N712" s="291">
        <f t="shared" si="1139"/>
        <v>0</v>
      </c>
    </row>
    <row r="713" spans="1:89" ht="60" x14ac:dyDescent="0.25">
      <c r="A713" s="265"/>
      <c r="B713" s="312"/>
      <c r="C713" s="312" t="s">
        <v>2754</v>
      </c>
      <c r="D713" s="95"/>
      <c r="E713" s="291"/>
      <c r="F713" s="291"/>
      <c r="G713" s="291"/>
      <c r="H713" s="291">
        <v>4</v>
      </c>
      <c r="I713" s="291">
        <v>4</v>
      </c>
      <c r="J713" s="291">
        <v>4</v>
      </c>
      <c r="K713" s="291">
        <v>4</v>
      </c>
      <c r="L713" s="291">
        <v>0</v>
      </c>
      <c r="M713" s="291">
        <v>0</v>
      </c>
      <c r="N713" s="291">
        <v>0</v>
      </c>
      <c r="Q713" s="283">
        <f>S713+V713+Y713+AB713+AE713+AH713+AK713+AN713+AQ713+AT713+AW713+AZ713+BC713+BF713+BI713+BL713+BO713+BR713+BU713+BX713+CA713+CD713+CG713+CJ713</f>
        <v>4</v>
      </c>
      <c r="R713" s="283">
        <f>T713+W713+Z713+AC713+AF713+AI713+AL713+AO713+AR713+AU713+AX713+BA713+BD713+BG713+BJ713+BM713+BP713+BS713+BV713+BY713+CB713+CE713+CH713+CK713</f>
        <v>4</v>
      </c>
      <c r="S713" s="267">
        <v>0</v>
      </c>
      <c r="T713" s="267">
        <v>0</v>
      </c>
      <c r="V713" s="267">
        <v>0</v>
      </c>
      <c r="W713" s="267">
        <v>0</v>
      </c>
      <c r="Y713" s="267">
        <v>0</v>
      </c>
      <c r="Z713" s="267">
        <v>0</v>
      </c>
      <c r="AB713" s="267">
        <v>0</v>
      </c>
      <c r="AC713" s="267">
        <v>0</v>
      </c>
      <c r="AE713" s="267">
        <v>0</v>
      </c>
      <c r="AF713" s="267">
        <v>0</v>
      </c>
      <c r="AH713" s="267">
        <v>0</v>
      </c>
      <c r="AI713" s="267">
        <v>0</v>
      </c>
      <c r="AK713" s="267">
        <v>0</v>
      </c>
      <c r="AL713" s="267">
        <v>0</v>
      </c>
      <c r="AN713" s="267">
        <v>0</v>
      </c>
      <c r="AO713" s="267">
        <v>0</v>
      </c>
      <c r="AQ713" s="267">
        <v>0</v>
      </c>
      <c r="AR713" s="267">
        <v>0</v>
      </c>
      <c r="AT713" s="267">
        <v>0</v>
      </c>
      <c r="AU713" s="267">
        <v>0</v>
      </c>
      <c r="AW713" s="267">
        <v>0</v>
      </c>
      <c r="AX713" s="267">
        <v>0</v>
      </c>
      <c r="AZ713" s="267">
        <v>0</v>
      </c>
      <c r="BA713" s="267">
        <v>0</v>
      </c>
      <c r="BC713" s="267">
        <v>1</v>
      </c>
      <c r="BD713" s="267">
        <v>1</v>
      </c>
      <c r="BF713" s="267">
        <v>1</v>
      </c>
      <c r="BG713" s="267">
        <v>1</v>
      </c>
      <c r="BI713" s="267">
        <v>1</v>
      </c>
      <c r="BJ713" s="267">
        <v>1</v>
      </c>
      <c r="BL713" s="267">
        <v>0</v>
      </c>
      <c r="BM713" s="267">
        <v>0</v>
      </c>
      <c r="BO713" s="267">
        <v>0</v>
      </c>
      <c r="BP713" s="267">
        <v>0</v>
      </c>
      <c r="BR713" s="267">
        <v>0</v>
      </c>
      <c r="BS713" s="267">
        <v>0</v>
      </c>
      <c r="BU713" s="267">
        <v>0</v>
      </c>
      <c r="BV713" s="267">
        <v>0</v>
      </c>
      <c r="BX713" s="267">
        <v>0</v>
      </c>
      <c r="BY713" s="267">
        <v>0</v>
      </c>
      <c r="CA713" s="267">
        <v>0</v>
      </c>
      <c r="CB713" s="267">
        <v>0</v>
      </c>
      <c r="CD713" s="267">
        <v>1</v>
      </c>
      <c r="CE713" s="267">
        <v>1</v>
      </c>
      <c r="CG713" s="267">
        <v>0</v>
      </c>
      <c r="CH713" s="267">
        <v>0</v>
      </c>
      <c r="CJ713" s="267">
        <v>0</v>
      </c>
      <c r="CK713" s="267">
        <v>0</v>
      </c>
    </row>
    <row r="714" spans="1:89" ht="60" x14ac:dyDescent="0.25">
      <c r="A714" s="264"/>
      <c r="B714" s="312"/>
      <c r="C714" s="312" t="s">
        <v>2754</v>
      </c>
      <c r="D714" s="95"/>
      <c r="E714" s="291"/>
      <c r="F714" s="291"/>
      <c r="G714" s="291"/>
      <c r="H714" s="291">
        <v>0</v>
      </c>
      <c r="I714" s="291">
        <v>0</v>
      </c>
      <c r="J714" s="291">
        <v>0</v>
      </c>
      <c r="K714" s="291">
        <v>0</v>
      </c>
      <c r="L714" s="291">
        <v>0</v>
      </c>
      <c r="M714" s="291">
        <v>0</v>
      </c>
      <c r="N714" s="291">
        <v>0</v>
      </c>
      <c r="Q714" s="283">
        <f>S714+V714+Y714+AB714+AE714+AH714+AK714+AN714+AQ714+AT714+AW714+AZ714+BC714+BF714+BI714+BL714+BO714+BR714+BU714+BX714+CA714+CD714+CG714+CJ714</f>
        <v>0</v>
      </c>
      <c r="R714" s="283">
        <f>T714+W714+Z714+AC714+AF714+AI714+AL714+AO714+AR714+AU714+AX714+BA714+BD714+BG714+BJ714+BM714+BP714+BS714+BV714+BY714+CB714+CE714+CH714+CK714</f>
        <v>0</v>
      </c>
      <c r="S714" s="267">
        <v>0</v>
      </c>
      <c r="T714" s="267">
        <v>0</v>
      </c>
      <c r="V714" s="267">
        <v>0</v>
      </c>
      <c r="W714" s="267">
        <v>0</v>
      </c>
      <c r="Y714" s="267">
        <v>0</v>
      </c>
      <c r="Z714" s="267">
        <v>0</v>
      </c>
      <c r="AB714" s="267">
        <v>0</v>
      </c>
      <c r="AC714" s="267">
        <v>0</v>
      </c>
      <c r="AE714" s="267">
        <v>0</v>
      </c>
      <c r="AF714" s="267">
        <v>0</v>
      </c>
      <c r="AH714" s="267">
        <v>0</v>
      </c>
      <c r="AI714" s="267">
        <v>0</v>
      </c>
      <c r="AK714" s="267">
        <v>0</v>
      </c>
      <c r="AL714" s="267">
        <v>0</v>
      </c>
      <c r="AN714" s="267">
        <v>0</v>
      </c>
      <c r="AO714" s="267">
        <v>0</v>
      </c>
      <c r="AQ714" s="267">
        <v>0</v>
      </c>
      <c r="AR714" s="267">
        <v>0</v>
      </c>
      <c r="AT714" s="267">
        <v>0</v>
      </c>
      <c r="AU714" s="267">
        <v>0</v>
      </c>
      <c r="AW714" s="267">
        <v>0</v>
      </c>
      <c r="AX714" s="267">
        <v>0</v>
      </c>
      <c r="AZ714" s="267">
        <v>0</v>
      </c>
      <c r="BA714" s="267">
        <v>0</v>
      </c>
      <c r="BC714" s="267">
        <v>0</v>
      </c>
      <c r="BD714" s="267">
        <v>0</v>
      </c>
      <c r="BF714" s="267">
        <v>0</v>
      </c>
      <c r="BG714" s="267">
        <v>0</v>
      </c>
      <c r="BI714" s="267">
        <v>0</v>
      </c>
      <c r="BJ714" s="267">
        <v>0</v>
      </c>
      <c r="BL714" s="267">
        <v>0</v>
      </c>
      <c r="BM714" s="267">
        <v>0</v>
      </c>
      <c r="BO714" s="267">
        <v>0</v>
      </c>
      <c r="BP714" s="267">
        <v>0</v>
      </c>
      <c r="BR714" s="267">
        <v>0</v>
      </c>
      <c r="BS714" s="267">
        <v>0</v>
      </c>
      <c r="BU714" s="267">
        <v>0</v>
      </c>
      <c r="BV714" s="267">
        <v>0</v>
      </c>
      <c r="BX714" s="267">
        <v>0</v>
      </c>
      <c r="BY714" s="267">
        <v>0</v>
      </c>
      <c r="CA714" s="267">
        <v>0</v>
      </c>
      <c r="CB714" s="267">
        <v>0</v>
      </c>
      <c r="CD714" s="267">
        <v>0</v>
      </c>
      <c r="CE714" s="267">
        <v>0</v>
      </c>
      <c r="CG714" s="267">
        <v>0</v>
      </c>
      <c r="CH714" s="267">
        <v>0</v>
      </c>
      <c r="CJ714" s="267">
        <v>0</v>
      </c>
      <c r="CK714" s="267">
        <v>0</v>
      </c>
    </row>
    <row r="715" spans="1:89" ht="30" x14ac:dyDescent="0.25">
      <c r="A715" s="416"/>
      <c r="B715" s="419" t="s">
        <v>203</v>
      </c>
      <c r="C715" s="95" t="s">
        <v>1225</v>
      </c>
      <c r="D715" s="95" t="s">
        <v>1112</v>
      </c>
      <c r="E715" s="291">
        <v>223</v>
      </c>
      <c r="F715" s="291">
        <v>223</v>
      </c>
      <c r="G715" s="291">
        <v>218</v>
      </c>
      <c r="H715" s="291">
        <f t="shared" ref="H715:J716" si="1140">H721</f>
        <v>222</v>
      </c>
      <c r="I715" s="291">
        <f t="shared" si="1140"/>
        <v>220</v>
      </c>
      <c r="J715" s="291">
        <f t="shared" si="1140"/>
        <v>215</v>
      </c>
      <c r="K715" s="291">
        <f>K721</f>
        <v>213</v>
      </c>
      <c r="L715" s="291">
        <f>L721</f>
        <v>5</v>
      </c>
      <c r="M715" s="291">
        <f t="shared" ref="M715:N716" si="1141">M721</f>
        <v>5</v>
      </c>
      <c r="N715" s="291">
        <f t="shared" si="1141"/>
        <v>5</v>
      </c>
      <c r="Q715" s="291">
        <f t="shared" ref="Q715:T716" si="1142">Q721</f>
        <v>213</v>
      </c>
      <c r="R715" s="291">
        <f t="shared" si="1142"/>
        <v>215</v>
      </c>
      <c r="S715" s="291">
        <f t="shared" si="1142"/>
        <v>3</v>
      </c>
      <c r="T715" s="291">
        <f t="shared" si="1142"/>
        <v>4</v>
      </c>
      <c r="V715" s="291">
        <f>V721</f>
        <v>4</v>
      </c>
      <c r="W715" s="291">
        <f>W721</f>
        <v>4</v>
      </c>
      <c r="Y715" s="291">
        <f>Y721</f>
        <v>5</v>
      </c>
      <c r="Z715" s="291">
        <f>Z721</f>
        <v>5</v>
      </c>
      <c r="AB715" s="291">
        <f>AB721</f>
        <v>3</v>
      </c>
      <c r="AC715" s="291">
        <f>AC721</f>
        <v>3</v>
      </c>
      <c r="AE715" s="291">
        <f>AE721</f>
        <v>6</v>
      </c>
      <c r="AF715" s="291">
        <f>AF721</f>
        <v>6</v>
      </c>
      <c r="AH715" s="291">
        <f>AH721</f>
        <v>5</v>
      </c>
      <c r="AI715" s="291">
        <f>AI721</f>
        <v>5</v>
      </c>
      <c r="AK715" s="291">
        <f>AK721</f>
        <v>10</v>
      </c>
      <c r="AL715" s="291">
        <f>AL721</f>
        <v>10</v>
      </c>
      <c r="AN715" s="291">
        <f>AN721</f>
        <v>11</v>
      </c>
      <c r="AO715" s="291">
        <f>AO721</f>
        <v>11</v>
      </c>
      <c r="AQ715" s="291">
        <f>AQ721</f>
        <v>0</v>
      </c>
      <c r="AR715" s="291">
        <f>AR721</f>
        <v>0</v>
      </c>
      <c r="AT715" s="291">
        <f>AT721</f>
        <v>9</v>
      </c>
      <c r="AU715" s="291">
        <f>AU721</f>
        <v>9</v>
      </c>
      <c r="AW715" s="291">
        <f>AW721</f>
        <v>6</v>
      </c>
      <c r="AX715" s="291">
        <f>AX721</f>
        <v>6</v>
      </c>
      <c r="AZ715" s="291">
        <f>AZ721</f>
        <v>7</v>
      </c>
      <c r="BA715" s="291">
        <f>BA721</f>
        <v>7</v>
      </c>
      <c r="BC715" s="291">
        <f>BC721</f>
        <v>15</v>
      </c>
      <c r="BD715" s="291">
        <f>BD721</f>
        <v>15</v>
      </c>
      <c r="BF715" s="291">
        <f>BF721</f>
        <v>33</v>
      </c>
      <c r="BG715" s="291">
        <f>BG721</f>
        <v>34</v>
      </c>
      <c r="BI715" s="291">
        <f>BI721</f>
        <v>37</v>
      </c>
      <c r="BJ715" s="291">
        <f>BJ721</f>
        <v>37</v>
      </c>
      <c r="BL715" s="291">
        <f>BL721</f>
        <v>6</v>
      </c>
      <c r="BM715" s="291">
        <f>BM721</f>
        <v>6</v>
      </c>
      <c r="BO715" s="291">
        <f>BO721</f>
        <v>6</v>
      </c>
      <c r="BP715" s="291">
        <f>BP721</f>
        <v>6</v>
      </c>
      <c r="BR715" s="291">
        <f>BR721</f>
        <v>8</v>
      </c>
      <c r="BS715" s="291">
        <f>BS721</f>
        <v>7</v>
      </c>
      <c r="BU715" s="291">
        <f>BU721</f>
        <v>7</v>
      </c>
      <c r="BV715" s="291">
        <f>BV721</f>
        <v>7</v>
      </c>
      <c r="BX715" s="291">
        <f>BX721</f>
        <v>3</v>
      </c>
      <c r="BY715" s="291">
        <f>BY721</f>
        <v>3</v>
      </c>
      <c r="CA715" s="291">
        <f>CA721</f>
        <v>6</v>
      </c>
      <c r="CB715" s="291">
        <f>CB721</f>
        <v>7</v>
      </c>
      <c r="CD715" s="291">
        <f>CD721</f>
        <v>5</v>
      </c>
      <c r="CE715" s="291">
        <f>CE721</f>
        <v>5</v>
      </c>
      <c r="CG715" s="291">
        <f>CG721</f>
        <v>18</v>
      </c>
      <c r="CH715" s="291">
        <f>CH721</f>
        <v>18</v>
      </c>
      <c r="CJ715" s="291">
        <f>CJ721</f>
        <v>0</v>
      </c>
      <c r="CK715" s="291">
        <f>CK721</f>
        <v>0</v>
      </c>
    </row>
    <row r="716" spans="1:89" ht="30" x14ac:dyDescent="0.25">
      <c r="A716" s="417"/>
      <c r="B716" s="420"/>
      <c r="C716" s="95" t="s">
        <v>1226</v>
      </c>
      <c r="D716" s="95" t="s">
        <v>1112</v>
      </c>
      <c r="E716" s="291">
        <v>113</v>
      </c>
      <c r="F716" s="291">
        <v>111</v>
      </c>
      <c r="G716" s="291">
        <v>108</v>
      </c>
      <c r="H716" s="291">
        <f t="shared" si="1140"/>
        <v>100</v>
      </c>
      <c r="I716" s="291">
        <f t="shared" si="1140"/>
        <v>98</v>
      </c>
      <c r="J716" s="291">
        <f t="shared" si="1140"/>
        <v>95</v>
      </c>
      <c r="K716" s="291">
        <f>K722</f>
        <v>94</v>
      </c>
      <c r="L716" s="291">
        <f>L722</f>
        <v>13</v>
      </c>
      <c r="M716" s="291">
        <f t="shared" si="1141"/>
        <v>13</v>
      </c>
      <c r="N716" s="291">
        <f t="shared" si="1141"/>
        <v>13</v>
      </c>
      <c r="Q716" s="291">
        <f t="shared" si="1142"/>
        <v>94</v>
      </c>
      <c r="R716" s="291">
        <f t="shared" si="1142"/>
        <v>94</v>
      </c>
      <c r="S716" s="291">
        <f t="shared" si="1142"/>
        <v>7</v>
      </c>
      <c r="T716" s="291">
        <f t="shared" si="1142"/>
        <v>7</v>
      </c>
      <c r="V716" s="291">
        <f>V722</f>
        <v>8</v>
      </c>
      <c r="W716" s="291">
        <f>W722</f>
        <v>8</v>
      </c>
      <c r="Y716" s="291">
        <f>Y722</f>
        <v>10</v>
      </c>
      <c r="Z716" s="291">
        <f>Z722</f>
        <v>10</v>
      </c>
      <c r="AB716" s="291">
        <f>AB722</f>
        <v>10</v>
      </c>
      <c r="AC716" s="291">
        <f>AC722</f>
        <v>10</v>
      </c>
      <c r="AE716" s="291">
        <f>AE722</f>
        <v>11</v>
      </c>
      <c r="AF716" s="291">
        <f>AF722</f>
        <v>10</v>
      </c>
      <c r="AH716" s="291">
        <f>AH722</f>
        <v>13</v>
      </c>
      <c r="AI716" s="291">
        <f>AI722</f>
        <v>13</v>
      </c>
      <c r="AK716" s="291">
        <f>AK722</f>
        <v>1</v>
      </c>
      <c r="AL716" s="291">
        <f>AL722</f>
        <v>1</v>
      </c>
      <c r="AN716" s="291">
        <f>AN722</f>
        <v>7</v>
      </c>
      <c r="AO716" s="291">
        <f>AO722</f>
        <v>7</v>
      </c>
      <c r="AQ716" s="291">
        <f>AQ722</f>
        <v>23</v>
      </c>
      <c r="AR716" s="291">
        <f>AR722</f>
        <v>24</v>
      </c>
      <c r="AT716" s="291">
        <f>AT722</f>
        <v>0</v>
      </c>
      <c r="AU716" s="291">
        <f>AU722</f>
        <v>0</v>
      </c>
      <c r="AW716" s="291">
        <f>AW722</f>
        <v>0</v>
      </c>
      <c r="AX716" s="291">
        <f>AX722</f>
        <v>0</v>
      </c>
      <c r="AZ716" s="291">
        <f>AZ722</f>
        <v>0</v>
      </c>
      <c r="BA716" s="291">
        <f>BA722</f>
        <v>0</v>
      </c>
      <c r="BC716" s="291">
        <f>BC722</f>
        <v>0</v>
      </c>
      <c r="BD716" s="291">
        <f>BD722</f>
        <v>0</v>
      </c>
      <c r="BF716" s="291">
        <f>BF722</f>
        <v>0</v>
      </c>
      <c r="BG716" s="291">
        <f>BG722</f>
        <v>0</v>
      </c>
      <c r="BI716" s="291">
        <f>BI722</f>
        <v>0</v>
      </c>
      <c r="BJ716" s="291">
        <f>BJ722</f>
        <v>0</v>
      </c>
      <c r="BL716" s="291">
        <f>BL722</f>
        <v>0</v>
      </c>
      <c r="BM716" s="291">
        <f>BM722</f>
        <v>0</v>
      </c>
      <c r="BO716" s="291">
        <f>BO722</f>
        <v>0</v>
      </c>
      <c r="BP716" s="291">
        <f>BP722</f>
        <v>0</v>
      </c>
      <c r="BR716" s="291">
        <f>BR722</f>
        <v>0</v>
      </c>
      <c r="BS716" s="291">
        <f>BS722</f>
        <v>0</v>
      </c>
      <c r="BU716" s="291">
        <f>BU722</f>
        <v>0</v>
      </c>
      <c r="BV716" s="291">
        <f>BV722</f>
        <v>0</v>
      </c>
      <c r="BX716" s="291">
        <f>BX722</f>
        <v>0</v>
      </c>
      <c r="BY716" s="291">
        <f>BY722</f>
        <v>0</v>
      </c>
      <c r="CA716" s="291">
        <f>CA722</f>
        <v>0</v>
      </c>
      <c r="CB716" s="291">
        <f>CB722</f>
        <v>0</v>
      </c>
      <c r="CD716" s="291">
        <f>CD722</f>
        <v>0</v>
      </c>
      <c r="CE716" s="291">
        <f>CE722</f>
        <v>0</v>
      </c>
      <c r="CG716" s="291">
        <f>CG722</f>
        <v>4</v>
      </c>
      <c r="CH716" s="291">
        <f>CH722</f>
        <v>4</v>
      </c>
      <c r="CJ716" s="291">
        <f>CJ722</f>
        <v>0</v>
      </c>
      <c r="CK716" s="291">
        <f>CK722</f>
        <v>0</v>
      </c>
    </row>
    <row r="717" spans="1:89" ht="30" x14ac:dyDescent="0.25">
      <c r="A717" s="417"/>
      <c r="B717" s="420"/>
      <c r="C717" s="95" t="s">
        <v>1227</v>
      </c>
      <c r="D717" s="95" t="s">
        <v>1112</v>
      </c>
      <c r="E717" s="291">
        <v>5</v>
      </c>
      <c r="F717" s="291">
        <v>5</v>
      </c>
      <c r="G717" s="291">
        <v>5</v>
      </c>
      <c r="H717" s="291">
        <f t="shared" ref="H717:J718" si="1143">H724</f>
        <v>4</v>
      </c>
      <c r="I717" s="291">
        <f t="shared" si="1143"/>
        <v>4</v>
      </c>
      <c r="J717" s="291">
        <f t="shared" si="1143"/>
        <v>4</v>
      </c>
      <c r="K717" s="291">
        <f>K724</f>
        <v>4</v>
      </c>
      <c r="L717" s="291">
        <f>L724</f>
        <v>0</v>
      </c>
      <c r="M717" s="291">
        <f t="shared" ref="M717:N718" si="1144">M724</f>
        <v>0</v>
      </c>
      <c r="N717" s="291">
        <f t="shared" si="1144"/>
        <v>0</v>
      </c>
      <c r="Q717" s="291">
        <f t="shared" ref="Q717:T718" si="1145">Q724</f>
        <v>4</v>
      </c>
      <c r="R717" s="291">
        <f t="shared" si="1145"/>
        <v>4</v>
      </c>
      <c r="S717" s="291">
        <f t="shared" si="1145"/>
        <v>0</v>
      </c>
      <c r="T717" s="291">
        <f t="shared" si="1145"/>
        <v>0</v>
      </c>
      <c r="V717" s="291">
        <f>V724</f>
        <v>0</v>
      </c>
      <c r="W717" s="291">
        <f>W724</f>
        <v>0</v>
      </c>
      <c r="Y717" s="291">
        <f>Y724</f>
        <v>0</v>
      </c>
      <c r="Z717" s="291">
        <f>Z724</f>
        <v>0</v>
      </c>
      <c r="AB717" s="291">
        <f>AB724</f>
        <v>0</v>
      </c>
      <c r="AC717" s="291">
        <f>AC724</f>
        <v>0</v>
      </c>
      <c r="AE717" s="291">
        <f>AE724</f>
        <v>0</v>
      </c>
      <c r="AF717" s="291">
        <f>AF724</f>
        <v>0</v>
      </c>
      <c r="AH717" s="291">
        <f>AH724</f>
        <v>0</v>
      </c>
      <c r="AI717" s="291">
        <f>AI724</f>
        <v>0</v>
      </c>
      <c r="AK717" s="291">
        <f>AK724</f>
        <v>0</v>
      </c>
      <c r="AL717" s="291">
        <f>AL724</f>
        <v>0</v>
      </c>
      <c r="AN717" s="291">
        <f>AN724</f>
        <v>0</v>
      </c>
      <c r="AO717" s="291">
        <f>AO724</f>
        <v>0</v>
      </c>
      <c r="AQ717" s="291">
        <f>AQ724</f>
        <v>0</v>
      </c>
      <c r="AR717" s="291">
        <f>AR724</f>
        <v>0</v>
      </c>
      <c r="AT717" s="291">
        <f>AT724</f>
        <v>0</v>
      </c>
      <c r="AU717" s="291">
        <f>AU724</f>
        <v>0</v>
      </c>
      <c r="AW717" s="291">
        <f>AW724</f>
        <v>0</v>
      </c>
      <c r="AX717" s="291">
        <f>AX724</f>
        <v>0</v>
      </c>
      <c r="AZ717" s="291">
        <f>AZ724</f>
        <v>0</v>
      </c>
      <c r="BA717" s="291">
        <f>BA724</f>
        <v>0</v>
      </c>
      <c r="BC717" s="291">
        <f>BC724</f>
        <v>1</v>
      </c>
      <c r="BD717" s="291">
        <f>BD724</f>
        <v>1</v>
      </c>
      <c r="BF717" s="291">
        <f>BF724</f>
        <v>1</v>
      </c>
      <c r="BG717" s="291">
        <f>BG724</f>
        <v>1</v>
      </c>
      <c r="BI717" s="291">
        <f>BI724</f>
        <v>1</v>
      </c>
      <c r="BJ717" s="291">
        <f>BJ724</f>
        <v>1</v>
      </c>
      <c r="BL717" s="291">
        <f>BL724</f>
        <v>0</v>
      </c>
      <c r="BM717" s="291">
        <f>BM724</f>
        <v>0</v>
      </c>
      <c r="BO717" s="291">
        <f>BO724</f>
        <v>0</v>
      </c>
      <c r="BP717" s="291">
        <f>BP724</f>
        <v>0</v>
      </c>
      <c r="BR717" s="291">
        <f>BR724</f>
        <v>0</v>
      </c>
      <c r="BS717" s="291">
        <f>BS724</f>
        <v>0</v>
      </c>
      <c r="BU717" s="291">
        <f>BU724</f>
        <v>0</v>
      </c>
      <c r="BV717" s="291">
        <f>BV724</f>
        <v>0</v>
      </c>
      <c r="BX717" s="291">
        <f>BX724</f>
        <v>0</v>
      </c>
      <c r="BY717" s="291">
        <f>BY724</f>
        <v>0</v>
      </c>
      <c r="CA717" s="291">
        <f>CA724</f>
        <v>0</v>
      </c>
      <c r="CB717" s="291">
        <f>CB724</f>
        <v>0</v>
      </c>
      <c r="CD717" s="291">
        <f>CD724</f>
        <v>1</v>
      </c>
      <c r="CE717" s="291">
        <f>CE724</f>
        <v>1</v>
      </c>
      <c r="CG717" s="291">
        <f>CG724</f>
        <v>0</v>
      </c>
      <c r="CH717" s="291">
        <f>CH724</f>
        <v>0</v>
      </c>
      <c r="CJ717" s="291">
        <f>CJ724</f>
        <v>0</v>
      </c>
      <c r="CK717" s="291">
        <f>CK724</f>
        <v>0</v>
      </c>
    </row>
    <row r="718" spans="1:89" ht="30" x14ac:dyDescent="0.25">
      <c r="A718" s="418"/>
      <c r="B718" s="421"/>
      <c r="C718" s="95" t="s">
        <v>1229</v>
      </c>
      <c r="D718" s="95" t="s">
        <v>1112</v>
      </c>
      <c r="E718" s="291">
        <v>0</v>
      </c>
      <c r="F718" s="291">
        <v>0</v>
      </c>
      <c r="G718" s="291">
        <v>0</v>
      </c>
      <c r="H718" s="291">
        <f t="shared" si="1143"/>
        <v>0</v>
      </c>
      <c r="I718" s="291">
        <f t="shared" si="1143"/>
        <v>0</v>
      </c>
      <c r="J718" s="291">
        <f t="shared" si="1143"/>
        <v>0</v>
      </c>
      <c r="K718" s="291">
        <f>K725</f>
        <v>0</v>
      </c>
      <c r="L718" s="291">
        <f>L725</f>
        <v>0</v>
      </c>
      <c r="M718" s="291">
        <f t="shared" si="1144"/>
        <v>0</v>
      </c>
      <c r="N718" s="291">
        <f t="shared" si="1144"/>
        <v>0</v>
      </c>
      <c r="Q718" s="291">
        <f t="shared" si="1145"/>
        <v>0</v>
      </c>
      <c r="R718" s="291">
        <f t="shared" si="1145"/>
        <v>0</v>
      </c>
      <c r="S718" s="291">
        <f t="shared" si="1145"/>
        <v>0</v>
      </c>
      <c r="T718" s="291">
        <f t="shared" si="1145"/>
        <v>0</v>
      </c>
      <c r="V718" s="291">
        <f>V725</f>
        <v>0</v>
      </c>
      <c r="W718" s="291">
        <f>W725</f>
        <v>0</v>
      </c>
      <c r="Y718" s="291">
        <f>Y725</f>
        <v>0</v>
      </c>
      <c r="Z718" s="291">
        <f>Z725</f>
        <v>0</v>
      </c>
      <c r="AB718" s="291">
        <f>AB725</f>
        <v>0</v>
      </c>
      <c r="AC718" s="291">
        <f>AC725</f>
        <v>0</v>
      </c>
      <c r="AE718" s="291">
        <f>AE725</f>
        <v>0</v>
      </c>
      <c r="AF718" s="291">
        <f>AF725</f>
        <v>0</v>
      </c>
      <c r="AH718" s="291">
        <f>AH725</f>
        <v>0</v>
      </c>
      <c r="AI718" s="291">
        <f>AI725</f>
        <v>0</v>
      </c>
      <c r="AK718" s="291">
        <f>AK725</f>
        <v>0</v>
      </c>
      <c r="AL718" s="291">
        <f>AL725</f>
        <v>0</v>
      </c>
      <c r="AN718" s="291">
        <f>AN725</f>
        <v>0</v>
      </c>
      <c r="AO718" s="291">
        <f>AO725</f>
        <v>0</v>
      </c>
      <c r="AQ718" s="291">
        <f>AQ725</f>
        <v>0</v>
      </c>
      <c r="AR718" s="291">
        <f>AR725</f>
        <v>0</v>
      </c>
      <c r="AT718" s="291">
        <f>AT725</f>
        <v>0</v>
      </c>
      <c r="AU718" s="291">
        <f>AU725</f>
        <v>0</v>
      </c>
      <c r="AW718" s="291">
        <f>AW725</f>
        <v>0</v>
      </c>
      <c r="AX718" s="291">
        <f>AX725</f>
        <v>0</v>
      </c>
      <c r="AZ718" s="291">
        <f>AZ725</f>
        <v>0</v>
      </c>
      <c r="BA718" s="291">
        <f>BA725</f>
        <v>0</v>
      </c>
      <c r="BC718" s="291">
        <f>BC725</f>
        <v>0</v>
      </c>
      <c r="BD718" s="291">
        <f>BD725</f>
        <v>0</v>
      </c>
      <c r="BF718" s="291">
        <f>BF725</f>
        <v>0</v>
      </c>
      <c r="BG718" s="291">
        <f>BG725</f>
        <v>0</v>
      </c>
      <c r="BI718" s="291">
        <f>BI725</f>
        <v>0</v>
      </c>
      <c r="BJ718" s="291">
        <f>BJ725</f>
        <v>0</v>
      </c>
      <c r="BL718" s="291">
        <f>BL725</f>
        <v>0</v>
      </c>
      <c r="BM718" s="291">
        <f>BM725</f>
        <v>0</v>
      </c>
      <c r="BO718" s="291">
        <f>BO725</f>
        <v>0</v>
      </c>
      <c r="BP718" s="291">
        <f>BP725</f>
        <v>0</v>
      </c>
      <c r="BR718" s="291">
        <f>BR725</f>
        <v>0</v>
      </c>
      <c r="BS718" s="291">
        <f>BS725</f>
        <v>0</v>
      </c>
      <c r="BU718" s="291">
        <f>BU725</f>
        <v>0</v>
      </c>
      <c r="BV718" s="291">
        <f>BV725</f>
        <v>0</v>
      </c>
      <c r="BX718" s="291">
        <f>BX725</f>
        <v>0</v>
      </c>
      <c r="BY718" s="291">
        <f>BY725</f>
        <v>0</v>
      </c>
      <c r="CA718" s="291">
        <f>CA725</f>
        <v>0</v>
      </c>
      <c r="CB718" s="291">
        <f>CB725</f>
        <v>0</v>
      </c>
      <c r="CD718" s="291">
        <f>CD725</f>
        <v>0</v>
      </c>
      <c r="CE718" s="291">
        <f>CE725</f>
        <v>0</v>
      </c>
      <c r="CG718" s="291">
        <f>CG725</f>
        <v>0</v>
      </c>
      <c r="CH718" s="291">
        <f>CH725</f>
        <v>0</v>
      </c>
      <c r="CJ718" s="291">
        <f>CJ725</f>
        <v>0</v>
      </c>
      <c r="CK718" s="291">
        <f>CK725</f>
        <v>0</v>
      </c>
    </row>
    <row r="719" spans="1:89" ht="30" x14ac:dyDescent="0.25">
      <c r="A719" s="107"/>
      <c r="B719" s="16" t="s">
        <v>223</v>
      </c>
      <c r="C719" s="95" t="s">
        <v>1228</v>
      </c>
      <c r="D719" s="95" t="s">
        <v>1112</v>
      </c>
      <c r="E719" s="291">
        <v>7</v>
      </c>
      <c r="F719" s="291">
        <v>5</v>
      </c>
      <c r="G719" s="291">
        <v>4</v>
      </c>
      <c r="H719" s="291">
        <v>0</v>
      </c>
      <c r="I719" s="291">
        <v>0</v>
      </c>
      <c r="J719" s="291">
        <v>0</v>
      </c>
      <c r="K719" s="291">
        <v>0</v>
      </c>
      <c r="L719" s="291">
        <v>0</v>
      </c>
      <c r="M719" s="291">
        <v>0</v>
      </c>
      <c r="N719" s="291">
        <v>0</v>
      </c>
      <c r="Q719" s="291">
        <v>0</v>
      </c>
      <c r="R719" s="291">
        <v>0</v>
      </c>
      <c r="S719" s="291">
        <v>0</v>
      </c>
      <c r="T719" s="291">
        <v>0</v>
      </c>
      <c r="V719" s="291">
        <v>0</v>
      </c>
      <c r="W719" s="291">
        <v>0</v>
      </c>
      <c r="Y719" s="291">
        <v>0</v>
      </c>
      <c r="Z719" s="291">
        <v>0</v>
      </c>
      <c r="AB719" s="291">
        <v>0</v>
      </c>
      <c r="AC719" s="291">
        <v>0</v>
      </c>
      <c r="AE719" s="291">
        <v>0</v>
      </c>
      <c r="AF719" s="291">
        <v>0</v>
      </c>
      <c r="AH719" s="291">
        <v>0</v>
      </c>
      <c r="AI719" s="291">
        <v>0</v>
      </c>
      <c r="AK719" s="291">
        <v>0</v>
      </c>
      <c r="AL719" s="291">
        <v>0</v>
      </c>
      <c r="AN719" s="291">
        <v>0</v>
      </c>
      <c r="AO719" s="291">
        <v>0</v>
      </c>
      <c r="AQ719" s="291">
        <v>0</v>
      </c>
      <c r="AR719" s="291">
        <v>0</v>
      </c>
      <c r="AT719" s="291">
        <v>0</v>
      </c>
      <c r="AU719" s="291">
        <v>0</v>
      </c>
      <c r="AW719" s="291">
        <v>0</v>
      </c>
      <c r="AX719" s="291">
        <v>0</v>
      </c>
      <c r="AZ719" s="291">
        <v>0</v>
      </c>
      <c r="BA719" s="291">
        <v>0</v>
      </c>
      <c r="BC719" s="291">
        <v>0</v>
      </c>
      <c r="BD719" s="291">
        <v>0</v>
      </c>
      <c r="BF719" s="291">
        <v>0</v>
      </c>
      <c r="BG719" s="291">
        <v>0</v>
      </c>
      <c r="BI719" s="291">
        <v>0</v>
      </c>
      <c r="BJ719" s="291">
        <v>0</v>
      </c>
      <c r="BL719" s="291">
        <v>0</v>
      </c>
      <c r="BM719" s="291">
        <v>0</v>
      </c>
      <c r="BO719" s="291">
        <v>0</v>
      </c>
      <c r="BP719" s="291">
        <v>0</v>
      </c>
      <c r="BR719" s="291">
        <v>0</v>
      </c>
      <c r="BS719" s="291">
        <v>0</v>
      </c>
      <c r="BU719" s="291">
        <v>0</v>
      </c>
      <c r="BV719" s="291">
        <v>0</v>
      </c>
      <c r="BX719" s="291">
        <v>0</v>
      </c>
      <c r="BY719" s="291">
        <v>0</v>
      </c>
      <c r="CA719" s="291">
        <v>0</v>
      </c>
      <c r="CB719" s="291">
        <v>0</v>
      </c>
      <c r="CD719" s="291">
        <v>0</v>
      </c>
      <c r="CE719" s="291">
        <v>0</v>
      </c>
      <c r="CG719" s="291">
        <v>0</v>
      </c>
      <c r="CH719" s="291">
        <v>0</v>
      </c>
      <c r="CJ719" s="291">
        <v>0</v>
      </c>
      <c r="CK719" s="291">
        <v>0</v>
      </c>
    </row>
    <row r="720" spans="1:89" x14ac:dyDescent="0.25">
      <c r="A720" s="95"/>
      <c r="B720" s="311" t="s">
        <v>1182</v>
      </c>
      <c r="C720" s="95"/>
      <c r="D720" s="95"/>
      <c r="E720" s="291"/>
      <c r="F720" s="291"/>
      <c r="G720" s="291"/>
      <c r="H720" s="291">
        <f>H721+H722</f>
        <v>322</v>
      </c>
      <c r="I720" s="291">
        <f>I721+I722</f>
        <v>318</v>
      </c>
      <c r="J720" s="291">
        <f>J721+J722</f>
        <v>310</v>
      </c>
      <c r="K720" s="291">
        <f>K721+K722</f>
        <v>307</v>
      </c>
      <c r="L720" s="291">
        <f>L721+L722</f>
        <v>18</v>
      </c>
      <c r="M720" s="291">
        <f t="shared" ref="M720:N720" si="1146">M721+M722</f>
        <v>18</v>
      </c>
      <c r="N720" s="291">
        <f t="shared" si="1146"/>
        <v>18</v>
      </c>
      <c r="Q720" s="291">
        <f>Q721+Q722</f>
        <v>307</v>
      </c>
      <c r="R720" s="291">
        <f>R721+R722</f>
        <v>309</v>
      </c>
      <c r="S720" s="291">
        <f>S721+S722</f>
        <v>10</v>
      </c>
      <c r="T720" s="291">
        <f>T721+T722</f>
        <v>11</v>
      </c>
      <c r="V720" s="291">
        <f>V721+V722</f>
        <v>12</v>
      </c>
      <c r="W720" s="291">
        <f>W721+W722</f>
        <v>12</v>
      </c>
      <c r="Y720" s="291">
        <f>Y721+Y722</f>
        <v>15</v>
      </c>
      <c r="Z720" s="291">
        <f>Z721+Z722</f>
        <v>15</v>
      </c>
      <c r="AB720" s="291">
        <f>AB721+AB722</f>
        <v>13</v>
      </c>
      <c r="AC720" s="291">
        <f>AC721+AC722</f>
        <v>13</v>
      </c>
      <c r="AE720" s="291">
        <f>AE721+AE722</f>
        <v>17</v>
      </c>
      <c r="AF720" s="291">
        <f>AF721+AF722</f>
        <v>16</v>
      </c>
      <c r="AH720" s="291">
        <f>AH721+AH722</f>
        <v>18</v>
      </c>
      <c r="AI720" s="291">
        <f>AI721+AI722</f>
        <v>18</v>
      </c>
      <c r="AK720" s="291">
        <f>AK721+AK722</f>
        <v>11</v>
      </c>
      <c r="AL720" s="291">
        <f>AL721+AL722</f>
        <v>11</v>
      </c>
      <c r="AN720" s="291">
        <f>AN721+AN722</f>
        <v>18</v>
      </c>
      <c r="AO720" s="291">
        <f>AO721+AO722</f>
        <v>18</v>
      </c>
      <c r="AQ720" s="291">
        <f>AQ721+AQ722</f>
        <v>23</v>
      </c>
      <c r="AR720" s="291">
        <f>AR721+AR722</f>
        <v>24</v>
      </c>
      <c r="AT720" s="291">
        <f>AT721+AT722</f>
        <v>9</v>
      </c>
      <c r="AU720" s="291">
        <f>AU721+AU722</f>
        <v>9</v>
      </c>
      <c r="AW720" s="291">
        <f>AW721+AW722</f>
        <v>6</v>
      </c>
      <c r="AX720" s="291">
        <f>AX721+AX722</f>
        <v>6</v>
      </c>
      <c r="AZ720" s="291">
        <f>AZ721+AZ722</f>
        <v>7</v>
      </c>
      <c r="BA720" s="291">
        <f>BA721+BA722</f>
        <v>7</v>
      </c>
      <c r="BC720" s="291">
        <f>BC721+BC722</f>
        <v>15</v>
      </c>
      <c r="BD720" s="291">
        <f>BD721+BD722</f>
        <v>15</v>
      </c>
      <c r="BF720" s="291">
        <f>BF721+BF722</f>
        <v>33</v>
      </c>
      <c r="BG720" s="291">
        <f>BG721+BG722</f>
        <v>34</v>
      </c>
      <c r="BI720" s="291">
        <f>BI721+BI722</f>
        <v>37</v>
      </c>
      <c r="BJ720" s="291">
        <f>BJ721+BJ722</f>
        <v>37</v>
      </c>
      <c r="BL720" s="291">
        <f>BL721+BL722</f>
        <v>6</v>
      </c>
      <c r="BM720" s="291">
        <f>BM721+BM722</f>
        <v>6</v>
      </c>
      <c r="BO720" s="291">
        <f>BO721+BO722</f>
        <v>6</v>
      </c>
      <c r="BP720" s="291">
        <f>BP721+BP722</f>
        <v>6</v>
      </c>
      <c r="BR720" s="291">
        <f>BR721+BR722</f>
        <v>8</v>
      </c>
      <c r="BS720" s="291">
        <f>BS721+BS722</f>
        <v>7</v>
      </c>
      <c r="BU720" s="291">
        <f>BU721+BU722</f>
        <v>7</v>
      </c>
      <c r="BV720" s="291">
        <f>BV721+BV722</f>
        <v>7</v>
      </c>
      <c r="BX720" s="291">
        <f>BX721+BX722</f>
        <v>3</v>
      </c>
      <c r="BY720" s="291">
        <f>BY721+BY722</f>
        <v>3</v>
      </c>
      <c r="CA720" s="291">
        <f>CA721+CA722</f>
        <v>6</v>
      </c>
      <c r="CB720" s="291">
        <f>CB721+CB722</f>
        <v>7</v>
      </c>
      <c r="CD720" s="291">
        <f>CD721+CD722</f>
        <v>5</v>
      </c>
      <c r="CE720" s="291">
        <f>CE721+CE722</f>
        <v>5</v>
      </c>
      <c r="CG720" s="291">
        <f>CG721+CG722</f>
        <v>22</v>
      </c>
      <c r="CH720" s="291">
        <f>CH721+CH722</f>
        <v>22</v>
      </c>
      <c r="CJ720" s="291">
        <f>CJ721+CJ722</f>
        <v>0</v>
      </c>
      <c r="CK720" s="291">
        <f>CK721+CK722</f>
        <v>0</v>
      </c>
    </row>
    <row r="721" spans="1:89" ht="30" x14ac:dyDescent="0.25">
      <c r="A721" s="95"/>
      <c r="B721" s="263"/>
      <c r="C721" s="263" t="s">
        <v>2753</v>
      </c>
      <c r="D721" s="95"/>
      <c r="E721" s="291"/>
      <c r="F721" s="291"/>
      <c r="G721" s="291"/>
      <c r="H721" s="291">
        <v>222</v>
      </c>
      <c r="I721" s="291">
        <v>220</v>
      </c>
      <c r="J721" s="291">
        <v>215</v>
      </c>
      <c r="K721" s="291">
        <v>213</v>
      </c>
      <c r="L721" s="291">
        <v>5</v>
      </c>
      <c r="M721" s="291">
        <v>5</v>
      </c>
      <c r="N721" s="291">
        <v>5</v>
      </c>
      <c r="Q721" s="283">
        <f>S721+V721+Y721+AB721+AE721+AH721+AK721+AN721+AQ721+AT721+AW721+AZ721+BC721+BF721+BI721+BL721+BO721+BR721+BU721+BX721+CA721+CD721+CG721+CJ721</f>
        <v>213</v>
      </c>
      <c r="R721" s="283">
        <f>T721+W721+Z721+AC721+AF721+AI721+AL721+AO721+AR721+AU721+AX721+BA721+BD721+BG721+BJ721+BM721+BP721+BS721+BV721+BY721+CB721+CE721+CH721+CK721</f>
        <v>215</v>
      </c>
      <c r="S721" s="283">
        <v>3</v>
      </c>
      <c r="T721" s="283">
        <v>4</v>
      </c>
      <c r="U721" s="283"/>
      <c r="V721" s="283">
        <v>4</v>
      </c>
      <c r="W721" s="283">
        <v>4</v>
      </c>
      <c r="X721" s="283"/>
      <c r="Y721" s="283">
        <v>5</v>
      </c>
      <c r="Z721" s="283">
        <v>5</v>
      </c>
      <c r="AA721" s="283"/>
      <c r="AB721" s="283">
        <v>3</v>
      </c>
      <c r="AC721" s="283">
        <v>3</v>
      </c>
      <c r="AD721" s="283"/>
      <c r="AE721" s="283">
        <v>6</v>
      </c>
      <c r="AF721" s="283">
        <v>6</v>
      </c>
      <c r="AG721" s="283"/>
      <c r="AH721" s="283">
        <v>5</v>
      </c>
      <c r="AI721" s="283">
        <v>5</v>
      </c>
      <c r="AJ721" s="283"/>
      <c r="AK721" s="283">
        <v>10</v>
      </c>
      <c r="AL721" s="283">
        <v>10</v>
      </c>
      <c r="AM721" s="283"/>
      <c r="AN721" s="283">
        <v>11</v>
      </c>
      <c r="AO721" s="283">
        <v>11</v>
      </c>
      <c r="AP721" s="283"/>
      <c r="AQ721" s="283">
        <v>0</v>
      </c>
      <c r="AR721" s="283">
        <v>0</v>
      </c>
      <c r="AS721" s="283"/>
      <c r="AT721" s="283">
        <v>9</v>
      </c>
      <c r="AU721" s="283">
        <v>9</v>
      </c>
      <c r="AV721" s="283"/>
      <c r="AW721" s="283">
        <v>6</v>
      </c>
      <c r="AX721" s="283">
        <v>6</v>
      </c>
      <c r="AY721" s="283"/>
      <c r="AZ721" s="283">
        <v>7</v>
      </c>
      <c r="BA721" s="283">
        <v>7</v>
      </c>
      <c r="BB721" s="283"/>
      <c r="BC721" s="283">
        <v>15</v>
      </c>
      <c r="BD721" s="283">
        <v>15</v>
      </c>
      <c r="BE721" s="283"/>
      <c r="BF721" s="283">
        <v>33</v>
      </c>
      <c r="BG721" s="283">
        <v>34</v>
      </c>
      <c r="BH721" s="283"/>
      <c r="BI721" s="283">
        <v>37</v>
      </c>
      <c r="BJ721" s="283">
        <v>37</v>
      </c>
      <c r="BK721" s="283"/>
      <c r="BL721" s="283">
        <v>6</v>
      </c>
      <c r="BM721" s="283">
        <v>6</v>
      </c>
      <c r="BN721" s="283"/>
      <c r="BO721" s="283">
        <v>6</v>
      </c>
      <c r="BP721" s="283">
        <v>6</v>
      </c>
      <c r="BQ721" s="283"/>
      <c r="BR721" s="283">
        <v>8</v>
      </c>
      <c r="BS721" s="283">
        <v>7</v>
      </c>
      <c r="BT721" s="283"/>
      <c r="BU721" s="283">
        <v>7</v>
      </c>
      <c r="BV721" s="283">
        <v>7</v>
      </c>
      <c r="BW721" s="283"/>
      <c r="BX721" s="283">
        <v>3</v>
      </c>
      <c r="BY721" s="283">
        <v>3</v>
      </c>
      <c r="BZ721" s="283"/>
      <c r="CA721" s="283">
        <v>6</v>
      </c>
      <c r="CB721" s="283">
        <v>7</v>
      </c>
      <c r="CC721" s="283"/>
      <c r="CD721" s="283">
        <v>5</v>
      </c>
      <c r="CE721" s="283">
        <v>5</v>
      </c>
      <c r="CF721" s="283"/>
      <c r="CG721" s="283">
        <v>18</v>
      </c>
      <c r="CH721" s="283">
        <v>18</v>
      </c>
      <c r="CI721" s="283"/>
      <c r="CJ721" s="267">
        <v>0</v>
      </c>
      <c r="CK721" s="267">
        <v>0</v>
      </c>
    </row>
    <row r="722" spans="1:89" ht="30" x14ac:dyDescent="0.25">
      <c r="A722" s="95"/>
      <c r="B722" s="263"/>
      <c r="C722" s="263" t="s">
        <v>2753</v>
      </c>
      <c r="D722" s="95"/>
      <c r="E722" s="291"/>
      <c r="F722" s="291"/>
      <c r="G722" s="291"/>
      <c r="H722" s="291">
        <v>100</v>
      </c>
      <c r="I722" s="291">
        <v>98</v>
      </c>
      <c r="J722" s="291">
        <v>95</v>
      </c>
      <c r="K722" s="291">
        <v>94</v>
      </c>
      <c r="L722" s="291">
        <v>13</v>
      </c>
      <c r="M722" s="291">
        <v>13</v>
      </c>
      <c r="N722" s="291">
        <v>13</v>
      </c>
      <c r="Q722" s="283">
        <f>S722+V722+Y722+AB722+AE722+AH722+AK722+AN722+AQ722+AT722+AW722+AZ722+BC722+BF722+BI722+BL722+BO722+BR722+BU722+BX722+CA722+CD722+CG722+CJ722</f>
        <v>94</v>
      </c>
      <c r="R722" s="283">
        <f>T722+W722+Z722+AC722+AF722+AI722+AL722+AO722+AR722+AU722+AX722+BA722+BD722+BG722+BJ722+BM722+BP722+BS722+BV722+BY722+CB722+CE722+CH722+CK722</f>
        <v>94</v>
      </c>
      <c r="S722" s="283">
        <v>7</v>
      </c>
      <c r="T722" s="283">
        <v>7</v>
      </c>
      <c r="U722" s="283"/>
      <c r="V722" s="283">
        <v>8</v>
      </c>
      <c r="W722" s="283">
        <v>8</v>
      </c>
      <c r="X722" s="283"/>
      <c r="Y722" s="283">
        <v>10</v>
      </c>
      <c r="Z722" s="283">
        <v>10</v>
      </c>
      <c r="AA722" s="283"/>
      <c r="AB722" s="283">
        <v>10</v>
      </c>
      <c r="AC722" s="283">
        <v>10</v>
      </c>
      <c r="AD722" s="283"/>
      <c r="AE722" s="283">
        <v>11</v>
      </c>
      <c r="AF722" s="283">
        <v>10</v>
      </c>
      <c r="AG722" s="283"/>
      <c r="AH722" s="283">
        <v>13</v>
      </c>
      <c r="AI722" s="283">
        <v>13</v>
      </c>
      <c r="AJ722" s="283"/>
      <c r="AK722" s="283">
        <v>1</v>
      </c>
      <c r="AL722" s="283">
        <v>1</v>
      </c>
      <c r="AM722" s="283"/>
      <c r="AN722" s="283">
        <v>7</v>
      </c>
      <c r="AO722" s="283">
        <v>7</v>
      </c>
      <c r="AP722" s="283"/>
      <c r="AQ722" s="283">
        <v>23</v>
      </c>
      <c r="AR722" s="283">
        <v>24</v>
      </c>
      <c r="AS722" s="283"/>
      <c r="AT722" s="283">
        <v>0</v>
      </c>
      <c r="AU722" s="283">
        <v>0</v>
      </c>
      <c r="AV722" s="283"/>
      <c r="AW722" s="283">
        <v>0</v>
      </c>
      <c r="AX722" s="283">
        <v>0</v>
      </c>
      <c r="AY722" s="283"/>
      <c r="AZ722" s="283">
        <v>0</v>
      </c>
      <c r="BA722" s="283">
        <v>0</v>
      </c>
      <c r="BB722" s="283"/>
      <c r="BC722" s="283">
        <v>0</v>
      </c>
      <c r="BD722" s="283">
        <v>0</v>
      </c>
      <c r="BE722" s="283"/>
      <c r="BF722" s="283">
        <v>0</v>
      </c>
      <c r="BG722" s="283">
        <v>0</v>
      </c>
      <c r="BH722" s="283"/>
      <c r="BI722" s="283">
        <v>0</v>
      </c>
      <c r="BJ722" s="283">
        <v>0</v>
      </c>
      <c r="BK722" s="283"/>
      <c r="BL722" s="283">
        <v>0</v>
      </c>
      <c r="BM722" s="283">
        <v>0</v>
      </c>
      <c r="BN722" s="283"/>
      <c r="BO722" s="283">
        <v>0</v>
      </c>
      <c r="BP722" s="283">
        <v>0</v>
      </c>
      <c r="BQ722" s="283"/>
      <c r="BR722" s="283">
        <v>0</v>
      </c>
      <c r="BS722" s="283">
        <v>0</v>
      </c>
      <c r="BT722" s="283"/>
      <c r="BU722" s="283">
        <v>0</v>
      </c>
      <c r="BV722" s="283">
        <v>0</v>
      </c>
      <c r="BW722" s="283"/>
      <c r="BX722" s="283">
        <v>0</v>
      </c>
      <c r="BY722" s="283">
        <v>0</v>
      </c>
      <c r="BZ722" s="283"/>
      <c r="CA722" s="283">
        <v>0</v>
      </c>
      <c r="CB722" s="283">
        <v>0</v>
      </c>
      <c r="CC722" s="283"/>
      <c r="CD722" s="283">
        <v>0</v>
      </c>
      <c r="CE722" s="283">
        <v>0</v>
      </c>
      <c r="CF722" s="283"/>
      <c r="CG722" s="283">
        <v>4</v>
      </c>
      <c r="CH722" s="283">
        <v>4</v>
      </c>
      <c r="CI722" s="283"/>
      <c r="CJ722" s="267">
        <v>0</v>
      </c>
      <c r="CK722" s="267">
        <v>0</v>
      </c>
    </row>
    <row r="723" spans="1:89" x14ac:dyDescent="0.25">
      <c r="A723" s="95"/>
      <c r="B723" s="261" t="s">
        <v>1184</v>
      </c>
      <c r="C723" s="95"/>
      <c r="D723" s="95"/>
      <c r="E723" s="291"/>
      <c r="F723" s="291"/>
      <c r="G723" s="291"/>
      <c r="H723" s="291">
        <f>H724+H725</f>
        <v>4</v>
      </c>
      <c r="I723" s="291">
        <f>I724+I725</f>
        <v>4</v>
      </c>
      <c r="J723" s="291">
        <f>J724+J725</f>
        <v>4</v>
      </c>
      <c r="K723" s="291">
        <f>K724+K725</f>
        <v>4</v>
      </c>
      <c r="L723" s="291">
        <f>L724+L725</f>
        <v>0</v>
      </c>
      <c r="M723" s="291">
        <f t="shared" ref="M723:N723" si="1147">M724+M725</f>
        <v>0</v>
      </c>
      <c r="N723" s="291">
        <f t="shared" si="1147"/>
        <v>0</v>
      </c>
    </row>
    <row r="724" spans="1:89" ht="30" x14ac:dyDescent="0.25">
      <c r="A724" s="95"/>
      <c r="B724" s="263"/>
      <c r="C724" s="263" t="s">
        <v>2753</v>
      </c>
      <c r="D724" s="95"/>
      <c r="E724" s="291"/>
      <c r="F724" s="291"/>
      <c r="G724" s="291"/>
      <c r="H724" s="291">
        <v>4</v>
      </c>
      <c r="I724" s="291">
        <v>4</v>
      </c>
      <c r="J724" s="291">
        <v>4</v>
      </c>
      <c r="K724" s="291">
        <v>4</v>
      </c>
      <c r="L724" s="291">
        <v>0</v>
      </c>
      <c r="M724" s="291">
        <v>0</v>
      </c>
      <c r="N724" s="291">
        <v>0</v>
      </c>
      <c r="Q724" s="283">
        <f>S724+V724+Y724+AB724+AE724+AH724+AK724+AN724+AQ724+AT724+AW724+AZ724+BC724+BF724+BI724+BL724+BO724+BR724+BU724+BX724+CA724+CD724+CG724+CJ724</f>
        <v>4</v>
      </c>
      <c r="R724" s="283">
        <f>T724+W724+Z724+AC724+AF724+AI724+AL724+AO724+AR724+AU724+AX724+BA724+BD724+BG724+BJ724+BM724+BP724+BS724+BV724+BY724+CB724+CE724+CH724+CK724</f>
        <v>4</v>
      </c>
      <c r="S724" s="267">
        <v>0</v>
      </c>
      <c r="T724" s="267">
        <v>0</v>
      </c>
      <c r="V724" s="267">
        <v>0</v>
      </c>
      <c r="W724" s="267">
        <v>0</v>
      </c>
      <c r="Y724" s="267">
        <v>0</v>
      </c>
      <c r="Z724" s="267">
        <v>0</v>
      </c>
      <c r="AB724" s="267">
        <v>0</v>
      </c>
      <c r="AC724" s="267">
        <v>0</v>
      </c>
      <c r="AE724" s="267">
        <v>0</v>
      </c>
      <c r="AF724" s="267">
        <v>0</v>
      </c>
      <c r="AH724" s="267">
        <v>0</v>
      </c>
      <c r="AI724" s="267">
        <v>0</v>
      </c>
      <c r="AK724" s="267">
        <v>0</v>
      </c>
      <c r="AL724" s="267">
        <v>0</v>
      </c>
      <c r="AN724" s="267">
        <v>0</v>
      </c>
      <c r="AO724" s="267">
        <v>0</v>
      </c>
      <c r="AQ724" s="267">
        <v>0</v>
      </c>
      <c r="AR724" s="267">
        <v>0</v>
      </c>
      <c r="AT724" s="267">
        <v>0</v>
      </c>
      <c r="AU724" s="267">
        <v>0</v>
      </c>
      <c r="AW724" s="267">
        <v>0</v>
      </c>
      <c r="AX724" s="267">
        <v>0</v>
      </c>
      <c r="AZ724" s="267">
        <v>0</v>
      </c>
      <c r="BA724" s="267">
        <v>0</v>
      </c>
      <c r="BC724" s="267">
        <v>1</v>
      </c>
      <c r="BD724" s="267">
        <v>1</v>
      </c>
      <c r="BF724" s="267">
        <v>1</v>
      </c>
      <c r="BG724" s="267">
        <v>1</v>
      </c>
      <c r="BI724" s="267">
        <v>1</v>
      </c>
      <c r="BJ724" s="267">
        <v>1</v>
      </c>
      <c r="BL724" s="267">
        <v>0</v>
      </c>
      <c r="BM724" s="267">
        <v>0</v>
      </c>
      <c r="BO724" s="267">
        <v>0</v>
      </c>
      <c r="BP724" s="267">
        <v>0</v>
      </c>
      <c r="BR724" s="267">
        <v>0</v>
      </c>
      <c r="BS724" s="267">
        <v>0</v>
      </c>
      <c r="BU724" s="267">
        <v>0</v>
      </c>
      <c r="BV724" s="267">
        <v>0</v>
      </c>
      <c r="BX724" s="267">
        <v>0</v>
      </c>
      <c r="BY724" s="267">
        <v>0</v>
      </c>
      <c r="CA724" s="267">
        <v>0</v>
      </c>
      <c r="CB724" s="267">
        <v>0</v>
      </c>
      <c r="CD724" s="267">
        <v>1</v>
      </c>
      <c r="CE724" s="267">
        <v>1</v>
      </c>
      <c r="CG724" s="267">
        <v>0</v>
      </c>
      <c r="CH724" s="267">
        <v>0</v>
      </c>
      <c r="CJ724" s="267">
        <v>0</v>
      </c>
      <c r="CK724" s="267">
        <v>0</v>
      </c>
    </row>
    <row r="725" spans="1:89" ht="30" x14ac:dyDescent="0.25">
      <c r="A725" s="95"/>
      <c r="B725" s="263"/>
      <c r="C725" s="263" t="s">
        <v>2753</v>
      </c>
      <c r="D725" s="95"/>
      <c r="E725" s="291"/>
      <c r="F725" s="291"/>
      <c r="G725" s="291"/>
      <c r="H725" s="291">
        <v>0</v>
      </c>
      <c r="I725" s="291">
        <v>0</v>
      </c>
      <c r="J725" s="291">
        <v>0</v>
      </c>
      <c r="K725" s="291">
        <v>0</v>
      </c>
      <c r="L725" s="291">
        <v>0</v>
      </c>
      <c r="M725" s="291">
        <v>0</v>
      </c>
      <c r="N725" s="291">
        <v>0</v>
      </c>
      <c r="Q725" s="283">
        <f>S725+V725+Y725+AB725+AE725+AH725+AK725+AN725+AQ725+AT725+AW725+AZ725+BC725+BF725+BI725+BL725+BO725+BR725+BU725+BX725+CA725+CD725+CG725+CJ725</f>
        <v>0</v>
      </c>
      <c r="R725" s="283">
        <f>T725+W725+Z725+AC725+AF725+AI725+AL725+AO725+AR725+AU725+AX725+BA725+BD725+BG725+BJ725+BM725+BP725+BS725+BV725+BY725+CB725+CE725+CH725+CK725</f>
        <v>0</v>
      </c>
      <c r="S725" s="267">
        <v>0</v>
      </c>
      <c r="T725" s="267">
        <v>0</v>
      </c>
      <c r="V725" s="267">
        <v>0</v>
      </c>
      <c r="W725" s="267">
        <v>0</v>
      </c>
      <c r="Y725" s="267">
        <v>0</v>
      </c>
      <c r="Z725" s="267">
        <v>0</v>
      </c>
      <c r="AB725" s="267">
        <v>0</v>
      </c>
      <c r="AC725" s="267">
        <v>0</v>
      </c>
      <c r="AE725" s="267">
        <v>0</v>
      </c>
      <c r="AF725" s="267">
        <v>0</v>
      </c>
      <c r="AH725" s="267">
        <v>0</v>
      </c>
      <c r="AI725" s="267">
        <v>0</v>
      </c>
      <c r="AK725" s="267">
        <v>0</v>
      </c>
      <c r="AL725" s="267">
        <v>0</v>
      </c>
      <c r="AN725" s="267">
        <v>0</v>
      </c>
      <c r="AO725" s="267">
        <v>0</v>
      </c>
      <c r="AQ725" s="267">
        <v>0</v>
      </c>
      <c r="AR725" s="267">
        <v>0</v>
      </c>
      <c r="AT725" s="267">
        <v>0</v>
      </c>
      <c r="AU725" s="267">
        <v>0</v>
      </c>
      <c r="AW725" s="267">
        <v>0</v>
      </c>
      <c r="AX725" s="267">
        <v>0</v>
      </c>
      <c r="AZ725" s="267">
        <v>0</v>
      </c>
      <c r="BA725" s="267">
        <v>0</v>
      </c>
      <c r="BC725" s="267">
        <v>0</v>
      </c>
      <c r="BD725" s="267">
        <v>0</v>
      </c>
      <c r="BF725" s="267">
        <v>0</v>
      </c>
      <c r="BG725" s="267">
        <v>0</v>
      </c>
      <c r="BI725" s="267">
        <v>0</v>
      </c>
      <c r="BJ725" s="267">
        <v>0</v>
      </c>
      <c r="BL725" s="267">
        <v>0</v>
      </c>
      <c r="BM725" s="267">
        <v>0</v>
      </c>
      <c r="BO725" s="267">
        <v>0</v>
      </c>
      <c r="BP725" s="267">
        <v>0</v>
      </c>
      <c r="BR725" s="267">
        <v>0</v>
      </c>
      <c r="BS725" s="267">
        <v>0</v>
      </c>
      <c r="BU725" s="267">
        <v>0</v>
      </c>
      <c r="BV725" s="267">
        <v>0</v>
      </c>
      <c r="BX725" s="267">
        <v>0</v>
      </c>
      <c r="BY725" s="267">
        <v>0</v>
      </c>
      <c r="CA725" s="267">
        <v>0</v>
      </c>
      <c r="CB725" s="267">
        <v>0</v>
      </c>
      <c r="CD725" s="267">
        <v>0</v>
      </c>
      <c r="CE725" s="267">
        <v>0</v>
      </c>
      <c r="CG725" s="267">
        <v>0</v>
      </c>
      <c r="CH725" s="267">
        <v>0</v>
      </c>
      <c r="CJ725" s="267">
        <v>0</v>
      </c>
      <c r="CK725" s="267">
        <v>0</v>
      </c>
    </row>
    <row r="726" spans="1:89" ht="90" x14ac:dyDescent="0.25">
      <c r="A726" s="95" t="s">
        <v>219</v>
      </c>
      <c r="B726" s="96" t="s">
        <v>2785</v>
      </c>
      <c r="C726" s="95"/>
      <c r="D726" s="95" t="s">
        <v>8</v>
      </c>
      <c r="E726" s="291"/>
      <c r="F726" s="291"/>
      <c r="G726" s="291"/>
      <c r="H726" s="291"/>
      <c r="I726" s="291"/>
      <c r="J726" s="291"/>
      <c r="K726" s="279">
        <f>K733/K736*100</f>
        <v>55.700325732899024</v>
      </c>
      <c r="L726" s="279">
        <f>L733/L736*100</f>
        <v>100</v>
      </c>
      <c r="M726" s="279">
        <f>M733/M736*100</f>
        <v>100</v>
      </c>
      <c r="N726" s="279">
        <f>N733/N736*100</f>
        <v>100</v>
      </c>
      <c r="Q726" s="279">
        <f>Q733/Q736*100</f>
        <v>55.700325732899024</v>
      </c>
      <c r="R726" s="279">
        <f>R733/R736*100</f>
        <v>70.226537216828476</v>
      </c>
      <c r="S726" s="279">
        <f>S733/S736*100</f>
        <v>50</v>
      </c>
      <c r="T726" s="279">
        <f>T733/T736*100</f>
        <v>90.909090909090907</v>
      </c>
      <c r="V726" s="279">
        <f>V733/V736*100</f>
        <v>16.666666666666664</v>
      </c>
      <c r="W726" s="279">
        <f>W733/W736*100</f>
        <v>25</v>
      </c>
      <c r="Y726" s="279">
        <f>Y733/Y736*100</f>
        <v>0</v>
      </c>
      <c r="Z726" s="279">
        <f>Z733/Z736*100</f>
        <v>0</v>
      </c>
      <c r="AB726" s="279">
        <f>AB733/AB736*100</f>
        <v>76.923076923076934</v>
      </c>
      <c r="AC726" s="279">
        <f>AC733/AC736*100</f>
        <v>76.923076923076934</v>
      </c>
      <c r="AE726" s="279">
        <f>AE733/AE736*100</f>
        <v>23.52941176470588</v>
      </c>
      <c r="AF726" s="279">
        <f>AF733/AF736*100</f>
        <v>43.75</v>
      </c>
      <c r="AH726" s="279">
        <f>AH733/AH736*100</f>
        <v>27.777777777777779</v>
      </c>
      <c r="AI726" s="279">
        <f>AI733/AI736*100</f>
        <v>33.333333333333329</v>
      </c>
      <c r="AK726" s="279">
        <f>AK733/AK736*100</f>
        <v>54.54545454545454</v>
      </c>
      <c r="AL726" s="279">
        <f>AL733/AL736*100</f>
        <v>54.54545454545454</v>
      </c>
      <c r="AN726" s="279">
        <f>AN733/AN736*100</f>
        <v>22.222222222222221</v>
      </c>
      <c r="AO726" s="279">
        <f>AO733/AO736*100</f>
        <v>55.555555555555557</v>
      </c>
      <c r="AQ726" s="279">
        <f>AQ733/AQ736*100</f>
        <v>4.3478260869565215</v>
      </c>
      <c r="AR726" s="279">
        <f>AR733/AR736*100</f>
        <v>83.333333333333343</v>
      </c>
      <c r="AT726" s="279">
        <f>AT733/AT736*100</f>
        <v>88.888888888888886</v>
      </c>
      <c r="AU726" s="279">
        <f>AU733/AU736*100</f>
        <v>88.888888888888886</v>
      </c>
      <c r="AW726" s="279">
        <f>AW733/AW736*100</f>
        <v>50</v>
      </c>
      <c r="AX726" s="279">
        <f>AX733/AX736*100</f>
        <v>50</v>
      </c>
      <c r="AZ726" s="279">
        <f>AZ733/AZ736*100</f>
        <v>85.714285714285708</v>
      </c>
      <c r="BA726" s="279">
        <f>BA733/BA736*100</f>
        <v>85.714285714285708</v>
      </c>
      <c r="BC726" s="279">
        <f>BC733/BC736*100</f>
        <v>100</v>
      </c>
      <c r="BD726" s="279">
        <f>BD733/BD736*100</f>
        <v>100</v>
      </c>
      <c r="BF726" s="279">
        <f>BF733/BF736*100</f>
        <v>100</v>
      </c>
      <c r="BG726" s="279">
        <f>BG733/BG736*100</f>
        <v>100</v>
      </c>
      <c r="BI726" s="279">
        <f>BI733/BI736*100</f>
        <v>86.486486486486484</v>
      </c>
      <c r="BJ726" s="279">
        <f>BJ733/BJ736*100</f>
        <v>91.891891891891902</v>
      </c>
      <c r="BL726" s="279">
        <f>BL733/BL736*100</f>
        <v>100</v>
      </c>
      <c r="BM726" s="279">
        <f>BM733/BM736*100</f>
        <v>100</v>
      </c>
      <c r="BO726" s="279">
        <f>BO733/BO736*100</f>
        <v>100</v>
      </c>
      <c r="BP726" s="279">
        <f>BP733/BP736*100</f>
        <v>100</v>
      </c>
      <c r="BR726" s="279">
        <f>BR733/BR736*100</f>
        <v>100</v>
      </c>
      <c r="BS726" s="279">
        <f>BS733/BS736*100</f>
        <v>100</v>
      </c>
      <c r="BU726" s="279">
        <f>BU733/BU736*100</f>
        <v>28.571428571428569</v>
      </c>
      <c r="BV726" s="279">
        <f>BV733/BV736*100</f>
        <v>100</v>
      </c>
      <c r="BX726" s="279">
        <f>BX733/BX736*100</f>
        <v>100</v>
      </c>
      <c r="BY726" s="279">
        <f>BY733/BY736*100</f>
        <v>100</v>
      </c>
      <c r="CA726" s="279">
        <f>CA733/CA736*100</f>
        <v>33.333333333333329</v>
      </c>
      <c r="CB726" s="279">
        <f>CB733/CB736*100</f>
        <v>42.857142857142854</v>
      </c>
      <c r="CD726" s="279">
        <f>CD733/CD736*100</f>
        <v>100</v>
      </c>
      <c r="CE726" s="279">
        <f>CE733/CE736*100</f>
        <v>100</v>
      </c>
      <c r="CG726" s="279">
        <f>CG733/CG736*100</f>
        <v>22.727272727272727</v>
      </c>
      <c r="CH726" s="279">
        <f>CH733/CH736*100</f>
        <v>36.363636363636367</v>
      </c>
      <c r="CJ726" s="279" t="e">
        <f>CJ733/CJ736*100</f>
        <v>#DIV/0!</v>
      </c>
      <c r="CK726" s="279" t="e">
        <f>CK733/CK736*100</f>
        <v>#DIV/0!</v>
      </c>
    </row>
    <row r="727" spans="1:89" x14ac:dyDescent="0.25">
      <c r="A727" s="95"/>
      <c r="B727" s="334" t="s">
        <v>1182</v>
      </c>
      <c r="C727" s="263"/>
      <c r="D727" s="95"/>
      <c r="E727" s="291"/>
      <c r="F727" s="291"/>
      <c r="G727" s="291"/>
      <c r="H727" s="291"/>
      <c r="I727" s="291"/>
      <c r="J727" s="291"/>
      <c r="K727" s="279"/>
      <c r="L727" s="279"/>
      <c r="M727" s="279"/>
      <c r="N727" s="279"/>
      <c r="Q727" s="279"/>
      <c r="R727" s="279"/>
      <c r="S727" s="279"/>
      <c r="T727" s="279"/>
      <c r="V727" s="279"/>
      <c r="W727" s="279"/>
      <c r="Y727" s="279"/>
      <c r="Z727" s="279"/>
      <c r="AB727" s="279"/>
      <c r="AC727" s="279"/>
      <c r="AE727" s="279"/>
      <c r="AF727" s="279"/>
      <c r="AH727" s="279"/>
      <c r="AI727" s="279"/>
      <c r="AK727" s="279"/>
      <c r="AL727" s="279"/>
      <c r="AN727" s="279"/>
      <c r="AO727" s="279"/>
      <c r="AQ727" s="279"/>
      <c r="AR727" s="279"/>
      <c r="AT727" s="279"/>
      <c r="AU727" s="279"/>
      <c r="AW727" s="279"/>
      <c r="AX727" s="279"/>
      <c r="AZ727" s="279"/>
      <c r="BA727" s="279"/>
      <c r="BC727" s="279"/>
      <c r="BD727" s="279"/>
      <c r="BF727" s="279"/>
      <c r="BG727" s="279"/>
      <c r="BI727" s="279"/>
      <c r="BJ727" s="279"/>
      <c r="BL727" s="279"/>
      <c r="BM727" s="279"/>
      <c r="BO727" s="279"/>
      <c r="BP727" s="279"/>
      <c r="BR727" s="279"/>
      <c r="BS727" s="279"/>
      <c r="BU727" s="279"/>
      <c r="BV727" s="279"/>
      <c r="BX727" s="279"/>
      <c r="BY727" s="279"/>
      <c r="CA727" s="279"/>
      <c r="CB727" s="279"/>
      <c r="CD727" s="279"/>
      <c r="CE727" s="279"/>
      <c r="CG727" s="279"/>
      <c r="CH727" s="279"/>
      <c r="CJ727" s="279"/>
      <c r="CK727" s="279"/>
    </row>
    <row r="728" spans="1:89" x14ac:dyDescent="0.25">
      <c r="A728" s="95"/>
      <c r="B728" s="334" t="s">
        <v>2787</v>
      </c>
      <c r="C728" s="263"/>
      <c r="D728" s="95"/>
      <c r="E728" s="291"/>
      <c r="F728" s="291"/>
      <c r="G728" s="291"/>
      <c r="H728" s="291"/>
      <c r="I728" s="291"/>
      <c r="J728" s="291"/>
      <c r="K728" s="279">
        <f t="shared" ref="K728:M729" si="1148">K734/K737*100</f>
        <v>69.014084507042256</v>
      </c>
      <c r="L728" s="279">
        <f t="shared" si="1148"/>
        <v>100</v>
      </c>
      <c r="M728" s="279">
        <f t="shared" si="1148"/>
        <v>100</v>
      </c>
      <c r="N728" s="279">
        <f t="shared" ref="N728" si="1149">N734/N737*100</f>
        <v>100</v>
      </c>
      <c r="Q728" s="279">
        <f t="shared" ref="Q728:T729" si="1150">Q734/Q737*100</f>
        <v>69.014084507042256</v>
      </c>
      <c r="R728" s="279">
        <f t="shared" si="1150"/>
        <v>75.813953488372093</v>
      </c>
      <c r="S728" s="279">
        <f t="shared" si="1150"/>
        <v>100</v>
      </c>
      <c r="T728" s="279">
        <f t="shared" si="1150"/>
        <v>100</v>
      </c>
      <c r="V728" s="279">
        <f t="shared" ref="V728:W729" si="1151">V734/V737*100</f>
        <v>0</v>
      </c>
      <c r="W728" s="279">
        <f t="shared" si="1151"/>
        <v>0</v>
      </c>
      <c r="Y728" s="279">
        <f t="shared" ref="Y728:Z729" si="1152">Y734/Y737*100</f>
        <v>0</v>
      </c>
      <c r="Z728" s="279">
        <f t="shared" si="1152"/>
        <v>0</v>
      </c>
      <c r="AB728" s="279">
        <f t="shared" ref="AB728:AC729" si="1153">AB734/AB737*100</f>
        <v>0</v>
      </c>
      <c r="AC728" s="279">
        <f t="shared" si="1153"/>
        <v>0</v>
      </c>
      <c r="AE728" s="279">
        <f t="shared" ref="AE728:AF729" si="1154">AE734/AE737*100</f>
        <v>50</v>
      </c>
      <c r="AF728" s="279">
        <f t="shared" si="1154"/>
        <v>83.333333333333343</v>
      </c>
      <c r="AH728" s="279">
        <f t="shared" ref="AH728:AI729" si="1155">AH734/AH737*100</f>
        <v>0</v>
      </c>
      <c r="AI728" s="279">
        <f t="shared" si="1155"/>
        <v>0</v>
      </c>
      <c r="AK728" s="279">
        <f t="shared" ref="AK728:AL729" si="1156">AK734/AK737*100</f>
        <v>60</v>
      </c>
      <c r="AL728" s="279">
        <f t="shared" si="1156"/>
        <v>60</v>
      </c>
      <c r="AN728" s="279">
        <f t="shared" ref="AN728:AO729" si="1157">AN734/AN737*100</f>
        <v>18.181818181818183</v>
      </c>
      <c r="AO728" s="279">
        <f t="shared" si="1157"/>
        <v>45.454545454545453</v>
      </c>
      <c r="AQ728" s="279" t="e">
        <f t="shared" ref="AQ728:AR729" si="1158">AQ734/AQ737*100</f>
        <v>#DIV/0!</v>
      </c>
      <c r="AR728" s="279" t="e">
        <f t="shared" si="1158"/>
        <v>#DIV/0!</v>
      </c>
      <c r="AT728" s="279">
        <f t="shared" ref="AT728:AU729" si="1159">AT734/AT737*100</f>
        <v>88.888888888888886</v>
      </c>
      <c r="AU728" s="279">
        <f t="shared" si="1159"/>
        <v>88.888888888888886</v>
      </c>
      <c r="AW728" s="279">
        <f t="shared" ref="AW728:AX729" si="1160">AW734/AW737*100</f>
        <v>50</v>
      </c>
      <c r="AX728" s="279">
        <f t="shared" si="1160"/>
        <v>50</v>
      </c>
      <c r="AZ728" s="279">
        <f t="shared" ref="AZ728:BA729" si="1161">AZ734/AZ737*100</f>
        <v>85.714285714285708</v>
      </c>
      <c r="BA728" s="279">
        <f t="shared" si="1161"/>
        <v>85.714285714285708</v>
      </c>
      <c r="BC728" s="279">
        <f t="shared" ref="BC728:BD729" si="1162">BC734/BC737*100</f>
        <v>100</v>
      </c>
      <c r="BD728" s="279">
        <f t="shared" si="1162"/>
        <v>100</v>
      </c>
      <c r="BF728" s="279">
        <f t="shared" ref="BF728:BG729" si="1163">BF734/BF737*100</f>
        <v>100</v>
      </c>
      <c r="BG728" s="279">
        <f t="shared" si="1163"/>
        <v>100</v>
      </c>
      <c r="BI728" s="279">
        <f t="shared" ref="BI728:BJ729" si="1164">BI734/BI737*100</f>
        <v>86.486486486486484</v>
      </c>
      <c r="BJ728" s="279">
        <f t="shared" si="1164"/>
        <v>91.891891891891902</v>
      </c>
      <c r="BL728" s="279">
        <f t="shared" ref="BL728:BM729" si="1165">BL734/BL737*100</f>
        <v>100</v>
      </c>
      <c r="BM728" s="279">
        <f t="shared" si="1165"/>
        <v>100</v>
      </c>
      <c r="BO728" s="279">
        <f t="shared" ref="BO728:BP729" si="1166">BO734/BO737*100</f>
        <v>100</v>
      </c>
      <c r="BP728" s="279">
        <f t="shared" si="1166"/>
        <v>100</v>
      </c>
      <c r="BR728" s="279">
        <f t="shared" ref="BR728:BS729" si="1167">BR734/BR737*100</f>
        <v>100</v>
      </c>
      <c r="BS728" s="279">
        <f t="shared" si="1167"/>
        <v>100</v>
      </c>
      <c r="BU728" s="279">
        <f t="shared" ref="BU728:BV729" si="1168">BU734/BU737*100</f>
        <v>28.571428571428569</v>
      </c>
      <c r="BV728" s="279">
        <f t="shared" si="1168"/>
        <v>100</v>
      </c>
      <c r="BX728" s="279">
        <f t="shared" ref="BX728:BY729" si="1169">BX734/BX737*100</f>
        <v>100</v>
      </c>
      <c r="BY728" s="279">
        <f t="shared" si="1169"/>
        <v>100</v>
      </c>
      <c r="CA728" s="279">
        <f t="shared" ref="CA728:CB729" si="1170">CA734/CA737*100</f>
        <v>33.333333333333329</v>
      </c>
      <c r="CB728" s="279">
        <f t="shared" si="1170"/>
        <v>42.857142857142854</v>
      </c>
      <c r="CD728" s="279">
        <f t="shared" ref="CD728:CE729" si="1171">CD734/CD737*100</f>
        <v>100</v>
      </c>
      <c r="CE728" s="279">
        <f t="shared" si="1171"/>
        <v>100</v>
      </c>
      <c r="CG728" s="279">
        <f t="shared" ref="CG728:CH729" si="1172">CG734/CG737*100</f>
        <v>22.222222222222221</v>
      </c>
      <c r="CH728" s="279">
        <f t="shared" si="1172"/>
        <v>33.333333333333329</v>
      </c>
      <c r="CJ728" s="279" t="e">
        <f t="shared" ref="CJ728:CK729" si="1173">CJ734/CJ737*100</f>
        <v>#DIV/0!</v>
      </c>
      <c r="CK728" s="279" t="e">
        <f t="shared" si="1173"/>
        <v>#DIV/0!</v>
      </c>
    </row>
    <row r="729" spans="1:89" x14ac:dyDescent="0.25">
      <c r="A729" s="95"/>
      <c r="B729" s="334" t="s">
        <v>2788</v>
      </c>
      <c r="C729" s="263"/>
      <c r="D729" s="95"/>
      <c r="E729" s="291"/>
      <c r="F729" s="291"/>
      <c r="G729" s="291"/>
      <c r="H729" s="291"/>
      <c r="I729" s="291"/>
      <c r="J729" s="291"/>
      <c r="K729" s="279">
        <f t="shared" si="1148"/>
        <v>25.531914893617021</v>
      </c>
      <c r="L729" s="279">
        <f t="shared" si="1148"/>
        <v>100</v>
      </c>
      <c r="M729" s="279">
        <f t="shared" si="1148"/>
        <v>100</v>
      </c>
      <c r="N729" s="279">
        <f t="shared" ref="N729" si="1174">N735/N738*100</f>
        <v>100</v>
      </c>
      <c r="Q729" s="279">
        <f t="shared" si="1150"/>
        <v>25.531914893617021</v>
      </c>
      <c r="R729" s="279">
        <f t="shared" si="1150"/>
        <v>57.446808510638306</v>
      </c>
      <c r="S729" s="279">
        <f t="shared" si="1150"/>
        <v>28.571428571428569</v>
      </c>
      <c r="T729" s="279">
        <f t="shared" si="1150"/>
        <v>85.714285714285708</v>
      </c>
      <c r="V729" s="279">
        <f t="shared" si="1151"/>
        <v>25</v>
      </c>
      <c r="W729" s="279">
        <f t="shared" si="1151"/>
        <v>37.5</v>
      </c>
      <c r="Y729" s="279">
        <f t="shared" si="1152"/>
        <v>0</v>
      </c>
      <c r="Z729" s="279">
        <f t="shared" si="1152"/>
        <v>0</v>
      </c>
      <c r="AB729" s="279">
        <f t="shared" si="1153"/>
        <v>100</v>
      </c>
      <c r="AC729" s="279">
        <f t="shared" si="1153"/>
        <v>100</v>
      </c>
      <c r="AE729" s="279">
        <f t="shared" si="1154"/>
        <v>9.0909090909090917</v>
      </c>
      <c r="AF729" s="279">
        <f t="shared" si="1154"/>
        <v>20</v>
      </c>
      <c r="AH729" s="279">
        <f t="shared" si="1155"/>
        <v>38.461538461538467</v>
      </c>
      <c r="AI729" s="279">
        <f t="shared" si="1155"/>
        <v>46.153846153846153</v>
      </c>
      <c r="AK729" s="279">
        <f t="shared" si="1156"/>
        <v>0</v>
      </c>
      <c r="AL729" s="279">
        <f t="shared" si="1156"/>
        <v>0</v>
      </c>
      <c r="AN729" s="279">
        <f t="shared" si="1157"/>
        <v>28.571428571428569</v>
      </c>
      <c r="AO729" s="279">
        <f t="shared" si="1157"/>
        <v>71.428571428571431</v>
      </c>
      <c r="AQ729" s="279">
        <f t="shared" si="1158"/>
        <v>4.3478260869565215</v>
      </c>
      <c r="AR729" s="279">
        <f t="shared" si="1158"/>
        <v>83.333333333333343</v>
      </c>
      <c r="AT729" s="279" t="e">
        <f t="shared" si="1159"/>
        <v>#DIV/0!</v>
      </c>
      <c r="AU729" s="279" t="e">
        <f t="shared" si="1159"/>
        <v>#DIV/0!</v>
      </c>
      <c r="AW729" s="279" t="e">
        <f t="shared" si="1160"/>
        <v>#DIV/0!</v>
      </c>
      <c r="AX729" s="279" t="e">
        <f t="shared" si="1160"/>
        <v>#DIV/0!</v>
      </c>
      <c r="AZ729" s="279" t="e">
        <f t="shared" si="1161"/>
        <v>#DIV/0!</v>
      </c>
      <c r="BA729" s="279" t="e">
        <f t="shared" si="1161"/>
        <v>#DIV/0!</v>
      </c>
      <c r="BC729" s="279" t="e">
        <f t="shared" si="1162"/>
        <v>#DIV/0!</v>
      </c>
      <c r="BD729" s="279" t="e">
        <f t="shared" si="1162"/>
        <v>#DIV/0!</v>
      </c>
      <c r="BF729" s="279" t="e">
        <f t="shared" si="1163"/>
        <v>#DIV/0!</v>
      </c>
      <c r="BG729" s="279" t="e">
        <f t="shared" si="1163"/>
        <v>#DIV/0!</v>
      </c>
      <c r="BI729" s="279" t="e">
        <f t="shared" si="1164"/>
        <v>#DIV/0!</v>
      </c>
      <c r="BJ729" s="279" t="e">
        <f t="shared" si="1164"/>
        <v>#DIV/0!</v>
      </c>
      <c r="BL729" s="279" t="e">
        <f t="shared" si="1165"/>
        <v>#DIV/0!</v>
      </c>
      <c r="BM729" s="279" t="e">
        <f t="shared" si="1165"/>
        <v>#DIV/0!</v>
      </c>
      <c r="BO729" s="279" t="e">
        <f t="shared" si="1166"/>
        <v>#DIV/0!</v>
      </c>
      <c r="BP729" s="279" t="e">
        <f t="shared" si="1166"/>
        <v>#DIV/0!</v>
      </c>
      <c r="BR729" s="279" t="e">
        <f t="shared" si="1167"/>
        <v>#DIV/0!</v>
      </c>
      <c r="BS729" s="279" t="e">
        <f t="shared" si="1167"/>
        <v>#DIV/0!</v>
      </c>
      <c r="BU729" s="279" t="e">
        <f t="shared" si="1168"/>
        <v>#DIV/0!</v>
      </c>
      <c r="BV729" s="279" t="e">
        <f t="shared" si="1168"/>
        <v>#DIV/0!</v>
      </c>
      <c r="BX729" s="279" t="e">
        <f t="shared" si="1169"/>
        <v>#DIV/0!</v>
      </c>
      <c r="BY729" s="279" t="e">
        <f t="shared" si="1169"/>
        <v>#DIV/0!</v>
      </c>
      <c r="CA729" s="279" t="e">
        <f t="shared" si="1170"/>
        <v>#DIV/0!</v>
      </c>
      <c r="CB729" s="279" t="e">
        <f t="shared" si="1170"/>
        <v>#DIV/0!</v>
      </c>
      <c r="CD729" s="279" t="e">
        <f t="shared" si="1171"/>
        <v>#DIV/0!</v>
      </c>
      <c r="CE729" s="279" t="e">
        <f t="shared" si="1171"/>
        <v>#DIV/0!</v>
      </c>
      <c r="CG729" s="279">
        <f t="shared" si="1172"/>
        <v>25</v>
      </c>
      <c r="CH729" s="279">
        <f t="shared" si="1172"/>
        <v>50</v>
      </c>
      <c r="CJ729" s="279" t="e">
        <f t="shared" si="1173"/>
        <v>#DIV/0!</v>
      </c>
      <c r="CK729" s="279" t="e">
        <f t="shared" si="1173"/>
        <v>#DIV/0!</v>
      </c>
    </row>
    <row r="730" spans="1:89" x14ac:dyDescent="0.25">
      <c r="A730" s="95"/>
      <c r="B730" s="334" t="s">
        <v>1184</v>
      </c>
      <c r="C730" s="263"/>
      <c r="D730" s="95"/>
      <c r="E730" s="291"/>
      <c r="F730" s="291"/>
      <c r="G730" s="291"/>
      <c r="H730" s="291"/>
      <c r="I730" s="291"/>
      <c r="J730" s="291"/>
      <c r="K730" s="279"/>
      <c r="L730" s="279"/>
      <c r="M730" s="279"/>
      <c r="N730" s="279"/>
      <c r="Q730" s="279"/>
      <c r="R730" s="279"/>
      <c r="S730" s="279"/>
      <c r="T730" s="279"/>
      <c r="V730" s="279"/>
      <c r="W730" s="279"/>
      <c r="Y730" s="279"/>
      <c r="Z730" s="279"/>
      <c r="AB730" s="279"/>
      <c r="AC730" s="279"/>
      <c r="AE730" s="279"/>
      <c r="AF730" s="279"/>
      <c r="AH730" s="279"/>
      <c r="AI730" s="279"/>
      <c r="AK730" s="279"/>
      <c r="AL730" s="279"/>
      <c r="AN730" s="279"/>
      <c r="AO730" s="279"/>
      <c r="AQ730" s="279"/>
      <c r="AR730" s="279"/>
      <c r="AT730" s="279"/>
      <c r="AU730" s="279"/>
      <c r="AW730" s="279"/>
      <c r="AX730" s="279"/>
      <c r="AZ730" s="279"/>
      <c r="BA730" s="279"/>
      <c r="BC730" s="279"/>
      <c r="BD730" s="279"/>
      <c r="BF730" s="279"/>
      <c r="BG730" s="279"/>
      <c r="BI730" s="279"/>
      <c r="BJ730" s="279"/>
      <c r="BL730" s="279"/>
      <c r="BM730" s="279"/>
      <c r="BO730" s="279"/>
      <c r="BP730" s="279"/>
      <c r="BR730" s="279"/>
      <c r="BS730" s="279"/>
      <c r="BU730" s="279"/>
      <c r="BV730" s="279"/>
      <c r="BX730" s="279"/>
      <c r="BY730" s="279"/>
      <c r="CA730" s="279"/>
      <c r="CB730" s="279"/>
      <c r="CD730" s="279"/>
      <c r="CE730" s="279"/>
      <c r="CG730" s="279"/>
      <c r="CH730" s="279"/>
      <c r="CJ730" s="279"/>
      <c r="CK730" s="279"/>
    </row>
    <row r="731" spans="1:89" x14ac:dyDescent="0.25">
      <c r="A731" s="95"/>
      <c r="B731" s="334" t="s">
        <v>2787</v>
      </c>
      <c r="C731" s="263"/>
      <c r="D731" s="95"/>
      <c r="E731" s="291"/>
      <c r="F731" s="291"/>
      <c r="G731" s="291"/>
      <c r="H731" s="291"/>
      <c r="I731" s="291"/>
      <c r="J731" s="291"/>
      <c r="K731" s="279">
        <f>K740/K743*100</f>
        <v>50</v>
      </c>
      <c r="L731" s="279" t="e">
        <f>L740/L743*100</f>
        <v>#DIV/0!</v>
      </c>
      <c r="M731" s="279" t="e">
        <f t="shared" ref="M731:N732" si="1175">M740/M743*100</f>
        <v>#DIV/0!</v>
      </c>
      <c r="N731" s="279" t="e">
        <f t="shared" si="1175"/>
        <v>#DIV/0!</v>
      </c>
      <c r="Q731" s="279">
        <f t="shared" ref="Q731:T732" si="1176">Q740/Q743*100</f>
        <v>50</v>
      </c>
      <c r="R731" s="279">
        <f t="shared" si="1176"/>
        <v>50</v>
      </c>
      <c r="S731" s="279" t="e">
        <f t="shared" si="1176"/>
        <v>#DIV/0!</v>
      </c>
      <c r="T731" s="279" t="e">
        <f t="shared" si="1176"/>
        <v>#DIV/0!</v>
      </c>
      <c r="V731" s="279" t="e">
        <f>V740/V743*100</f>
        <v>#DIV/0!</v>
      </c>
      <c r="W731" s="279" t="e">
        <f>W740/W743*100</f>
        <v>#DIV/0!</v>
      </c>
      <c r="Y731" s="279" t="e">
        <f>Y740/Y743*100</f>
        <v>#DIV/0!</v>
      </c>
      <c r="Z731" s="279" t="e">
        <f>Z740/Z743*100</f>
        <v>#DIV/0!</v>
      </c>
      <c r="AB731" s="279" t="e">
        <f>AB740/AB743*100</f>
        <v>#DIV/0!</v>
      </c>
      <c r="AC731" s="279" t="e">
        <f>AC740/AC743*100</f>
        <v>#DIV/0!</v>
      </c>
      <c r="AE731" s="279" t="e">
        <f>AE740/AE743*100</f>
        <v>#DIV/0!</v>
      </c>
      <c r="AF731" s="279" t="e">
        <f>AF740/AF743*100</f>
        <v>#DIV/0!</v>
      </c>
      <c r="AH731" s="279" t="e">
        <f>AH740/AH743*100</f>
        <v>#DIV/0!</v>
      </c>
      <c r="AI731" s="279" t="e">
        <f>AI740/AI743*100</f>
        <v>#DIV/0!</v>
      </c>
      <c r="AK731" s="279" t="e">
        <f>AK740/AK743*100</f>
        <v>#DIV/0!</v>
      </c>
      <c r="AL731" s="279" t="e">
        <f>AL740/AL743*100</f>
        <v>#DIV/0!</v>
      </c>
      <c r="AN731" s="279" t="e">
        <f>AN740/AN743*100</f>
        <v>#DIV/0!</v>
      </c>
      <c r="AO731" s="279" t="e">
        <f>AO740/AO743*100</f>
        <v>#DIV/0!</v>
      </c>
      <c r="AQ731" s="279" t="e">
        <f>AQ740/AQ743*100</f>
        <v>#DIV/0!</v>
      </c>
      <c r="AR731" s="279" t="e">
        <f>AR740/AR743*100</f>
        <v>#DIV/0!</v>
      </c>
      <c r="AT731" s="279" t="e">
        <f>AT740/AT743*100</f>
        <v>#DIV/0!</v>
      </c>
      <c r="AU731" s="279" t="e">
        <f>AU740/AU743*100</f>
        <v>#DIV/0!</v>
      </c>
      <c r="AW731" s="279" t="e">
        <f>AW740/AW743*100</f>
        <v>#DIV/0!</v>
      </c>
      <c r="AX731" s="279" t="e">
        <f>AX740/AX743*100</f>
        <v>#DIV/0!</v>
      </c>
      <c r="AZ731" s="279" t="e">
        <f>AZ740/AZ743*100</f>
        <v>#DIV/0!</v>
      </c>
      <c r="BA731" s="279" t="e">
        <f>BA740/BA743*100</f>
        <v>#DIV/0!</v>
      </c>
      <c r="BC731" s="279">
        <f>BC740/BC743*100</f>
        <v>0</v>
      </c>
      <c r="BD731" s="279">
        <f>BD740/BD743*100</f>
        <v>0</v>
      </c>
      <c r="BF731" s="279">
        <f>BF740/BF743*100</f>
        <v>100</v>
      </c>
      <c r="BG731" s="279">
        <f>BG740/BG743*100</f>
        <v>100</v>
      </c>
      <c r="BI731" s="279">
        <f>BI740/BI743*100</f>
        <v>0</v>
      </c>
      <c r="BJ731" s="279">
        <f>BJ740/BJ743*100</f>
        <v>0</v>
      </c>
      <c r="BL731" s="279" t="e">
        <f>BL740/BL743*100</f>
        <v>#DIV/0!</v>
      </c>
      <c r="BM731" s="279" t="e">
        <f>BM740/BM743*100</f>
        <v>#DIV/0!</v>
      </c>
      <c r="BO731" s="279" t="e">
        <f>BO740/BO743*100</f>
        <v>#DIV/0!</v>
      </c>
      <c r="BP731" s="279" t="e">
        <f>BP740/BP743*100</f>
        <v>#DIV/0!</v>
      </c>
      <c r="BR731" s="279" t="e">
        <f>BR740/BR743*100</f>
        <v>#DIV/0!</v>
      </c>
      <c r="BS731" s="279" t="e">
        <f>BS740/BS743*100</f>
        <v>#DIV/0!</v>
      </c>
      <c r="BU731" s="279" t="e">
        <f>BU740/BU743*100</f>
        <v>#DIV/0!</v>
      </c>
      <c r="BV731" s="279" t="e">
        <f>BV740/BV743*100</f>
        <v>#DIV/0!</v>
      </c>
      <c r="BX731" s="279" t="e">
        <f>BX740/BX743*100</f>
        <v>#DIV/0!</v>
      </c>
      <c r="BY731" s="279" t="e">
        <f>BY740/BY743*100</f>
        <v>#DIV/0!</v>
      </c>
      <c r="CA731" s="279" t="e">
        <f>CA740/CA743*100</f>
        <v>#DIV/0!</v>
      </c>
      <c r="CB731" s="279" t="e">
        <f>CB740/CB743*100</f>
        <v>#DIV/0!</v>
      </c>
      <c r="CD731" s="279">
        <f>CD740/CD743*100</f>
        <v>100</v>
      </c>
      <c r="CE731" s="279">
        <f>CE740/CE743*100</f>
        <v>100</v>
      </c>
      <c r="CG731" s="279" t="e">
        <f>CG740/CG743*100</f>
        <v>#DIV/0!</v>
      </c>
      <c r="CH731" s="279" t="e">
        <f>CH740/CH743*100</f>
        <v>#DIV/0!</v>
      </c>
      <c r="CJ731" s="279" t="e">
        <f>CJ740/CJ743*100</f>
        <v>#DIV/0!</v>
      </c>
      <c r="CK731" s="279" t="e">
        <f>CK740/CK743*100</f>
        <v>#DIV/0!</v>
      </c>
    </row>
    <row r="732" spans="1:89" x14ac:dyDescent="0.25">
      <c r="A732" s="95"/>
      <c r="B732" s="334" t="s">
        <v>2788</v>
      </c>
      <c r="C732" s="263"/>
      <c r="D732" s="95"/>
      <c r="E732" s="291"/>
      <c r="F732" s="291"/>
      <c r="G732" s="291"/>
      <c r="H732" s="291"/>
      <c r="I732" s="291"/>
      <c r="J732" s="291"/>
      <c r="K732" s="279" t="e">
        <f>K741/K744*100</f>
        <v>#DIV/0!</v>
      </c>
      <c r="L732" s="279" t="e">
        <f>L741/L744*100</f>
        <v>#DIV/0!</v>
      </c>
      <c r="M732" s="279" t="e">
        <f t="shared" si="1175"/>
        <v>#DIV/0!</v>
      </c>
      <c r="N732" s="279" t="e">
        <f t="shared" si="1175"/>
        <v>#DIV/0!</v>
      </c>
      <c r="Q732" s="279" t="e">
        <f t="shared" si="1176"/>
        <v>#DIV/0!</v>
      </c>
      <c r="R732" s="279" t="e">
        <f t="shared" si="1176"/>
        <v>#DIV/0!</v>
      </c>
      <c r="S732" s="279" t="e">
        <f t="shared" si="1176"/>
        <v>#DIV/0!</v>
      </c>
      <c r="T732" s="279" t="e">
        <f t="shared" si="1176"/>
        <v>#DIV/0!</v>
      </c>
      <c r="V732" s="279" t="e">
        <f>V741/V744*100</f>
        <v>#DIV/0!</v>
      </c>
      <c r="W732" s="279" t="e">
        <f>W741/W744*100</f>
        <v>#DIV/0!</v>
      </c>
      <c r="Y732" s="279" t="e">
        <f>Y741/Y744*100</f>
        <v>#DIV/0!</v>
      </c>
      <c r="Z732" s="279" t="e">
        <f>Z741/Z744*100</f>
        <v>#DIV/0!</v>
      </c>
      <c r="AB732" s="279" t="e">
        <f>AB741/AB744*100</f>
        <v>#DIV/0!</v>
      </c>
      <c r="AC732" s="279" t="e">
        <f>AC741/AC744*100</f>
        <v>#DIV/0!</v>
      </c>
      <c r="AE732" s="279" t="e">
        <f>AE741/AE744*100</f>
        <v>#DIV/0!</v>
      </c>
      <c r="AF732" s="279" t="e">
        <f>AF741/AF744*100</f>
        <v>#DIV/0!</v>
      </c>
      <c r="AH732" s="279" t="e">
        <f>AH741/AH744*100</f>
        <v>#DIV/0!</v>
      </c>
      <c r="AI732" s="279" t="e">
        <f>AI741/AI744*100</f>
        <v>#DIV/0!</v>
      </c>
      <c r="AK732" s="279" t="e">
        <f>AK741/AK744*100</f>
        <v>#DIV/0!</v>
      </c>
      <c r="AL732" s="279" t="e">
        <f>AL741/AL744*100</f>
        <v>#DIV/0!</v>
      </c>
      <c r="AN732" s="279" t="e">
        <f>AN741/AN744*100</f>
        <v>#DIV/0!</v>
      </c>
      <c r="AO732" s="279" t="e">
        <f>AO741/AO744*100</f>
        <v>#DIV/0!</v>
      </c>
      <c r="AQ732" s="279" t="e">
        <f>AQ741/AQ744*100</f>
        <v>#DIV/0!</v>
      </c>
      <c r="AR732" s="279" t="e">
        <f>AR741/AR744*100</f>
        <v>#DIV/0!</v>
      </c>
      <c r="AT732" s="279" t="e">
        <f>AT741/AT744*100</f>
        <v>#DIV/0!</v>
      </c>
      <c r="AU732" s="279" t="e">
        <f>AU741/AU744*100</f>
        <v>#DIV/0!</v>
      </c>
      <c r="AW732" s="279" t="e">
        <f>AW741/AW744*100</f>
        <v>#DIV/0!</v>
      </c>
      <c r="AX732" s="279" t="e">
        <f>AX741/AX744*100</f>
        <v>#DIV/0!</v>
      </c>
      <c r="AZ732" s="279" t="e">
        <f>AZ741/AZ744*100</f>
        <v>#DIV/0!</v>
      </c>
      <c r="BA732" s="279" t="e">
        <f>BA741/BA744*100</f>
        <v>#DIV/0!</v>
      </c>
      <c r="BC732" s="279" t="e">
        <f>BC741/BC744*100</f>
        <v>#DIV/0!</v>
      </c>
      <c r="BD732" s="279" t="e">
        <f>BD741/BD744*100</f>
        <v>#DIV/0!</v>
      </c>
      <c r="BF732" s="279" t="e">
        <f>BF741/BF744*100</f>
        <v>#DIV/0!</v>
      </c>
      <c r="BG732" s="279" t="e">
        <f>BG741/BG744*100</f>
        <v>#DIV/0!</v>
      </c>
      <c r="BI732" s="279" t="e">
        <f>BI741/BI744*100</f>
        <v>#DIV/0!</v>
      </c>
      <c r="BJ732" s="279" t="e">
        <f>BJ741/BJ744*100</f>
        <v>#DIV/0!</v>
      </c>
      <c r="BL732" s="279" t="e">
        <f>BL741/BL744*100</f>
        <v>#DIV/0!</v>
      </c>
      <c r="BM732" s="279" t="e">
        <f>BM741/BM744*100</f>
        <v>#DIV/0!</v>
      </c>
      <c r="BO732" s="279" t="e">
        <f>BO741/BO744*100</f>
        <v>#DIV/0!</v>
      </c>
      <c r="BP732" s="279" t="e">
        <f>BP741/BP744*100</f>
        <v>#DIV/0!</v>
      </c>
      <c r="BR732" s="279" t="e">
        <f>BR741/BR744*100</f>
        <v>#DIV/0!</v>
      </c>
      <c r="BS732" s="279" t="e">
        <f>BS741/BS744*100</f>
        <v>#DIV/0!</v>
      </c>
      <c r="BU732" s="279" t="e">
        <f>BU741/BU744*100</f>
        <v>#DIV/0!</v>
      </c>
      <c r="BV732" s="279" t="e">
        <f>BV741/BV744*100</f>
        <v>#DIV/0!</v>
      </c>
      <c r="BX732" s="279" t="e">
        <f>BX741/BX744*100</f>
        <v>#DIV/0!</v>
      </c>
      <c r="BY732" s="279" t="e">
        <f>BY741/BY744*100</f>
        <v>#DIV/0!</v>
      </c>
      <c r="CA732" s="279" t="e">
        <f>CA741/CA744*100</f>
        <v>#DIV/0!</v>
      </c>
      <c r="CB732" s="279" t="e">
        <f>CB741/CB744*100</f>
        <v>#DIV/0!</v>
      </c>
      <c r="CD732" s="279" t="e">
        <f>CD741/CD744*100</f>
        <v>#DIV/0!</v>
      </c>
      <c r="CE732" s="279" t="e">
        <f>CE741/CE744*100</f>
        <v>#DIV/0!</v>
      </c>
      <c r="CG732" s="279" t="e">
        <f>CG741/CG744*100</f>
        <v>#DIV/0!</v>
      </c>
      <c r="CH732" s="279" t="e">
        <f>CH741/CH744*100</f>
        <v>#DIV/0!</v>
      </c>
      <c r="CJ732" s="279" t="e">
        <f>CJ741/CJ744*100</f>
        <v>#DIV/0!</v>
      </c>
      <c r="CK732" s="279" t="e">
        <f>CK741/CK744*100</f>
        <v>#DIV/0!</v>
      </c>
    </row>
    <row r="733" spans="1:89" ht="30" x14ac:dyDescent="0.25">
      <c r="A733" s="95"/>
      <c r="B733" s="261" t="s">
        <v>2789</v>
      </c>
      <c r="C733" s="263"/>
      <c r="D733" s="95"/>
      <c r="E733" s="291"/>
      <c r="F733" s="291"/>
      <c r="G733" s="291"/>
      <c r="H733" s="291"/>
      <c r="I733" s="291"/>
      <c r="J733" s="291">
        <f>J734+J735</f>
        <v>0</v>
      </c>
      <c r="K733" s="291">
        <f>K734+K735</f>
        <v>171</v>
      </c>
      <c r="L733" s="291">
        <f>L734+L735</f>
        <v>18</v>
      </c>
      <c r="M733" s="291">
        <f>M734+M735</f>
        <v>18</v>
      </c>
      <c r="N733" s="291">
        <f>N734+N735</f>
        <v>18</v>
      </c>
      <c r="Q733" s="291">
        <f>Q734+Q735</f>
        <v>171</v>
      </c>
      <c r="R733" s="291">
        <f>R734+R735</f>
        <v>217</v>
      </c>
      <c r="S733" s="291">
        <f>S734+S735</f>
        <v>5</v>
      </c>
      <c r="T733" s="291">
        <f>T734+T735</f>
        <v>10</v>
      </c>
      <c r="V733" s="291">
        <f>V734+V735</f>
        <v>2</v>
      </c>
      <c r="W733" s="291">
        <f>W734+W735</f>
        <v>3</v>
      </c>
      <c r="Y733" s="291">
        <f>Y734+Y735</f>
        <v>0</v>
      </c>
      <c r="Z733" s="291">
        <f>Z734+Z735</f>
        <v>0</v>
      </c>
      <c r="AB733" s="291">
        <f>AB734+AB735</f>
        <v>10</v>
      </c>
      <c r="AC733" s="291">
        <f>AC734+AC735</f>
        <v>10</v>
      </c>
      <c r="AE733" s="291">
        <f>AE734+AE735</f>
        <v>4</v>
      </c>
      <c r="AF733" s="291">
        <f>AF734+AF735</f>
        <v>7</v>
      </c>
      <c r="AH733" s="291">
        <f>AH734+AH735</f>
        <v>5</v>
      </c>
      <c r="AI733" s="291">
        <f>AI734+AI735</f>
        <v>6</v>
      </c>
      <c r="AK733" s="291">
        <f>AK734+AK735</f>
        <v>6</v>
      </c>
      <c r="AL733" s="291">
        <f>AL734+AL735</f>
        <v>6</v>
      </c>
      <c r="AN733" s="291">
        <f>AN734+AN735</f>
        <v>4</v>
      </c>
      <c r="AO733" s="291">
        <f>AO734+AO735</f>
        <v>10</v>
      </c>
      <c r="AQ733" s="291">
        <f>AQ734+AQ735</f>
        <v>1</v>
      </c>
      <c r="AR733" s="291">
        <f>AR734+AR735</f>
        <v>20</v>
      </c>
      <c r="AT733" s="291">
        <f>AT734+AT735</f>
        <v>8</v>
      </c>
      <c r="AU733" s="291">
        <f>AU734+AU735</f>
        <v>8</v>
      </c>
      <c r="AW733" s="291">
        <f>AW734+AW735</f>
        <v>3</v>
      </c>
      <c r="AX733" s="291">
        <f>AX734+AX735</f>
        <v>3</v>
      </c>
      <c r="AZ733" s="291">
        <f>AZ734+AZ735</f>
        <v>6</v>
      </c>
      <c r="BA733" s="291">
        <f>BA734+BA735</f>
        <v>6</v>
      </c>
      <c r="BC733" s="291">
        <f>BC734+BC735</f>
        <v>15</v>
      </c>
      <c r="BD733" s="291">
        <f>BD734+BD735</f>
        <v>15</v>
      </c>
      <c r="BF733" s="291">
        <f>BF734+BF735</f>
        <v>33</v>
      </c>
      <c r="BG733" s="291">
        <f>BG734+BG735</f>
        <v>34</v>
      </c>
      <c r="BI733" s="291">
        <f>BI734+BI735</f>
        <v>32</v>
      </c>
      <c r="BJ733" s="291">
        <f>BJ734+BJ735</f>
        <v>34</v>
      </c>
      <c r="BL733" s="291">
        <f>BL734+BL735</f>
        <v>6</v>
      </c>
      <c r="BM733" s="291">
        <f>BM734+BM735</f>
        <v>6</v>
      </c>
      <c r="BO733" s="291">
        <f>BO734+BO735</f>
        <v>6</v>
      </c>
      <c r="BP733" s="291">
        <f>BP734+BP735</f>
        <v>6</v>
      </c>
      <c r="BR733" s="291">
        <f>BR734+BR735</f>
        <v>8</v>
      </c>
      <c r="BS733" s="291">
        <f>BS734+BS735</f>
        <v>7</v>
      </c>
      <c r="BU733" s="291">
        <f>BU734+BU735</f>
        <v>2</v>
      </c>
      <c r="BV733" s="291">
        <f>BV734+BV735</f>
        <v>7</v>
      </c>
      <c r="BX733" s="291">
        <f>BX734+BX735</f>
        <v>3</v>
      </c>
      <c r="BY733" s="291">
        <f>BY734+BY735</f>
        <v>3</v>
      </c>
      <c r="CA733" s="291">
        <f>CA734+CA735</f>
        <v>2</v>
      </c>
      <c r="CB733" s="291">
        <f>CB734+CB735</f>
        <v>3</v>
      </c>
      <c r="CD733" s="291">
        <f>CD734+CD735</f>
        <v>5</v>
      </c>
      <c r="CE733" s="291">
        <f>CE734+CE735</f>
        <v>5</v>
      </c>
      <c r="CG733" s="291">
        <f>CG734+CG735</f>
        <v>5</v>
      </c>
      <c r="CH733" s="291">
        <f>CH734+CH735</f>
        <v>8</v>
      </c>
      <c r="CJ733" s="291">
        <f>CJ734+CJ735</f>
        <v>0</v>
      </c>
      <c r="CK733" s="291">
        <f>CK734+CK735</f>
        <v>0</v>
      </c>
    </row>
    <row r="734" spans="1:89" x14ac:dyDescent="0.25">
      <c r="A734" s="95"/>
      <c r="B734" s="261" t="s">
        <v>2787</v>
      </c>
      <c r="C734" s="263"/>
      <c r="D734" s="95" t="s">
        <v>1763</v>
      </c>
      <c r="E734" s="291"/>
      <c r="F734" s="291"/>
      <c r="G734" s="291"/>
      <c r="H734" s="291"/>
      <c r="I734" s="291"/>
      <c r="J734" s="291"/>
      <c r="K734" s="291">
        <v>147</v>
      </c>
      <c r="L734" s="291">
        <v>5</v>
      </c>
      <c r="M734" s="291">
        <v>5</v>
      </c>
      <c r="N734" s="291">
        <v>5</v>
      </c>
      <c r="Q734" s="283">
        <f>S734+V734+Y734+AB734+AE734+AH734+AK734+AN734+AQ734+AT734+AW734+AZ734+BC734+BF734+BI734+BL734+BO734+BR734+BU734+BX734+CA734+CD734+CG734+CJ734</f>
        <v>147</v>
      </c>
      <c r="R734" s="283">
        <f>T734+W734+Z734+AC734+AF734+AI734+AL734+AO734+AR734+AU734+AX734+BA734+BD734+BG734+BJ734+BM734+BP734+BS734+BV734+BY734+CB734+CE734+CH734+CK734</f>
        <v>163</v>
      </c>
      <c r="S734" s="267">
        <v>3</v>
      </c>
      <c r="T734" s="267">
        <v>4</v>
      </c>
      <c r="V734" s="267">
        <v>0</v>
      </c>
      <c r="W734" s="267">
        <v>0</v>
      </c>
      <c r="Y734" s="267">
        <v>0</v>
      </c>
      <c r="Z734" s="267">
        <v>0</v>
      </c>
      <c r="AB734" s="267">
        <v>0</v>
      </c>
      <c r="AC734" s="267">
        <v>0</v>
      </c>
      <c r="AE734" s="267">
        <v>3</v>
      </c>
      <c r="AF734" s="267">
        <v>5</v>
      </c>
      <c r="AH734" s="267">
        <v>0</v>
      </c>
      <c r="AI734" s="267">
        <v>0</v>
      </c>
      <c r="AK734" s="267">
        <v>6</v>
      </c>
      <c r="AL734" s="267">
        <v>6</v>
      </c>
      <c r="AN734" s="267">
        <v>2</v>
      </c>
      <c r="AO734" s="267">
        <v>5</v>
      </c>
      <c r="AQ734" s="267">
        <v>0</v>
      </c>
      <c r="AR734" s="267">
        <v>0</v>
      </c>
      <c r="AT734" s="267">
        <v>8</v>
      </c>
      <c r="AU734" s="267">
        <v>8</v>
      </c>
      <c r="AW734" s="267">
        <v>3</v>
      </c>
      <c r="AX734" s="267">
        <v>3</v>
      </c>
      <c r="AZ734" s="267">
        <v>6</v>
      </c>
      <c r="BA734" s="267">
        <v>6</v>
      </c>
      <c r="BC734" s="267">
        <v>15</v>
      </c>
      <c r="BD734" s="267">
        <v>15</v>
      </c>
      <c r="BF734" s="267">
        <v>33</v>
      </c>
      <c r="BG734" s="267">
        <v>34</v>
      </c>
      <c r="BI734" s="267">
        <v>32</v>
      </c>
      <c r="BJ734" s="267">
        <v>34</v>
      </c>
      <c r="BL734" s="267">
        <v>6</v>
      </c>
      <c r="BM734" s="267">
        <v>6</v>
      </c>
      <c r="BO734" s="267">
        <v>6</v>
      </c>
      <c r="BP734" s="267">
        <v>6</v>
      </c>
      <c r="BR734" s="267">
        <v>8</v>
      </c>
      <c r="BS734" s="267">
        <v>7</v>
      </c>
      <c r="BU734" s="267">
        <v>2</v>
      </c>
      <c r="BV734" s="267">
        <v>7</v>
      </c>
      <c r="BX734" s="267">
        <v>3</v>
      </c>
      <c r="BY734" s="267">
        <v>3</v>
      </c>
      <c r="CA734" s="267">
        <v>2</v>
      </c>
      <c r="CB734" s="267">
        <v>3</v>
      </c>
      <c r="CD734" s="267">
        <v>5</v>
      </c>
      <c r="CE734" s="267">
        <v>5</v>
      </c>
      <c r="CG734" s="267">
        <v>4</v>
      </c>
      <c r="CH734" s="267">
        <v>6</v>
      </c>
      <c r="CJ734" s="267">
        <v>0</v>
      </c>
      <c r="CK734" s="267">
        <v>0</v>
      </c>
    </row>
    <row r="735" spans="1:89" x14ac:dyDescent="0.25">
      <c r="A735" s="95"/>
      <c r="B735" s="261" t="s">
        <v>2788</v>
      </c>
      <c r="C735" s="263"/>
      <c r="D735" s="95" t="s">
        <v>1763</v>
      </c>
      <c r="E735" s="291"/>
      <c r="F735" s="291"/>
      <c r="G735" s="291"/>
      <c r="H735" s="291"/>
      <c r="I735" s="291"/>
      <c r="J735" s="291"/>
      <c r="K735" s="291">
        <v>24</v>
      </c>
      <c r="L735" s="291">
        <v>13</v>
      </c>
      <c r="M735" s="291">
        <v>13</v>
      </c>
      <c r="N735" s="291">
        <v>13</v>
      </c>
      <c r="Q735" s="283">
        <f>S735+V735+Y735+AB735+AE735+AH735+AK735+AN735+AQ735+AT735+AW735+AZ735+BC735+BF735+BI735+BL735+BO735+BR735+BU735+BX735+CA735+CD735+CG735+CJ735</f>
        <v>24</v>
      </c>
      <c r="R735" s="283">
        <f>T735+W735+Z735+AC735+AF735+AI735+AL735+AO735+AR735+AU735+AX735+BA735+BD735+BG735+BJ735+BM735+BP735+BS735+BV735+BY735+CB735+CE735+CH735+CK735</f>
        <v>54</v>
      </c>
      <c r="S735" s="267">
        <v>2</v>
      </c>
      <c r="T735" s="267">
        <v>6</v>
      </c>
      <c r="V735" s="267">
        <v>2</v>
      </c>
      <c r="W735" s="267">
        <v>3</v>
      </c>
      <c r="Y735" s="267">
        <v>0</v>
      </c>
      <c r="Z735" s="267">
        <v>0</v>
      </c>
      <c r="AB735" s="267">
        <v>10</v>
      </c>
      <c r="AC735" s="267">
        <v>10</v>
      </c>
      <c r="AE735" s="267">
        <v>1</v>
      </c>
      <c r="AF735" s="267">
        <v>2</v>
      </c>
      <c r="AH735" s="267">
        <v>5</v>
      </c>
      <c r="AI735" s="267">
        <v>6</v>
      </c>
      <c r="AK735" s="267">
        <v>0</v>
      </c>
      <c r="AL735" s="267">
        <v>0</v>
      </c>
      <c r="AN735" s="267">
        <v>2</v>
      </c>
      <c r="AO735" s="267">
        <v>5</v>
      </c>
      <c r="AQ735" s="267">
        <v>1</v>
      </c>
      <c r="AR735" s="267">
        <v>20</v>
      </c>
      <c r="AT735" s="267">
        <v>0</v>
      </c>
      <c r="AU735" s="267">
        <v>0</v>
      </c>
      <c r="AW735" s="267">
        <v>0</v>
      </c>
      <c r="AX735" s="267">
        <v>0</v>
      </c>
      <c r="AZ735" s="267">
        <v>0</v>
      </c>
      <c r="BA735" s="267">
        <v>0</v>
      </c>
      <c r="BC735" s="267">
        <v>0</v>
      </c>
      <c r="BD735" s="267">
        <v>0</v>
      </c>
      <c r="BF735" s="267">
        <v>0</v>
      </c>
      <c r="BG735" s="267">
        <v>0</v>
      </c>
      <c r="BI735" s="267">
        <v>0</v>
      </c>
      <c r="BJ735" s="267">
        <v>0</v>
      </c>
      <c r="BL735" s="267">
        <v>0</v>
      </c>
      <c r="BM735" s="267">
        <v>0</v>
      </c>
      <c r="BO735" s="267">
        <v>0</v>
      </c>
      <c r="BP735" s="267">
        <v>0</v>
      </c>
      <c r="BR735" s="267">
        <v>0</v>
      </c>
      <c r="BS735" s="267">
        <v>0</v>
      </c>
      <c r="BU735" s="267">
        <v>0</v>
      </c>
      <c r="BV735" s="267">
        <v>0</v>
      </c>
      <c r="BX735" s="267">
        <v>0</v>
      </c>
      <c r="BY735" s="267">
        <v>0</v>
      </c>
      <c r="CA735" s="267">
        <v>0</v>
      </c>
      <c r="CB735" s="267">
        <v>0</v>
      </c>
      <c r="CD735" s="267">
        <v>0</v>
      </c>
      <c r="CE735" s="267">
        <v>0</v>
      </c>
      <c r="CG735" s="267">
        <v>1</v>
      </c>
      <c r="CH735" s="267">
        <v>2</v>
      </c>
      <c r="CJ735" s="267">
        <v>0</v>
      </c>
      <c r="CK735" s="267">
        <v>0</v>
      </c>
    </row>
    <row r="736" spans="1:89" ht="30" x14ac:dyDescent="0.25">
      <c r="A736" s="95"/>
      <c r="B736" s="261" t="s">
        <v>2786</v>
      </c>
      <c r="C736" s="263"/>
      <c r="D736" s="95"/>
      <c r="E736" s="291"/>
      <c r="F736" s="291"/>
      <c r="G736" s="291"/>
      <c r="H736" s="291"/>
      <c r="I736" s="291"/>
      <c r="J736" s="291">
        <f>J737+J738</f>
        <v>310</v>
      </c>
      <c r="K736" s="291">
        <f>K737+K738</f>
        <v>307</v>
      </c>
      <c r="L736" s="291">
        <f>L737+L738</f>
        <v>18</v>
      </c>
      <c r="M736" s="291">
        <f>M737+M738</f>
        <v>18</v>
      </c>
      <c r="N736" s="291">
        <f>N737+N738</f>
        <v>18</v>
      </c>
      <c r="Q736" s="291">
        <f>Q737+Q738</f>
        <v>307</v>
      </c>
      <c r="R736" s="291">
        <f>R737+R738</f>
        <v>309</v>
      </c>
      <c r="S736" s="291">
        <f>S737+S738</f>
        <v>10</v>
      </c>
      <c r="T736" s="291">
        <f>T737+T738</f>
        <v>11</v>
      </c>
      <c r="V736" s="291">
        <f>V737+V738</f>
        <v>12</v>
      </c>
      <c r="W736" s="291">
        <f>W737+W738</f>
        <v>12</v>
      </c>
      <c r="Y736" s="291">
        <f>Y737+Y738</f>
        <v>15</v>
      </c>
      <c r="Z736" s="291">
        <f>Z737+Z738</f>
        <v>15</v>
      </c>
      <c r="AB736" s="291">
        <f>AB737+AB738</f>
        <v>13</v>
      </c>
      <c r="AC736" s="291">
        <f>AC737+AC738</f>
        <v>13</v>
      </c>
      <c r="AE736" s="291">
        <f>AE737+AE738</f>
        <v>17</v>
      </c>
      <c r="AF736" s="291">
        <f>AF737+AF738</f>
        <v>16</v>
      </c>
      <c r="AH736" s="291">
        <f>AH737+AH738</f>
        <v>18</v>
      </c>
      <c r="AI736" s="291">
        <f>AI737+AI738</f>
        <v>18</v>
      </c>
      <c r="AK736" s="291">
        <f>AK737+AK738</f>
        <v>11</v>
      </c>
      <c r="AL736" s="291">
        <f>AL737+AL738</f>
        <v>11</v>
      </c>
      <c r="AN736" s="291">
        <f>AN737+AN738</f>
        <v>18</v>
      </c>
      <c r="AO736" s="291">
        <f>AO737+AO738</f>
        <v>18</v>
      </c>
      <c r="AQ736" s="291">
        <f>AQ737+AQ738</f>
        <v>23</v>
      </c>
      <c r="AR736" s="291">
        <f>AR737+AR738</f>
        <v>24</v>
      </c>
      <c r="AT736" s="291">
        <f>AT737+AT738</f>
        <v>9</v>
      </c>
      <c r="AU736" s="291">
        <f>AU737+AU738</f>
        <v>9</v>
      </c>
      <c r="AW736" s="291">
        <f>AW737+AW738</f>
        <v>6</v>
      </c>
      <c r="AX736" s="291">
        <f>AX737+AX738</f>
        <v>6</v>
      </c>
      <c r="AZ736" s="291">
        <f>AZ737+AZ738</f>
        <v>7</v>
      </c>
      <c r="BA736" s="291">
        <f>BA737+BA738</f>
        <v>7</v>
      </c>
      <c r="BC736" s="291">
        <f>BC737+BC738</f>
        <v>15</v>
      </c>
      <c r="BD736" s="291">
        <f>BD737+BD738</f>
        <v>15</v>
      </c>
      <c r="BF736" s="291">
        <f>BF737+BF738</f>
        <v>33</v>
      </c>
      <c r="BG736" s="291">
        <f>BG737+BG738</f>
        <v>34</v>
      </c>
      <c r="BI736" s="291">
        <f>BI737+BI738</f>
        <v>37</v>
      </c>
      <c r="BJ736" s="291">
        <f>BJ737+BJ738</f>
        <v>37</v>
      </c>
      <c r="BL736" s="291">
        <f>BL737+BL738</f>
        <v>6</v>
      </c>
      <c r="BM736" s="291">
        <f>BM737+BM738</f>
        <v>6</v>
      </c>
      <c r="BO736" s="291">
        <f>BO737+BO738</f>
        <v>6</v>
      </c>
      <c r="BP736" s="291">
        <f>BP737+BP738</f>
        <v>6</v>
      </c>
      <c r="BR736" s="291">
        <f>BR737+BR738</f>
        <v>8</v>
      </c>
      <c r="BS736" s="291">
        <f>BS737+BS738</f>
        <v>7</v>
      </c>
      <c r="BU736" s="291">
        <f>BU737+BU738</f>
        <v>7</v>
      </c>
      <c r="BV736" s="291">
        <f>BV737+BV738</f>
        <v>7</v>
      </c>
      <c r="BX736" s="291">
        <f>BX737+BX738</f>
        <v>3</v>
      </c>
      <c r="BY736" s="291">
        <f>BY737+BY738</f>
        <v>3</v>
      </c>
      <c r="CA736" s="291">
        <f>CA737+CA738</f>
        <v>6</v>
      </c>
      <c r="CB736" s="291">
        <f>CB737+CB738</f>
        <v>7</v>
      </c>
      <c r="CD736" s="291">
        <f>CD737+CD738</f>
        <v>5</v>
      </c>
      <c r="CE736" s="291">
        <f>CE737+CE738</f>
        <v>5</v>
      </c>
      <c r="CG736" s="291">
        <f>CG737+CG738</f>
        <v>22</v>
      </c>
      <c r="CH736" s="291">
        <f>CH737+CH738</f>
        <v>22</v>
      </c>
      <c r="CJ736" s="291">
        <f>CJ737+CJ738</f>
        <v>0</v>
      </c>
      <c r="CK736" s="291">
        <f>CK737+CK738</f>
        <v>0</v>
      </c>
    </row>
    <row r="737" spans="1:89" x14ac:dyDescent="0.25">
      <c r="A737" s="95"/>
      <c r="B737" s="261" t="s">
        <v>1183</v>
      </c>
      <c r="C737" s="263"/>
      <c r="D737" s="95" t="s">
        <v>1763</v>
      </c>
      <c r="E737" s="291"/>
      <c r="F737" s="291"/>
      <c r="G737" s="291"/>
      <c r="H737" s="291"/>
      <c r="I737" s="291"/>
      <c r="J737" s="291">
        <f t="shared" ref="J737:K738" si="1177">J721</f>
        <v>215</v>
      </c>
      <c r="K737" s="291">
        <f t="shared" si="1177"/>
        <v>213</v>
      </c>
      <c r="L737" s="291">
        <v>5</v>
      </c>
      <c r="M737" s="291">
        <f t="shared" ref="M737:N738" si="1178">M721</f>
        <v>5</v>
      </c>
      <c r="N737" s="291">
        <f t="shared" si="1178"/>
        <v>5</v>
      </c>
      <c r="Q737" s="283">
        <f>S737+V737+Y737+AB737+AE737+AH737+AK737+AN737+AQ737+AT737+AW737+AZ737+BC737+BF737+BI737+BL737+BO737+BR737+BU737+BX737+CA737+CD737+CG737+CJ737</f>
        <v>213</v>
      </c>
      <c r="R737" s="283">
        <f>T737+W737+Z737+AC737+AF737+AI737+AL737+AO737+AR737+AU737+AX737+BA737+BD737+BG737+BJ737+BM737+BP737+BS737+BV737+BY737+CB737+CE737+CH737+CK737</f>
        <v>215</v>
      </c>
      <c r="S737" s="283">
        <f>S721</f>
        <v>3</v>
      </c>
      <c r="T737" s="283">
        <f>T721</f>
        <v>4</v>
      </c>
      <c r="V737" s="283">
        <f>V721</f>
        <v>4</v>
      </c>
      <c r="W737" s="283">
        <f>W721</f>
        <v>4</v>
      </c>
      <c r="Y737" s="283">
        <f>Y721</f>
        <v>5</v>
      </c>
      <c r="Z737" s="283">
        <f>Z721</f>
        <v>5</v>
      </c>
      <c r="AB737" s="283">
        <f>AB721</f>
        <v>3</v>
      </c>
      <c r="AC737" s="283">
        <f>AC721</f>
        <v>3</v>
      </c>
      <c r="AE737" s="283">
        <f>AE721</f>
        <v>6</v>
      </c>
      <c r="AF737" s="283">
        <f>AF721</f>
        <v>6</v>
      </c>
      <c r="AH737" s="283">
        <f>AH721</f>
        <v>5</v>
      </c>
      <c r="AI737" s="283">
        <f>AI721</f>
        <v>5</v>
      </c>
      <c r="AK737" s="283">
        <f>AK721</f>
        <v>10</v>
      </c>
      <c r="AL737" s="283">
        <f>AL721</f>
        <v>10</v>
      </c>
      <c r="AN737" s="283">
        <f>AN721</f>
        <v>11</v>
      </c>
      <c r="AO737" s="283">
        <f>AO721</f>
        <v>11</v>
      </c>
      <c r="AQ737" s="283">
        <f>AQ721</f>
        <v>0</v>
      </c>
      <c r="AR737" s="283">
        <f>AR721</f>
        <v>0</v>
      </c>
      <c r="AT737" s="283">
        <f>AT721</f>
        <v>9</v>
      </c>
      <c r="AU737" s="283">
        <f>AU721</f>
        <v>9</v>
      </c>
      <c r="AW737" s="283">
        <f>AW721</f>
        <v>6</v>
      </c>
      <c r="AX737" s="283">
        <f>AX721</f>
        <v>6</v>
      </c>
      <c r="AZ737" s="283">
        <f>AZ721</f>
        <v>7</v>
      </c>
      <c r="BA737" s="283">
        <f>BA721</f>
        <v>7</v>
      </c>
      <c r="BC737" s="283">
        <f>BC721</f>
        <v>15</v>
      </c>
      <c r="BD737" s="283">
        <f>BD721</f>
        <v>15</v>
      </c>
      <c r="BF737" s="283">
        <f>BF721</f>
        <v>33</v>
      </c>
      <c r="BG737" s="283">
        <f>BG721</f>
        <v>34</v>
      </c>
      <c r="BI737" s="283">
        <f>BI721</f>
        <v>37</v>
      </c>
      <c r="BJ737" s="283">
        <f>BJ721</f>
        <v>37</v>
      </c>
      <c r="BL737" s="283">
        <f>BL721</f>
        <v>6</v>
      </c>
      <c r="BM737" s="283">
        <f>BM721</f>
        <v>6</v>
      </c>
      <c r="BO737" s="283">
        <f>BO721</f>
        <v>6</v>
      </c>
      <c r="BP737" s="283">
        <f>BP721</f>
        <v>6</v>
      </c>
      <c r="BR737" s="283">
        <f>BR721</f>
        <v>8</v>
      </c>
      <c r="BS737" s="283">
        <f>BS721</f>
        <v>7</v>
      </c>
      <c r="BU737" s="283">
        <f>BU721</f>
        <v>7</v>
      </c>
      <c r="BV737" s="283">
        <f>BV721</f>
        <v>7</v>
      </c>
      <c r="BX737" s="283">
        <f>BX721</f>
        <v>3</v>
      </c>
      <c r="BY737" s="283">
        <f>BY721</f>
        <v>3</v>
      </c>
      <c r="CA737" s="283">
        <f>CA721</f>
        <v>6</v>
      </c>
      <c r="CB737" s="283">
        <f>CB721</f>
        <v>7</v>
      </c>
      <c r="CD737" s="283">
        <f>CD721</f>
        <v>5</v>
      </c>
      <c r="CE737" s="283">
        <f>CE721</f>
        <v>5</v>
      </c>
      <c r="CG737" s="283">
        <f>CG721</f>
        <v>18</v>
      </c>
      <c r="CH737" s="283">
        <f>CH721</f>
        <v>18</v>
      </c>
      <c r="CJ737" s="283">
        <f>CJ721</f>
        <v>0</v>
      </c>
      <c r="CK737" s="283">
        <f>CK721</f>
        <v>0</v>
      </c>
    </row>
    <row r="738" spans="1:89" x14ac:dyDescent="0.25">
      <c r="A738" s="95"/>
      <c r="B738" s="261" t="s">
        <v>1185</v>
      </c>
      <c r="C738" s="263"/>
      <c r="D738" s="95" t="s">
        <v>1763</v>
      </c>
      <c r="E738" s="291"/>
      <c r="F738" s="291"/>
      <c r="G738" s="291"/>
      <c r="H738" s="291"/>
      <c r="I738" s="291"/>
      <c r="J738" s="291">
        <f t="shared" si="1177"/>
        <v>95</v>
      </c>
      <c r="K738" s="291">
        <f t="shared" si="1177"/>
        <v>94</v>
      </c>
      <c r="L738" s="291">
        <v>13</v>
      </c>
      <c r="M738" s="291">
        <f t="shared" si="1178"/>
        <v>13</v>
      </c>
      <c r="N738" s="291">
        <f t="shared" si="1178"/>
        <v>13</v>
      </c>
      <c r="Q738" s="283">
        <f>S738+V738+Y738+AB738+AE738+AH738+AK738+AN738+AQ738+AT738+AW738+AZ738+BC738+BF738+BI738+BL738+BO738+BR738+BU738+BX738+CA738+CD738+CG738+CJ738</f>
        <v>94</v>
      </c>
      <c r="R738" s="283">
        <f>T738+W738+Z738+AC738+AF738+AI738+AL738+AO738+AR738+AU738+AX738+BA738+BD738+BG738+BJ738+BM738+BP738+BS738+BV738+BY738+CB738+CE738+CH738+CK738</f>
        <v>94</v>
      </c>
      <c r="S738" s="283">
        <f>S722</f>
        <v>7</v>
      </c>
      <c r="T738" s="283">
        <f>T722</f>
        <v>7</v>
      </c>
      <c r="V738" s="283">
        <f>V722</f>
        <v>8</v>
      </c>
      <c r="W738" s="283">
        <f>W722</f>
        <v>8</v>
      </c>
      <c r="Y738" s="283">
        <f>Y722</f>
        <v>10</v>
      </c>
      <c r="Z738" s="283">
        <f>Z722</f>
        <v>10</v>
      </c>
      <c r="AB738" s="283">
        <f>AB722</f>
        <v>10</v>
      </c>
      <c r="AC738" s="283">
        <f>AC722</f>
        <v>10</v>
      </c>
      <c r="AE738" s="283">
        <f>AE722</f>
        <v>11</v>
      </c>
      <c r="AF738" s="283">
        <f>AF722</f>
        <v>10</v>
      </c>
      <c r="AH738" s="283">
        <f>AH722</f>
        <v>13</v>
      </c>
      <c r="AI738" s="283">
        <f>AI722</f>
        <v>13</v>
      </c>
      <c r="AK738" s="283">
        <f>AK722</f>
        <v>1</v>
      </c>
      <c r="AL738" s="283">
        <f>AL722</f>
        <v>1</v>
      </c>
      <c r="AN738" s="283">
        <f>AN722</f>
        <v>7</v>
      </c>
      <c r="AO738" s="283">
        <f>AO722</f>
        <v>7</v>
      </c>
      <c r="AQ738" s="283">
        <f>AQ722</f>
        <v>23</v>
      </c>
      <c r="AR738" s="283">
        <f>AR722</f>
        <v>24</v>
      </c>
      <c r="AT738" s="283">
        <f>AT722</f>
        <v>0</v>
      </c>
      <c r="AU738" s="283">
        <f>AU722</f>
        <v>0</v>
      </c>
      <c r="AW738" s="283">
        <f>AW722</f>
        <v>0</v>
      </c>
      <c r="AX738" s="283">
        <f>AX722</f>
        <v>0</v>
      </c>
      <c r="AZ738" s="283">
        <f>AZ722</f>
        <v>0</v>
      </c>
      <c r="BA738" s="283">
        <f>BA722</f>
        <v>0</v>
      </c>
      <c r="BC738" s="283">
        <f>BC722</f>
        <v>0</v>
      </c>
      <c r="BD738" s="283">
        <f>BD722</f>
        <v>0</v>
      </c>
      <c r="BF738" s="283">
        <f>BF722</f>
        <v>0</v>
      </c>
      <c r="BG738" s="283">
        <f>BG722</f>
        <v>0</v>
      </c>
      <c r="BI738" s="283">
        <f>BI722</f>
        <v>0</v>
      </c>
      <c r="BJ738" s="283">
        <f>BJ722</f>
        <v>0</v>
      </c>
      <c r="BL738" s="283">
        <f>BL722</f>
        <v>0</v>
      </c>
      <c r="BM738" s="283">
        <f>BM722</f>
        <v>0</v>
      </c>
      <c r="BO738" s="283">
        <f>BO722</f>
        <v>0</v>
      </c>
      <c r="BP738" s="283">
        <f>BP722</f>
        <v>0</v>
      </c>
      <c r="BR738" s="283">
        <f>BR722</f>
        <v>0</v>
      </c>
      <c r="BS738" s="283">
        <f>BS722</f>
        <v>0</v>
      </c>
      <c r="BU738" s="283">
        <f>BU722</f>
        <v>0</v>
      </c>
      <c r="BV738" s="283">
        <f>BV722</f>
        <v>0</v>
      </c>
      <c r="BX738" s="283">
        <f>BX722</f>
        <v>0</v>
      </c>
      <c r="BY738" s="283">
        <f>BY722</f>
        <v>0</v>
      </c>
      <c r="CA738" s="283">
        <f>CA722</f>
        <v>0</v>
      </c>
      <c r="CB738" s="283">
        <f>CB722</f>
        <v>0</v>
      </c>
      <c r="CD738" s="283">
        <f>CD722</f>
        <v>0</v>
      </c>
      <c r="CE738" s="283">
        <f>CE722</f>
        <v>0</v>
      </c>
      <c r="CG738" s="283">
        <f>CG722</f>
        <v>4</v>
      </c>
      <c r="CH738" s="283">
        <f>CH722</f>
        <v>4</v>
      </c>
      <c r="CJ738" s="283">
        <f>CJ722</f>
        <v>0</v>
      </c>
      <c r="CK738" s="283">
        <f>CK722</f>
        <v>0</v>
      </c>
    </row>
    <row r="739" spans="1:89" ht="30" x14ac:dyDescent="0.25">
      <c r="A739" s="95"/>
      <c r="B739" s="261" t="s">
        <v>2789</v>
      </c>
      <c r="C739" s="263"/>
      <c r="D739" s="95"/>
      <c r="E739" s="291"/>
      <c r="F739" s="291"/>
      <c r="G739" s="291"/>
      <c r="H739" s="291"/>
      <c r="I739" s="291"/>
      <c r="J739" s="291"/>
      <c r="K739" s="291">
        <f>K740+K741</f>
        <v>2</v>
      </c>
      <c r="L739" s="291">
        <f>L740+L741</f>
        <v>0</v>
      </c>
      <c r="M739" s="291">
        <f>M740+M741</f>
        <v>0</v>
      </c>
      <c r="N739" s="291">
        <f>N740+N741</f>
        <v>0</v>
      </c>
      <c r="Q739" s="291">
        <f>Q740+Q741</f>
        <v>2</v>
      </c>
      <c r="R739" s="291">
        <f>R740+R741</f>
        <v>2</v>
      </c>
      <c r="S739" s="291">
        <f>S740+S741</f>
        <v>0</v>
      </c>
      <c r="T739" s="291">
        <f>T740+T741</f>
        <v>0</v>
      </c>
      <c r="V739" s="291">
        <f>V740+V741</f>
        <v>0</v>
      </c>
      <c r="W739" s="291">
        <f>W740+W741</f>
        <v>0</v>
      </c>
      <c r="Y739" s="291">
        <f>Y740+Y741</f>
        <v>0</v>
      </c>
      <c r="Z739" s="291">
        <f>Z740+Z741</f>
        <v>0</v>
      </c>
      <c r="AB739" s="291">
        <f>AB740+AB741</f>
        <v>0</v>
      </c>
      <c r="AC739" s="291">
        <f>AC740+AC741</f>
        <v>0</v>
      </c>
      <c r="AE739" s="291">
        <f>AE740+AE741</f>
        <v>0</v>
      </c>
      <c r="AF739" s="291">
        <f>AF740+AF741</f>
        <v>0</v>
      </c>
      <c r="AH739" s="291">
        <f>AH740+AH741</f>
        <v>0</v>
      </c>
      <c r="AI739" s="291">
        <f>AI740+AI741</f>
        <v>0</v>
      </c>
      <c r="AK739" s="291">
        <f>AK740+AK741</f>
        <v>0</v>
      </c>
      <c r="AL739" s="291">
        <f>AL740+AL741</f>
        <v>0</v>
      </c>
      <c r="AN739" s="291">
        <f>AN740+AN741</f>
        <v>0</v>
      </c>
      <c r="AO739" s="291">
        <f>AO740+AO741</f>
        <v>0</v>
      </c>
      <c r="AQ739" s="291">
        <f>AQ740+AQ741</f>
        <v>0</v>
      </c>
      <c r="AR739" s="291">
        <f>AR740+AR741</f>
        <v>0</v>
      </c>
      <c r="AT739" s="291">
        <f>AT740+AT741</f>
        <v>0</v>
      </c>
      <c r="AU739" s="291">
        <f>AU740+AU741</f>
        <v>0</v>
      </c>
      <c r="AW739" s="291">
        <f>AW740+AW741</f>
        <v>0</v>
      </c>
      <c r="AX739" s="291">
        <f>AX740+AX741</f>
        <v>0</v>
      </c>
      <c r="AZ739" s="291">
        <f>AZ740+AZ741</f>
        <v>0</v>
      </c>
      <c r="BA739" s="291">
        <f>BA740+BA741</f>
        <v>0</v>
      </c>
      <c r="BC739" s="291">
        <f>BC740+BC741</f>
        <v>0</v>
      </c>
      <c r="BD739" s="291">
        <f>BD740+BD741</f>
        <v>0</v>
      </c>
      <c r="BF739" s="291">
        <f>BF740+BF741</f>
        <v>1</v>
      </c>
      <c r="BG739" s="291">
        <f>BG740+BG741</f>
        <v>1</v>
      </c>
      <c r="BI739" s="291">
        <f>BI740+BI741</f>
        <v>0</v>
      </c>
      <c r="BJ739" s="291">
        <f>BJ740+BJ741</f>
        <v>0</v>
      </c>
      <c r="BL739" s="291">
        <f>BL740+BL741</f>
        <v>0</v>
      </c>
      <c r="BM739" s="291">
        <f>BM740+BM741</f>
        <v>0</v>
      </c>
      <c r="BO739" s="291">
        <f>BO740+BO741</f>
        <v>0</v>
      </c>
      <c r="BP739" s="291">
        <f>BP740+BP741</f>
        <v>0</v>
      </c>
      <c r="BR739" s="291">
        <f>BR740+BR741</f>
        <v>0</v>
      </c>
      <c r="BS739" s="291">
        <f>BS740+BS741</f>
        <v>0</v>
      </c>
      <c r="BU739" s="291">
        <f>BU740+BU741</f>
        <v>0</v>
      </c>
      <c r="BV739" s="291">
        <f>BV740+BV741</f>
        <v>0</v>
      </c>
      <c r="BX739" s="291">
        <f>BX740+BX741</f>
        <v>0</v>
      </c>
      <c r="BY739" s="291">
        <f>BY740+BY741</f>
        <v>0</v>
      </c>
      <c r="CA739" s="291">
        <f>CA740+CA741</f>
        <v>0</v>
      </c>
      <c r="CB739" s="291">
        <f>CB740+CB741</f>
        <v>0</v>
      </c>
      <c r="CD739" s="291">
        <f>CD740+CD741</f>
        <v>1</v>
      </c>
      <c r="CE739" s="291">
        <f>CE740+CE741</f>
        <v>1</v>
      </c>
      <c r="CG739" s="291">
        <f>CG740+CG741</f>
        <v>0</v>
      </c>
      <c r="CH739" s="291">
        <f>CH740+CH741</f>
        <v>0</v>
      </c>
      <c r="CJ739" s="291">
        <f>CJ740+CJ741</f>
        <v>0</v>
      </c>
      <c r="CK739" s="291">
        <f>CK740+CK741</f>
        <v>0</v>
      </c>
    </row>
    <row r="740" spans="1:89" x14ac:dyDescent="0.25">
      <c r="A740" s="95"/>
      <c r="B740" s="261" t="s">
        <v>2787</v>
      </c>
      <c r="C740" s="263"/>
      <c r="D740" s="95" t="s">
        <v>1763</v>
      </c>
      <c r="E740" s="291"/>
      <c r="F740" s="291"/>
      <c r="G740" s="291"/>
      <c r="H740" s="291"/>
      <c r="I740" s="291"/>
      <c r="J740" s="291"/>
      <c r="K740" s="291">
        <v>2</v>
      </c>
      <c r="L740" s="291">
        <v>0</v>
      </c>
      <c r="M740" s="291">
        <v>0</v>
      </c>
      <c r="N740" s="291">
        <v>0</v>
      </c>
      <c r="Q740" s="283">
        <f>S740+V740+Y740+AB740+AE740+AH740+AK740+AN740+AQ740+AT740+AW740+AZ740+BC740+BF740+BI740+BL740+BO740+BR740+BU740+BX740+CA740+CD740+CG740+CJ740</f>
        <v>2</v>
      </c>
      <c r="R740" s="283">
        <f>T740+W740+Z740+AC740+AF740+AI740+AL740+AO740+AR740+AU740+AX740+BA740+BD740+BG740+BJ740+BM740+BP740+BS740+BV740+BY740+CB740+CE740+CH740+CK740</f>
        <v>2</v>
      </c>
      <c r="S740" s="283">
        <v>0</v>
      </c>
      <c r="T740" s="283">
        <v>0</v>
      </c>
      <c r="V740" s="283">
        <v>0</v>
      </c>
      <c r="W740" s="283">
        <v>0</v>
      </c>
      <c r="Y740" s="283">
        <v>0</v>
      </c>
      <c r="Z740" s="283">
        <v>0</v>
      </c>
      <c r="AB740" s="283">
        <v>0</v>
      </c>
      <c r="AC740" s="283">
        <v>0</v>
      </c>
      <c r="AE740" s="283">
        <v>0</v>
      </c>
      <c r="AF740" s="283">
        <v>0</v>
      </c>
      <c r="AH740" s="283">
        <v>0</v>
      </c>
      <c r="AI740" s="283">
        <v>0</v>
      </c>
      <c r="AK740" s="283">
        <v>0</v>
      </c>
      <c r="AL740" s="283">
        <v>0</v>
      </c>
      <c r="AN740" s="283">
        <v>0</v>
      </c>
      <c r="AO740" s="283">
        <v>0</v>
      </c>
      <c r="AQ740" s="283">
        <v>0</v>
      </c>
      <c r="AR740" s="283">
        <v>0</v>
      </c>
      <c r="AT740" s="283">
        <v>0</v>
      </c>
      <c r="AU740" s="283">
        <v>0</v>
      </c>
      <c r="AW740" s="283">
        <v>0</v>
      </c>
      <c r="AX740" s="283">
        <v>0</v>
      </c>
      <c r="AZ740" s="283">
        <v>0</v>
      </c>
      <c r="BA740" s="283">
        <v>0</v>
      </c>
      <c r="BC740" s="283">
        <v>0</v>
      </c>
      <c r="BD740" s="283">
        <v>0</v>
      </c>
      <c r="BF740" s="283">
        <v>1</v>
      </c>
      <c r="BG740" s="283">
        <v>1</v>
      </c>
      <c r="BI740" s="283">
        <v>0</v>
      </c>
      <c r="BJ740" s="283">
        <v>0</v>
      </c>
      <c r="BL740" s="283">
        <v>0</v>
      </c>
      <c r="BM740" s="283">
        <v>0</v>
      </c>
      <c r="BO740" s="283">
        <v>0</v>
      </c>
      <c r="BP740" s="283">
        <v>0</v>
      </c>
      <c r="BR740" s="283">
        <v>0</v>
      </c>
      <c r="BS740" s="283">
        <v>0</v>
      </c>
      <c r="BU740" s="283">
        <v>0</v>
      </c>
      <c r="BV740" s="283">
        <v>0</v>
      </c>
      <c r="BX740" s="283">
        <v>0</v>
      </c>
      <c r="BY740" s="283">
        <v>0</v>
      </c>
      <c r="CA740" s="283">
        <v>0</v>
      </c>
      <c r="CB740" s="283">
        <v>0</v>
      </c>
      <c r="CD740" s="283">
        <v>1</v>
      </c>
      <c r="CE740" s="283">
        <v>1</v>
      </c>
      <c r="CG740" s="283">
        <v>0</v>
      </c>
      <c r="CH740" s="283">
        <v>0</v>
      </c>
      <c r="CJ740" s="283">
        <v>0</v>
      </c>
      <c r="CK740" s="283">
        <v>0</v>
      </c>
    </row>
    <row r="741" spans="1:89" x14ac:dyDescent="0.25">
      <c r="A741" s="95"/>
      <c r="B741" s="261" t="s">
        <v>2788</v>
      </c>
      <c r="C741" s="263"/>
      <c r="D741" s="95" t="s">
        <v>1763</v>
      </c>
      <c r="E741" s="291"/>
      <c r="F741" s="291"/>
      <c r="G741" s="291"/>
      <c r="H741" s="291"/>
      <c r="I741" s="291"/>
      <c r="J741" s="291"/>
      <c r="K741" s="291">
        <v>0</v>
      </c>
      <c r="L741" s="291">
        <v>0</v>
      </c>
      <c r="M741" s="291">
        <v>0</v>
      </c>
      <c r="N741" s="291">
        <v>0</v>
      </c>
      <c r="Q741" s="283">
        <f>S741+V741+Y741+AB741+AE741+AH741+AK741+AN741+AQ741+AT741+AW741+AZ741+BC741+BF741+BI741+BL741+BO741+BR741+BU741+BX741+CA741+CD741+CG741+CJ741</f>
        <v>0</v>
      </c>
      <c r="R741" s="283">
        <f>T741+W741+Z741+AC741+AF741+AI741+AL741+AO741+AR741+AU741+AX741+BA741+BD741+BG741+BJ741+BM741+BP741+BS741+BV741+BY741+CB741+CE741+CH741+CK741</f>
        <v>0</v>
      </c>
      <c r="S741" s="283">
        <v>0</v>
      </c>
      <c r="T741" s="283">
        <v>0</v>
      </c>
      <c r="V741" s="283">
        <v>0</v>
      </c>
      <c r="W741" s="283">
        <v>0</v>
      </c>
      <c r="Y741" s="283">
        <v>0</v>
      </c>
      <c r="Z741" s="283">
        <v>0</v>
      </c>
      <c r="AB741" s="283">
        <v>0</v>
      </c>
      <c r="AC741" s="283">
        <v>0</v>
      </c>
      <c r="AE741" s="283">
        <v>0</v>
      </c>
      <c r="AF741" s="283">
        <v>0</v>
      </c>
      <c r="AH741" s="283">
        <v>0</v>
      </c>
      <c r="AI741" s="283">
        <v>0</v>
      </c>
      <c r="AK741" s="283">
        <v>0</v>
      </c>
      <c r="AL741" s="283">
        <v>0</v>
      </c>
      <c r="AN741" s="283">
        <v>0</v>
      </c>
      <c r="AO741" s="283">
        <v>0</v>
      </c>
      <c r="AQ741" s="283">
        <v>0</v>
      </c>
      <c r="AR741" s="283">
        <v>0</v>
      </c>
      <c r="AT741" s="283">
        <v>0</v>
      </c>
      <c r="AU741" s="283">
        <v>0</v>
      </c>
      <c r="AW741" s="283">
        <v>0</v>
      </c>
      <c r="AX741" s="283">
        <v>0</v>
      </c>
      <c r="AZ741" s="283">
        <v>0</v>
      </c>
      <c r="BA741" s="283">
        <v>0</v>
      </c>
      <c r="BC741" s="283">
        <v>0</v>
      </c>
      <c r="BD741" s="283">
        <v>0</v>
      </c>
      <c r="BF741" s="283">
        <v>0</v>
      </c>
      <c r="BG741" s="283">
        <v>0</v>
      </c>
      <c r="BI741" s="283">
        <v>0</v>
      </c>
      <c r="BJ741" s="283">
        <v>0</v>
      </c>
      <c r="BL741" s="283">
        <v>0</v>
      </c>
      <c r="BM741" s="283">
        <v>0</v>
      </c>
      <c r="BO741" s="283">
        <v>0</v>
      </c>
      <c r="BP741" s="283">
        <v>0</v>
      </c>
      <c r="BR741" s="283">
        <v>0</v>
      </c>
      <c r="BS741" s="283">
        <v>0</v>
      </c>
      <c r="BU741" s="283">
        <v>0</v>
      </c>
      <c r="BV741" s="283">
        <v>0</v>
      </c>
      <c r="BX741" s="283">
        <v>0</v>
      </c>
      <c r="BY741" s="283">
        <v>0</v>
      </c>
      <c r="CA741" s="283">
        <v>0</v>
      </c>
      <c r="CB741" s="283">
        <v>0</v>
      </c>
      <c r="CD741" s="283">
        <v>0</v>
      </c>
      <c r="CE741" s="283">
        <v>0</v>
      </c>
      <c r="CG741" s="283">
        <v>0</v>
      </c>
      <c r="CH741" s="283">
        <v>0</v>
      </c>
      <c r="CJ741" s="283">
        <v>0</v>
      </c>
      <c r="CK741" s="283">
        <v>0</v>
      </c>
    </row>
    <row r="742" spans="1:89" ht="30" x14ac:dyDescent="0.25">
      <c r="A742" s="95"/>
      <c r="B742" s="261" t="s">
        <v>2786</v>
      </c>
      <c r="C742" s="263"/>
      <c r="D742" s="95"/>
      <c r="E742" s="291"/>
      <c r="F742" s="291"/>
      <c r="G742" s="291"/>
      <c r="H742" s="291"/>
      <c r="I742" s="291"/>
      <c r="J742" s="291"/>
      <c r="K742" s="291">
        <f>K743+K744</f>
        <v>4</v>
      </c>
      <c r="L742" s="291">
        <f>L743+L744</f>
        <v>0</v>
      </c>
      <c r="M742" s="291">
        <f>M743+M744</f>
        <v>0</v>
      </c>
      <c r="N742" s="291">
        <f>N743+N744</f>
        <v>0</v>
      </c>
      <c r="Q742" s="291">
        <f>Q743+Q744</f>
        <v>4</v>
      </c>
      <c r="R742" s="291">
        <f>R743+R744</f>
        <v>4</v>
      </c>
      <c r="S742" s="291">
        <f>S743+S744</f>
        <v>0</v>
      </c>
      <c r="T742" s="291">
        <f>T743+T744</f>
        <v>0</v>
      </c>
      <c r="V742" s="291">
        <f>V743+V744</f>
        <v>0</v>
      </c>
      <c r="W742" s="291">
        <f>W743+W744</f>
        <v>0</v>
      </c>
      <c r="Y742" s="291">
        <f>Y743+Y744</f>
        <v>0</v>
      </c>
      <c r="Z742" s="291">
        <f>Z743+Z744</f>
        <v>0</v>
      </c>
      <c r="AB742" s="291">
        <f>AB743+AB744</f>
        <v>0</v>
      </c>
      <c r="AC742" s="291">
        <f>AC743+AC744</f>
        <v>0</v>
      </c>
      <c r="AE742" s="291">
        <f>AE743+AE744</f>
        <v>0</v>
      </c>
      <c r="AF742" s="291">
        <f>AF743+AF744</f>
        <v>0</v>
      </c>
      <c r="AH742" s="291">
        <f>AH743+AH744</f>
        <v>0</v>
      </c>
      <c r="AI742" s="291">
        <f>AI743+AI744</f>
        <v>0</v>
      </c>
      <c r="AK742" s="291">
        <f>AK743+AK744</f>
        <v>0</v>
      </c>
      <c r="AL742" s="291">
        <f>AL743+AL744</f>
        <v>0</v>
      </c>
      <c r="AN742" s="291">
        <f>AN743+AN744</f>
        <v>0</v>
      </c>
      <c r="AO742" s="291">
        <f>AO743+AO744</f>
        <v>0</v>
      </c>
      <c r="AQ742" s="291">
        <f>AQ743+AQ744</f>
        <v>0</v>
      </c>
      <c r="AR742" s="291">
        <f>AR743+AR744</f>
        <v>0</v>
      </c>
      <c r="AT742" s="291">
        <f>AT743+AT744</f>
        <v>0</v>
      </c>
      <c r="AU742" s="291">
        <f>AU743+AU744</f>
        <v>0</v>
      </c>
      <c r="AW742" s="291">
        <f>AW743+AW744</f>
        <v>0</v>
      </c>
      <c r="AX742" s="291">
        <f>AX743+AX744</f>
        <v>0</v>
      </c>
      <c r="AZ742" s="291">
        <f>AZ743+AZ744</f>
        <v>0</v>
      </c>
      <c r="BA742" s="291">
        <f>BA743+BA744</f>
        <v>0</v>
      </c>
      <c r="BC742" s="291">
        <f>BC743+BC744</f>
        <v>1</v>
      </c>
      <c r="BD742" s="291">
        <f>BD743+BD744</f>
        <v>1</v>
      </c>
      <c r="BF742" s="291">
        <f>BF743+BF744</f>
        <v>1</v>
      </c>
      <c r="BG742" s="291">
        <f>BG743+BG744</f>
        <v>1</v>
      </c>
      <c r="BI742" s="291">
        <f>BI743+BI744</f>
        <v>1</v>
      </c>
      <c r="BJ742" s="291">
        <f>BJ743+BJ744</f>
        <v>1</v>
      </c>
      <c r="BL742" s="291">
        <f>BL743+BL744</f>
        <v>0</v>
      </c>
      <c r="BM742" s="291">
        <f>BM743+BM744</f>
        <v>0</v>
      </c>
      <c r="BO742" s="291">
        <f>BO743+BO744</f>
        <v>0</v>
      </c>
      <c r="BP742" s="291">
        <f>BP743+BP744</f>
        <v>0</v>
      </c>
      <c r="BR742" s="291">
        <f>BR743+BR744</f>
        <v>0</v>
      </c>
      <c r="BS742" s="291">
        <f>BS743+BS744</f>
        <v>0</v>
      </c>
      <c r="BU742" s="291">
        <f>BU743+BU744</f>
        <v>0</v>
      </c>
      <c r="BV742" s="291">
        <f>BV743+BV744</f>
        <v>0</v>
      </c>
      <c r="BX742" s="291">
        <f>BX743+BX744</f>
        <v>0</v>
      </c>
      <c r="BY742" s="291">
        <f>BY743+BY744</f>
        <v>0</v>
      </c>
      <c r="CA742" s="291">
        <f>CA743+CA744</f>
        <v>0</v>
      </c>
      <c r="CB742" s="291">
        <f>CB743+CB744</f>
        <v>0</v>
      </c>
      <c r="CD742" s="291">
        <f>CD743+CD744</f>
        <v>1</v>
      </c>
      <c r="CE742" s="291">
        <f>CE743+CE744</f>
        <v>1</v>
      </c>
      <c r="CG742" s="291">
        <f>CG743+CG744</f>
        <v>0</v>
      </c>
      <c r="CH742" s="291">
        <f>CH743+CH744</f>
        <v>0</v>
      </c>
      <c r="CJ742" s="291">
        <f>CJ743+CJ744</f>
        <v>0</v>
      </c>
      <c r="CK742" s="291">
        <f>CK743+CK744</f>
        <v>0</v>
      </c>
    </row>
    <row r="743" spans="1:89" x14ac:dyDescent="0.25">
      <c r="A743" s="95"/>
      <c r="B743" s="261" t="s">
        <v>1183</v>
      </c>
      <c r="C743" s="263"/>
      <c r="D743" s="95" t="s">
        <v>1763</v>
      </c>
      <c r="E743" s="291"/>
      <c r="F743" s="291"/>
      <c r="G743" s="291"/>
      <c r="H743" s="291"/>
      <c r="I743" s="291"/>
      <c r="J743" s="291"/>
      <c r="K743" s="291">
        <v>4</v>
      </c>
      <c r="L743" s="291">
        <v>0</v>
      </c>
      <c r="M743" s="291">
        <v>0</v>
      </c>
      <c r="N743" s="291">
        <v>0</v>
      </c>
      <c r="Q743" s="283">
        <f>S743+V743+Y743+AB743+AE743+AH743+AK743+AN743+AQ743+AT743+AW743+AZ743+BC743+BF743+BI743+BL743+BO743+BR743+BU743+BX743+CA743+CD743+CG743+CJ743</f>
        <v>4</v>
      </c>
      <c r="R743" s="283">
        <f>T743+W743+Z743+AC743+AF743+AI743+AL743+AO743+AR743+AU743+AX743+BA743+BD743+BG743+BJ743+BM743+BP743+BS743+BV743+BY743+CB743+CE743+CH743+CK743</f>
        <v>4</v>
      </c>
      <c r="S743" s="283">
        <f>S724</f>
        <v>0</v>
      </c>
      <c r="T743" s="283">
        <f t="shared" ref="T743:T744" si="1179">T724</f>
        <v>0</v>
      </c>
      <c r="V743" s="283">
        <f>V724</f>
        <v>0</v>
      </c>
      <c r="W743" s="283">
        <f t="shared" ref="W743:W744" si="1180">W724</f>
        <v>0</v>
      </c>
      <c r="Y743" s="283">
        <f>Y724</f>
        <v>0</v>
      </c>
      <c r="Z743" s="283">
        <f t="shared" ref="Z743:Z744" si="1181">Z724</f>
        <v>0</v>
      </c>
      <c r="AB743" s="283">
        <f>AB724</f>
        <v>0</v>
      </c>
      <c r="AC743" s="283">
        <f t="shared" ref="AC743:AC744" si="1182">AC724</f>
        <v>0</v>
      </c>
      <c r="AE743" s="283">
        <f>AE724</f>
        <v>0</v>
      </c>
      <c r="AF743" s="283">
        <f t="shared" ref="AF743:AF744" si="1183">AF724</f>
        <v>0</v>
      </c>
      <c r="AH743" s="283">
        <f>AH724</f>
        <v>0</v>
      </c>
      <c r="AI743" s="283">
        <f t="shared" ref="AI743:AI744" si="1184">AI724</f>
        <v>0</v>
      </c>
      <c r="AK743" s="283">
        <f>AK724</f>
        <v>0</v>
      </c>
      <c r="AL743" s="283">
        <f t="shared" ref="AL743:AL744" si="1185">AL724</f>
        <v>0</v>
      </c>
      <c r="AN743" s="283">
        <f>AN724</f>
        <v>0</v>
      </c>
      <c r="AO743" s="283">
        <f t="shared" ref="AO743:AO744" si="1186">AO724</f>
        <v>0</v>
      </c>
      <c r="AQ743" s="283">
        <f>AQ724</f>
        <v>0</v>
      </c>
      <c r="AR743" s="283">
        <f t="shared" ref="AR743:AR744" si="1187">AR724</f>
        <v>0</v>
      </c>
      <c r="AT743" s="283">
        <f>AT724</f>
        <v>0</v>
      </c>
      <c r="AU743" s="283">
        <f t="shared" ref="AU743:AU744" si="1188">AU724</f>
        <v>0</v>
      </c>
      <c r="AW743" s="283">
        <f>AW724</f>
        <v>0</v>
      </c>
      <c r="AX743" s="283">
        <f t="shared" ref="AX743:AX744" si="1189">AX724</f>
        <v>0</v>
      </c>
      <c r="AZ743" s="283">
        <f>AZ724</f>
        <v>0</v>
      </c>
      <c r="BA743" s="283">
        <f t="shared" ref="BA743:BA744" si="1190">BA724</f>
        <v>0</v>
      </c>
      <c r="BC743" s="283">
        <f>BC724</f>
        <v>1</v>
      </c>
      <c r="BD743" s="283">
        <f t="shared" ref="BD743:BD744" si="1191">BD724</f>
        <v>1</v>
      </c>
      <c r="BF743" s="283">
        <f>BF724</f>
        <v>1</v>
      </c>
      <c r="BG743" s="283">
        <f t="shared" ref="BG743:BG744" si="1192">BG724</f>
        <v>1</v>
      </c>
      <c r="BI743" s="283">
        <f>BI724</f>
        <v>1</v>
      </c>
      <c r="BJ743" s="283">
        <f t="shared" ref="BJ743:BJ744" si="1193">BJ724</f>
        <v>1</v>
      </c>
      <c r="BL743" s="283">
        <f>BL724</f>
        <v>0</v>
      </c>
      <c r="BM743" s="283">
        <f t="shared" ref="BM743:BM744" si="1194">BM724</f>
        <v>0</v>
      </c>
      <c r="BO743" s="283">
        <f>BO724</f>
        <v>0</v>
      </c>
      <c r="BP743" s="283">
        <f t="shared" ref="BP743:BP744" si="1195">BP724</f>
        <v>0</v>
      </c>
      <c r="BR743" s="283">
        <f>BR724</f>
        <v>0</v>
      </c>
      <c r="BS743" s="283">
        <f t="shared" ref="BS743:BS744" si="1196">BS724</f>
        <v>0</v>
      </c>
      <c r="BU743" s="283">
        <f>BU724</f>
        <v>0</v>
      </c>
      <c r="BV743" s="283">
        <f t="shared" ref="BV743:BV744" si="1197">BV724</f>
        <v>0</v>
      </c>
      <c r="BX743" s="283">
        <f>BX724</f>
        <v>0</v>
      </c>
      <c r="BY743" s="283">
        <f t="shared" ref="BY743:BY744" si="1198">BY724</f>
        <v>0</v>
      </c>
      <c r="CA743" s="283">
        <f>CA724</f>
        <v>0</v>
      </c>
      <c r="CB743" s="283">
        <f t="shared" ref="CB743:CB744" si="1199">CB724</f>
        <v>0</v>
      </c>
      <c r="CD743" s="283">
        <f>CD724</f>
        <v>1</v>
      </c>
      <c r="CE743" s="283">
        <f t="shared" ref="CE743:CE744" si="1200">CE724</f>
        <v>1</v>
      </c>
      <c r="CG743" s="283">
        <f>CG724</f>
        <v>0</v>
      </c>
      <c r="CH743" s="283">
        <f t="shared" ref="CH743:CH744" si="1201">CH724</f>
        <v>0</v>
      </c>
      <c r="CJ743" s="283">
        <f>CJ724</f>
        <v>0</v>
      </c>
      <c r="CK743" s="283">
        <f t="shared" ref="CK743:CK744" si="1202">CK724</f>
        <v>0</v>
      </c>
    </row>
    <row r="744" spans="1:89" x14ac:dyDescent="0.25">
      <c r="A744" s="95"/>
      <c r="B744" s="261" t="s">
        <v>1185</v>
      </c>
      <c r="C744" s="263"/>
      <c r="D744" s="95" t="s">
        <v>1763</v>
      </c>
      <c r="E744" s="291"/>
      <c r="F744" s="291"/>
      <c r="G744" s="291"/>
      <c r="H744" s="291"/>
      <c r="I744" s="291"/>
      <c r="J744" s="291"/>
      <c r="K744" s="291">
        <v>0</v>
      </c>
      <c r="L744" s="291">
        <v>0</v>
      </c>
      <c r="M744" s="291">
        <v>0</v>
      </c>
      <c r="N744" s="291">
        <v>0</v>
      </c>
      <c r="Q744" s="283">
        <f>S744+V744+Y744+AB744+AE744+AH744+AK744+AN744+AQ744+AT744+AW744+AZ744+BC744+BF744+BI744+BL744+BO744+BR744+BU744+BX744+CA744+CD744+CG744+CJ744</f>
        <v>0</v>
      </c>
      <c r="R744" s="283">
        <f>T744+W744+Z744+AC744+AF744+AI744+AL744+AO744+AR744+AU744+AX744+BA744+BD744+BG744+BJ744+BM744+BP744+BS744+BV744+BY744+CB744+CE744+CH744+CK744</f>
        <v>0</v>
      </c>
      <c r="S744" s="283">
        <f t="shared" ref="S744" si="1203">S725</f>
        <v>0</v>
      </c>
      <c r="T744" s="283">
        <f t="shared" si="1179"/>
        <v>0</v>
      </c>
      <c r="V744" s="283">
        <f t="shared" ref="V744" si="1204">V725</f>
        <v>0</v>
      </c>
      <c r="W744" s="283">
        <f t="shared" si="1180"/>
        <v>0</v>
      </c>
      <c r="Y744" s="283">
        <f t="shared" ref="Y744" si="1205">Y725</f>
        <v>0</v>
      </c>
      <c r="Z744" s="283">
        <f t="shared" si="1181"/>
        <v>0</v>
      </c>
      <c r="AB744" s="283">
        <f t="shared" ref="AB744" si="1206">AB725</f>
        <v>0</v>
      </c>
      <c r="AC744" s="283">
        <f t="shared" si="1182"/>
        <v>0</v>
      </c>
      <c r="AE744" s="283">
        <f t="shared" ref="AE744" si="1207">AE725</f>
        <v>0</v>
      </c>
      <c r="AF744" s="283">
        <f t="shared" si="1183"/>
        <v>0</v>
      </c>
      <c r="AH744" s="283">
        <f t="shared" ref="AH744" si="1208">AH725</f>
        <v>0</v>
      </c>
      <c r="AI744" s="283">
        <f t="shared" si="1184"/>
        <v>0</v>
      </c>
      <c r="AK744" s="283">
        <f t="shared" ref="AK744" si="1209">AK725</f>
        <v>0</v>
      </c>
      <c r="AL744" s="283">
        <f t="shared" si="1185"/>
        <v>0</v>
      </c>
      <c r="AN744" s="283">
        <f t="shared" ref="AN744" si="1210">AN725</f>
        <v>0</v>
      </c>
      <c r="AO744" s="283">
        <f t="shared" si="1186"/>
        <v>0</v>
      </c>
      <c r="AQ744" s="283">
        <f t="shared" ref="AQ744" si="1211">AQ725</f>
        <v>0</v>
      </c>
      <c r="AR744" s="283">
        <f t="shared" si="1187"/>
        <v>0</v>
      </c>
      <c r="AT744" s="283">
        <f t="shared" ref="AT744" si="1212">AT725</f>
        <v>0</v>
      </c>
      <c r="AU744" s="283">
        <f t="shared" si="1188"/>
        <v>0</v>
      </c>
      <c r="AW744" s="283">
        <f t="shared" ref="AW744" si="1213">AW725</f>
        <v>0</v>
      </c>
      <c r="AX744" s="283">
        <f t="shared" si="1189"/>
        <v>0</v>
      </c>
      <c r="AZ744" s="283">
        <f t="shared" ref="AZ744" si="1214">AZ725</f>
        <v>0</v>
      </c>
      <c r="BA744" s="283">
        <f t="shared" si="1190"/>
        <v>0</v>
      </c>
      <c r="BC744" s="283">
        <f t="shared" ref="BC744" si="1215">BC725</f>
        <v>0</v>
      </c>
      <c r="BD744" s="283">
        <f t="shared" si="1191"/>
        <v>0</v>
      </c>
      <c r="BF744" s="283">
        <f t="shared" ref="BF744" si="1216">BF725</f>
        <v>0</v>
      </c>
      <c r="BG744" s="283">
        <f t="shared" si="1192"/>
        <v>0</v>
      </c>
      <c r="BI744" s="283">
        <f t="shared" ref="BI744" si="1217">BI725</f>
        <v>0</v>
      </c>
      <c r="BJ744" s="283">
        <f t="shared" si="1193"/>
        <v>0</v>
      </c>
      <c r="BL744" s="283">
        <f t="shared" ref="BL744" si="1218">BL725</f>
        <v>0</v>
      </c>
      <c r="BM744" s="283">
        <f t="shared" si="1194"/>
        <v>0</v>
      </c>
      <c r="BO744" s="283">
        <f t="shared" ref="BO744" si="1219">BO725</f>
        <v>0</v>
      </c>
      <c r="BP744" s="283">
        <f t="shared" si="1195"/>
        <v>0</v>
      </c>
      <c r="BR744" s="283">
        <f t="shared" ref="BR744" si="1220">BR725</f>
        <v>0</v>
      </c>
      <c r="BS744" s="283">
        <f t="shared" si="1196"/>
        <v>0</v>
      </c>
      <c r="BU744" s="283">
        <f t="shared" ref="BU744" si="1221">BU725</f>
        <v>0</v>
      </c>
      <c r="BV744" s="283">
        <f t="shared" si="1197"/>
        <v>0</v>
      </c>
      <c r="BX744" s="283">
        <f t="shared" ref="BX744" si="1222">BX725</f>
        <v>0</v>
      </c>
      <c r="BY744" s="283">
        <f t="shared" si="1198"/>
        <v>0</v>
      </c>
      <c r="CA744" s="283">
        <f t="shared" ref="CA744" si="1223">CA725</f>
        <v>0</v>
      </c>
      <c r="CB744" s="283">
        <f t="shared" si="1199"/>
        <v>0</v>
      </c>
      <c r="CD744" s="283">
        <f t="shared" ref="CD744" si="1224">CD725</f>
        <v>0</v>
      </c>
      <c r="CE744" s="283">
        <f t="shared" si="1200"/>
        <v>0</v>
      </c>
      <c r="CG744" s="283">
        <f t="shared" ref="CG744" si="1225">CG725</f>
        <v>0</v>
      </c>
      <c r="CH744" s="283">
        <f t="shared" si="1201"/>
        <v>0</v>
      </c>
      <c r="CJ744" s="283">
        <f t="shared" ref="CJ744" si="1226">CJ725</f>
        <v>0</v>
      </c>
      <c r="CK744" s="283">
        <f t="shared" si="1202"/>
        <v>0</v>
      </c>
    </row>
    <row r="745" spans="1:89" ht="90" x14ac:dyDescent="0.25">
      <c r="A745" s="95" t="s">
        <v>1686</v>
      </c>
      <c r="B745" s="96" t="s">
        <v>1687</v>
      </c>
      <c r="C745" s="263"/>
      <c r="D745" s="95"/>
      <c r="E745" s="291"/>
      <c r="F745" s="291"/>
      <c r="G745" s="291"/>
      <c r="H745" s="291"/>
      <c r="I745" s="291"/>
      <c r="J745" s="291"/>
      <c r="K745" s="291"/>
      <c r="L745" s="291"/>
      <c r="M745" s="291"/>
      <c r="N745" s="291"/>
    </row>
    <row r="746" spans="1:89" x14ac:dyDescent="0.25">
      <c r="A746" s="95"/>
      <c r="B746" s="96" t="s">
        <v>1182</v>
      </c>
      <c r="C746" s="263"/>
      <c r="D746" s="95" t="s">
        <v>8</v>
      </c>
      <c r="E746" s="291"/>
      <c r="F746" s="291"/>
      <c r="G746" s="291"/>
      <c r="H746" s="291"/>
      <c r="I746" s="279">
        <f t="shared" ref="I746:K748" si="1227">I749/I752*100</f>
        <v>99.371069182389931</v>
      </c>
      <c r="J746" s="279">
        <f t="shared" si="1227"/>
        <v>99.354838709677423</v>
      </c>
      <c r="K746" s="279">
        <f t="shared" si="1227"/>
        <v>99.674267100977204</v>
      </c>
      <c r="L746" s="279">
        <f t="shared" ref="L746:M748" si="1228">L749/L752*100</f>
        <v>100</v>
      </c>
      <c r="M746" s="279">
        <f t="shared" si="1228"/>
        <v>100</v>
      </c>
      <c r="N746" s="279">
        <f t="shared" ref="N746" si="1229">N749/N752*100</f>
        <v>100</v>
      </c>
      <c r="Q746" s="279">
        <f t="shared" ref="Q746:T748" si="1230">Q749/Q752*100</f>
        <v>99.674267100977204</v>
      </c>
      <c r="R746" s="279">
        <f t="shared" si="1230"/>
        <v>99.35275080906149</v>
      </c>
      <c r="S746" s="279">
        <f t="shared" si="1230"/>
        <v>100</v>
      </c>
      <c r="T746" s="279">
        <f t="shared" si="1230"/>
        <v>100</v>
      </c>
      <c r="V746" s="279">
        <f t="shared" ref="V746:W748" si="1231">V749/V752*100</f>
        <v>100</v>
      </c>
      <c r="W746" s="279">
        <f t="shared" si="1231"/>
        <v>100</v>
      </c>
      <c r="Y746" s="279">
        <f t="shared" ref="Y746:Z748" si="1232">Y749/Y752*100</f>
        <v>100</v>
      </c>
      <c r="Z746" s="279">
        <f t="shared" si="1232"/>
        <v>100</v>
      </c>
      <c r="AB746" s="279">
        <f t="shared" ref="AB746:AC748" si="1233">AB749/AB752*100</f>
        <v>100</v>
      </c>
      <c r="AC746" s="279">
        <f t="shared" si="1233"/>
        <v>100</v>
      </c>
      <c r="AE746" s="279">
        <f t="shared" ref="AE746:AF748" si="1234">AE749/AE752*100</f>
        <v>100</v>
      </c>
      <c r="AF746" s="279">
        <f t="shared" si="1234"/>
        <v>100</v>
      </c>
      <c r="AH746" s="279">
        <f t="shared" ref="AH746:AI748" si="1235">AH749/AH752*100</f>
        <v>100</v>
      </c>
      <c r="AI746" s="279">
        <f t="shared" si="1235"/>
        <v>100</v>
      </c>
      <c r="AK746" s="279">
        <f t="shared" ref="AK746:AL748" si="1236">AK749/AK752*100</f>
        <v>100</v>
      </c>
      <c r="AL746" s="279">
        <f t="shared" si="1236"/>
        <v>100</v>
      </c>
      <c r="AN746" s="279">
        <f t="shared" ref="AN746:AO748" si="1237">AN749/AN752*100</f>
        <v>100</v>
      </c>
      <c r="AO746" s="279">
        <f t="shared" si="1237"/>
        <v>100</v>
      </c>
      <c r="AQ746" s="279">
        <f t="shared" ref="AQ746:AR748" si="1238">AQ749/AQ752*100</f>
        <v>100</v>
      </c>
      <c r="AR746" s="279">
        <f t="shared" si="1238"/>
        <v>100</v>
      </c>
      <c r="AT746" s="279">
        <f t="shared" ref="AT746:AU748" si="1239">AT749/AT752*100</f>
        <v>100</v>
      </c>
      <c r="AU746" s="279">
        <f t="shared" si="1239"/>
        <v>100</v>
      </c>
      <c r="AW746" s="279">
        <f t="shared" ref="AW746:AX748" si="1240">AW749/AW752*100</f>
        <v>100</v>
      </c>
      <c r="AX746" s="279">
        <f t="shared" si="1240"/>
        <v>100</v>
      </c>
      <c r="AZ746" s="279">
        <f t="shared" ref="AZ746:BA748" si="1241">AZ749/AZ752*100</f>
        <v>100</v>
      </c>
      <c r="BA746" s="279">
        <f t="shared" si="1241"/>
        <v>100</v>
      </c>
      <c r="BC746" s="279">
        <f t="shared" ref="BC746:BD748" si="1242">BC749/BC752*100</f>
        <v>100</v>
      </c>
      <c r="BD746" s="279">
        <f t="shared" si="1242"/>
        <v>100</v>
      </c>
      <c r="BF746" s="279">
        <f t="shared" ref="BF746:BG748" si="1243">BF749/BF752*100</f>
        <v>100</v>
      </c>
      <c r="BG746" s="279">
        <f t="shared" si="1243"/>
        <v>97.058823529411768</v>
      </c>
      <c r="BI746" s="279">
        <f t="shared" ref="BI746:BJ748" si="1244">BI749/BI752*100</f>
        <v>100</v>
      </c>
      <c r="BJ746" s="279">
        <f t="shared" si="1244"/>
        <v>100</v>
      </c>
      <c r="BL746" s="279">
        <f t="shared" ref="BL746:BM748" si="1245">BL749/BL752*100</f>
        <v>100</v>
      </c>
      <c r="BM746" s="279">
        <f t="shared" si="1245"/>
        <v>100</v>
      </c>
      <c r="BO746" s="279">
        <f t="shared" ref="BO746:BP748" si="1246">BO749/BO752*100</f>
        <v>100</v>
      </c>
      <c r="BP746" s="279">
        <f t="shared" si="1246"/>
        <v>100</v>
      </c>
      <c r="BR746" s="279">
        <f t="shared" ref="BR746:BS748" si="1247">BR749/BR752*100</f>
        <v>100</v>
      </c>
      <c r="BS746" s="279">
        <f t="shared" si="1247"/>
        <v>100</v>
      </c>
      <c r="BU746" s="279">
        <f t="shared" ref="BU746:BV748" si="1248">BU749/BU752*100</f>
        <v>100</v>
      </c>
      <c r="BV746" s="279">
        <f t="shared" si="1248"/>
        <v>100</v>
      </c>
      <c r="BX746" s="279">
        <f t="shared" ref="BX746:BY748" si="1249">BX749/BX752*100</f>
        <v>100</v>
      </c>
      <c r="BY746" s="279">
        <f t="shared" si="1249"/>
        <v>100</v>
      </c>
      <c r="CA746" s="279">
        <f t="shared" ref="CA746:CB748" si="1250">CA749/CA752*100</f>
        <v>100</v>
      </c>
      <c r="CB746" s="279">
        <f t="shared" si="1250"/>
        <v>100</v>
      </c>
      <c r="CD746" s="279">
        <f t="shared" ref="CD746:CE748" si="1251">CD749/CD752*100</f>
        <v>100</v>
      </c>
      <c r="CE746" s="279">
        <f t="shared" si="1251"/>
        <v>100</v>
      </c>
      <c r="CG746" s="279">
        <f t="shared" ref="CG746:CH748" si="1252">CG749/CG752*100</f>
        <v>95.454545454545453</v>
      </c>
      <c r="CH746" s="279">
        <f t="shared" si="1252"/>
        <v>95.454545454545453</v>
      </c>
      <c r="CJ746" s="279" t="e">
        <f t="shared" ref="CJ746:CK748" si="1253">CJ749/CJ752*100</f>
        <v>#DIV/0!</v>
      </c>
      <c r="CK746" s="279" t="e">
        <f t="shared" si="1253"/>
        <v>#DIV/0!</v>
      </c>
    </row>
    <row r="747" spans="1:89" x14ac:dyDescent="0.25">
      <c r="A747" s="95"/>
      <c r="B747" s="96" t="s">
        <v>1183</v>
      </c>
      <c r="C747" s="263"/>
      <c r="D747" s="95" t="s">
        <v>8</v>
      </c>
      <c r="E747" s="291"/>
      <c r="F747" s="291"/>
      <c r="G747" s="291"/>
      <c r="H747" s="291"/>
      <c r="I747" s="279">
        <f t="shared" si="1227"/>
        <v>99.090909090909093</v>
      </c>
      <c r="J747" s="279">
        <f t="shared" si="1227"/>
        <v>99.069767441860463</v>
      </c>
      <c r="K747" s="279">
        <f t="shared" si="1227"/>
        <v>99.53051643192488</v>
      </c>
      <c r="L747" s="279">
        <f t="shared" ref="L747" si="1254">L750/L753*100</f>
        <v>100</v>
      </c>
      <c r="M747" s="279">
        <f t="shared" si="1228"/>
        <v>100</v>
      </c>
      <c r="N747" s="279">
        <f t="shared" ref="N747" si="1255">N750/N753*100</f>
        <v>100</v>
      </c>
      <c r="Q747" s="279">
        <f t="shared" si="1230"/>
        <v>99.53051643192488</v>
      </c>
      <c r="R747" s="279">
        <f t="shared" si="1230"/>
        <v>99.069767441860463</v>
      </c>
      <c r="S747" s="279">
        <f t="shared" si="1230"/>
        <v>100</v>
      </c>
      <c r="T747" s="279">
        <f t="shared" si="1230"/>
        <v>100</v>
      </c>
      <c r="V747" s="279">
        <f t="shared" si="1231"/>
        <v>100</v>
      </c>
      <c r="W747" s="279">
        <f t="shared" si="1231"/>
        <v>100</v>
      </c>
      <c r="Y747" s="279">
        <f t="shared" si="1232"/>
        <v>100</v>
      </c>
      <c r="Z747" s="279">
        <f t="shared" si="1232"/>
        <v>100</v>
      </c>
      <c r="AB747" s="279">
        <f t="shared" si="1233"/>
        <v>100</v>
      </c>
      <c r="AC747" s="279">
        <f t="shared" si="1233"/>
        <v>100</v>
      </c>
      <c r="AE747" s="279">
        <f t="shared" si="1234"/>
        <v>100</v>
      </c>
      <c r="AF747" s="279">
        <f t="shared" si="1234"/>
        <v>100</v>
      </c>
      <c r="AH747" s="279">
        <f t="shared" si="1235"/>
        <v>100</v>
      </c>
      <c r="AI747" s="279">
        <f t="shared" si="1235"/>
        <v>100</v>
      </c>
      <c r="AK747" s="279">
        <f t="shared" si="1236"/>
        <v>100</v>
      </c>
      <c r="AL747" s="279">
        <f t="shared" si="1236"/>
        <v>100</v>
      </c>
      <c r="AN747" s="279">
        <f t="shared" si="1237"/>
        <v>100</v>
      </c>
      <c r="AO747" s="279">
        <f t="shared" si="1237"/>
        <v>100</v>
      </c>
      <c r="AQ747" s="279" t="e">
        <f t="shared" si="1238"/>
        <v>#DIV/0!</v>
      </c>
      <c r="AR747" s="279" t="e">
        <f t="shared" si="1238"/>
        <v>#DIV/0!</v>
      </c>
      <c r="AT747" s="279">
        <f t="shared" si="1239"/>
        <v>100</v>
      </c>
      <c r="AU747" s="279">
        <f t="shared" si="1239"/>
        <v>100</v>
      </c>
      <c r="AW747" s="279">
        <f t="shared" si="1240"/>
        <v>100</v>
      </c>
      <c r="AX747" s="279">
        <f t="shared" si="1240"/>
        <v>100</v>
      </c>
      <c r="AZ747" s="279">
        <f t="shared" si="1241"/>
        <v>100</v>
      </c>
      <c r="BA747" s="279">
        <f t="shared" si="1241"/>
        <v>100</v>
      </c>
      <c r="BC747" s="279">
        <f t="shared" si="1242"/>
        <v>100</v>
      </c>
      <c r="BD747" s="279">
        <f t="shared" si="1242"/>
        <v>100</v>
      </c>
      <c r="BF747" s="279">
        <f t="shared" si="1243"/>
        <v>100</v>
      </c>
      <c r="BG747" s="279">
        <f t="shared" si="1243"/>
        <v>97.058823529411768</v>
      </c>
      <c r="BI747" s="279">
        <f t="shared" si="1244"/>
        <v>100</v>
      </c>
      <c r="BJ747" s="279">
        <f t="shared" si="1244"/>
        <v>100</v>
      </c>
      <c r="BL747" s="279">
        <f t="shared" si="1245"/>
        <v>100</v>
      </c>
      <c r="BM747" s="279">
        <f t="shared" si="1245"/>
        <v>100</v>
      </c>
      <c r="BO747" s="279">
        <f t="shared" si="1246"/>
        <v>100</v>
      </c>
      <c r="BP747" s="279">
        <f t="shared" si="1246"/>
        <v>100</v>
      </c>
      <c r="BR747" s="279">
        <f t="shared" si="1247"/>
        <v>100</v>
      </c>
      <c r="BS747" s="279">
        <f t="shared" si="1247"/>
        <v>100</v>
      </c>
      <c r="BU747" s="279">
        <f t="shared" si="1248"/>
        <v>100</v>
      </c>
      <c r="BV747" s="279">
        <f t="shared" si="1248"/>
        <v>100</v>
      </c>
      <c r="BX747" s="279">
        <f t="shared" si="1249"/>
        <v>100</v>
      </c>
      <c r="BY747" s="279">
        <f t="shared" si="1249"/>
        <v>100</v>
      </c>
      <c r="CA747" s="279">
        <f t="shared" si="1250"/>
        <v>100</v>
      </c>
      <c r="CB747" s="279">
        <f t="shared" si="1250"/>
        <v>100</v>
      </c>
      <c r="CD747" s="279">
        <f t="shared" si="1251"/>
        <v>100</v>
      </c>
      <c r="CE747" s="279">
        <f t="shared" si="1251"/>
        <v>100</v>
      </c>
      <c r="CG747" s="279">
        <f t="shared" si="1252"/>
        <v>94.444444444444443</v>
      </c>
      <c r="CH747" s="279">
        <f t="shared" si="1252"/>
        <v>94.444444444444443</v>
      </c>
      <c r="CJ747" s="279" t="e">
        <f t="shared" si="1253"/>
        <v>#DIV/0!</v>
      </c>
      <c r="CK747" s="279" t="e">
        <f t="shared" si="1253"/>
        <v>#DIV/0!</v>
      </c>
    </row>
    <row r="748" spans="1:89" x14ac:dyDescent="0.25">
      <c r="A748" s="95"/>
      <c r="B748" s="96" t="s">
        <v>1185</v>
      </c>
      <c r="C748" s="263"/>
      <c r="D748" s="95" t="s">
        <v>8</v>
      </c>
      <c r="E748" s="291"/>
      <c r="F748" s="291"/>
      <c r="G748" s="291"/>
      <c r="H748" s="291"/>
      <c r="I748" s="279">
        <f t="shared" si="1227"/>
        <v>100</v>
      </c>
      <c r="J748" s="279">
        <f t="shared" si="1227"/>
        <v>100</v>
      </c>
      <c r="K748" s="279">
        <f t="shared" si="1227"/>
        <v>100</v>
      </c>
      <c r="L748" s="279">
        <f t="shared" ref="L748" si="1256">L751/L754*100</f>
        <v>100</v>
      </c>
      <c r="M748" s="279">
        <f t="shared" si="1228"/>
        <v>100</v>
      </c>
      <c r="N748" s="279">
        <f t="shared" ref="N748" si="1257">N751/N754*100</f>
        <v>100</v>
      </c>
      <c r="Q748" s="279">
        <f t="shared" si="1230"/>
        <v>100</v>
      </c>
      <c r="R748" s="279">
        <f t="shared" si="1230"/>
        <v>100</v>
      </c>
      <c r="S748" s="279">
        <f t="shared" si="1230"/>
        <v>100</v>
      </c>
      <c r="T748" s="279">
        <f t="shared" si="1230"/>
        <v>100</v>
      </c>
      <c r="V748" s="279">
        <f t="shared" si="1231"/>
        <v>100</v>
      </c>
      <c r="W748" s="279">
        <f t="shared" si="1231"/>
        <v>100</v>
      </c>
      <c r="Y748" s="279">
        <f t="shared" si="1232"/>
        <v>100</v>
      </c>
      <c r="Z748" s="279">
        <f t="shared" si="1232"/>
        <v>100</v>
      </c>
      <c r="AB748" s="279">
        <f t="shared" si="1233"/>
        <v>100</v>
      </c>
      <c r="AC748" s="279">
        <f t="shared" si="1233"/>
        <v>100</v>
      </c>
      <c r="AE748" s="279">
        <f t="shared" si="1234"/>
        <v>100</v>
      </c>
      <c r="AF748" s="279">
        <f t="shared" si="1234"/>
        <v>100</v>
      </c>
      <c r="AH748" s="279">
        <f t="shared" si="1235"/>
        <v>100</v>
      </c>
      <c r="AI748" s="279">
        <f t="shared" si="1235"/>
        <v>100</v>
      </c>
      <c r="AK748" s="279">
        <f t="shared" si="1236"/>
        <v>100</v>
      </c>
      <c r="AL748" s="279">
        <f t="shared" si="1236"/>
        <v>100</v>
      </c>
      <c r="AN748" s="279">
        <f t="shared" si="1237"/>
        <v>100</v>
      </c>
      <c r="AO748" s="279">
        <f t="shared" si="1237"/>
        <v>100</v>
      </c>
      <c r="AQ748" s="279">
        <f t="shared" si="1238"/>
        <v>100</v>
      </c>
      <c r="AR748" s="279">
        <f t="shared" si="1238"/>
        <v>100</v>
      </c>
      <c r="AT748" s="279" t="e">
        <f t="shared" si="1239"/>
        <v>#DIV/0!</v>
      </c>
      <c r="AU748" s="279" t="e">
        <f t="shared" si="1239"/>
        <v>#DIV/0!</v>
      </c>
      <c r="AW748" s="279" t="e">
        <f t="shared" si="1240"/>
        <v>#DIV/0!</v>
      </c>
      <c r="AX748" s="279" t="e">
        <f t="shared" si="1240"/>
        <v>#DIV/0!</v>
      </c>
      <c r="AZ748" s="279" t="e">
        <f t="shared" si="1241"/>
        <v>#DIV/0!</v>
      </c>
      <c r="BA748" s="279" t="e">
        <f t="shared" si="1241"/>
        <v>#DIV/0!</v>
      </c>
      <c r="BC748" s="279" t="e">
        <f t="shared" si="1242"/>
        <v>#DIV/0!</v>
      </c>
      <c r="BD748" s="279" t="e">
        <f t="shared" si="1242"/>
        <v>#DIV/0!</v>
      </c>
      <c r="BF748" s="279" t="e">
        <f t="shared" si="1243"/>
        <v>#DIV/0!</v>
      </c>
      <c r="BG748" s="279" t="e">
        <f t="shared" si="1243"/>
        <v>#DIV/0!</v>
      </c>
      <c r="BI748" s="279" t="e">
        <f t="shared" si="1244"/>
        <v>#DIV/0!</v>
      </c>
      <c r="BJ748" s="279" t="e">
        <f t="shared" si="1244"/>
        <v>#DIV/0!</v>
      </c>
      <c r="BL748" s="279" t="e">
        <f t="shared" si="1245"/>
        <v>#DIV/0!</v>
      </c>
      <c r="BM748" s="279" t="e">
        <f t="shared" si="1245"/>
        <v>#DIV/0!</v>
      </c>
      <c r="BO748" s="279" t="e">
        <f t="shared" si="1246"/>
        <v>#DIV/0!</v>
      </c>
      <c r="BP748" s="279" t="e">
        <f t="shared" si="1246"/>
        <v>#DIV/0!</v>
      </c>
      <c r="BR748" s="279" t="e">
        <f t="shared" si="1247"/>
        <v>#DIV/0!</v>
      </c>
      <c r="BS748" s="279" t="e">
        <f t="shared" si="1247"/>
        <v>#DIV/0!</v>
      </c>
      <c r="BU748" s="279" t="e">
        <f t="shared" si="1248"/>
        <v>#DIV/0!</v>
      </c>
      <c r="BV748" s="279" t="e">
        <f t="shared" si="1248"/>
        <v>#DIV/0!</v>
      </c>
      <c r="BX748" s="279" t="e">
        <f t="shared" si="1249"/>
        <v>#DIV/0!</v>
      </c>
      <c r="BY748" s="279" t="e">
        <f t="shared" si="1249"/>
        <v>#DIV/0!</v>
      </c>
      <c r="CA748" s="279" t="e">
        <f t="shared" si="1250"/>
        <v>#DIV/0!</v>
      </c>
      <c r="CB748" s="279" t="e">
        <f t="shared" si="1250"/>
        <v>#DIV/0!</v>
      </c>
      <c r="CD748" s="279" t="e">
        <f t="shared" si="1251"/>
        <v>#DIV/0!</v>
      </c>
      <c r="CE748" s="279" t="e">
        <f t="shared" si="1251"/>
        <v>#DIV/0!</v>
      </c>
      <c r="CG748" s="279">
        <f t="shared" si="1252"/>
        <v>100</v>
      </c>
      <c r="CH748" s="279">
        <f t="shared" si="1252"/>
        <v>100</v>
      </c>
      <c r="CJ748" s="279" t="e">
        <f t="shared" si="1253"/>
        <v>#DIV/0!</v>
      </c>
      <c r="CK748" s="279" t="e">
        <f t="shared" si="1253"/>
        <v>#DIV/0!</v>
      </c>
    </row>
    <row r="749" spans="1:89" ht="30" x14ac:dyDescent="0.25">
      <c r="A749" s="95"/>
      <c r="B749" s="96" t="s">
        <v>1859</v>
      </c>
      <c r="C749" s="263"/>
      <c r="D749" s="95" t="s">
        <v>1763</v>
      </c>
      <c r="E749" s="291"/>
      <c r="F749" s="291"/>
      <c r="G749" s="291"/>
      <c r="H749" s="291"/>
      <c r="I749" s="291">
        <f t="shared" ref="I749:N749" si="1258">I750+I751</f>
        <v>316</v>
      </c>
      <c r="J749" s="291">
        <f t="shared" si="1258"/>
        <v>308</v>
      </c>
      <c r="K749" s="291">
        <f t="shared" si="1258"/>
        <v>306</v>
      </c>
      <c r="L749" s="291">
        <f t="shared" si="1258"/>
        <v>18</v>
      </c>
      <c r="M749" s="291">
        <f t="shared" si="1258"/>
        <v>18</v>
      </c>
      <c r="N749" s="291">
        <f t="shared" si="1258"/>
        <v>18</v>
      </c>
      <c r="Q749" s="291">
        <f>Q750+Q751</f>
        <v>306</v>
      </c>
      <c r="R749" s="291">
        <f>R750+R751</f>
        <v>307</v>
      </c>
      <c r="S749" s="291">
        <f>S750+S751</f>
        <v>10</v>
      </c>
      <c r="T749" s="291">
        <f>T750+T751</f>
        <v>11</v>
      </c>
      <c r="V749" s="291">
        <f>V750+V751</f>
        <v>12</v>
      </c>
      <c r="W749" s="291">
        <f>W750+W751</f>
        <v>12</v>
      </c>
      <c r="Y749" s="291">
        <f>Y750+Y751</f>
        <v>15</v>
      </c>
      <c r="Z749" s="291">
        <f>Z750+Z751</f>
        <v>15</v>
      </c>
      <c r="AB749" s="291">
        <f>AB750+AB751</f>
        <v>13</v>
      </c>
      <c r="AC749" s="291">
        <f>AC750+AC751</f>
        <v>13</v>
      </c>
      <c r="AE749" s="291">
        <f>AE750+AE751</f>
        <v>17</v>
      </c>
      <c r="AF749" s="291">
        <f>AF750+AF751</f>
        <v>16</v>
      </c>
      <c r="AH749" s="291">
        <f>AH750+AH751</f>
        <v>18</v>
      </c>
      <c r="AI749" s="291">
        <f>AI750+AI751</f>
        <v>18</v>
      </c>
      <c r="AK749" s="291">
        <f>AK750+AK751</f>
        <v>11</v>
      </c>
      <c r="AL749" s="291">
        <f>AL750+AL751</f>
        <v>11</v>
      </c>
      <c r="AN749" s="291">
        <f>AN750+AN751</f>
        <v>18</v>
      </c>
      <c r="AO749" s="291">
        <f>AO750+AO751</f>
        <v>18</v>
      </c>
      <c r="AQ749" s="291">
        <f>AQ750+AQ751</f>
        <v>23</v>
      </c>
      <c r="AR749" s="291">
        <f>AR750+AR751</f>
        <v>24</v>
      </c>
      <c r="AT749" s="291">
        <f>AT750+AT751</f>
        <v>9</v>
      </c>
      <c r="AU749" s="291">
        <f>AU750+AU751</f>
        <v>9</v>
      </c>
      <c r="AW749" s="291">
        <f>AW750+AW751</f>
        <v>6</v>
      </c>
      <c r="AX749" s="291">
        <f>AX750+AX751</f>
        <v>6</v>
      </c>
      <c r="AZ749" s="291">
        <f>AZ750+AZ751</f>
        <v>7</v>
      </c>
      <c r="BA749" s="291">
        <f>BA750+BA751</f>
        <v>7</v>
      </c>
      <c r="BC749" s="291">
        <f>BC750+BC751</f>
        <v>15</v>
      </c>
      <c r="BD749" s="291">
        <f>BD750+BD751</f>
        <v>15</v>
      </c>
      <c r="BF749" s="291">
        <f>BF750+BF751</f>
        <v>33</v>
      </c>
      <c r="BG749" s="291">
        <f>BG750+BG751</f>
        <v>33</v>
      </c>
      <c r="BI749" s="291">
        <f>BI750+BI751</f>
        <v>37</v>
      </c>
      <c r="BJ749" s="291">
        <f>BJ750+BJ751</f>
        <v>37</v>
      </c>
      <c r="BL749" s="291">
        <f>BL750+BL751</f>
        <v>6</v>
      </c>
      <c r="BM749" s="291">
        <f>BM750+BM751</f>
        <v>6</v>
      </c>
      <c r="BO749" s="291">
        <f>BO750+BO751</f>
        <v>6</v>
      </c>
      <c r="BP749" s="291">
        <f>BP750+BP751</f>
        <v>6</v>
      </c>
      <c r="BR749" s="291">
        <f>BR750+BR751</f>
        <v>8</v>
      </c>
      <c r="BS749" s="291">
        <f>BS750+BS751</f>
        <v>7</v>
      </c>
      <c r="BU749" s="291">
        <f>BU750+BU751</f>
        <v>7</v>
      </c>
      <c r="BV749" s="291">
        <f>BV750+BV751</f>
        <v>7</v>
      </c>
      <c r="BX749" s="291">
        <f>BX750+BX751</f>
        <v>3</v>
      </c>
      <c r="BY749" s="291">
        <f>BY750+BY751</f>
        <v>3</v>
      </c>
      <c r="CA749" s="291">
        <f>CA750+CA751</f>
        <v>6</v>
      </c>
      <c r="CB749" s="291">
        <f>CB750+CB751</f>
        <v>7</v>
      </c>
      <c r="CD749" s="291">
        <f>CD750+CD751</f>
        <v>5</v>
      </c>
      <c r="CE749" s="291">
        <f>CE750+CE751</f>
        <v>5</v>
      </c>
      <c r="CG749" s="291">
        <f>CG750+CG751</f>
        <v>21</v>
      </c>
      <c r="CH749" s="291">
        <f>CH750+CH751</f>
        <v>21</v>
      </c>
      <c r="CJ749" s="291">
        <f>CJ750+CJ751</f>
        <v>0</v>
      </c>
      <c r="CK749" s="291">
        <f>CK750+CK751</f>
        <v>0</v>
      </c>
    </row>
    <row r="750" spans="1:89" ht="30" x14ac:dyDescent="0.25">
      <c r="A750" s="95"/>
      <c r="B750" s="96" t="s">
        <v>1183</v>
      </c>
      <c r="C750" s="263" t="s">
        <v>1860</v>
      </c>
      <c r="D750" s="95" t="s">
        <v>1763</v>
      </c>
      <c r="E750" s="291"/>
      <c r="F750" s="291"/>
      <c r="G750" s="291"/>
      <c r="H750" s="291"/>
      <c r="I750" s="291">
        <v>218</v>
      </c>
      <c r="J750" s="291">
        <v>213</v>
      </c>
      <c r="K750" s="291">
        <v>212</v>
      </c>
      <c r="L750" s="291">
        <v>5</v>
      </c>
      <c r="M750" s="291">
        <v>5</v>
      </c>
      <c r="N750" s="291">
        <v>5</v>
      </c>
      <c r="Q750" s="283">
        <f>S750+V750+Y750+AB750+AE750+AH750+AK750+AN750+AQ750+AT750+AW750+AZ750+BC750+BF750+BI750+BL750+BO750+BR750+BU750+BX750+CA750+CD750+CG750+CJ750</f>
        <v>212</v>
      </c>
      <c r="R750" s="283">
        <f>T750+W750+Z750+AC750+AF750+AI750+AL750+AO750+AR750+AU750+AX750+BA750+BD750+BG750+BJ750+BM750+BP750+BS750+BV750+BY750+CB750+CE750+CH750+CK750</f>
        <v>213</v>
      </c>
      <c r="S750" s="267">
        <v>3</v>
      </c>
      <c r="T750" s="267">
        <v>4</v>
      </c>
      <c r="V750" s="267">
        <v>4</v>
      </c>
      <c r="W750" s="267">
        <v>4</v>
      </c>
      <c r="Y750" s="267">
        <v>5</v>
      </c>
      <c r="Z750" s="267">
        <v>5</v>
      </c>
      <c r="AB750" s="267">
        <v>3</v>
      </c>
      <c r="AC750" s="267">
        <v>3</v>
      </c>
      <c r="AE750" s="267">
        <v>6</v>
      </c>
      <c r="AF750" s="267">
        <v>6</v>
      </c>
      <c r="AH750" s="267">
        <v>5</v>
      </c>
      <c r="AI750" s="267">
        <v>5</v>
      </c>
      <c r="AK750" s="267">
        <v>10</v>
      </c>
      <c r="AL750" s="267">
        <v>10</v>
      </c>
      <c r="AN750" s="267">
        <v>11</v>
      </c>
      <c r="AO750" s="267">
        <v>11</v>
      </c>
      <c r="AQ750" s="267">
        <v>0</v>
      </c>
      <c r="AR750" s="267">
        <v>0</v>
      </c>
      <c r="AT750" s="267">
        <v>9</v>
      </c>
      <c r="AU750" s="267">
        <v>9</v>
      </c>
      <c r="AW750" s="267">
        <v>6</v>
      </c>
      <c r="AX750" s="267">
        <v>6</v>
      </c>
      <c r="AZ750" s="267">
        <v>7</v>
      </c>
      <c r="BA750" s="267">
        <v>7</v>
      </c>
      <c r="BC750" s="267">
        <v>15</v>
      </c>
      <c r="BD750" s="267">
        <v>15</v>
      </c>
      <c r="BF750" s="267">
        <v>33</v>
      </c>
      <c r="BG750" s="267">
        <v>33</v>
      </c>
      <c r="BI750" s="267">
        <v>37</v>
      </c>
      <c r="BJ750" s="267">
        <v>37</v>
      </c>
      <c r="BL750" s="267">
        <v>6</v>
      </c>
      <c r="BM750" s="267">
        <v>6</v>
      </c>
      <c r="BO750" s="267">
        <v>6</v>
      </c>
      <c r="BP750" s="267">
        <v>6</v>
      </c>
      <c r="BR750" s="267">
        <v>8</v>
      </c>
      <c r="BS750" s="267">
        <v>7</v>
      </c>
      <c r="BU750" s="267">
        <v>7</v>
      </c>
      <c r="BV750" s="267">
        <v>7</v>
      </c>
      <c r="BX750" s="267">
        <v>3</v>
      </c>
      <c r="BY750" s="267">
        <v>3</v>
      </c>
      <c r="CA750" s="267">
        <v>6</v>
      </c>
      <c r="CB750" s="267">
        <v>7</v>
      </c>
      <c r="CD750" s="267">
        <v>5</v>
      </c>
      <c r="CE750" s="267">
        <v>5</v>
      </c>
      <c r="CG750" s="267">
        <v>17</v>
      </c>
      <c r="CH750" s="267">
        <v>17</v>
      </c>
      <c r="CJ750" s="267">
        <v>0</v>
      </c>
      <c r="CK750" s="267">
        <v>0</v>
      </c>
    </row>
    <row r="751" spans="1:89" ht="30" x14ac:dyDescent="0.25">
      <c r="A751" s="95"/>
      <c r="B751" s="96" t="s">
        <v>1185</v>
      </c>
      <c r="C751" s="263" t="s">
        <v>1860</v>
      </c>
      <c r="D751" s="95" t="s">
        <v>1763</v>
      </c>
      <c r="E751" s="291"/>
      <c r="F751" s="291"/>
      <c r="G751" s="291"/>
      <c r="H751" s="291"/>
      <c r="I751" s="291">
        <v>98</v>
      </c>
      <c r="J751" s="291">
        <v>95</v>
      </c>
      <c r="K751" s="291">
        <v>94</v>
      </c>
      <c r="L751" s="291">
        <v>13</v>
      </c>
      <c r="M751" s="291">
        <v>13</v>
      </c>
      <c r="N751" s="291">
        <v>13</v>
      </c>
      <c r="Q751" s="283">
        <f>S751+V751+Y751+AB751+AE751+AH751+AK751+AN751+AQ751+AT751+AW751+AZ751+BC751+BF751+BI751+BL751+BO751+BR751+BU751+BX751+CA751+CD751+CG751+CJ751</f>
        <v>94</v>
      </c>
      <c r="R751" s="283">
        <f>T751+W751+Z751+AC751+AF751+AI751+AL751+AO751+AR751+AU751+AX751+BA751+BD751+BG751+BJ751+BM751+BP751+BS751+BV751+BY751+CB751+CE751+CH751+CK751</f>
        <v>94</v>
      </c>
      <c r="S751" s="267">
        <v>7</v>
      </c>
      <c r="T751" s="267">
        <v>7</v>
      </c>
      <c r="V751" s="267">
        <v>8</v>
      </c>
      <c r="W751" s="267">
        <v>8</v>
      </c>
      <c r="Y751" s="267">
        <v>10</v>
      </c>
      <c r="Z751" s="267">
        <v>10</v>
      </c>
      <c r="AB751" s="267">
        <v>10</v>
      </c>
      <c r="AC751" s="267">
        <v>10</v>
      </c>
      <c r="AE751" s="267">
        <v>11</v>
      </c>
      <c r="AF751" s="267">
        <v>10</v>
      </c>
      <c r="AH751" s="267">
        <v>13</v>
      </c>
      <c r="AI751" s="267">
        <v>13</v>
      </c>
      <c r="AK751" s="267">
        <v>1</v>
      </c>
      <c r="AL751" s="267">
        <v>1</v>
      </c>
      <c r="AN751" s="267">
        <v>7</v>
      </c>
      <c r="AO751" s="267">
        <v>7</v>
      </c>
      <c r="AQ751" s="267">
        <v>23</v>
      </c>
      <c r="AR751" s="267">
        <v>24</v>
      </c>
      <c r="AT751" s="267">
        <v>0</v>
      </c>
      <c r="AU751" s="267">
        <v>0</v>
      </c>
      <c r="AW751" s="267">
        <v>0</v>
      </c>
      <c r="AX751" s="267">
        <v>0</v>
      </c>
      <c r="AZ751" s="267">
        <v>0</v>
      </c>
      <c r="BA751" s="267">
        <v>0</v>
      </c>
      <c r="BC751" s="267">
        <v>0</v>
      </c>
      <c r="BD751" s="267">
        <v>0</v>
      </c>
      <c r="BF751" s="267">
        <v>0</v>
      </c>
      <c r="BG751" s="267">
        <v>0</v>
      </c>
      <c r="BI751" s="267">
        <v>0</v>
      </c>
      <c r="BJ751" s="267">
        <v>0</v>
      </c>
      <c r="BL751" s="267">
        <v>0</v>
      </c>
      <c r="BM751" s="267">
        <v>0</v>
      </c>
      <c r="BO751" s="267">
        <v>0</v>
      </c>
      <c r="BP751" s="267">
        <v>0</v>
      </c>
      <c r="BR751" s="267">
        <v>0</v>
      </c>
      <c r="BS751" s="267">
        <v>0</v>
      </c>
      <c r="BU751" s="267">
        <v>0</v>
      </c>
      <c r="BV751" s="267">
        <v>0</v>
      </c>
      <c r="BX751" s="267">
        <v>0</v>
      </c>
      <c r="BY751" s="267">
        <v>0</v>
      </c>
      <c r="CA751" s="267">
        <v>0</v>
      </c>
      <c r="CB751" s="267">
        <v>0</v>
      </c>
      <c r="CD751" s="267">
        <v>0</v>
      </c>
      <c r="CE751" s="267">
        <v>0</v>
      </c>
      <c r="CG751" s="267">
        <v>4</v>
      </c>
      <c r="CH751" s="267">
        <v>4</v>
      </c>
      <c r="CJ751" s="267">
        <v>0</v>
      </c>
      <c r="CK751" s="267">
        <v>0</v>
      </c>
    </row>
    <row r="752" spans="1:89" x14ac:dyDescent="0.25">
      <c r="A752" s="95"/>
      <c r="B752" s="96" t="s">
        <v>1854</v>
      </c>
      <c r="C752" s="263"/>
      <c r="D752" s="95" t="s">
        <v>1763</v>
      </c>
      <c r="E752" s="291"/>
      <c r="F752" s="291"/>
      <c r="G752" s="291"/>
      <c r="H752" s="291"/>
      <c r="I752" s="291">
        <f t="shared" ref="I752:N752" si="1259">I753+I754</f>
        <v>318</v>
      </c>
      <c r="J752" s="291">
        <f t="shared" si="1259"/>
        <v>310</v>
      </c>
      <c r="K752" s="291">
        <f t="shared" si="1259"/>
        <v>307</v>
      </c>
      <c r="L752" s="291">
        <f t="shared" si="1259"/>
        <v>18</v>
      </c>
      <c r="M752" s="291">
        <f t="shared" si="1259"/>
        <v>18</v>
      </c>
      <c r="N752" s="291">
        <f t="shared" si="1259"/>
        <v>18</v>
      </c>
      <c r="Q752" s="291">
        <f>Q753+Q754</f>
        <v>307</v>
      </c>
      <c r="R752" s="291">
        <f>R753+R754</f>
        <v>309</v>
      </c>
      <c r="S752" s="291">
        <f>S753+S754</f>
        <v>10</v>
      </c>
      <c r="T752" s="291">
        <f>T753+T754</f>
        <v>11</v>
      </c>
      <c r="V752" s="291">
        <f>V753+V754</f>
        <v>12</v>
      </c>
      <c r="W752" s="291">
        <f>W753+W754</f>
        <v>12</v>
      </c>
      <c r="Y752" s="291">
        <f>Y753+Y754</f>
        <v>15</v>
      </c>
      <c r="Z752" s="291">
        <f>Z753+Z754</f>
        <v>15</v>
      </c>
      <c r="AB752" s="291">
        <f>AB753+AB754</f>
        <v>13</v>
      </c>
      <c r="AC752" s="291">
        <f>AC753+AC754</f>
        <v>13</v>
      </c>
      <c r="AE752" s="291">
        <f>AE753+AE754</f>
        <v>17</v>
      </c>
      <c r="AF752" s="291">
        <f>AF753+AF754</f>
        <v>16</v>
      </c>
      <c r="AH752" s="291">
        <f>AH753+AH754</f>
        <v>18</v>
      </c>
      <c r="AI752" s="291">
        <f>AI753+AI754</f>
        <v>18</v>
      </c>
      <c r="AK752" s="291">
        <f>AK753+AK754</f>
        <v>11</v>
      </c>
      <c r="AL752" s="291">
        <f>AL753+AL754</f>
        <v>11</v>
      </c>
      <c r="AN752" s="291">
        <f>AN753+AN754</f>
        <v>18</v>
      </c>
      <c r="AO752" s="291">
        <f>AO753+AO754</f>
        <v>18</v>
      </c>
      <c r="AQ752" s="291">
        <f>AQ753+AQ754</f>
        <v>23</v>
      </c>
      <c r="AR752" s="291">
        <f>AR753+AR754</f>
        <v>24</v>
      </c>
      <c r="AT752" s="291">
        <f>AT753+AT754</f>
        <v>9</v>
      </c>
      <c r="AU752" s="291">
        <f>AU753+AU754</f>
        <v>9</v>
      </c>
      <c r="AW752" s="291">
        <f>AW753+AW754</f>
        <v>6</v>
      </c>
      <c r="AX752" s="291">
        <f>AX753+AX754</f>
        <v>6</v>
      </c>
      <c r="AZ752" s="291">
        <f>AZ753+AZ754</f>
        <v>7</v>
      </c>
      <c r="BA752" s="291">
        <f>BA753+BA754</f>
        <v>7</v>
      </c>
      <c r="BC752" s="291">
        <f>BC753+BC754</f>
        <v>15</v>
      </c>
      <c r="BD752" s="291">
        <f>BD753+BD754</f>
        <v>15</v>
      </c>
      <c r="BF752" s="291">
        <f>BF753+BF754</f>
        <v>33</v>
      </c>
      <c r="BG752" s="291">
        <f>BG753+BG754</f>
        <v>34</v>
      </c>
      <c r="BI752" s="291">
        <f>BI753+BI754</f>
        <v>37</v>
      </c>
      <c r="BJ752" s="291">
        <f>BJ753+BJ754</f>
        <v>37</v>
      </c>
      <c r="BL752" s="291">
        <f>BL753+BL754</f>
        <v>6</v>
      </c>
      <c r="BM752" s="291">
        <f>BM753+BM754</f>
        <v>6</v>
      </c>
      <c r="BO752" s="291">
        <f>BO753+BO754</f>
        <v>6</v>
      </c>
      <c r="BP752" s="291">
        <f>BP753+BP754</f>
        <v>6</v>
      </c>
      <c r="BR752" s="291">
        <f>BR753+BR754</f>
        <v>8</v>
      </c>
      <c r="BS752" s="291">
        <f>BS753+BS754</f>
        <v>7</v>
      </c>
      <c r="BU752" s="291">
        <f>BU753+BU754</f>
        <v>7</v>
      </c>
      <c r="BV752" s="291">
        <f>BV753+BV754</f>
        <v>7</v>
      </c>
      <c r="BX752" s="291">
        <f>BX753+BX754</f>
        <v>3</v>
      </c>
      <c r="BY752" s="291">
        <f>BY753+BY754</f>
        <v>3</v>
      </c>
      <c r="CA752" s="291">
        <f>CA753+CA754</f>
        <v>6</v>
      </c>
      <c r="CB752" s="291">
        <f>CB753+CB754</f>
        <v>7</v>
      </c>
      <c r="CD752" s="291">
        <f>CD753+CD754</f>
        <v>5</v>
      </c>
      <c r="CE752" s="291">
        <f>CE753+CE754</f>
        <v>5</v>
      </c>
      <c r="CG752" s="291">
        <f>CG753+CG754</f>
        <v>22</v>
      </c>
      <c r="CH752" s="291">
        <f>CH753+CH754</f>
        <v>22</v>
      </c>
      <c r="CJ752" s="291">
        <f>CJ753+CJ754</f>
        <v>0</v>
      </c>
      <c r="CK752" s="291">
        <f>CK753+CK754</f>
        <v>0</v>
      </c>
    </row>
    <row r="753" spans="1:89" ht="30" x14ac:dyDescent="0.25">
      <c r="A753" s="95"/>
      <c r="B753" s="96" t="s">
        <v>1183</v>
      </c>
      <c r="C753" s="263" t="s">
        <v>2753</v>
      </c>
      <c r="D753" s="95" t="s">
        <v>1763</v>
      </c>
      <c r="E753" s="291"/>
      <c r="F753" s="291"/>
      <c r="G753" s="291"/>
      <c r="H753" s="291"/>
      <c r="I753" s="291">
        <v>220</v>
      </c>
      <c r="J753" s="291">
        <f t="shared" ref="J753:L754" si="1260">J721</f>
        <v>215</v>
      </c>
      <c r="K753" s="291">
        <f t="shared" si="1260"/>
        <v>213</v>
      </c>
      <c r="L753" s="291">
        <f t="shared" si="1260"/>
        <v>5</v>
      </c>
      <c r="M753" s="291">
        <v>5</v>
      </c>
      <c r="N753" s="291">
        <v>5</v>
      </c>
      <c r="Q753" s="283">
        <f>S753+V753+Y753+AB753+AE753+AH753+AK753+AN753+AQ753+AT753+AW753+AZ753+BC753+BF753+BI753+BL753+BO753+BR753+BU753+BX753+CA753+CD753+CG753+CJ753</f>
        <v>213</v>
      </c>
      <c r="R753" s="283">
        <f>T753+W753+Z753+AC753+AF753+AI753+AL753+AO753+AR753+AU753+AX753+BA753+BD753+BG753+BJ753+BM753+BP753+BS753+BV753+BY753+CB753+CE753+CH753+CK753</f>
        <v>215</v>
      </c>
      <c r="S753" s="283">
        <f>S721</f>
        <v>3</v>
      </c>
      <c r="T753" s="283">
        <f>T721</f>
        <v>4</v>
      </c>
      <c r="U753" s="283"/>
      <c r="V753" s="283">
        <f>V721</f>
        <v>4</v>
      </c>
      <c r="W753" s="283">
        <f>W721</f>
        <v>4</v>
      </c>
      <c r="X753" s="283"/>
      <c r="Y753" s="283">
        <f>Y721</f>
        <v>5</v>
      </c>
      <c r="Z753" s="283">
        <f>Z721</f>
        <v>5</v>
      </c>
      <c r="AA753" s="283"/>
      <c r="AB753" s="283">
        <f>AB721</f>
        <v>3</v>
      </c>
      <c r="AC753" s="283">
        <f>AC721</f>
        <v>3</v>
      </c>
      <c r="AD753" s="283"/>
      <c r="AE753" s="283">
        <f>AE721</f>
        <v>6</v>
      </c>
      <c r="AF753" s="283">
        <f>AF721</f>
        <v>6</v>
      </c>
      <c r="AG753" s="283"/>
      <c r="AH753" s="283">
        <f>AH721</f>
        <v>5</v>
      </c>
      <c r="AI753" s="283">
        <f>AI721</f>
        <v>5</v>
      </c>
      <c r="AJ753" s="283"/>
      <c r="AK753" s="283">
        <f>AK721</f>
        <v>10</v>
      </c>
      <c r="AL753" s="283">
        <f>AL721</f>
        <v>10</v>
      </c>
      <c r="AM753" s="283"/>
      <c r="AN753" s="283">
        <f>AN721</f>
        <v>11</v>
      </c>
      <c r="AO753" s="283">
        <f>AO721</f>
        <v>11</v>
      </c>
      <c r="AP753" s="283"/>
      <c r="AQ753" s="283">
        <f>AQ721</f>
        <v>0</v>
      </c>
      <c r="AR753" s="283">
        <f>AR721</f>
        <v>0</v>
      </c>
      <c r="AS753" s="283"/>
      <c r="AT753" s="283">
        <f>AT721</f>
        <v>9</v>
      </c>
      <c r="AU753" s="283">
        <f>AU721</f>
        <v>9</v>
      </c>
      <c r="AV753" s="283"/>
      <c r="AW753" s="283">
        <f>AW721</f>
        <v>6</v>
      </c>
      <c r="AX753" s="283">
        <f>AX721</f>
        <v>6</v>
      </c>
      <c r="AY753" s="283"/>
      <c r="AZ753" s="283">
        <f>AZ721</f>
        <v>7</v>
      </c>
      <c r="BA753" s="283">
        <f>BA721</f>
        <v>7</v>
      </c>
      <c r="BB753" s="283"/>
      <c r="BC753" s="283">
        <f>BC721</f>
        <v>15</v>
      </c>
      <c r="BD753" s="283">
        <f>BD721</f>
        <v>15</v>
      </c>
      <c r="BE753" s="283"/>
      <c r="BF753" s="283">
        <f>BF721</f>
        <v>33</v>
      </c>
      <c r="BG753" s="283">
        <f>BG721</f>
        <v>34</v>
      </c>
      <c r="BH753" s="283"/>
      <c r="BI753" s="283">
        <f>BI721</f>
        <v>37</v>
      </c>
      <c r="BJ753" s="283">
        <f>BJ721</f>
        <v>37</v>
      </c>
      <c r="BK753" s="283"/>
      <c r="BL753" s="283">
        <f>BL721</f>
        <v>6</v>
      </c>
      <c r="BM753" s="283">
        <f>BM721</f>
        <v>6</v>
      </c>
      <c r="BN753" s="283"/>
      <c r="BO753" s="283">
        <f>BO721</f>
        <v>6</v>
      </c>
      <c r="BP753" s="283">
        <f>BP721</f>
        <v>6</v>
      </c>
      <c r="BQ753" s="283"/>
      <c r="BR753" s="283">
        <f>BR721</f>
        <v>8</v>
      </c>
      <c r="BS753" s="283">
        <f>BS721</f>
        <v>7</v>
      </c>
      <c r="BT753" s="283"/>
      <c r="BU753" s="283">
        <f>BU721</f>
        <v>7</v>
      </c>
      <c r="BV753" s="283">
        <f>BV721</f>
        <v>7</v>
      </c>
      <c r="BW753" s="283"/>
      <c r="BX753" s="283">
        <f>BX721</f>
        <v>3</v>
      </c>
      <c r="BY753" s="283">
        <f>BY721</f>
        <v>3</v>
      </c>
      <c r="BZ753" s="283"/>
      <c r="CA753" s="283">
        <f>CA721</f>
        <v>6</v>
      </c>
      <c r="CB753" s="283">
        <f>CB721</f>
        <v>7</v>
      </c>
      <c r="CC753" s="283"/>
      <c r="CD753" s="283">
        <f>CD721</f>
        <v>5</v>
      </c>
      <c r="CE753" s="283">
        <f>CE721</f>
        <v>5</v>
      </c>
      <c r="CF753" s="283"/>
      <c r="CG753" s="283">
        <f>CG721</f>
        <v>18</v>
      </c>
      <c r="CH753" s="283">
        <f>CH721</f>
        <v>18</v>
      </c>
      <c r="CI753" s="283"/>
      <c r="CJ753" s="283">
        <f>CJ721</f>
        <v>0</v>
      </c>
      <c r="CK753" s="283">
        <f>CK721</f>
        <v>0</v>
      </c>
    </row>
    <row r="754" spans="1:89" ht="30" x14ac:dyDescent="0.25">
      <c r="A754" s="95"/>
      <c r="B754" s="96" t="s">
        <v>1185</v>
      </c>
      <c r="C754" s="263" t="s">
        <v>2753</v>
      </c>
      <c r="D754" s="95" t="s">
        <v>1763</v>
      </c>
      <c r="E754" s="291"/>
      <c r="F754" s="291"/>
      <c r="G754" s="291"/>
      <c r="H754" s="291"/>
      <c r="I754" s="291">
        <v>98</v>
      </c>
      <c r="J754" s="291">
        <f t="shared" si="1260"/>
        <v>95</v>
      </c>
      <c r="K754" s="291">
        <f t="shared" si="1260"/>
        <v>94</v>
      </c>
      <c r="L754" s="291">
        <f t="shared" si="1260"/>
        <v>13</v>
      </c>
      <c r="M754" s="291">
        <v>13</v>
      </c>
      <c r="N754" s="291">
        <v>13</v>
      </c>
      <c r="Q754" s="283">
        <f>S754+V754+Y754+AB754+AE754+AH754+AK754+AN754+AQ754+AT754+AW754+AZ754+BC754+BF754+BI754+BL754+BO754+BR754+BU754+BX754+CA754+CD754+CG754+CJ754</f>
        <v>94</v>
      </c>
      <c r="R754" s="283">
        <f>T754+W754+Z754+AC754+AF754+AI754+AL754+AO754+AR754+AU754+AX754+BA754+BD754+BG754+BJ754+BM754+BP754+BS754+BV754+BY754+CB754+CE754+CH754+CK754</f>
        <v>94</v>
      </c>
      <c r="S754" s="283">
        <f>S722</f>
        <v>7</v>
      </c>
      <c r="T754" s="283">
        <f>T722</f>
        <v>7</v>
      </c>
      <c r="U754" s="283"/>
      <c r="V754" s="283">
        <f>V722</f>
        <v>8</v>
      </c>
      <c r="W754" s="283">
        <f>W722</f>
        <v>8</v>
      </c>
      <c r="X754" s="283"/>
      <c r="Y754" s="283">
        <f>Y722</f>
        <v>10</v>
      </c>
      <c r="Z754" s="283">
        <f>Z722</f>
        <v>10</v>
      </c>
      <c r="AA754" s="283"/>
      <c r="AB754" s="283">
        <f>AB722</f>
        <v>10</v>
      </c>
      <c r="AC754" s="283">
        <f>AC722</f>
        <v>10</v>
      </c>
      <c r="AD754" s="283"/>
      <c r="AE754" s="283">
        <f>AE722</f>
        <v>11</v>
      </c>
      <c r="AF754" s="283">
        <f>AF722</f>
        <v>10</v>
      </c>
      <c r="AG754" s="283"/>
      <c r="AH754" s="283">
        <f>AH722</f>
        <v>13</v>
      </c>
      <c r="AI754" s="283">
        <f>AI722</f>
        <v>13</v>
      </c>
      <c r="AJ754" s="283"/>
      <c r="AK754" s="283">
        <f>AK722</f>
        <v>1</v>
      </c>
      <c r="AL754" s="283">
        <f>AL722</f>
        <v>1</v>
      </c>
      <c r="AM754" s="283"/>
      <c r="AN754" s="283">
        <f>AN722</f>
        <v>7</v>
      </c>
      <c r="AO754" s="283">
        <f>AO722</f>
        <v>7</v>
      </c>
      <c r="AP754" s="283"/>
      <c r="AQ754" s="283">
        <f>AQ722</f>
        <v>23</v>
      </c>
      <c r="AR754" s="283">
        <f>AR722</f>
        <v>24</v>
      </c>
      <c r="AS754" s="283"/>
      <c r="AT754" s="283">
        <f>AT722</f>
        <v>0</v>
      </c>
      <c r="AU754" s="283">
        <f>AU722</f>
        <v>0</v>
      </c>
      <c r="AV754" s="283"/>
      <c r="AW754" s="283">
        <f>AW722</f>
        <v>0</v>
      </c>
      <c r="AX754" s="283">
        <f>AX722</f>
        <v>0</v>
      </c>
      <c r="AY754" s="283"/>
      <c r="AZ754" s="283">
        <f>AZ722</f>
        <v>0</v>
      </c>
      <c r="BA754" s="283">
        <f>BA722</f>
        <v>0</v>
      </c>
      <c r="BB754" s="283"/>
      <c r="BC754" s="283">
        <f>BC722</f>
        <v>0</v>
      </c>
      <c r="BD754" s="283">
        <f>BD722</f>
        <v>0</v>
      </c>
      <c r="BE754" s="283"/>
      <c r="BF754" s="283">
        <f>BF722</f>
        <v>0</v>
      </c>
      <c r="BG754" s="283">
        <f>BG722</f>
        <v>0</v>
      </c>
      <c r="BH754" s="283"/>
      <c r="BI754" s="283">
        <f>BI722</f>
        <v>0</v>
      </c>
      <c r="BJ754" s="283">
        <f>BJ722</f>
        <v>0</v>
      </c>
      <c r="BK754" s="283"/>
      <c r="BL754" s="283">
        <f>BL722</f>
        <v>0</v>
      </c>
      <c r="BM754" s="283">
        <f>BM722</f>
        <v>0</v>
      </c>
      <c r="BN754" s="283"/>
      <c r="BO754" s="283">
        <f>BO722</f>
        <v>0</v>
      </c>
      <c r="BP754" s="283">
        <f>BP722</f>
        <v>0</v>
      </c>
      <c r="BQ754" s="283"/>
      <c r="BR754" s="283">
        <f>BR722</f>
        <v>0</v>
      </c>
      <c r="BS754" s="283">
        <f>BS722</f>
        <v>0</v>
      </c>
      <c r="BT754" s="283"/>
      <c r="BU754" s="283">
        <f>BU722</f>
        <v>0</v>
      </c>
      <c r="BV754" s="283">
        <f>BV722</f>
        <v>0</v>
      </c>
      <c r="BW754" s="283"/>
      <c r="BX754" s="283">
        <f>BX722</f>
        <v>0</v>
      </c>
      <c r="BY754" s="283">
        <f>BY722</f>
        <v>0</v>
      </c>
      <c r="BZ754" s="283"/>
      <c r="CA754" s="283">
        <f>CA722</f>
        <v>0</v>
      </c>
      <c r="CB754" s="283">
        <f>CB722</f>
        <v>0</v>
      </c>
      <c r="CC754" s="283"/>
      <c r="CD754" s="283">
        <f>CD722</f>
        <v>0</v>
      </c>
      <c r="CE754" s="283">
        <f>CE722</f>
        <v>0</v>
      </c>
      <c r="CF754" s="283"/>
      <c r="CG754" s="283">
        <f>CG722</f>
        <v>4</v>
      </c>
      <c r="CH754" s="283">
        <f>CH722</f>
        <v>4</v>
      </c>
      <c r="CI754" s="283"/>
      <c r="CJ754" s="283">
        <f>CJ722</f>
        <v>0</v>
      </c>
      <c r="CK754" s="283">
        <f>CK722</f>
        <v>0</v>
      </c>
    </row>
    <row r="755" spans="1:89" x14ac:dyDescent="0.25">
      <c r="A755" s="95"/>
      <c r="B755" s="96" t="s">
        <v>1184</v>
      </c>
      <c r="C755" s="263"/>
      <c r="D755" s="95" t="s">
        <v>8</v>
      </c>
      <c r="E755" s="291"/>
      <c r="F755" s="291"/>
      <c r="G755" s="291"/>
      <c r="H755" s="291"/>
      <c r="I755" s="279">
        <f t="shared" ref="I755:K757" si="1261">I758/I761*100</f>
        <v>75</v>
      </c>
      <c r="J755" s="279">
        <f t="shared" si="1261"/>
        <v>75</v>
      </c>
      <c r="K755" s="279">
        <f t="shared" si="1261"/>
        <v>75</v>
      </c>
      <c r="L755" s="279" t="e">
        <f t="shared" ref="L755:M757" si="1262">L758/L761*100</f>
        <v>#DIV/0!</v>
      </c>
      <c r="M755" s="279" t="e">
        <f t="shared" si="1262"/>
        <v>#DIV/0!</v>
      </c>
      <c r="N755" s="279" t="e">
        <f t="shared" ref="N755" si="1263">N758/N761*100</f>
        <v>#DIV/0!</v>
      </c>
      <c r="Q755" s="279">
        <f t="shared" ref="Q755:T757" si="1264">Q758/Q761*100</f>
        <v>75</v>
      </c>
      <c r="R755" s="279">
        <f t="shared" si="1264"/>
        <v>75</v>
      </c>
      <c r="S755" s="279" t="e">
        <f t="shared" si="1264"/>
        <v>#DIV/0!</v>
      </c>
      <c r="T755" s="279" t="e">
        <f t="shared" si="1264"/>
        <v>#DIV/0!</v>
      </c>
      <c r="V755" s="279" t="e">
        <f t="shared" ref="V755:W757" si="1265">V758/V761*100</f>
        <v>#DIV/0!</v>
      </c>
      <c r="W755" s="279" t="e">
        <f t="shared" si="1265"/>
        <v>#DIV/0!</v>
      </c>
      <c r="Y755" s="279" t="e">
        <f t="shared" ref="Y755:Z757" si="1266">Y758/Y761*100</f>
        <v>#DIV/0!</v>
      </c>
      <c r="Z755" s="279" t="e">
        <f t="shared" si="1266"/>
        <v>#DIV/0!</v>
      </c>
      <c r="AB755" s="279" t="e">
        <f t="shared" ref="AB755:AC757" si="1267">AB758/AB761*100</f>
        <v>#DIV/0!</v>
      </c>
      <c r="AC755" s="279" t="e">
        <f t="shared" si="1267"/>
        <v>#DIV/0!</v>
      </c>
      <c r="AE755" s="279" t="e">
        <f t="shared" ref="AE755:AF757" si="1268">AE758/AE761*100</f>
        <v>#DIV/0!</v>
      </c>
      <c r="AF755" s="279" t="e">
        <f t="shared" si="1268"/>
        <v>#DIV/0!</v>
      </c>
      <c r="AH755" s="279" t="e">
        <f t="shared" ref="AH755:AI757" si="1269">AH758/AH761*100</f>
        <v>#DIV/0!</v>
      </c>
      <c r="AI755" s="279" t="e">
        <f t="shared" si="1269"/>
        <v>#DIV/0!</v>
      </c>
      <c r="AK755" s="279" t="e">
        <f t="shared" ref="AK755:AL757" si="1270">AK758/AK761*100</f>
        <v>#DIV/0!</v>
      </c>
      <c r="AL755" s="279" t="e">
        <f t="shared" si="1270"/>
        <v>#DIV/0!</v>
      </c>
      <c r="AN755" s="279" t="e">
        <f t="shared" ref="AN755:AO757" si="1271">AN758/AN761*100</f>
        <v>#DIV/0!</v>
      </c>
      <c r="AO755" s="279" t="e">
        <f t="shared" si="1271"/>
        <v>#DIV/0!</v>
      </c>
      <c r="AQ755" s="279" t="e">
        <f t="shared" ref="AQ755:AR757" si="1272">AQ758/AQ761*100</f>
        <v>#DIV/0!</v>
      </c>
      <c r="AR755" s="279" t="e">
        <f t="shared" si="1272"/>
        <v>#DIV/0!</v>
      </c>
      <c r="AT755" s="279" t="e">
        <f t="shared" ref="AT755:AU757" si="1273">AT758/AT761*100</f>
        <v>#DIV/0!</v>
      </c>
      <c r="AU755" s="279" t="e">
        <f t="shared" si="1273"/>
        <v>#DIV/0!</v>
      </c>
      <c r="AW755" s="279" t="e">
        <f t="shared" ref="AW755:AX757" si="1274">AW758/AW761*100</f>
        <v>#DIV/0!</v>
      </c>
      <c r="AX755" s="279" t="e">
        <f t="shared" si="1274"/>
        <v>#DIV/0!</v>
      </c>
      <c r="AZ755" s="279" t="e">
        <f t="shared" ref="AZ755:BA757" si="1275">AZ758/AZ761*100</f>
        <v>#DIV/0!</v>
      </c>
      <c r="BA755" s="279" t="e">
        <f t="shared" si="1275"/>
        <v>#DIV/0!</v>
      </c>
      <c r="BC755" s="279">
        <f t="shared" ref="BC755:BD757" si="1276">BC758/BC761*100</f>
        <v>100</v>
      </c>
      <c r="BD755" s="279">
        <f t="shared" si="1276"/>
        <v>100</v>
      </c>
      <c r="BF755" s="279">
        <f t="shared" ref="BF755:BG757" si="1277">BF758/BF761*100</f>
        <v>100</v>
      </c>
      <c r="BG755" s="279">
        <f t="shared" si="1277"/>
        <v>100</v>
      </c>
      <c r="BI755" s="279">
        <f t="shared" ref="BI755:BJ757" si="1278">BI758/BI761*100</f>
        <v>100</v>
      </c>
      <c r="BJ755" s="279">
        <f t="shared" si="1278"/>
        <v>100</v>
      </c>
      <c r="BL755" s="279" t="e">
        <f t="shared" ref="BL755:BM757" si="1279">BL758/BL761*100</f>
        <v>#DIV/0!</v>
      </c>
      <c r="BM755" s="279" t="e">
        <f t="shared" si="1279"/>
        <v>#DIV/0!</v>
      </c>
      <c r="BO755" s="279" t="e">
        <f t="shared" ref="BO755:BP757" si="1280">BO758/BO761*100</f>
        <v>#DIV/0!</v>
      </c>
      <c r="BP755" s="279" t="e">
        <f t="shared" si="1280"/>
        <v>#DIV/0!</v>
      </c>
      <c r="BR755" s="279" t="e">
        <f t="shared" ref="BR755:BS757" si="1281">BR758/BR761*100</f>
        <v>#DIV/0!</v>
      </c>
      <c r="BS755" s="279" t="e">
        <f t="shared" si="1281"/>
        <v>#DIV/0!</v>
      </c>
      <c r="BU755" s="279" t="e">
        <f t="shared" ref="BU755:BV757" si="1282">BU758/BU761*100</f>
        <v>#DIV/0!</v>
      </c>
      <c r="BV755" s="279" t="e">
        <f t="shared" si="1282"/>
        <v>#DIV/0!</v>
      </c>
      <c r="BX755" s="279" t="e">
        <f t="shared" ref="BX755:BY757" si="1283">BX758/BX761*100</f>
        <v>#DIV/0!</v>
      </c>
      <c r="BY755" s="279" t="e">
        <f t="shared" si="1283"/>
        <v>#DIV/0!</v>
      </c>
      <c r="CA755" s="279" t="e">
        <f t="shared" ref="CA755:CB757" si="1284">CA758/CA761*100</f>
        <v>#DIV/0!</v>
      </c>
      <c r="CB755" s="279" t="e">
        <f t="shared" si="1284"/>
        <v>#DIV/0!</v>
      </c>
      <c r="CD755" s="279">
        <f t="shared" ref="CD755:CE757" si="1285">CD758/CD761*100</f>
        <v>0</v>
      </c>
      <c r="CE755" s="279">
        <f t="shared" si="1285"/>
        <v>0</v>
      </c>
      <c r="CG755" s="279" t="e">
        <f t="shared" ref="CG755:CH757" si="1286">CG758/CG761*100</f>
        <v>#DIV/0!</v>
      </c>
      <c r="CH755" s="279" t="e">
        <f t="shared" si="1286"/>
        <v>#DIV/0!</v>
      </c>
      <c r="CJ755" s="279" t="e">
        <f t="shared" ref="CJ755:CK757" si="1287">CJ758/CJ761*100</f>
        <v>#DIV/0!</v>
      </c>
      <c r="CK755" s="279" t="e">
        <f t="shared" si="1287"/>
        <v>#DIV/0!</v>
      </c>
    </row>
    <row r="756" spans="1:89" x14ac:dyDescent="0.25">
      <c r="A756" s="95"/>
      <c r="B756" s="96" t="s">
        <v>1183</v>
      </c>
      <c r="C756" s="263"/>
      <c r="D756" s="95" t="s">
        <v>8</v>
      </c>
      <c r="E756" s="291"/>
      <c r="F756" s="291"/>
      <c r="G756" s="291"/>
      <c r="H756" s="291"/>
      <c r="I756" s="279">
        <f t="shared" si="1261"/>
        <v>75</v>
      </c>
      <c r="J756" s="279">
        <f t="shared" si="1261"/>
        <v>75</v>
      </c>
      <c r="K756" s="279">
        <f t="shared" si="1261"/>
        <v>75</v>
      </c>
      <c r="L756" s="279" t="e">
        <f t="shared" ref="L756" si="1288">L759/L762*100</f>
        <v>#DIV/0!</v>
      </c>
      <c r="M756" s="279" t="e">
        <f t="shared" si="1262"/>
        <v>#DIV/0!</v>
      </c>
      <c r="N756" s="279" t="e">
        <f t="shared" ref="N756" si="1289">N759/N762*100</f>
        <v>#DIV/0!</v>
      </c>
      <c r="Q756" s="279">
        <f t="shared" si="1264"/>
        <v>75</v>
      </c>
      <c r="R756" s="279">
        <f t="shared" si="1264"/>
        <v>75</v>
      </c>
      <c r="S756" s="279" t="e">
        <f t="shared" si="1264"/>
        <v>#DIV/0!</v>
      </c>
      <c r="T756" s="279" t="e">
        <f t="shared" si="1264"/>
        <v>#DIV/0!</v>
      </c>
      <c r="V756" s="279" t="e">
        <f t="shared" si="1265"/>
        <v>#DIV/0!</v>
      </c>
      <c r="W756" s="279" t="e">
        <f t="shared" si="1265"/>
        <v>#DIV/0!</v>
      </c>
      <c r="Y756" s="279" t="e">
        <f t="shared" si="1266"/>
        <v>#DIV/0!</v>
      </c>
      <c r="Z756" s="279" t="e">
        <f t="shared" si="1266"/>
        <v>#DIV/0!</v>
      </c>
      <c r="AB756" s="279" t="e">
        <f t="shared" si="1267"/>
        <v>#DIV/0!</v>
      </c>
      <c r="AC756" s="279" t="e">
        <f t="shared" si="1267"/>
        <v>#DIV/0!</v>
      </c>
      <c r="AE756" s="279" t="e">
        <f t="shared" si="1268"/>
        <v>#DIV/0!</v>
      </c>
      <c r="AF756" s="279" t="e">
        <f t="shared" si="1268"/>
        <v>#DIV/0!</v>
      </c>
      <c r="AH756" s="279" t="e">
        <f t="shared" si="1269"/>
        <v>#DIV/0!</v>
      </c>
      <c r="AI756" s="279" t="e">
        <f t="shared" si="1269"/>
        <v>#DIV/0!</v>
      </c>
      <c r="AK756" s="279" t="e">
        <f t="shared" si="1270"/>
        <v>#DIV/0!</v>
      </c>
      <c r="AL756" s="279" t="e">
        <f t="shared" si="1270"/>
        <v>#DIV/0!</v>
      </c>
      <c r="AN756" s="279" t="e">
        <f t="shared" si="1271"/>
        <v>#DIV/0!</v>
      </c>
      <c r="AO756" s="279" t="e">
        <f t="shared" si="1271"/>
        <v>#DIV/0!</v>
      </c>
      <c r="AQ756" s="279" t="e">
        <f t="shared" si="1272"/>
        <v>#DIV/0!</v>
      </c>
      <c r="AR756" s="279" t="e">
        <f t="shared" si="1272"/>
        <v>#DIV/0!</v>
      </c>
      <c r="AT756" s="279" t="e">
        <f t="shared" si="1273"/>
        <v>#DIV/0!</v>
      </c>
      <c r="AU756" s="279" t="e">
        <f t="shared" si="1273"/>
        <v>#DIV/0!</v>
      </c>
      <c r="AW756" s="279" t="e">
        <f t="shared" si="1274"/>
        <v>#DIV/0!</v>
      </c>
      <c r="AX756" s="279" t="e">
        <f t="shared" si="1274"/>
        <v>#DIV/0!</v>
      </c>
      <c r="AZ756" s="279" t="e">
        <f t="shared" si="1275"/>
        <v>#DIV/0!</v>
      </c>
      <c r="BA756" s="279" t="e">
        <f t="shared" si="1275"/>
        <v>#DIV/0!</v>
      </c>
      <c r="BC756" s="279">
        <f t="shared" si="1276"/>
        <v>100</v>
      </c>
      <c r="BD756" s="279">
        <f t="shared" si="1276"/>
        <v>100</v>
      </c>
      <c r="BF756" s="279">
        <f t="shared" si="1277"/>
        <v>100</v>
      </c>
      <c r="BG756" s="279">
        <f t="shared" si="1277"/>
        <v>100</v>
      </c>
      <c r="BI756" s="279">
        <f t="shared" si="1278"/>
        <v>100</v>
      </c>
      <c r="BJ756" s="279">
        <f t="shared" si="1278"/>
        <v>100</v>
      </c>
      <c r="BL756" s="279" t="e">
        <f t="shared" si="1279"/>
        <v>#DIV/0!</v>
      </c>
      <c r="BM756" s="279" t="e">
        <f t="shared" si="1279"/>
        <v>#DIV/0!</v>
      </c>
      <c r="BO756" s="279" t="e">
        <f t="shared" si="1280"/>
        <v>#DIV/0!</v>
      </c>
      <c r="BP756" s="279" t="e">
        <f t="shared" si="1280"/>
        <v>#DIV/0!</v>
      </c>
      <c r="BR756" s="279" t="e">
        <f t="shared" si="1281"/>
        <v>#DIV/0!</v>
      </c>
      <c r="BS756" s="279" t="e">
        <f t="shared" si="1281"/>
        <v>#DIV/0!</v>
      </c>
      <c r="BU756" s="279" t="e">
        <f t="shared" si="1282"/>
        <v>#DIV/0!</v>
      </c>
      <c r="BV756" s="279" t="e">
        <f t="shared" si="1282"/>
        <v>#DIV/0!</v>
      </c>
      <c r="BX756" s="279" t="e">
        <f t="shared" si="1283"/>
        <v>#DIV/0!</v>
      </c>
      <c r="BY756" s="279" t="e">
        <f t="shared" si="1283"/>
        <v>#DIV/0!</v>
      </c>
      <c r="CA756" s="279" t="e">
        <f t="shared" si="1284"/>
        <v>#DIV/0!</v>
      </c>
      <c r="CB756" s="279" t="e">
        <f t="shared" si="1284"/>
        <v>#DIV/0!</v>
      </c>
      <c r="CD756" s="279">
        <f t="shared" si="1285"/>
        <v>0</v>
      </c>
      <c r="CE756" s="279">
        <f t="shared" si="1285"/>
        <v>0</v>
      </c>
      <c r="CG756" s="279" t="e">
        <f t="shared" si="1286"/>
        <v>#DIV/0!</v>
      </c>
      <c r="CH756" s="279" t="e">
        <f t="shared" si="1286"/>
        <v>#DIV/0!</v>
      </c>
      <c r="CJ756" s="279" t="e">
        <f t="shared" si="1287"/>
        <v>#DIV/0!</v>
      </c>
      <c r="CK756" s="279" t="e">
        <f t="shared" si="1287"/>
        <v>#DIV/0!</v>
      </c>
    </row>
    <row r="757" spans="1:89" x14ac:dyDescent="0.25">
      <c r="A757" s="95"/>
      <c r="B757" s="96" t="s">
        <v>1185</v>
      </c>
      <c r="C757" s="263"/>
      <c r="D757" s="95" t="s">
        <v>8</v>
      </c>
      <c r="E757" s="291"/>
      <c r="F757" s="291"/>
      <c r="G757" s="291"/>
      <c r="H757" s="291"/>
      <c r="I757" s="279" t="e">
        <f t="shared" si="1261"/>
        <v>#DIV/0!</v>
      </c>
      <c r="J757" s="279" t="e">
        <f t="shared" si="1261"/>
        <v>#DIV/0!</v>
      </c>
      <c r="K757" s="279" t="e">
        <f t="shared" si="1261"/>
        <v>#DIV/0!</v>
      </c>
      <c r="L757" s="279" t="e">
        <f t="shared" ref="L757" si="1290">L760/L763*100</f>
        <v>#DIV/0!</v>
      </c>
      <c r="M757" s="279" t="e">
        <f t="shared" si="1262"/>
        <v>#DIV/0!</v>
      </c>
      <c r="N757" s="279" t="e">
        <f t="shared" ref="N757" si="1291">N760/N763*100</f>
        <v>#DIV/0!</v>
      </c>
      <c r="Q757" s="279" t="e">
        <f t="shared" si="1264"/>
        <v>#DIV/0!</v>
      </c>
      <c r="R757" s="279" t="e">
        <f t="shared" si="1264"/>
        <v>#DIV/0!</v>
      </c>
      <c r="S757" s="279" t="e">
        <f t="shared" si="1264"/>
        <v>#DIV/0!</v>
      </c>
      <c r="T757" s="279" t="e">
        <f t="shared" si="1264"/>
        <v>#DIV/0!</v>
      </c>
      <c r="V757" s="279" t="e">
        <f t="shared" si="1265"/>
        <v>#DIV/0!</v>
      </c>
      <c r="W757" s="279" t="e">
        <f t="shared" si="1265"/>
        <v>#DIV/0!</v>
      </c>
      <c r="Y757" s="279" t="e">
        <f t="shared" si="1266"/>
        <v>#DIV/0!</v>
      </c>
      <c r="Z757" s="279" t="e">
        <f t="shared" si="1266"/>
        <v>#DIV/0!</v>
      </c>
      <c r="AB757" s="279" t="e">
        <f t="shared" si="1267"/>
        <v>#DIV/0!</v>
      </c>
      <c r="AC757" s="279" t="e">
        <f t="shared" si="1267"/>
        <v>#DIV/0!</v>
      </c>
      <c r="AE757" s="279" t="e">
        <f t="shared" si="1268"/>
        <v>#DIV/0!</v>
      </c>
      <c r="AF757" s="279" t="e">
        <f t="shared" si="1268"/>
        <v>#DIV/0!</v>
      </c>
      <c r="AH757" s="279" t="e">
        <f t="shared" si="1269"/>
        <v>#DIV/0!</v>
      </c>
      <c r="AI757" s="279" t="e">
        <f t="shared" si="1269"/>
        <v>#DIV/0!</v>
      </c>
      <c r="AK757" s="279" t="e">
        <f t="shared" si="1270"/>
        <v>#DIV/0!</v>
      </c>
      <c r="AL757" s="279" t="e">
        <f t="shared" si="1270"/>
        <v>#DIV/0!</v>
      </c>
      <c r="AN757" s="279" t="e">
        <f t="shared" si="1271"/>
        <v>#DIV/0!</v>
      </c>
      <c r="AO757" s="279" t="e">
        <f t="shared" si="1271"/>
        <v>#DIV/0!</v>
      </c>
      <c r="AQ757" s="279" t="e">
        <f t="shared" si="1272"/>
        <v>#DIV/0!</v>
      </c>
      <c r="AR757" s="279" t="e">
        <f t="shared" si="1272"/>
        <v>#DIV/0!</v>
      </c>
      <c r="AT757" s="279" t="e">
        <f t="shared" si="1273"/>
        <v>#DIV/0!</v>
      </c>
      <c r="AU757" s="279" t="e">
        <f t="shared" si="1273"/>
        <v>#DIV/0!</v>
      </c>
      <c r="AW757" s="279" t="e">
        <f t="shared" si="1274"/>
        <v>#DIV/0!</v>
      </c>
      <c r="AX757" s="279" t="e">
        <f t="shared" si="1274"/>
        <v>#DIV/0!</v>
      </c>
      <c r="AZ757" s="279" t="e">
        <f t="shared" si="1275"/>
        <v>#DIV/0!</v>
      </c>
      <c r="BA757" s="279" t="e">
        <f t="shared" si="1275"/>
        <v>#DIV/0!</v>
      </c>
      <c r="BC757" s="279" t="e">
        <f t="shared" si="1276"/>
        <v>#DIV/0!</v>
      </c>
      <c r="BD757" s="279" t="e">
        <f t="shared" si="1276"/>
        <v>#DIV/0!</v>
      </c>
      <c r="BF757" s="279" t="e">
        <f t="shared" si="1277"/>
        <v>#DIV/0!</v>
      </c>
      <c r="BG757" s="279" t="e">
        <f t="shared" si="1277"/>
        <v>#DIV/0!</v>
      </c>
      <c r="BI757" s="279" t="e">
        <f t="shared" si="1278"/>
        <v>#DIV/0!</v>
      </c>
      <c r="BJ757" s="279" t="e">
        <f t="shared" si="1278"/>
        <v>#DIV/0!</v>
      </c>
      <c r="BL757" s="279" t="e">
        <f t="shared" si="1279"/>
        <v>#DIV/0!</v>
      </c>
      <c r="BM757" s="279" t="e">
        <f t="shared" si="1279"/>
        <v>#DIV/0!</v>
      </c>
      <c r="BO757" s="279" t="e">
        <f t="shared" si="1280"/>
        <v>#DIV/0!</v>
      </c>
      <c r="BP757" s="279" t="e">
        <f t="shared" si="1280"/>
        <v>#DIV/0!</v>
      </c>
      <c r="BR757" s="279" t="e">
        <f t="shared" si="1281"/>
        <v>#DIV/0!</v>
      </c>
      <c r="BS757" s="279" t="e">
        <f t="shared" si="1281"/>
        <v>#DIV/0!</v>
      </c>
      <c r="BU757" s="279" t="e">
        <f t="shared" si="1282"/>
        <v>#DIV/0!</v>
      </c>
      <c r="BV757" s="279" t="e">
        <f t="shared" si="1282"/>
        <v>#DIV/0!</v>
      </c>
      <c r="BX757" s="279" t="e">
        <f t="shared" si="1283"/>
        <v>#DIV/0!</v>
      </c>
      <c r="BY757" s="279" t="e">
        <f t="shared" si="1283"/>
        <v>#DIV/0!</v>
      </c>
      <c r="CA757" s="279" t="e">
        <f t="shared" si="1284"/>
        <v>#DIV/0!</v>
      </c>
      <c r="CB757" s="279" t="e">
        <f t="shared" si="1284"/>
        <v>#DIV/0!</v>
      </c>
      <c r="CD757" s="279" t="e">
        <f t="shared" si="1285"/>
        <v>#DIV/0!</v>
      </c>
      <c r="CE757" s="279" t="e">
        <f t="shared" si="1285"/>
        <v>#DIV/0!</v>
      </c>
      <c r="CG757" s="279" t="e">
        <f t="shared" si="1286"/>
        <v>#DIV/0!</v>
      </c>
      <c r="CH757" s="279" t="e">
        <f t="shared" si="1286"/>
        <v>#DIV/0!</v>
      </c>
      <c r="CJ757" s="279" t="e">
        <f t="shared" si="1287"/>
        <v>#DIV/0!</v>
      </c>
      <c r="CK757" s="279" t="e">
        <f t="shared" si="1287"/>
        <v>#DIV/0!</v>
      </c>
    </row>
    <row r="758" spans="1:89" ht="30" x14ac:dyDescent="0.25">
      <c r="A758" s="95"/>
      <c r="B758" s="96" t="s">
        <v>1859</v>
      </c>
      <c r="C758" s="263"/>
      <c r="D758" s="95" t="s">
        <v>1763</v>
      </c>
      <c r="E758" s="291"/>
      <c r="F758" s="291"/>
      <c r="G758" s="291"/>
      <c r="H758" s="291"/>
      <c r="I758" s="291">
        <f t="shared" ref="I758:N758" si="1292">I759+I760</f>
        <v>3</v>
      </c>
      <c r="J758" s="291">
        <f t="shared" si="1292"/>
        <v>3</v>
      </c>
      <c r="K758" s="291">
        <f t="shared" si="1292"/>
        <v>3</v>
      </c>
      <c r="L758" s="291">
        <f t="shared" si="1292"/>
        <v>0</v>
      </c>
      <c r="M758" s="291">
        <f t="shared" si="1292"/>
        <v>0</v>
      </c>
      <c r="N758" s="291">
        <f t="shared" si="1292"/>
        <v>0</v>
      </c>
      <c r="Q758" s="291">
        <f>Q759+Q760</f>
        <v>3</v>
      </c>
      <c r="R758" s="291">
        <f>R759+R760</f>
        <v>3</v>
      </c>
      <c r="S758" s="291">
        <f>S759+S760</f>
        <v>0</v>
      </c>
      <c r="T758" s="291">
        <f>T759+T760</f>
        <v>0</v>
      </c>
      <c r="V758" s="291">
        <f>V759+V760</f>
        <v>0</v>
      </c>
      <c r="W758" s="291">
        <f>W759+W760</f>
        <v>0</v>
      </c>
      <c r="Y758" s="291">
        <f>Y759+Y760</f>
        <v>0</v>
      </c>
      <c r="Z758" s="291">
        <f>Z759+Z760</f>
        <v>0</v>
      </c>
      <c r="AB758" s="291">
        <f>AB759+AB760</f>
        <v>0</v>
      </c>
      <c r="AC758" s="291">
        <f>AC759+AC760</f>
        <v>0</v>
      </c>
      <c r="AE758" s="291">
        <f>AE759+AE760</f>
        <v>0</v>
      </c>
      <c r="AF758" s="291">
        <f>AF759+AF760</f>
        <v>0</v>
      </c>
      <c r="AH758" s="291">
        <f>AH759+AH760</f>
        <v>0</v>
      </c>
      <c r="AI758" s="291">
        <f>AI759+AI760</f>
        <v>0</v>
      </c>
      <c r="AK758" s="291">
        <f>AK759+AK760</f>
        <v>0</v>
      </c>
      <c r="AL758" s="291">
        <f>AL759+AL760</f>
        <v>0</v>
      </c>
      <c r="AN758" s="291">
        <f>AN759+AN760</f>
        <v>0</v>
      </c>
      <c r="AO758" s="291">
        <f>AO759+AO760</f>
        <v>0</v>
      </c>
      <c r="AQ758" s="291">
        <f>AQ759+AQ760</f>
        <v>0</v>
      </c>
      <c r="AR758" s="291">
        <f>AR759+AR760</f>
        <v>0</v>
      </c>
      <c r="AT758" s="291">
        <f>AT759+AT760</f>
        <v>0</v>
      </c>
      <c r="AU758" s="291">
        <f>AU759+AU760</f>
        <v>0</v>
      </c>
      <c r="AW758" s="291">
        <f>AW759+AW760</f>
        <v>0</v>
      </c>
      <c r="AX758" s="291">
        <f>AX759+AX760</f>
        <v>0</v>
      </c>
      <c r="AZ758" s="291">
        <f>AZ759+AZ760</f>
        <v>0</v>
      </c>
      <c r="BA758" s="291">
        <f>BA759+BA760</f>
        <v>0</v>
      </c>
      <c r="BC758" s="291">
        <f>BC759+BC760</f>
        <v>1</v>
      </c>
      <c r="BD758" s="291">
        <f>BD759+BD760</f>
        <v>1</v>
      </c>
      <c r="BF758" s="291">
        <f>BF759+BF760</f>
        <v>1</v>
      </c>
      <c r="BG758" s="291">
        <f>BG759+BG760</f>
        <v>1</v>
      </c>
      <c r="BI758" s="291">
        <f>BI759+BI760</f>
        <v>1</v>
      </c>
      <c r="BJ758" s="291">
        <f>BJ759+BJ760</f>
        <v>1</v>
      </c>
      <c r="BL758" s="291">
        <f>BL759+BL760</f>
        <v>0</v>
      </c>
      <c r="BM758" s="291">
        <f>BM759+BM760</f>
        <v>0</v>
      </c>
      <c r="BO758" s="291">
        <f>BO759+BO760</f>
        <v>0</v>
      </c>
      <c r="BP758" s="291">
        <f>BP759+BP760</f>
        <v>0</v>
      </c>
      <c r="BR758" s="291">
        <f>BR759+BR760</f>
        <v>0</v>
      </c>
      <c r="BS758" s="291">
        <f>BS759+BS760</f>
        <v>0</v>
      </c>
      <c r="BU758" s="291">
        <f>BU759+BU760</f>
        <v>0</v>
      </c>
      <c r="BV758" s="291">
        <f>BV759+BV760</f>
        <v>0</v>
      </c>
      <c r="BX758" s="291">
        <f>BX759+BX760</f>
        <v>0</v>
      </c>
      <c r="BY758" s="291">
        <f>BY759+BY760</f>
        <v>0</v>
      </c>
      <c r="CA758" s="291">
        <f>CA759+CA760</f>
        <v>0</v>
      </c>
      <c r="CB758" s="291">
        <f>CB759+CB760</f>
        <v>0</v>
      </c>
      <c r="CD758" s="291">
        <f>CD759+CD760</f>
        <v>0</v>
      </c>
      <c r="CE758" s="291">
        <f>CE759+CE760</f>
        <v>0</v>
      </c>
      <c r="CG758" s="291">
        <f>CG759+CG760</f>
        <v>0</v>
      </c>
      <c r="CH758" s="291">
        <f>CH759+CH760</f>
        <v>0</v>
      </c>
      <c r="CJ758" s="291">
        <f>CJ759+CJ760</f>
        <v>0</v>
      </c>
      <c r="CK758" s="291">
        <f>CK759+CK760</f>
        <v>0</v>
      </c>
    </row>
    <row r="759" spans="1:89" ht="30" x14ac:dyDescent="0.25">
      <c r="A759" s="95"/>
      <c r="B759" s="96" t="s">
        <v>1183</v>
      </c>
      <c r="C759" s="263" t="s">
        <v>1860</v>
      </c>
      <c r="D759" s="95" t="s">
        <v>1763</v>
      </c>
      <c r="E759" s="291"/>
      <c r="F759" s="291"/>
      <c r="G759" s="291"/>
      <c r="H759" s="291"/>
      <c r="I759" s="291">
        <v>3</v>
      </c>
      <c r="J759" s="291">
        <v>3</v>
      </c>
      <c r="K759" s="291">
        <v>3</v>
      </c>
      <c r="L759" s="291">
        <v>0</v>
      </c>
      <c r="M759" s="291">
        <v>0</v>
      </c>
      <c r="N759" s="291">
        <v>0</v>
      </c>
      <c r="Q759" s="283">
        <f>S759+V759+Y759+AB759+AE759+AH759+AK759+AN759+AQ759+AT759+AW759+AZ759+BC759+BF759+BI759+BL759+BO759+BR759+BU759+BX759+CA759+CD759+CG759+CJ759</f>
        <v>3</v>
      </c>
      <c r="R759" s="283">
        <f>T759+W759+Z759+AC759+AF759+AI759+AL759+AO759+AR759+AU759+AX759+BA759+BD759+BG759+BJ759+BM759+BP759+BS759+BV759+BY759+CB759+CE759+CH759+CK759</f>
        <v>3</v>
      </c>
      <c r="S759" s="267">
        <v>0</v>
      </c>
      <c r="T759" s="267">
        <v>0</v>
      </c>
      <c r="V759" s="267">
        <v>0</v>
      </c>
      <c r="W759" s="267">
        <v>0</v>
      </c>
      <c r="Y759" s="267">
        <v>0</v>
      </c>
      <c r="Z759" s="267">
        <v>0</v>
      </c>
      <c r="AB759" s="267">
        <v>0</v>
      </c>
      <c r="AC759" s="267">
        <v>0</v>
      </c>
      <c r="AE759" s="267">
        <v>0</v>
      </c>
      <c r="AF759" s="267">
        <v>0</v>
      </c>
      <c r="AH759" s="267">
        <v>0</v>
      </c>
      <c r="AI759" s="267">
        <v>0</v>
      </c>
      <c r="AK759" s="267">
        <v>0</v>
      </c>
      <c r="AL759" s="267">
        <v>0</v>
      </c>
      <c r="AN759" s="267">
        <v>0</v>
      </c>
      <c r="AO759" s="267">
        <v>0</v>
      </c>
      <c r="AQ759" s="267">
        <v>0</v>
      </c>
      <c r="AR759" s="267">
        <v>0</v>
      </c>
      <c r="AT759" s="267">
        <v>0</v>
      </c>
      <c r="AU759" s="267">
        <v>0</v>
      </c>
      <c r="AW759" s="267">
        <v>0</v>
      </c>
      <c r="AX759" s="267">
        <v>0</v>
      </c>
      <c r="AZ759" s="267">
        <v>0</v>
      </c>
      <c r="BA759" s="267">
        <v>0</v>
      </c>
      <c r="BC759" s="267">
        <v>1</v>
      </c>
      <c r="BD759" s="267">
        <v>1</v>
      </c>
      <c r="BF759" s="267">
        <v>1</v>
      </c>
      <c r="BG759" s="267">
        <v>1</v>
      </c>
      <c r="BI759" s="267">
        <v>1</v>
      </c>
      <c r="BJ759" s="267">
        <v>1</v>
      </c>
      <c r="BL759" s="267">
        <v>0</v>
      </c>
      <c r="BM759" s="267">
        <v>0</v>
      </c>
      <c r="BO759" s="267">
        <v>0</v>
      </c>
      <c r="BP759" s="267">
        <v>0</v>
      </c>
      <c r="BR759" s="267">
        <v>0</v>
      </c>
      <c r="BS759" s="267">
        <v>0</v>
      </c>
      <c r="BU759" s="267">
        <v>0</v>
      </c>
      <c r="BV759" s="267">
        <v>0</v>
      </c>
      <c r="BX759" s="267">
        <v>0</v>
      </c>
      <c r="BY759" s="267">
        <v>0</v>
      </c>
      <c r="CA759" s="267">
        <v>0</v>
      </c>
      <c r="CB759" s="267">
        <v>0</v>
      </c>
      <c r="CD759" s="267">
        <v>0</v>
      </c>
      <c r="CE759" s="267">
        <v>0</v>
      </c>
      <c r="CG759" s="267">
        <v>0</v>
      </c>
      <c r="CH759" s="267">
        <v>0</v>
      </c>
      <c r="CJ759" s="267">
        <v>0</v>
      </c>
      <c r="CK759" s="267">
        <v>0</v>
      </c>
    </row>
    <row r="760" spans="1:89" ht="30" x14ac:dyDescent="0.25">
      <c r="A760" s="95"/>
      <c r="B760" s="96" t="s">
        <v>1185</v>
      </c>
      <c r="C760" s="263" t="s">
        <v>1860</v>
      </c>
      <c r="D760" s="95" t="s">
        <v>1763</v>
      </c>
      <c r="E760" s="291"/>
      <c r="F760" s="291"/>
      <c r="G760" s="291"/>
      <c r="H760" s="291"/>
      <c r="I760" s="291">
        <v>0</v>
      </c>
      <c r="J760" s="291">
        <v>0</v>
      </c>
      <c r="K760" s="291">
        <v>0</v>
      </c>
      <c r="L760" s="291">
        <v>0</v>
      </c>
      <c r="M760" s="291">
        <v>0</v>
      </c>
      <c r="N760" s="291">
        <v>0</v>
      </c>
      <c r="Q760" s="283">
        <f>S760+V760+Y760+AB760+AE760+AH760+AK760+AN760+AQ760+AT760+AW760+AZ760+BC760+BF760+BI760+BL760+BO760+BR760+BU760+BX760+CA760+CD760+CG760+CJ760</f>
        <v>0</v>
      </c>
      <c r="R760" s="283">
        <f>T760+W760+Z760+AC760+AF760+AI760+AL760+AO760+AR760+AU760+AX760+BA760+BD760+BG760+BJ760+BM760+BP760+BS760+BV760+BY760+CB760+CE760+CH760+CK760</f>
        <v>0</v>
      </c>
      <c r="S760" s="267">
        <v>0</v>
      </c>
      <c r="T760" s="267">
        <v>0</v>
      </c>
      <c r="V760" s="267">
        <v>0</v>
      </c>
      <c r="W760" s="267">
        <v>0</v>
      </c>
      <c r="Y760" s="267">
        <v>0</v>
      </c>
      <c r="Z760" s="267">
        <v>0</v>
      </c>
      <c r="AB760" s="267">
        <v>0</v>
      </c>
      <c r="AC760" s="267">
        <v>0</v>
      </c>
      <c r="AE760" s="267">
        <v>0</v>
      </c>
      <c r="AF760" s="267">
        <v>0</v>
      </c>
      <c r="AH760" s="267">
        <v>0</v>
      </c>
      <c r="AI760" s="267">
        <v>0</v>
      </c>
      <c r="AK760" s="267">
        <v>0</v>
      </c>
      <c r="AL760" s="267">
        <v>0</v>
      </c>
      <c r="AN760" s="267">
        <v>0</v>
      </c>
      <c r="AO760" s="267">
        <v>0</v>
      </c>
      <c r="AQ760" s="267">
        <v>0</v>
      </c>
      <c r="AR760" s="267">
        <v>0</v>
      </c>
      <c r="AT760" s="267">
        <v>0</v>
      </c>
      <c r="AU760" s="267">
        <v>0</v>
      </c>
      <c r="AW760" s="267">
        <v>0</v>
      </c>
      <c r="AX760" s="267">
        <v>0</v>
      </c>
      <c r="AZ760" s="267">
        <v>0</v>
      </c>
      <c r="BA760" s="267">
        <v>0</v>
      </c>
      <c r="BC760" s="267">
        <v>0</v>
      </c>
      <c r="BD760" s="267">
        <v>0</v>
      </c>
      <c r="BF760" s="267">
        <v>0</v>
      </c>
      <c r="BG760" s="267">
        <v>0</v>
      </c>
      <c r="BI760" s="267">
        <v>0</v>
      </c>
      <c r="BJ760" s="267">
        <v>0</v>
      </c>
      <c r="BL760" s="267">
        <v>0</v>
      </c>
      <c r="BM760" s="267">
        <v>0</v>
      </c>
      <c r="BO760" s="267">
        <v>0</v>
      </c>
      <c r="BP760" s="267">
        <v>0</v>
      </c>
      <c r="BR760" s="267">
        <v>0</v>
      </c>
      <c r="BS760" s="267">
        <v>0</v>
      </c>
      <c r="BU760" s="267">
        <v>0</v>
      </c>
      <c r="BV760" s="267">
        <v>0</v>
      </c>
      <c r="BX760" s="267">
        <v>0</v>
      </c>
      <c r="BY760" s="267">
        <v>0</v>
      </c>
      <c r="CA760" s="267">
        <v>0</v>
      </c>
      <c r="CB760" s="267">
        <v>0</v>
      </c>
      <c r="CD760" s="267">
        <v>0</v>
      </c>
      <c r="CE760" s="267">
        <v>0</v>
      </c>
      <c r="CG760" s="267">
        <v>0</v>
      </c>
      <c r="CH760" s="267">
        <v>0</v>
      </c>
      <c r="CJ760" s="267">
        <v>0</v>
      </c>
      <c r="CK760" s="267">
        <v>0</v>
      </c>
    </row>
    <row r="761" spans="1:89" x14ac:dyDescent="0.25">
      <c r="A761" s="95"/>
      <c r="B761" s="96" t="s">
        <v>1854</v>
      </c>
      <c r="C761" s="263"/>
      <c r="D761" s="95" t="s">
        <v>1763</v>
      </c>
      <c r="E761" s="291"/>
      <c r="F761" s="291"/>
      <c r="G761" s="291"/>
      <c r="H761" s="291"/>
      <c r="I761" s="291">
        <f t="shared" ref="I761:N761" si="1293">I762+I763</f>
        <v>4</v>
      </c>
      <c r="J761" s="291">
        <f t="shared" si="1293"/>
        <v>4</v>
      </c>
      <c r="K761" s="291">
        <f t="shared" si="1293"/>
        <v>4</v>
      </c>
      <c r="L761" s="291">
        <f t="shared" si="1293"/>
        <v>0</v>
      </c>
      <c r="M761" s="291">
        <f t="shared" si="1293"/>
        <v>0</v>
      </c>
      <c r="N761" s="291">
        <f t="shared" si="1293"/>
        <v>0</v>
      </c>
      <c r="Q761" s="291">
        <f>Q762+Q763</f>
        <v>4</v>
      </c>
      <c r="R761" s="291">
        <f>R762+R763</f>
        <v>4</v>
      </c>
      <c r="S761" s="291">
        <f>S762+S763</f>
        <v>0</v>
      </c>
      <c r="T761" s="291">
        <f>T762+T763</f>
        <v>0</v>
      </c>
      <c r="V761" s="291">
        <f>V762+V763</f>
        <v>0</v>
      </c>
      <c r="W761" s="291">
        <f>W762+W763</f>
        <v>0</v>
      </c>
      <c r="Y761" s="291">
        <f>Y762+Y763</f>
        <v>0</v>
      </c>
      <c r="Z761" s="291">
        <f>Z762+Z763</f>
        <v>0</v>
      </c>
      <c r="AB761" s="291">
        <f>AB762+AB763</f>
        <v>0</v>
      </c>
      <c r="AC761" s="291">
        <f>AC762+AC763</f>
        <v>0</v>
      </c>
      <c r="AE761" s="291">
        <f>AE762+AE763</f>
        <v>0</v>
      </c>
      <c r="AF761" s="291">
        <f>AF762+AF763</f>
        <v>0</v>
      </c>
      <c r="AH761" s="291">
        <f>AH762+AH763</f>
        <v>0</v>
      </c>
      <c r="AI761" s="291">
        <f>AI762+AI763</f>
        <v>0</v>
      </c>
      <c r="AK761" s="291">
        <f>AK762+AK763</f>
        <v>0</v>
      </c>
      <c r="AL761" s="291">
        <f>AL762+AL763</f>
        <v>0</v>
      </c>
      <c r="AN761" s="291">
        <f>AN762+AN763</f>
        <v>0</v>
      </c>
      <c r="AO761" s="291">
        <f>AO762+AO763</f>
        <v>0</v>
      </c>
      <c r="AQ761" s="291">
        <f>AQ762+AQ763</f>
        <v>0</v>
      </c>
      <c r="AR761" s="291">
        <f>AR762+AR763</f>
        <v>0</v>
      </c>
      <c r="AT761" s="291">
        <f>AT762+AT763</f>
        <v>0</v>
      </c>
      <c r="AU761" s="291">
        <f>AU762+AU763</f>
        <v>0</v>
      </c>
      <c r="AW761" s="291">
        <f>AW762+AW763</f>
        <v>0</v>
      </c>
      <c r="AX761" s="291">
        <f>AX762+AX763</f>
        <v>0</v>
      </c>
      <c r="AZ761" s="291">
        <f>AZ762+AZ763</f>
        <v>0</v>
      </c>
      <c r="BA761" s="291">
        <f>BA762+BA763</f>
        <v>0</v>
      </c>
      <c r="BC761" s="291">
        <f>BC762+BC763</f>
        <v>1</v>
      </c>
      <c r="BD761" s="291">
        <f>BD762+BD763</f>
        <v>1</v>
      </c>
      <c r="BF761" s="291">
        <f>BF762+BF763</f>
        <v>1</v>
      </c>
      <c r="BG761" s="291">
        <f>BG762+BG763</f>
        <v>1</v>
      </c>
      <c r="BI761" s="291">
        <f>BI762+BI763</f>
        <v>1</v>
      </c>
      <c r="BJ761" s="291">
        <f>BJ762+BJ763</f>
        <v>1</v>
      </c>
      <c r="BL761" s="291">
        <f>BL762+BL763</f>
        <v>0</v>
      </c>
      <c r="BM761" s="291">
        <f>BM762+BM763</f>
        <v>0</v>
      </c>
      <c r="BO761" s="291">
        <f>BO762+BO763</f>
        <v>0</v>
      </c>
      <c r="BP761" s="291">
        <f>BP762+BP763</f>
        <v>0</v>
      </c>
      <c r="BR761" s="291">
        <f>BR762+BR763</f>
        <v>0</v>
      </c>
      <c r="BS761" s="291">
        <f>BS762+BS763</f>
        <v>0</v>
      </c>
      <c r="BU761" s="291">
        <f>BU762+BU763</f>
        <v>0</v>
      </c>
      <c r="BV761" s="291">
        <f>BV762+BV763</f>
        <v>0</v>
      </c>
      <c r="BX761" s="291">
        <f>BX762+BX763</f>
        <v>0</v>
      </c>
      <c r="BY761" s="291">
        <f>BY762+BY763</f>
        <v>0</v>
      </c>
      <c r="CA761" s="291">
        <f>CA762+CA763</f>
        <v>0</v>
      </c>
      <c r="CB761" s="291">
        <f>CB762+CB763</f>
        <v>0</v>
      </c>
      <c r="CD761" s="291">
        <f>CD762+CD763</f>
        <v>1</v>
      </c>
      <c r="CE761" s="291">
        <f>CE762+CE763</f>
        <v>1</v>
      </c>
      <c r="CG761" s="291">
        <f>CG762+CG763</f>
        <v>0</v>
      </c>
      <c r="CH761" s="291">
        <f>CH762+CH763</f>
        <v>0</v>
      </c>
      <c r="CJ761" s="291">
        <f>CJ762+CJ763</f>
        <v>0</v>
      </c>
      <c r="CK761" s="291">
        <f>CK762+CK763</f>
        <v>0</v>
      </c>
    </row>
    <row r="762" spans="1:89" ht="30" x14ac:dyDescent="0.25">
      <c r="A762" s="95"/>
      <c r="B762" s="96" t="s">
        <v>1183</v>
      </c>
      <c r="C762" s="263" t="s">
        <v>2753</v>
      </c>
      <c r="D762" s="95" t="s">
        <v>1763</v>
      </c>
      <c r="E762" s="291"/>
      <c r="F762" s="291"/>
      <c r="G762" s="291"/>
      <c r="H762" s="291"/>
      <c r="I762" s="291">
        <v>4</v>
      </c>
      <c r="J762" s="291">
        <f t="shared" ref="J762:M763" si="1294">J724</f>
        <v>4</v>
      </c>
      <c r="K762" s="291">
        <f t="shared" si="1294"/>
        <v>4</v>
      </c>
      <c r="L762" s="291">
        <f t="shared" si="1294"/>
        <v>0</v>
      </c>
      <c r="M762" s="291">
        <f t="shared" si="1294"/>
        <v>0</v>
      </c>
      <c r="N762" s="291">
        <f t="shared" ref="N762" si="1295">N724</f>
        <v>0</v>
      </c>
      <c r="Q762" s="283">
        <f>S762+V762+Y762+AB762+AE762+AH762+AK762+AN762+AQ762+AT762+AW762+AZ762+BC762+BF762+BI762+BL762+BO762+BR762+BU762+BX762+CA762+CD762+CG762+CJ762</f>
        <v>4</v>
      </c>
      <c r="R762" s="283">
        <f>T762+W762+Z762+AC762+AF762+AI762+AL762+AO762+AR762+AU762+AX762+BA762+BD762+BG762+BJ762+BM762+BP762+BS762+BV762+BY762+CB762+CE762+CH762+CK762</f>
        <v>4</v>
      </c>
      <c r="S762" s="267">
        <f>S724</f>
        <v>0</v>
      </c>
      <c r="T762" s="267">
        <f>T724</f>
        <v>0</v>
      </c>
      <c r="V762" s="267">
        <f>V724</f>
        <v>0</v>
      </c>
      <c r="W762" s="267">
        <f>W724</f>
        <v>0</v>
      </c>
      <c r="Y762" s="267">
        <f>Y724</f>
        <v>0</v>
      </c>
      <c r="Z762" s="267">
        <f>Z724</f>
        <v>0</v>
      </c>
      <c r="AB762" s="267">
        <f>AB724</f>
        <v>0</v>
      </c>
      <c r="AC762" s="267">
        <f>AC724</f>
        <v>0</v>
      </c>
      <c r="AE762" s="267">
        <f>AE724</f>
        <v>0</v>
      </c>
      <c r="AF762" s="267">
        <f>AF724</f>
        <v>0</v>
      </c>
      <c r="AH762" s="267">
        <f>AH724</f>
        <v>0</v>
      </c>
      <c r="AI762" s="267">
        <f>AI724</f>
        <v>0</v>
      </c>
      <c r="AK762" s="267">
        <f>AK724</f>
        <v>0</v>
      </c>
      <c r="AL762" s="267">
        <f>AL724</f>
        <v>0</v>
      </c>
      <c r="AN762" s="267">
        <f>AN724</f>
        <v>0</v>
      </c>
      <c r="AO762" s="267">
        <f>AO724</f>
        <v>0</v>
      </c>
      <c r="AQ762" s="267">
        <f>AQ724</f>
        <v>0</v>
      </c>
      <c r="AR762" s="267">
        <f>AR724</f>
        <v>0</v>
      </c>
      <c r="AT762" s="267">
        <f>AT724</f>
        <v>0</v>
      </c>
      <c r="AU762" s="267">
        <f>AU724</f>
        <v>0</v>
      </c>
      <c r="AW762" s="267">
        <f>AW724</f>
        <v>0</v>
      </c>
      <c r="AX762" s="267">
        <f>AX724</f>
        <v>0</v>
      </c>
      <c r="AZ762" s="267">
        <f>AZ724</f>
        <v>0</v>
      </c>
      <c r="BA762" s="267">
        <f>BA724</f>
        <v>0</v>
      </c>
      <c r="BC762" s="267">
        <f>BC724</f>
        <v>1</v>
      </c>
      <c r="BD762" s="267">
        <f>BD724</f>
        <v>1</v>
      </c>
      <c r="BF762" s="267">
        <f>BF724</f>
        <v>1</v>
      </c>
      <c r="BG762" s="267">
        <f>BG724</f>
        <v>1</v>
      </c>
      <c r="BI762" s="267">
        <f>BI724</f>
        <v>1</v>
      </c>
      <c r="BJ762" s="267">
        <f>BJ724</f>
        <v>1</v>
      </c>
      <c r="BL762" s="267">
        <f>BL724</f>
        <v>0</v>
      </c>
      <c r="BM762" s="267">
        <f>BM724</f>
        <v>0</v>
      </c>
      <c r="BO762" s="267">
        <f>BO724</f>
        <v>0</v>
      </c>
      <c r="BP762" s="267">
        <f>BP724</f>
        <v>0</v>
      </c>
      <c r="BR762" s="267">
        <f>BR724</f>
        <v>0</v>
      </c>
      <c r="BS762" s="267">
        <f>BS724</f>
        <v>0</v>
      </c>
      <c r="BU762" s="267">
        <f>BU724</f>
        <v>0</v>
      </c>
      <c r="BV762" s="267">
        <f>BV724</f>
        <v>0</v>
      </c>
      <c r="BX762" s="267">
        <f>BX724</f>
        <v>0</v>
      </c>
      <c r="BY762" s="267">
        <f>BY724</f>
        <v>0</v>
      </c>
      <c r="CA762" s="267">
        <f>CA724</f>
        <v>0</v>
      </c>
      <c r="CB762" s="267">
        <f>CB724</f>
        <v>0</v>
      </c>
      <c r="CD762" s="267">
        <f>CD724</f>
        <v>1</v>
      </c>
      <c r="CE762" s="267">
        <f>CE724</f>
        <v>1</v>
      </c>
      <c r="CG762" s="267">
        <f>CG724</f>
        <v>0</v>
      </c>
      <c r="CH762" s="267">
        <f>CH724</f>
        <v>0</v>
      </c>
      <c r="CJ762" s="267">
        <f>CJ724</f>
        <v>0</v>
      </c>
      <c r="CK762" s="267">
        <f>CK724</f>
        <v>0</v>
      </c>
    </row>
    <row r="763" spans="1:89" ht="30" x14ac:dyDescent="0.25">
      <c r="A763" s="95"/>
      <c r="B763" s="96" t="s">
        <v>1185</v>
      </c>
      <c r="C763" s="263" t="s">
        <v>2753</v>
      </c>
      <c r="D763" s="95" t="s">
        <v>1763</v>
      </c>
      <c r="E763" s="291"/>
      <c r="F763" s="291"/>
      <c r="G763" s="291"/>
      <c r="H763" s="291"/>
      <c r="I763" s="291">
        <v>0</v>
      </c>
      <c r="J763" s="291">
        <f t="shared" si="1294"/>
        <v>0</v>
      </c>
      <c r="K763" s="291">
        <f t="shared" si="1294"/>
        <v>0</v>
      </c>
      <c r="L763" s="291">
        <f t="shared" si="1294"/>
        <v>0</v>
      </c>
      <c r="M763" s="291">
        <f t="shared" si="1294"/>
        <v>0</v>
      </c>
      <c r="N763" s="291">
        <f t="shared" ref="N763" si="1296">N725</f>
        <v>0</v>
      </c>
      <c r="Q763" s="283">
        <f>S763+V763+Y763+AB763+AE763+AH763+AK763+AN763+AQ763+AT763+AW763+AZ763+BC763+BF763+BI763+BL763+BO763+BR763+BU763+BX763+CA763+CD763+CG763+CJ763</f>
        <v>0</v>
      </c>
      <c r="R763" s="283">
        <f>T763+W763+Z763+AC763+AF763+AI763+AL763+AO763+AR763+AU763+AX763+BA763+BD763+BG763+BJ763+BM763+BP763+BS763+BV763+BY763+CB763+CE763+CH763+CK763</f>
        <v>0</v>
      </c>
      <c r="S763" s="267">
        <f>S725</f>
        <v>0</v>
      </c>
      <c r="T763" s="267">
        <f>T725</f>
        <v>0</v>
      </c>
      <c r="V763" s="267">
        <f>V725</f>
        <v>0</v>
      </c>
      <c r="W763" s="267">
        <f>W725</f>
        <v>0</v>
      </c>
      <c r="Y763" s="267">
        <f>Y725</f>
        <v>0</v>
      </c>
      <c r="Z763" s="267">
        <f>Z725</f>
        <v>0</v>
      </c>
      <c r="AB763" s="267">
        <f>AB725</f>
        <v>0</v>
      </c>
      <c r="AC763" s="267">
        <f>AC725</f>
        <v>0</v>
      </c>
      <c r="AE763" s="267">
        <f>AE725</f>
        <v>0</v>
      </c>
      <c r="AF763" s="267">
        <f>AF725</f>
        <v>0</v>
      </c>
      <c r="AH763" s="267">
        <f>AH725</f>
        <v>0</v>
      </c>
      <c r="AI763" s="267">
        <f>AI725</f>
        <v>0</v>
      </c>
      <c r="AK763" s="267">
        <f>AK725</f>
        <v>0</v>
      </c>
      <c r="AL763" s="267">
        <f>AL725</f>
        <v>0</v>
      </c>
      <c r="AN763" s="267">
        <f>AN725</f>
        <v>0</v>
      </c>
      <c r="AO763" s="267">
        <f>AO725</f>
        <v>0</v>
      </c>
      <c r="AQ763" s="267">
        <f>AQ725</f>
        <v>0</v>
      </c>
      <c r="AR763" s="267">
        <f>AR725</f>
        <v>0</v>
      </c>
      <c r="AT763" s="267">
        <f>AT725</f>
        <v>0</v>
      </c>
      <c r="AU763" s="267">
        <f>AU725</f>
        <v>0</v>
      </c>
      <c r="AW763" s="267">
        <f>AW725</f>
        <v>0</v>
      </c>
      <c r="AX763" s="267">
        <f>AX725</f>
        <v>0</v>
      </c>
      <c r="AZ763" s="267">
        <f>AZ725</f>
        <v>0</v>
      </c>
      <c r="BA763" s="267">
        <f>BA725</f>
        <v>0</v>
      </c>
      <c r="BC763" s="267">
        <f>BC725</f>
        <v>0</v>
      </c>
      <c r="BD763" s="267">
        <f>BD725</f>
        <v>0</v>
      </c>
      <c r="BF763" s="267">
        <f>BF725</f>
        <v>0</v>
      </c>
      <c r="BG763" s="267">
        <f>BG725</f>
        <v>0</v>
      </c>
      <c r="BI763" s="267">
        <f>BI725</f>
        <v>0</v>
      </c>
      <c r="BJ763" s="267">
        <f>BJ725</f>
        <v>0</v>
      </c>
      <c r="BL763" s="267">
        <f>BL725</f>
        <v>0</v>
      </c>
      <c r="BM763" s="267">
        <f>BM725</f>
        <v>0</v>
      </c>
      <c r="BO763" s="267">
        <f>BO725</f>
        <v>0</v>
      </c>
      <c r="BP763" s="267">
        <f>BP725</f>
        <v>0</v>
      </c>
      <c r="BR763" s="267">
        <f>BR725</f>
        <v>0</v>
      </c>
      <c r="BS763" s="267">
        <f>BS725</f>
        <v>0</v>
      </c>
      <c r="BU763" s="267">
        <f>BU725</f>
        <v>0</v>
      </c>
      <c r="BV763" s="267">
        <f>BV725</f>
        <v>0</v>
      </c>
      <c r="BX763" s="267">
        <f>BX725</f>
        <v>0</v>
      </c>
      <c r="BY763" s="267">
        <f>BY725</f>
        <v>0</v>
      </c>
      <c r="CA763" s="267">
        <f>CA725</f>
        <v>0</v>
      </c>
      <c r="CB763" s="267">
        <f>CB725</f>
        <v>0</v>
      </c>
      <c r="CD763" s="267">
        <f>CD725</f>
        <v>0</v>
      </c>
      <c r="CE763" s="267">
        <f>CE725</f>
        <v>0</v>
      </c>
      <c r="CG763" s="267">
        <f>CG725</f>
        <v>0</v>
      </c>
      <c r="CH763" s="267">
        <f>CH725</f>
        <v>0</v>
      </c>
      <c r="CJ763" s="267">
        <f>CJ725</f>
        <v>0</v>
      </c>
      <c r="CK763" s="267">
        <f>CK725</f>
        <v>0</v>
      </c>
    </row>
    <row r="764" spans="1:89" ht="45" x14ac:dyDescent="0.25">
      <c r="A764" s="105" t="s">
        <v>229</v>
      </c>
      <c r="B764" s="290" t="s">
        <v>224</v>
      </c>
      <c r="C764" s="107"/>
      <c r="D764" s="107"/>
      <c r="E764" s="107"/>
      <c r="F764" s="107"/>
      <c r="G764" s="107"/>
      <c r="H764" s="107"/>
      <c r="I764" s="107"/>
      <c r="J764" s="107"/>
      <c r="K764" s="107"/>
      <c r="L764" s="107"/>
      <c r="M764" s="107"/>
      <c r="N764" s="107"/>
      <c r="R764" s="406"/>
      <c r="S764" s="406"/>
      <c r="T764" s="273"/>
      <c r="U764" s="406"/>
      <c r="V764" s="406"/>
      <c r="W764" s="273"/>
      <c r="X764" s="406"/>
      <c r="Y764" s="406"/>
      <c r="Z764" s="273"/>
      <c r="AA764" s="406"/>
      <c r="AB764" s="406"/>
      <c r="AC764" s="273"/>
      <c r="AD764" s="406"/>
      <c r="AE764" s="406"/>
      <c r="AF764" s="273"/>
      <c r="AG764" s="406"/>
      <c r="AH764" s="406"/>
      <c r="AI764" s="273"/>
      <c r="AJ764" s="406"/>
      <c r="AK764" s="406"/>
      <c r="AL764" s="273"/>
      <c r="AM764" s="406"/>
      <c r="AN764" s="406"/>
      <c r="AO764" s="273"/>
      <c r="AP764" s="406"/>
      <c r="AQ764" s="406"/>
      <c r="AR764" s="273"/>
      <c r="AS764" s="406"/>
      <c r="AT764" s="406"/>
      <c r="AU764" s="273"/>
      <c r="AV764" s="406"/>
      <c r="AW764" s="406"/>
      <c r="AX764" s="273"/>
      <c r="AY764" s="406"/>
      <c r="AZ764" s="406"/>
      <c r="BA764" s="273"/>
      <c r="BB764" s="406"/>
      <c r="BC764" s="406"/>
      <c r="BD764" s="273"/>
      <c r="BE764" s="406"/>
      <c r="BF764" s="406"/>
      <c r="BG764" s="273"/>
      <c r="BH764" s="406"/>
      <c r="BI764" s="406"/>
      <c r="BJ764" s="273"/>
      <c r="BK764" s="406"/>
      <c r="BL764" s="406"/>
      <c r="BM764" s="273"/>
      <c r="BN764" s="406"/>
      <c r="BO764" s="406"/>
      <c r="BP764" s="273"/>
      <c r="BQ764" s="406"/>
      <c r="BR764" s="406"/>
      <c r="BS764" s="273"/>
      <c r="BT764" s="406"/>
      <c r="BU764" s="406"/>
      <c r="BV764" s="273"/>
      <c r="BW764" s="406"/>
      <c r="BX764" s="406"/>
      <c r="BY764" s="273"/>
      <c r="BZ764" s="406"/>
      <c r="CA764" s="406"/>
      <c r="CB764" s="273"/>
      <c r="CC764" s="406"/>
      <c r="CD764" s="406"/>
      <c r="CE764" s="273"/>
    </row>
    <row r="765" spans="1:89" ht="75" hidden="1" x14ac:dyDescent="0.25">
      <c r="A765" s="95" t="s">
        <v>228</v>
      </c>
      <c r="B765" s="16" t="s">
        <v>225</v>
      </c>
      <c r="C765" s="107"/>
      <c r="D765" s="95"/>
      <c r="E765" s="280"/>
      <c r="F765" s="280"/>
      <c r="G765" s="280"/>
      <c r="H765" s="280"/>
      <c r="I765" s="280"/>
      <c r="J765" s="280"/>
      <c r="K765" s="280"/>
      <c r="L765" s="280"/>
      <c r="M765" s="280"/>
      <c r="N765" s="280"/>
      <c r="O765" s="281" t="s">
        <v>217</v>
      </c>
      <c r="R765" s="278">
        <v>2013</v>
      </c>
      <c r="S765" s="278">
        <v>2014</v>
      </c>
      <c r="T765" s="278" t="s">
        <v>1443</v>
      </c>
      <c r="U765" s="278">
        <v>2013</v>
      </c>
      <c r="V765" s="278">
        <v>2014</v>
      </c>
      <c r="W765" s="278" t="s">
        <v>1443</v>
      </c>
      <c r="X765" s="278">
        <v>2013</v>
      </c>
      <c r="Y765" s="278">
        <v>2014</v>
      </c>
      <c r="Z765" s="278" t="s">
        <v>1443</v>
      </c>
      <c r="AA765" s="278">
        <v>2013</v>
      </c>
      <c r="AB765" s="278">
        <v>2014</v>
      </c>
      <c r="AC765" s="278" t="s">
        <v>1443</v>
      </c>
      <c r="AD765" s="278">
        <v>2013</v>
      </c>
      <c r="AE765" s="278">
        <v>2014</v>
      </c>
      <c r="AF765" s="278" t="s">
        <v>1443</v>
      </c>
      <c r="AG765" s="278">
        <v>2013</v>
      </c>
      <c r="AH765" s="278">
        <v>2014</v>
      </c>
      <c r="AI765" s="278" t="s">
        <v>1443</v>
      </c>
      <c r="AJ765" s="278">
        <v>2013</v>
      </c>
      <c r="AK765" s="278">
        <v>2014</v>
      </c>
      <c r="AL765" s="278" t="s">
        <v>1443</v>
      </c>
      <c r="AM765" s="278">
        <v>2013</v>
      </c>
      <c r="AN765" s="278">
        <v>2014</v>
      </c>
      <c r="AO765" s="278" t="s">
        <v>1443</v>
      </c>
      <c r="AP765" s="278">
        <v>2013</v>
      </c>
      <c r="AQ765" s="278">
        <v>2014</v>
      </c>
      <c r="AR765" s="278" t="s">
        <v>1443</v>
      </c>
      <c r="AS765" s="278">
        <v>2013</v>
      </c>
      <c r="AT765" s="278">
        <v>2014</v>
      </c>
      <c r="AU765" s="278" t="s">
        <v>1443</v>
      </c>
      <c r="AV765" s="278">
        <v>2013</v>
      </c>
      <c r="AW765" s="278">
        <v>2014</v>
      </c>
      <c r="AX765" s="278" t="s">
        <v>1443</v>
      </c>
      <c r="AY765" s="278">
        <v>2013</v>
      </c>
      <c r="AZ765" s="278">
        <v>2014</v>
      </c>
      <c r="BA765" s="278" t="s">
        <v>1443</v>
      </c>
      <c r="BB765" s="278">
        <v>2013</v>
      </c>
      <c r="BC765" s="278">
        <v>2014</v>
      </c>
      <c r="BD765" s="278" t="s">
        <v>1443</v>
      </c>
      <c r="BE765" s="278">
        <v>2013</v>
      </c>
      <c r="BF765" s="278">
        <v>2014</v>
      </c>
      <c r="BG765" s="278" t="s">
        <v>1443</v>
      </c>
      <c r="BH765" s="278">
        <v>2013</v>
      </c>
      <c r="BI765" s="278">
        <v>2014</v>
      </c>
      <c r="BJ765" s="278" t="s">
        <v>1443</v>
      </c>
      <c r="BK765" s="278">
        <v>2013</v>
      </c>
      <c r="BL765" s="278">
        <v>2014</v>
      </c>
      <c r="BM765" s="278" t="s">
        <v>1443</v>
      </c>
      <c r="BN765" s="278">
        <v>2013</v>
      </c>
      <c r="BO765" s="278">
        <v>2014</v>
      </c>
      <c r="BP765" s="278" t="s">
        <v>1443</v>
      </c>
      <c r="BQ765" s="278">
        <v>2013</v>
      </c>
      <c r="BR765" s="278">
        <v>2014</v>
      </c>
      <c r="BS765" s="278" t="s">
        <v>1443</v>
      </c>
      <c r="BT765" s="278">
        <v>2013</v>
      </c>
      <c r="BU765" s="278">
        <v>2014</v>
      </c>
      <c r="BV765" s="278" t="s">
        <v>1443</v>
      </c>
      <c r="BW765" s="278">
        <v>2013</v>
      </c>
      <c r="BX765" s="278">
        <v>2014</v>
      </c>
      <c r="BY765" s="278" t="s">
        <v>1443</v>
      </c>
      <c r="BZ765" s="278">
        <v>2013</v>
      </c>
      <c r="CA765" s="278">
        <v>2014</v>
      </c>
      <c r="CB765" s="278" t="s">
        <v>1443</v>
      </c>
      <c r="CC765" s="278">
        <v>2013</v>
      </c>
      <c r="CD765" s="278">
        <v>2014</v>
      </c>
      <c r="CE765" s="278" t="s">
        <v>1443</v>
      </c>
    </row>
    <row r="766" spans="1:89" hidden="1" x14ac:dyDescent="0.25">
      <c r="A766" s="95"/>
      <c r="B766" s="96" t="s">
        <v>1182</v>
      </c>
      <c r="C766" s="107"/>
      <c r="D766" s="95" t="s">
        <v>8</v>
      </c>
      <c r="E766" s="279">
        <f>(E773+E775)/(E778+E781)*100</f>
        <v>29.277899343544856</v>
      </c>
      <c r="F766" s="279">
        <f>(F773+F775)/(F778+F781)*100</f>
        <v>26.364417705199827</v>
      </c>
      <c r="G766" s="279">
        <f>(G773+G775)/(G778+G781)*100</f>
        <v>29.990069513406159</v>
      </c>
      <c r="H766" s="279">
        <f>(H773+H775)/(H778+H781+H773+H775)*100</f>
        <v>41.154225583689573</v>
      </c>
      <c r="I766" s="279" t="e">
        <f>(I773+I775)/(I778+I781+I773+I775)*100</f>
        <v>#DIV/0!</v>
      </c>
      <c r="J766" s="279" t="e">
        <f>(J773+J775)/(J778+J781+J773+J775)*100</f>
        <v>#DIV/0!</v>
      </c>
      <c r="K766" s="279" t="e">
        <f>(K773+K775)/(K778+K781+K773+K775)*100</f>
        <v>#DIV/0!</v>
      </c>
      <c r="L766" s="279" t="e">
        <f>(L773+L775)/(L778+L781+L773+L775)*100</f>
        <v>#DIV/0!</v>
      </c>
      <c r="M766" s="279" t="e">
        <f t="shared" ref="M766:N766" si="1297">(M773+M775)/(M778+M781+M773+M775)*100</f>
        <v>#DIV/0!</v>
      </c>
      <c r="N766" s="279" t="e">
        <f t="shared" si="1297"/>
        <v>#DIV/0!</v>
      </c>
      <c r="O766" s="281"/>
      <c r="P766" s="279">
        <f>(P773+P775)/(P778+P781)*100</f>
        <v>56.077116512992454</v>
      </c>
      <c r="Q766" s="279">
        <f>(Q773+Q775)/(Q778+Q781)*100</f>
        <v>50.933997509339981</v>
      </c>
      <c r="R766" s="279">
        <f>(R773+R775)/(R778+R781)*100</f>
        <v>65.517241379310349</v>
      </c>
      <c r="S766" s="279">
        <f>(S773+S775)/(S778+S781)*100</f>
        <v>54.166666666666664</v>
      </c>
      <c r="T766" s="279">
        <f t="shared" ref="T766:T771" si="1298">S766/R766*100</f>
        <v>82.675438596491219</v>
      </c>
      <c r="U766" s="279">
        <f>(U773+U775)/(U778+U781)*100</f>
        <v>54.054054054054056</v>
      </c>
      <c r="V766" s="279">
        <f>(V773+V775)/(V778+V781)*100</f>
        <v>55.882352941176471</v>
      </c>
      <c r="W766" s="279">
        <f t="shared" ref="W766:W771" si="1299">V766/U766*100</f>
        <v>103.38235294117646</v>
      </c>
      <c r="X766" s="279">
        <f>(X773+X775)/(X778+X781)*100</f>
        <v>100</v>
      </c>
      <c r="Y766" s="279">
        <f>(Y773+Y775)/(Y778+Y781)*100</f>
        <v>100</v>
      </c>
      <c r="Z766" s="279">
        <f t="shared" ref="Z766:Z771" si="1300">Y766/X766*100</f>
        <v>100</v>
      </c>
      <c r="AA766" s="279">
        <f>(AA773+AA775)/(AA778+AA781)*100</f>
        <v>100</v>
      </c>
      <c r="AB766" s="279">
        <f>(AB773+AB775)/(AB778+AB781)*100</f>
        <v>100</v>
      </c>
      <c r="AC766" s="279">
        <f t="shared" ref="AC766:AC771" si="1301">AB766/AA766*100</f>
        <v>100</v>
      </c>
      <c r="AD766" s="279">
        <f>(AD773+AD775)/(AD778+AD781)*100</f>
        <v>89.830508474576277</v>
      </c>
      <c r="AE766" s="279">
        <f>(AE773+AE775)/(AE778+AE781)*100</f>
        <v>64</v>
      </c>
      <c r="AF766" s="279">
        <f t="shared" ref="AF766:AF771" si="1302">AE766/AD766*100</f>
        <v>71.245283018867923</v>
      </c>
      <c r="AG766" s="279">
        <f>(AG773+AG775)/(AG778+AG781)*100</f>
        <v>100</v>
      </c>
      <c r="AH766" s="279">
        <f>(AH773+AH775)/(AH778+AH781)*100</f>
        <v>100</v>
      </c>
      <c r="AI766" s="279">
        <f t="shared" ref="AI766:AI771" si="1303">AH766/AG766*100</f>
        <v>100</v>
      </c>
      <c r="AJ766" s="279">
        <f>(AJ773+AJ775)/(AJ778+AJ781)*100</f>
        <v>53.478260869565219</v>
      </c>
      <c r="AK766" s="279">
        <f>(AK773+AK775)/(AK778+AK781)*100</f>
        <v>55.51330798479087</v>
      </c>
      <c r="AL766" s="279">
        <f t="shared" ref="AL766:AL771" si="1304">AK766/AJ766*100</f>
        <v>103.80537265448699</v>
      </c>
      <c r="AM766" s="279">
        <f>(AM773+AM775)/(AM778+AM781)*100</f>
        <v>86.682808716707029</v>
      </c>
      <c r="AN766" s="279">
        <f>(AN773+AN775)/(AN778+AN781)*100</f>
        <v>75.308641975308646</v>
      </c>
      <c r="AO766" s="279">
        <f t="shared" ref="AO766:AO771" si="1305">AN766/AM766*100</f>
        <v>86.878405407269469</v>
      </c>
      <c r="AP766" s="279">
        <f>(AP773+AP775)/(AP778+AP781)*100</f>
        <v>100</v>
      </c>
      <c r="AQ766" s="279">
        <f>(AQ773+AQ775)/(AQ778+AQ781)*100</f>
        <v>100</v>
      </c>
      <c r="AR766" s="279">
        <f t="shared" ref="AR766:AR771" si="1306">AQ766/AP766*100</f>
        <v>100</v>
      </c>
      <c r="AS766" s="279">
        <f>(AS773+AS775)/(AS778+AS781)*100</f>
        <v>27.046263345195733</v>
      </c>
      <c r="AT766" s="279">
        <f>(AT773+AT775)/(AT778+AT781)*100</f>
        <v>29.283489096573206</v>
      </c>
      <c r="AU766" s="279">
        <f t="shared" ref="AU766:AU771" si="1307">AT766/AS766*100</f>
        <v>108.27184784390882</v>
      </c>
      <c r="AV766" s="279">
        <f>(AV773+AV775)/(AV778+AV781)*100</f>
        <v>3.225806451612903</v>
      </c>
      <c r="AW766" s="279">
        <f>(AW773+AW775)/(AW778+AW781)*100</f>
        <v>33.82352941176471</v>
      </c>
      <c r="AX766" s="279">
        <f t="shared" ref="AX766:AX771" si="1308">AW766/AV766*100</f>
        <v>1048.5294117647061</v>
      </c>
      <c r="AY766" s="279">
        <f>(AY773+AY775)/(AY778+AY781)*100</f>
        <v>100</v>
      </c>
      <c r="AZ766" s="279">
        <f>(AZ773+AZ775)/(AZ778+AZ781)*100</f>
        <v>100</v>
      </c>
      <c r="BA766" s="279">
        <f t="shared" ref="BA766:BA771" si="1309">AZ766/AY766*100</f>
        <v>100</v>
      </c>
      <c r="BB766" s="279">
        <f>(BB773+BB775)/(BB778+BB781)*100</f>
        <v>58.928571428571431</v>
      </c>
      <c r="BC766" s="279">
        <f>(BC773+BC775)/(BC778+BC781)*100</f>
        <v>82.456140350877192</v>
      </c>
      <c r="BD766" s="279">
        <f t="shared" ref="BD766:BD771" si="1310">BC766/BB766*100</f>
        <v>139.92557150451887</v>
      </c>
      <c r="BE766" s="279">
        <f>(BE773+BE775)/(BE778+BE781)*100</f>
        <v>23.913043478260871</v>
      </c>
      <c r="BF766" s="279">
        <f>(BF773+BF775)/(BF778+BF781)*100</f>
        <v>11.940298507462686</v>
      </c>
      <c r="BG766" s="279">
        <f t="shared" ref="BG766:BG771" si="1311">BF766/BE766*100</f>
        <v>49.932157394843955</v>
      </c>
      <c r="BH766" s="279">
        <f>(BH773+BH775)/(BH778+BH781)*100</f>
        <v>9.1932457786116313</v>
      </c>
      <c r="BI766" s="279">
        <f>(BI773+BI775)/(BI778+BI781)*100</f>
        <v>7.1556350626118066</v>
      </c>
      <c r="BJ766" s="279">
        <f t="shared" ref="BJ766:BJ771" si="1312">BI766/BH766*100</f>
        <v>77.835785476981499</v>
      </c>
      <c r="BK766" s="279">
        <f>(BK773+BK775)/(BK778+BK781)*100</f>
        <v>100</v>
      </c>
      <c r="BL766" s="279">
        <f>(BL773+BL775)/(BL778+BL781)*100</f>
        <v>100</v>
      </c>
      <c r="BM766" s="279">
        <f t="shared" ref="BM766:BM771" si="1313">BL766/BK766*100</f>
        <v>100</v>
      </c>
      <c r="BN766" s="279" t="e">
        <f>(BN773+BN775)/(BN778+BN781)*100</f>
        <v>#DIV/0!</v>
      </c>
      <c r="BO766" s="279">
        <f>(BO773+BO775)/(BO778+BO781)*100</f>
        <v>100</v>
      </c>
      <c r="BP766" s="279" t="e">
        <f t="shared" ref="BP766:BP771" si="1314">BO766/BN766*100</f>
        <v>#DIV/0!</v>
      </c>
      <c r="BQ766" s="279">
        <f>(BQ773+BQ775)/(BQ778+BQ781)*100</f>
        <v>100</v>
      </c>
      <c r="BR766" s="279">
        <f>(BR773+BR775)/(BR778+BR781)*100</f>
        <v>100</v>
      </c>
      <c r="BS766" s="279">
        <f t="shared" ref="BS766:BS771" si="1315">BR766/BQ766*100</f>
        <v>100</v>
      </c>
      <c r="BT766" s="279">
        <f>(BT773+BT775)/(BT778+BT781)*100</f>
        <v>45.833333333333329</v>
      </c>
      <c r="BU766" s="279">
        <f>(BU773+BU775)/(BU778+BU781)*100</f>
        <v>50.909090909090907</v>
      </c>
      <c r="BV766" s="279">
        <f t="shared" ref="BV766:BV771" si="1316">BU766/BT766*100</f>
        <v>111.07438016528926</v>
      </c>
      <c r="BW766" s="279">
        <f>(BW773+BW775)/(BW778+BW781)*100</f>
        <v>75</v>
      </c>
      <c r="BX766" s="279">
        <f>(BX773+BX775)/(BX778+BX781)*100</f>
        <v>100</v>
      </c>
      <c r="BY766" s="279">
        <f t="shared" ref="BY766:BY771" si="1317">BX766/BW766*100</f>
        <v>133.33333333333331</v>
      </c>
      <c r="BZ766" s="279">
        <f>(BZ773+BZ775)/(BZ778+BZ781)*100</f>
        <v>100</v>
      </c>
      <c r="CA766" s="279">
        <f>(CA773+CA775)/(CA778+CA781)*100</f>
        <v>100</v>
      </c>
      <c r="CB766" s="279">
        <f t="shared" ref="CB766:CB771" si="1318">CA766/BZ766*100</f>
        <v>100</v>
      </c>
      <c r="CC766" s="279">
        <f>(CC773+CC775)/(CC778+CC781)*100</f>
        <v>0</v>
      </c>
      <c r="CD766" s="279">
        <f>(CD773+CD775)/(CD778+CD781)*100</f>
        <v>0</v>
      </c>
      <c r="CE766" s="279" t="e">
        <f t="shared" ref="CE766:CE771" si="1319">CD766/CC766*100</f>
        <v>#DIV/0!</v>
      </c>
    </row>
    <row r="767" spans="1:89" hidden="1" x14ac:dyDescent="0.25">
      <c r="A767" s="95"/>
      <c r="B767" s="96" t="s">
        <v>1183</v>
      </c>
      <c r="C767" s="107"/>
      <c r="D767" s="95" t="s">
        <v>8</v>
      </c>
      <c r="E767" s="279">
        <f>E773/E778*100</f>
        <v>23.638709677419357</v>
      </c>
      <c r="F767" s="279">
        <f>F773/F778*100</f>
        <v>21.149539686489177</v>
      </c>
      <c r="G767" s="279">
        <f>G773/G778*100</f>
        <v>24.851122308749428</v>
      </c>
      <c r="H767" s="279">
        <f>H773/(H778+H773)*100</f>
        <v>35.153903903903903</v>
      </c>
      <c r="I767" s="279" t="e">
        <f>I773/(I778+I773)*100</f>
        <v>#DIV/0!</v>
      </c>
      <c r="J767" s="279" t="e">
        <f>J773/(J778+J773)*100</f>
        <v>#DIV/0!</v>
      </c>
      <c r="K767" s="279" t="e">
        <f>K773/(K778+K773)*100</f>
        <v>#DIV/0!</v>
      </c>
      <c r="L767" s="279" t="e">
        <f>L773/(L778+L773)*100</f>
        <v>#DIV/0!</v>
      </c>
      <c r="M767" s="279" t="e">
        <f t="shared" ref="M767:N767" si="1320">M773/(M778+M773)*100</f>
        <v>#DIV/0!</v>
      </c>
      <c r="N767" s="279" t="e">
        <f t="shared" si="1320"/>
        <v>#DIV/0!</v>
      </c>
      <c r="O767" s="281"/>
      <c r="P767" s="279">
        <f>P773/P778*100</f>
        <v>47.046738572162297</v>
      </c>
      <c r="Q767" s="279">
        <f>Q773/Q778*100</f>
        <v>42.1417947446703</v>
      </c>
      <c r="R767" s="279">
        <f>R773/R778*100</f>
        <v>57.74647887323944</v>
      </c>
      <c r="S767" s="279">
        <f>S773/S778*100</f>
        <v>38.888888888888893</v>
      </c>
      <c r="T767" s="279">
        <f t="shared" si="1298"/>
        <v>67.344173441734426</v>
      </c>
      <c r="U767" s="279">
        <f>U773/U778*100</f>
        <v>100</v>
      </c>
      <c r="V767" s="279">
        <f>V773/V778*100</f>
        <v>100</v>
      </c>
      <c r="W767" s="279">
        <f t="shared" si="1299"/>
        <v>100</v>
      </c>
      <c r="X767" s="279">
        <f>X773/X778*100</f>
        <v>100</v>
      </c>
      <c r="Y767" s="279">
        <f>Y773/Y778*100</f>
        <v>100</v>
      </c>
      <c r="Z767" s="279">
        <f t="shared" si="1300"/>
        <v>100</v>
      </c>
      <c r="AA767" s="279">
        <f>AA773/AA778*100</f>
        <v>100</v>
      </c>
      <c r="AB767" s="279">
        <f>AB773/AB778*100</f>
        <v>100</v>
      </c>
      <c r="AC767" s="279">
        <f t="shared" si="1301"/>
        <v>100</v>
      </c>
      <c r="AD767" s="279">
        <f>AD773/AD778*100</f>
        <v>80</v>
      </c>
      <c r="AE767" s="279">
        <f>AE773/AE778*100</f>
        <v>48.07692307692308</v>
      </c>
      <c r="AF767" s="279">
        <f t="shared" si="1302"/>
        <v>60.096153846153854</v>
      </c>
      <c r="AG767" s="279">
        <f>AG773/AG778*100</f>
        <v>100</v>
      </c>
      <c r="AH767" s="279">
        <f>AH773/AH778*100</f>
        <v>100</v>
      </c>
      <c r="AI767" s="279">
        <f t="shared" si="1303"/>
        <v>100</v>
      </c>
      <c r="AJ767" s="279">
        <f>AJ773/AJ778*100</f>
        <v>48.557692307692307</v>
      </c>
      <c r="AK767" s="279">
        <f>AK773/AK778*100</f>
        <v>51.249999999999993</v>
      </c>
      <c r="AL767" s="279">
        <f t="shared" si="1304"/>
        <v>105.54455445544552</v>
      </c>
      <c r="AM767" s="279">
        <f>AM773/AM778*100</f>
        <v>77.822580645161281</v>
      </c>
      <c r="AN767" s="279">
        <f>AN773/AN778*100</f>
        <v>62.264150943396224</v>
      </c>
      <c r="AO767" s="279">
        <f t="shared" si="1305"/>
        <v>80.007820901358883</v>
      </c>
      <c r="AP767" s="279" t="e">
        <f>AP773/AP778*100</f>
        <v>#DIV/0!</v>
      </c>
      <c r="AQ767" s="279" t="e">
        <f>AQ773/AQ778*100</f>
        <v>#DIV/0!</v>
      </c>
      <c r="AR767" s="279" t="e">
        <f t="shared" si="1306"/>
        <v>#DIV/0!</v>
      </c>
      <c r="AS767" s="279">
        <f>AS773/AS778*100</f>
        <v>27.046263345195733</v>
      </c>
      <c r="AT767" s="279">
        <f>AT773/AT778*100</f>
        <v>29.283489096573206</v>
      </c>
      <c r="AU767" s="279">
        <f t="shared" si="1307"/>
        <v>108.27184784390882</v>
      </c>
      <c r="AV767" s="279">
        <f>AV773/AV778*100</f>
        <v>3.225806451612903</v>
      </c>
      <c r="AW767" s="279">
        <f>AW773/AW778*100</f>
        <v>33.82352941176471</v>
      </c>
      <c r="AX767" s="279">
        <f t="shared" si="1308"/>
        <v>1048.5294117647061</v>
      </c>
      <c r="AY767" s="279">
        <f>AY773/AY778*100</f>
        <v>100</v>
      </c>
      <c r="AZ767" s="279">
        <f>AZ773/AZ778*100</f>
        <v>100</v>
      </c>
      <c r="BA767" s="279">
        <f t="shared" si="1309"/>
        <v>100</v>
      </c>
      <c r="BB767" s="279">
        <f>BB773/BB778*100</f>
        <v>58.928571428571431</v>
      </c>
      <c r="BC767" s="279">
        <f>BC773/BC778*100</f>
        <v>82.456140350877192</v>
      </c>
      <c r="BD767" s="279">
        <f t="shared" si="1310"/>
        <v>139.92557150451887</v>
      </c>
      <c r="BE767" s="279">
        <f>BE773/BE778*100</f>
        <v>23.913043478260871</v>
      </c>
      <c r="BF767" s="279">
        <f>BF773/BF778*100</f>
        <v>11.940298507462686</v>
      </c>
      <c r="BG767" s="279">
        <f t="shared" si="1311"/>
        <v>49.932157394843955</v>
      </c>
      <c r="BH767" s="279">
        <f>BH773/BH778*100</f>
        <v>9.1932457786116313</v>
      </c>
      <c r="BI767" s="279">
        <f>BI773/BI778*100</f>
        <v>7.1556350626118066</v>
      </c>
      <c r="BJ767" s="279">
        <f t="shared" si="1312"/>
        <v>77.835785476981499</v>
      </c>
      <c r="BK767" s="279">
        <f>BK773/BK778*100</f>
        <v>100</v>
      </c>
      <c r="BL767" s="279">
        <f>BL773/BL778*100</f>
        <v>100</v>
      </c>
      <c r="BM767" s="279">
        <f t="shared" si="1313"/>
        <v>100</v>
      </c>
      <c r="BN767" s="279" t="e">
        <f>BN773/BN778*100</f>
        <v>#DIV/0!</v>
      </c>
      <c r="BO767" s="279">
        <f>BO773/BO778*100</f>
        <v>100</v>
      </c>
      <c r="BP767" s="279" t="e">
        <f t="shared" si="1314"/>
        <v>#DIV/0!</v>
      </c>
      <c r="BQ767" s="279">
        <f>BQ773/BQ778*100</f>
        <v>100</v>
      </c>
      <c r="BR767" s="279">
        <f>BR773/BR778*100</f>
        <v>100</v>
      </c>
      <c r="BS767" s="279">
        <f t="shared" si="1315"/>
        <v>100</v>
      </c>
      <c r="BT767" s="279">
        <f>BT773/BT778*100</f>
        <v>45.833333333333329</v>
      </c>
      <c r="BU767" s="279">
        <f>BU773/BU778*100</f>
        <v>50.909090909090907</v>
      </c>
      <c r="BV767" s="279">
        <f t="shared" si="1316"/>
        <v>111.07438016528926</v>
      </c>
      <c r="BW767" s="279">
        <f>BW773/BW778*100</f>
        <v>75</v>
      </c>
      <c r="BX767" s="279">
        <f>BX773/BX778*100</f>
        <v>100</v>
      </c>
      <c r="BY767" s="279">
        <f t="shared" si="1317"/>
        <v>133.33333333333331</v>
      </c>
      <c r="BZ767" s="279">
        <f>BZ773/BZ778*100</f>
        <v>100</v>
      </c>
      <c r="CA767" s="279">
        <f>CA773/CA778*100</f>
        <v>100</v>
      </c>
      <c r="CB767" s="279">
        <f t="shared" si="1318"/>
        <v>100</v>
      </c>
      <c r="CC767" s="279">
        <f>CC773/CC778*100</f>
        <v>0</v>
      </c>
      <c r="CD767" s="279">
        <f>CD773/CD778*100</f>
        <v>0</v>
      </c>
      <c r="CE767" s="279" t="e">
        <f t="shared" si="1319"/>
        <v>#DIV/0!</v>
      </c>
    </row>
    <row r="768" spans="1:89" hidden="1" x14ac:dyDescent="0.25">
      <c r="A768" s="95"/>
      <c r="B768" s="16" t="s">
        <v>1185</v>
      </c>
      <c r="C768" s="107"/>
      <c r="D768" s="95" t="s">
        <v>8</v>
      </c>
      <c r="E768" s="279">
        <f>E775/E781*100</f>
        <v>60.719424460431661</v>
      </c>
      <c r="F768" s="279">
        <f>F775/F781*100</f>
        <v>59.370078740157481</v>
      </c>
      <c r="G768" s="279">
        <f>G775/G781*100</f>
        <v>63.527653213751869</v>
      </c>
      <c r="H768" s="279">
        <f>H775/(H781+H775)*100</f>
        <v>83.554376657824932</v>
      </c>
      <c r="I768" s="279" t="e">
        <f>I775/(I781+I775)*100</f>
        <v>#DIV/0!</v>
      </c>
      <c r="J768" s="279" t="e">
        <f>J775/(J781+J775)*100</f>
        <v>#DIV/0!</v>
      </c>
      <c r="K768" s="279" t="e">
        <f>K775/(K781+K775)*100</f>
        <v>#DIV/0!</v>
      </c>
      <c r="L768" s="279" t="e">
        <f>L775/(L781+L775)*100</f>
        <v>#DIV/0!</v>
      </c>
      <c r="M768" s="279" t="e">
        <f t="shared" ref="M768:N768" si="1321">M775/(M781+M775)*100</f>
        <v>#DIV/0!</v>
      </c>
      <c r="N768" s="279" t="e">
        <f t="shared" si="1321"/>
        <v>#DIV/0!</v>
      </c>
      <c r="O768" s="281"/>
      <c r="P768" s="279">
        <f>P775/P781*100</f>
        <v>96.127562642369028</v>
      </c>
      <c r="Q768" s="279">
        <f>Q775/Q781*100</f>
        <v>96.173469387755105</v>
      </c>
      <c r="R768" s="279">
        <f>R775/R781*100</f>
        <v>100</v>
      </c>
      <c r="S768" s="279">
        <f>S775/S781*100</f>
        <v>100</v>
      </c>
      <c r="T768" s="279">
        <f t="shared" si="1298"/>
        <v>100</v>
      </c>
      <c r="U768" s="279">
        <f>U775/U781*100</f>
        <v>34.615384615384613</v>
      </c>
      <c r="V768" s="279">
        <f>V775/V781*100</f>
        <v>40</v>
      </c>
      <c r="W768" s="279">
        <f t="shared" si="1299"/>
        <v>115.55555555555557</v>
      </c>
      <c r="X768" s="279">
        <f>X775/X781*100</f>
        <v>100</v>
      </c>
      <c r="Y768" s="279">
        <f>Y775/Y781*100</f>
        <v>100</v>
      </c>
      <c r="Z768" s="279">
        <f t="shared" si="1300"/>
        <v>100</v>
      </c>
      <c r="AA768" s="279">
        <f>AA775/AA781*100</f>
        <v>100</v>
      </c>
      <c r="AB768" s="279">
        <f>AB775/AB781*100</f>
        <v>100</v>
      </c>
      <c r="AC768" s="279">
        <f t="shared" si="1301"/>
        <v>100</v>
      </c>
      <c r="AD768" s="279">
        <f>AD775/AD781*100</f>
        <v>100</v>
      </c>
      <c r="AE768" s="279">
        <f>AE775/AE781*100</f>
        <v>100</v>
      </c>
      <c r="AF768" s="279">
        <f t="shared" si="1302"/>
        <v>100</v>
      </c>
      <c r="AG768" s="279">
        <f>AG775/AG781*100</f>
        <v>100</v>
      </c>
      <c r="AH768" s="279" t="e">
        <f>AH775/AH781*100</f>
        <v>#DIV/0!</v>
      </c>
      <c r="AI768" s="279" t="e">
        <f t="shared" si="1303"/>
        <v>#DIV/0!</v>
      </c>
      <c r="AJ768" s="279">
        <f>AJ775/AJ781*100</f>
        <v>100</v>
      </c>
      <c r="AK768" s="279">
        <f>AK775/AK781*100</f>
        <v>100</v>
      </c>
      <c r="AL768" s="279">
        <f t="shared" si="1304"/>
        <v>100</v>
      </c>
      <c r="AM768" s="279">
        <f>AM775/AM781*100</f>
        <v>100</v>
      </c>
      <c r="AN768" s="279">
        <f>AN775/AN781*100</f>
        <v>100</v>
      </c>
      <c r="AO768" s="279">
        <f t="shared" si="1305"/>
        <v>100</v>
      </c>
      <c r="AP768" s="279">
        <f>AP775/AP781*100</f>
        <v>100</v>
      </c>
      <c r="AQ768" s="279">
        <f>AQ775/AQ781*100</f>
        <v>100</v>
      </c>
      <c r="AR768" s="279">
        <f t="shared" si="1306"/>
        <v>100</v>
      </c>
      <c r="AS768" s="279" t="e">
        <f>AS775/AS781*100</f>
        <v>#DIV/0!</v>
      </c>
      <c r="AT768" s="279" t="e">
        <f>AT775/AT781*100</f>
        <v>#DIV/0!</v>
      </c>
      <c r="AU768" s="279" t="e">
        <f t="shared" si="1307"/>
        <v>#DIV/0!</v>
      </c>
      <c r="AV768" s="279" t="e">
        <f>AV775/AV781*100</f>
        <v>#DIV/0!</v>
      </c>
      <c r="AW768" s="279" t="e">
        <f>AW775/AW781*100</f>
        <v>#DIV/0!</v>
      </c>
      <c r="AX768" s="279" t="e">
        <f t="shared" si="1308"/>
        <v>#DIV/0!</v>
      </c>
      <c r="AY768" s="279" t="e">
        <f>AY775/AY781*100</f>
        <v>#DIV/0!</v>
      </c>
      <c r="AZ768" s="279" t="e">
        <f>AZ775/AZ781*100</f>
        <v>#DIV/0!</v>
      </c>
      <c r="BA768" s="279" t="e">
        <f t="shared" si="1309"/>
        <v>#DIV/0!</v>
      </c>
      <c r="BB768" s="279" t="e">
        <f>BB775/BB781*100</f>
        <v>#DIV/0!</v>
      </c>
      <c r="BC768" s="279" t="e">
        <f>BC775/BC781*100</f>
        <v>#DIV/0!</v>
      </c>
      <c r="BD768" s="279" t="e">
        <f t="shared" si="1310"/>
        <v>#DIV/0!</v>
      </c>
      <c r="BE768" s="279" t="e">
        <f>BE775/BE781*100</f>
        <v>#DIV/0!</v>
      </c>
      <c r="BF768" s="279" t="e">
        <f>BF775/BF781*100</f>
        <v>#DIV/0!</v>
      </c>
      <c r="BG768" s="279" t="e">
        <f t="shared" si="1311"/>
        <v>#DIV/0!</v>
      </c>
      <c r="BH768" s="279" t="e">
        <f>BH775/BH781*100</f>
        <v>#DIV/0!</v>
      </c>
      <c r="BI768" s="279" t="e">
        <f>BI775/BI781*100</f>
        <v>#DIV/0!</v>
      </c>
      <c r="BJ768" s="279" t="e">
        <f t="shared" si="1312"/>
        <v>#DIV/0!</v>
      </c>
      <c r="BK768" s="279" t="e">
        <f>BK775/BK781*100</f>
        <v>#DIV/0!</v>
      </c>
      <c r="BL768" s="279" t="e">
        <f>BL775/BL781*100</f>
        <v>#DIV/0!</v>
      </c>
      <c r="BM768" s="279" t="e">
        <f t="shared" si="1313"/>
        <v>#DIV/0!</v>
      </c>
      <c r="BN768" s="279" t="e">
        <f>BN775/BN781*100</f>
        <v>#DIV/0!</v>
      </c>
      <c r="BO768" s="279" t="e">
        <f>BO775/BO781*100</f>
        <v>#DIV/0!</v>
      </c>
      <c r="BP768" s="279" t="e">
        <f t="shared" si="1314"/>
        <v>#DIV/0!</v>
      </c>
      <c r="BQ768" s="279" t="e">
        <f>BQ775/BQ781*100</f>
        <v>#DIV/0!</v>
      </c>
      <c r="BR768" s="279" t="e">
        <f>BR775/BR781*100</f>
        <v>#DIV/0!</v>
      </c>
      <c r="BS768" s="279" t="e">
        <f t="shared" si="1315"/>
        <v>#DIV/0!</v>
      </c>
      <c r="BT768" s="279" t="e">
        <f>BT775/BT781*100</f>
        <v>#DIV/0!</v>
      </c>
      <c r="BU768" s="279" t="e">
        <f>BU775/BU781*100</f>
        <v>#DIV/0!</v>
      </c>
      <c r="BV768" s="279" t="e">
        <f t="shared" si="1316"/>
        <v>#DIV/0!</v>
      </c>
      <c r="BW768" s="279" t="e">
        <f>BW775/BW781*100</f>
        <v>#DIV/0!</v>
      </c>
      <c r="BX768" s="279" t="e">
        <f>BX775/BX781*100</f>
        <v>#DIV/0!</v>
      </c>
      <c r="BY768" s="279" t="e">
        <f t="shared" si="1317"/>
        <v>#DIV/0!</v>
      </c>
      <c r="BZ768" s="279" t="e">
        <f>BZ775/BZ781*100</f>
        <v>#DIV/0!</v>
      </c>
      <c r="CA768" s="279" t="e">
        <f>CA775/CA781*100</f>
        <v>#DIV/0!</v>
      </c>
      <c r="CB768" s="279" t="e">
        <f t="shared" si="1318"/>
        <v>#DIV/0!</v>
      </c>
      <c r="CC768" s="279" t="e">
        <f>CC775/CC781*100</f>
        <v>#DIV/0!</v>
      </c>
      <c r="CD768" s="279" t="e">
        <f>CD775/CD781*100</f>
        <v>#DIV/0!</v>
      </c>
      <c r="CE768" s="279" t="e">
        <f t="shared" si="1319"/>
        <v>#DIV/0!</v>
      </c>
    </row>
    <row r="769" spans="1:83" hidden="1" x14ac:dyDescent="0.25">
      <c r="A769" s="95"/>
      <c r="B769" s="96" t="s">
        <v>1184</v>
      </c>
      <c r="C769" s="107"/>
      <c r="D769" s="95" t="s">
        <v>8</v>
      </c>
      <c r="E769" s="279">
        <f>(E785+E787)/(E790+E793)*100</f>
        <v>100</v>
      </c>
      <c r="F769" s="279">
        <f>(F785+F787)/(F790+F793)*100</f>
        <v>100</v>
      </c>
      <c r="G769" s="279">
        <f>(G785+G787)/(G790+G793)*100</f>
        <v>100</v>
      </c>
      <c r="H769" s="279">
        <f>(H785+H787)/(H790+H793+H785+H787)*100</f>
        <v>100</v>
      </c>
      <c r="I769" s="279" t="e">
        <f>(I785+I787)/(I790+I793+I785+I787)*100</f>
        <v>#DIV/0!</v>
      </c>
      <c r="J769" s="279" t="e">
        <f>(J785+J787)/(J790+J793+J785+J787)*100</f>
        <v>#DIV/0!</v>
      </c>
      <c r="K769" s="279" t="e">
        <f>(K785+K787)/(K790+K793+K785+K787)*100</f>
        <v>#DIV/0!</v>
      </c>
      <c r="L769" s="279" t="e">
        <f>(L785+L787)/(L790+L793+L785+L787)*100</f>
        <v>#DIV/0!</v>
      </c>
      <c r="M769" s="279" t="e">
        <f t="shared" ref="M769:N769" si="1322">(M785+M787)/(M790+M793+M785+M787)*100</f>
        <v>#DIV/0!</v>
      </c>
      <c r="N769" s="279" t="e">
        <f t="shared" si="1322"/>
        <v>#DIV/0!</v>
      </c>
      <c r="O769" s="281"/>
      <c r="P769" s="279">
        <f>(P785+P787)/(P790+P793)*100</f>
        <v>100</v>
      </c>
      <c r="Q769" s="279">
        <f>(Q785+Q787)/(Q790+Q793)*100</f>
        <v>100</v>
      </c>
      <c r="R769" s="279" t="e">
        <f>(R785+R787)/(R790+R793)*100</f>
        <v>#DIV/0!</v>
      </c>
      <c r="S769" s="279" t="e">
        <f>(S785+S787)/(S790+S793)*100</f>
        <v>#DIV/0!</v>
      </c>
      <c r="T769" s="279" t="e">
        <f t="shared" si="1298"/>
        <v>#DIV/0!</v>
      </c>
      <c r="U769" s="279" t="e">
        <f>(U785+U787)/(U790+U793)*100</f>
        <v>#DIV/0!</v>
      </c>
      <c r="V769" s="279" t="e">
        <f>(V785+V787)/(V790+V793)*100</f>
        <v>#DIV/0!</v>
      </c>
      <c r="W769" s="279" t="e">
        <f t="shared" si="1299"/>
        <v>#DIV/0!</v>
      </c>
      <c r="X769" s="279" t="e">
        <f>(X785+X787)/(X790+X793)*100</f>
        <v>#DIV/0!</v>
      </c>
      <c r="Y769" s="279" t="e">
        <f>(Y785+Y787)/(Y790+Y793)*100</f>
        <v>#DIV/0!</v>
      </c>
      <c r="Z769" s="279" t="e">
        <f t="shared" si="1300"/>
        <v>#DIV/0!</v>
      </c>
      <c r="AA769" s="279" t="e">
        <f>(AA785+AA787)/(AA790+AA793)*100</f>
        <v>#DIV/0!</v>
      </c>
      <c r="AB769" s="279" t="e">
        <f>(AB785+AB787)/(AB790+AB793)*100</f>
        <v>#DIV/0!</v>
      </c>
      <c r="AC769" s="279" t="e">
        <f t="shared" si="1301"/>
        <v>#DIV/0!</v>
      </c>
      <c r="AD769" s="279" t="e">
        <f>(AD785+AD787)/(AD790+AD793)*100</f>
        <v>#DIV/0!</v>
      </c>
      <c r="AE769" s="279" t="e">
        <f>(AE785+AE787)/(AE790+AE793)*100</f>
        <v>#DIV/0!</v>
      </c>
      <c r="AF769" s="279" t="e">
        <f t="shared" si="1302"/>
        <v>#DIV/0!</v>
      </c>
      <c r="AG769" s="279" t="e">
        <f>(AG785+AG787)/(AG790+AG793)*100</f>
        <v>#DIV/0!</v>
      </c>
      <c r="AH769" s="279" t="e">
        <f>(AH785+AH787)/(AH790+AH793)*100</f>
        <v>#DIV/0!</v>
      </c>
      <c r="AI769" s="279" t="e">
        <f t="shared" si="1303"/>
        <v>#DIV/0!</v>
      </c>
      <c r="AJ769" s="279" t="e">
        <f>(AJ785+AJ787)/(AJ790+AJ793)*100</f>
        <v>#DIV/0!</v>
      </c>
      <c r="AK769" s="279" t="e">
        <f>(AK785+AK787)/(AK790+AK793)*100</f>
        <v>#DIV/0!</v>
      </c>
      <c r="AL769" s="279" t="e">
        <f t="shared" si="1304"/>
        <v>#DIV/0!</v>
      </c>
      <c r="AM769" s="279" t="e">
        <f>(AM785+AM787)/(AM790+AM793)*100</f>
        <v>#DIV/0!</v>
      </c>
      <c r="AN769" s="279" t="e">
        <f>(AN785+AN787)/(AN790+AN793)*100</f>
        <v>#DIV/0!</v>
      </c>
      <c r="AO769" s="279" t="e">
        <f t="shared" si="1305"/>
        <v>#DIV/0!</v>
      </c>
      <c r="AP769" s="279" t="e">
        <f>(AP785+AP787)/(AP790+AP793)*100</f>
        <v>#DIV/0!</v>
      </c>
      <c r="AQ769" s="279" t="e">
        <f>(AQ785+AQ787)/(AQ790+AQ793)*100</f>
        <v>#DIV/0!</v>
      </c>
      <c r="AR769" s="279" t="e">
        <f t="shared" si="1306"/>
        <v>#DIV/0!</v>
      </c>
      <c r="AS769" s="279" t="e">
        <f>(AS785+AS787)/(AS790+AS793)*100</f>
        <v>#DIV/0!</v>
      </c>
      <c r="AT769" s="279" t="e">
        <f>(AT785+AT787)/(AT790+AT793)*100</f>
        <v>#DIV/0!</v>
      </c>
      <c r="AU769" s="279" t="e">
        <f t="shared" si="1307"/>
        <v>#DIV/0!</v>
      </c>
      <c r="AV769" s="279" t="e">
        <f>(AV785+AV787)/(AV790+AV793)*100</f>
        <v>#DIV/0!</v>
      </c>
      <c r="AW769" s="279" t="e">
        <f>(AW785+AW787)/(AW790+AW793)*100</f>
        <v>#DIV/0!</v>
      </c>
      <c r="AX769" s="279" t="e">
        <f t="shared" si="1308"/>
        <v>#DIV/0!</v>
      </c>
      <c r="AY769" s="279" t="e">
        <f>(AY785+AY787)/(AY790+AY793)*100</f>
        <v>#DIV/0!</v>
      </c>
      <c r="AZ769" s="279" t="e">
        <f>(AZ785+AZ787)/(AZ790+AZ793)*100</f>
        <v>#DIV/0!</v>
      </c>
      <c r="BA769" s="279" t="e">
        <f t="shared" si="1309"/>
        <v>#DIV/0!</v>
      </c>
      <c r="BB769" s="279">
        <f>(BB785+BB787)/(BB790+BB793)*100</f>
        <v>100</v>
      </c>
      <c r="BC769" s="279">
        <f>(BC785+BC787)/(BC790+BC793)*100</f>
        <v>100</v>
      </c>
      <c r="BD769" s="279">
        <f t="shared" si="1310"/>
        <v>100</v>
      </c>
      <c r="BE769" s="279" t="e">
        <f>(BE785+BE787)/(BE790+BE793)*100</f>
        <v>#DIV/0!</v>
      </c>
      <c r="BF769" s="279" t="e">
        <f>(BF785+BF787)/(BF790+BF793)*100</f>
        <v>#DIV/0!</v>
      </c>
      <c r="BG769" s="279" t="e">
        <f t="shared" si="1311"/>
        <v>#DIV/0!</v>
      </c>
      <c r="BH769" s="279" t="e">
        <f>(BH785+BH787)/(BH790+BH793)*100</f>
        <v>#DIV/0!</v>
      </c>
      <c r="BI769" s="279" t="e">
        <f>(BI785+BI787)/(BI790+BI793)*100</f>
        <v>#DIV/0!</v>
      </c>
      <c r="BJ769" s="279" t="e">
        <f t="shared" si="1312"/>
        <v>#DIV/0!</v>
      </c>
      <c r="BK769" s="279" t="e">
        <f>(BK785+BK787)/(BK790+BK793)*100</f>
        <v>#DIV/0!</v>
      </c>
      <c r="BL769" s="279" t="e">
        <f>(BL785+BL787)/(BL790+BL793)*100</f>
        <v>#DIV/0!</v>
      </c>
      <c r="BM769" s="279" t="e">
        <f t="shared" si="1313"/>
        <v>#DIV/0!</v>
      </c>
      <c r="BN769" s="279" t="e">
        <f>(BN785+BN787)/(BN790+BN793)*100</f>
        <v>#DIV/0!</v>
      </c>
      <c r="BO769" s="279" t="e">
        <f>(BO785+BO787)/(BO790+BO793)*100</f>
        <v>#DIV/0!</v>
      </c>
      <c r="BP769" s="279" t="e">
        <f t="shared" si="1314"/>
        <v>#DIV/0!</v>
      </c>
      <c r="BQ769" s="279" t="e">
        <f>(BQ785+BQ787)/(BQ790+BQ793)*100</f>
        <v>#DIV/0!</v>
      </c>
      <c r="BR769" s="279" t="e">
        <f>(BR785+BR787)/(BR790+BR793)*100</f>
        <v>#DIV/0!</v>
      </c>
      <c r="BS769" s="279" t="e">
        <f t="shared" si="1315"/>
        <v>#DIV/0!</v>
      </c>
      <c r="BT769" s="279" t="e">
        <f>(BT785+BT787)/(BT790+BT793)*100</f>
        <v>#DIV/0!</v>
      </c>
      <c r="BU769" s="279" t="e">
        <f>(BU785+BU787)/(BU790+BU793)*100</f>
        <v>#DIV/0!</v>
      </c>
      <c r="BV769" s="279" t="e">
        <f t="shared" si="1316"/>
        <v>#DIV/0!</v>
      </c>
      <c r="BW769" s="279" t="e">
        <f>(BW785+BW787)/(BW790+BW793)*100</f>
        <v>#DIV/0!</v>
      </c>
      <c r="BX769" s="279" t="e">
        <f>(BX785+BX787)/(BX790+BX793)*100</f>
        <v>#DIV/0!</v>
      </c>
      <c r="BY769" s="279" t="e">
        <f t="shared" si="1317"/>
        <v>#DIV/0!</v>
      </c>
      <c r="BZ769" s="279" t="e">
        <f>(BZ785+BZ787)/(BZ790+BZ793)*100</f>
        <v>#DIV/0!</v>
      </c>
      <c r="CA769" s="279" t="e">
        <f>(CA785+CA787)/(CA790+CA793)*100</f>
        <v>#DIV/0!</v>
      </c>
      <c r="CB769" s="279" t="e">
        <f t="shared" si="1318"/>
        <v>#DIV/0!</v>
      </c>
      <c r="CC769" s="279" t="e">
        <f>(CC785+CC787)/(CC790+CC793)*100</f>
        <v>#DIV/0!</v>
      </c>
      <c r="CD769" s="279" t="e">
        <f>(CD785+CD787)/(CD790+CD793)*100</f>
        <v>#DIV/0!</v>
      </c>
      <c r="CE769" s="279" t="e">
        <f t="shared" si="1319"/>
        <v>#DIV/0!</v>
      </c>
    </row>
    <row r="770" spans="1:83" hidden="1" x14ac:dyDescent="0.25">
      <c r="A770" s="95"/>
      <c r="B770" s="96" t="s">
        <v>1183</v>
      </c>
      <c r="C770" s="107"/>
      <c r="D770" s="95" t="s">
        <v>8</v>
      </c>
      <c r="E770" s="279">
        <f>E785/E790*100</f>
        <v>100</v>
      </c>
      <c r="F770" s="279">
        <f>F785/F790*100</f>
        <v>100</v>
      </c>
      <c r="G770" s="279">
        <f>G785/G790*100</f>
        <v>100</v>
      </c>
      <c r="H770" s="279">
        <f>H785/(H790+H785)*100</f>
        <v>100</v>
      </c>
      <c r="I770" s="279" t="e">
        <f>I785/(I790+I785)*100</f>
        <v>#DIV/0!</v>
      </c>
      <c r="J770" s="279" t="e">
        <f>J785/(J790+J785)*100</f>
        <v>#DIV/0!</v>
      </c>
      <c r="K770" s="279" t="e">
        <f>K785/(K790+K785)*100</f>
        <v>#DIV/0!</v>
      </c>
      <c r="L770" s="279" t="e">
        <f>L785/(L790+L785)*100</f>
        <v>#DIV/0!</v>
      </c>
      <c r="M770" s="279" t="e">
        <f t="shared" ref="M770:N770" si="1323">M785/(M790+M785)*100</f>
        <v>#DIV/0!</v>
      </c>
      <c r="N770" s="279" t="e">
        <f t="shared" si="1323"/>
        <v>#DIV/0!</v>
      </c>
      <c r="O770" s="281"/>
      <c r="P770" s="279">
        <f>P785/P790*100</f>
        <v>100</v>
      </c>
      <c r="Q770" s="279">
        <f>Q785/Q790*100</f>
        <v>100</v>
      </c>
      <c r="R770" s="279" t="e">
        <f>R785/R790*100</f>
        <v>#DIV/0!</v>
      </c>
      <c r="S770" s="279" t="e">
        <f>S785/S790*100</f>
        <v>#DIV/0!</v>
      </c>
      <c r="T770" s="279" t="e">
        <f t="shared" si="1298"/>
        <v>#DIV/0!</v>
      </c>
      <c r="U770" s="279" t="e">
        <f>U785/U790*100</f>
        <v>#DIV/0!</v>
      </c>
      <c r="V770" s="279" t="e">
        <f>V785/V790*100</f>
        <v>#DIV/0!</v>
      </c>
      <c r="W770" s="279" t="e">
        <f t="shared" si="1299"/>
        <v>#DIV/0!</v>
      </c>
      <c r="X770" s="279" t="e">
        <f>X785/X790*100</f>
        <v>#DIV/0!</v>
      </c>
      <c r="Y770" s="279" t="e">
        <f>Y785/Y790*100</f>
        <v>#DIV/0!</v>
      </c>
      <c r="Z770" s="279" t="e">
        <f t="shared" si="1300"/>
        <v>#DIV/0!</v>
      </c>
      <c r="AA770" s="279" t="e">
        <f>AA785/AA790*100</f>
        <v>#DIV/0!</v>
      </c>
      <c r="AB770" s="279" t="e">
        <f>AB785/AB790*100</f>
        <v>#DIV/0!</v>
      </c>
      <c r="AC770" s="279" t="e">
        <f t="shared" si="1301"/>
        <v>#DIV/0!</v>
      </c>
      <c r="AD770" s="279" t="e">
        <f>AD785/AD790*100</f>
        <v>#DIV/0!</v>
      </c>
      <c r="AE770" s="279" t="e">
        <f>AE785/AE790*100</f>
        <v>#DIV/0!</v>
      </c>
      <c r="AF770" s="279" t="e">
        <f t="shared" si="1302"/>
        <v>#DIV/0!</v>
      </c>
      <c r="AG770" s="279" t="e">
        <f>AG785/AG790*100</f>
        <v>#DIV/0!</v>
      </c>
      <c r="AH770" s="279" t="e">
        <f>AH785/AH790*100</f>
        <v>#DIV/0!</v>
      </c>
      <c r="AI770" s="279" t="e">
        <f t="shared" si="1303"/>
        <v>#DIV/0!</v>
      </c>
      <c r="AJ770" s="279" t="e">
        <f>AJ785/AJ790*100</f>
        <v>#DIV/0!</v>
      </c>
      <c r="AK770" s="279" t="e">
        <f>AK785/AK790*100</f>
        <v>#DIV/0!</v>
      </c>
      <c r="AL770" s="279" t="e">
        <f t="shared" si="1304"/>
        <v>#DIV/0!</v>
      </c>
      <c r="AM770" s="279" t="e">
        <f>AM785/AM790*100</f>
        <v>#DIV/0!</v>
      </c>
      <c r="AN770" s="279" t="e">
        <f>AN785/AN790*100</f>
        <v>#DIV/0!</v>
      </c>
      <c r="AO770" s="279" t="e">
        <f t="shared" si="1305"/>
        <v>#DIV/0!</v>
      </c>
      <c r="AP770" s="279" t="e">
        <f>AP785/AP790*100</f>
        <v>#DIV/0!</v>
      </c>
      <c r="AQ770" s="279" t="e">
        <f>AQ785/AQ790*100</f>
        <v>#DIV/0!</v>
      </c>
      <c r="AR770" s="279" t="e">
        <f t="shared" si="1306"/>
        <v>#DIV/0!</v>
      </c>
      <c r="AS770" s="279" t="e">
        <f>AS785/AS790*100</f>
        <v>#DIV/0!</v>
      </c>
      <c r="AT770" s="279" t="e">
        <f>AT785/AT790*100</f>
        <v>#DIV/0!</v>
      </c>
      <c r="AU770" s="279" t="e">
        <f t="shared" si="1307"/>
        <v>#DIV/0!</v>
      </c>
      <c r="AV770" s="279" t="e">
        <f>AV785/AV790*100</f>
        <v>#DIV/0!</v>
      </c>
      <c r="AW770" s="279" t="e">
        <f>AW785/AW790*100</f>
        <v>#DIV/0!</v>
      </c>
      <c r="AX770" s="279" t="e">
        <f t="shared" si="1308"/>
        <v>#DIV/0!</v>
      </c>
      <c r="AY770" s="279" t="e">
        <f>AY785/AY790*100</f>
        <v>#DIV/0!</v>
      </c>
      <c r="AZ770" s="279" t="e">
        <f>AZ785/AZ790*100</f>
        <v>#DIV/0!</v>
      </c>
      <c r="BA770" s="279" t="e">
        <f t="shared" si="1309"/>
        <v>#DIV/0!</v>
      </c>
      <c r="BB770" s="279">
        <f>BB785/BB790*100</f>
        <v>100</v>
      </c>
      <c r="BC770" s="279">
        <f>BC785/BC790*100</f>
        <v>100</v>
      </c>
      <c r="BD770" s="279">
        <f t="shared" si="1310"/>
        <v>100</v>
      </c>
      <c r="BE770" s="279" t="e">
        <f>BE785/BE790*100</f>
        <v>#DIV/0!</v>
      </c>
      <c r="BF770" s="279" t="e">
        <f>BF785/BF790*100</f>
        <v>#DIV/0!</v>
      </c>
      <c r="BG770" s="279" t="e">
        <f t="shared" si="1311"/>
        <v>#DIV/0!</v>
      </c>
      <c r="BH770" s="279" t="e">
        <f>BH785/BH790*100</f>
        <v>#DIV/0!</v>
      </c>
      <c r="BI770" s="279" t="e">
        <f>BI785/BI790*100</f>
        <v>#DIV/0!</v>
      </c>
      <c r="BJ770" s="279" t="e">
        <f t="shared" si="1312"/>
        <v>#DIV/0!</v>
      </c>
      <c r="BK770" s="279" t="e">
        <f>BK785/BK790*100</f>
        <v>#DIV/0!</v>
      </c>
      <c r="BL770" s="279" t="e">
        <f>BL785/BL790*100</f>
        <v>#DIV/0!</v>
      </c>
      <c r="BM770" s="279" t="e">
        <f t="shared" si="1313"/>
        <v>#DIV/0!</v>
      </c>
      <c r="BN770" s="279" t="e">
        <f>BN785/BN790*100</f>
        <v>#DIV/0!</v>
      </c>
      <c r="BO770" s="279" t="e">
        <f>BO785/BO790*100</f>
        <v>#DIV/0!</v>
      </c>
      <c r="BP770" s="279" t="e">
        <f t="shared" si="1314"/>
        <v>#DIV/0!</v>
      </c>
      <c r="BQ770" s="279" t="e">
        <f>BQ785/BQ790*100</f>
        <v>#DIV/0!</v>
      </c>
      <c r="BR770" s="279" t="e">
        <f>BR785/BR790*100</f>
        <v>#DIV/0!</v>
      </c>
      <c r="BS770" s="279" t="e">
        <f t="shared" si="1315"/>
        <v>#DIV/0!</v>
      </c>
      <c r="BT770" s="279" t="e">
        <f>BT785/BT790*100</f>
        <v>#DIV/0!</v>
      </c>
      <c r="BU770" s="279" t="e">
        <f>BU785/BU790*100</f>
        <v>#DIV/0!</v>
      </c>
      <c r="BV770" s="279" t="e">
        <f t="shared" si="1316"/>
        <v>#DIV/0!</v>
      </c>
      <c r="BW770" s="279" t="e">
        <f>BW785/BW790*100</f>
        <v>#DIV/0!</v>
      </c>
      <c r="BX770" s="279" t="e">
        <f>BX785/BX790*100</f>
        <v>#DIV/0!</v>
      </c>
      <c r="BY770" s="279" t="e">
        <f t="shared" si="1317"/>
        <v>#DIV/0!</v>
      </c>
      <c r="BZ770" s="279" t="e">
        <f>BZ785/BZ790*100</f>
        <v>#DIV/0!</v>
      </c>
      <c r="CA770" s="279" t="e">
        <f>CA785/CA790*100</f>
        <v>#DIV/0!</v>
      </c>
      <c r="CB770" s="279" t="e">
        <f t="shared" si="1318"/>
        <v>#DIV/0!</v>
      </c>
      <c r="CC770" s="279" t="e">
        <f>CC785/CC790*100</f>
        <v>#DIV/0!</v>
      </c>
      <c r="CD770" s="279" t="e">
        <f>CD785/CD790*100</f>
        <v>#DIV/0!</v>
      </c>
      <c r="CE770" s="279" t="e">
        <f t="shared" si="1319"/>
        <v>#DIV/0!</v>
      </c>
    </row>
    <row r="771" spans="1:83" hidden="1" x14ac:dyDescent="0.25">
      <c r="A771" s="95"/>
      <c r="B771" s="16" t="s">
        <v>1185</v>
      </c>
      <c r="C771" s="107"/>
      <c r="D771" s="95" t="s">
        <v>8</v>
      </c>
      <c r="E771" s="279" t="e">
        <f>E787/E793*100</f>
        <v>#DIV/0!</v>
      </c>
      <c r="F771" s="279" t="e">
        <f>F787/F793*100</f>
        <v>#DIV/0!</v>
      </c>
      <c r="G771" s="279" t="e">
        <f>G787/G793*100</f>
        <v>#DIV/0!</v>
      </c>
      <c r="H771" s="279" t="e">
        <f>H787/(H793+H787)*100</f>
        <v>#DIV/0!</v>
      </c>
      <c r="I771" s="279" t="e">
        <f>I787/(I793+I787)*100</f>
        <v>#DIV/0!</v>
      </c>
      <c r="J771" s="279" t="e">
        <f>J787/(J793+J787)*100</f>
        <v>#DIV/0!</v>
      </c>
      <c r="K771" s="279" t="e">
        <f>K787/(K793+K787)*100</f>
        <v>#DIV/0!</v>
      </c>
      <c r="L771" s="279" t="e">
        <f>L787/(L793+L787)*100</f>
        <v>#DIV/0!</v>
      </c>
      <c r="M771" s="279" t="e">
        <f t="shared" ref="M771:N771" si="1324">M787/(M793+M787)*100</f>
        <v>#DIV/0!</v>
      </c>
      <c r="N771" s="279" t="e">
        <f t="shared" si="1324"/>
        <v>#DIV/0!</v>
      </c>
      <c r="O771" s="281"/>
      <c r="P771" s="279" t="e">
        <f>P787/P793*100</f>
        <v>#DIV/0!</v>
      </c>
      <c r="Q771" s="279" t="e">
        <f>Q787/Q793*100</f>
        <v>#DIV/0!</v>
      </c>
      <c r="R771" s="279" t="e">
        <f>R787/R793*100</f>
        <v>#DIV/0!</v>
      </c>
      <c r="S771" s="279" t="e">
        <f>S787/S793*100</f>
        <v>#DIV/0!</v>
      </c>
      <c r="T771" s="279" t="e">
        <f t="shared" si="1298"/>
        <v>#DIV/0!</v>
      </c>
      <c r="U771" s="279" t="e">
        <f>U787/U793*100</f>
        <v>#DIV/0!</v>
      </c>
      <c r="V771" s="279" t="e">
        <f>V787/V793*100</f>
        <v>#DIV/0!</v>
      </c>
      <c r="W771" s="279" t="e">
        <f t="shared" si="1299"/>
        <v>#DIV/0!</v>
      </c>
      <c r="X771" s="279" t="e">
        <f>X787/X793*100</f>
        <v>#DIV/0!</v>
      </c>
      <c r="Y771" s="279" t="e">
        <f>Y787/Y793*100</f>
        <v>#DIV/0!</v>
      </c>
      <c r="Z771" s="279" t="e">
        <f t="shared" si="1300"/>
        <v>#DIV/0!</v>
      </c>
      <c r="AA771" s="279" t="e">
        <f>AA787/AA793*100</f>
        <v>#DIV/0!</v>
      </c>
      <c r="AB771" s="279" t="e">
        <f>AB787/AB793*100</f>
        <v>#DIV/0!</v>
      </c>
      <c r="AC771" s="279" t="e">
        <f t="shared" si="1301"/>
        <v>#DIV/0!</v>
      </c>
      <c r="AD771" s="279" t="e">
        <f>AD787/AD793*100</f>
        <v>#DIV/0!</v>
      </c>
      <c r="AE771" s="279" t="e">
        <f>AE787/AE793*100</f>
        <v>#DIV/0!</v>
      </c>
      <c r="AF771" s="279" t="e">
        <f t="shared" si="1302"/>
        <v>#DIV/0!</v>
      </c>
      <c r="AG771" s="279" t="e">
        <f>AG787/AG793*100</f>
        <v>#DIV/0!</v>
      </c>
      <c r="AH771" s="279" t="e">
        <f>AH787/AH793*100</f>
        <v>#DIV/0!</v>
      </c>
      <c r="AI771" s="279" t="e">
        <f t="shared" si="1303"/>
        <v>#DIV/0!</v>
      </c>
      <c r="AJ771" s="279" t="e">
        <f>AJ787/AJ793*100</f>
        <v>#DIV/0!</v>
      </c>
      <c r="AK771" s="279" t="e">
        <f>AK787/AK793*100</f>
        <v>#DIV/0!</v>
      </c>
      <c r="AL771" s="279" t="e">
        <f t="shared" si="1304"/>
        <v>#DIV/0!</v>
      </c>
      <c r="AM771" s="279" t="e">
        <f>AM787/AM793*100</f>
        <v>#DIV/0!</v>
      </c>
      <c r="AN771" s="279" t="e">
        <f>AN787/AN793*100</f>
        <v>#DIV/0!</v>
      </c>
      <c r="AO771" s="279" t="e">
        <f t="shared" si="1305"/>
        <v>#DIV/0!</v>
      </c>
      <c r="AP771" s="279" t="e">
        <f>AP787/AP793*100</f>
        <v>#DIV/0!</v>
      </c>
      <c r="AQ771" s="279" t="e">
        <f>AQ787/AQ793*100</f>
        <v>#DIV/0!</v>
      </c>
      <c r="AR771" s="279" t="e">
        <f t="shared" si="1306"/>
        <v>#DIV/0!</v>
      </c>
      <c r="AS771" s="279" t="e">
        <f>AS787/AS793*100</f>
        <v>#DIV/0!</v>
      </c>
      <c r="AT771" s="279" t="e">
        <f>AT787/AT793*100</f>
        <v>#DIV/0!</v>
      </c>
      <c r="AU771" s="279" t="e">
        <f t="shared" si="1307"/>
        <v>#DIV/0!</v>
      </c>
      <c r="AV771" s="279" t="e">
        <f>AV787/AV793*100</f>
        <v>#DIV/0!</v>
      </c>
      <c r="AW771" s="279" t="e">
        <f>AW787/AW793*100</f>
        <v>#DIV/0!</v>
      </c>
      <c r="AX771" s="279" t="e">
        <f t="shared" si="1308"/>
        <v>#DIV/0!</v>
      </c>
      <c r="AY771" s="279" t="e">
        <f>AY787/AY793*100</f>
        <v>#DIV/0!</v>
      </c>
      <c r="AZ771" s="279" t="e">
        <f>AZ787/AZ793*100</f>
        <v>#DIV/0!</v>
      </c>
      <c r="BA771" s="279" t="e">
        <f t="shared" si="1309"/>
        <v>#DIV/0!</v>
      </c>
      <c r="BB771" s="279" t="e">
        <f>BB787/BB793*100</f>
        <v>#DIV/0!</v>
      </c>
      <c r="BC771" s="279" t="e">
        <f>BC787/BC793*100</f>
        <v>#DIV/0!</v>
      </c>
      <c r="BD771" s="279" t="e">
        <f t="shared" si="1310"/>
        <v>#DIV/0!</v>
      </c>
      <c r="BE771" s="279" t="e">
        <f>BE787/BE793*100</f>
        <v>#DIV/0!</v>
      </c>
      <c r="BF771" s="279" t="e">
        <f>BF787/BF793*100</f>
        <v>#DIV/0!</v>
      </c>
      <c r="BG771" s="279" t="e">
        <f t="shared" si="1311"/>
        <v>#DIV/0!</v>
      </c>
      <c r="BH771" s="279" t="e">
        <f>BH787/BH793*100</f>
        <v>#DIV/0!</v>
      </c>
      <c r="BI771" s="279" t="e">
        <f>BI787/BI793*100</f>
        <v>#DIV/0!</v>
      </c>
      <c r="BJ771" s="279" t="e">
        <f t="shared" si="1312"/>
        <v>#DIV/0!</v>
      </c>
      <c r="BK771" s="279" t="e">
        <f>BK787/BK793*100</f>
        <v>#DIV/0!</v>
      </c>
      <c r="BL771" s="279" t="e">
        <f>BL787/BL793*100</f>
        <v>#DIV/0!</v>
      </c>
      <c r="BM771" s="279" t="e">
        <f t="shared" si="1313"/>
        <v>#DIV/0!</v>
      </c>
      <c r="BN771" s="279" t="e">
        <f>BN787/BN793*100</f>
        <v>#DIV/0!</v>
      </c>
      <c r="BO771" s="279" t="e">
        <f>BO787/BO793*100</f>
        <v>#DIV/0!</v>
      </c>
      <c r="BP771" s="279" t="e">
        <f t="shared" si="1314"/>
        <v>#DIV/0!</v>
      </c>
      <c r="BQ771" s="279" t="e">
        <f>BQ787/BQ793*100</f>
        <v>#DIV/0!</v>
      </c>
      <c r="BR771" s="279" t="e">
        <f>BR787/BR793*100</f>
        <v>#DIV/0!</v>
      </c>
      <c r="BS771" s="279" t="e">
        <f t="shared" si="1315"/>
        <v>#DIV/0!</v>
      </c>
      <c r="BT771" s="279" t="e">
        <f>BT787/BT793*100</f>
        <v>#DIV/0!</v>
      </c>
      <c r="BU771" s="279" t="e">
        <f>BU787/BU793*100</f>
        <v>#DIV/0!</v>
      </c>
      <c r="BV771" s="279" t="e">
        <f t="shared" si="1316"/>
        <v>#DIV/0!</v>
      </c>
      <c r="BW771" s="279" t="e">
        <f>BW787/BW793*100</f>
        <v>#DIV/0!</v>
      </c>
      <c r="BX771" s="279" t="e">
        <f>BX787/BX793*100</f>
        <v>#DIV/0!</v>
      </c>
      <c r="BY771" s="279" t="e">
        <f t="shared" si="1317"/>
        <v>#DIV/0!</v>
      </c>
      <c r="BZ771" s="279" t="e">
        <f>BZ787/BZ793*100</f>
        <v>#DIV/0!</v>
      </c>
      <c r="CA771" s="279" t="e">
        <f>CA787/CA793*100</f>
        <v>#DIV/0!</v>
      </c>
      <c r="CB771" s="279" t="e">
        <f t="shared" si="1318"/>
        <v>#DIV/0!</v>
      </c>
      <c r="CC771" s="279" t="e">
        <f>CC787/CC793*100</f>
        <v>#DIV/0!</v>
      </c>
      <c r="CD771" s="279" t="e">
        <f>CD787/CD793*100</f>
        <v>#DIV/0!</v>
      </c>
      <c r="CE771" s="279" t="e">
        <f t="shared" si="1319"/>
        <v>#DIV/0!</v>
      </c>
    </row>
    <row r="772" spans="1:83" ht="180" hidden="1" x14ac:dyDescent="0.25">
      <c r="A772" s="107"/>
      <c r="B772" s="16" t="s">
        <v>226</v>
      </c>
      <c r="C772" s="95"/>
      <c r="D772" s="95"/>
      <c r="E772" s="282"/>
      <c r="F772" s="282"/>
      <c r="G772" s="282"/>
      <c r="H772" s="282"/>
      <c r="I772" s="282"/>
      <c r="J772" s="282"/>
      <c r="K772" s="282"/>
      <c r="L772" s="282"/>
      <c r="M772" s="282"/>
      <c r="N772" s="282"/>
    </row>
    <row r="773" spans="1:83" ht="30" hidden="1" x14ac:dyDescent="0.25">
      <c r="A773" s="107"/>
      <c r="B773" s="16" t="s">
        <v>1183</v>
      </c>
      <c r="C773" s="95" t="s">
        <v>1230</v>
      </c>
      <c r="D773" s="95" t="s">
        <v>950</v>
      </c>
      <c r="E773" s="282">
        <v>916</v>
      </c>
      <c r="F773" s="282">
        <v>850</v>
      </c>
      <c r="G773" s="282">
        <v>1085</v>
      </c>
      <c r="H773" s="282">
        <f>H774</f>
        <v>1873</v>
      </c>
      <c r="I773" s="282">
        <f>I774</f>
        <v>0</v>
      </c>
      <c r="J773" s="282">
        <f>J774</f>
        <v>0</v>
      </c>
      <c r="K773" s="282">
        <f>K774</f>
        <v>0</v>
      </c>
      <c r="L773" s="282">
        <f>L774</f>
        <v>0</v>
      </c>
      <c r="M773" s="282">
        <f t="shared" ref="M773:N773" si="1325">M774</f>
        <v>0</v>
      </c>
      <c r="N773" s="282">
        <f t="shared" si="1325"/>
        <v>0</v>
      </c>
      <c r="O773" s="286"/>
      <c r="P773" s="267">
        <f t="shared" ref="P773:Q775" si="1326">R773+U773+X773+AA773+AD773+AG773+AJ773+AM773+AP773+AS773+AV773+AY773+BB773+BE773+BH773+BK773+BN773+BQ773+BT773+BW773+BZ773+CC773</f>
        <v>916</v>
      </c>
      <c r="Q773" s="267">
        <f t="shared" si="1326"/>
        <v>850</v>
      </c>
      <c r="R773" s="267">
        <v>41</v>
      </c>
      <c r="S773" s="267">
        <v>14</v>
      </c>
      <c r="U773" s="267">
        <v>11</v>
      </c>
      <c r="V773" s="267">
        <v>9</v>
      </c>
      <c r="X773" s="267">
        <v>172</v>
      </c>
      <c r="Y773" s="267">
        <v>165</v>
      </c>
      <c r="AA773" s="267">
        <v>15</v>
      </c>
      <c r="AB773" s="267">
        <v>28</v>
      </c>
      <c r="AD773" s="267">
        <v>72</v>
      </c>
      <c r="AE773" s="267">
        <v>25</v>
      </c>
      <c r="AG773" s="267">
        <v>16</v>
      </c>
      <c r="AH773" s="267">
        <v>4</v>
      </c>
      <c r="AJ773" s="267">
        <v>101</v>
      </c>
      <c r="AK773" s="267">
        <v>123</v>
      </c>
      <c r="AM773" s="267">
        <v>193</v>
      </c>
      <c r="AN773" s="267">
        <v>165</v>
      </c>
      <c r="AS773" s="267">
        <v>76</v>
      </c>
      <c r="AT773" s="267">
        <v>94</v>
      </c>
      <c r="AV773" s="267">
        <v>1</v>
      </c>
      <c r="AW773" s="267">
        <v>23</v>
      </c>
      <c r="AY773" s="267">
        <v>16</v>
      </c>
      <c r="AZ773" s="267">
        <v>16</v>
      </c>
      <c r="BB773" s="267">
        <v>33</v>
      </c>
      <c r="BC773" s="267">
        <v>47</v>
      </c>
      <c r="BE773" s="267">
        <v>11</v>
      </c>
      <c r="BF773" s="267">
        <v>8</v>
      </c>
      <c r="BH773" s="267">
        <v>49</v>
      </c>
      <c r="BI773" s="267">
        <v>40</v>
      </c>
      <c r="BK773" s="267">
        <v>27</v>
      </c>
      <c r="BL773" s="267">
        <v>18</v>
      </c>
      <c r="BO773" s="267">
        <v>12</v>
      </c>
      <c r="BQ773" s="267">
        <v>4</v>
      </c>
      <c r="BR773" s="267">
        <v>16</v>
      </c>
      <c r="BT773" s="267">
        <v>22</v>
      </c>
      <c r="BU773" s="267">
        <v>28</v>
      </c>
      <c r="BW773" s="267">
        <v>9</v>
      </c>
      <c r="BX773" s="267">
        <v>14</v>
      </c>
      <c r="BZ773" s="267">
        <v>47</v>
      </c>
      <c r="CA773" s="267">
        <v>1</v>
      </c>
    </row>
    <row r="774" spans="1:83" ht="30" hidden="1" x14ac:dyDescent="0.25">
      <c r="A774" s="107"/>
      <c r="B774" s="95"/>
      <c r="C774" s="95" t="s">
        <v>1506</v>
      </c>
      <c r="D774" s="95"/>
      <c r="E774" s="282"/>
      <c r="F774" s="282"/>
      <c r="G774" s="282"/>
      <c r="H774" s="282">
        <v>1873</v>
      </c>
      <c r="I774" s="282"/>
      <c r="J774" s="282"/>
      <c r="K774" s="282"/>
      <c r="L774" s="282"/>
      <c r="M774" s="282"/>
      <c r="N774" s="282"/>
      <c r="O774" s="286"/>
    </row>
    <row r="775" spans="1:83" ht="30" hidden="1" x14ac:dyDescent="0.25">
      <c r="A775" s="107"/>
      <c r="B775" s="16" t="s">
        <v>1185</v>
      </c>
      <c r="C775" s="95" t="s">
        <v>1231</v>
      </c>
      <c r="D775" s="95" t="s">
        <v>950</v>
      </c>
      <c r="E775" s="282">
        <v>422</v>
      </c>
      <c r="F775" s="282">
        <v>377</v>
      </c>
      <c r="G775" s="282">
        <v>425</v>
      </c>
      <c r="H775" s="282">
        <f>H776</f>
        <v>630</v>
      </c>
      <c r="I775" s="282">
        <f>I776</f>
        <v>0</v>
      </c>
      <c r="J775" s="282">
        <f>J776</f>
        <v>0</v>
      </c>
      <c r="K775" s="282">
        <f>K776</f>
        <v>0</v>
      </c>
      <c r="L775" s="282">
        <f>L776</f>
        <v>0</v>
      </c>
      <c r="M775" s="282">
        <f t="shared" ref="M775:N775" si="1327">M776</f>
        <v>0</v>
      </c>
      <c r="N775" s="282">
        <f t="shared" si="1327"/>
        <v>0</v>
      </c>
      <c r="P775" s="267">
        <f t="shared" si="1326"/>
        <v>422</v>
      </c>
      <c r="Q775" s="267">
        <f t="shared" si="1326"/>
        <v>377</v>
      </c>
      <c r="R775" s="267">
        <v>16</v>
      </c>
      <c r="S775" s="267">
        <v>12</v>
      </c>
      <c r="U775" s="267">
        <v>9</v>
      </c>
      <c r="V775" s="267">
        <v>10</v>
      </c>
      <c r="X775" s="267">
        <v>87</v>
      </c>
      <c r="Y775" s="267">
        <v>110</v>
      </c>
      <c r="AA775" s="267">
        <v>19</v>
      </c>
      <c r="AB775" s="267">
        <v>22</v>
      </c>
      <c r="AD775" s="267">
        <v>87</v>
      </c>
      <c r="AE775" s="267">
        <v>23</v>
      </c>
      <c r="AG775" s="267">
        <v>1</v>
      </c>
      <c r="AJ775" s="267">
        <v>22</v>
      </c>
      <c r="AK775" s="267">
        <v>23</v>
      </c>
      <c r="AM775" s="267">
        <v>165</v>
      </c>
      <c r="AN775" s="267">
        <v>140</v>
      </c>
      <c r="AP775" s="267">
        <v>16</v>
      </c>
      <c r="AQ775" s="267">
        <v>37</v>
      </c>
    </row>
    <row r="776" spans="1:83" ht="30" hidden="1" x14ac:dyDescent="0.25">
      <c r="A776" s="107"/>
      <c r="B776" s="95"/>
      <c r="C776" s="95" t="s">
        <v>1506</v>
      </c>
      <c r="D776" s="95"/>
      <c r="E776" s="282"/>
      <c r="F776" s="282"/>
      <c r="G776" s="282"/>
      <c r="H776" s="282">
        <v>630</v>
      </c>
      <c r="I776" s="282"/>
      <c r="J776" s="282"/>
      <c r="K776" s="282"/>
      <c r="L776" s="282"/>
      <c r="M776" s="282"/>
      <c r="N776" s="282"/>
    </row>
    <row r="777" spans="1:83" ht="75" hidden="1" x14ac:dyDescent="0.25">
      <c r="A777" s="107"/>
      <c r="B777" s="16" t="s">
        <v>227</v>
      </c>
      <c r="C777" s="95"/>
      <c r="D777" s="95"/>
      <c r="E777" s="282"/>
      <c r="F777" s="282"/>
      <c r="G777" s="282"/>
      <c r="H777" s="282"/>
      <c r="I777" s="282"/>
      <c r="J777" s="282"/>
      <c r="K777" s="282"/>
      <c r="L777" s="282"/>
      <c r="M777" s="282"/>
      <c r="N777" s="282"/>
    </row>
    <row r="778" spans="1:83" ht="30" hidden="1" x14ac:dyDescent="0.25">
      <c r="A778" s="107"/>
      <c r="B778" s="16" t="s">
        <v>1183</v>
      </c>
      <c r="C778" s="95" t="s">
        <v>1232</v>
      </c>
      <c r="D778" s="95" t="s">
        <v>950</v>
      </c>
      <c r="E778" s="282">
        <v>3875</v>
      </c>
      <c r="F778" s="282">
        <v>4019</v>
      </c>
      <c r="G778" s="282">
        <v>4366</v>
      </c>
      <c r="H778" s="282">
        <f>H779+H780</f>
        <v>3455</v>
      </c>
      <c r="I778" s="282">
        <f>I779+I780</f>
        <v>0</v>
      </c>
      <c r="J778" s="282">
        <f>J779+J780</f>
        <v>0</v>
      </c>
      <c r="K778" s="282">
        <f>K779+K780</f>
        <v>0</v>
      </c>
      <c r="L778" s="282">
        <f>L779+L780</f>
        <v>0</v>
      </c>
      <c r="M778" s="282">
        <f t="shared" ref="M778:N778" si="1328">M779+M780</f>
        <v>0</v>
      </c>
      <c r="N778" s="282">
        <f t="shared" si="1328"/>
        <v>0</v>
      </c>
      <c r="P778" s="267">
        <f>R778+U778+X778+AA778+AD778+AG778+AJ778+AM778+AP778+AS778+AV778+AY778+BB778+BE778+BH778+BK778+BN778+BQ778+BT778+BW778+BZ778+CC778</f>
        <v>1947</v>
      </c>
      <c r="Q778" s="267">
        <f>S778+V778+Y778+AB778+AE778+AH778+AK778+AN778+AQ778+AT778+AW778+AZ778+BC778+BF778+BI778+BL778+BO778+BR778+BU778+BX778+CA778+CD778</f>
        <v>2017</v>
      </c>
      <c r="R778" s="267">
        <v>71</v>
      </c>
      <c r="S778" s="267">
        <v>36</v>
      </c>
      <c r="U778" s="267">
        <v>11</v>
      </c>
      <c r="V778" s="267">
        <v>9</v>
      </c>
      <c r="X778" s="267">
        <v>172</v>
      </c>
      <c r="Y778" s="267">
        <v>165</v>
      </c>
      <c r="AA778" s="267">
        <v>15</v>
      </c>
      <c r="AB778" s="267">
        <v>28</v>
      </c>
      <c r="AD778" s="267">
        <v>90</v>
      </c>
      <c r="AE778" s="267">
        <v>52</v>
      </c>
      <c r="AG778" s="267">
        <v>16</v>
      </c>
      <c r="AH778" s="267">
        <v>4</v>
      </c>
      <c r="AJ778" s="267">
        <v>208</v>
      </c>
      <c r="AK778" s="267">
        <v>240</v>
      </c>
      <c r="AM778" s="267">
        <v>248</v>
      </c>
      <c r="AN778" s="267">
        <v>265</v>
      </c>
      <c r="AS778" s="267">
        <v>281</v>
      </c>
      <c r="AT778" s="267">
        <v>321</v>
      </c>
      <c r="AV778" s="267">
        <v>31</v>
      </c>
      <c r="AW778" s="267">
        <v>68</v>
      </c>
      <c r="AY778" s="267">
        <v>16</v>
      </c>
      <c r="AZ778" s="267">
        <v>16</v>
      </c>
      <c r="BB778" s="267">
        <v>56</v>
      </c>
      <c r="BC778" s="267">
        <v>57</v>
      </c>
      <c r="BE778" s="267">
        <v>46</v>
      </c>
      <c r="BF778" s="267">
        <v>67</v>
      </c>
      <c r="BH778" s="267">
        <v>533</v>
      </c>
      <c r="BI778" s="267">
        <v>559</v>
      </c>
      <c r="BK778" s="267">
        <v>27</v>
      </c>
      <c r="BL778" s="267">
        <v>18</v>
      </c>
      <c r="BO778" s="267">
        <v>12</v>
      </c>
      <c r="BQ778" s="267">
        <v>4</v>
      </c>
      <c r="BR778" s="267">
        <v>16</v>
      </c>
      <c r="BT778" s="267">
        <v>48</v>
      </c>
      <c r="BU778" s="267">
        <v>55</v>
      </c>
      <c r="BW778" s="267">
        <v>12</v>
      </c>
      <c r="BX778" s="267">
        <v>14</v>
      </c>
      <c r="BZ778" s="267">
        <v>47</v>
      </c>
      <c r="CA778" s="267">
        <v>1</v>
      </c>
      <c r="CC778" s="267">
        <v>15</v>
      </c>
      <c r="CD778" s="267">
        <v>14</v>
      </c>
    </row>
    <row r="779" spans="1:83" hidden="1" x14ac:dyDescent="0.25">
      <c r="A779" s="107"/>
      <c r="B779" s="95" t="s">
        <v>1507</v>
      </c>
      <c r="C779" s="95"/>
      <c r="D779" s="95"/>
      <c r="E779" s="282"/>
      <c r="F779" s="282"/>
      <c r="G779" s="282"/>
      <c r="H779" s="282">
        <v>1648</v>
      </c>
      <c r="I779" s="282"/>
      <c r="J779" s="282"/>
      <c r="K779" s="282"/>
      <c r="L779" s="282"/>
      <c r="M779" s="282"/>
      <c r="N779" s="282"/>
    </row>
    <row r="780" spans="1:83" hidden="1" x14ac:dyDescent="0.25">
      <c r="A780" s="107"/>
      <c r="B780" s="95" t="s">
        <v>1508</v>
      </c>
      <c r="C780" s="95"/>
      <c r="D780" s="95"/>
      <c r="E780" s="282"/>
      <c r="F780" s="282"/>
      <c r="G780" s="282"/>
      <c r="H780" s="282">
        <v>1807</v>
      </c>
      <c r="I780" s="282"/>
      <c r="J780" s="282"/>
      <c r="K780" s="282"/>
      <c r="L780" s="282"/>
      <c r="M780" s="282"/>
      <c r="N780" s="282"/>
    </row>
    <row r="781" spans="1:83" ht="30" hidden="1" x14ac:dyDescent="0.25">
      <c r="A781" s="107"/>
      <c r="B781" s="16" t="s">
        <v>1185</v>
      </c>
      <c r="C781" s="95" t="s">
        <v>1233</v>
      </c>
      <c r="D781" s="95" t="s">
        <v>950</v>
      </c>
      <c r="E781" s="282">
        <v>695</v>
      </c>
      <c r="F781" s="282">
        <v>635</v>
      </c>
      <c r="G781" s="282">
        <v>669</v>
      </c>
      <c r="H781" s="282">
        <f>H782+H783</f>
        <v>124</v>
      </c>
      <c r="I781" s="282">
        <f>I782+I783</f>
        <v>0</v>
      </c>
      <c r="J781" s="282">
        <f>J782+J783</f>
        <v>0</v>
      </c>
      <c r="K781" s="282">
        <f>K782+K783</f>
        <v>0</v>
      </c>
      <c r="L781" s="282">
        <f>L782+L783</f>
        <v>0</v>
      </c>
      <c r="M781" s="282">
        <f t="shared" ref="M781:N781" si="1329">M782+M783</f>
        <v>0</v>
      </c>
      <c r="N781" s="282">
        <f t="shared" si="1329"/>
        <v>0</v>
      </c>
      <c r="P781" s="267">
        <f>R781+U781+X781+AA781+AD781+AG781+AJ781+AM781+AP781+AS781+AV781+AY781+BB781+BE781+BH781+BK781+BN781+BQ781+BT781+BW781+BZ781+CC781</f>
        <v>439</v>
      </c>
      <c r="Q781" s="267">
        <f>S781+V781+Y781+AB781+AE781+AH781+AK781+AN781+AQ781+AT781+AW781+AZ781+BC781+BF781+BI781+BL781+BO781+BR781+BU781+BX781+CA781+CD781</f>
        <v>392</v>
      </c>
      <c r="R781" s="267">
        <v>16</v>
      </c>
      <c r="S781" s="267">
        <v>12</v>
      </c>
      <c r="U781" s="267">
        <v>26</v>
      </c>
      <c r="V781" s="267">
        <v>25</v>
      </c>
      <c r="X781" s="267">
        <v>87</v>
      </c>
      <c r="Y781" s="267">
        <v>110</v>
      </c>
      <c r="AA781" s="267">
        <v>19</v>
      </c>
      <c r="AB781" s="267">
        <v>22</v>
      </c>
      <c r="AD781" s="267">
        <v>87</v>
      </c>
      <c r="AE781" s="267">
        <v>23</v>
      </c>
      <c r="AG781" s="267">
        <v>1</v>
      </c>
      <c r="AJ781" s="267">
        <v>22</v>
      </c>
      <c r="AK781" s="267">
        <v>23</v>
      </c>
      <c r="AM781" s="267">
        <v>165</v>
      </c>
      <c r="AN781" s="267">
        <v>140</v>
      </c>
      <c r="AP781" s="267">
        <v>16</v>
      </c>
      <c r="AQ781" s="267">
        <v>37</v>
      </c>
    </row>
    <row r="782" spans="1:83" hidden="1" x14ac:dyDescent="0.25">
      <c r="A782" s="107"/>
      <c r="B782" s="95" t="s">
        <v>1507</v>
      </c>
      <c r="C782" s="95"/>
      <c r="D782" s="95"/>
      <c r="E782" s="282"/>
      <c r="F782" s="282"/>
      <c r="G782" s="282"/>
      <c r="H782" s="282">
        <v>0</v>
      </c>
      <c r="I782" s="282"/>
      <c r="J782" s="282"/>
      <c r="K782" s="282"/>
      <c r="L782" s="282"/>
      <c r="M782" s="282"/>
      <c r="N782" s="282"/>
    </row>
    <row r="783" spans="1:83" hidden="1" x14ac:dyDescent="0.25">
      <c r="A783" s="107"/>
      <c r="B783" s="95" t="s">
        <v>1508</v>
      </c>
      <c r="C783" s="95"/>
      <c r="D783" s="95"/>
      <c r="E783" s="282"/>
      <c r="F783" s="282"/>
      <c r="G783" s="282"/>
      <c r="H783" s="282">
        <v>124</v>
      </c>
      <c r="I783" s="282"/>
      <c r="J783" s="282"/>
      <c r="K783" s="282"/>
      <c r="L783" s="282"/>
      <c r="M783" s="282"/>
      <c r="N783" s="282"/>
    </row>
    <row r="784" spans="1:83" ht="180" hidden="1" x14ac:dyDescent="0.25">
      <c r="A784" s="107"/>
      <c r="B784" s="16" t="s">
        <v>226</v>
      </c>
      <c r="C784" s="95"/>
      <c r="D784" s="95"/>
      <c r="E784" s="282"/>
      <c r="F784" s="282"/>
      <c r="G784" s="282"/>
      <c r="H784" s="282"/>
      <c r="I784" s="282"/>
      <c r="J784" s="282"/>
      <c r="K784" s="282"/>
      <c r="L784" s="282"/>
      <c r="M784" s="282"/>
      <c r="N784" s="282"/>
    </row>
    <row r="785" spans="1:89" ht="30" hidden="1" x14ac:dyDescent="0.25">
      <c r="A785" s="107"/>
      <c r="B785" s="16" t="s">
        <v>1183</v>
      </c>
      <c r="C785" s="95" t="s">
        <v>1234</v>
      </c>
      <c r="D785" s="95" t="s">
        <v>950</v>
      </c>
      <c r="E785" s="282">
        <v>2</v>
      </c>
      <c r="F785" s="282">
        <v>3</v>
      </c>
      <c r="G785" s="282">
        <v>3</v>
      </c>
      <c r="H785" s="282">
        <f>H786</f>
        <v>4</v>
      </c>
      <c r="I785" s="282">
        <f>I786</f>
        <v>0</v>
      </c>
      <c r="J785" s="282">
        <f>J786</f>
        <v>0</v>
      </c>
      <c r="K785" s="282">
        <f>K786</f>
        <v>0</v>
      </c>
      <c r="L785" s="282">
        <f>L786</f>
        <v>0</v>
      </c>
      <c r="M785" s="282">
        <f t="shared" ref="M785:N785" si="1330">M786</f>
        <v>0</v>
      </c>
      <c r="N785" s="282">
        <f t="shared" si="1330"/>
        <v>0</v>
      </c>
      <c r="P785" s="267">
        <f>R785+U785+X785+AA785+AD785+AG785+AJ785+AM785+AP785+AS785+AV785+AY785+BB785+BE785+BH785+BK785+BN785+BQ785+BT785+BW785+BZ785+CC785</f>
        <v>2</v>
      </c>
      <c r="Q785" s="267">
        <f>S785+V785+Y785+AB785+AE785+AH785+AK785+AN785+AQ785+AT785+AW785+AZ785+BC785+BF785+BI785+BL785+BO785+BR785+BU785+BX785+CA785+CD785</f>
        <v>3</v>
      </c>
      <c r="BB785" s="267">
        <v>2</v>
      </c>
      <c r="BC785" s="267">
        <v>3</v>
      </c>
    </row>
    <row r="786" spans="1:89" hidden="1" x14ac:dyDescent="0.25">
      <c r="A786" s="107"/>
      <c r="B786" s="95" t="s">
        <v>1506</v>
      </c>
      <c r="C786" s="95"/>
      <c r="D786" s="95"/>
      <c r="E786" s="282"/>
      <c r="F786" s="282"/>
      <c r="G786" s="282"/>
      <c r="H786" s="282">
        <v>4</v>
      </c>
      <c r="I786" s="282"/>
      <c r="J786" s="282"/>
      <c r="K786" s="282"/>
      <c r="L786" s="282"/>
      <c r="M786" s="282"/>
      <c r="N786" s="282"/>
    </row>
    <row r="787" spans="1:89" ht="30" hidden="1" x14ac:dyDescent="0.25">
      <c r="A787" s="107"/>
      <c r="B787" s="16" t="s">
        <v>1185</v>
      </c>
      <c r="C787" s="95" t="s">
        <v>1235</v>
      </c>
      <c r="D787" s="95" t="s">
        <v>950</v>
      </c>
      <c r="E787" s="282">
        <v>0</v>
      </c>
      <c r="F787" s="282">
        <v>0</v>
      </c>
      <c r="G787" s="282">
        <v>0</v>
      </c>
      <c r="H787" s="282">
        <f>H788</f>
        <v>0</v>
      </c>
      <c r="I787" s="282">
        <f>I788</f>
        <v>0</v>
      </c>
      <c r="J787" s="282">
        <f>J788</f>
        <v>0</v>
      </c>
      <c r="K787" s="282">
        <f>K788</f>
        <v>0</v>
      </c>
      <c r="L787" s="282">
        <f>L788</f>
        <v>0</v>
      </c>
      <c r="M787" s="282">
        <f t="shared" ref="M787:N787" si="1331">M788</f>
        <v>0</v>
      </c>
      <c r="N787" s="282">
        <f t="shared" si="1331"/>
        <v>0</v>
      </c>
      <c r="P787" s="267">
        <f>R787+U787+X787+AA787+AD787+AG787+AJ787+AM787+AP787+AS787+AV787+AY787+BB787+BE787+BH787+BK787+BN787+BQ787+BT787+BW787+BZ787+CC787</f>
        <v>0</v>
      </c>
      <c r="Q787" s="267">
        <f>S787+V787+Y787+AB787+AE787+AH787+AK787+AN787+AQ787+AT787+AW787+AZ787+BC787+BF787+BI787+BL787+BO787+BR787+BU787+BX787+CA787+CD787</f>
        <v>0</v>
      </c>
    </row>
    <row r="788" spans="1:89" hidden="1" x14ac:dyDescent="0.25">
      <c r="A788" s="107"/>
      <c r="B788" s="95" t="s">
        <v>1506</v>
      </c>
      <c r="C788" s="95"/>
      <c r="D788" s="95"/>
      <c r="E788" s="282"/>
      <c r="F788" s="282"/>
      <c r="G788" s="282"/>
      <c r="H788" s="282">
        <v>0</v>
      </c>
      <c r="I788" s="282"/>
      <c r="J788" s="282"/>
      <c r="K788" s="282"/>
      <c r="L788" s="282"/>
      <c r="M788" s="282"/>
      <c r="N788" s="282"/>
    </row>
    <row r="789" spans="1:89" ht="75" hidden="1" x14ac:dyDescent="0.25">
      <c r="A789" s="107"/>
      <c r="B789" s="16" t="s">
        <v>227</v>
      </c>
      <c r="C789" s="95"/>
      <c r="D789" s="95"/>
      <c r="E789" s="282"/>
      <c r="F789" s="282"/>
      <c r="G789" s="282"/>
      <c r="H789" s="282"/>
      <c r="I789" s="282"/>
      <c r="J789" s="282"/>
      <c r="K789" s="282"/>
      <c r="L789" s="282"/>
      <c r="M789" s="282"/>
      <c r="N789" s="282"/>
    </row>
    <row r="790" spans="1:89" ht="30" hidden="1" x14ac:dyDescent="0.25">
      <c r="A790" s="107"/>
      <c r="B790" s="16" t="s">
        <v>1183</v>
      </c>
      <c r="C790" s="95" t="s">
        <v>1236</v>
      </c>
      <c r="D790" s="95" t="s">
        <v>950</v>
      </c>
      <c r="E790" s="282">
        <v>2</v>
      </c>
      <c r="F790" s="282">
        <v>3</v>
      </c>
      <c r="G790" s="282">
        <v>3</v>
      </c>
      <c r="H790" s="282">
        <f>H791+H792</f>
        <v>0</v>
      </c>
      <c r="I790" s="282">
        <f>I791+I792</f>
        <v>0</v>
      </c>
      <c r="J790" s="282">
        <f>J791+J792</f>
        <v>0</v>
      </c>
      <c r="K790" s="282">
        <f>K791+K792</f>
        <v>0</v>
      </c>
      <c r="L790" s="282">
        <f>L791+L792</f>
        <v>0</v>
      </c>
      <c r="M790" s="282">
        <f t="shared" ref="M790:N790" si="1332">M791+M792</f>
        <v>0</v>
      </c>
      <c r="N790" s="282">
        <f t="shared" si="1332"/>
        <v>0</v>
      </c>
      <c r="P790" s="267">
        <f>R790+U790+X790+AA790+AD790+AG790+AJ790+AM790+AP790+AS790+AV790+AY790+BB790+BE790+BH790+BK790+BN790+BQ790+BT790+BW790+BZ790+CC790</f>
        <v>2</v>
      </c>
      <c r="Q790" s="267">
        <f>S790+V790+Y790+AB790+AE790+AH790+AK790+AN790+AQ790+AT790+AW790+AZ790+BC790+BF790+BI790+BL790+BO790+BR790+BU790+BX790+CA790+CD790</f>
        <v>3</v>
      </c>
      <c r="BB790" s="267">
        <v>2</v>
      </c>
      <c r="BC790" s="267">
        <v>3</v>
      </c>
    </row>
    <row r="791" spans="1:89" hidden="1" x14ac:dyDescent="0.25">
      <c r="A791" s="107"/>
      <c r="B791" s="95" t="s">
        <v>1507</v>
      </c>
      <c r="C791" s="95"/>
      <c r="D791" s="95"/>
      <c r="E791" s="282"/>
      <c r="F791" s="282"/>
      <c r="G791" s="282"/>
      <c r="H791" s="282">
        <v>0</v>
      </c>
      <c r="I791" s="282"/>
      <c r="J791" s="282"/>
      <c r="K791" s="282"/>
      <c r="L791" s="282"/>
      <c r="M791" s="282"/>
      <c r="N791" s="282"/>
    </row>
    <row r="792" spans="1:89" hidden="1" x14ac:dyDescent="0.25">
      <c r="A792" s="107"/>
      <c r="B792" s="95" t="s">
        <v>1508</v>
      </c>
      <c r="C792" s="95"/>
      <c r="D792" s="95"/>
      <c r="E792" s="282"/>
      <c r="F792" s="282"/>
      <c r="G792" s="282"/>
      <c r="H792" s="282">
        <v>0</v>
      </c>
      <c r="I792" s="282"/>
      <c r="J792" s="282"/>
      <c r="K792" s="282"/>
      <c r="L792" s="282"/>
      <c r="M792" s="282"/>
      <c r="N792" s="282"/>
    </row>
    <row r="793" spans="1:89" ht="30" hidden="1" x14ac:dyDescent="0.25">
      <c r="A793" s="107"/>
      <c r="B793" s="16" t="s">
        <v>1185</v>
      </c>
      <c r="C793" s="95" t="s">
        <v>1237</v>
      </c>
      <c r="D793" s="95" t="s">
        <v>950</v>
      </c>
      <c r="E793" s="282">
        <v>0</v>
      </c>
      <c r="F793" s="282">
        <v>0</v>
      </c>
      <c r="G793" s="282">
        <v>0</v>
      </c>
      <c r="H793" s="282">
        <f>H794+H795</f>
        <v>0</v>
      </c>
      <c r="I793" s="282">
        <f>I794+I795</f>
        <v>0</v>
      </c>
      <c r="J793" s="282">
        <f>J794+J795</f>
        <v>0</v>
      </c>
      <c r="K793" s="282">
        <f>K794+K795</f>
        <v>0</v>
      </c>
      <c r="L793" s="282">
        <f>L794+L795</f>
        <v>0</v>
      </c>
      <c r="M793" s="282">
        <f t="shared" ref="M793:N793" si="1333">M794+M795</f>
        <v>0</v>
      </c>
      <c r="N793" s="282">
        <f t="shared" si="1333"/>
        <v>0</v>
      </c>
      <c r="P793" s="267">
        <f>R793+U793+X793+AA793+AD793+AG793+AJ793+AM793+AP793+AS793+AV793+AY793+BB793+BE793+BH793+BK793+BN793+BQ793+BT793+BW793+BZ793+CC793</f>
        <v>0</v>
      </c>
      <c r="Q793" s="267">
        <f>S793+V793+Y793+AB793+AE793+AH793+AK793+AN793+AQ793+AT793+AW793+AZ793+BC793+BF793+BI793+BL793+BO793+BR793+BU793+BX793+CA793+CD793</f>
        <v>0</v>
      </c>
    </row>
    <row r="794" spans="1:89" hidden="1" x14ac:dyDescent="0.25">
      <c r="A794" s="107"/>
      <c r="B794" s="95" t="s">
        <v>1507</v>
      </c>
      <c r="C794" s="95"/>
      <c r="D794" s="95"/>
      <c r="E794" s="282"/>
      <c r="F794" s="282"/>
      <c r="G794" s="282"/>
      <c r="H794" s="282">
        <v>0</v>
      </c>
      <c r="I794" s="282"/>
      <c r="J794" s="282"/>
      <c r="K794" s="282"/>
      <c r="L794" s="282"/>
      <c r="M794" s="282"/>
      <c r="N794" s="282"/>
    </row>
    <row r="795" spans="1:89" hidden="1" x14ac:dyDescent="0.25">
      <c r="A795" s="107"/>
      <c r="B795" s="95" t="s">
        <v>1508</v>
      </c>
      <c r="C795" s="95"/>
      <c r="D795" s="95"/>
      <c r="E795" s="282"/>
      <c r="F795" s="282"/>
      <c r="G795" s="282"/>
      <c r="H795" s="282">
        <v>0</v>
      </c>
      <c r="I795" s="282"/>
      <c r="J795" s="282"/>
      <c r="K795" s="282"/>
      <c r="L795" s="282"/>
      <c r="M795" s="282"/>
      <c r="N795" s="282"/>
    </row>
    <row r="796" spans="1:89" ht="75" x14ac:dyDescent="0.25">
      <c r="A796" s="95" t="s">
        <v>228</v>
      </c>
      <c r="B796" s="96" t="s">
        <v>1688</v>
      </c>
      <c r="C796" s="95"/>
      <c r="D796" s="95"/>
      <c r="E796" s="282"/>
      <c r="F796" s="282"/>
      <c r="G796" s="282"/>
      <c r="H796" s="282"/>
      <c r="I796" s="282"/>
      <c r="J796" s="282"/>
      <c r="K796" s="282"/>
      <c r="L796" s="282"/>
      <c r="M796" s="282"/>
      <c r="N796" s="282"/>
    </row>
    <row r="797" spans="1:89" x14ac:dyDescent="0.25">
      <c r="A797" s="105"/>
      <c r="B797" s="96" t="s">
        <v>1182</v>
      </c>
      <c r="C797" s="95"/>
      <c r="D797" s="95" t="s">
        <v>8</v>
      </c>
      <c r="E797" s="282"/>
      <c r="F797" s="282"/>
      <c r="G797" s="282"/>
      <c r="H797" s="282"/>
      <c r="I797" s="335">
        <f t="shared" ref="I797:K799" si="1334">I800/I803*100</f>
        <v>60.334029227557409</v>
      </c>
      <c r="J797" s="335">
        <f t="shared" si="1334"/>
        <v>75.854700854700852</v>
      </c>
      <c r="K797" s="335">
        <f t="shared" si="1334"/>
        <v>82.478632478632477</v>
      </c>
      <c r="L797" s="335">
        <f t="shared" ref="L797:M799" si="1335">L800/L803*100</f>
        <v>100</v>
      </c>
      <c r="M797" s="335">
        <f t="shared" si="1335"/>
        <v>100</v>
      </c>
      <c r="N797" s="335">
        <f t="shared" ref="N797" si="1336">N800/N803*100</f>
        <v>100</v>
      </c>
      <c r="Q797" s="335">
        <f t="shared" ref="Q797:T799" si="1337">Q800/Q803*100</f>
        <v>82.478632478632477</v>
      </c>
      <c r="R797" s="335">
        <f t="shared" si="1337"/>
        <v>83.609958506224075</v>
      </c>
      <c r="S797" s="335">
        <f t="shared" si="1337"/>
        <v>100</v>
      </c>
      <c r="T797" s="335">
        <f t="shared" si="1337"/>
        <v>100</v>
      </c>
      <c r="V797" s="335">
        <f t="shared" ref="V797:W799" si="1338">V800/V803*100</f>
        <v>56.25</v>
      </c>
      <c r="W797" s="335">
        <f t="shared" si="1338"/>
        <v>58.82352941176471</v>
      </c>
      <c r="Y797" s="335">
        <f t="shared" ref="Y797:Z799" si="1339">Y800/Y803*100</f>
        <v>76.19047619047619</v>
      </c>
      <c r="Z797" s="335">
        <f t="shared" si="1339"/>
        <v>85.714285714285708</v>
      </c>
      <c r="AB797" s="335">
        <f t="shared" ref="AB797:AC799" si="1340">AB800/AB803*100</f>
        <v>78.260869565217391</v>
      </c>
      <c r="AC797" s="335">
        <f t="shared" si="1340"/>
        <v>82.608695652173907</v>
      </c>
      <c r="AE797" s="335">
        <f t="shared" ref="AE797:AF799" si="1341">AE800/AE803*100</f>
        <v>100</v>
      </c>
      <c r="AF797" s="335">
        <f t="shared" si="1341"/>
        <v>100</v>
      </c>
      <c r="AH797" s="335">
        <f t="shared" ref="AH797:AI799" si="1342">AH800/AH803*100</f>
        <v>83.870967741935488</v>
      </c>
      <c r="AI797" s="335">
        <f t="shared" si="1342"/>
        <v>83.870967741935488</v>
      </c>
      <c r="AK797" s="335">
        <f t="shared" ref="AK797:AL799" si="1343">AK800/AK803*100</f>
        <v>26.666666666666668</v>
      </c>
      <c r="AL797" s="335">
        <f t="shared" si="1343"/>
        <v>26.666666666666668</v>
      </c>
      <c r="AN797" s="335">
        <f t="shared" ref="AN797:AO799" si="1344">AN800/AN803*100</f>
        <v>100</v>
      </c>
      <c r="AO797" s="335">
        <f t="shared" si="1344"/>
        <v>100</v>
      </c>
      <c r="AQ797" s="335">
        <f t="shared" ref="AQ797:AR799" si="1345">AQ800/AQ803*100</f>
        <v>93.548387096774192</v>
      </c>
      <c r="AR797" s="335">
        <f t="shared" si="1345"/>
        <v>81.081081081081081</v>
      </c>
      <c r="AT797" s="335">
        <f t="shared" ref="AT797:AU799" si="1346">AT800/AT803*100</f>
        <v>100</v>
      </c>
      <c r="AU797" s="335">
        <f t="shared" si="1346"/>
        <v>100</v>
      </c>
      <c r="AW797" s="335">
        <f t="shared" ref="AW797:AX799" si="1347">AW800/AW803*100</f>
        <v>100</v>
      </c>
      <c r="AX797" s="335">
        <f t="shared" si="1347"/>
        <v>87.5</v>
      </c>
      <c r="AZ797" s="335">
        <f t="shared" ref="AZ797:BA799" si="1348">AZ800/AZ803*100</f>
        <v>100</v>
      </c>
      <c r="BA797" s="335">
        <f t="shared" si="1348"/>
        <v>100</v>
      </c>
      <c r="BC797" s="335">
        <f t="shared" ref="BC797:BD799" si="1349">BC800/BC803*100</f>
        <v>76.666666666666671</v>
      </c>
      <c r="BD797" s="335">
        <f t="shared" si="1349"/>
        <v>76.666666666666671</v>
      </c>
      <c r="BF797" s="335">
        <f t="shared" ref="BF797:BG799" si="1350">BF800/BF803*100</f>
        <v>100</v>
      </c>
      <c r="BG797" s="335">
        <f t="shared" si="1350"/>
        <v>100</v>
      </c>
      <c r="BI797" s="335">
        <f t="shared" ref="BI797:BJ799" si="1351">BI800/BI803*100</f>
        <v>85.483870967741936</v>
      </c>
      <c r="BJ797" s="335">
        <f t="shared" si="1351"/>
        <v>87.301587301587304</v>
      </c>
      <c r="BL797" s="335">
        <f t="shared" ref="BL797:BM799" si="1352">BL800/BL803*100</f>
        <v>71.428571428571431</v>
      </c>
      <c r="BM797" s="335">
        <f t="shared" si="1352"/>
        <v>100</v>
      </c>
      <c r="BO797" s="335">
        <f t="shared" ref="BO797:BP799" si="1353">BO800/BO803*100</f>
        <v>25</v>
      </c>
      <c r="BP797" s="335">
        <f t="shared" si="1353"/>
        <v>37.5</v>
      </c>
      <c r="BR797" s="335">
        <f t="shared" ref="BR797:BS799" si="1354">BR800/BR803*100</f>
        <v>78.571428571428569</v>
      </c>
      <c r="BS797" s="335">
        <f t="shared" si="1354"/>
        <v>71.428571428571431</v>
      </c>
      <c r="BU797" s="335">
        <f t="shared" ref="BU797:BV799" si="1355">BU800/BU803*100</f>
        <v>100</v>
      </c>
      <c r="BV797" s="335">
        <f t="shared" si="1355"/>
        <v>100</v>
      </c>
      <c r="BX797" s="335">
        <f t="shared" ref="BX797:BY799" si="1356">BX800/BX803*100</f>
        <v>60</v>
      </c>
      <c r="BY797" s="335">
        <f t="shared" si="1356"/>
        <v>60</v>
      </c>
      <c r="CA797" s="335">
        <f t="shared" ref="CA797:CB799" si="1357">CA800/CA803*100</f>
        <v>20</v>
      </c>
      <c r="CB797" s="335">
        <f t="shared" si="1357"/>
        <v>27.27272727272727</v>
      </c>
      <c r="CD797" s="335">
        <f t="shared" ref="CD797:CE799" si="1358">CD800/CD803*100</f>
        <v>58.333333333333336</v>
      </c>
      <c r="CE797" s="335">
        <f t="shared" si="1358"/>
        <v>61.53846153846154</v>
      </c>
      <c r="CG797" s="335">
        <f t="shared" ref="CG797:CH799" si="1359">CG800/CG803*100</f>
        <v>82.758620689655174</v>
      </c>
      <c r="CH797" s="335">
        <f t="shared" si="1359"/>
        <v>93.103448275862064</v>
      </c>
      <c r="CJ797" s="335" t="e">
        <f t="shared" ref="CJ797:CK799" si="1360">CJ800/CJ803*100</f>
        <v>#DIV/0!</v>
      </c>
      <c r="CK797" s="335" t="e">
        <f t="shared" si="1360"/>
        <v>#DIV/0!</v>
      </c>
    </row>
    <row r="798" spans="1:89" x14ac:dyDescent="0.25">
      <c r="A798" s="105"/>
      <c r="B798" s="96" t="s">
        <v>1183</v>
      </c>
      <c r="C798" s="95"/>
      <c r="D798" s="95" t="s">
        <v>8</v>
      </c>
      <c r="E798" s="282"/>
      <c r="F798" s="282"/>
      <c r="G798" s="282"/>
      <c r="H798" s="282"/>
      <c r="I798" s="335">
        <f t="shared" si="1334"/>
        <v>57.8125</v>
      </c>
      <c r="J798" s="335">
        <f t="shared" si="1334"/>
        <v>71.698113207547166</v>
      </c>
      <c r="K798" s="335">
        <f t="shared" si="1334"/>
        <v>80.379746835443029</v>
      </c>
      <c r="L798" s="335">
        <f t="shared" ref="L798" si="1361">L801/L804*100</f>
        <v>100</v>
      </c>
      <c r="M798" s="335">
        <f t="shared" si="1335"/>
        <v>100</v>
      </c>
      <c r="N798" s="335">
        <f t="shared" ref="N798" si="1362">N801/N804*100</f>
        <v>100</v>
      </c>
      <c r="Q798" s="335">
        <f t="shared" si="1337"/>
        <v>80.379746835443029</v>
      </c>
      <c r="R798" s="335">
        <f t="shared" si="1337"/>
        <v>82.769230769230774</v>
      </c>
      <c r="S798" s="335">
        <f t="shared" si="1337"/>
        <v>100</v>
      </c>
      <c r="T798" s="335">
        <f t="shared" si="1337"/>
        <v>100</v>
      </c>
      <c r="V798" s="335">
        <f t="shared" si="1338"/>
        <v>66.666666666666657</v>
      </c>
      <c r="W798" s="335">
        <f t="shared" si="1338"/>
        <v>66.666666666666657</v>
      </c>
      <c r="Y798" s="335">
        <f t="shared" si="1339"/>
        <v>83.333333333333343</v>
      </c>
      <c r="Z798" s="335">
        <f t="shared" si="1339"/>
        <v>100</v>
      </c>
      <c r="AB798" s="335">
        <f t="shared" si="1340"/>
        <v>75</v>
      </c>
      <c r="AC798" s="335">
        <f t="shared" si="1340"/>
        <v>75</v>
      </c>
      <c r="AE798" s="335">
        <f t="shared" si="1341"/>
        <v>100</v>
      </c>
      <c r="AF798" s="335">
        <f t="shared" si="1341"/>
        <v>100</v>
      </c>
      <c r="AH798" s="335">
        <f t="shared" si="1342"/>
        <v>77.777777777777786</v>
      </c>
      <c r="AI798" s="335">
        <f t="shared" si="1342"/>
        <v>77.777777777777786</v>
      </c>
      <c r="AK798" s="335">
        <f t="shared" si="1343"/>
        <v>30.76923076923077</v>
      </c>
      <c r="AL798" s="335">
        <f t="shared" si="1343"/>
        <v>30.76923076923077</v>
      </c>
      <c r="AN798" s="335">
        <f t="shared" si="1344"/>
        <v>100</v>
      </c>
      <c r="AO798" s="335">
        <f t="shared" si="1344"/>
        <v>100</v>
      </c>
      <c r="AQ798" s="335" t="e">
        <f t="shared" si="1345"/>
        <v>#DIV/0!</v>
      </c>
      <c r="AR798" s="335" t="e">
        <f t="shared" si="1345"/>
        <v>#DIV/0!</v>
      </c>
      <c r="AT798" s="335">
        <f t="shared" si="1346"/>
        <v>100</v>
      </c>
      <c r="AU798" s="335">
        <f t="shared" si="1346"/>
        <v>100</v>
      </c>
      <c r="AW798" s="335">
        <f t="shared" si="1347"/>
        <v>100</v>
      </c>
      <c r="AX798" s="335">
        <f t="shared" si="1347"/>
        <v>87.5</v>
      </c>
      <c r="AZ798" s="335">
        <f t="shared" si="1348"/>
        <v>100</v>
      </c>
      <c r="BA798" s="335">
        <f t="shared" si="1348"/>
        <v>100</v>
      </c>
      <c r="BC798" s="335">
        <f t="shared" si="1349"/>
        <v>76.666666666666671</v>
      </c>
      <c r="BD798" s="335">
        <f t="shared" si="1349"/>
        <v>76.666666666666671</v>
      </c>
      <c r="BF798" s="335">
        <f t="shared" si="1350"/>
        <v>100</v>
      </c>
      <c r="BG798" s="335">
        <f t="shared" si="1350"/>
        <v>100</v>
      </c>
      <c r="BI798" s="335">
        <f t="shared" si="1351"/>
        <v>85.483870967741936</v>
      </c>
      <c r="BJ798" s="335">
        <f t="shared" si="1351"/>
        <v>87.301587301587304</v>
      </c>
      <c r="BL798" s="335">
        <f t="shared" si="1352"/>
        <v>71.428571428571431</v>
      </c>
      <c r="BM798" s="335">
        <f t="shared" si="1352"/>
        <v>100</v>
      </c>
      <c r="BO798" s="335">
        <f t="shared" si="1353"/>
        <v>25</v>
      </c>
      <c r="BP798" s="335">
        <f t="shared" si="1353"/>
        <v>37.5</v>
      </c>
      <c r="BR798" s="335">
        <f t="shared" si="1354"/>
        <v>78.571428571428569</v>
      </c>
      <c r="BS798" s="335">
        <f t="shared" si="1354"/>
        <v>71.428571428571431</v>
      </c>
      <c r="BU798" s="335">
        <f t="shared" si="1355"/>
        <v>100</v>
      </c>
      <c r="BV798" s="335">
        <f t="shared" si="1355"/>
        <v>100</v>
      </c>
      <c r="BX798" s="335">
        <f t="shared" si="1356"/>
        <v>60</v>
      </c>
      <c r="BY798" s="335">
        <f t="shared" si="1356"/>
        <v>60</v>
      </c>
      <c r="CA798" s="335">
        <f t="shared" si="1357"/>
        <v>20</v>
      </c>
      <c r="CB798" s="335">
        <f t="shared" si="1357"/>
        <v>27.27272727272727</v>
      </c>
      <c r="CD798" s="335">
        <f t="shared" si="1358"/>
        <v>58.333333333333336</v>
      </c>
      <c r="CE798" s="335">
        <f t="shared" si="1358"/>
        <v>61.53846153846154</v>
      </c>
      <c r="CG798" s="335">
        <f t="shared" si="1359"/>
        <v>79.166666666666657</v>
      </c>
      <c r="CH798" s="335">
        <f t="shared" si="1359"/>
        <v>91.666666666666657</v>
      </c>
      <c r="CJ798" s="335" t="e">
        <f t="shared" si="1360"/>
        <v>#DIV/0!</v>
      </c>
      <c r="CK798" s="335" t="e">
        <f t="shared" si="1360"/>
        <v>#DIV/0!</v>
      </c>
    </row>
    <row r="799" spans="1:89" x14ac:dyDescent="0.25">
      <c r="A799" s="105"/>
      <c r="B799" s="96" t="s">
        <v>1185</v>
      </c>
      <c r="C799" s="95"/>
      <c r="D799" s="95" t="s">
        <v>8</v>
      </c>
      <c r="E799" s="282"/>
      <c r="F799" s="282"/>
      <c r="G799" s="282"/>
      <c r="H799" s="282"/>
      <c r="I799" s="335">
        <f t="shared" si="1334"/>
        <v>65.408805031446533</v>
      </c>
      <c r="J799" s="335">
        <f t="shared" si="1334"/>
        <v>84.666666666666671</v>
      </c>
      <c r="K799" s="335">
        <f t="shared" si="1334"/>
        <v>86.842105263157904</v>
      </c>
      <c r="L799" s="335">
        <f t="shared" ref="L799" si="1363">L802/L805*100</f>
        <v>100</v>
      </c>
      <c r="M799" s="335">
        <f t="shared" si="1335"/>
        <v>100</v>
      </c>
      <c r="N799" s="335">
        <f t="shared" ref="N799" si="1364">N802/N805*100</f>
        <v>100</v>
      </c>
      <c r="Q799" s="335">
        <f t="shared" si="1337"/>
        <v>86.842105263157904</v>
      </c>
      <c r="R799" s="335">
        <f t="shared" si="1337"/>
        <v>85.350318471337587</v>
      </c>
      <c r="S799" s="335">
        <f t="shared" si="1337"/>
        <v>100</v>
      </c>
      <c r="T799" s="335">
        <f t="shared" si="1337"/>
        <v>100</v>
      </c>
      <c r="V799" s="335">
        <f t="shared" si="1338"/>
        <v>50</v>
      </c>
      <c r="W799" s="335">
        <f t="shared" si="1338"/>
        <v>54.54545454545454</v>
      </c>
      <c r="Y799" s="335">
        <f t="shared" si="1339"/>
        <v>73.333333333333329</v>
      </c>
      <c r="Z799" s="335">
        <f t="shared" si="1339"/>
        <v>80</v>
      </c>
      <c r="AB799" s="335">
        <f t="shared" si="1340"/>
        <v>78.94736842105263</v>
      </c>
      <c r="AC799" s="335">
        <f t="shared" si="1340"/>
        <v>84.210526315789465</v>
      </c>
      <c r="AE799" s="335">
        <f t="shared" si="1341"/>
        <v>100</v>
      </c>
      <c r="AF799" s="335">
        <f t="shared" si="1341"/>
        <v>100</v>
      </c>
      <c r="AH799" s="335">
        <f t="shared" si="1342"/>
        <v>86.36363636363636</v>
      </c>
      <c r="AI799" s="335">
        <f t="shared" si="1342"/>
        <v>86.36363636363636</v>
      </c>
      <c r="AK799" s="335">
        <f t="shared" si="1343"/>
        <v>0</v>
      </c>
      <c r="AL799" s="335">
        <f t="shared" si="1343"/>
        <v>0</v>
      </c>
      <c r="AN799" s="335">
        <f t="shared" si="1344"/>
        <v>100</v>
      </c>
      <c r="AO799" s="335">
        <f t="shared" si="1344"/>
        <v>100</v>
      </c>
      <c r="AQ799" s="335">
        <f t="shared" si="1345"/>
        <v>93.548387096774192</v>
      </c>
      <c r="AR799" s="335">
        <f t="shared" si="1345"/>
        <v>81.081081081081081</v>
      </c>
      <c r="AT799" s="335" t="e">
        <f t="shared" si="1346"/>
        <v>#DIV/0!</v>
      </c>
      <c r="AU799" s="335" t="e">
        <f t="shared" si="1346"/>
        <v>#DIV/0!</v>
      </c>
      <c r="AW799" s="335" t="e">
        <f t="shared" si="1347"/>
        <v>#DIV/0!</v>
      </c>
      <c r="AX799" s="335" t="e">
        <f t="shared" si="1347"/>
        <v>#DIV/0!</v>
      </c>
      <c r="AZ799" s="335" t="e">
        <f t="shared" si="1348"/>
        <v>#DIV/0!</v>
      </c>
      <c r="BA799" s="335" t="e">
        <f t="shared" si="1348"/>
        <v>#DIV/0!</v>
      </c>
      <c r="BC799" s="335" t="e">
        <f t="shared" si="1349"/>
        <v>#DIV/0!</v>
      </c>
      <c r="BD799" s="335" t="e">
        <f t="shared" si="1349"/>
        <v>#DIV/0!</v>
      </c>
      <c r="BF799" s="335" t="e">
        <f t="shared" si="1350"/>
        <v>#DIV/0!</v>
      </c>
      <c r="BG799" s="335" t="e">
        <f t="shared" si="1350"/>
        <v>#DIV/0!</v>
      </c>
      <c r="BI799" s="335" t="e">
        <f t="shared" si="1351"/>
        <v>#DIV/0!</v>
      </c>
      <c r="BJ799" s="335" t="e">
        <f t="shared" si="1351"/>
        <v>#DIV/0!</v>
      </c>
      <c r="BL799" s="335" t="e">
        <f t="shared" si="1352"/>
        <v>#DIV/0!</v>
      </c>
      <c r="BM799" s="335" t="e">
        <f t="shared" si="1352"/>
        <v>#DIV/0!</v>
      </c>
      <c r="BO799" s="335" t="e">
        <f t="shared" si="1353"/>
        <v>#DIV/0!</v>
      </c>
      <c r="BP799" s="335" t="e">
        <f t="shared" si="1353"/>
        <v>#DIV/0!</v>
      </c>
      <c r="BR799" s="335" t="e">
        <f t="shared" si="1354"/>
        <v>#DIV/0!</v>
      </c>
      <c r="BS799" s="335" t="e">
        <f t="shared" si="1354"/>
        <v>#DIV/0!</v>
      </c>
      <c r="BU799" s="335" t="e">
        <f t="shared" si="1355"/>
        <v>#DIV/0!</v>
      </c>
      <c r="BV799" s="335" t="e">
        <f t="shared" si="1355"/>
        <v>#DIV/0!</v>
      </c>
      <c r="BX799" s="335" t="e">
        <f t="shared" si="1356"/>
        <v>#DIV/0!</v>
      </c>
      <c r="BY799" s="335" t="e">
        <f t="shared" si="1356"/>
        <v>#DIV/0!</v>
      </c>
      <c r="CA799" s="335" t="e">
        <f t="shared" si="1357"/>
        <v>#DIV/0!</v>
      </c>
      <c r="CB799" s="335" t="e">
        <f t="shared" si="1357"/>
        <v>#DIV/0!</v>
      </c>
      <c r="CD799" s="335" t="e">
        <f t="shared" si="1358"/>
        <v>#DIV/0!</v>
      </c>
      <c r="CE799" s="335" t="e">
        <f t="shared" si="1358"/>
        <v>#DIV/0!</v>
      </c>
      <c r="CG799" s="335">
        <f t="shared" si="1359"/>
        <v>100</v>
      </c>
      <c r="CH799" s="335">
        <f t="shared" si="1359"/>
        <v>100</v>
      </c>
      <c r="CJ799" s="335" t="e">
        <f t="shared" si="1360"/>
        <v>#DIV/0!</v>
      </c>
      <c r="CK799" s="335" t="e">
        <f t="shared" si="1360"/>
        <v>#DIV/0!</v>
      </c>
    </row>
    <row r="800" spans="1:89" ht="30" x14ac:dyDescent="0.25">
      <c r="A800" s="105"/>
      <c r="B800" s="96" t="s">
        <v>1853</v>
      </c>
      <c r="C800" s="95"/>
      <c r="D800" s="95"/>
      <c r="E800" s="282"/>
      <c r="F800" s="282"/>
      <c r="G800" s="282"/>
      <c r="H800" s="282"/>
      <c r="I800" s="282">
        <f t="shared" ref="I800:N800" si="1365">I801+I802</f>
        <v>289</v>
      </c>
      <c r="J800" s="282">
        <f t="shared" si="1365"/>
        <v>355</v>
      </c>
      <c r="K800" s="282">
        <f t="shared" si="1365"/>
        <v>386</v>
      </c>
      <c r="L800" s="282">
        <f t="shared" si="1365"/>
        <v>18</v>
      </c>
      <c r="M800" s="282">
        <f t="shared" si="1365"/>
        <v>18</v>
      </c>
      <c r="N800" s="282">
        <f t="shared" si="1365"/>
        <v>18</v>
      </c>
      <c r="Q800" s="282">
        <f>Q801+Q802</f>
        <v>386</v>
      </c>
      <c r="R800" s="282">
        <f>R801+R802</f>
        <v>403</v>
      </c>
      <c r="S800" s="282">
        <f>S801+S802</f>
        <v>16</v>
      </c>
      <c r="T800" s="282">
        <f>T801+T802</f>
        <v>17</v>
      </c>
      <c r="V800" s="282">
        <f>V801+V802</f>
        <v>9</v>
      </c>
      <c r="W800" s="282">
        <f>W801+W802</f>
        <v>10</v>
      </c>
      <c r="Y800" s="282">
        <f>Y801+Y802</f>
        <v>16</v>
      </c>
      <c r="Z800" s="282">
        <f>Z801+Z802</f>
        <v>18</v>
      </c>
      <c r="AB800" s="282">
        <f>AB801+AB802</f>
        <v>18</v>
      </c>
      <c r="AC800" s="282">
        <f>AC801+AC802</f>
        <v>19</v>
      </c>
      <c r="AE800" s="282">
        <f>AE801+AE802</f>
        <v>29</v>
      </c>
      <c r="AF800" s="282">
        <f>AF801+AF802</f>
        <v>29</v>
      </c>
      <c r="AH800" s="282">
        <f>AH801+AH802</f>
        <v>26</v>
      </c>
      <c r="AI800" s="282">
        <f>AI801+AI802</f>
        <v>26</v>
      </c>
      <c r="AK800" s="282">
        <f>AK801+AK802</f>
        <v>4</v>
      </c>
      <c r="AL800" s="282">
        <f>AL801+AL802</f>
        <v>4</v>
      </c>
      <c r="AN800" s="282">
        <f>AN801+AN802</f>
        <v>33</v>
      </c>
      <c r="AO800" s="282">
        <f>AO801+AO802</f>
        <v>33</v>
      </c>
      <c r="AQ800" s="282">
        <f>AQ801+AQ802</f>
        <v>29</v>
      </c>
      <c r="AR800" s="282">
        <f>AR801+AR802</f>
        <v>30</v>
      </c>
      <c r="AT800" s="282">
        <f>AT801+AT802</f>
        <v>13</v>
      </c>
      <c r="AU800" s="282">
        <f>AU801+AU802</f>
        <v>13</v>
      </c>
      <c r="AW800" s="282">
        <f>AW801+AW802</f>
        <v>7</v>
      </c>
      <c r="AX800" s="282">
        <f>AX801+AX802</f>
        <v>7</v>
      </c>
      <c r="AZ800" s="282">
        <f>AZ801+AZ802</f>
        <v>12</v>
      </c>
      <c r="BA800" s="282">
        <f>BA801+BA802</f>
        <v>12</v>
      </c>
      <c r="BC800" s="282">
        <f>BC801+BC802</f>
        <v>23</v>
      </c>
      <c r="BD800" s="282">
        <f>BD801+BD802</f>
        <v>23</v>
      </c>
      <c r="BF800" s="282">
        <f>BF801+BF802</f>
        <v>35</v>
      </c>
      <c r="BG800" s="282">
        <f>BG801+BG802</f>
        <v>38</v>
      </c>
      <c r="BI800" s="282">
        <f>BI801+BI802</f>
        <v>53</v>
      </c>
      <c r="BJ800" s="282">
        <f>BJ801+BJ802</f>
        <v>55</v>
      </c>
      <c r="BL800" s="282">
        <f>BL801+BL802</f>
        <v>5</v>
      </c>
      <c r="BM800" s="282">
        <f>BM801+BM802</f>
        <v>7</v>
      </c>
      <c r="BO800" s="282">
        <f>BO801+BO802</f>
        <v>2</v>
      </c>
      <c r="BP800" s="282">
        <f>BP801+BP802</f>
        <v>3</v>
      </c>
      <c r="BR800" s="282">
        <f>BR801+BR802</f>
        <v>11</v>
      </c>
      <c r="BS800" s="282">
        <f>BS801+BS802</f>
        <v>10</v>
      </c>
      <c r="BU800" s="282">
        <f>BU801+BU802</f>
        <v>9</v>
      </c>
      <c r="BV800" s="282">
        <f>BV801+BV802</f>
        <v>8</v>
      </c>
      <c r="BX800" s="282">
        <f>BX801+BX802</f>
        <v>3</v>
      </c>
      <c r="BY800" s="282">
        <f>BY801+BY802</f>
        <v>3</v>
      </c>
      <c r="CA800" s="282">
        <f>CA801+CA802</f>
        <v>2</v>
      </c>
      <c r="CB800" s="282">
        <f>CB801+CB802</f>
        <v>3</v>
      </c>
      <c r="CD800" s="282">
        <f>CD801+CD802</f>
        <v>7</v>
      </c>
      <c r="CE800" s="282">
        <f>CE801+CE802</f>
        <v>8</v>
      </c>
      <c r="CG800" s="282">
        <f>CG801+CG802</f>
        <v>24</v>
      </c>
      <c r="CH800" s="282">
        <f>CH801+CH802</f>
        <v>27</v>
      </c>
      <c r="CJ800" s="282">
        <f>CJ801+CJ802</f>
        <v>0</v>
      </c>
      <c r="CK800" s="282">
        <f>CK801+CK802</f>
        <v>0</v>
      </c>
    </row>
    <row r="801" spans="1:89" ht="60" x14ac:dyDescent="0.25">
      <c r="A801" s="105"/>
      <c r="B801" s="96" t="s">
        <v>1183</v>
      </c>
      <c r="C801" s="312" t="s">
        <v>2755</v>
      </c>
      <c r="D801" s="95" t="s">
        <v>1763</v>
      </c>
      <c r="E801" s="282"/>
      <c r="F801" s="282"/>
      <c r="G801" s="282"/>
      <c r="H801" s="282"/>
      <c r="I801" s="282">
        <v>185</v>
      </c>
      <c r="J801" s="282">
        <v>228</v>
      </c>
      <c r="K801" s="282">
        <v>254</v>
      </c>
      <c r="L801" s="282">
        <v>5</v>
      </c>
      <c r="M801" s="282">
        <v>5</v>
      </c>
      <c r="N801" s="282">
        <v>5</v>
      </c>
      <c r="Q801" s="283">
        <f>S801+V801+Y801+AB801+AE801+AH801+AK801+AN801+AQ801+AT801+AW801+AZ801+BC801+BF801+BI801+BL801+BO801+BR801+BU801+BX801+CA801+CD801+CG801+CJ801</f>
        <v>254</v>
      </c>
      <c r="R801" s="283">
        <f>T801+W801+Z801+AC801+AF801+AI801+AL801+AO801+AR801+AU801+AX801+BA801+BD801+BG801+BJ801+BM801+BP801+BS801+BV801+BY801+CB801+CE801+CH801+CK801</f>
        <v>269</v>
      </c>
      <c r="S801" s="267">
        <v>6</v>
      </c>
      <c r="T801" s="267">
        <v>7</v>
      </c>
      <c r="V801" s="267">
        <v>4</v>
      </c>
      <c r="W801" s="267">
        <v>4</v>
      </c>
      <c r="Y801" s="267">
        <v>5</v>
      </c>
      <c r="Z801" s="267">
        <v>6</v>
      </c>
      <c r="AB801" s="267">
        <v>3</v>
      </c>
      <c r="AC801" s="267">
        <v>3</v>
      </c>
      <c r="AE801" s="267">
        <v>9</v>
      </c>
      <c r="AF801" s="267">
        <v>11</v>
      </c>
      <c r="AH801" s="267">
        <v>7</v>
      </c>
      <c r="AI801" s="267">
        <v>7</v>
      </c>
      <c r="AK801" s="267">
        <v>4</v>
      </c>
      <c r="AL801" s="267">
        <v>4</v>
      </c>
      <c r="AN801" s="267">
        <v>15</v>
      </c>
      <c r="AO801" s="267">
        <v>15</v>
      </c>
      <c r="AQ801" s="267">
        <v>0</v>
      </c>
      <c r="AR801" s="267">
        <v>0</v>
      </c>
      <c r="AT801" s="267">
        <v>13</v>
      </c>
      <c r="AU801" s="267">
        <v>13</v>
      </c>
      <c r="AW801" s="267">
        <v>7</v>
      </c>
      <c r="AX801" s="267">
        <v>7</v>
      </c>
      <c r="AZ801" s="267">
        <v>12</v>
      </c>
      <c r="BA801" s="267">
        <v>12</v>
      </c>
      <c r="BC801" s="267">
        <v>23</v>
      </c>
      <c r="BD801" s="267">
        <v>23</v>
      </c>
      <c r="BF801" s="267">
        <v>35</v>
      </c>
      <c r="BG801" s="267">
        <v>38</v>
      </c>
      <c r="BI801" s="267">
        <v>53</v>
      </c>
      <c r="BJ801" s="267">
        <v>55</v>
      </c>
      <c r="BL801" s="267">
        <v>5</v>
      </c>
      <c r="BM801" s="267">
        <v>7</v>
      </c>
      <c r="BO801" s="267">
        <v>2</v>
      </c>
      <c r="BP801" s="267">
        <v>3</v>
      </c>
      <c r="BR801" s="267">
        <v>11</v>
      </c>
      <c r="BS801" s="267">
        <v>10</v>
      </c>
      <c r="BU801" s="267">
        <v>9</v>
      </c>
      <c r="BV801" s="267">
        <v>8</v>
      </c>
      <c r="BX801" s="267">
        <v>3</v>
      </c>
      <c r="BY801" s="267">
        <v>3</v>
      </c>
      <c r="CA801" s="267">
        <v>2</v>
      </c>
      <c r="CB801" s="267">
        <v>3</v>
      </c>
      <c r="CD801" s="267">
        <v>7</v>
      </c>
      <c r="CE801" s="267">
        <v>8</v>
      </c>
      <c r="CG801" s="267">
        <v>19</v>
      </c>
      <c r="CH801" s="267">
        <v>22</v>
      </c>
      <c r="CJ801" s="267">
        <v>0</v>
      </c>
      <c r="CK801" s="267">
        <v>0</v>
      </c>
    </row>
    <row r="802" spans="1:89" ht="60" x14ac:dyDescent="0.25">
      <c r="A802" s="105"/>
      <c r="B802" s="96" t="s">
        <v>1185</v>
      </c>
      <c r="C802" s="312" t="s">
        <v>2755</v>
      </c>
      <c r="D802" s="95" t="s">
        <v>1763</v>
      </c>
      <c r="E802" s="282"/>
      <c r="F802" s="282"/>
      <c r="G802" s="282"/>
      <c r="H802" s="282"/>
      <c r="I802" s="282">
        <v>104</v>
      </c>
      <c r="J802" s="282">
        <v>127</v>
      </c>
      <c r="K802" s="282">
        <v>132</v>
      </c>
      <c r="L802" s="282">
        <v>13</v>
      </c>
      <c r="M802" s="282">
        <v>13</v>
      </c>
      <c r="N802" s="282">
        <v>13</v>
      </c>
      <c r="Q802" s="283">
        <f>S802+V802+Y802+AB802+AE802+AH802+AK802+AN802+AQ802+AT802+AW802+AZ802+BC802+BF802+BI802+BL802+BO802+BR802+BU802+BX802+CA802+CD802+CG802+CJ802</f>
        <v>132</v>
      </c>
      <c r="R802" s="283">
        <f>T802+W802+Z802+AC802+AF802+AI802+AL802+AO802+AR802+AU802+AX802+BA802+BD802+BG802+BJ802+BM802+BP802+BS802+BV802+BY802+CB802+CE802+CH802+CK802</f>
        <v>134</v>
      </c>
      <c r="S802" s="267">
        <v>10</v>
      </c>
      <c r="T802" s="267">
        <v>10</v>
      </c>
      <c r="V802" s="267">
        <v>5</v>
      </c>
      <c r="W802" s="267">
        <v>6</v>
      </c>
      <c r="Y802" s="267">
        <v>11</v>
      </c>
      <c r="Z802" s="267">
        <v>12</v>
      </c>
      <c r="AB802" s="267">
        <v>15</v>
      </c>
      <c r="AC802" s="267">
        <v>16</v>
      </c>
      <c r="AE802" s="267">
        <v>20</v>
      </c>
      <c r="AF802" s="267">
        <v>18</v>
      </c>
      <c r="AH802" s="267">
        <v>19</v>
      </c>
      <c r="AI802" s="267">
        <v>19</v>
      </c>
      <c r="AK802" s="267">
        <v>0</v>
      </c>
      <c r="AL802" s="267">
        <v>0</v>
      </c>
      <c r="AN802" s="267">
        <v>18</v>
      </c>
      <c r="AO802" s="267">
        <v>18</v>
      </c>
      <c r="AQ802" s="267">
        <v>29</v>
      </c>
      <c r="AR802" s="267">
        <v>30</v>
      </c>
      <c r="AT802" s="267">
        <v>0</v>
      </c>
      <c r="AU802" s="267">
        <v>0</v>
      </c>
      <c r="AW802" s="267">
        <v>0</v>
      </c>
      <c r="AX802" s="267">
        <v>0</v>
      </c>
      <c r="AZ802" s="267">
        <v>0</v>
      </c>
      <c r="BA802" s="267">
        <v>0</v>
      </c>
      <c r="BC802" s="267">
        <v>0</v>
      </c>
      <c r="BD802" s="267">
        <v>0</v>
      </c>
      <c r="BF802" s="267">
        <v>0</v>
      </c>
      <c r="BG802" s="267">
        <v>0</v>
      </c>
      <c r="BI802" s="267">
        <v>0</v>
      </c>
      <c r="BJ802" s="267">
        <v>0</v>
      </c>
      <c r="BL802" s="267">
        <v>0</v>
      </c>
      <c r="BM802" s="267">
        <v>0</v>
      </c>
      <c r="BO802" s="267">
        <v>0</v>
      </c>
      <c r="BP802" s="267">
        <v>0</v>
      </c>
      <c r="BR802" s="267">
        <v>0</v>
      </c>
      <c r="BS802" s="267">
        <v>0</v>
      </c>
      <c r="BU802" s="267">
        <v>0</v>
      </c>
      <c r="BV802" s="267">
        <v>0</v>
      </c>
      <c r="BX802" s="267">
        <v>0</v>
      </c>
      <c r="BY802" s="267">
        <v>0</v>
      </c>
      <c r="CA802" s="267">
        <v>0</v>
      </c>
      <c r="CB802" s="267">
        <v>0</v>
      </c>
      <c r="CD802" s="267">
        <v>0</v>
      </c>
      <c r="CE802" s="267">
        <v>0</v>
      </c>
      <c r="CG802" s="267">
        <v>5</v>
      </c>
      <c r="CH802" s="267">
        <v>5</v>
      </c>
      <c r="CJ802" s="267">
        <v>0</v>
      </c>
      <c r="CK802" s="267">
        <v>0</v>
      </c>
    </row>
    <row r="803" spans="1:89" x14ac:dyDescent="0.25">
      <c r="A803" s="105"/>
      <c r="B803" s="96" t="s">
        <v>1854</v>
      </c>
      <c r="C803" s="95"/>
      <c r="D803" s="95"/>
      <c r="E803" s="282"/>
      <c r="F803" s="282"/>
      <c r="G803" s="282"/>
      <c r="H803" s="282"/>
      <c r="I803" s="282">
        <f t="shared" ref="I803:N803" si="1366">I804+I805</f>
        <v>479</v>
      </c>
      <c r="J803" s="282">
        <f t="shared" si="1366"/>
        <v>468</v>
      </c>
      <c r="K803" s="282">
        <f t="shared" si="1366"/>
        <v>468</v>
      </c>
      <c r="L803" s="282">
        <f t="shared" si="1366"/>
        <v>18</v>
      </c>
      <c r="M803" s="282">
        <f t="shared" si="1366"/>
        <v>18</v>
      </c>
      <c r="N803" s="282">
        <f t="shared" si="1366"/>
        <v>18</v>
      </c>
      <c r="Q803" s="282">
        <f>Q804+Q805</f>
        <v>468</v>
      </c>
      <c r="R803" s="282">
        <f>R804+R805</f>
        <v>482</v>
      </c>
      <c r="S803" s="282">
        <f>S804+S805</f>
        <v>16</v>
      </c>
      <c r="T803" s="282">
        <f>T804+T805</f>
        <v>17</v>
      </c>
      <c r="V803" s="282">
        <f>V804+V805</f>
        <v>16</v>
      </c>
      <c r="W803" s="282">
        <f>W804+W805</f>
        <v>17</v>
      </c>
      <c r="Y803" s="282">
        <f>Y804+Y805</f>
        <v>21</v>
      </c>
      <c r="Z803" s="282">
        <f>Z804+Z805</f>
        <v>21</v>
      </c>
      <c r="AB803" s="282">
        <f>AB804+AB805</f>
        <v>23</v>
      </c>
      <c r="AC803" s="282">
        <f>AC804+AC805</f>
        <v>23</v>
      </c>
      <c r="AE803" s="282">
        <f>AE804+AE805</f>
        <v>29</v>
      </c>
      <c r="AF803" s="282">
        <f>AF804+AF805</f>
        <v>29</v>
      </c>
      <c r="AH803" s="282">
        <f>AH804+AH805</f>
        <v>31</v>
      </c>
      <c r="AI803" s="282">
        <f>AI804+AI805</f>
        <v>31</v>
      </c>
      <c r="AK803" s="282">
        <f>AK804+AK805</f>
        <v>15</v>
      </c>
      <c r="AL803" s="282">
        <f>AL804+AL805</f>
        <v>15</v>
      </c>
      <c r="AN803" s="282">
        <f>AN804+AN805</f>
        <v>33</v>
      </c>
      <c r="AO803" s="282">
        <f>AO804+AO805</f>
        <v>33</v>
      </c>
      <c r="AQ803" s="282">
        <f>AQ804+AQ805</f>
        <v>31</v>
      </c>
      <c r="AR803" s="282">
        <f>AR804+AR805</f>
        <v>37</v>
      </c>
      <c r="AT803" s="282">
        <f>AT804+AT805</f>
        <v>13</v>
      </c>
      <c r="AU803" s="282">
        <f>AU804+AU805</f>
        <v>13</v>
      </c>
      <c r="AW803" s="282">
        <f>AW804+AW805</f>
        <v>7</v>
      </c>
      <c r="AX803" s="282">
        <f>AX804+AX805</f>
        <v>8</v>
      </c>
      <c r="AZ803" s="282">
        <f>AZ804+AZ805</f>
        <v>12</v>
      </c>
      <c r="BA803" s="282">
        <f>BA804+BA805</f>
        <v>12</v>
      </c>
      <c r="BC803" s="282">
        <f>BC804+BC805</f>
        <v>30</v>
      </c>
      <c r="BD803" s="282">
        <f>BD804+BD805</f>
        <v>30</v>
      </c>
      <c r="BF803" s="282">
        <f>BF804+BF805</f>
        <v>35</v>
      </c>
      <c r="BG803" s="282">
        <f>BG804+BG805</f>
        <v>38</v>
      </c>
      <c r="BI803" s="282">
        <f>BI804+BI805</f>
        <v>62</v>
      </c>
      <c r="BJ803" s="282">
        <f>BJ804+BJ805</f>
        <v>63</v>
      </c>
      <c r="BL803" s="282">
        <f>BL804+BL805</f>
        <v>7</v>
      </c>
      <c r="BM803" s="282">
        <f>BM804+BM805</f>
        <v>7</v>
      </c>
      <c r="BO803" s="282">
        <f>BO804+BO805</f>
        <v>8</v>
      </c>
      <c r="BP803" s="282">
        <f>BP804+BP805</f>
        <v>8</v>
      </c>
      <c r="BR803" s="282">
        <f>BR804+BR805</f>
        <v>14</v>
      </c>
      <c r="BS803" s="282">
        <f>BS804+BS805</f>
        <v>14</v>
      </c>
      <c r="BU803" s="282">
        <f>BU804+BU805</f>
        <v>9</v>
      </c>
      <c r="BV803" s="282">
        <f>BV804+BV805</f>
        <v>8</v>
      </c>
      <c r="BX803" s="282">
        <f>BX804+BX805</f>
        <v>5</v>
      </c>
      <c r="BY803" s="282">
        <f>BY804+BY805</f>
        <v>5</v>
      </c>
      <c r="CA803" s="282">
        <f>CA804+CA805</f>
        <v>10</v>
      </c>
      <c r="CB803" s="282">
        <f>CB804+CB805</f>
        <v>11</v>
      </c>
      <c r="CD803" s="282">
        <f>CD804+CD805</f>
        <v>12</v>
      </c>
      <c r="CE803" s="282">
        <f>CE804+CE805</f>
        <v>13</v>
      </c>
      <c r="CG803" s="282">
        <f>CG804+CG805</f>
        <v>29</v>
      </c>
      <c r="CH803" s="282">
        <f>CH804+CH805</f>
        <v>29</v>
      </c>
      <c r="CJ803" s="282">
        <f>CJ804+CJ805</f>
        <v>0</v>
      </c>
      <c r="CK803" s="282">
        <f>CK804+CK805</f>
        <v>0</v>
      </c>
    </row>
    <row r="804" spans="1:89" ht="60" x14ac:dyDescent="0.25">
      <c r="A804" s="105"/>
      <c r="B804" s="96" t="s">
        <v>1183</v>
      </c>
      <c r="C804" s="312" t="s">
        <v>2756</v>
      </c>
      <c r="D804" s="95" t="s">
        <v>1763</v>
      </c>
      <c r="E804" s="282"/>
      <c r="F804" s="282"/>
      <c r="G804" s="282"/>
      <c r="H804" s="282"/>
      <c r="I804" s="282">
        <v>320</v>
      </c>
      <c r="J804" s="103">
        <f t="shared" ref="J804:K805" si="1367">J575</f>
        <v>318</v>
      </c>
      <c r="K804" s="103">
        <f t="shared" si="1367"/>
        <v>316</v>
      </c>
      <c r="L804" s="103">
        <v>5</v>
      </c>
      <c r="M804" s="103">
        <v>5</v>
      </c>
      <c r="N804" s="103">
        <v>5</v>
      </c>
      <c r="Q804" s="283">
        <f>S804+V804+Y804+AB804+AE804+AH804+AK804+AN804+AQ804+AT804+AW804+AZ804+BC804+BF804+BI804+BL804+BO804+BR804+BU804+BX804+CA804+CD804+CG804+CJ804</f>
        <v>316</v>
      </c>
      <c r="R804" s="283">
        <f>T804+W804+Z804+AC804+AF804+AI804+AL804+AO804+AR804+AU804+AX804+BA804+BD804+BG804+BJ804+BM804+BP804+BS804+BV804+BY804+CB804+CE804+CH804+CK804</f>
        <v>325</v>
      </c>
      <c r="S804" s="267">
        <f>S575</f>
        <v>6</v>
      </c>
      <c r="T804" s="267">
        <f>T575</f>
        <v>7</v>
      </c>
      <c r="V804" s="267">
        <f>V575</f>
        <v>6</v>
      </c>
      <c r="W804" s="267">
        <f>W575</f>
        <v>6</v>
      </c>
      <c r="Y804" s="267">
        <f>Y575</f>
        <v>6</v>
      </c>
      <c r="Z804" s="267">
        <f>Z575</f>
        <v>6</v>
      </c>
      <c r="AB804" s="267">
        <f>AB575</f>
        <v>4</v>
      </c>
      <c r="AC804" s="267">
        <f>AC575</f>
        <v>4</v>
      </c>
      <c r="AE804" s="267">
        <f>AE575</f>
        <v>9</v>
      </c>
      <c r="AF804" s="267">
        <f>AF575</f>
        <v>11</v>
      </c>
      <c r="AH804" s="267">
        <f>AH575</f>
        <v>9</v>
      </c>
      <c r="AI804" s="267">
        <f>AI575</f>
        <v>9</v>
      </c>
      <c r="AK804" s="267">
        <f>AK575</f>
        <v>13</v>
      </c>
      <c r="AL804" s="267">
        <f>AL575</f>
        <v>13</v>
      </c>
      <c r="AN804" s="267">
        <f>AN575</f>
        <v>15</v>
      </c>
      <c r="AO804" s="267">
        <f>AO575</f>
        <v>15</v>
      </c>
      <c r="AQ804" s="267">
        <f>AQ575</f>
        <v>0</v>
      </c>
      <c r="AR804" s="267">
        <f>AR575</f>
        <v>0</v>
      </c>
      <c r="AT804" s="267">
        <f>AT575</f>
        <v>13</v>
      </c>
      <c r="AU804" s="267">
        <f>AU575</f>
        <v>13</v>
      </c>
      <c r="AW804" s="267">
        <f>AW575</f>
        <v>7</v>
      </c>
      <c r="AX804" s="267">
        <f>AX575</f>
        <v>8</v>
      </c>
      <c r="AZ804" s="267">
        <f>AZ575</f>
        <v>12</v>
      </c>
      <c r="BA804" s="267">
        <f>BA575</f>
        <v>12</v>
      </c>
      <c r="BC804" s="267">
        <f>BC575</f>
        <v>30</v>
      </c>
      <c r="BD804" s="267">
        <f>BD575</f>
        <v>30</v>
      </c>
      <c r="BF804" s="267">
        <f>BF575</f>
        <v>35</v>
      </c>
      <c r="BG804" s="267">
        <f>BG575</f>
        <v>38</v>
      </c>
      <c r="BI804" s="267">
        <f>BI575</f>
        <v>62</v>
      </c>
      <c r="BJ804" s="267">
        <f>BJ575</f>
        <v>63</v>
      </c>
      <c r="BL804" s="267">
        <f>BL575</f>
        <v>7</v>
      </c>
      <c r="BM804" s="267">
        <f>BM575</f>
        <v>7</v>
      </c>
      <c r="BO804" s="267">
        <f>BO575</f>
        <v>8</v>
      </c>
      <c r="BP804" s="267">
        <f>BP575</f>
        <v>8</v>
      </c>
      <c r="BR804" s="267">
        <f>BR575</f>
        <v>14</v>
      </c>
      <c r="BS804" s="267">
        <f>BS575</f>
        <v>14</v>
      </c>
      <c r="BU804" s="267">
        <f>BU575</f>
        <v>9</v>
      </c>
      <c r="BV804" s="267">
        <f>BV575</f>
        <v>8</v>
      </c>
      <c r="BX804" s="267">
        <f>BX575</f>
        <v>5</v>
      </c>
      <c r="BY804" s="267">
        <f>BY575</f>
        <v>5</v>
      </c>
      <c r="CA804" s="267">
        <f>CA575</f>
        <v>10</v>
      </c>
      <c r="CB804" s="267">
        <f>CB575</f>
        <v>11</v>
      </c>
      <c r="CD804" s="267">
        <f>CD575</f>
        <v>12</v>
      </c>
      <c r="CE804" s="267">
        <f>CE575</f>
        <v>13</v>
      </c>
      <c r="CG804" s="267">
        <f>CG575</f>
        <v>24</v>
      </c>
      <c r="CH804" s="267">
        <f>CH575</f>
        <v>24</v>
      </c>
      <c r="CJ804" s="267">
        <f>CJ575</f>
        <v>0</v>
      </c>
      <c r="CK804" s="267">
        <f>CK575</f>
        <v>0</v>
      </c>
    </row>
    <row r="805" spans="1:89" ht="60" x14ac:dyDescent="0.25">
      <c r="A805" s="105"/>
      <c r="B805" s="96" t="s">
        <v>1185</v>
      </c>
      <c r="C805" s="312" t="s">
        <v>2756</v>
      </c>
      <c r="D805" s="95" t="s">
        <v>1763</v>
      </c>
      <c r="E805" s="282"/>
      <c r="F805" s="282"/>
      <c r="G805" s="282"/>
      <c r="H805" s="282"/>
      <c r="I805" s="282">
        <v>159</v>
      </c>
      <c r="J805" s="103">
        <f t="shared" si="1367"/>
        <v>150</v>
      </c>
      <c r="K805" s="103">
        <f t="shared" si="1367"/>
        <v>152</v>
      </c>
      <c r="L805" s="103">
        <v>13</v>
      </c>
      <c r="M805" s="103">
        <v>13</v>
      </c>
      <c r="N805" s="103">
        <v>13</v>
      </c>
      <c r="Q805" s="283">
        <f>S805+V805+Y805+AB805+AE805+AH805+AK805+AN805+AQ805+AT805+AW805+AZ805+BC805+BF805+BI805+BL805+BO805+BR805+BU805+BX805+CA805+CD805+CG805+CJ805</f>
        <v>152</v>
      </c>
      <c r="R805" s="283">
        <f>T805+W805+Z805+AC805+AF805+AI805+AL805+AO805+AR805+AU805+AX805+BA805+BD805+BG805+BJ805+BM805+BP805+BS805+BV805+BY805+CB805+CE805+CH805+CK805</f>
        <v>157</v>
      </c>
      <c r="S805" s="267">
        <f>S576</f>
        <v>10</v>
      </c>
      <c r="T805" s="267">
        <f>T576</f>
        <v>10</v>
      </c>
      <c r="V805" s="267">
        <f>V576</f>
        <v>10</v>
      </c>
      <c r="W805" s="267">
        <f>W576</f>
        <v>11</v>
      </c>
      <c r="Y805" s="267">
        <f>Y576</f>
        <v>15</v>
      </c>
      <c r="Z805" s="267">
        <f>Z576</f>
        <v>15</v>
      </c>
      <c r="AB805" s="267">
        <f>AB576</f>
        <v>19</v>
      </c>
      <c r="AC805" s="267">
        <f>AC576</f>
        <v>19</v>
      </c>
      <c r="AE805" s="267">
        <f>AE576</f>
        <v>20</v>
      </c>
      <c r="AF805" s="267">
        <f>AF576</f>
        <v>18</v>
      </c>
      <c r="AH805" s="267">
        <f>AH576</f>
        <v>22</v>
      </c>
      <c r="AI805" s="267">
        <f>AI576</f>
        <v>22</v>
      </c>
      <c r="AK805" s="267">
        <f>AK576</f>
        <v>2</v>
      </c>
      <c r="AL805" s="267">
        <f>AL576</f>
        <v>2</v>
      </c>
      <c r="AN805" s="267">
        <f>AN576</f>
        <v>18</v>
      </c>
      <c r="AO805" s="267">
        <f>AO576</f>
        <v>18</v>
      </c>
      <c r="AQ805" s="267">
        <f>AQ576</f>
        <v>31</v>
      </c>
      <c r="AR805" s="267">
        <f>AR576</f>
        <v>37</v>
      </c>
      <c r="AT805" s="267">
        <f>AT576</f>
        <v>0</v>
      </c>
      <c r="AU805" s="267">
        <f>AU576</f>
        <v>0</v>
      </c>
      <c r="AW805" s="267">
        <f>AW576</f>
        <v>0</v>
      </c>
      <c r="AX805" s="267">
        <f>AX576</f>
        <v>0</v>
      </c>
      <c r="AZ805" s="267">
        <f>AZ576</f>
        <v>0</v>
      </c>
      <c r="BA805" s="267">
        <f>BA576</f>
        <v>0</v>
      </c>
      <c r="BC805" s="267">
        <f>BC576</f>
        <v>0</v>
      </c>
      <c r="BD805" s="267">
        <f>BD576</f>
        <v>0</v>
      </c>
      <c r="BF805" s="267">
        <f>BF576</f>
        <v>0</v>
      </c>
      <c r="BG805" s="267">
        <f>BG576</f>
        <v>0</v>
      </c>
      <c r="BI805" s="267">
        <f>BI576</f>
        <v>0</v>
      </c>
      <c r="BJ805" s="267">
        <f>BJ576</f>
        <v>0</v>
      </c>
      <c r="BL805" s="267">
        <f>BL576</f>
        <v>0</v>
      </c>
      <c r="BM805" s="267">
        <f>BM576</f>
        <v>0</v>
      </c>
      <c r="BO805" s="267">
        <f>BO576</f>
        <v>0</v>
      </c>
      <c r="BP805" s="267">
        <f>BP576</f>
        <v>0</v>
      </c>
      <c r="BR805" s="267">
        <f>BR576</f>
        <v>0</v>
      </c>
      <c r="BS805" s="267">
        <f>BS576</f>
        <v>0</v>
      </c>
      <c r="BU805" s="267">
        <f>BU576</f>
        <v>0</v>
      </c>
      <c r="BV805" s="267">
        <f>BV576</f>
        <v>0</v>
      </c>
      <c r="BX805" s="267">
        <f>BX576</f>
        <v>0</v>
      </c>
      <c r="BY805" s="267">
        <f>BY576</f>
        <v>0</v>
      </c>
      <c r="CA805" s="267">
        <f>CA576</f>
        <v>0</v>
      </c>
      <c r="CB805" s="267">
        <f>CB576</f>
        <v>0</v>
      </c>
      <c r="CD805" s="267">
        <f>CD576</f>
        <v>0</v>
      </c>
      <c r="CE805" s="267">
        <f>CE576</f>
        <v>0</v>
      </c>
      <c r="CG805" s="267">
        <f>CG576</f>
        <v>5</v>
      </c>
      <c r="CH805" s="267">
        <f>CH576</f>
        <v>5</v>
      </c>
      <c r="CJ805" s="267">
        <f>CJ576</f>
        <v>0</v>
      </c>
      <c r="CK805" s="267">
        <f>CK576</f>
        <v>0</v>
      </c>
    </row>
    <row r="806" spans="1:89" x14ac:dyDescent="0.25">
      <c r="A806" s="105"/>
      <c r="B806" s="96" t="s">
        <v>1302</v>
      </c>
      <c r="C806" s="95"/>
      <c r="D806" s="95" t="s">
        <v>8</v>
      </c>
      <c r="E806" s="282"/>
      <c r="F806" s="282"/>
      <c r="G806" s="282"/>
      <c r="H806" s="282"/>
      <c r="I806" s="335">
        <f t="shared" ref="I806:K808" si="1368">I809/I812*100</f>
        <v>33.333333333333329</v>
      </c>
      <c r="J806" s="335">
        <f t="shared" si="1368"/>
        <v>33.333333333333329</v>
      </c>
      <c r="K806" s="335">
        <f t="shared" si="1368"/>
        <v>83.333333333333343</v>
      </c>
      <c r="L806" s="335" t="e">
        <f t="shared" ref="L806:M808" si="1369">L809/L812*100</f>
        <v>#DIV/0!</v>
      </c>
      <c r="M806" s="335" t="e">
        <f t="shared" si="1369"/>
        <v>#DIV/0!</v>
      </c>
      <c r="N806" s="335" t="e">
        <f t="shared" ref="N806" si="1370">N809/N812*100</f>
        <v>#DIV/0!</v>
      </c>
      <c r="Q806" s="335">
        <f t="shared" ref="Q806:T808" si="1371">Q809/Q812*100</f>
        <v>83.333333333333343</v>
      </c>
      <c r="R806" s="335">
        <f t="shared" si="1371"/>
        <v>83.333333333333343</v>
      </c>
      <c r="S806" s="335" t="e">
        <f t="shared" si="1371"/>
        <v>#DIV/0!</v>
      </c>
      <c r="T806" s="335" t="e">
        <f t="shared" si="1371"/>
        <v>#DIV/0!</v>
      </c>
      <c r="V806" s="335" t="e">
        <f t="shared" ref="V806:W808" si="1372">V809/V812*100</f>
        <v>#DIV/0!</v>
      </c>
      <c r="W806" s="335" t="e">
        <f t="shared" si="1372"/>
        <v>#DIV/0!</v>
      </c>
      <c r="Y806" s="335" t="e">
        <f t="shared" ref="Y806:Z808" si="1373">Y809/Y812*100</f>
        <v>#DIV/0!</v>
      </c>
      <c r="Z806" s="335" t="e">
        <f t="shared" si="1373"/>
        <v>#DIV/0!</v>
      </c>
      <c r="AB806" s="335" t="e">
        <f t="shared" ref="AB806:AC808" si="1374">AB809/AB812*100</f>
        <v>#DIV/0!</v>
      </c>
      <c r="AC806" s="335" t="e">
        <f t="shared" si="1374"/>
        <v>#DIV/0!</v>
      </c>
      <c r="AE806" s="335" t="e">
        <f t="shared" ref="AE806:AF808" si="1375">AE809/AE812*100</f>
        <v>#DIV/0!</v>
      </c>
      <c r="AF806" s="335" t="e">
        <f t="shared" si="1375"/>
        <v>#DIV/0!</v>
      </c>
      <c r="AH806" s="335" t="e">
        <f t="shared" ref="AH806:AI808" si="1376">AH809/AH812*100</f>
        <v>#DIV/0!</v>
      </c>
      <c r="AI806" s="335" t="e">
        <f t="shared" si="1376"/>
        <v>#DIV/0!</v>
      </c>
      <c r="AK806" s="335" t="e">
        <f t="shared" ref="AK806:AL808" si="1377">AK809/AK812*100</f>
        <v>#DIV/0!</v>
      </c>
      <c r="AL806" s="335" t="e">
        <f t="shared" si="1377"/>
        <v>#DIV/0!</v>
      </c>
      <c r="AN806" s="335" t="e">
        <f t="shared" ref="AN806:AO808" si="1378">AN809/AN812*100</f>
        <v>#DIV/0!</v>
      </c>
      <c r="AO806" s="335" t="e">
        <f t="shared" si="1378"/>
        <v>#DIV/0!</v>
      </c>
      <c r="AQ806" s="335" t="e">
        <f t="shared" ref="AQ806:AR808" si="1379">AQ809/AQ812*100</f>
        <v>#DIV/0!</v>
      </c>
      <c r="AR806" s="335" t="e">
        <f t="shared" si="1379"/>
        <v>#DIV/0!</v>
      </c>
      <c r="AT806" s="335" t="e">
        <f t="shared" ref="AT806:AU808" si="1380">AT809/AT812*100</f>
        <v>#DIV/0!</v>
      </c>
      <c r="AU806" s="335" t="e">
        <f t="shared" si="1380"/>
        <v>#DIV/0!</v>
      </c>
      <c r="AW806" s="335" t="e">
        <f t="shared" ref="AW806:AX808" si="1381">AW809/AW812*100</f>
        <v>#DIV/0!</v>
      </c>
      <c r="AX806" s="335" t="e">
        <f t="shared" si="1381"/>
        <v>#DIV/0!</v>
      </c>
      <c r="AZ806" s="335" t="e">
        <f t="shared" ref="AZ806:BA808" si="1382">AZ809/AZ812*100</f>
        <v>#DIV/0!</v>
      </c>
      <c r="BA806" s="335" t="e">
        <f t="shared" si="1382"/>
        <v>#DIV/0!</v>
      </c>
      <c r="BC806" s="335">
        <f t="shared" ref="BC806:BD808" si="1383">BC809/BC812*100</f>
        <v>0</v>
      </c>
      <c r="BD806" s="335">
        <f t="shared" si="1383"/>
        <v>0</v>
      </c>
      <c r="BF806" s="335">
        <f t="shared" ref="BF806:BG808" si="1384">BF809/BF812*100</f>
        <v>100</v>
      </c>
      <c r="BG806" s="335">
        <f t="shared" si="1384"/>
        <v>100</v>
      </c>
      <c r="BI806" s="335">
        <f t="shared" ref="BI806:BJ808" si="1385">BI809/BI812*100</f>
        <v>100</v>
      </c>
      <c r="BJ806" s="335">
        <f t="shared" si="1385"/>
        <v>100</v>
      </c>
      <c r="BL806" s="335" t="e">
        <f t="shared" ref="BL806:BM808" si="1386">BL809/BL812*100</f>
        <v>#DIV/0!</v>
      </c>
      <c r="BM806" s="335" t="e">
        <f t="shared" si="1386"/>
        <v>#DIV/0!</v>
      </c>
      <c r="BO806" s="335" t="e">
        <f t="shared" ref="BO806:BP808" si="1387">BO809/BO812*100</f>
        <v>#DIV/0!</v>
      </c>
      <c r="BP806" s="335" t="e">
        <f t="shared" si="1387"/>
        <v>#DIV/0!</v>
      </c>
      <c r="BR806" s="335" t="e">
        <f t="shared" ref="BR806:BS808" si="1388">BR809/BR812*100</f>
        <v>#DIV/0!</v>
      </c>
      <c r="BS806" s="335" t="e">
        <f t="shared" si="1388"/>
        <v>#DIV/0!</v>
      </c>
      <c r="BU806" s="335" t="e">
        <f t="shared" ref="BU806:BV808" si="1389">BU809/BU812*100</f>
        <v>#DIV/0!</v>
      </c>
      <c r="BV806" s="335" t="e">
        <f t="shared" si="1389"/>
        <v>#DIV/0!</v>
      </c>
      <c r="BX806" s="335" t="e">
        <f t="shared" ref="BX806:BY808" si="1390">BX809/BX812*100</f>
        <v>#DIV/0!</v>
      </c>
      <c r="BY806" s="335" t="e">
        <f t="shared" si="1390"/>
        <v>#DIV/0!</v>
      </c>
      <c r="CA806" s="335" t="e">
        <f t="shared" ref="CA806:CB808" si="1391">CA809/CA812*100</f>
        <v>#DIV/0!</v>
      </c>
      <c r="CB806" s="335" t="e">
        <f t="shared" si="1391"/>
        <v>#DIV/0!</v>
      </c>
      <c r="CD806" s="335">
        <f t="shared" ref="CD806:CE808" si="1392">CD809/CD812*100</f>
        <v>100</v>
      </c>
      <c r="CE806" s="335">
        <f t="shared" si="1392"/>
        <v>100</v>
      </c>
      <c r="CG806" s="335" t="e">
        <f t="shared" ref="CG806:CH808" si="1393">CG809/CG812*100</f>
        <v>#DIV/0!</v>
      </c>
      <c r="CH806" s="335" t="e">
        <f t="shared" si="1393"/>
        <v>#DIV/0!</v>
      </c>
      <c r="CJ806" s="335" t="e">
        <f t="shared" ref="CJ806:CK808" si="1394">CJ809/CJ812*100</f>
        <v>#DIV/0!</v>
      </c>
      <c r="CK806" s="335" t="e">
        <f t="shared" si="1394"/>
        <v>#DIV/0!</v>
      </c>
    </row>
    <row r="807" spans="1:89" x14ac:dyDescent="0.25">
      <c r="A807" s="105"/>
      <c r="B807" s="96" t="s">
        <v>1303</v>
      </c>
      <c r="C807" s="95"/>
      <c r="D807" s="95" t="s">
        <v>8</v>
      </c>
      <c r="E807" s="282"/>
      <c r="F807" s="282"/>
      <c r="G807" s="282"/>
      <c r="H807" s="282"/>
      <c r="I807" s="335">
        <f t="shared" si="1368"/>
        <v>33.333333333333329</v>
      </c>
      <c r="J807" s="335">
        <f t="shared" si="1368"/>
        <v>33.333333333333329</v>
      </c>
      <c r="K807" s="335">
        <f t="shared" si="1368"/>
        <v>83.333333333333343</v>
      </c>
      <c r="L807" s="335" t="e">
        <f t="shared" ref="L807" si="1395">L810/L813*100</f>
        <v>#DIV/0!</v>
      </c>
      <c r="M807" s="335" t="e">
        <f t="shared" si="1369"/>
        <v>#DIV/0!</v>
      </c>
      <c r="N807" s="335" t="e">
        <f t="shared" ref="N807" si="1396">N810/N813*100</f>
        <v>#DIV/0!</v>
      </c>
      <c r="Q807" s="335">
        <f t="shared" si="1371"/>
        <v>83.333333333333343</v>
      </c>
      <c r="R807" s="335">
        <f t="shared" si="1371"/>
        <v>83.333333333333343</v>
      </c>
      <c r="S807" s="335" t="e">
        <f t="shared" si="1371"/>
        <v>#DIV/0!</v>
      </c>
      <c r="T807" s="335" t="e">
        <f t="shared" si="1371"/>
        <v>#DIV/0!</v>
      </c>
      <c r="V807" s="335" t="e">
        <f t="shared" si="1372"/>
        <v>#DIV/0!</v>
      </c>
      <c r="W807" s="335" t="e">
        <f t="shared" si="1372"/>
        <v>#DIV/0!</v>
      </c>
      <c r="Y807" s="335" t="e">
        <f t="shared" si="1373"/>
        <v>#DIV/0!</v>
      </c>
      <c r="Z807" s="335" t="e">
        <f t="shared" si="1373"/>
        <v>#DIV/0!</v>
      </c>
      <c r="AB807" s="335" t="e">
        <f t="shared" si="1374"/>
        <v>#DIV/0!</v>
      </c>
      <c r="AC807" s="335" t="e">
        <f t="shared" si="1374"/>
        <v>#DIV/0!</v>
      </c>
      <c r="AE807" s="335" t="e">
        <f t="shared" si="1375"/>
        <v>#DIV/0!</v>
      </c>
      <c r="AF807" s="335" t="e">
        <f t="shared" si="1375"/>
        <v>#DIV/0!</v>
      </c>
      <c r="AH807" s="335" t="e">
        <f t="shared" si="1376"/>
        <v>#DIV/0!</v>
      </c>
      <c r="AI807" s="335" t="e">
        <f t="shared" si="1376"/>
        <v>#DIV/0!</v>
      </c>
      <c r="AK807" s="335" t="e">
        <f t="shared" si="1377"/>
        <v>#DIV/0!</v>
      </c>
      <c r="AL807" s="335" t="e">
        <f t="shared" si="1377"/>
        <v>#DIV/0!</v>
      </c>
      <c r="AN807" s="335" t="e">
        <f t="shared" si="1378"/>
        <v>#DIV/0!</v>
      </c>
      <c r="AO807" s="335" t="e">
        <f t="shared" si="1378"/>
        <v>#DIV/0!</v>
      </c>
      <c r="AQ807" s="335" t="e">
        <f t="shared" si="1379"/>
        <v>#DIV/0!</v>
      </c>
      <c r="AR807" s="335" t="e">
        <f t="shared" si="1379"/>
        <v>#DIV/0!</v>
      </c>
      <c r="AT807" s="335" t="e">
        <f t="shared" si="1380"/>
        <v>#DIV/0!</v>
      </c>
      <c r="AU807" s="335" t="e">
        <f t="shared" si="1380"/>
        <v>#DIV/0!</v>
      </c>
      <c r="AW807" s="335" t="e">
        <f t="shared" si="1381"/>
        <v>#DIV/0!</v>
      </c>
      <c r="AX807" s="335" t="e">
        <f t="shared" si="1381"/>
        <v>#DIV/0!</v>
      </c>
      <c r="AZ807" s="335" t="e">
        <f t="shared" si="1382"/>
        <v>#DIV/0!</v>
      </c>
      <c r="BA807" s="335" t="e">
        <f t="shared" si="1382"/>
        <v>#DIV/0!</v>
      </c>
      <c r="BC807" s="335">
        <f t="shared" si="1383"/>
        <v>0</v>
      </c>
      <c r="BD807" s="335">
        <f t="shared" si="1383"/>
        <v>0</v>
      </c>
      <c r="BF807" s="335">
        <f t="shared" si="1384"/>
        <v>100</v>
      </c>
      <c r="BG807" s="335">
        <f t="shared" si="1384"/>
        <v>100</v>
      </c>
      <c r="BI807" s="335">
        <f t="shared" si="1385"/>
        <v>100</v>
      </c>
      <c r="BJ807" s="335">
        <f t="shared" si="1385"/>
        <v>100</v>
      </c>
      <c r="BL807" s="335" t="e">
        <f t="shared" si="1386"/>
        <v>#DIV/0!</v>
      </c>
      <c r="BM807" s="335" t="e">
        <f t="shared" si="1386"/>
        <v>#DIV/0!</v>
      </c>
      <c r="BO807" s="335" t="e">
        <f t="shared" si="1387"/>
        <v>#DIV/0!</v>
      </c>
      <c r="BP807" s="335" t="e">
        <f t="shared" si="1387"/>
        <v>#DIV/0!</v>
      </c>
      <c r="BR807" s="335" t="e">
        <f t="shared" si="1388"/>
        <v>#DIV/0!</v>
      </c>
      <c r="BS807" s="335" t="e">
        <f t="shared" si="1388"/>
        <v>#DIV/0!</v>
      </c>
      <c r="BU807" s="335" t="e">
        <f t="shared" si="1389"/>
        <v>#DIV/0!</v>
      </c>
      <c r="BV807" s="335" t="e">
        <f t="shared" si="1389"/>
        <v>#DIV/0!</v>
      </c>
      <c r="BX807" s="335" t="e">
        <f t="shared" si="1390"/>
        <v>#DIV/0!</v>
      </c>
      <c r="BY807" s="335" t="e">
        <f t="shared" si="1390"/>
        <v>#DIV/0!</v>
      </c>
      <c r="CA807" s="335" t="e">
        <f t="shared" si="1391"/>
        <v>#DIV/0!</v>
      </c>
      <c r="CB807" s="335" t="e">
        <f t="shared" si="1391"/>
        <v>#DIV/0!</v>
      </c>
      <c r="CD807" s="335">
        <f t="shared" si="1392"/>
        <v>100</v>
      </c>
      <c r="CE807" s="335">
        <f t="shared" si="1392"/>
        <v>100</v>
      </c>
      <c r="CG807" s="335" t="e">
        <f t="shared" si="1393"/>
        <v>#DIV/0!</v>
      </c>
      <c r="CH807" s="335" t="e">
        <f t="shared" si="1393"/>
        <v>#DIV/0!</v>
      </c>
      <c r="CJ807" s="335" t="e">
        <f t="shared" si="1394"/>
        <v>#DIV/0!</v>
      </c>
      <c r="CK807" s="335" t="e">
        <f t="shared" si="1394"/>
        <v>#DIV/0!</v>
      </c>
    </row>
    <row r="808" spans="1:89" x14ac:dyDescent="0.25">
      <c r="A808" s="105"/>
      <c r="B808" s="96" t="s">
        <v>1304</v>
      </c>
      <c r="C808" s="95"/>
      <c r="D808" s="95" t="s">
        <v>8</v>
      </c>
      <c r="E808" s="282"/>
      <c r="F808" s="282"/>
      <c r="G808" s="282"/>
      <c r="H808" s="282"/>
      <c r="I808" s="335" t="e">
        <f t="shared" si="1368"/>
        <v>#DIV/0!</v>
      </c>
      <c r="J808" s="335" t="e">
        <f t="shared" si="1368"/>
        <v>#DIV/0!</v>
      </c>
      <c r="K808" s="335" t="e">
        <f t="shared" si="1368"/>
        <v>#DIV/0!</v>
      </c>
      <c r="L808" s="335" t="e">
        <f t="shared" ref="L808" si="1397">L811/L814*100</f>
        <v>#DIV/0!</v>
      </c>
      <c r="M808" s="335" t="e">
        <f t="shared" si="1369"/>
        <v>#DIV/0!</v>
      </c>
      <c r="N808" s="335" t="e">
        <f t="shared" ref="N808" si="1398">N811/N814*100</f>
        <v>#DIV/0!</v>
      </c>
      <c r="Q808" s="335" t="e">
        <f t="shared" si="1371"/>
        <v>#DIV/0!</v>
      </c>
      <c r="R808" s="335" t="e">
        <f t="shared" si="1371"/>
        <v>#DIV/0!</v>
      </c>
      <c r="S808" s="335" t="e">
        <f t="shared" si="1371"/>
        <v>#DIV/0!</v>
      </c>
      <c r="T808" s="335" t="e">
        <f t="shared" si="1371"/>
        <v>#DIV/0!</v>
      </c>
      <c r="V808" s="335" t="e">
        <f t="shared" si="1372"/>
        <v>#DIV/0!</v>
      </c>
      <c r="W808" s="335" t="e">
        <f t="shared" si="1372"/>
        <v>#DIV/0!</v>
      </c>
      <c r="Y808" s="335" t="e">
        <f t="shared" si="1373"/>
        <v>#DIV/0!</v>
      </c>
      <c r="Z808" s="335" t="e">
        <f t="shared" si="1373"/>
        <v>#DIV/0!</v>
      </c>
      <c r="AB808" s="335" t="e">
        <f t="shared" si="1374"/>
        <v>#DIV/0!</v>
      </c>
      <c r="AC808" s="335" t="e">
        <f t="shared" si="1374"/>
        <v>#DIV/0!</v>
      </c>
      <c r="AE808" s="335" t="e">
        <f t="shared" si="1375"/>
        <v>#DIV/0!</v>
      </c>
      <c r="AF808" s="335" t="e">
        <f t="shared" si="1375"/>
        <v>#DIV/0!</v>
      </c>
      <c r="AH808" s="335" t="e">
        <f t="shared" si="1376"/>
        <v>#DIV/0!</v>
      </c>
      <c r="AI808" s="335" t="e">
        <f t="shared" si="1376"/>
        <v>#DIV/0!</v>
      </c>
      <c r="AK808" s="335" t="e">
        <f t="shared" si="1377"/>
        <v>#DIV/0!</v>
      </c>
      <c r="AL808" s="335" t="e">
        <f t="shared" si="1377"/>
        <v>#DIV/0!</v>
      </c>
      <c r="AN808" s="335" t="e">
        <f t="shared" si="1378"/>
        <v>#DIV/0!</v>
      </c>
      <c r="AO808" s="335" t="e">
        <f t="shared" si="1378"/>
        <v>#DIV/0!</v>
      </c>
      <c r="AQ808" s="335" t="e">
        <f t="shared" si="1379"/>
        <v>#DIV/0!</v>
      </c>
      <c r="AR808" s="335" t="e">
        <f t="shared" si="1379"/>
        <v>#DIV/0!</v>
      </c>
      <c r="AT808" s="335" t="e">
        <f t="shared" si="1380"/>
        <v>#DIV/0!</v>
      </c>
      <c r="AU808" s="335" t="e">
        <f t="shared" si="1380"/>
        <v>#DIV/0!</v>
      </c>
      <c r="AW808" s="335" t="e">
        <f t="shared" si="1381"/>
        <v>#DIV/0!</v>
      </c>
      <c r="AX808" s="335" t="e">
        <f t="shared" si="1381"/>
        <v>#DIV/0!</v>
      </c>
      <c r="AZ808" s="335" t="e">
        <f t="shared" si="1382"/>
        <v>#DIV/0!</v>
      </c>
      <c r="BA808" s="335" t="e">
        <f t="shared" si="1382"/>
        <v>#DIV/0!</v>
      </c>
      <c r="BC808" s="335" t="e">
        <f t="shared" si="1383"/>
        <v>#DIV/0!</v>
      </c>
      <c r="BD808" s="335" t="e">
        <f t="shared" si="1383"/>
        <v>#DIV/0!</v>
      </c>
      <c r="BF808" s="335" t="e">
        <f t="shared" si="1384"/>
        <v>#DIV/0!</v>
      </c>
      <c r="BG808" s="335" t="e">
        <f t="shared" si="1384"/>
        <v>#DIV/0!</v>
      </c>
      <c r="BI808" s="335" t="e">
        <f t="shared" si="1385"/>
        <v>#DIV/0!</v>
      </c>
      <c r="BJ808" s="335" t="e">
        <f t="shared" si="1385"/>
        <v>#DIV/0!</v>
      </c>
      <c r="BL808" s="335" t="e">
        <f t="shared" si="1386"/>
        <v>#DIV/0!</v>
      </c>
      <c r="BM808" s="335" t="e">
        <f t="shared" si="1386"/>
        <v>#DIV/0!</v>
      </c>
      <c r="BO808" s="335" t="e">
        <f t="shared" si="1387"/>
        <v>#DIV/0!</v>
      </c>
      <c r="BP808" s="335" t="e">
        <f t="shared" si="1387"/>
        <v>#DIV/0!</v>
      </c>
      <c r="BR808" s="335" t="e">
        <f t="shared" si="1388"/>
        <v>#DIV/0!</v>
      </c>
      <c r="BS808" s="335" t="e">
        <f t="shared" si="1388"/>
        <v>#DIV/0!</v>
      </c>
      <c r="BU808" s="335" t="e">
        <f t="shared" si="1389"/>
        <v>#DIV/0!</v>
      </c>
      <c r="BV808" s="335" t="e">
        <f t="shared" si="1389"/>
        <v>#DIV/0!</v>
      </c>
      <c r="BX808" s="335" t="e">
        <f t="shared" si="1390"/>
        <v>#DIV/0!</v>
      </c>
      <c r="BY808" s="335" t="e">
        <f t="shared" si="1390"/>
        <v>#DIV/0!</v>
      </c>
      <c r="CA808" s="335" t="e">
        <f t="shared" si="1391"/>
        <v>#DIV/0!</v>
      </c>
      <c r="CB808" s="335" t="e">
        <f t="shared" si="1391"/>
        <v>#DIV/0!</v>
      </c>
      <c r="CD808" s="335" t="e">
        <f t="shared" si="1392"/>
        <v>#DIV/0!</v>
      </c>
      <c r="CE808" s="335" t="e">
        <f t="shared" si="1392"/>
        <v>#DIV/0!</v>
      </c>
      <c r="CG808" s="335" t="e">
        <f t="shared" si="1393"/>
        <v>#DIV/0!</v>
      </c>
      <c r="CH808" s="335" t="e">
        <f t="shared" si="1393"/>
        <v>#DIV/0!</v>
      </c>
      <c r="CJ808" s="335" t="e">
        <f t="shared" si="1394"/>
        <v>#DIV/0!</v>
      </c>
      <c r="CK808" s="335" t="e">
        <f t="shared" si="1394"/>
        <v>#DIV/0!</v>
      </c>
    </row>
    <row r="809" spans="1:89" ht="30" x14ac:dyDescent="0.25">
      <c r="A809" s="105"/>
      <c r="B809" s="96" t="s">
        <v>1853</v>
      </c>
      <c r="C809" s="95"/>
      <c r="D809" s="95"/>
      <c r="E809" s="282"/>
      <c r="F809" s="282"/>
      <c r="G809" s="282"/>
      <c r="H809" s="282"/>
      <c r="I809" s="282">
        <f t="shared" ref="I809:N809" si="1399">I810+I811</f>
        <v>2</v>
      </c>
      <c r="J809" s="282">
        <f t="shared" si="1399"/>
        <v>2</v>
      </c>
      <c r="K809" s="282">
        <f t="shared" si="1399"/>
        <v>5</v>
      </c>
      <c r="L809" s="282">
        <f t="shared" si="1399"/>
        <v>0</v>
      </c>
      <c r="M809" s="282">
        <f t="shared" si="1399"/>
        <v>0</v>
      </c>
      <c r="N809" s="282">
        <f t="shared" si="1399"/>
        <v>0</v>
      </c>
      <c r="Q809" s="282">
        <f>Q810+Q811</f>
        <v>5</v>
      </c>
      <c r="R809" s="282">
        <f>R810+R811</f>
        <v>5</v>
      </c>
      <c r="S809" s="282">
        <f>S810+S811</f>
        <v>0</v>
      </c>
      <c r="T809" s="282">
        <f>T810+T811</f>
        <v>0</v>
      </c>
      <c r="V809" s="282">
        <f>V810+V811</f>
        <v>0</v>
      </c>
      <c r="W809" s="282">
        <f>W810+W811</f>
        <v>0</v>
      </c>
      <c r="Y809" s="282">
        <f>Y810+Y811</f>
        <v>0</v>
      </c>
      <c r="Z809" s="282">
        <f>Z810+Z811</f>
        <v>0</v>
      </c>
      <c r="AB809" s="282">
        <f>AB810+AB811</f>
        <v>0</v>
      </c>
      <c r="AC809" s="282">
        <f>AC810+AC811</f>
        <v>0</v>
      </c>
      <c r="AE809" s="282">
        <f>AE810+AE811</f>
        <v>0</v>
      </c>
      <c r="AF809" s="282">
        <f>AF810+AF811</f>
        <v>0</v>
      </c>
      <c r="AH809" s="282">
        <f>AH810+AH811</f>
        <v>0</v>
      </c>
      <c r="AI809" s="282">
        <f>AI810+AI811</f>
        <v>0</v>
      </c>
      <c r="AK809" s="282">
        <f>AK810+AK811</f>
        <v>0</v>
      </c>
      <c r="AL809" s="282">
        <f>AL810+AL811</f>
        <v>0</v>
      </c>
      <c r="AN809" s="282">
        <f>AN810+AN811</f>
        <v>0</v>
      </c>
      <c r="AO809" s="282">
        <f>AO810+AO811</f>
        <v>0</v>
      </c>
      <c r="AQ809" s="282">
        <f>AQ810+AQ811</f>
        <v>0</v>
      </c>
      <c r="AR809" s="282">
        <f>AR810+AR811</f>
        <v>0</v>
      </c>
      <c r="AT809" s="282">
        <f>AT810+AT811</f>
        <v>0</v>
      </c>
      <c r="AU809" s="282">
        <f>AU810+AU811</f>
        <v>0</v>
      </c>
      <c r="AW809" s="282">
        <f>AW810+AW811</f>
        <v>0</v>
      </c>
      <c r="AX809" s="282">
        <f>AX810+AX811</f>
        <v>0</v>
      </c>
      <c r="AZ809" s="282">
        <f>AZ810+AZ811</f>
        <v>0</v>
      </c>
      <c r="BA809" s="282">
        <f>BA810+BA811</f>
        <v>0</v>
      </c>
      <c r="BC809" s="282">
        <f>BC810+BC811</f>
        <v>0</v>
      </c>
      <c r="BD809" s="282">
        <f>BD810+BD811</f>
        <v>0</v>
      </c>
      <c r="BF809" s="282">
        <f>BF810+BF811</f>
        <v>1</v>
      </c>
      <c r="BG809" s="282">
        <f>BG810+BG811</f>
        <v>1</v>
      </c>
      <c r="BI809" s="282">
        <f>BI810+BI811</f>
        <v>1</v>
      </c>
      <c r="BJ809" s="282">
        <f>BJ810+BJ811</f>
        <v>1</v>
      </c>
      <c r="BL809" s="282">
        <f>BL810+BL811</f>
        <v>0</v>
      </c>
      <c r="BM809" s="282">
        <f>BM810+BM811</f>
        <v>0</v>
      </c>
      <c r="BO809" s="282">
        <f>BO810+BO811</f>
        <v>0</v>
      </c>
      <c r="BP809" s="282">
        <f>BP810+BP811</f>
        <v>0</v>
      </c>
      <c r="BR809" s="282">
        <f>BR810+BR811</f>
        <v>0</v>
      </c>
      <c r="BS809" s="282">
        <f>BS810+BS811</f>
        <v>0</v>
      </c>
      <c r="BU809" s="282">
        <f>BU810+BU811</f>
        <v>0</v>
      </c>
      <c r="BV809" s="282">
        <f>BV810+BV811</f>
        <v>0</v>
      </c>
      <c r="BX809" s="282">
        <f>BX810+BX811</f>
        <v>0</v>
      </c>
      <c r="BY809" s="282">
        <f>BY810+BY811</f>
        <v>0</v>
      </c>
      <c r="CA809" s="282">
        <f>CA810+CA811</f>
        <v>0</v>
      </c>
      <c r="CB809" s="282">
        <f>CB810+CB811</f>
        <v>0</v>
      </c>
      <c r="CD809" s="282">
        <f>CD810+CD811</f>
        <v>3</v>
      </c>
      <c r="CE809" s="282">
        <f>CE810+CE811</f>
        <v>3</v>
      </c>
      <c r="CG809" s="282">
        <f>CG810+CG811</f>
        <v>0</v>
      </c>
      <c r="CH809" s="282">
        <f>CH810+CH811</f>
        <v>0</v>
      </c>
      <c r="CJ809" s="282">
        <f>CJ810+CJ811</f>
        <v>0</v>
      </c>
      <c r="CK809" s="282">
        <f>CK810+CK811</f>
        <v>0</v>
      </c>
    </row>
    <row r="810" spans="1:89" ht="60" x14ac:dyDescent="0.25">
      <c r="A810" s="105"/>
      <c r="B810" s="96" t="s">
        <v>1183</v>
      </c>
      <c r="C810" s="312" t="s">
        <v>2755</v>
      </c>
      <c r="D810" s="95" t="s">
        <v>1763</v>
      </c>
      <c r="E810" s="282"/>
      <c r="F810" s="282"/>
      <c r="G810" s="282"/>
      <c r="H810" s="282"/>
      <c r="I810" s="282">
        <v>2</v>
      </c>
      <c r="J810" s="282">
        <v>2</v>
      </c>
      <c r="K810" s="282">
        <v>5</v>
      </c>
      <c r="L810" s="282">
        <v>0</v>
      </c>
      <c r="M810" s="282">
        <v>0</v>
      </c>
      <c r="N810" s="282">
        <v>0</v>
      </c>
      <c r="Q810" s="283">
        <f>S810+V810+Y810+AB810+AE810+AH810+AK810+AN810+AQ810+AT810+AW810+AZ810+BC810+BF810+BI810+BL810+BO810+BR810+BU810+BX810+CA810+CD810+CG810+CJ810</f>
        <v>5</v>
      </c>
      <c r="R810" s="283">
        <f>T810+W810+Z810+AC810+AF810+AI810+AL810+AO810+AR810+AU810+AX810+BA810+BD810+BG810+BJ810+BM810+BP810+BS810+BV810+BY810+CB810+CE810+CH810+CK810</f>
        <v>5</v>
      </c>
      <c r="S810" s="267">
        <v>0</v>
      </c>
      <c r="T810" s="267">
        <v>0</v>
      </c>
      <c r="V810" s="267">
        <v>0</v>
      </c>
      <c r="W810" s="267">
        <v>0</v>
      </c>
      <c r="Y810" s="267">
        <v>0</v>
      </c>
      <c r="Z810" s="267">
        <v>0</v>
      </c>
      <c r="AB810" s="267">
        <v>0</v>
      </c>
      <c r="AC810" s="267">
        <v>0</v>
      </c>
      <c r="AE810" s="267">
        <v>0</v>
      </c>
      <c r="AF810" s="267">
        <v>0</v>
      </c>
      <c r="AH810" s="267">
        <v>0</v>
      </c>
      <c r="AI810" s="267">
        <v>0</v>
      </c>
      <c r="AK810" s="267">
        <v>0</v>
      </c>
      <c r="AL810" s="267">
        <v>0</v>
      </c>
      <c r="AN810" s="267">
        <v>0</v>
      </c>
      <c r="AO810" s="267">
        <v>0</v>
      </c>
      <c r="AQ810" s="267">
        <v>0</v>
      </c>
      <c r="AR810" s="267">
        <v>0</v>
      </c>
      <c r="AT810" s="267">
        <v>0</v>
      </c>
      <c r="AU810" s="267">
        <v>0</v>
      </c>
      <c r="AW810" s="267">
        <v>0</v>
      </c>
      <c r="AX810" s="267">
        <v>0</v>
      </c>
      <c r="AZ810" s="267">
        <v>0</v>
      </c>
      <c r="BA810" s="267">
        <v>0</v>
      </c>
      <c r="BC810" s="267">
        <v>0</v>
      </c>
      <c r="BD810" s="267">
        <v>0</v>
      </c>
      <c r="BF810" s="267">
        <v>1</v>
      </c>
      <c r="BG810" s="267">
        <v>1</v>
      </c>
      <c r="BI810" s="267">
        <v>1</v>
      </c>
      <c r="BJ810" s="267">
        <v>1</v>
      </c>
      <c r="BL810" s="267">
        <v>0</v>
      </c>
      <c r="BM810" s="267">
        <v>0</v>
      </c>
      <c r="BO810" s="267">
        <v>0</v>
      </c>
      <c r="BP810" s="267">
        <v>0</v>
      </c>
      <c r="BR810" s="267">
        <v>0</v>
      </c>
      <c r="BS810" s="267">
        <v>0</v>
      </c>
      <c r="BU810" s="267">
        <v>0</v>
      </c>
      <c r="BV810" s="267">
        <v>0</v>
      </c>
      <c r="BX810" s="267">
        <v>0</v>
      </c>
      <c r="BY810" s="267">
        <v>0</v>
      </c>
      <c r="CA810" s="267">
        <v>0</v>
      </c>
      <c r="CB810" s="267">
        <v>0</v>
      </c>
      <c r="CD810" s="267">
        <v>3</v>
      </c>
      <c r="CE810" s="267">
        <v>3</v>
      </c>
      <c r="CG810" s="267">
        <v>0</v>
      </c>
      <c r="CH810" s="267">
        <v>0</v>
      </c>
      <c r="CJ810" s="267">
        <v>0</v>
      </c>
      <c r="CK810" s="267">
        <v>0</v>
      </c>
    </row>
    <row r="811" spans="1:89" ht="60" x14ac:dyDescent="0.25">
      <c r="A811" s="105"/>
      <c r="B811" s="96" t="s">
        <v>1185</v>
      </c>
      <c r="C811" s="312" t="s">
        <v>2755</v>
      </c>
      <c r="D811" s="95" t="s">
        <v>1763</v>
      </c>
      <c r="E811" s="282"/>
      <c r="F811" s="282"/>
      <c r="G811" s="282"/>
      <c r="H811" s="282"/>
      <c r="I811" s="282">
        <v>0</v>
      </c>
      <c r="J811" s="282">
        <v>0</v>
      </c>
      <c r="K811" s="282">
        <v>0</v>
      </c>
      <c r="L811" s="282">
        <v>0</v>
      </c>
      <c r="M811" s="282">
        <v>0</v>
      </c>
      <c r="N811" s="282">
        <v>0</v>
      </c>
      <c r="Q811" s="283">
        <f>S811+V811+Y811+AB811+AE811+AH811+AK811+AN811+AQ811+AT811+AW811+AZ811+BC811+BF811+BI811+BL811+BO811+BR811+BU811+BX811+CA811+CD811+CG811+CJ811</f>
        <v>0</v>
      </c>
      <c r="R811" s="283">
        <f>T811+W811+Z811+AC811+AF811+AI811+AL811+AO811+AR811+AU811+AX811+BA811+BD811+BG811+BJ811+BM811+BP811+BS811+BV811+BY811+CB811+CE811+CH811+CK811</f>
        <v>0</v>
      </c>
      <c r="S811" s="267">
        <v>0</v>
      </c>
      <c r="T811" s="267">
        <v>0</v>
      </c>
      <c r="V811" s="267">
        <v>0</v>
      </c>
      <c r="W811" s="267">
        <v>0</v>
      </c>
      <c r="Y811" s="267">
        <v>0</v>
      </c>
      <c r="Z811" s="267">
        <v>0</v>
      </c>
      <c r="AB811" s="267">
        <v>0</v>
      </c>
      <c r="AC811" s="267">
        <v>0</v>
      </c>
      <c r="AE811" s="267">
        <v>0</v>
      </c>
      <c r="AF811" s="267">
        <v>0</v>
      </c>
      <c r="AH811" s="267">
        <v>0</v>
      </c>
      <c r="AI811" s="267">
        <v>0</v>
      </c>
      <c r="AK811" s="267">
        <v>0</v>
      </c>
      <c r="AL811" s="267">
        <v>0</v>
      </c>
      <c r="AN811" s="267">
        <v>0</v>
      </c>
      <c r="AO811" s="267">
        <v>0</v>
      </c>
      <c r="AQ811" s="267">
        <v>0</v>
      </c>
      <c r="AR811" s="267">
        <v>0</v>
      </c>
      <c r="AT811" s="267">
        <v>0</v>
      </c>
      <c r="AU811" s="267">
        <v>0</v>
      </c>
      <c r="AW811" s="267">
        <v>0</v>
      </c>
      <c r="AX811" s="267">
        <v>0</v>
      </c>
      <c r="AZ811" s="267">
        <v>0</v>
      </c>
      <c r="BA811" s="267">
        <v>0</v>
      </c>
      <c r="BC811" s="267">
        <v>0</v>
      </c>
      <c r="BD811" s="267">
        <v>0</v>
      </c>
      <c r="BF811" s="267">
        <v>0</v>
      </c>
      <c r="BG811" s="267">
        <v>0</v>
      </c>
      <c r="BI811" s="267">
        <v>0</v>
      </c>
      <c r="BJ811" s="267">
        <v>0</v>
      </c>
      <c r="BL811" s="267">
        <v>0</v>
      </c>
      <c r="BM811" s="267">
        <v>0</v>
      </c>
      <c r="BO811" s="267">
        <v>0</v>
      </c>
      <c r="BP811" s="267">
        <v>0</v>
      </c>
      <c r="BR811" s="267">
        <v>0</v>
      </c>
      <c r="BS811" s="267">
        <v>0</v>
      </c>
      <c r="BU811" s="267">
        <v>0</v>
      </c>
      <c r="BV811" s="267">
        <v>0</v>
      </c>
      <c r="BX811" s="267">
        <v>0</v>
      </c>
      <c r="BY811" s="267">
        <v>0</v>
      </c>
      <c r="CA811" s="267">
        <v>0</v>
      </c>
      <c r="CB811" s="267">
        <v>0</v>
      </c>
      <c r="CD811" s="267">
        <v>0</v>
      </c>
      <c r="CE811" s="267">
        <v>0</v>
      </c>
      <c r="CG811" s="267">
        <v>0</v>
      </c>
      <c r="CH811" s="267">
        <v>0</v>
      </c>
      <c r="CJ811" s="267">
        <v>0</v>
      </c>
      <c r="CK811" s="267">
        <v>0</v>
      </c>
    </row>
    <row r="812" spans="1:89" x14ac:dyDescent="0.25">
      <c r="A812" s="105"/>
      <c r="B812" s="96" t="s">
        <v>1854</v>
      </c>
      <c r="C812" s="95"/>
      <c r="D812" s="95"/>
      <c r="E812" s="282"/>
      <c r="F812" s="282"/>
      <c r="G812" s="282"/>
      <c r="H812" s="282"/>
      <c r="I812" s="282">
        <f t="shared" ref="I812:N812" si="1400">I813+I814</f>
        <v>6</v>
      </c>
      <c r="J812" s="282">
        <f t="shared" si="1400"/>
        <v>6</v>
      </c>
      <c r="K812" s="282">
        <f t="shared" si="1400"/>
        <v>6</v>
      </c>
      <c r="L812" s="282">
        <f t="shared" si="1400"/>
        <v>0</v>
      </c>
      <c r="M812" s="282">
        <f t="shared" si="1400"/>
        <v>0</v>
      </c>
      <c r="N812" s="282">
        <f t="shared" si="1400"/>
        <v>0</v>
      </c>
      <c r="Q812" s="282">
        <f>Q813+Q814</f>
        <v>6</v>
      </c>
      <c r="R812" s="282">
        <f>R813+R814</f>
        <v>6</v>
      </c>
      <c r="S812" s="282">
        <f>S813+S814</f>
        <v>0</v>
      </c>
      <c r="T812" s="282">
        <f>T813+T814</f>
        <v>0</v>
      </c>
      <c r="V812" s="282">
        <f>V813+V814</f>
        <v>0</v>
      </c>
      <c r="W812" s="282">
        <f>W813+W814</f>
        <v>0</v>
      </c>
      <c r="Y812" s="282">
        <f>Y813+Y814</f>
        <v>0</v>
      </c>
      <c r="Z812" s="282">
        <f>Z813+Z814</f>
        <v>0</v>
      </c>
      <c r="AB812" s="282">
        <f>AB813+AB814</f>
        <v>0</v>
      </c>
      <c r="AC812" s="282">
        <f>AC813+AC814</f>
        <v>0</v>
      </c>
      <c r="AE812" s="282">
        <f>AE813+AE814</f>
        <v>0</v>
      </c>
      <c r="AF812" s="282">
        <f>AF813+AF814</f>
        <v>0</v>
      </c>
      <c r="AH812" s="282">
        <f>AH813+AH814</f>
        <v>0</v>
      </c>
      <c r="AI812" s="282">
        <f>AI813+AI814</f>
        <v>0</v>
      </c>
      <c r="AK812" s="282">
        <f>AK813+AK814</f>
        <v>0</v>
      </c>
      <c r="AL812" s="282">
        <f>AL813+AL814</f>
        <v>0</v>
      </c>
      <c r="AN812" s="282">
        <f>AN813+AN814</f>
        <v>0</v>
      </c>
      <c r="AO812" s="282">
        <f>AO813+AO814</f>
        <v>0</v>
      </c>
      <c r="AQ812" s="282">
        <f>AQ813+AQ814</f>
        <v>0</v>
      </c>
      <c r="AR812" s="282">
        <f>AR813+AR814</f>
        <v>0</v>
      </c>
      <c r="AT812" s="282">
        <f>AT813+AT814</f>
        <v>0</v>
      </c>
      <c r="AU812" s="282">
        <f>AU813+AU814</f>
        <v>0</v>
      </c>
      <c r="AW812" s="282">
        <f>AW813+AW814</f>
        <v>0</v>
      </c>
      <c r="AX812" s="282">
        <f>AX813+AX814</f>
        <v>0</v>
      </c>
      <c r="AZ812" s="282">
        <f>AZ813+AZ814</f>
        <v>0</v>
      </c>
      <c r="BA812" s="282">
        <f>BA813+BA814</f>
        <v>0</v>
      </c>
      <c r="BC812" s="282">
        <f>BC813+BC814</f>
        <v>1</v>
      </c>
      <c r="BD812" s="282">
        <f>BD813+BD814</f>
        <v>1</v>
      </c>
      <c r="BF812" s="282">
        <f>BF813+BF814</f>
        <v>1</v>
      </c>
      <c r="BG812" s="282">
        <f>BG813+BG814</f>
        <v>1</v>
      </c>
      <c r="BI812" s="282">
        <f>BI813+BI814</f>
        <v>1</v>
      </c>
      <c r="BJ812" s="282">
        <f>BJ813+BJ814</f>
        <v>1</v>
      </c>
      <c r="BL812" s="282">
        <f>BL813+BL814</f>
        <v>0</v>
      </c>
      <c r="BM812" s="282">
        <f>BM813+BM814</f>
        <v>0</v>
      </c>
      <c r="BO812" s="282">
        <f>BO813+BO814</f>
        <v>0</v>
      </c>
      <c r="BP812" s="282">
        <f>BP813+BP814</f>
        <v>0</v>
      </c>
      <c r="BR812" s="282">
        <f>BR813+BR814</f>
        <v>0</v>
      </c>
      <c r="BS812" s="282">
        <f>BS813+BS814</f>
        <v>0</v>
      </c>
      <c r="BU812" s="282">
        <f>BU813+BU814</f>
        <v>0</v>
      </c>
      <c r="BV812" s="282">
        <f>BV813+BV814</f>
        <v>0</v>
      </c>
      <c r="BX812" s="282">
        <f>BX813+BX814</f>
        <v>0</v>
      </c>
      <c r="BY812" s="282">
        <f>BY813+BY814</f>
        <v>0</v>
      </c>
      <c r="CA812" s="282">
        <f>CA813+CA814</f>
        <v>0</v>
      </c>
      <c r="CB812" s="282">
        <f>CB813+CB814</f>
        <v>0</v>
      </c>
      <c r="CD812" s="282">
        <f>CD813+CD814</f>
        <v>3</v>
      </c>
      <c r="CE812" s="282">
        <f>CE813+CE814</f>
        <v>3</v>
      </c>
      <c r="CG812" s="282">
        <f>CG813+CG814</f>
        <v>0</v>
      </c>
      <c r="CH812" s="282">
        <f>CH813+CH814</f>
        <v>0</v>
      </c>
      <c r="CJ812" s="282">
        <f>CJ813+CJ814</f>
        <v>0</v>
      </c>
      <c r="CK812" s="282">
        <f>CK813+CK814</f>
        <v>0</v>
      </c>
    </row>
    <row r="813" spans="1:89" ht="60" x14ac:dyDescent="0.25">
      <c r="A813" s="105"/>
      <c r="B813" s="96" t="s">
        <v>1183</v>
      </c>
      <c r="C813" s="312" t="s">
        <v>2756</v>
      </c>
      <c r="D813" s="95" t="s">
        <v>1763</v>
      </c>
      <c r="E813" s="282"/>
      <c r="F813" s="282"/>
      <c r="G813" s="282"/>
      <c r="H813" s="282"/>
      <c r="I813" s="282">
        <v>6</v>
      </c>
      <c r="J813" s="282">
        <v>6</v>
      </c>
      <c r="K813" s="282">
        <f>K619</f>
        <v>6</v>
      </c>
      <c r="L813" s="282">
        <f>L619</f>
        <v>0</v>
      </c>
      <c r="M813" s="282">
        <f t="shared" ref="M813:N814" si="1401">M619</f>
        <v>0</v>
      </c>
      <c r="N813" s="282">
        <f t="shared" si="1401"/>
        <v>0</v>
      </c>
      <c r="Q813" s="283">
        <f>S813+V813+Y813+AB813+AE813+AH813+AK813+AN813+AQ813+AT813+AW813+AZ813+BC813+BF813+BI813+BL813+BO813+BR813+BU813+BX813+CA813+CD813+CG813+CJ813</f>
        <v>6</v>
      </c>
      <c r="R813" s="283">
        <f>T813+W813+Z813+AC813+AF813+AI813+AL813+AO813+AR813+AU813+AX813+BA813+BD813+BG813+BJ813+BM813+BP813+BS813+BV813+BY813+CB813+CE813+CH813+CK813</f>
        <v>6</v>
      </c>
      <c r="S813" s="267">
        <v>0</v>
      </c>
      <c r="T813" s="267">
        <v>0</v>
      </c>
      <c r="V813" s="267">
        <v>0</v>
      </c>
      <c r="W813" s="267">
        <v>0</v>
      </c>
      <c r="Y813" s="267">
        <v>0</v>
      </c>
      <c r="Z813" s="267">
        <v>0</v>
      </c>
      <c r="AB813" s="267">
        <v>0</v>
      </c>
      <c r="AC813" s="267">
        <v>0</v>
      </c>
      <c r="AE813" s="267">
        <v>0</v>
      </c>
      <c r="AF813" s="267">
        <v>0</v>
      </c>
      <c r="AH813" s="267">
        <v>0</v>
      </c>
      <c r="AI813" s="267">
        <v>0</v>
      </c>
      <c r="AK813" s="267">
        <v>0</v>
      </c>
      <c r="AL813" s="267">
        <v>0</v>
      </c>
      <c r="AN813" s="267">
        <v>0</v>
      </c>
      <c r="AO813" s="267">
        <v>0</v>
      </c>
      <c r="AQ813" s="267">
        <v>0</v>
      </c>
      <c r="AR813" s="267">
        <v>0</v>
      </c>
      <c r="AT813" s="267">
        <v>0</v>
      </c>
      <c r="AU813" s="267">
        <v>0</v>
      </c>
      <c r="AW813" s="267">
        <v>0</v>
      </c>
      <c r="AX813" s="267">
        <v>0</v>
      </c>
      <c r="AZ813" s="267">
        <v>0</v>
      </c>
      <c r="BA813" s="267">
        <v>0</v>
      </c>
      <c r="BC813" s="267">
        <v>1</v>
      </c>
      <c r="BD813" s="267">
        <v>1</v>
      </c>
      <c r="BF813" s="267">
        <v>1</v>
      </c>
      <c r="BG813" s="267">
        <v>1</v>
      </c>
      <c r="BI813" s="267">
        <v>1</v>
      </c>
      <c r="BJ813" s="267">
        <v>1</v>
      </c>
      <c r="BL813" s="267">
        <v>0</v>
      </c>
      <c r="BM813" s="267">
        <v>0</v>
      </c>
      <c r="BO813" s="267">
        <v>0</v>
      </c>
      <c r="BP813" s="267">
        <v>0</v>
      </c>
      <c r="BR813" s="267">
        <v>0</v>
      </c>
      <c r="BS813" s="267">
        <v>0</v>
      </c>
      <c r="BU813" s="267">
        <v>0</v>
      </c>
      <c r="BV813" s="267">
        <v>0</v>
      </c>
      <c r="BX813" s="267">
        <v>0</v>
      </c>
      <c r="BY813" s="267">
        <v>0</v>
      </c>
      <c r="CA813" s="267">
        <v>0</v>
      </c>
      <c r="CB813" s="267">
        <v>0</v>
      </c>
      <c r="CD813" s="267">
        <v>3</v>
      </c>
      <c r="CE813" s="267">
        <v>3</v>
      </c>
      <c r="CG813" s="267">
        <v>0</v>
      </c>
      <c r="CH813" s="267">
        <v>0</v>
      </c>
      <c r="CJ813" s="267">
        <v>0</v>
      </c>
      <c r="CK813" s="267">
        <v>0</v>
      </c>
    </row>
    <row r="814" spans="1:89" ht="60" x14ac:dyDescent="0.25">
      <c r="A814" s="105"/>
      <c r="B814" s="96" t="s">
        <v>1185</v>
      </c>
      <c r="C814" s="312" t="s">
        <v>2756</v>
      </c>
      <c r="D814" s="95" t="s">
        <v>1763</v>
      </c>
      <c r="E814" s="282"/>
      <c r="F814" s="282"/>
      <c r="G814" s="282"/>
      <c r="H814" s="282"/>
      <c r="I814" s="282">
        <v>0</v>
      </c>
      <c r="J814" s="282">
        <v>0</v>
      </c>
      <c r="K814" s="282">
        <f>K620</f>
        <v>0</v>
      </c>
      <c r="L814" s="282">
        <f>L620</f>
        <v>0</v>
      </c>
      <c r="M814" s="282">
        <f t="shared" si="1401"/>
        <v>0</v>
      </c>
      <c r="N814" s="282">
        <f t="shared" si="1401"/>
        <v>0</v>
      </c>
      <c r="Q814" s="283">
        <f>S814+V814+Y814+AB814+AE814+AH814+AK814+AN814+AQ814+AT814+AW814+AZ814+BC814+BF814+BI814+BL814+BO814+BR814+BU814+BX814+CA814+CD814+CG814+CJ814</f>
        <v>0</v>
      </c>
      <c r="R814" s="283">
        <f>T814+W814+Z814+AC814+AF814+AI814+AL814+AO814+AR814+AU814+AX814+BA814+BD814+BG814+BJ814+BM814+BP814+BS814+BV814+BY814+CB814+CE814+CH814+CK814</f>
        <v>0</v>
      </c>
      <c r="S814" s="267">
        <v>0</v>
      </c>
      <c r="T814" s="267">
        <v>0</v>
      </c>
      <c r="V814" s="267">
        <v>0</v>
      </c>
      <c r="W814" s="267">
        <v>0</v>
      </c>
      <c r="Y814" s="267">
        <v>0</v>
      </c>
      <c r="Z814" s="267">
        <v>0</v>
      </c>
      <c r="AB814" s="267">
        <v>0</v>
      </c>
      <c r="AC814" s="267">
        <v>0</v>
      </c>
      <c r="AE814" s="267">
        <v>0</v>
      </c>
      <c r="AF814" s="267">
        <v>0</v>
      </c>
      <c r="AH814" s="267">
        <v>0</v>
      </c>
      <c r="AI814" s="267">
        <v>0</v>
      </c>
      <c r="AK814" s="267">
        <v>0</v>
      </c>
      <c r="AL814" s="267">
        <v>0</v>
      </c>
      <c r="AN814" s="267">
        <v>0</v>
      </c>
      <c r="AO814" s="267">
        <v>0</v>
      </c>
      <c r="AQ814" s="267">
        <v>0</v>
      </c>
      <c r="AR814" s="267">
        <v>0</v>
      </c>
      <c r="AT814" s="267">
        <v>0</v>
      </c>
      <c r="AU814" s="267">
        <v>0</v>
      </c>
      <c r="AW814" s="267">
        <v>0</v>
      </c>
      <c r="AX814" s="267">
        <v>0</v>
      </c>
      <c r="AZ814" s="267">
        <v>0</v>
      </c>
      <c r="BA814" s="267">
        <v>0</v>
      </c>
      <c r="BC814" s="267">
        <v>0</v>
      </c>
      <c r="BD814" s="304">
        <v>0</v>
      </c>
      <c r="BF814" s="267">
        <v>0</v>
      </c>
      <c r="BG814" s="304">
        <v>0</v>
      </c>
      <c r="BI814" s="267">
        <v>0</v>
      </c>
      <c r="BJ814" s="304">
        <v>0</v>
      </c>
      <c r="BL814" s="267">
        <v>0</v>
      </c>
      <c r="BM814" s="267">
        <v>0</v>
      </c>
      <c r="BO814" s="267">
        <v>0</v>
      </c>
      <c r="BP814" s="267">
        <v>0</v>
      </c>
      <c r="BR814" s="267">
        <v>0</v>
      </c>
      <c r="BS814" s="267">
        <v>0</v>
      </c>
      <c r="BU814" s="267">
        <v>0</v>
      </c>
      <c r="BV814" s="267">
        <v>0</v>
      </c>
      <c r="BX814" s="267">
        <v>0</v>
      </c>
      <c r="BY814" s="267">
        <v>0</v>
      </c>
      <c r="CA814" s="267">
        <v>0</v>
      </c>
      <c r="CB814" s="267">
        <v>0</v>
      </c>
      <c r="CD814" s="267">
        <v>0</v>
      </c>
      <c r="CE814" s="304">
        <v>0</v>
      </c>
      <c r="CG814" s="267">
        <v>0</v>
      </c>
      <c r="CH814" s="267">
        <v>0</v>
      </c>
      <c r="CJ814" s="267">
        <v>0</v>
      </c>
      <c r="CK814" s="267">
        <v>0</v>
      </c>
    </row>
    <row r="815" spans="1:89" ht="75" hidden="1" x14ac:dyDescent="0.25">
      <c r="A815" s="95" t="s">
        <v>231</v>
      </c>
      <c r="B815" s="16" t="s">
        <v>230</v>
      </c>
      <c r="C815" s="107"/>
      <c r="D815" s="95"/>
      <c r="E815" s="279"/>
      <c r="F815" s="279"/>
      <c r="G815" s="279"/>
      <c r="H815" s="279"/>
      <c r="I815" s="279"/>
      <c r="J815" s="279"/>
      <c r="K815" s="279"/>
      <c r="L815" s="279"/>
      <c r="M815" s="279"/>
      <c r="N815" s="279"/>
      <c r="O815" s="281" t="s">
        <v>140</v>
      </c>
      <c r="R815" s="278">
        <v>2013</v>
      </c>
      <c r="S815" s="278">
        <v>2014</v>
      </c>
      <c r="T815" s="278" t="s">
        <v>1443</v>
      </c>
      <c r="U815" s="278">
        <v>2013</v>
      </c>
      <c r="V815" s="278">
        <v>2014</v>
      </c>
      <c r="W815" s="278" t="s">
        <v>1443</v>
      </c>
      <c r="X815" s="278">
        <v>2013</v>
      </c>
      <c r="Y815" s="278">
        <v>2014</v>
      </c>
      <c r="Z815" s="278" t="s">
        <v>1443</v>
      </c>
      <c r="AA815" s="278">
        <v>2013</v>
      </c>
      <c r="AB815" s="278">
        <v>2014</v>
      </c>
      <c r="AC815" s="278" t="s">
        <v>1443</v>
      </c>
      <c r="AD815" s="278">
        <v>2013</v>
      </c>
      <c r="AE815" s="278">
        <v>2014</v>
      </c>
      <c r="AF815" s="278" t="s">
        <v>1443</v>
      </c>
      <c r="AG815" s="278">
        <v>2013</v>
      </c>
      <c r="AH815" s="278">
        <v>2014</v>
      </c>
      <c r="AI815" s="278" t="s">
        <v>1443</v>
      </c>
      <c r="AJ815" s="278">
        <v>2013</v>
      </c>
      <c r="AK815" s="278">
        <v>2014</v>
      </c>
      <c r="AL815" s="278" t="s">
        <v>1443</v>
      </c>
      <c r="AM815" s="278">
        <v>2013</v>
      </c>
      <c r="AN815" s="278">
        <v>2014</v>
      </c>
      <c r="AO815" s="278" t="s">
        <v>1443</v>
      </c>
      <c r="AP815" s="278">
        <v>2013</v>
      </c>
      <c r="AQ815" s="278">
        <v>2014</v>
      </c>
      <c r="AR815" s="278" t="s">
        <v>1443</v>
      </c>
      <c r="AS815" s="278">
        <v>2013</v>
      </c>
      <c r="AT815" s="278">
        <v>2014</v>
      </c>
      <c r="AU815" s="278" t="s">
        <v>1443</v>
      </c>
      <c r="AV815" s="278">
        <v>2013</v>
      </c>
      <c r="AW815" s="278">
        <v>2014</v>
      </c>
      <c r="AX815" s="278" t="s">
        <v>1443</v>
      </c>
      <c r="AY815" s="278">
        <v>2013</v>
      </c>
      <c r="AZ815" s="278">
        <v>2014</v>
      </c>
      <c r="BA815" s="278" t="s">
        <v>1443</v>
      </c>
      <c r="BB815" s="278">
        <v>2013</v>
      </c>
      <c r="BC815" s="278">
        <v>2014</v>
      </c>
      <c r="BD815" s="278" t="s">
        <v>1443</v>
      </c>
      <c r="BE815" s="278">
        <v>2013</v>
      </c>
      <c r="BF815" s="278">
        <v>2014</v>
      </c>
      <c r="BG815" s="278" t="s">
        <v>1443</v>
      </c>
      <c r="BH815" s="278">
        <v>2013</v>
      </c>
      <c r="BI815" s="278">
        <v>2014</v>
      </c>
      <c r="BJ815" s="278" t="s">
        <v>1443</v>
      </c>
      <c r="BK815" s="278">
        <v>2013</v>
      </c>
      <c r="BL815" s="278">
        <v>2014</v>
      </c>
      <c r="BM815" s="278" t="s">
        <v>1443</v>
      </c>
      <c r="BN815" s="278">
        <v>2013</v>
      </c>
      <c r="BO815" s="278">
        <v>2014</v>
      </c>
      <c r="BP815" s="278" t="s">
        <v>1443</v>
      </c>
      <c r="BQ815" s="278">
        <v>2013</v>
      </c>
      <c r="BR815" s="278">
        <v>2014</v>
      </c>
      <c r="BS815" s="278" t="s">
        <v>1443</v>
      </c>
      <c r="BT815" s="278">
        <v>2013</v>
      </c>
      <c r="BU815" s="278">
        <v>2014</v>
      </c>
      <c r="BV815" s="278" t="s">
        <v>1443</v>
      </c>
      <c r="BW815" s="278">
        <v>2013</v>
      </c>
      <c r="BX815" s="278">
        <v>2014</v>
      </c>
      <c r="BY815" s="278" t="s">
        <v>1443</v>
      </c>
      <c r="BZ815" s="278">
        <v>2013</v>
      </c>
      <c r="CA815" s="278">
        <v>2014</v>
      </c>
      <c r="CB815" s="278" t="s">
        <v>1443</v>
      </c>
      <c r="CC815" s="278">
        <v>2013</v>
      </c>
      <c r="CD815" s="278">
        <v>2014</v>
      </c>
      <c r="CE815" s="278" t="s">
        <v>1443</v>
      </c>
    </row>
    <row r="816" spans="1:89" hidden="1" x14ac:dyDescent="0.25">
      <c r="A816" s="95"/>
      <c r="B816" s="96" t="s">
        <v>1182</v>
      </c>
      <c r="C816" s="107"/>
      <c r="D816" s="95" t="s">
        <v>8</v>
      </c>
      <c r="E816" s="279">
        <f>(E823+E826)/(E830+E835)*100</f>
        <v>58.223684210526315</v>
      </c>
      <c r="F816" s="279">
        <f>(F823+F826)/(F830+F835)*100</f>
        <v>55.158730158730165</v>
      </c>
      <c r="G816" s="279">
        <f>(G823+G826)/(G830+G835)*100</f>
        <v>54.661190965092402</v>
      </c>
      <c r="H816" s="279">
        <f>(H823+H826)/(H830+H835+H823+H826)*100</f>
        <v>58.173251177963024</v>
      </c>
      <c r="I816" s="279" t="e">
        <f>(I823+I826)/(I830+I835+I823+I826)*100</f>
        <v>#DIV/0!</v>
      </c>
      <c r="J816" s="279" t="e">
        <f>(J823+J826)/(J830+J835+J823+J826)*100</f>
        <v>#DIV/0!</v>
      </c>
      <c r="K816" s="279" t="e">
        <f>(K823+K826)/(K830+K835+K823+K826)*100</f>
        <v>#DIV/0!</v>
      </c>
      <c r="L816" s="279" t="e">
        <f>(L823+L826)/(L830+L835+L823+L826)*100</f>
        <v>#DIV/0!</v>
      </c>
      <c r="M816" s="279" t="e">
        <f t="shared" ref="M816:N816" si="1402">(M823+M826)/(M830+M835+M823+M826)*100</f>
        <v>#DIV/0!</v>
      </c>
      <c r="N816" s="279" t="e">
        <f t="shared" si="1402"/>
        <v>#DIV/0!</v>
      </c>
      <c r="P816" s="279">
        <f>(P823+P826)/(P830+P835)*100</f>
        <v>90.43795620437956</v>
      </c>
      <c r="Q816" s="279">
        <f>(Q823+Q826)/(Q830+Q835)*100</f>
        <v>88.472418670438472</v>
      </c>
      <c r="R816" s="279">
        <f>(R823+R826)/(R830+R835)*100</f>
        <v>94.285714285714278</v>
      </c>
      <c r="S816" s="279">
        <f>(S823+S826)/(S830+S835)*100</f>
        <v>94.73684210526315</v>
      </c>
      <c r="T816" s="279">
        <f t="shared" ref="T816:T821" si="1403">S816/R816*100</f>
        <v>100.47846889952152</v>
      </c>
      <c r="U816" s="279">
        <f>(U823+U826)/(U830+U835)*100</f>
        <v>100</v>
      </c>
      <c r="V816" s="279">
        <f>(V823+V826)/(V830+V835)*100</f>
        <v>100</v>
      </c>
      <c r="W816" s="279">
        <f t="shared" ref="W816:W821" si="1404">V816/U816*100</f>
        <v>100</v>
      </c>
      <c r="X816" s="279">
        <f>(X823+X826)/(X830+X835)*100</f>
        <v>100</v>
      </c>
      <c r="Y816" s="279">
        <f>(Y823+Y826)/(Y830+Y835)*100</f>
        <v>100</v>
      </c>
      <c r="Z816" s="279">
        <f t="shared" ref="Z816:Z821" si="1405">Y816/X816*100</f>
        <v>100</v>
      </c>
      <c r="AA816" s="279">
        <f>(AA823+AA826)/(AA830+AA835)*100</f>
        <v>100</v>
      </c>
      <c r="AB816" s="279">
        <f>(AB823+AB826)/(AB830+AB835)*100</f>
        <v>100</v>
      </c>
      <c r="AC816" s="279">
        <f t="shared" ref="AC816:AC821" si="1406">AB816/AA816*100</f>
        <v>100</v>
      </c>
      <c r="AD816" s="279">
        <f>(AD823+AD826)/(AD830+AD835)*100</f>
        <v>74.074074074074076</v>
      </c>
      <c r="AE816" s="279">
        <f>(AE823+AE826)/(AE830+AE835)*100</f>
        <v>66.666666666666657</v>
      </c>
      <c r="AF816" s="279">
        <f t="shared" ref="AF816:AF821" si="1407">AE816/AD816*100</f>
        <v>89.999999999999986</v>
      </c>
      <c r="AG816" s="279">
        <f>(AG823+AG826)/(AG830+AG835)*100</f>
        <v>100</v>
      </c>
      <c r="AH816" s="279">
        <f>(AH823+AH826)/(AH830+AH835)*100</f>
        <v>100</v>
      </c>
      <c r="AI816" s="279">
        <f t="shared" ref="AI816:AI821" si="1408">AH816/AG816*100</f>
        <v>100</v>
      </c>
      <c r="AJ816" s="279">
        <f>(AJ823+AJ826)/(AJ830+AJ835)*100</f>
        <v>84.269662921348313</v>
      </c>
      <c r="AK816" s="279">
        <f>(AK823+AK826)/(AK830+AK835)*100</f>
        <v>85.576923076923066</v>
      </c>
      <c r="AL816" s="279">
        <f t="shared" ref="AL816:AL821" si="1409">AK816/AJ816*100</f>
        <v>101.55128205128203</v>
      </c>
      <c r="AM816" s="279">
        <f>(AM823+AM826)/(AM830+AM835)*100</f>
        <v>92.929292929292927</v>
      </c>
      <c r="AN816" s="279">
        <f>(AN823+AN826)/(AN830+AN835)*100</f>
        <v>82.882882882882882</v>
      </c>
      <c r="AO816" s="279">
        <f t="shared" ref="AO816:AO821" si="1410">AN816/AM816*100</f>
        <v>89.189189189189193</v>
      </c>
      <c r="AP816" s="279">
        <f>(AP823+AP826)/(AP830+AP835)*100</f>
        <v>100</v>
      </c>
      <c r="AQ816" s="279">
        <f>(AQ823+AQ826)/(AQ830+AQ835)*100</f>
        <v>100</v>
      </c>
      <c r="AR816" s="279">
        <f t="shared" ref="AR816:AR821" si="1411">AQ816/AP816*100</f>
        <v>100</v>
      </c>
      <c r="AS816" s="279">
        <f>(AS823+AS826)/(AS830+AS835)*100</f>
        <v>87.5</v>
      </c>
      <c r="AT816" s="279">
        <f>(AT823+AT826)/(AT830+AT835)*100</f>
        <v>78.94736842105263</v>
      </c>
      <c r="AU816" s="279">
        <f t="shared" ref="AU816:AU821" si="1412">AT816/AS816*100</f>
        <v>90.225563909774436</v>
      </c>
      <c r="AV816" s="279">
        <f>(AV823+AV826)/(AV830+AV835)*100</f>
        <v>100</v>
      </c>
      <c r="AW816" s="279">
        <f>(AW823+AW826)/(AW830+AW835)*100</f>
        <v>89.743589743589752</v>
      </c>
      <c r="AX816" s="279">
        <f t="shared" ref="AX816:AX821" si="1413">AW816/AV816*100</f>
        <v>89.743589743589752</v>
      </c>
      <c r="AY816" s="279">
        <f>(AY823+AY826)/(AY830+AY835)*100</f>
        <v>100</v>
      </c>
      <c r="AZ816" s="279">
        <f>(AZ823+AZ826)/(AZ830+AZ835)*100</f>
        <v>100</v>
      </c>
      <c r="BA816" s="279">
        <f t="shared" ref="BA816:BA821" si="1414">AZ816/AY816*100</f>
        <v>100</v>
      </c>
      <c r="BB816" s="279">
        <f>(BB823+BB826)/(BB830+BB835)*100</f>
        <v>80.597014925373131</v>
      </c>
      <c r="BC816" s="279">
        <f>(BC823+BC826)/(BC830+BC835)*100</f>
        <v>85.714285714285708</v>
      </c>
      <c r="BD816" s="279">
        <f t="shared" ref="BD816:BD821" si="1415">BC816/BB816*100</f>
        <v>106.34920634920636</v>
      </c>
      <c r="BE816" s="279">
        <f>(BE823+BE826)/(BE830+BE835)*100</f>
        <v>98.630136986301366</v>
      </c>
      <c r="BF816" s="279">
        <f>(BF823+BF826)/(BF830+BF835)*100</f>
        <v>95.555555555555557</v>
      </c>
      <c r="BG816" s="279">
        <f t="shared" ref="BG816:BG821" si="1416">BF816/BE816*100</f>
        <v>96.882716049382722</v>
      </c>
      <c r="BH816" s="279">
        <f>(BH823+BH826)/(BH830+BH835)*100</f>
        <v>76.076555023923447</v>
      </c>
      <c r="BI816" s="279">
        <f>(BI823+BI826)/(BI830+BI835)*100</f>
        <v>77.292576419213972</v>
      </c>
      <c r="BJ816" s="279">
        <f t="shared" ref="BJ816:BJ821" si="1417">BI816/BH816*100</f>
        <v>101.59841806047622</v>
      </c>
      <c r="BK816" s="279">
        <f>(BK823+BK826)/(BK830+BK835)*100</f>
        <v>100</v>
      </c>
      <c r="BL816" s="279">
        <f>(BL823+BL826)/(BL830+BL835)*100</f>
        <v>100</v>
      </c>
      <c r="BM816" s="279">
        <f t="shared" ref="BM816:BM821" si="1418">BL816/BK816*100</f>
        <v>100</v>
      </c>
      <c r="BN816" s="279">
        <f>(BN823+BN826)/(BN830+BN835)*100</f>
        <v>100</v>
      </c>
      <c r="BO816" s="279">
        <f>(BO823+BO826)/(BO830+BO835)*100</f>
        <v>100</v>
      </c>
      <c r="BP816" s="279">
        <f t="shared" ref="BP816:BP821" si="1419">BO816/BN816*100</f>
        <v>100</v>
      </c>
      <c r="BQ816" s="279">
        <f>(BQ823+BQ826)/(BQ830+BQ835)*100</f>
        <v>100</v>
      </c>
      <c r="BR816" s="279">
        <f>(BR823+BR826)/(BR830+BR835)*100</f>
        <v>100</v>
      </c>
      <c r="BS816" s="279">
        <f t="shared" ref="BS816:BS821" si="1420">BR816/BQ816*100</f>
        <v>100</v>
      </c>
      <c r="BT816" s="279">
        <f>(BT823+BT826)/(BT830+BT835)*100</f>
        <v>80.459770114942529</v>
      </c>
      <c r="BU816" s="279">
        <f>(BU823+BU826)/(BU830+BU835)*100</f>
        <v>76.923076923076934</v>
      </c>
      <c r="BV816" s="279">
        <f t="shared" ref="BV816:BV821" si="1421">BU816/BT816*100</f>
        <v>95.60439560439562</v>
      </c>
      <c r="BW816" s="279">
        <f>(BW823+BW826)/(BW830+BW835)*100</f>
        <v>100</v>
      </c>
      <c r="BX816" s="279">
        <f>(BX823+BX826)/(BX830+BX835)*100</f>
        <v>100</v>
      </c>
      <c r="BY816" s="279">
        <f t="shared" ref="BY816:BY821" si="1422">BX816/BW816*100</f>
        <v>100</v>
      </c>
      <c r="BZ816" s="279">
        <f>(BZ823+BZ826)/(BZ830+BZ835)*100</f>
        <v>100</v>
      </c>
      <c r="CA816" s="279">
        <f>(CA823+CA826)/(CA830+CA835)*100</f>
        <v>100</v>
      </c>
      <c r="CB816" s="279">
        <f t="shared" ref="CB816:CB821" si="1423">CA816/BZ816*100</f>
        <v>100</v>
      </c>
      <c r="CC816" s="279">
        <f>(CC823+CC826)/(CC830+CC835)*100</f>
        <v>74.193548387096769</v>
      </c>
      <c r="CD816" s="279">
        <f>(CD823+CD826)/(CD830+CD835)*100</f>
        <v>85.714285714285708</v>
      </c>
      <c r="CE816" s="279">
        <f t="shared" ref="CE816:CE821" si="1424">CD816/CC816*100</f>
        <v>115.52795031055901</v>
      </c>
    </row>
    <row r="817" spans="1:83" hidden="1" x14ac:dyDescent="0.25">
      <c r="A817" s="95"/>
      <c r="B817" s="96" t="s">
        <v>1183</v>
      </c>
      <c r="C817" s="107"/>
      <c r="D817" s="95" t="s">
        <v>8</v>
      </c>
      <c r="E817" s="279">
        <f>E823/E830*100</f>
        <v>57.639243740419012</v>
      </c>
      <c r="F817" s="279">
        <f>F823/F830*100</f>
        <v>54.186717998075075</v>
      </c>
      <c r="G817" s="279">
        <f>G823/G830*100</f>
        <v>53.657448706512042</v>
      </c>
      <c r="H817" s="279">
        <f>H823/(H823+H830)*100</f>
        <v>56.396255850234013</v>
      </c>
      <c r="I817" s="279" t="e">
        <f>I823/(I823+I830)*100</f>
        <v>#DIV/0!</v>
      </c>
      <c r="J817" s="279" t="e">
        <f>J823/(J823+J830)*100</f>
        <v>#DIV/0!</v>
      </c>
      <c r="K817" s="279" t="e">
        <f>K823/(K823+K830)*100</f>
        <v>#DIV/0!</v>
      </c>
      <c r="L817" s="279" t="e">
        <f>L823/(L823+L830)*100</f>
        <v>#DIV/0!</v>
      </c>
      <c r="M817" s="279" t="e">
        <f t="shared" ref="M817:N817" si="1425">M823/(M823+M830)*100</f>
        <v>#DIV/0!</v>
      </c>
      <c r="N817" s="279" t="e">
        <f t="shared" si="1425"/>
        <v>#DIV/0!</v>
      </c>
      <c r="P817" s="279">
        <f>P823/P830*100</f>
        <v>89.594916600476566</v>
      </c>
      <c r="Q817" s="279">
        <f>Q823/Q830*100</f>
        <v>87.354538401861902</v>
      </c>
      <c r="R817" s="279">
        <f>R823/R830*100</f>
        <v>78.571428571428569</v>
      </c>
      <c r="S817" s="279">
        <f>S823/S830*100</f>
        <v>77.41935483870968</v>
      </c>
      <c r="T817" s="279">
        <f t="shared" si="1403"/>
        <v>98.533724340175951</v>
      </c>
      <c r="U817" s="279">
        <f>U823/U830*100</f>
        <v>87.096774193548384</v>
      </c>
      <c r="V817" s="279">
        <f>V823/V830*100</f>
        <v>120</v>
      </c>
      <c r="W817" s="279">
        <f t="shared" si="1404"/>
        <v>137.77777777777777</v>
      </c>
      <c r="X817" s="279">
        <f>X823/X830*100</f>
        <v>125</v>
      </c>
      <c r="Y817" s="279">
        <f>Y823/Y830*100</f>
        <v>135.29411764705884</v>
      </c>
      <c r="Z817" s="279">
        <f t="shared" si="1405"/>
        <v>108.23529411764707</v>
      </c>
      <c r="AA817" s="279">
        <f>AA823/AA830*100</f>
        <v>100</v>
      </c>
      <c r="AB817" s="279">
        <f>AB823/AB830*100</f>
        <v>95.652173913043484</v>
      </c>
      <c r="AC817" s="279">
        <f t="shared" si="1406"/>
        <v>95.652173913043484</v>
      </c>
      <c r="AD817" s="279">
        <f>AD823/AD830*100</f>
        <v>56.521739130434781</v>
      </c>
      <c r="AE817" s="279">
        <f>AE823/AE830*100</f>
        <v>52</v>
      </c>
      <c r="AF817" s="279">
        <f t="shared" si="1407"/>
        <v>92</v>
      </c>
      <c r="AG817" s="279">
        <f>AG823/AG830*100</f>
        <v>220.00000000000003</v>
      </c>
      <c r="AH817" s="279">
        <f>AH823/AH830*100</f>
        <v>133.33333333333331</v>
      </c>
      <c r="AI817" s="279">
        <f t="shared" si="1408"/>
        <v>60.606060606060588</v>
      </c>
      <c r="AJ817" s="279">
        <f>AJ823/AJ830*100</f>
        <v>67.073170731707322</v>
      </c>
      <c r="AK817" s="279">
        <f>AK823/AK830*100</f>
        <v>66.666666666666657</v>
      </c>
      <c r="AL817" s="279">
        <f t="shared" si="1409"/>
        <v>99.393939393939363</v>
      </c>
      <c r="AM817" s="279">
        <f>AM823/AM830*100</f>
        <v>109.45945945945945</v>
      </c>
      <c r="AN817" s="279">
        <f>AN823/AN830*100</f>
        <v>90</v>
      </c>
      <c r="AO817" s="279">
        <f t="shared" si="1410"/>
        <v>82.222222222222229</v>
      </c>
      <c r="AP817" s="279" t="e">
        <f>AP823/AP830*100</f>
        <v>#DIV/0!</v>
      </c>
      <c r="AQ817" s="279" t="e">
        <f>AQ823/AQ830*100</f>
        <v>#DIV/0!</v>
      </c>
      <c r="AR817" s="279" t="e">
        <f t="shared" si="1411"/>
        <v>#DIV/0!</v>
      </c>
      <c r="AS817" s="279">
        <f>AS823/AS830*100</f>
        <v>87.5</v>
      </c>
      <c r="AT817" s="279">
        <f>AT823/AT830*100</f>
        <v>78.94736842105263</v>
      </c>
      <c r="AU817" s="279">
        <f t="shared" si="1412"/>
        <v>90.225563909774436</v>
      </c>
      <c r="AV817" s="279">
        <f>AV823/AV830*100</f>
        <v>100</v>
      </c>
      <c r="AW817" s="279">
        <f>AW823/AW830*100</f>
        <v>89.743589743589752</v>
      </c>
      <c r="AX817" s="279">
        <f t="shared" si="1413"/>
        <v>89.743589743589752</v>
      </c>
      <c r="AY817" s="279">
        <f>AY823/AY830*100</f>
        <v>100</v>
      </c>
      <c r="AZ817" s="279">
        <f>AZ823/AZ830*100</f>
        <v>100</v>
      </c>
      <c r="BA817" s="279">
        <f t="shared" si="1414"/>
        <v>100</v>
      </c>
      <c r="BB817" s="279">
        <f>BB823/BB830*100</f>
        <v>80.597014925373131</v>
      </c>
      <c r="BC817" s="279">
        <f>BC823/BC830*100</f>
        <v>85.714285714285708</v>
      </c>
      <c r="BD817" s="279">
        <f t="shared" si="1415"/>
        <v>106.34920634920636</v>
      </c>
      <c r="BE817" s="279">
        <f>BE823/BE830*100</f>
        <v>98.630136986301366</v>
      </c>
      <c r="BF817" s="279">
        <f>BF823/BF830*100</f>
        <v>95.555555555555557</v>
      </c>
      <c r="BG817" s="279">
        <f t="shared" si="1416"/>
        <v>96.882716049382722</v>
      </c>
      <c r="BH817" s="279">
        <f>BH823/BH830*100</f>
        <v>76.076555023923447</v>
      </c>
      <c r="BI817" s="279">
        <f>BI823/BI830*100</f>
        <v>77.292576419213972</v>
      </c>
      <c r="BJ817" s="279">
        <f t="shared" si="1417"/>
        <v>101.59841806047622</v>
      </c>
      <c r="BK817" s="279">
        <f>BK823/BK830*100</f>
        <v>100</v>
      </c>
      <c r="BL817" s="279">
        <f>BL823/BL830*100</f>
        <v>100</v>
      </c>
      <c r="BM817" s="279">
        <f t="shared" si="1418"/>
        <v>100</v>
      </c>
      <c r="BN817" s="279">
        <f>BN823/BN830*100</f>
        <v>100</v>
      </c>
      <c r="BO817" s="279">
        <f>BO823/BO830*100</f>
        <v>100</v>
      </c>
      <c r="BP817" s="279">
        <f t="shared" si="1419"/>
        <v>100</v>
      </c>
      <c r="BQ817" s="279">
        <f>BQ823/BQ830*100</f>
        <v>100</v>
      </c>
      <c r="BR817" s="279">
        <f>BR823/BR830*100</f>
        <v>100</v>
      </c>
      <c r="BS817" s="279">
        <f t="shared" si="1420"/>
        <v>100</v>
      </c>
      <c r="BT817" s="279">
        <f>BT823/BT830*100</f>
        <v>80.459770114942529</v>
      </c>
      <c r="BU817" s="279">
        <f>BU823/BU830*100</f>
        <v>76.923076923076934</v>
      </c>
      <c r="BV817" s="279">
        <f t="shared" si="1421"/>
        <v>95.60439560439562</v>
      </c>
      <c r="BW817" s="279">
        <f>BW823/BW830*100</f>
        <v>100</v>
      </c>
      <c r="BX817" s="279">
        <f>BX823/BX830*100</f>
        <v>100</v>
      </c>
      <c r="BY817" s="279">
        <f t="shared" si="1422"/>
        <v>100</v>
      </c>
      <c r="BZ817" s="279">
        <f>BZ823/BZ830*100</f>
        <v>100</v>
      </c>
      <c r="CA817" s="279">
        <f>CA823/CA830*100</f>
        <v>100</v>
      </c>
      <c r="CB817" s="279">
        <f t="shared" si="1423"/>
        <v>100</v>
      </c>
      <c r="CC817" s="279">
        <f>CC823/CC830*100</f>
        <v>74.193548387096769</v>
      </c>
      <c r="CD817" s="279">
        <f>CD823/CD830*100</f>
        <v>85.714285714285708</v>
      </c>
      <c r="CE817" s="279">
        <f t="shared" si="1424"/>
        <v>115.52795031055901</v>
      </c>
    </row>
    <row r="818" spans="1:83" hidden="1" x14ac:dyDescent="0.25">
      <c r="A818" s="95"/>
      <c r="B818" s="16" t="s">
        <v>1185</v>
      </c>
      <c r="C818" s="107"/>
      <c r="D818" s="95" t="s">
        <v>8</v>
      </c>
      <c r="E818" s="279">
        <f>E826/E835*100</f>
        <v>64.912280701754383</v>
      </c>
      <c r="F818" s="279">
        <f>F826/F835*100</f>
        <v>65.789473684210535</v>
      </c>
      <c r="G818" s="279">
        <f>G826/G835*100</f>
        <v>66.32124352331607</v>
      </c>
      <c r="H818" s="279">
        <f>H826/(H826+H835)*100</f>
        <v>81.538461538461533</v>
      </c>
      <c r="I818" s="279" t="e">
        <f>I826/(I826+I835)*100</f>
        <v>#DIV/0!</v>
      </c>
      <c r="J818" s="279" t="e">
        <f>J826/(J826+J835)*100</f>
        <v>#DIV/0!</v>
      </c>
      <c r="K818" s="279" t="e">
        <f>K826/(K826+K835)*100</f>
        <v>#DIV/0!</v>
      </c>
      <c r="L818" s="279" t="e">
        <f>L826/(L826+L835)*100</f>
        <v>#DIV/0!</v>
      </c>
      <c r="M818" s="279" t="e">
        <f t="shared" ref="M818:N818" si="1426">M826/(M826+M835)*100</f>
        <v>#DIV/0!</v>
      </c>
      <c r="N818" s="279" t="e">
        <f t="shared" si="1426"/>
        <v>#DIV/0!</v>
      </c>
      <c r="P818" s="279">
        <f>P826/P835*100</f>
        <v>100</v>
      </c>
      <c r="Q818" s="279">
        <f>Q826/Q835*100</f>
        <v>100</v>
      </c>
      <c r="R818" s="279">
        <f>R826/R835*100</f>
        <v>157.14285714285714</v>
      </c>
      <c r="S818" s="279">
        <f>S826/S835*100</f>
        <v>171.42857142857142</v>
      </c>
      <c r="T818" s="279">
        <f t="shared" si="1403"/>
        <v>109.09090909090908</v>
      </c>
      <c r="U818" s="279">
        <f>U826/U835*100</f>
        <v>136.36363636363635</v>
      </c>
      <c r="V818" s="279">
        <f>V826/V835*100</f>
        <v>76.470588235294116</v>
      </c>
      <c r="W818" s="279">
        <f t="shared" si="1404"/>
        <v>56.078431372549034</v>
      </c>
      <c r="X818" s="279">
        <f>X826/X835*100</f>
        <v>71.428571428571431</v>
      </c>
      <c r="Y818" s="279">
        <f>Y826/Y835*100</f>
        <v>64.705882352941174</v>
      </c>
      <c r="Z818" s="279">
        <f t="shared" si="1405"/>
        <v>90.588235294117638</v>
      </c>
      <c r="AA818" s="279">
        <f>AA826/AA835*100</f>
        <v>100</v>
      </c>
      <c r="AB818" s="279">
        <f>AB826/AB835*100</f>
        <v>109.09090909090908</v>
      </c>
      <c r="AC818" s="279">
        <f t="shared" si="1406"/>
        <v>109.09090909090908</v>
      </c>
      <c r="AD818" s="279">
        <f>AD826/AD835*100</f>
        <v>175</v>
      </c>
      <c r="AE818" s="279">
        <f>AE826/AE835*100</f>
        <v>140</v>
      </c>
      <c r="AF818" s="279">
        <f t="shared" si="1407"/>
        <v>80</v>
      </c>
      <c r="AG818" s="279">
        <f>AG826/AG835*100</f>
        <v>45.454545454545453</v>
      </c>
      <c r="AH818" s="279">
        <f>AH826/AH835*100</f>
        <v>66.666666666666657</v>
      </c>
      <c r="AI818" s="279">
        <f t="shared" si="1408"/>
        <v>146.66666666666666</v>
      </c>
      <c r="AJ818" s="279">
        <f>AJ826/AJ835*100</f>
        <v>285.71428571428572</v>
      </c>
      <c r="AK818" s="279">
        <f>AK826/AK835*100</f>
        <v>312.5</v>
      </c>
      <c r="AL818" s="279">
        <f t="shared" si="1409"/>
        <v>109.375</v>
      </c>
      <c r="AM818" s="279">
        <f>AM826/AM835*100</f>
        <v>44</v>
      </c>
      <c r="AN818" s="279">
        <f>AN826/AN835*100</f>
        <v>64.516129032258064</v>
      </c>
      <c r="AO818" s="279">
        <f t="shared" si="1410"/>
        <v>146.62756598240469</v>
      </c>
      <c r="AP818" s="279">
        <f>AP826/AP835*100</f>
        <v>100</v>
      </c>
      <c r="AQ818" s="279">
        <f>AQ826/AQ835*100</f>
        <v>100</v>
      </c>
      <c r="AR818" s="279">
        <f t="shared" si="1411"/>
        <v>100</v>
      </c>
      <c r="AS818" s="279" t="e">
        <f>AS826/AS835*100</f>
        <v>#DIV/0!</v>
      </c>
      <c r="AT818" s="279" t="e">
        <f>AT826/AT835*100</f>
        <v>#DIV/0!</v>
      </c>
      <c r="AU818" s="279" t="e">
        <f t="shared" si="1412"/>
        <v>#DIV/0!</v>
      </c>
      <c r="AV818" s="279" t="e">
        <f>AV826/AV835*100</f>
        <v>#DIV/0!</v>
      </c>
      <c r="AW818" s="279" t="e">
        <f>AW826/AW835*100</f>
        <v>#DIV/0!</v>
      </c>
      <c r="AX818" s="279" t="e">
        <f t="shared" si="1413"/>
        <v>#DIV/0!</v>
      </c>
      <c r="AY818" s="279" t="e">
        <f>AY826/AY835*100</f>
        <v>#DIV/0!</v>
      </c>
      <c r="AZ818" s="279" t="e">
        <f>AZ826/AZ835*100</f>
        <v>#DIV/0!</v>
      </c>
      <c r="BA818" s="279" t="e">
        <f t="shared" si="1414"/>
        <v>#DIV/0!</v>
      </c>
      <c r="BB818" s="279" t="e">
        <f>BB826/BB835*100</f>
        <v>#DIV/0!</v>
      </c>
      <c r="BC818" s="279" t="e">
        <f>BC826/BC835*100</f>
        <v>#DIV/0!</v>
      </c>
      <c r="BD818" s="279" t="e">
        <f t="shared" si="1415"/>
        <v>#DIV/0!</v>
      </c>
      <c r="BE818" s="279" t="e">
        <f>BE826/BE835*100</f>
        <v>#DIV/0!</v>
      </c>
      <c r="BF818" s="279" t="e">
        <f>BF826/BF835*100</f>
        <v>#DIV/0!</v>
      </c>
      <c r="BG818" s="279" t="e">
        <f t="shared" si="1416"/>
        <v>#DIV/0!</v>
      </c>
      <c r="BH818" s="279" t="e">
        <f>BH826/BH835*100</f>
        <v>#DIV/0!</v>
      </c>
      <c r="BI818" s="279" t="e">
        <f>BI826/BI835*100</f>
        <v>#DIV/0!</v>
      </c>
      <c r="BJ818" s="279" t="e">
        <f t="shared" si="1417"/>
        <v>#DIV/0!</v>
      </c>
      <c r="BK818" s="279" t="e">
        <f>BK826/BK835*100</f>
        <v>#DIV/0!</v>
      </c>
      <c r="BL818" s="279" t="e">
        <f>BL826/BL835*100</f>
        <v>#DIV/0!</v>
      </c>
      <c r="BM818" s="279" t="e">
        <f t="shared" si="1418"/>
        <v>#DIV/0!</v>
      </c>
      <c r="BN818" s="279" t="e">
        <f>BN826/BN835*100</f>
        <v>#DIV/0!</v>
      </c>
      <c r="BO818" s="279" t="e">
        <f>BO826/BO835*100</f>
        <v>#DIV/0!</v>
      </c>
      <c r="BP818" s="279" t="e">
        <f t="shared" si="1419"/>
        <v>#DIV/0!</v>
      </c>
      <c r="BQ818" s="279" t="e">
        <f>BQ826/BQ835*100</f>
        <v>#DIV/0!</v>
      </c>
      <c r="BR818" s="279" t="e">
        <f>BR826/BR835*100</f>
        <v>#DIV/0!</v>
      </c>
      <c r="BS818" s="279" t="e">
        <f t="shared" si="1420"/>
        <v>#DIV/0!</v>
      </c>
      <c r="BT818" s="279" t="e">
        <f>BT826/BT835*100</f>
        <v>#DIV/0!</v>
      </c>
      <c r="BU818" s="279" t="e">
        <f>BU826/BU835*100</f>
        <v>#DIV/0!</v>
      </c>
      <c r="BV818" s="279" t="e">
        <f t="shared" si="1421"/>
        <v>#DIV/0!</v>
      </c>
      <c r="BW818" s="279" t="e">
        <f>BW826/BW835*100</f>
        <v>#DIV/0!</v>
      </c>
      <c r="BX818" s="279" t="e">
        <f>BX826/BX835*100</f>
        <v>#DIV/0!</v>
      </c>
      <c r="BY818" s="279" t="e">
        <f t="shared" si="1422"/>
        <v>#DIV/0!</v>
      </c>
      <c r="BZ818" s="279" t="e">
        <f>BZ826/BZ835*100</f>
        <v>#DIV/0!</v>
      </c>
      <c r="CA818" s="279" t="e">
        <f>CA826/CA835*100</f>
        <v>#DIV/0!</v>
      </c>
      <c r="CB818" s="279" t="e">
        <f t="shared" si="1423"/>
        <v>#DIV/0!</v>
      </c>
      <c r="CC818" s="279" t="e">
        <f>CC826/CC835*100</f>
        <v>#DIV/0!</v>
      </c>
      <c r="CD818" s="279" t="e">
        <f>CD826/CD835*100</f>
        <v>#DIV/0!</v>
      </c>
      <c r="CE818" s="279" t="e">
        <f t="shared" si="1424"/>
        <v>#DIV/0!</v>
      </c>
    </row>
    <row r="819" spans="1:83" hidden="1" x14ac:dyDescent="0.25">
      <c r="A819" s="95"/>
      <c r="B819" s="96" t="s">
        <v>1184</v>
      </c>
      <c r="C819" s="107"/>
      <c r="D819" s="95" t="s">
        <v>8</v>
      </c>
      <c r="E819" s="279">
        <f>(E841+E844)/(E848+E853)*100</f>
        <v>100</v>
      </c>
      <c r="F819" s="279">
        <f>(F841+F844)/(F848+F853)*100</f>
        <v>100</v>
      </c>
      <c r="G819" s="279">
        <f>(G841+G844)/(G848+G853)*100</f>
        <v>100</v>
      </c>
      <c r="H819" s="279">
        <f>(H841+H844)/(H848+H853+H841+H844)*100</f>
        <v>100</v>
      </c>
      <c r="I819" s="279" t="e">
        <f>(I841+I844)/(I848+I853+I841+I844)*100</f>
        <v>#DIV/0!</v>
      </c>
      <c r="J819" s="279" t="e">
        <f>(J841+J844)/(J848+J853+J841+J844)*100</f>
        <v>#DIV/0!</v>
      </c>
      <c r="K819" s="279" t="e">
        <f>(K841+K844)/(K848+K853+K841+K844)*100</f>
        <v>#DIV/0!</v>
      </c>
      <c r="L819" s="279" t="e">
        <f>(L841+L844)/(L848+L853+L841+L844)*100</f>
        <v>#DIV/0!</v>
      </c>
      <c r="M819" s="279" t="e">
        <f t="shared" ref="M819:N819" si="1427">(M841+M844)/(M848+M853+M841+M844)*100</f>
        <v>#DIV/0!</v>
      </c>
      <c r="N819" s="279" t="e">
        <f t="shared" si="1427"/>
        <v>#DIV/0!</v>
      </c>
      <c r="P819" s="279">
        <f>(P841+P844)/(P848+P853)*100</f>
        <v>100</v>
      </c>
      <c r="Q819" s="279" t="e">
        <f>(Q841+Q844)/(Q848+Q853)*100</f>
        <v>#DIV/0!</v>
      </c>
      <c r="R819" s="279" t="e">
        <f>(R841+R844)/(R848+R853)*100</f>
        <v>#DIV/0!</v>
      </c>
      <c r="S819" s="279" t="e">
        <f>(S841+S844)/(S848+S853)*100</f>
        <v>#DIV/0!</v>
      </c>
      <c r="T819" s="279" t="e">
        <f t="shared" si="1403"/>
        <v>#DIV/0!</v>
      </c>
      <c r="U819" s="279" t="e">
        <f>(U841+U844)/(U848+U853)*100</f>
        <v>#DIV/0!</v>
      </c>
      <c r="V819" s="279" t="e">
        <f>(V841+V844)/(V848+V853)*100</f>
        <v>#DIV/0!</v>
      </c>
      <c r="W819" s="279" t="e">
        <f t="shared" si="1404"/>
        <v>#DIV/0!</v>
      </c>
      <c r="X819" s="279" t="e">
        <f>(X841+X844)/(X848+X853)*100</f>
        <v>#DIV/0!</v>
      </c>
      <c r="Y819" s="279" t="e">
        <f>(Y841+Y844)/(Y848+Y853)*100</f>
        <v>#DIV/0!</v>
      </c>
      <c r="Z819" s="279" t="e">
        <f t="shared" si="1405"/>
        <v>#DIV/0!</v>
      </c>
      <c r="AA819" s="279" t="e">
        <f>(AA841+AA844)/(AA848+AA853)*100</f>
        <v>#DIV/0!</v>
      </c>
      <c r="AB819" s="279" t="e">
        <f>(AB841+AB844)/(AB848+AB853)*100</f>
        <v>#DIV/0!</v>
      </c>
      <c r="AC819" s="279" t="e">
        <f t="shared" si="1406"/>
        <v>#DIV/0!</v>
      </c>
      <c r="AD819" s="279" t="e">
        <f>(AD841+AD844)/(AD848+AD853)*100</f>
        <v>#DIV/0!</v>
      </c>
      <c r="AE819" s="279" t="e">
        <f>(AE841+AE844)/(AE848+AE853)*100</f>
        <v>#DIV/0!</v>
      </c>
      <c r="AF819" s="279" t="e">
        <f t="shared" si="1407"/>
        <v>#DIV/0!</v>
      </c>
      <c r="AG819" s="279" t="e">
        <f>(AG841+AG844)/(AG848+AG853)*100</f>
        <v>#DIV/0!</v>
      </c>
      <c r="AH819" s="279" t="e">
        <f>(AH841+AH844)/(AH848+AH853)*100</f>
        <v>#DIV/0!</v>
      </c>
      <c r="AI819" s="279" t="e">
        <f t="shared" si="1408"/>
        <v>#DIV/0!</v>
      </c>
      <c r="AJ819" s="279" t="e">
        <f>(AJ841+AJ844)/(AJ848+AJ853)*100</f>
        <v>#DIV/0!</v>
      </c>
      <c r="AK819" s="279" t="e">
        <f>(AK841+AK844)/(AK848+AK853)*100</f>
        <v>#DIV/0!</v>
      </c>
      <c r="AL819" s="279" t="e">
        <f t="shared" si="1409"/>
        <v>#DIV/0!</v>
      </c>
      <c r="AM819" s="279" t="e">
        <f>(AM841+AM844)/(AM848+AM853)*100</f>
        <v>#DIV/0!</v>
      </c>
      <c r="AN819" s="279" t="e">
        <f>(AN841+AN844)/(AN848+AN853)*100</f>
        <v>#DIV/0!</v>
      </c>
      <c r="AO819" s="279" t="e">
        <f t="shared" si="1410"/>
        <v>#DIV/0!</v>
      </c>
      <c r="AP819" s="279" t="e">
        <f>(AP841+AP844)/(AP848+AP853)*100</f>
        <v>#DIV/0!</v>
      </c>
      <c r="AQ819" s="279" t="e">
        <f>(AQ841+AQ844)/(AQ848+AQ853)*100</f>
        <v>#DIV/0!</v>
      </c>
      <c r="AR819" s="279" t="e">
        <f t="shared" si="1411"/>
        <v>#DIV/0!</v>
      </c>
      <c r="AS819" s="279" t="e">
        <f>(AS841+AS844)/(AS848+AS853)*100</f>
        <v>#DIV/0!</v>
      </c>
      <c r="AT819" s="279" t="e">
        <f>(AT841+AT844)/(AT848+AT853)*100</f>
        <v>#DIV/0!</v>
      </c>
      <c r="AU819" s="279" t="e">
        <f t="shared" si="1412"/>
        <v>#DIV/0!</v>
      </c>
      <c r="AV819" s="279" t="e">
        <f>(AV841+AV844)/(AV848+AV853)*100</f>
        <v>#DIV/0!</v>
      </c>
      <c r="AW819" s="279" t="e">
        <f>(AW841+AW844)/(AW848+AW853)*100</f>
        <v>#DIV/0!</v>
      </c>
      <c r="AX819" s="279" t="e">
        <f t="shared" si="1413"/>
        <v>#DIV/0!</v>
      </c>
      <c r="AY819" s="279" t="e">
        <f>(AY841+AY844)/(AY848+AY853)*100</f>
        <v>#DIV/0!</v>
      </c>
      <c r="AZ819" s="279" t="e">
        <f>(AZ841+AZ844)/(AZ848+AZ853)*100</f>
        <v>#DIV/0!</v>
      </c>
      <c r="BA819" s="279" t="e">
        <f t="shared" si="1414"/>
        <v>#DIV/0!</v>
      </c>
      <c r="BB819" s="279">
        <f>(BB841+BB844)/(BB848+BB853)*100</f>
        <v>100</v>
      </c>
      <c r="BC819" s="279" t="e">
        <f>(BC841+BC844)/(BC848+BC853)*100</f>
        <v>#DIV/0!</v>
      </c>
      <c r="BD819" s="279" t="e">
        <f t="shared" si="1415"/>
        <v>#DIV/0!</v>
      </c>
      <c r="BE819" s="279">
        <f>(BE841+BE844)/(BE848+BE853)*100</f>
        <v>100</v>
      </c>
      <c r="BF819" s="279" t="e">
        <f>(BF841+BF844)/(BF848+BF853)*100</f>
        <v>#DIV/0!</v>
      </c>
      <c r="BG819" s="279" t="e">
        <f t="shared" si="1416"/>
        <v>#DIV/0!</v>
      </c>
      <c r="BH819" s="279">
        <f>(BH841+BH844)/(BH848+BH853)*100</f>
        <v>100</v>
      </c>
      <c r="BI819" s="279" t="e">
        <f>(BI841+BI844)/(BI848+BI853)*100</f>
        <v>#DIV/0!</v>
      </c>
      <c r="BJ819" s="279" t="e">
        <f t="shared" si="1417"/>
        <v>#DIV/0!</v>
      </c>
      <c r="BK819" s="279" t="e">
        <f>(BK841+BK844)/(BK848+BK853)*100</f>
        <v>#DIV/0!</v>
      </c>
      <c r="BL819" s="279" t="e">
        <f>(BL841+BL844)/(BL848+BL853)*100</f>
        <v>#DIV/0!</v>
      </c>
      <c r="BM819" s="279" t="e">
        <f t="shared" si="1418"/>
        <v>#DIV/0!</v>
      </c>
      <c r="BN819" s="279" t="e">
        <f>(BN841+BN844)/(BN848+BN853)*100</f>
        <v>#DIV/0!</v>
      </c>
      <c r="BO819" s="279" t="e">
        <f>(BO841+BO844)/(BO848+BO853)*100</f>
        <v>#DIV/0!</v>
      </c>
      <c r="BP819" s="279" t="e">
        <f t="shared" si="1419"/>
        <v>#DIV/0!</v>
      </c>
      <c r="BQ819" s="279" t="e">
        <f>(BQ841+BQ844)/(BQ848+BQ853)*100</f>
        <v>#DIV/0!</v>
      </c>
      <c r="BR819" s="279" t="e">
        <f>(BR841+BR844)/(BR848+BR853)*100</f>
        <v>#DIV/0!</v>
      </c>
      <c r="BS819" s="279" t="e">
        <f t="shared" si="1420"/>
        <v>#DIV/0!</v>
      </c>
      <c r="BT819" s="279" t="e">
        <f>(BT841+BT844)/(BT848+BT853)*100</f>
        <v>#DIV/0!</v>
      </c>
      <c r="BU819" s="279" t="e">
        <f>(BU841+BU844)/(BU848+BU853)*100</f>
        <v>#DIV/0!</v>
      </c>
      <c r="BV819" s="279" t="e">
        <f t="shared" si="1421"/>
        <v>#DIV/0!</v>
      </c>
      <c r="BW819" s="279" t="e">
        <f>(BW841+BW844)/(BW848+BW853)*100</f>
        <v>#DIV/0!</v>
      </c>
      <c r="BX819" s="279" t="e">
        <f>(BX841+BX844)/(BX848+BX853)*100</f>
        <v>#DIV/0!</v>
      </c>
      <c r="BY819" s="279" t="e">
        <f t="shared" si="1422"/>
        <v>#DIV/0!</v>
      </c>
      <c r="BZ819" s="279" t="e">
        <f>(BZ841+BZ844)/(BZ848+BZ853)*100</f>
        <v>#DIV/0!</v>
      </c>
      <c r="CA819" s="279" t="e">
        <f>(CA841+CA844)/(CA848+CA853)*100</f>
        <v>#DIV/0!</v>
      </c>
      <c r="CB819" s="279" t="e">
        <f t="shared" si="1423"/>
        <v>#DIV/0!</v>
      </c>
      <c r="CC819" s="279" t="e">
        <f>(CC841+CC844)/(CC848+CC853)*100</f>
        <v>#DIV/0!</v>
      </c>
      <c r="CD819" s="279" t="e">
        <f>(CD841+CD844)/(CD848+CD853)*100</f>
        <v>#DIV/0!</v>
      </c>
      <c r="CE819" s="279" t="e">
        <f t="shared" si="1424"/>
        <v>#DIV/0!</v>
      </c>
    </row>
    <row r="820" spans="1:83" hidden="1" x14ac:dyDescent="0.25">
      <c r="A820" s="95"/>
      <c r="B820" s="96" t="s">
        <v>1183</v>
      </c>
      <c r="C820" s="107"/>
      <c r="D820" s="95" t="s">
        <v>8</v>
      </c>
      <c r="E820" s="279">
        <f>E841/E848*100</f>
        <v>100</v>
      </c>
      <c r="F820" s="279">
        <f>F841/F848*100</f>
        <v>100</v>
      </c>
      <c r="G820" s="279">
        <f>G841/G848*100</f>
        <v>100</v>
      </c>
      <c r="H820" s="279">
        <f>H841/(H848+H841)*100</f>
        <v>100</v>
      </c>
      <c r="I820" s="279" t="e">
        <f>I841/(I848+I841)*100</f>
        <v>#DIV/0!</v>
      </c>
      <c r="J820" s="279" t="e">
        <f>J841/(J848+J841)*100</f>
        <v>#DIV/0!</v>
      </c>
      <c r="K820" s="279" t="e">
        <f>K841/(K848+K841)*100</f>
        <v>#DIV/0!</v>
      </c>
      <c r="L820" s="279" t="e">
        <f>L841/(L848+L841)*100</f>
        <v>#DIV/0!</v>
      </c>
      <c r="M820" s="279" t="e">
        <f t="shared" ref="M820:N820" si="1428">M841/(M848+M841)*100</f>
        <v>#DIV/0!</v>
      </c>
      <c r="N820" s="279" t="e">
        <f t="shared" si="1428"/>
        <v>#DIV/0!</v>
      </c>
      <c r="P820" s="279">
        <f>P841/P848*100</f>
        <v>100</v>
      </c>
      <c r="Q820" s="279" t="e">
        <f>Q841/Q848*100</f>
        <v>#DIV/0!</v>
      </c>
      <c r="R820" s="279" t="e">
        <f>R841/R848*100</f>
        <v>#DIV/0!</v>
      </c>
      <c r="S820" s="279" t="e">
        <f>S841/S848*100</f>
        <v>#DIV/0!</v>
      </c>
      <c r="T820" s="279" t="e">
        <f t="shared" si="1403"/>
        <v>#DIV/0!</v>
      </c>
      <c r="U820" s="279" t="e">
        <f>U841/U848*100</f>
        <v>#DIV/0!</v>
      </c>
      <c r="V820" s="279" t="e">
        <f>V841/V848*100</f>
        <v>#DIV/0!</v>
      </c>
      <c r="W820" s="279" t="e">
        <f t="shared" si="1404"/>
        <v>#DIV/0!</v>
      </c>
      <c r="X820" s="279" t="e">
        <f>X841/X848*100</f>
        <v>#DIV/0!</v>
      </c>
      <c r="Y820" s="279" t="e">
        <f>Y841/Y848*100</f>
        <v>#DIV/0!</v>
      </c>
      <c r="Z820" s="279" t="e">
        <f t="shared" si="1405"/>
        <v>#DIV/0!</v>
      </c>
      <c r="AA820" s="279" t="e">
        <f>AA841/AA848*100</f>
        <v>#DIV/0!</v>
      </c>
      <c r="AB820" s="279" t="e">
        <f>AB841/AB848*100</f>
        <v>#DIV/0!</v>
      </c>
      <c r="AC820" s="279" t="e">
        <f t="shared" si="1406"/>
        <v>#DIV/0!</v>
      </c>
      <c r="AD820" s="279" t="e">
        <f>AD841/AD848*100</f>
        <v>#DIV/0!</v>
      </c>
      <c r="AE820" s="279" t="e">
        <f>AE841/AE848*100</f>
        <v>#DIV/0!</v>
      </c>
      <c r="AF820" s="279" t="e">
        <f t="shared" si="1407"/>
        <v>#DIV/0!</v>
      </c>
      <c r="AG820" s="279" t="e">
        <f>AG841/AG848*100</f>
        <v>#DIV/0!</v>
      </c>
      <c r="AH820" s="279" t="e">
        <f>AH841/AH848*100</f>
        <v>#DIV/0!</v>
      </c>
      <c r="AI820" s="279" t="e">
        <f t="shared" si="1408"/>
        <v>#DIV/0!</v>
      </c>
      <c r="AJ820" s="279" t="e">
        <f>AJ841/AJ848*100</f>
        <v>#DIV/0!</v>
      </c>
      <c r="AK820" s="279" t="e">
        <f>AK841/AK848*100</f>
        <v>#DIV/0!</v>
      </c>
      <c r="AL820" s="279" t="e">
        <f t="shared" si="1409"/>
        <v>#DIV/0!</v>
      </c>
      <c r="AM820" s="279" t="e">
        <f>AM841/AM848*100</f>
        <v>#DIV/0!</v>
      </c>
      <c r="AN820" s="279" t="e">
        <f>AN841/AN848*100</f>
        <v>#DIV/0!</v>
      </c>
      <c r="AO820" s="279" t="e">
        <f t="shared" si="1410"/>
        <v>#DIV/0!</v>
      </c>
      <c r="AP820" s="279" t="e">
        <f>AP841/AP848*100</f>
        <v>#DIV/0!</v>
      </c>
      <c r="AQ820" s="279" t="e">
        <f>AQ841/AQ848*100</f>
        <v>#DIV/0!</v>
      </c>
      <c r="AR820" s="279" t="e">
        <f t="shared" si="1411"/>
        <v>#DIV/0!</v>
      </c>
      <c r="AS820" s="279" t="e">
        <f>AS841/AS848*100</f>
        <v>#DIV/0!</v>
      </c>
      <c r="AT820" s="279" t="e">
        <f>AT841/AT848*100</f>
        <v>#DIV/0!</v>
      </c>
      <c r="AU820" s="279" t="e">
        <f t="shared" si="1412"/>
        <v>#DIV/0!</v>
      </c>
      <c r="AV820" s="279" t="e">
        <f>AV841/AV848*100</f>
        <v>#DIV/0!</v>
      </c>
      <c r="AW820" s="279" t="e">
        <f>AW841/AW848*100</f>
        <v>#DIV/0!</v>
      </c>
      <c r="AX820" s="279" t="e">
        <f t="shared" si="1413"/>
        <v>#DIV/0!</v>
      </c>
      <c r="AY820" s="279" t="e">
        <f>AY841/AY848*100</f>
        <v>#DIV/0!</v>
      </c>
      <c r="AZ820" s="279" t="e">
        <f>AZ841/AZ848*100</f>
        <v>#DIV/0!</v>
      </c>
      <c r="BA820" s="279" t="e">
        <f t="shared" si="1414"/>
        <v>#DIV/0!</v>
      </c>
      <c r="BB820" s="279">
        <f>BB841/BB848*100</f>
        <v>100</v>
      </c>
      <c r="BC820" s="279" t="e">
        <f>BC841/BC848*100</f>
        <v>#DIV/0!</v>
      </c>
      <c r="BD820" s="279" t="e">
        <f t="shared" si="1415"/>
        <v>#DIV/0!</v>
      </c>
      <c r="BE820" s="279">
        <f>BE841/BE848*100</f>
        <v>100</v>
      </c>
      <c r="BF820" s="279" t="e">
        <f>BF841/BF848*100</f>
        <v>#DIV/0!</v>
      </c>
      <c r="BG820" s="279" t="e">
        <f t="shared" si="1416"/>
        <v>#DIV/0!</v>
      </c>
      <c r="BH820" s="279">
        <f>BH841/BH848*100</f>
        <v>100</v>
      </c>
      <c r="BI820" s="279" t="e">
        <f>BI841/BI848*100</f>
        <v>#DIV/0!</v>
      </c>
      <c r="BJ820" s="279" t="e">
        <f t="shared" si="1417"/>
        <v>#DIV/0!</v>
      </c>
      <c r="BK820" s="279" t="e">
        <f>BK841/BK848*100</f>
        <v>#DIV/0!</v>
      </c>
      <c r="BL820" s="279" t="e">
        <f>BL841/BL848*100</f>
        <v>#DIV/0!</v>
      </c>
      <c r="BM820" s="279" t="e">
        <f t="shared" si="1418"/>
        <v>#DIV/0!</v>
      </c>
      <c r="BN820" s="279" t="e">
        <f>BN841/BN848*100</f>
        <v>#DIV/0!</v>
      </c>
      <c r="BO820" s="279" t="e">
        <f>BO841/BO848*100</f>
        <v>#DIV/0!</v>
      </c>
      <c r="BP820" s="279" t="e">
        <f t="shared" si="1419"/>
        <v>#DIV/0!</v>
      </c>
      <c r="BQ820" s="279" t="e">
        <f>BQ841/BQ848*100</f>
        <v>#DIV/0!</v>
      </c>
      <c r="BR820" s="279" t="e">
        <f>BR841/BR848*100</f>
        <v>#DIV/0!</v>
      </c>
      <c r="BS820" s="279" t="e">
        <f t="shared" si="1420"/>
        <v>#DIV/0!</v>
      </c>
      <c r="BT820" s="279" t="e">
        <f>BT841/BT848*100</f>
        <v>#DIV/0!</v>
      </c>
      <c r="BU820" s="279" t="e">
        <f>BU841/BU848*100</f>
        <v>#DIV/0!</v>
      </c>
      <c r="BV820" s="279" t="e">
        <f t="shared" si="1421"/>
        <v>#DIV/0!</v>
      </c>
      <c r="BW820" s="279" t="e">
        <f>BW841/BW848*100</f>
        <v>#DIV/0!</v>
      </c>
      <c r="BX820" s="279" t="e">
        <f>BX841/BX848*100</f>
        <v>#DIV/0!</v>
      </c>
      <c r="BY820" s="279" t="e">
        <f t="shared" si="1422"/>
        <v>#DIV/0!</v>
      </c>
      <c r="BZ820" s="279" t="e">
        <f>BZ841/BZ848*100</f>
        <v>#DIV/0!</v>
      </c>
      <c r="CA820" s="279" t="e">
        <f>CA841/CA848*100</f>
        <v>#DIV/0!</v>
      </c>
      <c r="CB820" s="279" t="e">
        <f t="shared" si="1423"/>
        <v>#DIV/0!</v>
      </c>
      <c r="CC820" s="279" t="e">
        <f>CC841/CC848*100</f>
        <v>#DIV/0!</v>
      </c>
      <c r="CD820" s="279" t="e">
        <f>CD841/CD848*100</f>
        <v>#DIV/0!</v>
      </c>
      <c r="CE820" s="279" t="e">
        <f t="shared" si="1424"/>
        <v>#DIV/0!</v>
      </c>
    </row>
    <row r="821" spans="1:83" hidden="1" x14ac:dyDescent="0.25">
      <c r="A821" s="95"/>
      <c r="B821" s="16" t="s">
        <v>1185</v>
      </c>
      <c r="C821" s="107"/>
      <c r="D821" s="95" t="s">
        <v>8</v>
      </c>
      <c r="E821" s="279" t="e">
        <f>E844/E853*100</f>
        <v>#DIV/0!</v>
      </c>
      <c r="F821" s="279" t="e">
        <f>F844/F853*100</f>
        <v>#DIV/0!</v>
      </c>
      <c r="G821" s="279" t="e">
        <f>G844/G853*100</f>
        <v>#DIV/0!</v>
      </c>
      <c r="H821" s="279" t="e">
        <f>H844/(H844+H853)*100</f>
        <v>#DIV/0!</v>
      </c>
      <c r="I821" s="279" t="e">
        <f>I844/(I844+I853)*100</f>
        <v>#DIV/0!</v>
      </c>
      <c r="J821" s="279" t="e">
        <f>J844/(J844+J853)*100</f>
        <v>#DIV/0!</v>
      </c>
      <c r="K821" s="279" t="e">
        <f>K844/(K844+K853)*100</f>
        <v>#DIV/0!</v>
      </c>
      <c r="L821" s="279" t="e">
        <f>L844/(L844+L853)*100</f>
        <v>#DIV/0!</v>
      </c>
      <c r="M821" s="279" t="e">
        <f t="shared" ref="M821:N821" si="1429">M844/(M844+M853)*100</f>
        <v>#DIV/0!</v>
      </c>
      <c r="N821" s="279" t="e">
        <f t="shared" si="1429"/>
        <v>#DIV/0!</v>
      </c>
      <c r="P821" s="279" t="e">
        <f>P844/P853*100</f>
        <v>#DIV/0!</v>
      </c>
      <c r="Q821" s="279" t="e">
        <f>Q844/Q853*100</f>
        <v>#DIV/0!</v>
      </c>
      <c r="R821" s="279" t="e">
        <f>R844/R853*100</f>
        <v>#DIV/0!</v>
      </c>
      <c r="S821" s="279" t="e">
        <f>S844/S853*100</f>
        <v>#DIV/0!</v>
      </c>
      <c r="T821" s="279" t="e">
        <f t="shared" si="1403"/>
        <v>#DIV/0!</v>
      </c>
      <c r="U821" s="279" t="e">
        <f>U844/U853*100</f>
        <v>#DIV/0!</v>
      </c>
      <c r="V821" s="279" t="e">
        <f>V844/V853*100</f>
        <v>#DIV/0!</v>
      </c>
      <c r="W821" s="279" t="e">
        <f t="shared" si="1404"/>
        <v>#DIV/0!</v>
      </c>
      <c r="X821" s="279" t="e">
        <f>X844/X853*100</f>
        <v>#DIV/0!</v>
      </c>
      <c r="Y821" s="279" t="e">
        <f>Y844/Y853*100</f>
        <v>#DIV/0!</v>
      </c>
      <c r="Z821" s="279" t="e">
        <f t="shared" si="1405"/>
        <v>#DIV/0!</v>
      </c>
      <c r="AA821" s="279" t="e">
        <f>AA844/AA853*100</f>
        <v>#DIV/0!</v>
      </c>
      <c r="AB821" s="279" t="e">
        <f>AB844/AB853*100</f>
        <v>#DIV/0!</v>
      </c>
      <c r="AC821" s="279" t="e">
        <f t="shared" si="1406"/>
        <v>#DIV/0!</v>
      </c>
      <c r="AD821" s="279" t="e">
        <f>AD844/AD853*100</f>
        <v>#DIV/0!</v>
      </c>
      <c r="AE821" s="279" t="e">
        <f>AE844/AE853*100</f>
        <v>#DIV/0!</v>
      </c>
      <c r="AF821" s="279" t="e">
        <f t="shared" si="1407"/>
        <v>#DIV/0!</v>
      </c>
      <c r="AG821" s="279" t="e">
        <f>AG844/AG853*100</f>
        <v>#DIV/0!</v>
      </c>
      <c r="AH821" s="279" t="e">
        <f>AH844/AH853*100</f>
        <v>#DIV/0!</v>
      </c>
      <c r="AI821" s="279" t="e">
        <f t="shared" si="1408"/>
        <v>#DIV/0!</v>
      </c>
      <c r="AJ821" s="279" t="e">
        <f>AJ844/AJ853*100</f>
        <v>#DIV/0!</v>
      </c>
      <c r="AK821" s="279" t="e">
        <f>AK844/AK853*100</f>
        <v>#DIV/0!</v>
      </c>
      <c r="AL821" s="279" t="e">
        <f t="shared" si="1409"/>
        <v>#DIV/0!</v>
      </c>
      <c r="AM821" s="279" t="e">
        <f>AM844/AM853*100</f>
        <v>#DIV/0!</v>
      </c>
      <c r="AN821" s="279" t="e">
        <f>AN844/AN853*100</f>
        <v>#DIV/0!</v>
      </c>
      <c r="AO821" s="279" t="e">
        <f t="shared" si="1410"/>
        <v>#DIV/0!</v>
      </c>
      <c r="AP821" s="279" t="e">
        <f>AP844/AP853*100</f>
        <v>#DIV/0!</v>
      </c>
      <c r="AQ821" s="279" t="e">
        <f>AQ844/AQ853*100</f>
        <v>#DIV/0!</v>
      </c>
      <c r="AR821" s="279" t="e">
        <f t="shared" si="1411"/>
        <v>#DIV/0!</v>
      </c>
      <c r="AS821" s="279" t="e">
        <f>AS844/AS853*100</f>
        <v>#DIV/0!</v>
      </c>
      <c r="AT821" s="279" t="e">
        <f>AT844/AT853*100</f>
        <v>#DIV/0!</v>
      </c>
      <c r="AU821" s="279" t="e">
        <f t="shared" si="1412"/>
        <v>#DIV/0!</v>
      </c>
      <c r="AV821" s="279" t="e">
        <f>AV844/AV853*100</f>
        <v>#DIV/0!</v>
      </c>
      <c r="AW821" s="279" t="e">
        <f>AW844/AW853*100</f>
        <v>#DIV/0!</v>
      </c>
      <c r="AX821" s="279" t="e">
        <f t="shared" si="1413"/>
        <v>#DIV/0!</v>
      </c>
      <c r="AY821" s="279" t="e">
        <f>AY844/AY853*100</f>
        <v>#DIV/0!</v>
      </c>
      <c r="AZ821" s="279" t="e">
        <f>AZ844/AZ853*100</f>
        <v>#DIV/0!</v>
      </c>
      <c r="BA821" s="279" t="e">
        <f t="shared" si="1414"/>
        <v>#DIV/0!</v>
      </c>
      <c r="BB821" s="279" t="e">
        <f>BB844/BB853*100</f>
        <v>#DIV/0!</v>
      </c>
      <c r="BC821" s="279" t="e">
        <f>BC844/BC853*100</f>
        <v>#DIV/0!</v>
      </c>
      <c r="BD821" s="279" t="e">
        <f t="shared" si="1415"/>
        <v>#DIV/0!</v>
      </c>
      <c r="BE821" s="279" t="e">
        <f>BE844/BE853*100</f>
        <v>#DIV/0!</v>
      </c>
      <c r="BF821" s="279" t="e">
        <f>BF844/BF853*100</f>
        <v>#DIV/0!</v>
      </c>
      <c r="BG821" s="279" t="e">
        <f t="shared" si="1416"/>
        <v>#DIV/0!</v>
      </c>
      <c r="BH821" s="279" t="e">
        <f>BH844/BH853*100</f>
        <v>#DIV/0!</v>
      </c>
      <c r="BI821" s="279" t="e">
        <f>BI844/BI853*100</f>
        <v>#DIV/0!</v>
      </c>
      <c r="BJ821" s="279" t="e">
        <f t="shared" si="1417"/>
        <v>#DIV/0!</v>
      </c>
      <c r="BK821" s="279" t="e">
        <f>BK844/BK853*100</f>
        <v>#DIV/0!</v>
      </c>
      <c r="BL821" s="279" t="e">
        <f>BL844/BL853*100</f>
        <v>#DIV/0!</v>
      </c>
      <c r="BM821" s="279" t="e">
        <f t="shared" si="1418"/>
        <v>#DIV/0!</v>
      </c>
      <c r="BN821" s="279" t="e">
        <f>BN844/BN853*100</f>
        <v>#DIV/0!</v>
      </c>
      <c r="BO821" s="279" t="e">
        <f>BO844/BO853*100</f>
        <v>#DIV/0!</v>
      </c>
      <c r="BP821" s="279" t="e">
        <f t="shared" si="1419"/>
        <v>#DIV/0!</v>
      </c>
      <c r="BQ821" s="279" t="e">
        <f>BQ844/BQ853*100</f>
        <v>#DIV/0!</v>
      </c>
      <c r="BR821" s="279" t="e">
        <f>BR844/BR853*100</f>
        <v>#DIV/0!</v>
      </c>
      <c r="BS821" s="279" t="e">
        <f t="shared" si="1420"/>
        <v>#DIV/0!</v>
      </c>
      <c r="BT821" s="279" t="e">
        <f>BT844/BT853*100</f>
        <v>#DIV/0!</v>
      </c>
      <c r="BU821" s="279" t="e">
        <f>BU844/BU853*100</f>
        <v>#DIV/0!</v>
      </c>
      <c r="BV821" s="279" t="e">
        <f t="shared" si="1421"/>
        <v>#DIV/0!</v>
      </c>
      <c r="BW821" s="279" t="e">
        <f>BW844/BW853*100</f>
        <v>#DIV/0!</v>
      </c>
      <c r="BX821" s="279" t="e">
        <f>BX844/BX853*100</f>
        <v>#DIV/0!</v>
      </c>
      <c r="BY821" s="279" t="e">
        <f t="shared" si="1422"/>
        <v>#DIV/0!</v>
      </c>
      <c r="BZ821" s="279" t="e">
        <f>BZ844/BZ853*100</f>
        <v>#DIV/0!</v>
      </c>
      <c r="CA821" s="279" t="e">
        <f>CA844/CA853*100</f>
        <v>#DIV/0!</v>
      </c>
      <c r="CB821" s="279" t="e">
        <f t="shared" si="1423"/>
        <v>#DIV/0!</v>
      </c>
      <c r="CC821" s="279" t="e">
        <f>CC844/CC853*100</f>
        <v>#DIV/0!</v>
      </c>
      <c r="CD821" s="279" t="e">
        <f>CD844/CD853*100</f>
        <v>#DIV/0!</v>
      </c>
      <c r="CE821" s="279" t="e">
        <f t="shared" si="1424"/>
        <v>#DIV/0!</v>
      </c>
    </row>
    <row r="822" spans="1:83" ht="165" hidden="1" x14ac:dyDescent="0.25">
      <c r="A822" s="107"/>
      <c r="B822" s="16" t="s">
        <v>232</v>
      </c>
      <c r="C822" s="95"/>
      <c r="D822" s="95"/>
      <c r="E822" s="103"/>
      <c r="F822" s="103"/>
      <c r="G822" s="103"/>
      <c r="H822" s="103"/>
      <c r="I822" s="103"/>
      <c r="J822" s="103"/>
      <c r="K822" s="103"/>
      <c r="L822" s="103"/>
      <c r="M822" s="103"/>
      <c r="N822" s="103"/>
      <c r="O822" s="281"/>
    </row>
    <row r="823" spans="1:83" ht="30" hidden="1" x14ac:dyDescent="0.25">
      <c r="A823" s="107"/>
      <c r="B823" s="16" t="s">
        <v>1183</v>
      </c>
      <c r="C823" s="95" t="s">
        <v>1243</v>
      </c>
      <c r="D823" s="95" t="s">
        <v>950</v>
      </c>
      <c r="E823" s="103">
        <v>1128</v>
      </c>
      <c r="F823" s="103">
        <v>1126</v>
      </c>
      <c r="G823" s="103">
        <v>1203</v>
      </c>
      <c r="H823" s="103">
        <f>H824+H825</f>
        <v>1446</v>
      </c>
      <c r="I823" s="103">
        <f>I824+I825</f>
        <v>0</v>
      </c>
      <c r="J823" s="103">
        <f>J824+J825</f>
        <v>0</v>
      </c>
      <c r="K823" s="103">
        <f>K824+K825</f>
        <v>0</v>
      </c>
      <c r="L823" s="103">
        <f>L824+L825</f>
        <v>0</v>
      </c>
      <c r="M823" s="103">
        <f t="shared" ref="M823:N823" si="1430">M824+M825</f>
        <v>0</v>
      </c>
      <c r="N823" s="103">
        <f t="shared" si="1430"/>
        <v>0</v>
      </c>
      <c r="O823" s="281">
        <v>1331</v>
      </c>
      <c r="P823" s="267">
        <f>R823+U823+X823+AA823+AD823+AG823+AJ823+AM823+AP823+AS823+AV823+AY823+BB823+BE823+BH823+BK823+BN823+BQ823+BT823+BW823+BZ823+CC823</f>
        <v>1128</v>
      </c>
      <c r="Q823" s="267">
        <f>S823+V823+Y823+AB823+AE823+AH823+AK823+AN823+AQ823+AT823+AW823+AZ823+BC823+BF823+BI823+BL823+BO823+BR823+BU823+BX823+CA823+CD823</f>
        <v>1126</v>
      </c>
      <c r="R823" s="267">
        <v>22</v>
      </c>
      <c r="S823" s="267">
        <v>24</v>
      </c>
      <c r="U823" s="267">
        <v>27</v>
      </c>
      <c r="V823" s="267">
        <v>24</v>
      </c>
      <c r="X823" s="267">
        <v>20</v>
      </c>
      <c r="Y823" s="267">
        <v>23</v>
      </c>
      <c r="AA823" s="267">
        <v>21</v>
      </c>
      <c r="AB823" s="267">
        <v>22</v>
      </c>
      <c r="AD823" s="267">
        <v>13</v>
      </c>
      <c r="AE823" s="267">
        <v>13</v>
      </c>
      <c r="AG823" s="267">
        <v>11</v>
      </c>
      <c r="AH823" s="267">
        <v>16</v>
      </c>
      <c r="AJ823" s="267">
        <v>55</v>
      </c>
      <c r="AK823" s="267">
        <v>64</v>
      </c>
      <c r="AM823" s="267">
        <v>81</v>
      </c>
      <c r="AN823" s="267">
        <v>72</v>
      </c>
      <c r="AS823" s="267">
        <v>70</v>
      </c>
      <c r="AT823" s="267">
        <v>60</v>
      </c>
      <c r="AV823" s="267">
        <v>33</v>
      </c>
      <c r="AW823" s="267">
        <v>35</v>
      </c>
      <c r="AY823" s="267">
        <v>49</v>
      </c>
      <c r="AZ823" s="267">
        <v>53</v>
      </c>
      <c r="BB823" s="267">
        <v>54</v>
      </c>
      <c r="BC823" s="267">
        <v>60</v>
      </c>
      <c r="BE823" s="267">
        <v>216</v>
      </c>
      <c r="BF823" s="267">
        <v>215</v>
      </c>
      <c r="BH823" s="267">
        <v>159</v>
      </c>
      <c r="BI823" s="267">
        <v>177</v>
      </c>
      <c r="BK823" s="267">
        <v>56</v>
      </c>
      <c r="BL823" s="267">
        <v>44</v>
      </c>
      <c r="BN823" s="267">
        <v>33</v>
      </c>
      <c r="BO823" s="267">
        <v>30</v>
      </c>
      <c r="BQ823" s="267">
        <v>58</v>
      </c>
      <c r="BR823" s="267">
        <v>61</v>
      </c>
      <c r="BT823" s="267">
        <v>70</v>
      </c>
      <c r="BU823" s="267">
        <v>60</v>
      </c>
      <c r="BW823" s="267">
        <v>9</v>
      </c>
      <c r="BX823" s="267">
        <v>8</v>
      </c>
      <c r="BZ823" s="267">
        <v>48</v>
      </c>
      <c r="CA823" s="267">
        <v>23</v>
      </c>
      <c r="CC823" s="267">
        <v>23</v>
      </c>
      <c r="CD823" s="267">
        <v>42</v>
      </c>
    </row>
    <row r="824" spans="1:83" hidden="1" x14ac:dyDescent="0.25">
      <c r="A824" s="107"/>
      <c r="B824" s="312" t="s">
        <v>1509</v>
      </c>
      <c r="C824" s="95"/>
      <c r="D824" s="95"/>
      <c r="E824" s="103"/>
      <c r="F824" s="103"/>
      <c r="G824" s="103"/>
      <c r="H824" s="103">
        <v>695</v>
      </c>
      <c r="I824" s="103"/>
      <c r="J824" s="103"/>
      <c r="K824" s="103"/>
      <c r="L824" s="103"/>
      <c r="M824" s="103"/>
      <c r="N824" s="103"/>
      <c r="O824" s="281"/>
    </row>
    <row r="825" spans="1:83" hidden="1" x14ac:dyDescent="0.25">
      <c r="A825" s="107"/>
      <c r="B825" s="312" t="s">
        <v>1510</v>
      </c>
      <c r="C825" s="95"/>
      <c r="D825" s="95"/>
      <c r="E825" s="103"/>
      <c r="F825" s="103"/>
      <c r="G825" s="103"/>
      <c r="H825" s="103">
        <v>751</v>
      </c>
      <c r="I825" s="103"/>
      <c r="J825" s="103"/>
      <c r="K825" s="103"/>
      <c r="L825" s="103"/>
      <c r="M825" s="103"/>
      <c r="N825" s="103"/>
      <c r="O825" s="281"/>
    </row>
    <row r="826" spans="1:83" ht="30" hidden="1" x14ac:dyDescent="0.25">
      <c r="A826" s="107"/>
      <c r="B826" s="16" t="s">
        <v>1185</v>
      </c>
      <c r="C826" s="95" t="s">
        <v>1243</v>
      </c>
      <c r="D826" s="95" t="s">
        <v>950</v>
      </c>
      <c r="E826" s="103">
        <v>111</v>
      </c>
      <c r="F826" s="103">
        <v>125</v>
      </c>
      <c r="G826" s="103">
        <v>128</v>
      </c>
      <c r="H826" s="103">
        <f>H827+H828</f>
        <v>159</v>
      </c>
      <c r="I826" s="103">
        <f>I827+I828</f>
        <v>0</v>
      </c>
      <c r="J826" s="103">
        <f>J827+J828</f>
        <v>0</v>
      </c>
      <c r="K826" s="103">
        <f>K827+K828</f>
        <v>0</v>
      </c>
      <c r="L826" s="103">
        <f>L827+L828</f>
        <v>0</v>
      </c>
      <c r="M826" s="103">
        <f t="shared" ref="M826:N826" si="1431">M827+M828</f>
        <v>0</v>
      </c>
      <c r="N826" s="103">
        <f t="shared" si="1431"/>
        <v>0</v>
      </c>
      <c r="O826" s="281"/>
      <c r="P826" s="267">
        <f>R826+U826+X826+AA826+AD826+AG826+AJ826+AM826+AP826+AS826+AV826+AY826+BB826+BE826+BH826+BK826+BN826+BQ826+BT826+BW826+BZ826+CC826</f>
        <v>111</v>
      </c>
      <c r="Q826" s="267">
        <f>S826+V826+Y826+AB826+AE826+AH826+AK826+AN826+AQ826+AT826+AW826+AZ826+BC826+BF826+BI826+BL826+BO826+BR826+BU826+BX826+CA826+CD826</f>
        <v>125</v>
      </c>
      <c r="R826" s="267">
        <v>11</v>
      </c>
      <c r="S826" s="267">
        <v>12</v>
      </c>
      <c r="U826" s="267">
        <v>15</v>
      </c>
      <c r="V826" s="267">
        <v>13</v>
      </c>
      <c r="X826" s="267">
        <v>10</v>
      </c>
      <c r="Y826" s="267">
        <v>11</v>
      </c>
      <c r="AA826" s="267">
        <v>10</v>
      </c>
      <c r="AB826" s="267">
        <v>12</v>
      </c>
      <c r="AD826" s="267">
        <v>7</v>
      </c>
      <c r="AE826" s="267">
        <v>7</v>
      </c>
      <c r="AG826" s="267">
        <v>5</v>
      </c>
      <c r="AH826" s="267">
        <v>8</v>
      </c>
      <c r="AJ826" s="267">
        <v>20</v>
      </c>
      <c r="AK826" s="267">
        <v>25</v>
      </c>
      <c r="AM826" s="267">
        <v>11</v>
      </c>
      <c r="AN826" s="267">
        <v>20</v>
      </c>
      <c r="AP826" s="267">
        <v>22</v>
      </c>
      <c r="AQ826" s="267">
        <v>17</v>
      </c>
    </row>
    <row r="827" spans="1:83" hidden="1" x14ac:dyDescent="0.25">
      <c r="A827" s="107"/>
      <c r="B827" s="312" t="s">
        <v>1509</v>
      </c>
      <c r="C827" s="95"/>
      <c r="D827" s="95"/>
      <c r="E827" s="103"/>
      <c r="F827" s="103"/>
      <c r="G827" s="103"/>
      <c r="H827" s="103">
        <v>121</v>
      </c>
      <c r="I827" s="103"/>
      <c r="J827" s="103"/>
      <c r="K827" s="103"/>
      <c r="L827" s="103"/>
      <c r="M827" s="103"/>
      <c r="N827" s="103"/>
      <c r="O827" s="281"/>
    </row>
    <row r="828" spans="1:83" hidden="1" x14ac:dyDescent="0.25">
      <c r="A828" s="107"/>
      <c r="B828" s="312" t="s">
        <v>1510</v>
      </c>
      <c r="C828" s="95"/>
      <c r="D828" s="95"/>
      <c r="E828" s="103"/>
      <c r="F828" s="103"/>
      <c r="G828" s="103"/>
      <c r="H828" s="103">
        <v>38</v>
      </c>
      <c r="I828" s="103"/>
      <c r="J828" s="103"/>
      <c r="K828" s="103"/>
      <c r="L828" s="103"/>
      <c r="M828" s="103"/>
      <c r="N828" s="103"/>
      <c r="O828" s="281"/>
    </row>
    <row r="829" spans="1:83" ht="60" hidden="1" x14ac:dyDescent="0.25">
      <c r="A829" s="107"/>
      <c r="B829" s="16" t="s">
        <v>233</v>
      </c>
      <c r="C829" s="95"/>
      <c r="D829" s="95"/>
      <c r="E829" s="103"/>
      <c r="F829" s="103"/>
      <c r="G829" s="103"/>
      <c r="H829" s="103"/>
      <c r="I829" s="103"/>
      <c r="J829" s="103"/>
      <c r="K829" s="103"/>
      <c r="L829" s="103"/>
      <c r="M829" s="103"/>
      <c r="N829" s="103"/>
    </row>
    <row r="830" spans="1:83" ht="30" hidden="1" x14ac:dyDescent="0.25">
      <c r="A830" s="107"/>
      <c r="B830" s="16" t="s">
        <v>1183</v>
      </c>
      <c r="C830" s="95" t="s">
        <v>1238</v>
      </c>
      <c r="D830" s="95" t="s">
        <v>950</v>
      </c>
      <c r="E830" s="103">
        <v>1957</v>
      </c>
      <c r="F830" s="103">
        <v>2078</v>
      </c>
      <c r="G830" s="103">
        <v>2242</v>
      </c>
      <c r="H830" s="103">
        <f>H831+H832+H833+H834</f>
        <v>1118</v>
      </c>
      <c r="I830" s="103">
        <f>I831+I832+I833+I834</f>
        <v>0</v>
      </c>
      <c r="J830" s="103">
        <f>J831+J832+J833+J834</f>
        <v>0</v>
      </c>
      <c r="K830" s="103">
        <f>K831+K832+K833+K834</f>
        <v>0</v>
      </c>
      <c r="L830" s="103">
        <f>L831+L832+L833+L834</f>
        <v>0</v>
      </c>
      <c r="M830" s="103">
        <f t="shared" ref="M830:N830" si="1432">M831+M832+M833+M834</f>
        <v>0</v>
      </c>
      <c r="N830" s="103">
        <f t="shared" si="1432"/>
        <v>0</v>
      </c>
      <c r="P830" s="267">
        <f>R830+U830+X830+AA830+AD830+AG830+AJ830+AM830+AP830+AS830+AV830+AY830+BB830+BE830+BH830+BK830+BN830+BQ830+BT830+BW830+BZ830+CC830</f>
        <v>1259</v>
      </c>
      <c r="Q830" s="267">
        <f>S830+V830+Y830+AB830+AE830+AH830+AK830+AN830+AQ830+AT830+AW830+AZ830+BC830+BF830+BI830+BL830+BO830+BR830+BU830+BX830+CA830+CD830</f>
        <v>1289</v>
      </c>
      <c r="R830" s="267">
        <v>28</v>
      </c>
      <c r="S830" s="267">
        <v>31</v>
      </c>
      <c r="U830" s="267">
        <v>31</v>
      </c>
      <c r="V830" s="267">
        <v>20</v>
      </c>
      <c r="X830" s="267">
        <v>16</v>
      </c>
      <c r="Y830" s="267">
        <v>17</v>
      </c>
      <c r="AA830" s="267">
        <v>21</v>
      </c>
      <c r="AB830" s="267">
        <v>23</v>
      </c>
      <c r="AD830" s="267">
        <v>23</v>
      </c>
      <c r="AE830" s="267">
        <v>25</v>
      </c>
      <c r="AG830" s="267">
        <v>5</v>
      </c>
      <c r="AH830" s="267">
        <v>12</v>
      </c>
      <c r="AJ830" s="267">
        <v>82</v>
      </c>
      <c r="AK830" s="267">
        <v>96</v>
      </c>
      <c r="AM830" s="267">
        <v>74</v>
      </c>
      <c r="AN830" s="267">
        <v>80</v>
      </c>
      <c r="AS830" s="267">
        <v>80</v>
      </c>
      <c r="AT830" s="267">
        <v>76</v>
      </c>
      <c r="AV830" s="267">
        <v>33</v>
      </c>
      <c r="AW830" s="267">
        <v>39</v>
      </c>
      <c r="AY830" s="267">
        <v>49</v>
      </c>
      <c r="AZ830" s="267">
        <v>53</v>
      </c>
      <c r="BB830" s="267">
        <v>67</v>
      </c>
      <c r="BC830" s="267">
        <v>70</v>
      </c>
      <c r="BE830" s="267">
        <v>219</v>
      </c>
      <c r="BF830" s="267">
        <v>225</v>
      </c>
      <c r="BH830" s="267">
        <v>209</v>
      </c>
      <c r="BI830" s="267">
        <v>229</v>
      </c>
      <c r="BK830" s="267">
        <v>56</v>
      </c>
      <c r="BL830" s="267">
        <v>44</v>
      </c>
      <c r="BN830" s="267">
        <v>33</v>
      </c>
      <c r="BO830" s="267">
        <v>30</v>
      </c>
      <c r="BQ830" s="267">
        <v>58</v>
      </c>
      <c r="BR830" s="267">
        <v>61</v>
      </c>
      <c r="BT830" s="267">
        <v>87</v>
      </c>
      <c r="BU830" s="267">
        <v>78</v>
      </c>
      <c r="BW830" s="267">
        <v>9</v>
      </c>
      <c r="BX830" s="267">
        <v>8</v>
      </c>
      <c r="BZ830" s="267">
        <v>48</v>
      </c>
      <c r="CA830" s="267">
        <v>23</v>
      </c>
      <c r="CC830" s="267">
        <v>31</v>
      </c>
      <c r="CD830" s="267">
        <v>49</v>
      </c>
    </row>
    <row r="831" spans="1:83" hidden="1" x14ac:dyDescent="0.25">
      <c r="A831" s="107"/>
      <c r="B831" s="312" t="s">
        <v>1511</v>
      </c>
      <c r="C831" s="95"/>
      <c r="D831" s="95"/>
      <c r="E831" s="103"/>
      <c r="F831" s="103"/>
      <c r="G831" s="103"/>
      <c r="H831" s="103">
        <v>256</v>
      </c>
      <c r="I831" s="103"/>
      <c r="J831" s="103"/>
      <c r="K831" s="103"/>
      <c r="L831" s="103"/>
      <c r="M831" s="103"/>
      <c r="N831" s="103"/>
    </row>
    <row r="832" spans="1:83" hidden="1" x14ac:dyDescent="0.25">
      <c r="A832" s="107"/>
      <c r="B832" s="312" t="s">
        <v>1512</v>
      </c>
      <c r="C832" s="95"/>
      <c r="D832" s="95"/>
      <c r="E832" s="103"/>
      <c r="F832" s="103"/>
      <c r="G832" s="103"/>
      <c r="H832" s="103">
        <v>0</v>
      </c>
      <c r="I832" s="103"/>
      <c r="J832" s="103"/>
      <c r="K832" s="103"/>
      <c r="L832" s="103"/>
      <c r="M832" s="103"/>
      <c r="N832" s="103"/>
    </row>
    <row r="833" spans="1:60" hidden="1" x14ac:dyDescent="0.25">
      <c r="A833" s="107"/>
      <c r="B833" s="312" t="s">
        <v>1513</v>
      </c>
      <c r="C833" s="95"/>
      <c r="D833" s="95"/>
      <c r="E833" s="103"/>
      <c r="F833" s="103"/>
      <c r="G833" s="103"/>
      <c r="H833" s="103">
        <v>758</v>
      </c>
      <c r="I833" s="103"/>
      <c r="J833" s="103"/>
      <c r="K833" s="103"/>
      <c r="L833" s="103"/>
      <c r="M833" s="103"/>
      <c r="N833" s="103"/>
    </row>
    <row r="834" spans="1:60" hidden="1" x14ac:dyDescent="0.25">
      <c r="A834" s="107"/>
      <c r="B834" s="312" t="s">
        <v>1514</v>
      </c>
      <c r="C834" s="95"/>
      <c r="D834" s="95"/>
      <c r="E834" s="103"/>
      <c r="F834" s="103"/>
      <c r="G834" s="103"/>
      <c r="H834" s="103">
        <v>104</v>
      </c>
      <c r="I834" s="103"/>
      <c r="J834" s="103"/>
      <c r="K834" s="103"/>
      <c r="L834" s="103"/>
      <c r="M834" s="103"/>
      <c r="N834" s="103"/>
    </row>
    <row r="835" spans="1:60" ht="30" hidden="1" x14ac:dyDescent="0.25">
      <c r="A835" s="107"/>
      <c r="B835" s="16" t="s">
        <v>1185</v>
      </c>
      <c r="C835" s="95" t="s">
        <v>1239</v>
      </c>
      <c r="D835" s="95" t="s">
        <v>950</v>
      </c>
      <c r="E835" s="103">
        <v>171</v>
      </c>
      <c r="F835" s="103">
        <v>190</v>
      </c>
      <c r="G835" s="103">
        <v>193</v>
      </c>
      <c r="H835" s="103">
        <f>H836+H837+H838+H839</f>
        <v>36</v>
      </c>
      <c r="I835" s="103">
        <f>I836+I837+I838+I839</f>
        <v>0</v>
      </c>
      <c r="J835" s="103">
        <f>J836+J837+J838+J839</f>
        <v>0</v>
      </c>
      <c r="K835" s="103">
        <f>K836+K837+K838+K839</f>
        <v>0</v>
      </c>
      <c r="L835" s="103">
        <f>L836+L837+L838+L839</f>
        <v>0</v>
      </c>
      <c r="M835" s="103">
        <f t="shared" ref="M835:N835" si="1433">M836+M837+M838+M839</f>
        <v>0</v>
      </c>
      <c r="N835" s="103">
        <f t="shared" si="1433"/>
        <v>0</v>
      </c>
      <c r="P835" s="267">
        <f>R835+U835+X835+AA835+AD835+AG835+AJ835+AM835+AP835+AS835+AV835+AY835+BB835+BE835+BH835+BK835+BN835+BQ835+BT835+BW835+BZ835+CC835</f>
        <v>111</v>
      </c>
      <c r="Q835" s="267">
        <f>S835+V835+Y835+AB835+AE835+AH835+AK835+AN835+AQ835+AT835+AW835+AZ835+BC835+BF835+BI835+BL835+BO835+BR835+BU835+BX835+CA835+CD835</f>
        <v>125</v>
      </c>
      <c r="R835" s="267">
        <v>7</v>
      </c>
      <c r="S835" s="267">
        <v>7</v>
      </c>
      <c r="U835" s="267">
        <v>11</v>
      </c>
      <c r="V835" s="267">
        <v>17</v>
      </c>
      <c r="X835" s="267">
        <v>14</v>
      </c>
      <c r="Y835" s="267">
        <v>17</v>
      </c>
      <c r="AA835" s="267">
        <v>10</v>
      </c>
      <c r="AB835" s="267">
        <v>11</v>
      </c>
      <c r="AD835" s="267">
        <v>4</v>
      </c>
      <c r="AE835" s="267">
        <v>5</v>
      </c>
      <c r="AG835" s="267">
        <v>11</v>
      </c>
      <c r="AH835" s="267">
        <v>12</v>
      </c>
      <c r="AJ835" s="267">
        <v>7</v>
      </c>
      <c r="AK835" s="267">
        <v>8</v>
      </c>
      <c r="AM835" s="267">
        <v>25</v>
      </c>
      <c r="AN835" s="267">
        <v>31</v>
      </c>
      <c r="AP835" s="267">
        <v>22</v>
      </c>
      <c r="AQ835" s="267">
        <v>17</v>
      </c>
    </row>
    <row r="836" spans="1:60" hidden="1" x14ac:dyDescent="0.25">
      <c r="A836" s="107"/>
      <c r="B836" s="312" t="s">
        <v>1511</v>
      </c>
      <c r="C836" s="95"/>
      <c r="D836" s="95"/>
      <c r="E836" s="103"/>
      <c r="F836" s="103"/>
      <c r="G836" s="103"/>
      <c r="H836" s="103">
        <v>0</v>
      </c>
      <c r="I836" s="103"/>
      <c r="J836" s="103"/>
      <c r="K836" s="103"/>
      <c r="L836" s="103"/>
      <c r="M836" s="103"/>
      <c r="N836" s="103"/>
    </row>
    <row r="837" spans="1:60" hidden="1" x14ac:dyDescent="0.25">
      <c r="A837" s="107"/>
      <c r="B837" s="312" t="s">
        <v>1512</v>
      </c>
      <c r="C837" s="95"/>
      <c r="D837" s="95"/>
      <c r="E837" s="103"/>
      <c r="F837" s="103"/>
      <c r="G837" s="103"/>
      <c r="H837" s="103">
        <v>0</v>
      </c>
      <c r="I837" s="103"/>
      <c r="J837" s="103"/>
      <c r="K837" s="103"/>
      <c r="L837" s="103"/>
      <c r="M837" s="103"/>
      <c r="N837" s="103"/>
    </row>
    <row r="838" spans="1:60" hidden="1" x14ac:dyDescent="0.25">
      <c r="A838" s="107"/>
      <c r="B838" s="312" t="s">
        <v>1513</v>
      </c>
      <c r="C838" s="95"/>
      <c r="D838" s="95"/>
      <c r="E838" s="103"/>
      <c r="F838" s="103"/>
      <c r="G838" s="103"/>
      <c r="H838" s="103">
        <v>36</v>
      </c>
      <c r="I838" s="103"/>
      <c r="J838" s="103"/>
      <c r="K838" s="103"/>
      <c r="L838" s="103"/>
      <c r="M838" s="103"/>
      <c r="N838" s="103"/>
    </row>
    <row r="839" spans="1:60" hidden="1" x14ac:dyDescent="0.25">
      <c r="A839" s="107"/>
      <c r="B839" s="312" t="s">
        <v>1514</v>
      </c>
      <c r="C839" s="95"/>
      <c r="D839" s="95"/>
      <c r="E839" s="103"/>
      <c r="F839" s="103"/>
      <c r="G839" s="103"/>
      <c r="H839" s="103">
        <v>0</v>
      </c>
      <c r="I839" s="103"/>
      <c r="J839" s="103"/>
      <c r="K839" s="103"/>
      <c r="L839" s="103"/>
      <c r="M839" s="103"/>
      <c r="N839" s="103"/>
    </row>
    <row r="840" spans="1:60" ht="165" hidden="1" x14ac:dyDescent="0.25">
      <c r="A840" s="107"/>
      <c r="B840" s="16" t="s">
        <v>232</v>
      </c>
      <c r="C840" s="95"/>
      <c r="D840" s="95"/>
      <c r="E840" s="103"/>
      <c r="F840" s="103"/>
      <c r="G840" s="103"/>
      <c r="H840" s="103"/>
      <c r="I840" s="103"/>
      <c r="J840" s="103"/>
      <c r="K840" s="103"/>
      <c r="L840" s="103"/>
      <c r="M840" s="103"/>
      <c r="N840" s="103"/>
      <c r="O840" s="281" t="s">
        <v>140</v>
      </c>
    </row>
    <row r="841" spans="1:60" ht="30" hidden="1" x14ac:dyDescent="0.25">
      <c r="A841" s="107"/>
      <c r="B841" s="16" t="s">
        <v>1183</v>
      </c>
      <c r="C841" s="95" t="s">
        <v>1242</v>
      </c>
      <c r="D841" s="95"/>
      <c r="E841" s="103">
        <v>8</v>
      </c>
      <c r="F841" s="103">
        <v>7</v>
      </c>
      <c r="G841" s="103">
        <v>9</v>
      </c>
      <c r="H841" s="103">
        <f>H842+H843</f>
        <v>10</v>
      </c>
      <c r="I841" s="103">
        <f>I842+I843</f>
        <v>0</v>
      </c>
      <c r="J841" s="103">
        <f>J842+J843</f>
        <v>0</v>
      </c>
      <c r="K841" s="103">
        <f>K842+K843</f>
        <v>0</v>
      </c>
      <c r="L841" s="103">
        <f>L842+L843</f>
        <v>0</v>
      </c>
      <c r="M841" s="103">
        <f t="shared" ref="M841:N841" si="1434">M842+M843</f>
        <v>0</v>
      </c>
      <c r="N841" s="103">
        <f t="shared" si="1434"/>
        <v>0</v>
      </c>
      <c r="O841" s="281"/>
      <c r="P841" s="267">
        <f>R841+U841+X841+AA841+AD841+AG841+AJ841+AM841+AP841+AS841+AV841+AY841+BB841+BE841+BH841+BK841+BN841+BQ841+BT841+BW841+BZ841+CC841</f>
        <v>8</v>
      </c>
      <c r="Q841" s="267">
        <f>S841+V841+Y841+AB841+AE841+AH841+AK841+AN841+AQ841+AT841+AW841+AZ841+BC841+BF841+BI841+BL841+BO841+BR841+BU841+BX841+CA841+CD841</f>
        <v>0</v>
      </c>
      <c r="BB841" s="267">
        <v>2</v>
      </c>
      <c r="BE841" s="267">
        <v>3</v>
      </c>
      <c r="BH841" s="267">
        <v>3</v>
      </c>
    </row>
    <row r="842" spans="1:60" hidden="1" x14ac:dyDescent="0.25">
      <c r="A842" s="107"/>
      <c r="B842" s="312" t="s">
        <v>1509</v>
      </c>
      <c r="C842" s="95"/>
      <c r="D842" s="95"/>
      <c r="E842" s="103"/>
      <c r="F842" s="103"/>
      <c r="G842" s="103"/>
      <c r="H842" s="103">
        <v>3</v>
      </c>
      <c r="I842" s="103"/>
      <c r="J842" s="103"/>
      <c r="K842" s="103"/>
      <c r="L842" s="103"/>
      <c r="M842" s="103"/>
      <c r="N842" s="103"/>
      <c r="O842" s="281"/>
    </row>
    <row r="843" spans="1:60" hidden="1" x14ac:dyDescent="0.25">
      <c r="A843" s="107"/>
      <c r="B843" s="312" t="s">
        <v>1510</v>
      </c>
      <c r="C843" s="95"/>
      <c r="D843" s="95"/>
      <c r="E843" s="103"/>
      <c r="F843" s="103"/>
      <c r="G843" s="103"/>
      <c r="H843" s="103">
        <v>7</v>
      </c>
      <c r="I843" s="103"/>
      <c r="J843" s="103"/>
      <c r="K843" s="103"/>
      <c r="L843" s="103"/>
      <c r="M843" s="103"/>
      <c r="N843" s="103"/>
      <c r="O843" s="281"/>
    </row>
    <row r="844" spans="1:60" ht="30" hidden="1" x14ac:dyDescent="0.25">
      <c r="A844" s="107"/>
      <c r="B844" s="16" t="s">
        <v>1185</v>
      </c>
      <c r="C844" s="95" t="s">
        <v>1242</v>
      </c>
      <c r="D844" s="95"/>
      <c r="E844" s="103">
        <v>0</v>
      </c>
      <c r="F844" s="103">
        <v>0</v>
      </c>
      <c r="G844" s="103">
        <v>0</v>
      </c>
      <c r="H844" s="103">
        <f>H845+H846</f>
        <v>0</v>
      </c>
      <c r="I844" s="103">
        <f>I845+I846</f>
        <v>0</v>
      </c>
      <c r="J844" s="103">
        <f>J845+J846</f>
        <v>0</v>
      </c>
      <c r="K844" s="103">
        <f>K845+K846</f>
        <v>0</v>
      </c>
      <c r="L844" s="103">
        <f>L845+L846</f>
        <v>0</v>
      </c>
      <c r="M844" s="103">
        <f t="shared" ref="M844:N844" si="1435">M845+M846</f>
        <v>0</v>
      </c>
      <c r="N844" s="103">
        <f t="shared" si="1435"/>
        <v>0</v>
      </c>
      <c r="O844" s="281"/>
      <c r="P844" s="267">
        <f>R844+U844+X844+AA844+AD844+AG844+AJ844+AM844+AP844+AS844+AV844+AY844+BB844+BE844+BH844+BK844+BN844+BQ844+BT844+BW844+BZ844+CC844</f>
        <v>0</v>
      </c>
      <c r="Q844" s="267">
        <f>S844+V844+Y844+AB844+AE844+AH844+AK844+AN844+AQ844+AT844+AW844+AZ844+BC844+BF844+BI844+BL844+BO844+BR844+BU844+BX844+CA844+CD844</f>
        <v>0</v>
      </c>
    </row>
    <row r="845" spans="1:60" hidden="1" x14ac:dyDescent="0.25">
      <c r="A845" s="107"/>
      <c r="B845" s="312" t="s">
        <v>1509</v>
      </c>
      <c r="C845" s="95"/>
      <c r="D845" s="95"/>
      <c r="E845" s="103"/>
      <c r="F845" s="103"/>
      <c r="G845" s="103"/>
      <c r="H845" s="103">
        <v>0</v>
      </c>
      <c r="I845" s="103"/>
      <c r="J845" s="103"/>
      <c r="K845" s="103"/>
      <c r="L845" s="103"/>
      <c r="M845" s="103"/>
      <c r="N845" s="103"/>
      <c r="O845" s="281"/>
    </row>
    <row r="846" spans="1:60" hidden="1" x14ac:dyDescent="0.25">
      <c r="A846" s="107"/>
      <c r="B846" s="312" t="s">
        <v>1510</v>
      </c>
      <c r="C846" s="95"/>
      <c r="D846" s="95"/>
      <c r="E846" s="103"/>
      <c r="F846" s="103"/>
      <c r="G846" s="103"/>
      <c r="H846" s="103">
        <v>0</v>
      </c>
      <c r="I846" s="103"/>
      <c r="J846" s="103"/>
      <c r="K846" s="103"/>
      <c r="L846" s="103"/>
      <c r="M846" s="103"/>
      <c r="N846" s="103"/>
      <c r="O846" s="281"/>
    </row>
    <row r="847" spans="1:60" ht="60" hidden="1" x14ac:dyDescent="0.25">
      <c r="A847" s="107"/>
      <c r="B847" s="16" t="s">
        <v>233</v>
      </c>
      <c r="C847" s="95"/>
      <c r="D847" s="95"/>
      <c r="E847" s="103"/>
      <c r="F847" s="103"/>
      <c r="G847" s="103"/>
      <c r="H847" s="103"/>
      <c r="I847" s="103"/>
      <c r="J847" s="103"/>
      <c r="K847" s="103"/>
      <c r="L847" s="103"/>
      <c r="M847" s="103"/>
      <c r="N847" s="103"/>
    </row>
    <row r="848" spans="1:60" ht="30" hidden="1" x14ac:dyDescent="0.25">
      <c r="A848" s="107"/>
      <c r="B848" s="16" t="s">
        <v>1183</v>
      </c>
      <c r="C848" s="95" t="s">
        <v>1240</v>
      </c>
      <c r="D848" s="95" t="s">
        <v>950</v>
      </c>
      <c r="E848" s="103">
        <v>8</v>
      </c>
      <c r="F848" s="103">
        <v>7</v>
      </c>
      <c r="G848" s="103">
        <v>9</v>
      </c>
      <c r="H848" s="103">
        <f>H849+H850+H851+H852</f>
        <v>0</v>
      </c>
      <c r="I848" s="103">
        <f>I849+I850+I851+I852</f>
        <v>0</v>
      </c>
      <c r="J848" s="103">
        <f>J849+J850+J851+J852</f>
        <v>0</v>
      </c>
      <c r="K848" s="103">
        <f>K849+K850+K851+K852</f>
        <v>0</v>
      </c>
      <c r="L848" s="103">
        <f>L849+L850+L851+L852</f>
        <v>0</v>
      </c>
      <c r="M848" s="103">
        <f t="shared" ref="M848:N848" si="1436">M849+M850+M851+M852</f>
        <v>0</v>
      </c>
      <c r="N848" s="103">
        <f t="shared" si="1436"/>
        <v>0</v>
      </c>
      <c r="P848" s="267">
        <f>R848+U848+X848+AA848+AD848+AG848+AJ848+AM848+AP848+AS848+AV848+AY848+BB848+BE848+BH848+BK848+BN848+BQ848+BT848+BW848+BZ848+CC848</f>
        <v>8</v>
      </c>
      <c r="Q848" s="267">
        <f>S848+V848+Y848+AB848+AE848+AH848+AK848+AN848+AQ848+AT848+AW848+AZ848+BC848+BF848+BI848+BL848+BO848+BR848+BU848+BX848+CA848+CD848</f>
        <v>0</v>
      </c>
      <c r="BB848" s="267">
        <v>2</v>
      </c>
      <c r="BE848" s="267">
        <v>3</v>
      </c>
      <c r="BH848" s="267">
        <v>3</v>
      </c>
    </row>
    <row r="849" spans="1:89" hidden="1" x14ac:dyDescent="0.25">
      <c r="A849" s="107"/>
      <c r="B849" s="312" t="s">
        <v>1511</v>
      </c>
      <c r="C849" s="95"/>
      <c r="D849" s="95"/>
      <c r="E849" s="103"/>
      <c r="F849" s="103"/>
      <c r="G849" s="103"/>
      <c r="H849" s="103">
        <v>0</v>
      </c>
      <c r="I849" s="103"/>
      <c r="J849" s="103"/>
      <c r="K849" s="103"/>
      <c r="L849" s="103"/>
      <c r="M849" s="103"/>
      <c r="N849" s="103"/>
    </row>
    <row r="850" spans="1:89" hidden="1" x14ac:dyDescent="0.25">
      <c r="A850" s="107"/>
      <c r="B850" s="312" t="s">
        <v>1512</v>
      </c>
      <c r="C850" s="95"/>
      <c r="D850" s="95"/>
      <c r="E850" s="103"/>
      <c r="F850" s="103"/>
      <c r="G850" s="103"/>
      <c r="H850" s="103">
        <v>0</v>
      </c>
      <c r="I850" s="103"/>
      <c r="J850" s="103"/>
      <c r="K850" s="103"/>
      <c r="L850" s="103"/>
      <c r="M850" s="103"/>
      <c r="N850" s="103"/>
    </row>
    <row r="851" spans="1:89" hidden="1" x14ac:dyDescent="0.25">
      <c r="A851" s="107"/>
      <c r="B851" s="312" t="s">
        <v>1513</v>
      </c>
      <c r="C851" s="95"/>
      <c r="D851" s="95"/>
      <c r="E851" s="103"/>
      <c r="F851" s="103"/>
      <c r="G851" s="103"/>
      <c r="H851" s="103">
        <v>0</v>
      </c>
      <c r="I851" s="103"/>
      <c r="J851" s="103"/>
      <c r="K851" s="103"/>
      <c r="L851" s="103"/>
      <c r="M851" s="103"/>
      <c r="N851" s="103"/>
    </row>
    <row r="852" spans="1:89" hidden="1" x14ac:dyDescent="0.25">
      <c r="A852" s="107"/>
      <c r="B852" s="312" t="s">
        <v>1514</v>
      </c>
      <c r="C852" s="95"/>
      <c r="D852" s="95"/>
      <c r="E852" s="103"/>
      <c r="F852" s="103"/>
      <c r="G852" s="103"/>
      <c r="H852" s="103">
        <v>0</v>
      </c>
      <c r="I852" s="103"/>
      <c r="J852" s="103"/>
      <c r="K852" s="103"/>
      <c r="L852" s="103"/>
      <c r="M852" s="103"/>
      <c r="N852" s="103"/>
    </row>
    <row r="853" spans="1:89" ht="30" hidden="1" x14ac:dyDescent="0.25">
      <c r="A853" s="107"/>
      <c r="B853" s="16" t="s">
        <v>1185</v>
      </c>
      <c r="C853" s="95" t="s">
        <v>1241</v>
      </c>
      <c r="D853" s="95" t="s">
        <v>950</v>
      </c>
      <c r="E853" s="103">
        <v>0</v>
      </c>
      <c r="F853" s="103">
        <v>0</v>
      </c>
      <c r="G853" s="103">
        <v>0</v>
      </c>
      <c r="H853" s="103">
        <f>H854+H855+H856+H857</f>
        <v>0</v>
      </c>
      <c r="I853" s="103">
        <f>I854+I855+I856+I857</f>
        <v>0</v>
      </c>
      <c r="J853" s="103">
        <f>J854+J855+J856+J857</f>
        <v>0</v>
      </c>
      <c r="K853" s="103">
        <f>K854+K855+K856+K857</f>
        <v>0</v>
      </c>
      <c r="L853" s="103">
        <f>L854+L855+L856+L857</f>
        <v>0</v>
      </c>
      <c r="M853" s="103">
        <f t="shared" ref="M853:N853" si="1437">M854+M855+M856+M857</f>
        <v>0</v>
      </c>
      <c r="N853" s="103">
        <f t="shared" si="1437"/>
        <v>0</v>
      </c>
      <c r="P853" s="267">
        <f>R853+U853+X853+AA853+AD853+AG853+AJ853+AM853+AP853+AS853+AV853+AY853+BB853+BE853+BH853+BK853+BN853+BQ853+BT853+BW853+BZ853+CC853</f>
        <v>0</v>
      </c>
      <c r="Q853" s="267">
        <f>S853+V853+Y853+AB853+AE853+AH853+AK853+AN853+AQ853+AT853+AW853+AZ853+BC853+BF853+BI853+BL853+BO853+BR853+BU853+BX853+CA853+CD853</f>
        <v>0</v>
      </c>
    </row>
    <row r="854" spans="1:89" hidden="1" x14ac:dyDescent="0.25">
      <c r="A854" s="107"/>
      <c r="B854" s="312" t="s">
        <v>1511</v>
      </c>
      <c r="C854" s="95"/>
      <c r="D854" s="95"/>
      <c r="E854" s="103"/>
      <c r="F854" s="103"/>
      <c r="G854" s="103"/>
      <c r="H854" s="103">
        <v>0</v>
      </c>
      <c r="I854" s="103"/>
      <c r="J854" s="103"/>
      <c r="K854" s="103"/>
      <c r="L854" s="103"/>
      <c r="M854" s="103"/>
      <c r="N854" s="103"/>
    </row>
    <row r="855" spans="1:89" hidden="1" x14ac:dyDescent="0.25">
      <c r="A855" s="107"/>
      <c r="B855" s="312" t="s">
        <v>1512</v>
      </c>
      <c r="C855" s="95"/>
      <c r="D855" s="95"/>
      <c r="E855" s="103"/>
      <c r="F855" s="103"/>
      <c r="G855" s="103"/>
      <c r="H855" s="103">
        <v>0</v>
      </c>
      <c r="I855" s="103"/>
      <c r="J855" s="103"/>
      <c r="K855" s="103"/>
      <c r="L855" s="103"/>
      <c r="M855" s="103"/>
      <c r="N855" s="103"/>
    </row>
    <row r="856" spans="1:89" hidden="1" x14ac:dyDescent="0.25">
      <c r="A856" s="107"/>
      <c r="B856" s="312" t="s">
        <v>1513</v>
      </c>
      <c r="C856" s="95"/>
      <c r="D856" s="95"/>
      <c r="E856" s="103"/>
      <c r="F856" s="103"/>
      <c r="G856" s="103"/>
      <c r="H856" s="103">
        <v>0</v>
      </c>
      <c r="I856" s="103"/>
      <c r="J856" s="103"/>
      <c r="K856" s="103"/>
      <c r="L856" s="103"/>
      <c r="M856" s="103"/>
      <c r="N856" s="103"/>
    </row>
    <row r="857" spans="1:89" hidden="1" x14ac:dyDescent="0.25">
      <c r="A857" s="107"/>
      <c r="B857" s="312" t="s">
        <v>1514</v>
      </c>
      <c r="C857" s="95"/>
      <c r="D857" s="95"/>
      <c r="E857" s="103"/>
      <c r="F857" s="103"/>
      <c r="G857" s="103"/>
      <c r="H857" s="103">
        <v>0</v>
      </c>
      <c r="I857" s="103"/>
      <c r="J857" s="103"/>
      <c r="K857" s="103"/>
      <c r="L857" s="103"/>
      <c r="M857" s="103"/>
      <c r="N857" s="103"/>
    </row>
    <row r="858" spans="1:89" ht="60" x14ac:dyDescent="0.25">
      <c r="A858" s="95" t="s">
        <v>231</v>
      </c>
      <c r="B858" s="96" t="s">
        <v>1689</v>
      </c>
      <c r="C858" s="95"/>
      <c r="D858" s="95"/>
      <c r="E858" s="103"/>
      <c r="F858" s="103"/>
      <c r="G858" s="103"/>
      <c r="H858" s="103"/>
      <c r="I858" s="335"/>
      <c r="J858" s="335"/>
      <c r="K858" s="335"/>
      <c r="L858" s="335"/>
      <c r="M858" s="335"/>
      <c r="N858" s="335"/>
    </row>
    <row r="859" spans="1:89" x14ac:dyDescent="0.25">
      <c r="A859" s="95"/>
      <c r="B859" s="96" t="s">
        <v>1182</v>
      </c>
      <c r="C859" s="95"/>
      <c r="D859" s="95"/>
      <c r="E859" s="103"/>
      <c r="F859" s="103"/>
      <c r="G859" s="103"/>
      <c r="H859" s="103"/>
      <c r="I859" s="335"/>
      <c r="J859" s="335"/>
      <c r="K859" s="335"/>
      <c r="L859" s="335"/>
      <c r="M859" s="335"/>
      <c r="N859" s="335"/>
    </row>
    <row r="860" spans="1:89" ht="30" x14ac:dyDescent="0.25">
      <c r="A860" s="95"/>
      <c r="B860" s="96" t="s">
        <v>2662</v>
      </c>
      <c r="C860" s="95"/>
      <c r="D860" s="95"/>
      <c r="E860" s="103"/>
      <c r="F860" s="103"/>
      <c r="G860" s="103"/>
      <c r="H860" s="103"/>
      <c r="I860" s="335">
        <f t="shared" ref="I860:I865" si="1438">I874/$I$880*100</f>
        <v>30.800268997982517</v>
      </c>
      <c r="J860" s="335">
        <f t="shared" ref="J860:J865" si="1439">J874/$J$880*100</f>
        <v>25.854795737122561</v>
      </c>
      <c r="K860" s="335">
        <f t="shared" ref="K860:K865" si="1440">K874/$K$880*100</f>
        <v>23.009803921568629</v>
      </c>
      <c r="L860" s="335" t="e">
        <f t="shared" ref="L860:L865" si="1441">L874/$L$880*100</f>
        <v>#DIV/0!</v>
      </c>
      <c r="M860" s="335">
        <f t="shared" ref="M860:N865" si="1442">M874/$M$880*100</f>
        <v>0</v>
      </c>
      <c r="N860" s="335">
        <f t="shared" si="1442"/>
        <v>0</v>
      </c>
      <c r="O860" s="336"/>
      <c r="P860" s="336"/>
      <c r="Q860" s="335">
        <f>Q874/Q880*100</f>
        <v>23.009803921568629</v>
      </c>
      <c r="R860" s="335">
        <f>R874/R880*100</f>
        <v>22.859089139743091</v>
      </c>
      <c r="S860" s="335">
        <f>S874/S880*100</f>
        <v>0</v>
      </c>
      <c r="T860" s="335">
        <f>T874/T880*100</f>
        <v>0</v>
      </c>
      <c r="V860" s="335">
        <f>V874/V880*100</f>
        <v>6.5040650406504072</v>
      </c>
      <c r="W860" s="335">
        <f>W874/W880*100</f>
        <v>11.504424778761061</v>
      </c>
      <c r="Y860" s="335">
        <f>Y874/Y880*100</f>
        <v>0</v>
      </c>
      <c r="Z860" s="335">
        <f>Z874/Z880*100</f>
        <v>0</v>
      </c>
      <c r="AB860" s="335">
        <f>AB874/AB880*100</f>
        <v>0</v>
      </c>
      <c r="AC860" s="335">
        <f>AC874/AC880*100</f>
        <v>0</v>
      </c>
      <c r="AE860" s="335">
        <f>AE874/AE880*100</f>
        <v>35.021097046413502</v>
      </c>
      <c r="AF860" s="335">
        <f>AF874/AF880*100</f>
        <v>28.571428571428569</v>
      </c>
      <c r="AH860" s="335">
        <f>AH874/AH880*100</f>
        <v>0</v>
      </c>
      <c r="AI860" s="335">
        <f>AI874/AI880*100</f>
        <v>0</v>
      </c>
      <c r="AK860" s="335">
        <f>AK874/AK880*100</f>
        <v>1.6867469879518073</v>
      </c>
      <c r="AL860" s="335">
        <f>AL874/AL880*100</f>
        <v>1.715686274509804</v>
      </c>
      <c r="AN860" s="335">
        <f>AN874/AN880*100</f>
        <v>15.171503957783642</v>
      </c>
      <c r="AO860" s="335">
        <f>AO874/AO880*100</f>
        <v>15.984147952443859</v>
      </c>
      <c r="AQ860" s="335">
        <f>AQ874/AQ880*100</f>
        <v>2.2900763358778624</v>
      </c>
      <c r="AR860" s="335">
        <f>AR874/AR880*100</f>
        <v>1.0135135135135136</v>
      </c>
      <c r="AT860" s="335">
        <f>AT874/AT880*100</f>
        <v>0</v>
      </c>
      <c r="AU860" s="335">
        <f>AU874/AU880*100</f>
        <v>0</v>
      </c>
      <c r="AW860" s="335">
        <f>AW874/AW880*100</f>
        <v>4.4642857142857144</v>
      </c>
      <c r="AX860" s="335">
        <f>AX874/AX880*100</f>
        <v>3.515625</v>
      </c>
      <c r="AZ860" s="335">
        <f>AZ874/AZ880*100</f>
        <v>0</v>
      </c>
      <c r="BA860" s="335">
        <f>BA874/BA880*100</f>
        <v>0</v>
      </c>
      <c r="BC860" s="335">
        <f>BC874/BC880*100</f>
        <v>0</v>
      </c>
      <c r="BD860" s="335">
        <f>BD874/BD880*100</f>
        <v>0</v>
      </c>
      <c r="BF860" s="335">
        <f>BF874/BF880*100</f>
        <v>0</v>
      </c>
      <c r="BG860" s="335">
        <f>BG874/BG880*100</f>
        <v>1.8276762402088773</v>
      </c>
      <c r="BI860" s="335">
        <f>BI874/BI880*100</f>
        <v>0</v>
      </c>
      <c r="BJ860" s="335">
        <f>BJ874/BJ880*100</f>
        <v>0</v>
      </c>
      <c r="BL860" s="335">
        <f>BL874/BL880*100</f>
        <v>0</v>
      </c>
      <c r="BM860" s="335">
        <f>BM874/BM880*100</f>
        <v>0</v>
      </c>
      <c r="BO860" s="335">
        <f>BO874/BO880*100</f>
        <v>0</v>
      </c>
      <c r="BP860" s="335">
        <f>BP874/BP880*100</f>
        <v>0</v>
      </c>
      <c r="BR860" s="335">
        <f>BR874/BR880*100</f>
        <v>0</v>
      </c>
      <c r="BS860" s="335">
        <f>BS874/BS880*100</f>
        <v>0</v>
      </c>
      <c r="BU860" s="335">
        <f>BU874/BU880*100</f>
        <v>23.809523809523807</v>
      </c>
      <c r="BV860" s="335">
        <f>BV874/BV880*100</f>
        <v>22.564102564102566</v>
      </c>
      <c r="BX860" s="335">
        <f>BX874/BX880*100</f>
        <v>0</v>
      </c>
      <c r="BY860" s="335">
        <f>BY874/BY880*100</f>
        <v>0</v>
      </c>
      <c r="CA860" s="335">
        <f>CA874/CA880*100</f>
        <v>0</v>
      </c>
      <c r="CB860" s="335">
        <f>CB874/CB880*100</f>
        <v>0</v>
      </c>
      <c r="CD860" s="335">
        <f>CD874/CD880*100</f>
        <v>0</v>
      </c>
      <c r="CE860" s="335">
        <f>CE874/CE880*100</f>
        <v>0</v>
      </c>
      <c r="CG860" s="335">
        <f>CG874/CG880*100</f>
        <v>81.582054309327035</v>
      </c>
      <c r="CH860" s="335">
        <f>CH874/CH880*100</f>
        <v>81.67518678725915</v>
      </c>
      <c r="CJ860" s="335">
        <f>CJ874/CJ880*100</f>
        <v>0</v>
      </c>
      <c r="CK860" s="335">
        <f>CK874/CK880*100</f>
        <v>0</v>
      </c>
    </row>
    <row r="861" spans="1:89" x14ac:dyDescent="0.25">
      <c r="A861" s="95"/>
      <c r="B861" s="96" t="s">
        <v>2097</v>
      </c>
      <c r="C861" s="95"/>
      <c r="D861" s="95"/>
      <c r="E861" s="103"/>
      <c r="F861" s="103"/>
      <c r="G861" s="103"/>
      <c r="H861" s="103"/>
      <c r="I861" s="335">
        <f t="shared" si="1438"/>
        <v>14.606590450571622</v>
      </c>
      <c r="J861" s="335">
        <f t="shared" si="1439"/>
        <v>13.432504440497336</v>
      </c>
      <c r="K861" s="335">
        <f t="shared" si="1440"/>
        <v>12.470588235294118</v>
      </c>
      <c r="L861" s="335" t="e">
        <f t="shared" si="1441"/>
        <v>#DIV/0!</v>
      </c>
      <c r="M861" s="335">
        <f t="shared" si="1442"/>
        <v>0</v>
      </c>
      <c r="N861" s="335">
        <f t="shared" si="1442"/>
        <v>0</v>
      </c>
      <c r="O861" s="336"/>
      <c r="P861" s="336"/>
      <c r="Q861" s="335">
        <f>Q875/Q880*100</f>
        <v>12.470588235294118</v>
      </c>
      <c r="R861" s="335">
        <f>R875/R880*100</f>
        <v>13.020630595562476</v>
      </c>
      <c r="S861" s="335">
        <f>S875/S880*100</f>
        <v>0</v>
      </c>
      <c r="T861" s="335">
        <f>T875/T880*100</f>
        <v>0</v>
      </c>
      <c r="V861" s="335">
        <f>V875/V880*100</f>
        <v>6.5040650406504072</v>
      </c>
      <c r="W861" s="335">
        <f>W875/W880*100</f>
        <v>0</v>
      </c>
      <c r="Y861" s="335">
        <f>Y875/Y880*100</f>
        <v>0</v>
      </c>
      <c r="Z861" s="335">
        <f>Z875/Z880*100</f>
        <v>0</v>
      </c>
      <c r="AB861" s="335">
        <f>AB875/AB880*100</f>
        <v>0</v>
      </c>
      <c r="AC861" s="335">
        <f>AC875/AC880*100</f>
        <v>0</v>
      </c>
      <c r="AE861" s="335">
        <f>AE875/AE880*100</f>
        <v>7.59493670886076</v>
      </c>
      <c r="AF861" s="335">
        <f>AF875/AF880*100</f>
        <v>8.4033613445378155</v>
      </c>
      <c r="AH861" s="335">
        <f>AH875/AH880*100</f>
        <v>0</v>
      </c>
      <c r="AI861" s="335">
        <f>AI875/AI880*100</f>
        <v>0</v>
      </c>
      <c r="AK861" s="335">
        <f>AK875/AK880*100</f>
        <v>0.48192771084337355</v>
      </c>
      <c r="AL861" s="335">
        <f>AL875/AL880*100</f>
        <v>0.49019607843137253</v>
      </c>
      <c r="AN861" s="335">
        <f>AN875/AN880*100</f>
        <v>3.5620052770448551</v>
      </c>
      <c r="AO861" s="335">
        <f>AO875/AO880*100</f>
        <v>3.4346103038309117</v>
      </c>
      <c r="AQ861" s="335">
        <f>AQ875/AQ880*100</f>
        <v>0.38167938931297707</v>
      </c>
      <c r="AR861" s="335">
        <f>AR875/AR880*100</f>
        <v>0</v>
      </c>
      <c r="AT861" s="335">
        <f>AT875/AT880*100</f>
        <v>0</v>
      </c>
      <c r="AU861" s="335">
        <f>AU875/AU880*100</f>
        <v>0</v>
      </c>
      <c r="AW861" s="335">
        <f>AW875/AW880*100</f>
        <v>4.4642857142857144</v>
      </c>
      <c r="AX861" s="335">
        <f>AX875/AX880*100</f>
        <v>3.515625</v>
      </c>
      <c r="AZ861" s="335">
        <f>AZ875/AZ880*100</f>
        <v>0</v>
      </c>
      <c r="BA861" s="335">
        <f>BA875/BA880*100</f>
        <v>0</v>
      </c>
      <c r="BC861" s="335">
        <f>BC875/BC880*100</f>
        <v>0</v>
      </c>
      <c r="BD861" s="335">
        <f>BD875/BD880*100</f>
        <v>0</v>
      </c>
      <c r="BF861" s="335">
        <f>BF875/BF880*100</f>
        <v>0</v>
      </c>
      <c r="BG861" s="335">
        <f>BG875/BG880*100</f>
        <v>1.3054830287206265</v>
      </c>
      <c r="BI861" s="335">
        <f>BI875/BI880*100</f>
        <v>0</v>
      </c>
      <c r="BJ861" s="335">
        <f>BJ875/BJ880*100</f>
        <v>0</v>
      </c>
      <c r="BL861" s="335">
        <f>BL875/BL880*100</f>
        <v>0</v>
      </c>
      <c r="BM861" s="335">
        <f>BM875/BM880*100</f>
        <v>0</v>
      </c>
      <c r="BO861" s="335">
        <f>BO875/BO880*100</f>
        <v>0</v>
      </c>
      <c r="BP861" s="335">
        <f>BP875/BP880*100</f>
        <v>0</v>
      </c>
      <c r="BR861" s="335">
        <f>BR875/BR880*100</f>
        <v>0</v>
      </c>
      <c r="BS861" s="335">
        <f>BS875/BS880*100</f>
        <v>0</v>
      </c>
      <c r="BU861" s="335">
        <f>BU875/BU880*100</f>
        <v>13.756613756613756</v>
      </c>
      <c r="BV861" s="335">
        <f>BV875/BV880*100</f>
        <v>11.794871794871794</v>
      </c>
      <c r="BX861" s="335">
        <f>BX875/BX880*100</f>
        <v>0</v>
      </c>
      <c r="BY861" s="335">
        <f>BY875/BY880*100</f>
        <v>0</v>
      </c>
      <c r="CA861" s="335">
        <f>CA875/CA880*100</f>
        <v>0</v>
      </c>
      <c r="CB861" s="335">
        <f>CB875/CB880*100</f>
        <v>0</v>
      </c>
      <c r="CD861" s="335">
        <f>CD875/CD880*100</f>
        <v>0</v>
      </c>
      <c r="CE861" s="335">
        <f>CE875/CE880*100</f>
        <v>0</v>
      </c>
      <c r="CG861" s="335">
        <f>CG875/CG880*100</f>
        <v>46.438410074773714</v>
      </c>
      <c r="CH861" s="335">
        <f>CH875/CH880*100</f>
        <v>49.27251278018089</v>
      </c>
      <c r="CJ861" s="335">
        <f>CJ875/CJ880*100</f>
        <v>0</v>
      </c>
      <c r="CK861" s="335">
        <f>CK875/CK880*100</f>
        <v>0</v>
      </c>
    </row>
    <row r="862" spans="1:89" ht="45" x14ac:dyDescent="0.25">
      <c r="A862" s="95"/>
      <c r="B862" s="96" t="s">
        <v>2096</v>
      </c>
      <c r="C862" s="95"/>
      <c r="D862" s="95"/>
      <c r="E862" s="103"/>
      <c r="F862" s="103"/>
      <c r="G862" s="103"/>
      <c r="H862" s="103"/>
      <c r="I862" s="335">
        <f t="shared" si="1438"/>
        <v>21.869535978480162</v>
      </c>
      <c r="J862" s="335">
        <f t="shared" si="1439"/>
        <v>20.259769094138544</v>
      </c>
      <c r="K862" s="335">
        <f t="shared" si="1440"/>
        <v>19.1078431372549</v>
      </c>
      <c r="L862" s="335" t="e">
        <f t="shared" si="1441"/>
        <v>#DIV/0!</v>
      </c>
      <c r="M862" s="335">
        <f t="shared" si="1442"/>
        <v>0</v>
      </c>
      <c r="N862" s="335">
        <f t="shared" si="1442"/>
        <v>0</v>
      </c>
      <c r="O862" s="336"/>
      <c r="P862" s="336"/>
      <c r="Q862" s="335">
        <f>Q876/Q880*100</f>
        <v>19.1078431372549</v>
      </c>
      <c r="R862" s="335">
        <f>R876/R880*100</f>
        <v>18.830284157259634</v>
      </c>
      <c r="S862" s="335">
        <f>S876/S880*100</f>
        <v>25.396825396825395</v>
      </c>
      <c r="T862" s="335">
        <f>T876/T880*100</f>
        <v>30.555555555555557</v>
      </c>
      <c r="V862" s="335">
        <f>V876/V880*100</f>
        <v>0</v>
      </c>
      <c r="W862" s="335">
        <f>W876/W880*100</f>
        <v>0</v>
      </c>
      <c r="Y862" s="335">
        <f>Y876/Y880*100</f>
        <v>0</v>
      </c>
      <c r="Z862" s="335">
        <f>Z876/Z880*100</f>
        <v>0</v>
      </c>
      <c r="AB862" s="335">
        <f>AB876/AB880*100</f>
        <v>0</v>
      </c>
      <c r="AC862" s="335">
        <f>AC876/AC880*100</f>
        <v>0</v>
      </c>
      <c r="AE862" s="335">
        <f>AE876/AE880*100</f>
        <v>0</v>
      </c>
      <c r="AF862" s="335">
        <f>AF876/AF880*100</f>
        <v>0.84033613445378152</v>
      </c>
      <c r="AH862" s="335">
        <f>AH876/AH880*100</f>
        <v>0</v>
      </c>
      <c r="AI862" s="335">
        <f>AI876/AI880*100</f>
        <v>0</v>
      </c>
      <c r="AK862" s="335">
        <f>AK876/AK880*100</f>
        <v>37.349397590361441</v>
      </c>
      <c r="AL862" s="335">
        <f>AL876/AL880*100</f>
        <v>37.745098039215684</v>
      </c>
      <c r="AN862" s="335">
        <f>AN876/AN880*100</f>
        <v>5.0131926121372032</v>
      </c>
      <c r="AO862" s="335">
        <f>AO876/AO880*100</f>
        <v>3.8309114927344781</v>
      </c>
      <c r="AQ862" s="335">
        <f>AQ876/AQ880*100</f>
        <v>0</v>
      </c>
      <c r="AR862" s="335">
        <f>AR876/AR880*100</f>
        <v>0</v>
      </c>
      <c r="AT862" s="335">
        <f>AT876/AT880*100</f>
        <v>20.141342756183743</v>
      </c>
      <c r="AU862" s="335">
        <f>AU876/AU880*100</f>
        <v>16.587677725118482</v>
      </c>
      <c r="AW862" s="335">
        <f>AW876/AW880*100</f>
        <v>28.125</v>
      </c>
      <c r="AX862" s="335">
        <f>AX876/AX880*100</f>
        <v>25.78125</v>
      </c>
      <c r="AZ862" s="335">
        <f>AZ876/AZ880*100</f>
        <v>0</v>
      </c>
      <c r="BA862" s="335">
        <f>BA876/BA880*100</f>
        <v>0</v>
      </c>
      <c r="BC862" s="335">
        <f>BC876/BC880*100</f>
        <v>50.163934426229503</v>
      </c>
      <c r="BD862" s="335">
        <f>BD876/BD880*100</f>
        <v>51.063829787234042</v>
      </c>
      <c r="BF862" s="335">
        <f>BF876/BF880*100</f>
        <v>32.653061224489797</v>
      </c>
      <c r="BG862" s="335">
        <f>BG876/BG880*100</f>
        <v>31.070496083550914</v>
      </c>
      <c r="BI862" s="335">
        <f>BI876/BI880*100</f>
        <v>38.913580246913583</v>
      </c>
      <c r="BJ862" s="335">
        <f>BJ876/BJ880*100</f>
        <v>41.302083333333336</v>
      </c>
      <c r="BL862" s="335">
        <f>BL876/BL880*100</f>
        <v>0</v>
      </c>
      <c r="BM862" s="335">
        <f>BM876/BM880*100</f>
        <v>0</v>
      </c>
      <c r="BO862" s="335">
        <f>BO876/BO880*100</f>
        <v>4.7337278106508878</v>
      </c>
      <c r="BP862" s="335">
        <f>BP876/BP880*100</f>
        <v>8.2251082251082259</v>
      </c>
      <c r="BR862" s="335">
        <f>BR876/BR880*100</f>
        <v>0</v>
      </c>
      <c r="BS862" s="335">
        <f>BS876/BS880*100</f>
        <v>0</v>
      </c>
      <c r="BU862" s="335">
        <f>BU876/BU880*100</f>
        <v>0</v>
      </c>
      <c r="BV862" s="335">
        <f>BV876/BV880*100</f>
        <v>0</v>
      </c>
      <c r="BX862" s="335">
        <f>BX876/BX880*100</f>
        <v>0</v>
      </c>
      <c r="BY862" s="335">
        <f>BY876/BY880*100</f>
        <v>0</v>
      </c>
      <c r="CA862" s="335">
        <f>CA876/CA880*100</f>
        <v>3.8297872340425529</v>
      </c>
      <c r="CB862" s="335">
        <f>CB876/CB880*100</f>
        <v>4.700854700854701</v>
      </c>
      <c r="CD862" s="335">
        <f>CD876/CD880*100</f>
        <v>0</v>
      </c>
      <c r="CE862" s="335">
        <f>CE876/CE880*100</f>
        <v>0</v>
      </c>
      <c r="CG862" s="335">
        <f>CG876/CG880*100</f>
        <v>16.528925619834713</v>
      </c>
      <c r="CH862" s="335">
        <f>CH876/CH880*100</f>
        <v>16.279984270546599</v>
      </c>
      <c r="CJ862" s="335">
        <f>CJ876/CJ880*100</f>
        <v>0</v>
      </c>
      <c r="CK862" s="335">
        <f>CK876/CK880*100</f>
        <v>0</v>
      </c>
    </row>
    <row r="863" spans="1:89" x14ac:dyDescent="0.25">
      <c r="A863" s="95"/>
      <c r="B863" s="96" t="s">
        <v>2097</v>
      </c>
      <c r="C863" s="95"/>
      <c r="D863" s="95"/>
      <c r="E863" s="103"/>
      <c r="F863" s="103"/>
      <c r="G863" s="103"/>
      <c r="H863" s="103"/>
      <c r="I863" s="335">
        <f t="shared" si="1438"/>
        <v>3.3221250840618692</v>
      </c>
      <c r="J863" s="335">
        <f t="shared" si="1439"/>
        <v>3.1638543516873887</v>
      </c>
      <c r="K863" s="335">
        <f t="shared" si="1440"/>
        <v>3.3725490196078427</v>
      </c>
      <c r="L863" s="335" t="e">
        <f t="shared" si="1441"/>
        <v>#DIV/0!</v>
      </c>
      <c r="M863" s="335">
        <f t="shared" si="1442"/>
        <v>0</v>
      </c>
      <c r="N863" s="335">
        <f t="shared" si="1442"/>
        <v>0</v>
      </c>
      <c r="O863" s="336"/>
      <c r="P863" s="336"/>
      <c r="Q863" s="335">
        <f>Q877/Q880*100</f>
        <v>3.3725490196078427</v>
      </c>
      <c r="R863" s="335">
        <f>R877/R880*100</f>
        <v>3.4157259634098871</v>
      </c>
      <c r="S863" s="335">
        <f>S877/S880*100</f>
        <v>6.3492063492063489</v>
      </c>
      <c r="T863" s="335">
        <f>T877/T880*100</f>
        <v>9.0277777777777768</v>
      </c>
      <c r="V863" s="335">
        <f>V877/V880*100</f>
        <v>0</v>
      </c>
      <c r="W863" s="335">
        <f>W877/W880*100</f>
        <v>0</v>
      </c>
      <c r="Y863" s="335">
        <f>Y877/Y880*100</f>
        <v>0</v>
      </c>
      <c r="Z863" s="335">
        <f>Z877/Z880*100</f>
        <v>0</v>
      </c>
      <c r="AB863" s="335">
        <f>AB877/AB880*100</f>
        <v>0</v>
      </c>
      <c r="AC863" s="335">
        <f>AC877/AC880*100</f>
        <v>0</v>
      </c>
      <c r="AE863" s="335">
        <f>AE877/AE880*100</f>
        <v>0</v>
      </c>
      <c r="AF863" s="335">
        <f>AF877/AF880*100</f>
        <v>0</v>
      </c>
      <c r="AH863" s="335">
        <f>AH877/AH880*100</f>
        <v>0</v>
      </c>
      <c r="AI863" s="335">
        <f>AI877/AI880*100</f>
        <v>0</v>
      </c>
      <c r="AK863" s="335">
        <f>AK877/AK880*100</f>
        <v>1.4457831325301205</v>
      </c>
      <c r="AL863" s="335">
        <f>AL877/AL880*100</f>
        <v>0.73529411764705876</v>
      </c>
      <c r="AN863" s="335">
        <f>AN877/AN880*100</f>
        <v>0.26385224274406333</v>
      </c>
      <c r="AO863" s="335">
        <f>AO877/AO880*100</f>
        <v>0.13210039630118892</v>
      </c>
      <c r="AQ863" s="335">
        <f>AQ877/AQ880*100</f>
        <v>0</v>
      </c>
      <c r="AR863" s="335">
        <f>AR877/AR880*100</f>
        <v>0</v>
      </c>
      <c r="AT863" s="335">
        <f>AT877/AT880*100</f>
        <v>2.1201413427561837</v>
      </c>
      <c r="AU863" s="335">
        <f>AU877/AU880*100</f>
        <v>2.3696682464454977</v>
      </c>
      <c r="AW863" s="335">
        <f>AW877/AW880*100</f>
        <v>0.89285714285714279</v>
      </c>
      <c r="AX863" s="335">
        <f>AX877/AX880*100</f>
        <v>1.171875</v>
      </c>
      <c r="AZ863" s="335">
        <f>AZ877/AZ880*100</f>
        <v>0</v>
      </c>
      <c r="BA863" s="335">
        <f>BA877/BA880*100</f>
        <v>0</v>
      </c>
      <c r="BC863" s="335">
        <f>BC877/BC880*100</f>
        <v>9.1803278688524586</v>
      </c>
      <c r="BD863" s="335">
        <f>BD877/BD880*100</f>
        <v>8.5106382978723403</v>
      </c>
      <c r="BF863" s="335">
        <f>BF877/BF880*100</f>
        <v>10.204081632653061</v>
      </c>
      <c r="BG863" s="335">
        <f>BG877/BG880*100</f>
        <v>9.3994778067885107</v>
      </c>
      <c r="BI863" s="335">
        <f>BI877/BI880*100</f>
        <v>3.6049382716049383</v>
      </c>
      <c r="BJ863" s="335">
        <f>BJ877/BJ880*100</f>
        <v>3.90625</v>
      </c>
      <c r="BL863" s="335">
        <f>BL877/BL880*100</f>
        <v>0</v>
      </c>
      <c r="BM863" s="335">
        <f>BM877/BM880*100</f>
        <v>0</v>
      </c>
      <c r="BO863" s="335">
        <f>BO877/BO880*100</f>
        <v>0</v>
      </c>
      <c r="BP863" s="335">
        <f>BP877/BP880*100</f>
        <v>0</v>
      </c>
      <c r="BR863" s="335">
        <f>BR877/BR880*100</f>
        <v>0</v>
      </c>
      <c r="BS863" s="335">
        <f>BS877/BS880*100</f>
        <v>0</v>
      </c>
      <c r="BU863" s="335">
        <f>BU877/BU880*100</f>
        <v>0</v>
      </c>
      <c r="BV863" s="335">
        <f>BV877/BV880*100</f>
        <v>0</v>
      </c>
      <c r="BX863" s="335">
        <f>BX877/BX880*100</f>
        <v>0</v>
      </c>
      <c r="BY863" s="335">
        <f>BY877/BY880*100</f>
        <v>0</v>
      </c>
      <c r="CA863" s="335">
        <f>CA877/CA880*100</f>
        <v>0.85106382978723405</v>
      </c>
      <c r="CB863" s="335">
        <f>CB877/CB880*100</f>
        <v>1.2820512820512819</v>
      </c>
      <c r="CD863" s="335">
        <f>CD877/CD880*100</f>
        <v>0</v>
      </c>
      <c r="CE863" s="335">
        <f>CE877/CE880*100</f>
        <v>0</v>
      </c>
      <c r="CG863" s="335">
        <f>CG877/CG880*100</f>
        <v>6.6902794175521443</v>
      </c>
      <c r="CH863" s="335">
        <f>CH877/CH880*100</f>
        <v>6.8029885961462835</v>
      </c>
      <c r="CJ863" s="335">
        <f>CJ877/CJ880*100</f>
        <v>0</v>
      </c>
      <c r="CK863" s="335">
        <f>CK877/CK880*100</f>
        <v>0</v>
      </c>
    </row>
    <row r="864" spans="1:89" x14ac:dyDescent="0.25">
      <c r="A864" s="95"/>
      <c r="B864" s="96" t="s">
        <v>2098</v>
      </c>
      <c r="C864" s="95"/>
      <c r="D864" s="95"/>
      <c r="E864" s="103"/>
      <c r="F864" s="103"/>
      <c r="G864" s="103"/>
      <c r="H864" s="103"/>
      <c r="I864" s="335">
        <f t="shared" si="1438"/>
        <v>47.330195023537328</v>
      </c>
      <c r="J864" s="335">
        <f t="shared" si="1439"/>
        <v>53.885435168738894</v>
      </c>
      <c r="K864" s="335">
        <f t="shared" si="1440"/>
        <v>57.882352941176471</v>
      </c>
      <c r="L864" s="335" t="e">
        <f t="shared" si="1441"/>
        <v>#DIV/0!</v>
      </c>
      <c r="M864" s="335">
        <f t="shared" si="1442"/>
        <v>100</v>
      </c>
      <c r="N864" s="335">
        <f t="shared" si="1442"/>
        <v>112.72084805653711</v>
      </c>
      <c r="Q864" s="335">
        <f>Q878/Q880*100</f>
        <v>57.882352941176471</v>
      </c>
      <c r="R864" s="335">
        <f>R878/R880*100</f>
        <v>58.310626702997268</v>
      </c>
      <c r="S864" s="335">
        <f>S878/S880*100</f>
        <v>74.603174603174608</v>
      </c>
      <c r="T864" s="335">
        <f>T878/T880*100</f>
        <v>69.444444444444443</v>
      </c>
      <c r="V864" s="335">
        <f>V878/V880*100</f>
        <v>93.495934959349597</v>
      </c>
      <c r="W864" s="335">
        <f>W878/W880*100</f>
        <v>88.495575221238937</v>
      </c>
      <c r="Y864" s="335">
        <f>Y878/Y880*100</f>
        <v>100</v>
      </c>
      <c r="Z864" s="335">
        <f>Z878/Z880*100</f>
        <v>100</v>
      </c>
      <c r="AB864" s="335">
        <f>AB878/AB880*100</f>
        <v>100</v>
      </c>
      <c r="AC864" s="335">
        <f>AC878/AC880*100</f>
        <v>100</v>
      </c>
      <c r="AE864" s="335">
        <f>AE878/AE880*100</f>
        <v>64.978902953586498</v>
      </c>
      <c r="AF864" s="335">
        <f>AF878/AF880*100</f>
        <v>70.588235294117652</v>
      </c>
      <c r="AH864" s="335">
        <f>AH878/AH880*100</f>
        <v>100</v>
      </c>
      <c r="AI864" s="335">
        <f>AI878/AI880*100</f>
        <v>100</v>
      </c>
      <c r="AK864" s="335">
        <f>AK878/AK880*100</f>
        <v>60.963855421686752</v>
      </c>
      <c r="AL864" s="335">
        <f>AL878/AL880*100</f>
        <v>60.539215686274503</v>
      </c>
      <c r="AN864" s="335">
        <f>AN878/AN880*100</f>
        <v>79.815303430079155</v>
      </c>
      <c r="AO864" s="335">
        <f>AO878/AO880*100</f>
        <v>80.184940554821665</v>
      </c>
      <c r="AQ864" s="335">
        <f>AQ878/AQ880*100</f>
        <v>97.70992366412213</v>
      </c>
      <c r="AR864" s="335">
        <f>AR878/AR880*100</f>
        <v>98.986486486486484</v>
      </c>
      <c r="AT864" s="335">
        <f>AT878/AT880*100</f>
        <v>79.858657243816253</v>
      </c>
      <c r="AU864" s="335">
        <f>AU878/AU880*100</f>
        <v>83.412322274881518</v>
      </c>
      <c r="AW864" s="335">
        <f>AW878/AW880*100</f>
        <v>67.410714285714292</v>
      </c>
      <c r="AX864" s="335">
        <f>AX878/AX880*100</f>
        <v>70.703125</v>
      </c>
      <c r="AZ864" s="335">
        <f>AZ878/AZ880*100</f>
        <v>100</v>
      </c>
      <c r="BA864" s="335">
        <f>BA878/BA880*100</f>
        <v>100</v>
      </c>
      <c r="BC864" s="335">
        <f>BC878/BC880*100</f>
        <v>49.836065573770497</v>
      </c>
      <c r="BD864" s="335">
        <f>BD878/BD880*100</f>
        <v>48.936170212765958</v>
      </c>
      <c r="BF864" s="335">
        <f>BF878/BF880*100</f>
        <v>67.346938775510196</v>
      </c>
      <c r="BG864" s="335">
        <f>BG878/BG880*100</f>
        <v>67.101827676240205</v>
      </c>
      <c r="BI864" s="335">
        <f>BI878/BI880*100</f>
        <v>61.086419753086417</v>
      </c>
      <c r="BJ864" s="335">
        <f>BJ878/BJ880*100</f>
        <v>58.697916666666671</v>
      </c>
      <c r="BL864" s="335">
        <f>BL878/BL880*100</f>
        <v>100</v>
      </c>
      <c r="BM864" s="335">
        <f>BM878/BM880*100</f>
        <v>100</v>
      </c>
      <c r="BO864" s="335">
        <f>BO878/BO880*100</f>
        <v>95.26627218934911</v>
      </c>
      <c r="BP864" s="335">
        <f>BP878/BP880*100</f>
        <v>91.774891774891771</v>
      </c>
      <c r="BR864" s="335">
        <f>BR878/BR880*100</f>
        <v>100</v>
      </c>
      <c r="BS864" s="335">
        <f>BS878/BS880*100</f>
        <v>100</v>
      </c>
      <c r="BU864" s="335">
        <f>BU878/BU880*100</f>
        <v>76.19047619047619</v>
      </c>
      <c r="BV864" s="335">
        <f>BV878/BV880*100</f>
        <v>77.435897435897445</v>
      </c>
      <c r="BX864" s="335">
        <f>BX878/BX880*100</f>
        <v>100</v>
      </c>
      <c r="BY864" s="335">
        <f>BY878/BY880*100</f>
        <v>100</v>
      </c>
      <c r="CA864" s="335">
        <f>CA878/CA880*100</f>
        <v>96.170212765957444</v>
      </c>
      <c r="CB864" s="335">
        <f>CB878/CB880*100</f>
        <v>95.299145299145295</v>
      </c>
      <c r="CD864" s="335">
        <f>CD878/CD880*100</f>
        <v>100</v>
      </c>
      <c r="CE864" s="335">
        <f>CE878/CE880*100</f>
        <v>100</v>
      </c>
      <c r="CG864" s="335">
        <f>CG878/CG880*100</f>
        <v>1.8890200708382525</v>
      </c>
      <c r="CH864" s="335">
        <f>CH878/CH880*100</f>
        <v>2.0448289421942585</v>
      </c>
      <c r="CJ864" s="335">
        <f>CJ878/CJ880*100</f>
        <v>100</v>
      </c>
      <c r="CK864" s="335">
        <f>CK878/CK880*100</f>
        <v>100</v>
      </c>
    </row>
    <row r="865" spans="1:89" x14ac:dyDescent="0.25">
      <c r="A865" s="95"/>
      <c r="B865" s="96" t="s">
        <v>2097</v>
      </c>
      <c r="C865" s="95"/>
      <c r="D865" s="95"/>
      <c r="E865" s="103"/>
      <c r="F865" s="103"/>
      <c r="G865" s="103"/>
      <c r="H865" s="103"/>
      <c r="I865" s="335">
        <f t="shared" si="1438"/>
        <v>12.575655682582381</v>
      </c>
      <c r="J865" s="335">
        <f t="shared" si="1439"/>
        <v>12.27797513321492</v>
      </c>
      <c r="K865" s="335">
        <f t="shared" si="1440"/>
        <v>11.470588235294118</v>
      </c>
      <c r="L865" s="335" t="e">
        <f t="shared" si="1441"/>
        <v>#DIV/0!</v>
      </c>
      <c r="M865" s="335">
        <f t="shared" si="1442"/>
        <v>27.561837455830389</v>
      </c>
      <c r="N865" s="335">
        <f t="shared" si="1442"/>
        <v>25.795053003533567</v>
      </c>
      <c r="Q865" s="335">
        <f>Q879/Q880*100</f>
        <v>11.470588235294118</v>
      </c>
      <c r="R865" s="335">
        <f>R879/R880*100</f>
        <v>11.346827559361619</v>
      </c>
      <c r="S865" s="335">
        <f>S879/S880*100</f>
        <v>23.015873015873016</v>
      </c>
      <c r="T865" s="335">
        <f>T879/T880*100</f>
        <v>31.944444444444443</v>
      </c>
      <c r="V865" s="335">
        <f>V879/V880*100</f>
        <v>52.845528455284551</v>
      </c>
      <c r="W865" s="335">
        <f>W879/W880*100</f>
        <v>46.017699115044245</v>
      </c>
      <c r="Y865" s="335">
        <f>Y879/Y880*100</f>
        <v>8.9588377723970947</v>
      </c>
      <c r="Z865" s="335">
        <f>Z879/Z880*100</f>
        <v>8.4905660377358494</v>
      </c>
      <c r="AB865" s="335">
        <f>AB879/AB880*100</f>
        <v>27.559055118110237</v>
      </c>
      <c r="AC865" s="335">
        <f>AC879/AC880*100</f>
        <v>23.293172690763054</v>
      </c>
      <c r="AE865" s="335">
        <f>AE879/AE880*100</f>
        <v>11.814345991561181</v>
      </c>
      <c r="AF865" s="335">
        <f>AF879/AF880*100</f>
        <v>10.084033613445378</v>
      </c>
      <c r="AH865" s="335">
        <f>AH879/AH880*100</f>
        <v>27.906976744186046</v>
      </c>
      <c r="AI865" s="335">
        <f>AI879/AI880*100</f>
        <v>29.795918367346943</v>
      </c>
      <c r="AK865" s="335">
        <f>AK879/AK880*100</f>
        <v>22.891566265060241</v>
      </c>
      <c r="AL865" s="335">
        <f>AL879/AL880*100</f>
        <v>24.019607843137255</v>
      </c>
      <c r="AN865" s="335">
        <f>AN879/AN880*100</f>
        <v>13.456464379947231</v>
      </c>
      <c r="AO865" s="335">
        <f>AO879/AO880*100</f>
        <v>12.945838837516513</v>
      </c>
      <c r="AQ865" s="335">
        <f>AQ879/AQ880*100</f>
        <v>14.122137404580155</v>
      </c>
      <c r="AR865" s="335">
        <f>AR879/AR880*100</f>
        <v>11.486486486486488</v>
      </c>
      <c r="AT865" s="335">
        <f>AT879/AT880*100</f>
        <v>7.4204946996466434</v>
      </c>
      <c r="AU865" s="335">
        <f>AU879/AU880*100</f>
        <v>9.4786729857819907</v>
      </c>
      <c r="AW865" s="335">
        <f>AW879/AW880*100</f>
        <v>18.303571428571427</v>
      </c>
      <c r="AX865" s="335">
        <f>AX879/AX880*100</f>
        <v>17.1875</v>
      </c>
      <c r="AZ865" s="335">
        <f>AZ879/AZ880*100</f>
        <v>9.8591549295774641</v>
      </c>
      <c r="BA865" s="335">
        <f>BA879/BA880*100</f>
        <v>9.2436974789915975</v>
      </c>
      <c r="BC865" s="335">
        <f>BC879/BC880*100</f>
        <v>12.459016393442624</v>
      </c>
      <c r="BD865" s="335">
        <f>BD879/BD880*100</f>
        <v>8.8652482269503547</v>
      </c>
      <c r="BF865" s="335">
        <f>BF879/BF880*100</f>
        <v>31.486880466472307</v>
      </c>
      <c r="BG865" s="335">
        <f>BG879/BG880*100</f>
        <v>28.198433420365536</v>
      </c>
      <c r="BI865" s="335">
        <f>BI879/BI880*100</f>
        <v>3.3580246913580245</v>
      </c>
      <c r="BJ865" s="335">
        <f>BJ879/BJ880*100</f>
        <v>3.90625</v>
      </c>
      <c r="BL865" s="335">
        <f>BL879/BL880*100</f>
        <v>69.047619047619051</v>
      </c>
      <c r="BM865" s="335">
        <f>BM879/BM880*100</f>
        <v>70</v>
      </c>
      <c r="BO865" s="335">
        <f>BO879/BO880*100</f>
        <v>10.059171597633137</v>
      </c>
      <c r="BP865" s="335">
        <f>BP879/BP880*100</f>
        <v>6.4935064935064926</v>
      </c>
      <c r="BR865" s="335">
        <f>BR879/BR880*100</f>
        <v>46.938775510204081</v>
      </c>
      <c r="BS865" s="335">
        <f>BS879/BS880*100</f>
        <v>55.319148936170215</v>
      </c>
      <c r="BU865" s="335">
        <f>BU879/BU880*100</f>
        <v>23.809523809523807</v>
      </c>
      <c r="BV865" s="335">
        <f>BV879/BV880*100</f>
        <v>19.487179487179489</v>
      </c>
      <c r="BX865" s="335">
        <f>BX879/BX880*100</f>
        <v>51.923076923076927</v>
      </c>
      <c r="BY865" s="335">
        <f>BY879/BY880*100</f>
        <v>50</v>
      </c>
      <c r="CA865" s="335">
        <f>CA879/CA880*100</f>
        <v>30.638297872340424</v>
      </c>
      <c r="CB865" s="335">
        <f>CB879/CB880*100</f>
        <v>32.905982905982903</v>
      </c>
      <c r="CD865" s="335">
        <f>CD879/CD880*100</f>
        <v>54.128440366972477</v>
      </c>
      <c r="CE865" s="335">
        <f>CE879/CE880*100</f>
        <v>46.478873239436616</v>
      </c>
      <c r="CG865" s="335">
        <f>CG879/CG880*100</f>
        <v>0.66902794175521452</v>
      </c>
      <c r="CH865" s="335">
        <f>CH879/CH880*100</f>
        <v>0.86511993708218649</v>
      </c>
      <c r="CJ865" s="335">
        <f>CJ879/CJ880*100</f>
        <v>77.777777777777786</v>
      </c>
      <c r="CK865" s="335">
        <f>CK879/CK880*100</f>
        <v>71.428571428571431</v>
      </c>
    </row>
    <row r="866" spans="1:89" x14ac:dyDescent="0.25">
      <c r="A866" s="95"/>
      <c r="B866" s="96" t="s">
        <v>1184</v>
      </c>
      <c r="C866" s="95"/>
      <c r="D866" s="95"/>
      <c r="E866" s="103"/>
      <c r="F866" s="103"/>
      <c r="G866" s="103"/>
      <c r="H866" s="103"/>
      <c r="I866" s="335"/>
      <c r="J866" s="335"/>
      <c r="K866" s="335"/>
      <c r="L866" s="335"/>
      <c r="M866" s="335"/>
      <c r="N866" s="335"/>
      <c r="Q866" s="335"/>
      <c r="R866" s="335"/>
      <c r="S866" s="335"/>
      <c r="T866" s="335"/>
      <c r="V866" s="335"/>
      <c r="W866" s="335"/>
      <c r="Y866" s="335"/>
      <c r="Z866" s="335"/>
      <c r="AB866" s="335"/>
      <c r="AC866" s="335"/>
      <c r="AE866" s="335"/>
      <c r="AF866" s="335"/>
      <c r="AH866" s="335"/>
      <c r="AI866" s="335"/>
      <c r="AK866" s="335"/>
      <c r="AL866" s="335"/>
      <c r="AN866" s="335"/>
      <c r="AO866" s="335"/>
      <c r="AQ866" s="335"/>
      <c r="AR866" s="335"/>
      <c r="AT866" s="335"/>
      <c r="AU866" s="335"/>
      <c r="AW866" s="335"/>
      <c r="AX866" s="335"/>
      <c r="AZ866" s="335"/>
      <c r="BA866" s="335"/>
      <c r="BC866" s="335"/>
      <c r="BD866" s="335"/>
      <c r="BF866" s="335"/>
      <c r="BG866" s="335"/>
      <c r="BI866" s="335"/>
      <c r="BJ866" s="335"/>
      <c r="BL866" s="335"/>
      <c r="BM866" s="335"/>
      <c r="BO866" s="335"/>
      <c r="BP866" s="335"/>
      <c r="BR866" s="335"/>
      <c r="BS866" s="335"/>
      <c r="BU866" s="335"/>
      <c r="BV866" s="335"/>
      <c r="BX866" s="335"/>
      <c r="BY866" s="335"/>
      <c r="CA866" s="335"/>
      <c r="CB866" s="335"/>
      <c r="CD866" s="335"/>
      <c r="CE866" s="335"/>
      <c r="CG866" s="335"/>
      <c r="CH866" s="335"/>
      <c r="CJ866" s="335"/>
      <c r="CK866" s="335"/>
    </row>
    <row r="867" spans="1:89" ht="30" x14ac:dyDescent="0.25">
      <c r="A867" s="95"/>
      <c r="B867" s="96" t="s">
        <v>2662</v>
      </c>
      <c r="C867" s="95"/>
      <c r="D867" s="95"/>
      <c r="E867" s="103"/>
      <c r="F867" s="103"/>
      <c r="G867" s="103"/>
      <c r="H867" s="103"/>
      <c r="I867" s="335">
        <f t="shared" ref="I867:I872" si="1443">I882/$I$888*100</f>
        <v>0</v>
      </c>
      <c r="J867" s="335">
        <f t="shared" ref="J867:J872" si="1444">J882/$J$888*100</f>
        <v>0</v>
      </c>
      <c r="K867" s="335">
        <f t="shared" ref="K867:K872" si="1445">K882/$K$888*100</f>
        <v>0</v>
      </c>
      <c r="L867" s="335" t="e">
        <f t="shared" ref="L867:L872" si="1446">L882/$L$888*100</f>
        <v>#DIV/0!</v>
      </c>
      <c r="M867" s="335" t="e">
        <f t="shared" ref="M867:N872" si="1447">M882/$M$888*100</f>
        <v>#DIV/0!</v>
      </c>
      <c r="N867" s="335" t="e">
        <f t="shared" si="1447"/>
        <v>#DIV/0!</v>
      </c>
      <c r="Q867" s="335">
        <f>Q882/Q888*100</f>
        <v>0</v>
      </c>
      <c r="R867" s="335">
        <f>R882/R888*100</f>
        <v>0</v>
      </c>
      <c r="S867" s="335" t="e">
        <f>S882/S888*100</f>
        <v>#DIV/0!</v>
      </c>
      <c r="T867" s="335" t="e">
        <f>T882/T888*100</f>
        <v>#DIV/0!</v>
      </c>
      <c r="V867" s="335" t="e">
        <f>V882/V888*100</f>
        <v>#DIV/0!</v>
      </c>
      <c r="W867" s="335" t="e">
        <f>W882/W888*100</f>
        <v>#DIV/0!</v>
      </c>
      <c r="Y867" s="335" t="e">
        <f>Y882/Y888*100</f>
        <v>#DIV/0!</v>
      </c>
      <c r="Z867" s="335" t="e">
        <f>Z882/Z888*100</f>
        <v>#DIV/0!</v>
      </c>
      <c r="AB867" s="335" t="e">
        <f>AB882/AB888*100</f>
        <v>#DIV/0!</v>
      </c>
      <c r="AC867" s="335" t="e">
        <f>AC882/AC888*100</f>
        <v>#DIV/0!</v>
      </c>
      <c r="AE867" s="335" t="e">
        <f>AE882/AE888*100</f>
        <v>#DIV/0!</v>
      </c>
      <c r="AF867" s="335" t="e">
        <f>AF882/AF888*100</f>
        <v>#DIV/0!</v>
      </c>
      <c r="AH867" s="335" t="e">
        <f>AH882/AH888*100</f>
        <v>#DIV/0!</v>
      </c>
      <c r="AI867" s="335" t="e">
        <f>AI882/AI888*100</f>
        <v>#DIV/0!</v>
      </c>
      <c r="AK867" s="335" t="e">
        <f>AK882/AK888*100</f>
        <v>#DIV/0!</v>
      </c>
      <c r="AL867" s="335" t="e">
        <f>AL882/AL888*100</f>
        <v>#DIV/0!</v>
      </c>
      <c r="AN867" s="335" t="e">
        <f>AN882/AN888*100</f>
        <v>#DIV/0!</v>
      </c>
      <c r="AO867" s="335" t="e">
        <f>AO882/AO888*100</f>
        <v>#DIV/0!</v>
      </c>
      <c r="AQ867" s="335" t="e">
        <f>AQ882/AQ888*100</f>
        <v>#DIV/0!</v>
      </c>
      <c r="AR867" s="335" t="e">
        <f>AR882/AR888*100</f>
        <v>#DIV/0!</v>
      </c>
      <c r="AT867" s="335" t="e">
        <f>AT882/AT888*100</f>
        <v>#DIV/0!</v>
      </c>
      <c r="AU867" s="335" t="e">
        <f>AU882/AU888*100</f>
        <v>#DIV/0!</v>
      </c>
      <c r="AW867" s="335" t="e">
        <f>AW882/AW888*100</f>
        <v>#DIV/0!</v>
      </c>
      <c r="AX867" s="335" t="e">
        <f>AX882/AX888*100</f>
        <v>#DIV/0!</v>
      </c>
      <c r="AZ867" s="335" t="e">
        <f>AZ882/AZ888*100</f>
        <v>#DIV/0!</v>
      </c>
      <c r="BA867" s="335" t="e">
        <f>BA882/BA888*100</f>
        <v>#DIV/0!</v>
      </c>
      <c r="BC867" s="335">
        <f>BC882/BC888*100</f>
        <v>0</v>
      </c>
      <c r="BD867" s="335">
        <f>BD882/BD888*100</f>
        <v>0</v>
      </c>
      <c r="BF867" s="335">
        <f>BF882/BF888*100</f>
        <v>0</v>
      </c>
      <c r="BG867" s="335" t="e">
        <f>BG882/BG888*100</f>
        <v>#DIV/0!</v>
      </c>
      <c r="BI867" s="335" t="e">
        <f>BI882/BI888*100</f>
        <v>#DIV/0!</v>
      </c>
      <c r="BJ867" s="335" t="e">
        <f>BJ882/BJ888*100</f>
        <v>#DIV/0!</v>
      </c>
      <c r="BL867" s="335" t="e">
        <f>BL882/BL888*100</f>
        <v>#DIV/0!</v>
      </c>
      <c r="BM867" s="335" t="e">
        <f>BM882/BM888*100</f>
        <v>#DIV/0!</v>
      </c>
      <c r="BO867" s="335" t="e">
        <f>BO882/BO888*100</f>
        <v>#DIV/0!</v>
      </c>
      <c r="BP867" s="335" t="e">
        <f>BP882/BP888*100</f>
        <v>#DIV/0!</v>
      </c>
      <c r="BR867" s="335" t="e">
        <f>BR882/BR888*100</f>
        <v>#DIV/0!</v>
      </c>
      <c r="BS867" s="335" t="e">
        <f>BS882/BS888*100</f>
        <v>#DIV/0!</v>
      </c>
      <c r="BU867" s="335" t="e">
        <f>BU882/BU888*100</f>
        <v>#DIV/0!</v>
      </c>
      <c r="BV867" s="335" t="e">
        <f>BV882/BV888*100</f>
        <v>#DIV/0!</v>
      </c>
      <c r="BX867" s="335" t="e">
        <f>BX882/BX888*100</f>
        <v>#DIV/0!</v>
      </c>
      <c r="BY867" s="335" t="e">
        <f>BY882/BY888*100</f>
        <v>#DIV/0!</v>
      </c>
      <c r="CA867" s="335" t="e">
        <f>CA882/CA888*100</f>
        <v>#DIV/0!</v>
      </c>
      <c r="CB867" s="335" t="e">
        <f>CB882/CB888*100</f>
        <v>#DIV/0!</v>
      </c>
      <c r="CD867" s="335">
        <f>CD882/CD888*100</f>
        <v>0</v>
      </c>
      <c r="CE867" s="335">
        <f>CE882/CE888*100</f>
        <v>0</v>
      </c>
      <c r="CG867" s="335" t="e">
        <f>CG882/CG888*100</f>
        <v>#DIV/0!</v>
      </c>
      <c r="CH867" s="335" t="e">
        <f>CH882/CH888*100</f>
        <v>#DIV/0!</v>
      </c>
      <c r="CJ867" s="335" t="e">
        <f>CJ882/CJ888*100</f>
        <v>#DIV/0!</v>
      </c>
      <c r="CK867" s="335" t="e">
        <f>CK882/CK888*100</f>
        <v>#DIV/0!</v>
      </c>
    </row>
    <row r="868" spans="1:89" x14ac:dyDescent="0.25">
      <c r="A868" s="95"/>
      <c r="B868" s="96" t="s">
        <v>2097</v>
      </c>
      <c r="C868" s="95"/>
      <c r="D868" s="95"/>
      <c r="E868" s="103"/>
      <c r="F868" s="103"/>
      <c r="G868" s="103"/>
      <c r="H868" s="103"/>
      <c r="I868" s="335">
        <f t="shared" si="1443"/>
        <v>0</v>
      </c>
      <c r="J868" s="335">
        <f t="shared" si="1444"/>
        <v>0</v>
      </c>
      <c r="K868" s="335">
        <f t="shared" si="1445"/>
        <v>0</v>
      </c>
      <c r="L868" s="335" t="e">
        <f t="shared" si="1446"/>
        <v>#DIV/0!</v>
      </c>
      <c r="M868" s="335" t="e">
        <f t="shared" si="1447"/>
        <v>#DIV/0!</v>
      </c>
      <c r="N868" s="335" t="e">
        <f t="shared" si="1447"/>
        <v>#DIV/0!</v>
      </c>
      <c r="Q868" s="335">
        <f>Q883/Q888*100</f>
        <v>0</v>
      </c>
      <c r="R868" s="335">
        <f>R883/R888*100</f>
        <v>0</v>
      </c>
      <c r="S868" s="335" t="e">
        <f>S883/S888*100</f>
        <v>#DIV/0!</v>
      </c>
      <c r="T868" s="335" t="e">
        <f>T883/T888*100</f>
        <v>#DIV/0!</v>
      </c>
      <c r="V868" s="335" t="e">
        <f>V883/V888*100</f>
        <v>#DIV/0!</v>
      </c>
      <c r="W868" s="335" t="e">
        <f>W883/W888*100</f>
        <v>#DIV/0!</v>
      </c>
      <c r="Y868" s="335" t="e">
        <f>Y883/Y888*100</f>
        <v>#DIV/0!</v>
      </c>
      <c r="Z868" s="335" t="e">
        <f>Z883/Z888*100</f>
        <v>#DIV/0!</v>
      </c>
      <c r="AB868" s="335" t="e">
        <f>AB883/AB888*100</f>
        <v>#DIV/0!</v>
      </c>
      <c r="AC868" s="335" t="e">
        <f>AC883/AC888*100</f>
        <v>#DIV/0!</v>
      </c>
      <c r="AE868" s="335" t="e">
        <f>AE883/AE888*100</f>
        <v>#DIV/0!</v>
      </c>
      <c r="AF868" s="335" t="e">
        <f>AF883/AF888*100</f>
        <v>#DIV/0!</v>
      </c>
      <c r="AH868" s="335" t="e">
        <f>AH883/AH888*100</f>
        <v>#DIV/0!</v>
      </c>
      <c r="AI868" s="335" t="e">
        <f>AI883/AI888*100</f>
        <v>#DIV/0!</v>
      </c>
      <c r="AK868" s="335" t="e">
        <f>AK883/AK888*100</f>
        <v>#DIV/0!</v>
      </c>
      <c r="AL868" s="335" t="e">
        <f>AL883/AL888*100</f>
        <v>#DIV/0!</v>
      </c>
      <c r="AN868" s="335" t="e">
        <f>AN883/AN888*100</f>
        <v>#DIV/0!</v>
      </c>
      <c r="AO868" s="335" t="e">
        <f>AO883/AO888*100</f>
        <v>#DIV/0!</v>
      </c>
      <c r="AQ868" s="335" t="e">
        <f>AQ883/AQ888*100</f>
        <v>#DIV/0!</v>
      </c>
      <c r="AR868" s="335" t="e">
        <f>AR883/AR888*100</f>
        <v>#DIV/0!</v>
      </c>
      <c r="AT868" s="335" t="e">
        <f>AT883/AT888*100</f>
        <v>#DIV/0!</v>
      </c>
      <c r="AU868" s="335" t="e">
        <f>AU883/AU888*100</f>
        <v>#DIV/0!</v>
      </c>
      <c r="AW868" s="335" t="e">
        <f>AW883/AW888*100</f>
        <v>#DIV/0!</v>
      </c>
      <c r="AX868" s="335" t="e">
        <f>AX883/AX888*100</f>
        <v>#DIV/0!</v>
      </c>
      <c r="AZ868" s="335" t="e">
        <f>AZ883/AZ888*100</f>
        <v>#DIV/0!</v>
      </c>
      <c r="BA868" s="335" t="e">
        <f>BA883/BA888*100</f>
        <v>#DIV/0!</v>
      </c>
      <c r="BC868" s="335">
        <f>BC883/BC888*100</f>
        <v>0</v>
      </c>
      <c r="BD868" s="335">
        <f>BD883/BD888*100</f>
        <v>0</v>
      </c>
      <c r="BF868" s="335">
        <f>BF883/BF888*100</f>
        <v>0</v>
      </c>
      <c r="BG868" s="335" t="e">
        <f>BG883/BG888*100</f>
        <v>#DIV/0!</v>
      </c>
      <c r="BI868" s="335" t="e">
        <f>BI883/BI888*100</f>
        <v>#DIV/0!</v>
      </c>
      <c r="BJ868" s="335" t="e">
        <f>BJ883/BJ888*100</f>
        <v>#DIV/0!</v>
      </c>
      <c r="BL868" s="335" t="e">
        <f>BL883/BL888*100</f>
        <v>#DIV/0!</v>
      </c>
      <c r="BM868" s="335" t="e">
        <f>BM883/BM888*100</f>
        <v>#DIV/0!</v>
      </c>
      <c r="BO868" s="335" t="e">
        <f>BO883/BO888*100</f>
        <v>#DIV/0!</v>
      </c>
      <c r="BP868" s="335" t="e">
        <f>BP883/BP888*100</f>
        <v>#DIV/0!</v>
      </c>
      <c r="BR868" s="335" t="e">
        <f>BR883/BR888*100</f>
        <v>#DIV/0!</v>
      </c>
      <c r="BS868" s="335" t="e">
        <f>BS883/BS888*100</f>
        <v>#DIV/0!</v>
      </c>
      <c r="BU868" s="335" t="e">
        <f>BU883/BU888*100</f>
        <v>#DIV/0!</v>
      </c>
      <c r="BV868" s="335" t="e">
        <f>BV883/BV888*100</f>
        <v>#DIV/0!</v>
      </c>
      <c r="BX868" s="335" t="e">
        <f>BX883/BX888*100</f>
        <v>#DIV/0!</v>
      </c>
      <c r="BY868" s="335" t="e">
        <f>BY883/BY888*100</f>
        <v>#DIV/0!</v>
      </c>
      <c r="CA868" s="335" t="e">
        <f>CA883/CA888*100</f>
        <v>#DIV/0!</v>
      </c>
      <c r="CB868" s="335" t="e">
        <f>CB883/CB888*100</f>
        <v>#DIV/0!</v>
      </c>
      <c r="CD868" s="335">
        <f>CD883/CD888*100</f>
        <v>0</v>
      </c>
      <c r="CE868" s="335">
        <f>CE883/CE888*100</f>
        <v>0</v>
      </c>
      <c r="CG868" s="335" t="e">
        <f>CG883/CG888*100</f>
        <v>#DIV/0!</v>
      </c>
      <c r="CH868" s="335" t="e">
        <f>CH883/CH888*100</f>
        <v>#DIV/0!</v>
      </c>
      <c r="CJ868" s="335" t="e">
        <f>CJ883/CJ888*100</f>
        <v>#DIV/0!</v>
      </c>
      <c r="CK868" s="335" t="e">
        <f>CK883/CK888*100</f>
        <v>#DIV/0!</v>
      </c>
    </row>
    <row r="869" spans="1:89" ht="45" x14ac:dyDescent="0.25">
      <c r="A869" s="95"/>
      <c r="B869" s="96" t="s">
        <v>2096</v>
      </c>
      <c r="C869" s="95"/>
      <c r="D869" s="95"/>
      <c r="E869" s="103"/>
      <c r="F869" s="103"/>
      <c r="G869" s="103"/>
      <c r="H869" s="103"/>
      <c r="I869" s="335">
        <f t="shared" si="1443"/>
        <v>0</v>
      </c>
      <c r="J869" s="335">
        <f t="shared" si="1444"/>
        <v>0</v>
      </c>
      <c r="K869" s="335">
        <f t="shared" si="1445"/>
        <v>0</v>
      </c>
      <c r="L869" s="335" t="e">
        <f t="shared" si="1446"/>
        <v>#DIV/0!</v>
      </c>
      <c r="M869" s="335" t="e">
        <f t="shared" si="1447"/>
        <v>#DIV/0!</v>
      </c>
      <c r="N869" s="335" t="e">
        <f t="shared" si="1447"/>
        <v>#DIV/0!</v>
      </c>
      <c r="Q869" s="335">
        <f>Q884/Q888*100</f>
        <v>0</v>
      </c>
      <c r="R869" s="335">
        <f>R884/R888*100</f>
        <v>0</v>
      </c>
      <c r="S869" s="335" t="e">
        <f>S884/S888*100</f>
        <v>#DIV/0!</v>
      </c>
      <c r="T869" s="335" t="e">
        <f>T884/T888*100</f>
        <v>#DIV/0!</v>
      </c>
      <c r="V869" s="335" t="e">
        <f>V884/V888*100</f>
        <v>#DIV/0!</v>
      </c>
      <c r="W869" s="335" t="e">
        <f>W884/W888*100</f>
        <v>#DIV/0!</v>
      </c>
      <c r="Y869" s="335" t="e">
        <f>Y884/Y888*100</f>
        <v>#DIV/0!</v>
      </c>
      <c r="Z869" s="335" t="e">
        <f>Z884/Z888*100</f>
        <v>#DIV/0!</v>
      </c>
      <c r="AB869" s="335" t="e">
        <f>AB884/AB888*100</f>
        <v>#DIV/0!</v>
      </c>
      <c r="AC869" s="335" t="e">
        <f>AC884/AC888*100</f>
        <v>#DIV/0!</v>
      </c>
      <c r="AE869" s="335" t="e">
        <f>AE884/AE888*100</f>
        <v>#DIV/0!</v>
      </c>
      <c r="AF869" s="335" t="e">
        <f>AF884/AF888*100</f>
        <v>#DIV/0!</v>
      </c>
      <c r="AH869" s="335" t="e">
        <f>AH884/AH888*100</f>
        <v>#DIV/0!</v>
      </c>
      <c r="AI869" s="335" t="e">
        <f>AI884/AI888*100</f>
        <v>#DIV/0!</v>
      </c>
      <c r="AK869" s="335" t="e">
        <f>AK884/AK888*100</f>
        <v>#DIV/0!</v>
      </c>
      <c r="AL869" s="335" t="e">
        <f>AL884/AL888*100</f>
        <v>#DIV/0!</v>
      </c>
      <c r="AN869" s="335" t="e">
        <f>AN884/AN888*100</f>
        <v>#DIV/0!</v>
      </c>
      <c r="AO869" s="335" t="e">
        <f>AO884/AO888*100</f>
        <v>#DIV/0!</v>
      </c>
      <c r="AQ869" s="335" t="e">
        <f>AQ884/AQ888*100</f>
        <v>#DIV/0!</v>
      </c>
      <c r="AR869" s="335" t="e">
        <f>AR884/AR888*100</f>
        <v>#DIV/0!</v>
      </c>
      <c r="AT869" s="335" t="e">
        <f>AT884/AT888*100</f>
        <v>#DIV/0!</v>
      </c>
      <c r="AU869" s="335" t="e">
        <f>AU884/AU888*100</f>
        <v>#DIV/0!</v>
      </c>
      <c r="AW869" s="335" t="e">
        <f>AW884/AW888*100</f>
        <v>#DIV/0!</v>
      </c>
      <c r="AX869" s="335" t="e">
        <f>AX884/AX888*100</f>
        <v>#DIV/0!</v>
      </c>
      <c r="AZ869" s="335" t="e">
        <f>AZ884/AZ888*100</f>
        <v>#DIV/0!</v>
      </c>
      <c r="BA869" s="335" t="e">
        <f>BA884/BA888*100</f>
        <v>#DIV/0!</v>
      </c>
      <c r="BC869" s="335">
        <f>BC884/BC888*100</f>
        <v>0</v>
      </c>
      <c r="BD869" s="335">
        <f>BD884/BD888*100</f>
        <v>0</v>
      </c>
      <c r="BF869" s="335">
        <f>BF884/BF888*100</f>
        <v>0</v>
      </c>
      <c r="BG869" s="335" t="e">
        <f>BG884/BG888*100</f>
        <v>#DIV/0!</v>
      </c>
      <c r="BI869" s="335" t="e">
        <f>BI884/BI888*100</f>
        <v>#DIV/0!</v>
      </c>
      <c r="BJ869" s="335" t="e">
        <f>BJ884/BJ888*100</f>
        <v>#DIV/0!</v>
      </c>
      <c r="BL869" s="335" t="e">
        <f>BL884/BL888*100</f>
        <v>#DIV/0!</v>
      </c>
      <c r="BM869" s="335" t="e">
        <f>BM884/BM888*100</f>
        <v>#DIV/0!</v>
      </c>
      <c r="BO869" s="335" t="e">
        <f>BO884/BO888*100</f>
        <v>#DIV/0!</v>
      </c>
      <c r="BP869" s="335" t="e">
        <f>BP884/BP888*100</f>
        <v>#DIV/0!</v>
      </c>
      <c r="BR869" s="335" t="e">
        <f>BR884/BR888*100</f>
        <v>#DIV/0!</v>
      </c>
      <c r="BS869" s="335" t="e">
        <f>BS884/BS888*100</f>
        <v>#DIV/0!</v>
      </c>
      <c r="BU869" s="335" t="e">
        <f>BU884/BU888*100</f>
        <v>#DIV/0!</v>
      </c>
      <c r="BV869" s="335" t="e">
        <f>BV884/BV888*100</f>
        <v>#DIV/0!</v>
      </c>
      <c r="BX869" s="335" t="e">
        <f>BX884/BX888*100</f>
        <v>#DIV/0!</v>
      </c>
      <c r="BY869" s="335" t="e">
        <f>BY884/BY888*100</f>
        <v>#DIV/0!</v>
      </c>
      <c r="CA869" s="335" t="e">
        <f>CA884/CA888*100</f>
        <v>#DIV/0!</v>
      </c>
      <c r="CB869" s="335" t="e">
        <f>CB884/CB888*100</f>
        <v>#DIV/0!</v>
      </c>
      <c r="CD869" s="335">
        <f>CD884/CD888*100</f>
        <v>0</v>
      </c>
      <c r="CE869" s="335">
        <f>CE884/CE888*100</f>
        <v>0</v>
      </c>
      <c r="CG869" s="335" t="e">
        <f>CG884/CG888*100</f>
        <v>#DIV/0!</v>
      </c>
      <c r="CH869" s="335" t="e">
        <f>CH884/CH888*100</f>
        <v>#DIV/0!</v>
      </c>
      <c r="CJ869" s="335" t="e">
        <f>CJ884/CJ888*100</f>
        <v>#DIV/0!</v>
      </c>
      <c r="CK869" s="335" t="e">
        <f>CK884/CK888*100</f>
        <v>#DIV/0!</v>
      </c>
    </row>
    <row r="870" spans="1:89" x14ac:dyDescent="0.25">
      <c r="A870" s="95"/>
      <c r="B870" s="96" t="s">
        <v>2097</v>
      </c>
      <c r="C870" s="95"/>
      <c r="D870" s="95"/>
      <c r="E870" s="103"/>
      <c r="F870" s="103"/>
      <c r="G870" s="103"/>
      <c r="H870" s="103"/>
      <c r="I870" s="335">
        <f t="shared" si="1443"/>
        <v>0</v>
      </c>
      <c r="J870" s="335">
        <f t="shared" si="1444"/>
        <v>0</v>
      </c>
      <c r="K870" s="335">
        <f t="shared" si="1445"/>
        <v>0</v>
      </c>
      <c r="L870" s="335" t="e">
        <f t="shared" si="1446"/>
        <v>#DIV/0!</v>
      </c>
      <c r="M870" s="335" t="e">
        <f t="shared" si="1447"/>
        <v>#DIV/0!</v>
      </c>
      <c r="N870" s="335" t="e">
        <f t="shared" si="1447"/>
        <v>#DIV/0!</v>
      </c>
      <c r="Q870" s="335">
        <f>Q885/Q888*100</f>
        <v>0</v>
      </c>
      <c r="R870" s="335">
        <f>R885/R888*100</f>
        <v>0</v>
      </c>
      <c r="S870" s="335" t="e">
        <f>S885/S888*100</f>
        <v>#DIV/0!</v>
      </c>
      <c r="T870" s="335" t="e">
        <f>T885/T888*100</f>
        <v>#DIV/0!</v>
      </c>
      <c r="V870" s="335" t="e">
        <f>V885/V888*100</f>
        <v>#DIV/0!</v>
      </c>
      <c r="W870" s="335" t="e">
        <f>W885/W888*100</f>
        <v>#DIV/0!</v>
      </c>
      <c r="Y870" s="335" t="e">
        <f>Y885/Y888*100</f>
        <v>#DIV/0!</v>
      </c>
      <c r="Z870" s="335" t="e">
        <f>Z885/Z888*100</f>
        <v>#DIV/0!</v>
      </c>
      <c r="AB870" s="335" t="e">
        <f>AB885/AB888*100</f>
        <v>#DIV/0!</v>
      </c>
      <c r="AC870" s="335" t="e">
        <f>AC885/AC888*100</f>
        <v>#DIV/0!</v>
      </c>
      <c r="AE870" s="335" t="e">
        <f>AE885/AE888*100</f>
        <v>#DIV/0!</v>
      </c>
      <c r="AF870" s="335" t="e">
        <f>AF885/AF888*100</f>
        <v>#DIV/0!</v>
      </c>
      <c r="AH870" s="335" t="e">
        <f>AH885/AH888*100</f>
        <v>#DIV/0!</v>
      </c>
      <c r="AI870" s="335" t="e">
        <f>AI885/AI888*100</f>
        <v>#DIV/0!</v>
      </c>
      <c r="AK870" s="335" t="e">
        <f>AK885/AK888*100</f>
        <v>#DIV/0!</v>
      </c>
      <c r="AL870" s="335" t="e">
        <f>AL885/AL888*100</f>
        <v>#DIV/0!</v>
      </c>
      <c r="AN870" s="335" t="e">
        <f>AN885/AN888*100</f>
        <v>#DIV/0!</v>
      </c>
      <c r="AO870" s="335" t="e">
        <f>AO885/AO888*100</f>
        <v>#DIV/0!</v>
      </c>
      <c r="AQ870" s="335" t="e">
        <f>AQ885/AQ888*100</f>
        <v>#DIV/0!</v>
      </c>
      <c r="AR870" s="335" t="e">
        <f>AR885/AR888*100</f>
        <v>#DIV/0!</v>
      </c>
      <c r="AT870" s="335" t="e">
        <f>AT885/AT888*100</f>
        <v>#DIV/0!</v>
      </c>
      <c r="AU870" s="335" t="e">
        <f>AU885/AU888*100</f>
        <v>#DIV/0!</v>
      </c>
      <c r="AW870" s="335" t="e">
        <f>AW885/AW888*100</f>
        <v>#DIV/0!</v>
      </c>
      <c r="AX870" s="335" t="e">
        <f>AX885/AX888*100</f>
        <v>#DIV/0!</v>
      </c>
      <c r="AZ870" s="335" t="e">
        <f>AZ885/AZ888*100</f>
        <v>#DIV/0!</v>
      </c>
      <c r="BA870" s="335" t="e">
        <f>BA885/BA888*100</f>
        <v>#DIV/0!</v>
      </c>
      <c r="BC870" s="335">
        <f>BC885/BC888*100</f>
        <v>0</v>
      </c>
      <c r="BD870" s="335">
        <f>BD885/BD888*100</f>
        <v>0</v>
      </c>
      <c r="BF870" s="335">
        <f>BF885/BF888*100</f>
        <v>0</v>
      </c>
      <c r="BG870" s="335" t="e">
        <f>BG885/BG888*100</f>
        <v>#DIV/0!</v>
      </c>
      <c r="BI870" s="335" t="e">
        <f>BI885/BI888*100</f>
        <v>#DIV/0!</v>
      </c>
      <c r="BJ870" s="335" t="e">
        <f>BJ885/BJ888*100</f>
        <v>#DIV/0!</v>
      </c>
      <c r="BL870" s="335" t="e">
        <f>BL885/BL888*100</f>
        <v>#DIV/0!</v>
      </c>
      <c r="BM870" s="335" t="e">
        <f>BM885/BM888*100</f>
        <v>#DIV/0!</v>
      </c>
      <c r="BO870" s="335" t="e">
        <f>BO885/BO888*100</f>
        <v>#DIV/0!</v>
      </c>
      <c r="BP870" s="335" t="e">
        <f>BP885/BP888*100</f>
        <v>#DIV/0!</v>
      </c>
      <c r="BR870" s="335" t="e">
        <f>BR885/BR888*100</f>
        <v>#DIV/0!</v>
      </c>
      <c r="BS870" s="335" t="e">
        <f>BS885/BS888*100</f>
        <v>#DIV/0!</v>
      </c>
      <c r="BU870" s="335" t="e">
        <f>BU885/BU888*100</f>
        <v>#DIV/0!</v>
      </c>
      <c r="BV870" s="335" t="e">
        <f>BV885/BV888*100</f>
        <v>#DIV/0!</v>
      </c>
      <c r="BX870" s="335" t="e">
        <f>BX885/BX888*100</f>
        <v>#DIV/0!</v>
      </c>
      <c r="BY870" s="335" t="e">
        <f>BY885/BY888*100</f>
        <v>#DIV/0!</v>
      </c>
      <c r="CA870" s="335" t="e">
        <f>CA885/CA888*100</f>
        <v>#DIV/0!</v>
      </c>
      <c r="CB870" s="335" t="e">
        <f>CB885/CB888*100</f>
        <v>#DIV/0!</v>
      </c>
      <c r="CD870" s="335">
        <f>CD885/CD888*100</f>
        <v>0</v>
      </c>
      <c r="CE870" s="335">
        <f>CE885/CE888*100</f>
        <v>0</v>
      </c>
      <c r="CG870" s="335" t="e">
        <f>CG885/CG888*100</f>
        <v>#DIV/0!</v>
      </c>
      <c r="CH870" s="335" t="e">
        <f>CH885/CH888*100</f>
        <v>#DIV/0!</v>
      </c>
      <c r="CJ870" s="335" t="e">
        <f>CJ885/CJ888*100</f>
        <v>#DIV/0!</v>
      </c>
      <c r="CK870" s="335" t="e">
        <f>CK885/CK888*100</f>
        <v>#DIV/0!</v>
      </c>
    </row>
    <row r="871" spans="1:89" x14ac:dyDescent="0.25">
      <c r="A871" s="95"/>
      <c r="B871" s="96" t="s">
        <v>2098</v>
      </c>
      <c r="C871" s="95"/>
      <c r="D871" s="95"/>
      <c r="E871" s="103"/>
      <c r="F871" s="103"/>
      <c r="G871" s="103"/>
      <c r="H871" s="103"/>
      <c r="I871" s="335">
        <f t="shared" si="1443"/>
        <v>100</v>
      </c>
      <c r="J871" s="335">
        <f t="shared" si="1444"/>
        <v>100</v>
      </c>
      <c r="K871" s="335">
        <f t="shared" si="1445"/>
        <v>100</v>
      </c>
      <c r="L871" s="335" t="e">
        <f t="shared" si="1446"/>
        <v>#DIV/0!</v>
      </c>
      <c r="M871" s="335" t="e">
        <f t="shared" si="1447"/>
        <v>#DIV/0!</v>
      </c>
      <c r="N871" s="335" t="e">
        <f t="shared" si="1447"/>
        <v>#DIV/0!</v>
      </c>
      <c r="Q871" s="335">
        <f>Q886/Q888*100</f>
        <v>100</v>
      </c>
      <c r="R871" s="335">
        <f>R886/R888*100</f>
        <v>100</v>
      </c>
      <c r="S871" s="335" t="e">
        <f>S886/S888*100</f>
        <v>#DIV/0!</v>
      </c>
      <c r="T871" s="335" t="e">
        <f>T886/T888*100</f>
        <v>#DIV/0!</v>
      </c>
      <c r="V871" s="335" t="e">
        <f>V886/V888*100</f>
        <v>#DIV/0!</v>
      </c>
      <c r="W871" s="335" t="e">
        <f>W886/W888*100</f>
        <v>#DIV/0!</v>
      </c>
      <c r="Y871" s="335" t="e">
        <f>Y886/Y888*100</f>
        <v>#DIV/0!</v>
      </c>
      <c r="Z871" s="335" t="e">
        <f>Z886/Z888*100</f>
        <v>#DIV/0!</v>
      </c>
      <c r="AB871" s="335" t="e">
        <f>AB886/AB888*100</f>
        <v>#DIV/0!</v>
      </c>
      <c r="AC871" s="335" t="e">
        <f>AC886/AC888*100</f>
        <v>#DIV/0!</v>
      </c>
      <c r="AE871" s="335" t="e">
        <f>AE886/AE888*100</f>
        <v>#DIV/0!</v>
      </c>
      <c r="AF871" s="335" t="e">
        <f>AF886/AF888*100</f>
        <v>#DIV/0!</v>
      </c>
      <c r="AH871" s="335" t="e">
        <f>AH886/AH888*100</f>
        <v>#DIV/0!</v>
      </c>
      <c r="AI871" s="335" t="e">
        <f>AI886/AI888*100</f>
        <v>#DIV/0!</v>
      </c>
      <c r="AK871" s="335" t="e">
        <f>AK886/AK888*100</f>
        <v>#DIV/0!</v>
      </c>
      <c r="AL871" s="335" t="e">
        <f>AL886/AL888*100</f>
        <v>#DIV/0!</v>
      </c>
      <c r="AN871" s="335" t="e">
        <f>AN886/AN888*100</f>
        <v>#DIV/0!</v>
      </c>
      <c r="AO871" s="335" t="e">
        <f>AO886/AO888*100</f>
        <v>#DIV/0!</v>
      </c>
      <c r="AQ871" s="335" t="e">
        <f>AQ886/AQ888*100</f>
        <v>#DIV/0!</v>
      </c>
      <c r="AR871" s="335" t="e">
        <f>AR886/AR888*100</f>
        <v>#DIV/0!</v>
      </c>
      <c r="AT871" s="335" t="e">
        <f>AT886/AT888*100</f>
        <v>#DIV/0!</v>
      </c>
      <c r="AU871" s="335" t="e">
        <f>AU886/AU888*100</f>
        <v>#DIV/0!</v>
      </c>
      <c r="AW871" s="335" t="e">
        <f>AW886/AW888*100</f>
        <v>#DIV/0!</v>
      </c>
      <c r="AX871" s="335" t="e">
        <f>AX886/AX888*100</f>
        <v>#DIV/0!</v>
      </c>
      <c r="AZ871" s="335" t="e">
        <f>AZ886/AZ888*100</f>
        <v>#DIV/0!</v>
      </c>
      <c r="BA871" s="335" t="e">
        <f>BA886/BA888*100</f>
        <v>#DIV/0!</v>
      </c>
      <c r="BC871" s="335">
        <f>BC886/BC888*100</f>
        <v>100</v>
      </c>
      <c r="BD871" s="335">
        <f>BD886/BD888*100</f>
        <v>100</v>
      </c>
      <c r="BF871" s="335">
        <f>BF886/BF888*100</f>
        <v>100</v>
      </c>
      <c r="BG871" s="335" t="e">
        <f>BG886/BG888*100</f>
        <v>#DIV/0!</v>
      </c>
      <c r="BI871" s="335" t="e">
        <f>BI886/BI888*100</f>
        <v>#DIV/0!</v>
      </c>
      <c r="BJ871" s="335" t="e">
        <f>BJ886/BJ888*100</f>
        <v>#DIV/0!</v>
      </c>
      <c r="BL871" s="335" t="e">
        <f>BL886/BL888*100</f>
        <v>#DIV/0!</v>
      </c>
      <c r="BM871" s="335" t="e">
        <f>BM886/BM888*100</f>
        <v>#DIV/0!</v>
      </c>
      <c r="BO871" s="335" t="e">
        <f>BO886/BO888*100</f>
        <v>#DIV/0!</v>
      </c>
      <c r="BP871" s="335" t="e">
        <f>BP886/BP888*100</f>
        <v>#DIV/0!</v>
      </c>
      <c r="BR871" s="335" t="e">
        <f>BR886/BR888*100</f>
        <v>#DIV/0!</v>
      </c>
      <c r="BS871" s="335" t="e">
        <f>BS886/BS888*100</f>
        <v>#DIV/0!</v>
      </c>
      <c r="BU871" s="335" t="e">
        <f>BU886/BU888*100</f>
        <v>#DIV/0!</v>
      </c>
      <c r="BV871" s="335" t="e">
        <f>BV886/BV888*100</f>
        <v>#DIV/0!</v>
      </c>
      <c r="BX871" s="335" t="e">
        <f>BX886/BX888*100</f>
        <v>#DIV/0!</v>
      </c>
      <c r="BY871" s="335" t="e">
        <f>BY886/BY888*100</f>
        <v>#DIV/0!</v>
      </c>
      <c r="CA871" s="335" t="e">
        <f>CA886/CA888*100</f>
        <v>#DIV/0!</v>
      </c>
      <c r="CB871" s="335" t="e">
        <f>CB886/CB888*100</f>
        <v>#DIV/0!</v>
      </c>
      <c r="CD871" s="335">
        <f>CD886/CD888*100</f>
        <v>100</v>
      </c>
      <c r="CE871" s="335">
        <f>CE886/CE888*100</f>
        <v>100</v>
      </c>
      <c r="CG871" s="335" t="e">
        <f>CG886/CG888*100</f>
        <v>#DIV/0!</v>
      </c>
      <c r="CH871" s="335" t="e">
        <f>CH886/CH888*100</f>
        <v>#DIV/0!</v>
      </c>
      <c r="CJ871" s="335" t="e">
        <f>CJ886/CJ888*100</f>
        <v>#DIV/0!</v>
      </c>
      <c r="CK871" s="335" t="e">
        <f>CK886/CK888*100</f>
        <v>#DIV/0!</v>
      </c>
    </row>
    <row r="872" spans="1:89" x14ac:dyDescent="0.25">
      <c r="A872" s="95"/>
      <c r="B872" s="96" t="s">
        <v>2097</v>
      </c>
      <c r="C872" s="95"/>
      <c r="D872" s="95"/>
      <c r="E872" s="103"/>
      <c r="F872" s="103"/>
      <c r="G872" s="103"/>
      <c r="H872" s="103"/>
      <c r="I872" s="335">
        <f t="shared" si="1443"/>
        <v>75</v>
      </c>
      <c r="J872" s="335">
        <f t="shared" si="1444"/>
        <v>66.666666666666657</v>
      </c>
      <c r="K872" s="335">
        <f t="shared" si="1445"/>
        <v>50</v>
      </c>
      <c r="L872" s="335" t="e">
        <f t="shared" si="1446"/>
        <v>#DIV/0!</v>
      </c>
      <c r="M872" s="335" t="e">
        <f t="shared" si="1447"/>
        <v>#DIV/0!</v>
      </c>
      <c r="N872" s="335" t="e">
        <f t="shared" si="1447"/>
        <v>#DIV/0!</v>
      </c>
      <c r="Q872" s="335">
        <f>Q887/Q888*100</f>
        <v>50</v>
      </c>
      <c r="R872" s="335">
        <f>R887/R888*100</f>
        <v>62.5</v>
      </c>
      <c r="S872" s="335" t="e">
        <f>S887/S888*100</f>
        <v>#DIV/0!</v>
      </c>
      <c r="T872" s="335" t="e">
        <f>T887/T888*100</f>
        <v>#DIV/0!</v>
      </c>
      <c r="V872" s="335" t="e">
        <f>V887/V888*100</f>
        <v>#DIV/0!</v>
      </c>
      <c r="W872" s="335" t="e">
        <f>W887/W888*100</f>
        <v>#DIV/0!</v>
      </c>
      <c r="Y872" s="335" t="e">
        <f>Y887/Y888*100</f>
        <v>#DIV/0!</v>
      </c>
      <c r="Z872" s="335" t="e">
        <f>Z887/Z888*100</f>
        <v>#DIV/0!</v>
      </c>
      <c r="AB872" s="335" t="e">
        <f>AB887/AB888*100</f>
        <v>#DIV/0!</v>
      </c>
      <c r="AC872" s="335" t="e">
        <f>AC887/AC888*100</f>
        <v>#DIV/0!</v>
      </c>
      <c r="AE872" s="335" t="e">
        <f>AE887/AE888*100</f>
        <v>#DIV/0!</v>
      </c>
      <c r="AF872" s="335" t="e">
        <f>AF887/AF888*100</f>
        <v>#DIV/0!</v>
      </c>
      <c r="AH872" s="335" t="e">
        <f>AH887/AH888*100</f>
        <v>#DIV/0!</v>
      </c>
      <c r="AI872" s="335" t="e">
        <f>AI887/AI888*100</f>
        <v>#DIV/0!</v>
      </c>
      <c r="AK872" s="335" t="e">
        <f>AK887/AK888*100</f>
        <v>#DIV/0!</v>
      </c>
      <c r="AL872" s="335" t="e">
        <f>AL887/AL888*100</f>
        <v>#DIV/0!</v>
      </c>
      <c r="AN872" s="335" t="e">
        <f>AN887/AN888*100</f>
        <v>#DIV/0!</v>
      </c>
      <c r="AO872" s="335" t="e">
        <f>AO887/AO888*100</f>
        <v>#DIV/0!</v>
      </c>
      <c r="AQ872" s="335" t="e">
        <f>AQ887/AQ888*100</f>
        <v>#DIV/0!</v>
      </c>
      <c r="AR872" s="335" t="e">
        <f>AR887/AR888*100</f>
        <v>#DIV/0!</v>
      </c>
      <c r="AT872" s="335" t="e">
        <f>AT887/AT888*100</f>
        <v>#DIV/0!</v>
      </c>
      <c r="AU872" s="335" t="e">
        <f>AU887/AU888*100</f>
        <v>#DIV/0!</v>
      </c>
      <c r="AW872" s="335" t="e">
        <f>AW887/AW888*100</f>
        <v>#DIV/0!</v>
      </c>
      <c r="AX872" s="335" t="e">
        <f>AX887/AX888*100</f>
        <v>#DIV/0!</v>
      </c>
      <c r="AZ872" s="335" t="e">
        <f>AZ887/AZ888*100</f>
        <v>#DIV/0!</v>
      </c>
      <c r="BA872" s="335" t="e">
        <f>BA887/BA888*100</f>
        <v>#DIV/0!</v>
      </c>
      <c r="BC872" s="335">
        <f>BC887/BC888*100</f>
        <v>66.666666666666657</v>
      </c>
      <c r="BD872" s="335">
        <f>BD887/BD888*100</f>
        <v>80</v>
      </c>
      <c r="BF872" s="335">
        <f>BF887/BF888*100</f>
        <v>100</v>
      </c>
      <c r="BG872" s="335" t="e">
        <f>BG887/BG888*100</f>
        <v>#DIV/0!</v>
      </c>
      <c r="BI872" s="335" t="e">
        <f>BI887/BI888*100</f>
        <v>#DIV/0!</v>
      </c>
      <c r="BJ872" s="335" t="e">
        <f>BJ887/BJ888*100</f>
        <v>#DIV/0!</v>
      </c>
      <c r="BL872" s="335" t="e">
        <f>BL887/BL888*100</f>
        <v>#DIV/0!</v>
      </c>
      <c r="BM872" s="335" t="e">
        <f>BM887/BM888*100</f>
        <v>#DIV/0!</v>
      </c>
      <c r="BO872" s="335" t="e">
        <f>BO887/BO888*100</f>
        <v>#DIV/0!</v>
      </c>
      <c r="BP872" s="335" t="e">
        <f>BP887/BP888*100</f>
        <v>#DIV/0!</v>
      </c>
      <c r="BR872" s="335" t="e">
        <f>BR887/BR888*100</f>
        <v>#DIV/0!</v>
      </c>
      <c r="BS872" s="335" t="e">
        <f>BS887/BS888*100</f>
        <v>#DIV/0!</v>
      </c>
      <c r="BU872" s="335" t="e">
        <f>BU887/BU888*100</f>
        <v>#DIV/0!</v>
      </c>
      <c r="BV872" s="335" t="e">
        <f>BV887/BV888*100</f>
        <v>#DIV/0!</v>
      </c>
      <c r="BX872" s="335" t="e">
        <f>BX887/BX888*100</f>
        <v>#DIV/0!</v>
      </c>
      <c r="BY872" s="335" t="e">
        <f>BY887/BY888*100</f>
        <v>#DIV/0!</v>
      </c>
      <c r="CA872" s="335" t="e">
        <f>CA887/CA888*100</f>
        <v>#DIV/0!</v>
      </c>
      <c r="CB872" s="335" t="e">
        <f>CB887/CB888*100</f>
        <v>#DIV/0!</v>
      </c>
      <c r="CD872" s="335">
        <f>CD887/CD888*100</f>
        <v>16.666666666666664</v>
      </c>
      <c r="CE872" s="335">
        <f>CE887/CE888*100</f>
        <v>33.333333333333329</v>
      </c>
      <c r="CG872" s="335" t="e">
        <f>CG887/CG888*100</f>
        <v>#DIV/0!</v>
      </c>
      <c r="CH872" s="335" t="e">
        <f>CH887/CH888*100</f>
        <v>#DIV/0!</v>
      </c>
      <c r="CJ872" s="335" t="e">
        <f>CJ887/CJ888*100</f>
        <v>#DIV/0!</v>
      </c>
      <c r="CK872" s="335" t="e">
        <f>CK887/CK888*100</f>
        <v>#DIV/0!</v>
      </c>
    </row>
    <row r="873" spans="1:89" x14ac:dyDescent="0.25">
      <c r="A873" s="95"/>
      <c r="B873" s="96" t="s">
        <v>1182</v>
      </c>
      <c r="C873" s="95"/>
      <c r="D873" s="95"/>
      <c r="E873" s="103"/>
      <c r="F873" s="103"/>
      <c r="G873" s="103"/>
      <c r="H873" s="103"/>
      <c r="I873" s="103"/>
      <c r="J873" s="103"/>
      <c r="K873" s="103"/>
      <c r="L873" s="103"/>
      <c r="M873" s="103"/>
      <c r="N873" s="103"/>
    </row>
    <row r="874" spans="1:89" ht="30" x14ac:dyDescent="0.25">
      <c r="A874" s="95"/>
      <c r="B874" s="96" t="s">
        <v>2662</v>
      </c>
      <c r="C874" s="312" t="s">
        <v>2869</v>
      </c>
      <c r="D874" s="95" t="s">
        <v>950</v>
      </c>
      <c r="E874" s="103"/>
      <c r="F874" s="103"/>
      <c r="G874" s="103"/>
      <c r="H874" s="103"/>
      <c r="I874" s="103">
        <v>2290</v>
      </c>
      <c r="J874" s="103">
        <v>2329</v>
      </c>
      <c r="K874" s="337">
        <v>2347</v>
      </c>
      <c r="L874" s="103">
        <v>0</v>
      </c>
      <c r="M874" s="103">
        <v>0</v>
      </c>
      <c r="N874" s="103">
        <v>0</v>
      </c>
      <c r="O874" s="283"/>
      <c r="P874" s="286"/>
      <c r="Q874" s="286">
        <f t="shared" ref="Q874:Q879" si="1448">S874+V874+Y874+AB874+AE874+AH874+AK874+AN874+AQ874+AT874+AW874+AZ874+BC874+BF874+BI874+BL874+BO874+BR874+BU874+BX874+CA874+CD874+CG874+CJ874</f>
        <v>2347</v>
      </c>
      <c r="R874" s="286">
        <f t="shared" ref="R874:R879" si="1449">T874+W874+Z874+AC874+AF874+AI874+AL874+AO874+AR874+AU874+AX874+BA874+BD874+BG874+BJ874+BM874+BP874+BS874+BV874+BY874+CB874+CE874+CH874+CK874</f>
        <v>2349</v>
      </c>
      <c r="S874" s="286">
        <v>0</v>
      </c>
      <c r="T874" s="286">
        <v>0</v>
      </c>
      <c r="U874" s="286"/>
      <c r="V874" s="286">
        <v>8</v>
      </c>
      <c r="W874" s="286">
        <v>13</v>
      </c>
      <c r="X874" s="286"/>
      <c r="Y874" s="286">
        <v>0</v>
      </c>
      <c r="Z874" s="286">
        <v>0</v>
      </c>
      <c r="AA874" s="286"/>
      <c r="AB874" s="286">
        <v>0</v>
      </c>
      <c r="AC874" s="286">
        <v>0</v>
      </c>
      <c r="AD874" s="286"/>
      <c r="AE874" s="286">
        <v>83</v>
      </c>
      <c r="AF874" s="286">
        <v>68</v>
      </c>
      <c r="AG874" s="286"/>
      <c r="AH874" s="286">
        <v>0</v>
      </c>
      <c r="AI874" s="286">
        <v>0</v>
      </c>
      <c r="AJ874" s="286"/>
      <c r="AK874" s="286">
        <v>7</v>
      </c>
      <c r="AL874" s="286">
        <v>7</v>
      </c>
      <c r="AM874" s="286"/>
      <c r="AN874" s="286">
        <v>115</v>
      </c>
      <c r="AO874" s="286">
        <v>121</v>
      </c>
      <c r="AP874" s="286"/>
      <c r="AQ874" s="286">
        <v>6</v>
      </c>
      <c r="AR874" s="286">
        <v>3</v>
      </c>
      <c r="AS874" s="286"/>
      <c r="AT874" s="286">
        <v>0</v>
      </c>
      <c r="AU874" s="286">
        <v>0</v>
      </c>
      <c r="AV874" s="286"/>
      <c r="AW874" s="286">
        <v>10</v>
      </c>
      <c r="AX874" s="286">
        <v>9</v>
      </c>
      <c r="AY874" s="286"/>
      <c r="AZ874" s="286">
        <v>0</v>
      </c>
      <c r="BA874" s="286">
        <v>0</v>
      </c>
      <c r="BB874" s="286"/>
      <c r="BC874" s="286">
        <v>0</v>
      </c>
      <c r="BD874" s="286">
        <v>0</v>
      </c>
      <c r="BE874" s="286"/>
      <c r="BF874" s="286">
        <v>0</v>
      </c>
      <c r="BG874" s="286">
        <v>7</v>
      </c>
      <c r="BH874" s="286"/>
      <c r="BI874" s="286">
        <v>0</v>
      </c>
      <c r="BJ874" s="286">
        <v>0</v>
      </c>
      <c r="BK874" s="286"/>
      <c r="BL874" s="286">
        <v>0</v>
      </c>
      <c r="BM874" s="286">
        <v>0</v>
      </c>
      <c r="BN874" s="286"/>
      <c r="BO874" s="286">
        <v>0</v>
      </c>
      <c r="BP874" s="286">
        <v>0</v>
      </c>
      <c r="BQ874" s="286"/>
      <c r="BR874" s="286">
        <v>0</v>
      </c>
      <c r="BS874" s="286">
        <v>0</v>
      </c>
      <c r="BT874" s="286"/>
      <c r="BU874" s="286">
        <v>45</v>
      </c>
      <c r="BV874" s="286">
        <v>44</v>
      </c>
      <c r="BW874" s="286"/>
      <c r="BX874" s="286">
        <v>0</v>
      </c>
      <c r="BY874" s="286">
        <v>0</v>
      </c>
      <c r="BZ874" s="286"/>
      <c r="CA874" s="286">
        <v>0</v>
      </c>
      <c r="CB874" s="286">
        <v>0</v>
      </c>
      <c r="CC874" s="286"/>
      <c r="CD874" s="286">
        <v>0</v>
      </c>
      <c r="CE874" s="286">
        <v>0</v>
      </c>
      <c r="CF874" s="286"/>
      <c r="CG874" s="286">
        <v>2073</v>
      </c>
      <c r="CH874" s="286">
        <v>2077</v>
      </c>
      <c r="CI874" s="286"/>
      <c r="CJ874" s="286">
        <v>0</v>
      </c>
      <c r="CK874" s="286">
        <v>0</v>
      </c>
    </row>
    <row r="875" spans="1:89" ht="30" x14ac:dyDescent="0.25">
      <c r="A875" s="95"/>
      <c r="B875" s="96" t="s">
        <v>2097</v>
      </c>
      <c r="C875" s="312" t="s">
        <v>2870</v>
      </c>
      <c r="D875" s="95" t="s">
        <v>950</v>
      </c>
      <c r="E875" s="103"/>
      <c r="F875" s="103"/>
      <c r="G875" s="103"/>
      <c r="H875" s="103"/>
      <c r="I875" s="103">
        <v>1086</v>
      </c>
      <c r="J875" s="103">
        <v>1210</v>
      </c>
      <c r="K875" s="337">
        <v>1272</v>
      </c>
      <c r="L875" s="103">
        <v>0</v>
      </c>
      <c r="M875" s="103">
        <v>0</v>
      </c>
      <c r="N875" s="103">
        <v>0</v>
      </c>
      <c r="P875" s="286"/>
      <c r="Q875" s="286">
        <f t="shared" si="1448"/>
        <v>1272</v>
      </c>
      <c r="R875" s="286">
        <f t="shared" si="1449"/>
        <v>1338</v>
      </c>
      <c r="S875" s="286">
        <v>0</v>
      </c>
      <c r="T875" s="286">
        <v>0</v>
      </c>
      <c r="U875" s="286"/>
      <c r="V875" s="286">
        <v>8</v>
      </c>
      <c r="W875" s="286">
        <v>0</v>
      </c>
      <c r="X875" s="286"/>
      <c r="Y875" s="286">
        <v>0</v>
      </c>
      <c r="Z875" s="286">
        <v>0</v>
      </c>
      <c r="AA875" s="286"/>
      <c r="AB875" s="286">
        <v>0</v>
      </c>
      <c r="AC875" s="286">
        <v>0</v>
      </c>
      <c r="AD875" s="286"/>
      <c r="AE875" s="286">
        <v>18</v>
      </c>
      <c r="AF875" s="286">
        <v>20</v>
      </c>
      <c r="AG875" s="286"/>
      <c r="AH875" s="286">
        <v>0</v>
      </c>
      <c r="AI875" s="286">
        <v>0</v>
      </c>
      <c r="AJ875" s="286"/>
      <c r="AK875" s="286">
        <v>2</v>
      </c>
      <c r="AL875" s="286">
        <v>2</v>
      </c>
      <c r="AM875" s="286"/>
      <c r="AN875" s="286">
        <v>27</v>
      </c>
      <c r="AO875" s="286">
        <v>26</v>
      </c>
      <c r="AP875" s="286"/>
      <c r="AQ875" s="286">
        <v>1</v>
      </c>
      <c r="AR875" s="286">
        <v>0</v>
      </c>
      <c r="AS875" s="286"/>
      <c r="AT875" s="286">
        <v>0</v>
      </c>
      <c r="AU875" s="286">
        <v>0</v>
      </c>
      <c r="AV875" s="286"/>
      <c r="AW875" s="286">
        <v>10</v>
      </c>
      <c r="AX875" s="286">
        <v>9</v>
      </c>
      <c r="AY875" s="286"/>
      <c r="AZ875" s="286">
        <v>0</v>
      </c>
      <c r="BA875" s="286">
        <v>0</v>
      </c>
      <c r="BB875" s="286"/>
      <c r="BC875" s="286">
        <v>0</v>
      </c>
      <c r="BD875" s="286">
        <v>0</v>
      </c>
      <c r="BE875" s="286"/>
      <c r="BF875" s="286">
        <v>0</v>
      </c>
      <c r="BG875" s="286">
        <v>5</v>
      </c>
      <c r="BH875" s="286"/>
      <c r="BI875" s="286">
        <v>0</v>
      </c>
      <c r="BJ875" s="286">
        <v>0</v>
      </c>
      <c r="BK875" s="286"/>
      <c r="BL875" s="286">
        <v>0</v>
      </c>
      <c r="BM875" s="286">
        <v>0</v>
      </c>
      <c r="BN875" s="286"/>
      <c r="BO875" s="286">
        <v>0</v>
      </c>
      <c r="BP875" s="286">
        <v>0</v>
      </c>
      <c r="BQ875" s="286"/>
      <c r="BR875" s="286">
        <v>0</v>
      </c>
      <c r="BS875" s="286">
        <v>0</v>
      </c>
      <c r="BT875" s="286"/>
      <c r="BU875" s="286">
        <v>26</v>
      </c>
      <c r="BV875" s="286">
        <v>23</v>
      </c>
      <c r="BW875" s="286"/>
      <c r="BX875" s="286">
        <v>0</v>
      </c>
      <c r="BY875" s="286">
        <v>0</v>
      </c>
      <c r="BZ875" s="286"/>
      <c r="CA875" s="286">
        <v>0</v>
      </c>
      <c r="CB875" s="286">
        <v>0</v>
      </c>
      <c r="CC875" s="286"/>
      <c r="CD875" s="286">
        <v>0</v>
      </c>
      <c r="CE875" s="286">
        <v>0</v>
      </c>
      <c r="CF875" s="286"/>
      <c r="CG875" s="286">
        <v>1180</v>
      </c>
      <c r="CH875" s="286">
        <v>1253</v>
      </c>
      <c r="CI875" s="286"/>
      <c r="CJ875" s="286">
        <v>0</v>
      </c>
      <c r="CK875" s="286">
        <v>0</v>
      </c>
    </row>
    <row r="876" spans="1:89" ht="45" x14ac:dyDescent="0.25">
      <c r="A876" s="95"/>
      <c r="B876" s="96" t="s">
        <v>2096</v>
      </c>
      <c r="C876" s="312" t="s">
        <v>2867</v>
      </c>
      <c r="D876" s="95" t="s">
        <v>950</v>
      </c>
      <c r="E876" s="103"/>
      <c r="F876" s="103"/>
      <c r="G876" s="103"/>
      <c r="H876" s="103"/>
      <c r="I876" s="103">
        <v>1626</v>
      </c>
      <c r="J876" s="103">
        <v>1825</v>
      </c>
      <c r="K876" s="337">
        <v>1949</v>
      </c>
      <c r="L876" s="103">
        <v>0</v>
      </c>
      <c r="M876" s="103">
        <v>0</v>
      </c>
      <c r="N876" s="103">
        <v>0</v>
      </c>
      <c r="O876" s="283"/>
      <c r="P876" s="286"/>
      <c r="Q876" s="286">
        <f t="shared" si="1448"/>
        <v>1949</v>
      </c>
      <c r="R876" s="286">
        <f t="shared" si="1449"/>
        <v>1935</v>
      </c>
      <c r="S876" s="286">
        <v>32</v>
      </c>
      <c r="T876" s="286">
        <v>44</v>
      </c>
      <c r="U876" s="286"/>
      <c r="V876" s="286">
        <v>0</v>
      </c>
      <c r="W876" s="286">
        <v>0</v>
      </c>
      <c r="X876" s="286"/>
      <c r="Y876" s="286">
        <v>0</v>
      </c>
      <c r="Z876" s="286">
        <v>0</v>
      </c>
      <c r="AA876" s="286"/>
      <c r="AB876" s="286">
        <v>0</v>
      </c>
      <c r="AC876" s="286">
        <v>0</v>
      </c>
      <c r="AD876" s="286"/>
      <c r="AE876" s="286">
        <v>0</v>
      </c>
      <c r="AF876" s="286">
        <v>2</v>
      </c>
      <c r="AG876" s="286"/>
      <c r="AH876" s="286">
        <v>0</v>
      </c>
      <c r="AI876" s="286">
        <v>0</v>
      </c>
      <c r="AJ876" s="286"/>
      <c r="AK876" s="286">
        <v>155</v>
      </c>
      <c r="AL876" s="286">
        <v>154</v>
      </c>
      <c r="AM876" s="286"/>
      <c r="AN876" s="286">
        <v>38</v>
      </c>
      <c r="AO876" s="286">
        <v>29</v>
      </c>
      <c r="AP876" s="286"/>
      <c r="AQ876" s="286">
        <v>0</v>
      </c>
      <c r="AR876" s="286">
        <v>0</v>
      </c>
      <c r="AS876" s="286"/>
      <c r="AT876" s="286">
        <v>171</v>
      </c>
      <c r="AU876" s="286">
        <v>140</v>
      </c>
      <c r="AV876" s="286"/>
      <c r="AW876" s="286">
        <v>63</v>
      </c>
      <c r="AX876" s="286">
        <v>66</v>
      </c>
      <c r="AY876" s="286"/>
      <c r="AZ876" s="286">
        <v>0</v>
      </c>
      <c r="BA876" s="286">
        <v>0</v>
      </c>
      <c r="BB876" s="286"/>
      <c r="BC876" s="286">
        <v>153</v>
      </c>
      <c r="BD876" s="286">
        <v>144</v>
      </c>
      <c r="BE876" s="286"/>
      <c r="BF876" s="286">
        <v>112</v>
      </c>
      <c r="BG876" s="286">
        <v>119</v>
      </c>
      <c r="BH876" s="286"/>
      <c r="BI876" s="286">
        <v>788</v>
      </c>
      <c r="BJ876" s="286">
        <v>793</v>
      </c>
      <c r="BK876" s="286"/>
      <c r="BL876" s="286">
        <v>0</v>
      </c>
      <c r="BM876" s="286">
        <v>0</v>
      </c>
      <c r="BN876" s="286"/>
      <c r="BO876" s="286">
        <v>8</v>
      </c>
      <c r="BP876" s="286">
        <v>19</v>
      </c>
      <c r="BQ876" s="286"/>
      <c r="BR876" s="286">
        <v>0</v>
      </c>
      <c r="BS876" s="286">
        <v>0</v>
      </c>
      <c r="BT876" s="286"/>
      <c r="BU876" s="286">
        <v>0</v>
      </c>
      <c r="BV876" s="286">
        <v>0</v>
      </c>
      <c r="BW876" s="286"/>
      <c r="BX876" s="286">
        <v>0</v>
      </c>
      <c r="BY876" s="286">
        <v>0</v>
      </c>
      <c r="BZ876" s="286"/>
      <c r="CA876" s="286">
        <v>9</v>
      </c>
      <c r="CB876" s="286">
        <v>11</v>
      </c>
      <c r="CC876" s="286"/>
      <c r="CD876" s="286">
        <v>0</v>
      </c>
      <c r="CE876" s="286">
        <v>0</v>
      </c>
      <c r="CF876" s="286"/>
      <c r="CG876" s="286">
        <v>420</v>
      </c>
      <c r="CH876" s="286">
        <v>414</v>
      </c>
      <c r="CI876" s="286"/>
      <c r="CJ876" s="286">
        <v>0</v>
      </c>
      <c r="CK876" s="286">
        <v>0</v>
      </c>
    </row>
    <row r="877" spans="1:89" ht="30" x14ac:dyDescent="0.25">
      <c r="A877" s="95"/>
      <c r="B877" s="96" t="s">
        <v>2097</v>
      </c>
      <c r="C877" s="312" t="s">
        <v>2868</v>
      </c>
      <c r="D877" s="95" t="s">
        <v>950</v>
      </c>
      <c r="E877" s="103"/>
      <c r="F877" s="103"/>
      <c r="G877" s="103"/>
      <c r="H877" s="103"/>
      <c r="I877" s="103">
        <v>247</v>
      </c>
      <c r="J877" s="103">
        <v>285</v>
      </c>
      <c r="K877" s="337">
        <v>344</v>
      </c>
      <c r="L877" s="103">
        <v>0</v>
      </c>
      <c r="M877" s="103">
        <v>0</v>
      </c>
      <c r="N877" s="103">
        <v>0</v>
      </c>
      <c r="P877" s="286"/>
      <c r="Q877" s="286">
        <f t="shared" si="1448"/>
        <v>344</v>
      </c>
      <c r="R877" s="286">
        <f t="shared" si="1449"/>
        <v>351</v>
      </c>
      <c r="S877" s="286">
        <v>8</v>
      </c>
      <c r="T877" s="286">
        <v>13</v>
      </c>
      <c r="U877" s="286"/>
      <c r="V877" s="286">
        <v>0</v>
      </c>
      <c r="W877" s="286">
        <v>0</v>
      </c>
      <c r="X877" s="286"/>
      <c r="Y877" s="286">
        <v>0</v>
      </c>
      <c r="Z877" s="286">
        <v>0</v>
      </c>
      <c r="AA877" s="286"/>
      <c r="AB877" s="286">
        <v>0</v>
      </c>
      <c r="AC877" s="286">
        <v>0</v>
      </c>
      <c r="AD877" s="286"/>
      <c r="AE877" s="286">
        <v>0</v>
      </c>
      <c r="AF877" s="286">
        <v>0</v>
      </c>
      <c r="AG877" s="286"/>
      <c r="AH877" s="286">
        <v>0</v>
      </c>
      <c r="AI877" s="286">
        <v>0</v>
      </c>
      <c r="AJ877" s="286"/>
      <c r="AK877" s="286">
        <v>6</v>
      </c>
      <c r="AL877" s="286">
        <v>3</v>
      </c>
      <c r="AM877" s="286"/>
      <c r="AN877" s="286">
        <v>2</v>
      </c>
      <c r="AO877" s="286">
        <v>1</v>
      </c>
      <c r="AP877" s="286"/>
      <c r="AQ877" s="286">
        <v>0</v>
      </c>
      <c r="AR877" s="286">
        <v>0</v>
      </c>
      <c r="AS877" s="286"/>
      <c r="AT877" s="286">
        <v>18</v>
      </c>
      <c r="AU877" s="286">
        <v>20</v>
      </c>
      <c r="AV877" s="286"/>
      <c r="AW877" s="286">
        <v>2</v>
      </c>
      <c r="AX877" s="286">
        <v>3</v>
      </c>
      <c r="AY877" s="286"/>
      <c r="AZ877" s="286">
        <v>0</v>
      </c>
      <c r="BA877" s="286">
        <v>0</v>
      </c>
      <c r="BB877" s="286"/>
      <c r="BC877" s="286">
        <v>28</v>
      </c>
      <c r="BD877" s="286">
        <v>24</v>
      </c>
      <c r="BE877" s="286"/>
      <c r="BF877" s="286">
        <v>35</v>
      </c>
      <c r="BG877" s="286">
        <v>36</v>
      </c>
      <c r="BH877" s="286"/>
      <c r="BI877" s="286">
        <v>73</v>
      </c>
      <c r="BJ877" s="286">
        <v>75</v>
      </c>
      <c r="BK877" s="286"/>
      <c r="BL877" s="286">
        <v>0</v>
      </c>
      <c r="BM877" s="286">
        <v>0</v>
      </c>
      <c r="BN877" s="286"/>
      <c r="BO877" s="286">
        <v>0</v>
      </c>
      <c r="BP877" s="286">
        <v>0</v>
      </c>
      <c r="BQ877" s="286"/>
      <c r="BR877" s="286">
        <v>0</v>
      </c>
      <c r="BS877" s="286">
        <v>0</v>
      </c>
      <c r="BT877" s="286"/>
      <c r="BU877" s="286">
        <v>0</v>
      </c>
      <c r="BV877" s="286">
        <v>0</v>
      </c>
      <c r="BW877" s="286"/>
      <c r="BX877" s="286">
        <v>0</v>
      </c>
      <c r="BY877" s="286">
        <v>0</v>
      </c>
      <c r="BZ877" s="286"/>
      <c r="CA877" s="286">
        <v>2</v>
      </c>
      <c r="CB877" s="286">
        <v>3</v>
      </c>
      <c r="CC877" s="286"/>
      <c r="CD877" s="286">
        <v>0</v>
      </c>
      <c r="CE877" s="286">
        <v>0</v>
      </c>
      <c r="CF877" s="286"/>
      <c r="CG877" s="286">
        <v>170</v>
      </c>
      <c r="CH877" s="286">
        <v>173</v>
      </c>
      <c r="CI877" s="286"/>
      <c r="CJ877" s="286">
        <v>0</v>
      </c>
      <c r="CK877" s="286">
        <v>0</v>
      </c>
    </row>
    <row r="878" spans="1:89" ht="30" x14ac:dyDescent="0.25">
      <c r="A878" s="95"/>
      <c r="B878" s="96" t="s">
        <v>2098</v>
      </c>
      <c r="C878" s="312" t="s">
        <v>2865</v>
      </c>
      <c r="D878" s="95" t="s">
        <v>950</v>
      </c>
      <c r="E878" s="103"/>
      <c r="F878" s="103"/>
      <c r="G878" s="103"/>
      <c r="H878" s="103"/>
      <c r="I878" s="103">
        <v>3519</v>
      </c>
      <c r="J878" s="103">
        <v>4854</v>
      </c>
      <c r="K878" s="103">
        <v>5904</v>
      </c>
      <c r="L878" s="103">
        <v>0</v>
      </c>
      <c r="M878" s="103">
        <v>283</v>
      </c>
      <c r="N878" s="103">
        <v>319</v>
      </c>
      <c r="P878" s="286"/>
      <c r="Q878" s="286">
        <f t="shared" si="1448"/>
        <v>5904</v>
      </c>
      <c r="R878" s="286">
        <f t="shared" si="1449"/>
        <v>5992</v>
      </c>
      <c r="S878" s="286">
        <v>94</v>
      </c>
      <c r="T878" s="286">
        <v>100</v>
      </c>
      <c r="U878" s="286"/>
      <c r="V878" s="286">
        <v>115</v>
      </c>
      <c r="W878" s="286">
        <v>100</v>
      </c>
      <c r="X878" s="286"/>
      <c r="Y878" s="286">
        <v>413</v>
      </c>
      <c r="Z878" s="286">
        <v>424</v>
      </c>
      <c r="AA878" s="286"/>
      <c r="AB878" s="286">
        <v>254</v>
      </c>
      <c r="AC878" s="286">
        <v>249</v>
      </c>
      <c r="AD878" s="286"/>
      <c r="AE878" s="286">
        <v>154</v>
      </c>
      <c r="AF878" s="286">
        <v>168</v>
      </c>
      <c r="AG878" s="286"/>
      <c r="AH878" s="286">
        <v>258</v>
      </c>
      <c r="AI878" s="286">
        <v>245</v>
      </c>
      <c r="AJ878" s="286"/>
      <c r="AK878" s="286">
        <v>253</v>
      </c>
      <c r="AL878" s="286">
        <v>247</v>
      </c>
      <c r="AM878" s="286"/>
      <c r="AN878" s="286">
        <v>605</v>
      </c>
      <c r="AO878" s="286">
        <v>607</v>
      </c>
      <c r="AP878" s="286"/>
      <c r="AQ878" s="286">
        <v>256</v>
      </c>
      <c r="AR878" s="286">
        <v>293</v>
      </c>
      <c r="AS878" s="286"/>
      <c r="AT878" s="286">
        <v>678</v>
      </c>
      <c r="AU878" s="286">
        <v>704</v>
      </c>
      <c r="AV878" s="286"/>
      <c r="AW878" s="286">
        <v>151</v>
      </c>
      <c r="AX878" s="286">
        <v>181</v>
      </c>
      <c r="AY878" s="286"/>
      <c r="AZ878" s="286">
        <v>213</v>
      </c>
      <c r="BA878" s="286">
        <v>238</v>
      </c>
      <c r="BB878" s="286"/>
      <c r="BC878" s="286">
        <v>152</v>
      </c>
      <c r="BD878" s="286">
        <v>138</v>
      </c>
      <c r="BE878" s="286"/>
      <c r="BF878" s="286">
        <v>231</v>
      </c>
      <c r="BG878" s="286">
        <v>257</v>
      </c>
      <c r="BH878" s="286"/>
      <c r="BI878" s="286">
        <v>1237</v>
      </c>
      <c r="BJ878" s="286">
        <v>1127</v>
      </c>
      <c r="BK878" s="286"/>
      <c r="BL878" s="286">
        <v>42</v>
      </c>
      <c r="BM878" s="286">
        <v>20</v>
      </c>
      <c r="BN878" s="286"/>
      <c r="BO878" s="286">
        <v>161</v>
      </c>
      <c r="BP878" s="286">
        <v>212</v>
      </c>
      <c r="BQ878" s="286"/>
      <c r="BR878" s="286">
        <v>49</v>
      </c>
      <c r="BS878" s="286">
        <v>47</v>
      </c>
      <c r="BT878" s="286"/>
      <c r="BU878" s="286">
        <v>144</v>
      </c>
      <c r="BV878" s="286">
        <v>151</v>
      </c>
      <c r="BW878" s="286"/>
      <c r="BX878" s="286">
        <v>52</v>
      </c>
      <c r="BY878" s="286">
        <v>60</v>
      </c>
      <c r="BZ878" s="286"/>
      <c r="CA878" s="286">
        <v>226</v>
      </c>
      <c r="CB878" s="286">
        <v>223</v>
      </c>
      <c r="CC878" s="286"/>
      <c r="CD878" s="286">
        <v>109</v>
      </c>
      <c r="CE878" s="286">
        <v>142</v>
      </c>
      <c r="CF878" s="286"/>
      <c r="CG878" s="286">
        <v>48</v>
      </c>
      <c r="CH878" s="286">
        <v>52</v>
      </c>
      <c r="CI878" s="286"/>
      <c r="CJ878" s="286">
        <v>9</v>
      </c>
      <c r="CK878" s="286">
        <v>7</v>
      </c>
    </row>
    <row r="879" spans="1:89" ht="30" x14ac:dyDescent="0.25">
      <c r="A879" s="95"/>
      <c r="B879" s="96" t="s">
        <v>2097</v>
      </c>
      <c r="C879" s="312" t="s">
        <v>2866</v>
      </c>
      <c r="D879" s="95" t="s">
        <v>950</v>
      </c>
      <c r="E879" s="103"/>
      <c r="F879" s="103"/>
      <c r="G879" s="103"/>
      <c r="H879" s="103"/>
      <c r="I879" s="103">
        <v>935</v>
      </c>
      <c r="J879" s="103">
        <v>1106</v>
      </c>
      <c r="K879" s="103">
        <v>1170</v>
      </c>
      <c r="L879" s="103">
        <v>0</v>
      </c>
      <c r="M879" s="103">
        <v>78</v>
      </c>
      <c r="N879" s="103">
        <v>73</v>
      </c>
      <c r="P879" s="286"/>
      <c r="Q879" s="286">
        <f t="shared" si="1448"/>
        <v>1170</v>
      </c>
      <c r="R879" s="286">
        <f t="shared" si="1449"/>
        <v>1166</v>
      </c>
      <c r="S879" s="286">
        <v>29</v>
      </c>
      <c r="T879" s="286">
        <v>46</v>
      </c>
      <c r="U879" s="286"/>
      <c r="V879" s="286">
        <v>65</v>
      </c>
      <c r="W879" s="286">
        <v>52</v>
      </c>
      <c r="X879" s="286"/>
      <c r="Y879" s="286">
        <v>37</v>
      </c>
      <c r="Z879" s="286">
        <v>36</v>
      </c>
      <c r="AA879" s="286"/>
      <c r="AB879" s="286">
        <v>70</v>
      </c>
      <c r="AC879" s="286">
        <v>58</v>
      </c>
      <c r="AD879" s="286"/>
      <c r="AE879" s="286">
        <v>28</v>
      </c>
      <c r="AF879" s="286">
        <v>24</v>
      </c>
      <c r="AG879" s="286"/>
      <c r="AH879" s="286">
        <v>72</v>
      </c>
      <c r="AI879" s="286">
        <v>73</v>
      </c>
      <c r="AJ879" s="286"/>
      <c r="AK879" s="286">
        <v>95</v>
      </c>
      <c r="AL879" s="286">
        <v>98</v>
      </c>
      <c r="AM879" s="286"/>
      <c r="AN879" s="286">
        <v>102</v>
      </c>
      <c r="AO879" s="286">
        <v>98</v>
      </c>
      <c r="AP879" s="286"/>
      <c r="AQ879" s="286">
        <v>37</v>
      </c>
      <c r="AR879" s="286">
        <v>34</v>
      </c>
      <c r="AS879" s="286"/>
      <c r="AT879" s="286">
        <v>63</v>
      </c>
      <c r="AU879" s="286">
        <v>80</v>
      </c>
      <c r="AV879" s="286"/>
      <c r="AW879" s="286">
        <v>41</v>
      </c>
      <c r="AX879" s="286">
        <v>44</v>
      </c>
      <c r="AY879" s="286"/>
      <c r="AZ879" s="286">
        <v>21</v>
      </c>
      <c r="BA879" s="286">
        <v>22</v>
      </c>
      <c r="BB879" s="286"/>
      <c r="BC879" s="286">
        <v>38</v>
      </c>
      <c r="BD879" s="286">
        <v>25</v>
      </c>
      <c r="BE879" s="286"/>
      <c r="BF879" s="286">
        <v>108</v>
      </c>
      <c r="BG879" s="286">
        <v>108</v>
      </c>
      <c r="BH879" s="286"/>
      <c r="BI879" s="286">
        <v>68</v>
      </c>
      <c r="BJ879" s="286">
        <v>75</v>
      </c>
      <c r="BK879" s="286"/>
      <c r="BL879" s="286">
        <v>29</v>
      </c>
      <c r="BM879" s="286">
        <v>14</v>
      </c>
      <c r="BN879" s="286"/>
      <c r="BO879" s="286">
        <v>17</v>
      </c>
      <c r="BP879" s="286">
        <v>15</v>
      </c>
      <c r="BQ879" s="286"/>
      <c r="BR879" s="286">
        <v>23</v>
      </c>
      <c r="BS879" s="286">
        <v>26</v>
      </c>
      <c r="BT879" s="286"/>
      <c r="BU879" s="286">
        <v>45</v>
      </c>
      <c r="BV879" s="286">
        <v>38</v>
      </c>
      <c r="BW879" s="286"/>
      <c r="BX879" s="286">
        <v>27</v>
      </c>
      <c r="BY879" s="286">
        <v>30</v>
      </c>
      <c r="BZ879" s="286"/>
      <c r="CA879" s="286">
        <v>72</v>
      </c>
      <c r="CB879" s="286">
        <v>77</v>
      </c>
      <c r="CC879" s="286"/>
      <c r="CD879" s="286">
        <v>59</v>
      </c>
      <c r="CE879" s="286">
        <v>66</v>
      </c>
      <c r="CF879" s="286"/>
      <c r="CG879" s="286">
        <v>17</v>
      </c>
      <c r="CH879" s="286">
        <v>22</v>
      </c>
      <c r="CI879" s="286"/>
      <c r="CJ879" s="286">
        <v>7</v>
      </c>
      <c r="CK879" s="286">
        <v>5</v>
      </c>
    </row>
    <row r="880" spans="1:89" x14ac:dyDescent="0.25">
      <c r="A880" s="95"/>
      <c r="B880" s="96" t="s">
        <v>1855</v>
      </c>
      <c r="C880" s="95"/>
      <c r="D880" s="95" t="s">
        <v>950</v>
      </c>
      <c r="E880" s="103"/>
      <c r="F880" s="103"/>
      <c r="G880" s="103"/>
      <c r="H880" s="103"/>
      <c r="I880" s="103">
        <f t="shared" ref="I880:N880" si="1450">I874+I876+I878</f>
        <v>7435</v>
      </c>
      <c r="J880" s="103">
        <f t="shared" si="1450"/>
        <v>9008</v>
      </c>
      <c r="K880" s="103">
        <f t="shared" si="1450"/>
        <v>10200</v>
      </c>
      <c r="L880" s="103">
        <f t="shared" si="1450"/>
        <v>0</v>
      </c>
      <c r="M880" s="103">
        <f t="shared" si="1450"/>
        <v>283</v>
      </c>
      <c r="N880" s="103">
        <f t="shared" si="1450"/>
        <v>319</v>
      </c>
      <c r="Q880" s="103">
        <f>Q874+Q876+Q878</f>
        <v>10200</v>
      </c>
      <c r="R880" s="103">
        <f>R874+R876+R878</f>
        <v>10276</v>
      </c>
      <c r="S880" s="103">
        <f>S874+S876+S878</f>
        <v>126</v>
      </c>
      <c r="T880" s="103">
        <f>T874+T876+T878</f>
        <v>144</v>
      </c>
      <c r="U880" s="286"/>
      <c r="V880" s="103">
        <f>V874+V876+V878</f>
        <v>123</v>
      </c>
      <c r="W880" s="103">
        <f>W874+W876+W878</f>
        <v>113</v>
      </c>
      <c r="X880" s="286"/>
      <c r="Y880" s="103">
        <f>Y874+Y876+Y878</f>
        <v>413</v>
      </c>
      <c r="Z880" s="103">
        <f>Z874+Z876+Z878</f>
        <v>424</v>
      </c>
      <c r="AA880" s="286"/>
      <c r="AB880" s="103">
        <f>AB874+AB876+AB878</f>
        <v>254</v>
      </c>
      <c r="AC880" s="103">
        <f>AC874+AC876+AC878</f>
        <v>249</v>
      </c>
      <c r="AD880" s="286"/>
      <c r="AE880" s="103">
        <f>AE874+AE876+AE878</f>
        <v>237</v>
      </c>
      <c r="AF880" s="103">
        <f>AF874+AF876+AF878</f>
        <v>238</v>
      </c>
      <c r="AG880" s="286"/>
      <c r="AH880" s="103">
        <f>AH874+AH876+AH878</f>
        <v>258</v>
      </c>
      <c r="AI880" s="103">
        <f>AI874+AI876+AI878</f>
        <v>245</v>
      </c>
      <c r="AJ880" s="286"/>
      <c r="AK880" s="103">
        <f>AK874+AK876+AK878</f>
        <v>415</v>
      </c>
      <c r="AL880" s="103">
        <f>AL874+AL876+AL878</f>
        <v>408</v>
      </c>
      <c r="AM880" s="286"/>
      <c r="AN880" s="103">
        <f>AN874+AN876+AN878</f>
        <v>758</v>
      </c>
      <c r="AO880" s="103">
        <f>AO874+AO876+AO878</f>
        <v>757</v>
      </c>
      <c r="AP880" s="286"/>
      <c r="AQ880" s="103">
        <f>AQ874+AQ876+AQ878</f>
        <v>262</v>
      </c>
      <c r="AR880" s="103">
        <f>AR874+AR876+AR878</f>
        <v>296</v>
      </c>
      <c r="AS880" s="286"/>
      <c r="AT880" s="103">
        <f>AT874+AT876+AT878</f>
        <v>849</v>
      </c>
      <c r="AU880" s="103">
        <f>AU874+AU876+AU878</f>
        <v>844</v>
      </c>
      <c r="AV880" s="286"/>
      <c r="AW880" s="103">
        <f>AW874+AW876+AW878</f>
        <v>224</v>
      </c>
      <c r="AX880" s="103">
        <f>AX874+AX876+AX878</f>
        <v>256</v>
      </c>
      <c r="AY880" s="286"/>
      <c r="AZ880" s="103">
        <f>AZ874+AZ876+AZ878</f>
        <v>213</v>
      </c>
      <c r="BA880" s="103">
        <f>BA874+BA876+BA878</f>
        <v>238</v>
      </c>
      <c r="BB880" s="286"/>
      <c r="BC880" s="103">
        <f>BC874+BC876+BC878</f>
        <v>305</v>
      </c>
      <c r="BD880" s="103">
        <f>BD874+BD876+BD878</f>
        <v>282</v>
      </c>
      <c r="BE880" s="286"/>
      <c r="BF880" s="103">
        <f>BF874+BF876+BF878</f>
        <v>343</v>
      </c>
      <c r="BG880" s="103">
        <f>BG874+BG876+BG878</f>
        <v>383</v>
      </c>
      <c r="BH880" s="286"/>
      <c r="BI880" s="103">
        <f>BI874+BI876+BI878</f>
        <v>2025</v>
      </c>
      <c r="BJ880" s="103">
        <f>BJ874+BJ876+BJ878</f>
        <v>1920</v>
      </c>
      <c r="BK880" s="286"/>
      <c r="BL880" s="103">
        <f>BL874+BL876+BL878</f>
        <v>42</v>
      </c>
      <c r="BM880" s="103">
        <f>BM874+BM876+BM878</f>
        <v>20</v>
      </c>
      <c r="BN880" s="286"/>
      <c r="BO880" s="103">
        <f>BO874+BO876+BO878</f>
        <v>169</v>
      </c>
      <c r="BP880" s="103">
        <f>BP874+BP876+BP878</f>
        <v>231</v>
      </c>
      <c r="BQ880" s="286"/>
      <c r="BR880" s="103">
        <f>BR874+BR876+BR878</f>
        <v>49</v>
      </c>
      <c r="BS880" s="103">
        <f>BS874+BS876+BS878</f>
        <v>47</v>
      </c>
      <c r="BT880" s="286"/>
      <c r="BU880" s="103">
        <f>BU874+BU876+BU878</f>
        <v>189</v>
      </c>
      <c r="BV880" s="103">
        <f>BV874+BV876+BV878</f>
        <v>195</v>
      </c>
      <c r="BW880" s="286"/>
      <c r="BX880" s="103">
        <f>BX874+BX876+BX878</f>
        <v>52</v>
      </c>
      <c r="BY880" s="103">
        <f>BY874+BY876+BY878</f>
        <v>60</v>
      </c>
      <c r="BZ880" s="286"/>
      <c r="CA880" s="103">
        <f>CA874+CA876+CA878</f>
        <v>235</v>
      </c>
      <c r="CB880" s="103">
        <f>CB874+CB876+CB878</f>
        <v>234</v>
      </c>
      <c r="CC880" s="286"/>
      <c r="CD880" s="103">
        <f>CD874+CD876+CD878</f>
        <v>109</v>
      </c>
      <c r="CE880" s="103">
        <f>CE874+CE876+CE878</f>
        <v>142</v>
      </c>
      <c r="CF880" s="286"/>
      <c r="CG880" s="103">
        <f>CG874+CG876+CG878</f>
        <v>2541</v>
      </c>
      <c r="CH880" s="103">
        <f>CH874+CH876+CH878</f>
        <v>2543</v>
      </c>
      <c r="CI880" s="286"/>
      <c r="CJ880" s="103">
        <f>CJ874+CJ876+CJ878</f>
        <v>9</v>
      </c>
      <c r="CK880" s="103">
        <f>CK874+CK876+CK878</f>
        <v>7</v>
      </c>
    </row>
    <row r="881" spans="1:89" x14ac:dyDescent="0.25">
      <c r="A881" s="95"/>
      <c r="B881" s="96" t="s">
        <v>1184</v>
      </c>
      <c r="C881" s="95"/>
      <c r="D881" s="95"/>
      <c r="E881" s="103"/>
      <c r="F881" s="103"/>
      <c r="G881" s="103"/>
      <c r="H881" s="103"/>
      <c r="I881" s="103"/>
      <c r="J881" s="103"/>
      <c r="K881" s="103"/>
      <c r="L881" s="103"/>
      <c r="M881" s="103"/>
      <c r="N881" s="103"/>
      <c r="Q881" s="286"/>
      <c r="R881" s="286"/>
      <c r="S881" s="286"/>
      <c r="T881" s="286"/>
      <c r="U881" s="286"/>
      <c r="V881" s="286"/>
      <c r="W881" s="286"/>
      <c r="X881" s="286"/>
      <c r="Y881" s="286"/>
      <c r="Z881" s="286"/>
      <c r="AA881" s="286"/>
      <c r="AB881" s="286"/>
      <c r="AC881" s="286"/>
      <c r="AD881" s="286"/>
      <c r="AE881" s="286"/>
      <c r="AF881" s="286"/>
      <c r="AG881" s="286"/>
      <c r="AH881" s="286"/>
      <c r="AI881" s="286"/>
      <c r="AJ881" s="286"/>
      <c r="AK881" s="286"/>
      <c r="AL881" s="286"/>
      <c r="AM881" s="286"/>
      <c r="AN881" s="286"/>
      <c r="AO881" s="286"/>
      <c r="AP881" s="286"/>
      <c r="AQ881" s="286"/>
      <c r="AR881" s="286"/>
      <c r="AS881" s="286"/>
      <c r="AT881" s="286"/>
      <c r="AU881" s="286"/>
      <c r="AV881" s="286"/>
      <c r="AW881" s="286"/>
      <c r="AX881" s="286"/>
      <c r="AY881" s="286"/>
      <c r="AZ881" s="286"/>
      <c r="BA881" s="286"/>
      <c r="BB881" s="286"/>
      <c r="BC881" s="286"/>
      <c r="BD881" s="286"/>
      <c r="BE881" s="286"/>
      <c r="BF881" s="286"/>
      <c r="BG881" s="286"/>
      <c r="BH881" s="286"/>
      <c r="BI881" s="286"/>
      <c r="BJ881" s="286"/>
      <c r="BK881" s="286"/>
      <c r="BL881" s="286"/>
      <c r="BM881" s="286"/>
      <c r="BN881" s="286"/>
      <c r="BO881" s="286"/>
      <c r="BP881" s="286"/>
      <c r="BQ881" s="286"/>
      <c r="BR881" s="286"/>
      <c r="BS881" s="286"/>
      <c r="BT881" s="286"/>
      <c r="BU881" s="286"/>
      <c r="BV881" s="286"/>
      <c r="BW881" s="286"/>
      <c r="BX881" s="286"/>
      <c r="BY881" s="286"/>
      <c r="BZ881" s="286"/>
      <c r="CA881" s="286"/>
      <c r="CB881" s="286"/>
      <c r="CC881" s="286"/>
      <c r="CD881" s="286"/>
      <c r="CE881" s="286"/>
      <c r="CF881" s="286"/>
      <c r="CG881" s="286"/>
      <c r="CH881" s="286"/>
      <c r="CI881" s="286"/>
      <c r="CJ881" s="286"/>
      <c r="CK881" s="286"/>
    </row>
    <row r="882" spans="1:89" ht="30" x14ac:dyDescent="0.25">
      <c r="A882" s="95"/>
      <c r="B882" s="96" t="s">
        <v>2662</v>
      </c>
      <c r="C882" s="312" t="s">
        <v>2869</v>
      </c>
      <c r="D882" s="95" t="s">
        <v>950</v>
      </c>
      <c r="E882" s="103"/>
      <c r="F882" s="103"/>
      <c r="G882" s="103"/>
      <c r="H882" s="103"/>
      <c r="I882" s="103">
        <v>0</v>
      </c>
      <c r="J882" s="103">
        <v>0</v>
      </c>
      <c r="K882" s="103">
        <v>0</v>
      </c>
      <c r="L882" s="103">
        <v>0</v>
      </c>
      <c r="M882" s="103">
        <v>0</v>
      </c>
      <c r="N882" s="103">
        <v>0</v>
      </c>
      <c r="Q882" s="286">
        <f t="shared" ref="Q882:Q887" si="1451">S882+V882+Y882+AB882+AE882+AH882+AK882+AN882+AQ882+AT882+AW882+AZ882+BC882+BF882+BI882+BL882+BO882+BR882+BU882+BX882+CA882+CD882+CG882+CJ882</f>
        <v>0</v>
      </c>
      <c r="R882" s="286">
        <f t="shared" ref="R882:R887" si="1452">T882+W882+Z882+AC882+AF882+AI882+AL882+AO882+AR882+AU882+AX882+BA882+BD882+BG882+BJ882+BM882+BP882+BS882+BV882+BY882+CB882+CE882+CH882+CK882</f>
        <v>0</v>
      </c>
      <c r="S882" s="286">
        <v>0</v>
      </c>
      <c r="T882" s="286">
        <v>0</v>
      </c>
      <c r="U882" s="286"/>
      <c r="V882" s="286">
        <v>0</v>
      </c>
      <c r="W882" s="286">
        <v>0</v>
      </c>
      <c r="X882" s="286"/>
      <c r="Y882" s="286">
        <v>0</v>
      </c>
      <c r="Z882" s="286">
        <v>0</v>
      </c>
      <c r="AA882" s="286"/>
      <c r="AB882" s="286">
        <v>0</v>
      </c>
      <c r="AC882" s="286">
        <v>0</v>
      </c>
      <c r="AD882" s="286"/>
      <c r="AE882" s="286">
        <v>0</v>
      </c>
      <c r="AF882" s="286">
        <v>0</v>
      </c>
      <c r="AG882" s="286"/>
      <c r="AH882" s="286">
        <v>0</v>
      </c>
      <c r="AI882" s="286">
        <v>0</v>
      </c>
      <c r="AJ882" s="286"/>
      <c r="AK882" s="286">
        <v>0</v>
      </c>
      <c r="AL882" s="286">
        <v>0</v>
      </c>
      <c r="AM882" s="286"/>
      <c r="AN882" s="286">
        <v>0</v>
      </c>
      <c r="AO882" s="286">
        <v>0</v>
      </c>
      <c r="AP882" s="286"/>
      <c r="AQ882" s="286">
        <v>0</v>
      </c>
      <c r="AR882" s="286">
        <v>0</v>
      </c>
      <c r="AS882" s="286"/>
      <c r="AT882" s="286">
        <v>0</v>
      </c>
      <c r="AU882" s="286">
        <v>0</v>
      </c>
      <c r="AV882" s="286"/>
      <c r="AW882" s="286">
        <v>0</v>
      </c>
      <c r="AX882" s="286">
        <v>0</v>
      </c>
      <c r="AY882" s="286"/>
      <c r="AZ882" s="286">
        <v>0</v>
      </c>
      <c r="BA882" s="286">
        <v>0</v>
      </c>
      <c r="BB882" s="286"/>
      <c r="BC882" s="286">
        <v>0</v>
      </c>
      <c r="BD882" s="286">
        <v>0</v>
      </c>
      <c r="BE882" s="286"/>
      <c r="BF882" s="286">
        <v>0</v>
      </c>
      <c r="BG882" s="286">
        <v>0</v>
      </c>
      <c r="BH882" s="286"/>
      <c r="BI882" s="286">
        <v>0</v>
      </c>
      <c r="BJ882" s="286">
        <v>0</v>
      </c>
      <c r="BK882" s="286"/>
      <c r="BL882" s="286">
        <v>0</v>
      </c>
      <c r="BM882" s="286">
        <v>0</v>
      </c>
      <c r="BN882" s="286"/>
      <c r="BO882" s="286">
        <v>0</v>
      </c>
      <c r="BP882" s="286">
        <v>0</v>
      </c>
      <c r="BQ882" s="286"/>
      <c r="BR882" s="286">
        <v>0</v>
      </c>
      <c r="BS882" s="286">
        <v>0</v>
      </c>
      <c r="BT882" s="286"/>
      <c r="BU882" s="286">
        <v>0</v>
      </c>
      <c r="BV882" s="286">
        <v>0</v>
      </c>
      <c r="BW882" s="286"/>
      <c r="BX882" s="286">
        <v>0</v>
      </c>
      <c r="BY882" s="286">
        <v>0</v>
      </c>
      <c r="BZ882" s="286"/>
      <c r="CA882" s="286">
        <v>0</v>
      </c>
      <c r="CB882" s="286">
        <v>0</v>
      </c>
      <c r="CC882" s="286"/>
      <c r="CD882" s="286">
        <v>0</v>
      </c>
      <c r="CE882" s="286">
        <v>0</v>
      </c>
      <c r="CF882" s="286"/>
      <c r="CG882" s="286">
        <v>0</v>
      </c>
      <c r="CH882" s="286">
        <v>0</v>
      </c>
      <c r="CI882" s="286"/>
      <c r="CJ882" s="286">
        <v>0</v>
      </c>
      <c r="CK882" s="286">
        <v>0</v>
      </c>
    </row>
    <row r="883" spans="1:89" ht="30" x14ac:dyDescent="0.25">
      <c r="A883" s="95"/>
      <c r="B883" s="96" t="s">
        <v>2097</v>
      </c>
      <c r="C883" s="312" t="s">
        <v>2870</v>
      </c>
      <c r="D883" s="95" t="s">
        <v>950</v>
      </c>
      <c r="E883" s="103"/>
      <c r="F883" s="103"/>
      <c r="G883" s="103"/>
      <c r="H883" s="103"/>
      <c r="I883" s="103">
        <v>0</v>
      </c>
      <c r="J883" s="103">
        <v>0</v>
      </c>
      <c r="K883" s="103">
        <v>0</v>
      </c>
      <c r="L883" s="103">
        <v>0</v>
      </c>
      <c r="M883" s="103">
        <v>0</v>
      </c>
      <c r="N883" s="103">
        <v>0</v>
      </c>
      <c r="Q883" s="286">
        <f t="shared" si="1451"/>
        <v>0</v>
      </c>
      <c r="R883" s="286">
        <f t="shared" si="1452"/>
        <v>0</v>
      </c>
      <c r="S883" s="286">
        <v>0</v>
      </c>
      <c r="T883" s="286">
        <v>0</v>
      </c>
      <c r="U883" s="286"/>
      <c r="V883" s="286">
        <v>0</v>
      </c>
      <c r="W883" s="286">
        <v>0</v>
      </c>
      <c r="X883" s="286"/>
      <c r="Y883" s="286">
        <v>0</v>
      </c>
      <c r="Z883" s="286">
        <v>0</v>
      </c>
      <c r="AA883" s="286"/>
      <c r="AB883" s="286">
        <v>0</v>
      </c>
      <c r="AC883" s="286">
        <v>0</v>
      </c>
      <c r="AD883" s="286"/>
      <c r="AE883" s="286">
        <v>0</v>
      </c>
      <c r="AF883" s="286">
        <v>0</v>
      </c>
      <c r="AG883" s="286"/>
      <c r="AH883" s="286">
        <v>0</v>
      </c>
      <c r="AI883" s="286">
        <v>0</v>
      </c>
      <c r="AJ883" s="286"/>
      <c r="AK883" s="286">
        <v>0</v>
      </c>
      <c r="AL883" s="286">
        <v>0</v>
      </c>
      <c r="AM883" s="286"/>
      <c r="AN883" s="286">
        <v>0</v>
      </c>
      <c r="AO883" s="286">
        <v>0</v>
      </c>
      <c r="AP883" s="286"/>
      <c r="AQ883" s="286">
        <v>0</v>
      </c>
      <c r="AR883" s="286">
        <v>0</v>
      </c>
      <c r="AS883" s="286"/>
      <c r="AT883" s="286">
        <v>0</v>
      </c>
      <c r="AU883" s="286">
        <v>0</v>
      </c>
      <c r="AV883" s="286"/>
      <c r="AW883" s="286">
        <v>0</v>
      </c>
      <c r="AX883" s="286">
        <v>0</v>
      </c>
      <c r="AY883" s="286"/>
      <c r="AZ883" s="286">
        <v>0</v>
      </c>
      <c r="BA883" s="286">
        <v>0</v>
      </c>
      <c r="BB883" s="302"/>
      <c r="BC883" s="302">
        <v>0</v>
      </c>
      <c r="BD883" s="286">
        <v>0</v>
      </c>
      <c r="BE883" s="286"/>
      <c r="BF883" s="286">
        <v>0</v>
      </c>
      <c r="BG883" s="286">
        <v>0</v>
      </c>
      <c r="BH883" s="286"/>
      <c r="BI883" s="286">
        <v>0</v>
      </c>
      <c r="BJ883" s="286">
        <v>0</v>
      </c>
      <c r="BK883" s="286"/>
      <c r="BL883" s="286">
        <v>0</v>
      </c>
      <c r="BM883" s="286">
        <v>0</v>
      </c>
      <c r="BN883" s="286"/>
      <c r="BO883" s="286">
        <v>0</v>
      </c>
      <c r="BP883" s="286">
        <v>0</v>
      </c>
      <c r="BQ883" s="286"/>
      <c r="BR883" s="286">
        <v>0</v>
      </c>
      <c r="BS883" s="286">
        <v>0</v>
      </c>
      <c r="BT883" s="286"/>
      <c r="BU883" s="286">
        <v>0</v>
      </c>
      <c r="BV883" s="286">
        <v>0</v>
      </c>
      <c r="BW883" s="286"/>
      <c r="BX883" s="286">
        <v>0</v>
      </c>
      <c r="BY883" s="286">
        <v>0</v>
      </c>
      <c r="BZ883" s="286"/>
      <c r="CA883" s="286">
        <v>0</v>
      </c>
      <c r="CB883" s="286">
        <v>0</v>
      </c>
      <c r="CC883" s="286"/>
      <c r="CD883" s="286">
        <v>0</v>
      </c>
      <c r="CE883" s="286">
        <v>0</v>
      </c>
      <c r="CF883" s="286"/>
      <c r="CG883" s="286">
        <v>0</v>
      </c>
      <c r="CH883" s="286">
        <v>0</v>
      </c>
      <c r="CI883" s="286"/>
      <c r="CJ883" s="286">
        <v>0</v>
      </c>
      <c r="CK883" s="286">
        <v>0</v>
      </c>
    </row>
    <row r="884" spans="1:89" ht="45" x14ac:dyDescent="0.25">
      <c r="A884" s="95"/>
      <c r="B884" s="96" t="s">
        <v>2096</v>
      </c>
      <c r="C884" s="312" t="s">
        <v>2867</v>
      </c>
      <c r="D884" s="95" t="s">
        <v>950</v>
      </c>
      <c r="E884" s="103"/>
      <c r="F884" s="103"/>
      <c r="G884" s="103"/>
      <c r="H884" s="103"/>
      <c r="I884" s="103">
        <v>0</v>
      </c>
      <c r="J884" s="103">
        <v>0</v>
      </c>
      <c r="K884" s="103">
        <v>0</v>
      </c>
      <c r="L884" s="103">
        <v>0</v>
      </c>
      <c r="M884" s="103">
        <v>0</v>
      </c>
      <c r="N884" s="103">
        <v>0</v>
      </c>
      <c r="Q884" s="286">
        <f t="shared" si="1451"/>
        <v>0</v>
      </c>
      <c r="R884" s="286">
        <f t="shared" si="1452"/>
        <v>0</v>
      </c>
      <c r="S884" s="286">
        <v>0</v>
      </c>
      <c r="T884" s="286">
        <v>0</v>
      </c>
      <c r="U884" s="286"/>
      <c r="V884" s="286">
        <v>0</v>
      </c>
      <c r="W884" s="286">
        <v>0</v>
      </c>
      <c r="X884" s="286"/>
      <c r="Y884" s="286">
        <v>0</v>
      </c>
      <c r="Z884" s="286">
        <v>0</v>
      </c>
      <c r="AA884" s="286"/>
      <c r="AB884" s="286">
        <v>0</v>
      </c>
      <c r="AC884" s="286">
        <v>0</v>
      </c>
      <c r="AD884" s="286"/>
      <c r="AE884" s="286">
        <v>0</v>
      </c>
      <c r="AF884" s="286">
        <v>0</v>
      </c>
      <c r="AG884" s="286"/>
      <c r="AH884" s="286">
        <v>0</v>
      </c>
      <c r="AI884" s="286">
        <v>0</v>
      </c>
      <c r="AJ884" s="286"/>
      <c r="AK884" s="286">
        <v>0</v>
      </c>
      <c r="AL884" s="286">
        <v>0</v>
      </c>
      <c r="AM884" s="286"/>
      <c r="AN884" s="286">
        <v>0</v>
      </c>
      <c r="AO884" s="286">
        <v>0</v>
      </c>
      <c r="AP884" s="286"/>
      <c r="AQ884" s="286">
        <v>0</v>
      </c>
      <c r="AR884" s="286">
        <v>0</v>
      </c>
      <c r="AS884" s="286"/>
      <c r="AT884" s="286">
        <v>0</v>
      </c>
      <c r="AU884" s="286">
        <v>0</v>
      </c>
      <c r="AV884" s="286"/>
      <c r="AW884" s="286">
        <v>0</v>
      </c>
      <c r="AX884" s="286">
        <v>0</v>
      </c>
      <c r="AY884" s="286"/>
      <c r="AZ884" s="286">
        <v>0</v>
      </c>
      <c r="BA884" s="286">
        <v>0</v>
      </c>
      <c r="BB884" s="302"/>
      <c r="BC884" s="302">
        <v>0</v>
      </c>
      <c r="BD884" s="286">
        <v>0</v>
      </c>
      <c r="BE884" s="286"/>
      <c r="BF884" s="286">
        <v>0</v>
      </c>
      <c r="BG884" s="286">
        <v>0</v>
      </c>
      <c r="BH884" s="286"/>
      <c r="BI884" s="286">
        <v>0</v>
      </c>
      <c r="BJ884" s="286">
        <v>0</v>
      </c>
      <c r="BK884" s="286"/>
      <c r="BL884" s="286">
        <v>0</v>
      </c>
      <c r="BM884" s="286">
        <v>0</v>
      </c>
      <c r="BN884" s="286"/>
      <c r="BO884" s="286">
        <v>0</v>
      </c>
      <c r="BP884" s="286">
        <v>0</v>
      </c>
      <c r="BQ884" s="286"/>
      <c r="BR884" s="286">
        <v>0</v>
      </c>
      <c r="BS884" s="286">
        <v>0</v>
      </c>
      <c r="BT884" s="286"/>
      <c r="BU884" s="286">
        <v>0</v>
      </c>
      <c r="BV884" s="286">
        <v>0</v>
      </c>
      <c r="BW884" s="286"/>
      <c r="BX884" s="286">
        <v>0</v>
      </c>
      <c r="BY884" s="286">
        <v>0</v>
      </c>
      <c r="BZ884" s="286"/>
      <c r="CA884" s="286">
        <v>0</v>
      </c>
      <c r="CB884" s="286">
        <v>0</v>
      </c>
      <c r="CC884" s="286"/>
      <c r="CD884" s="286">
        <v>0</v>
      </c>
      <c r="CE884" s="286">
        <v>0</v>
      </c>
      <c r="CF884" s="286"/>
      <c r="CG884" s="286">
        <v>0</v>
      </c>
      <c r="CH884" s="286">
        <v>0</v>
      </c>
      <c r="CI884" s="286"/>
      <c r="CJ884" s="286">
        <v>0</v>
      </c>
      <c r="CK884" s="286">
        <v>0</v>
      </c>
    </row>
    <row r="885" spans="1:89" ht="30" x14ac:dyDescent="0.25">
      <c r="A885" s="95"/>
      <c r="B885" s="96" t="s">
        <v>2097</v>
      </c>
      <c r="C885" s="312" t="s">
        <v>2868</v>
      </c>
      <c r="D885" s="95" t="s">
        <v>950</v>
      </c>
      <c r="E885" s="103"/>
      <c r="F885" s="103"/>
      <c r="G885" s="103"/>
      <c r="H885" s="103"/>
      <c r="I885" s="103">
        <v>0</v>
      </c>
      <c r="J885" s="103">
        <v>0</v>
      </c>
      <c r="K885" s="103">
        <v>0</v>
      </c>
      <c r="L885" s="103">
        <v>0</v>
      </c>
      <c r="M885" s="103">
        <v>0</v>
      </c>
      <c r="N885" s="103">
        <v>0</v>
      </c>
      <c r="Q885" s="286">
        <f t="shared" si="1451"/>
        <v>0</v>
      </c>
      <c r="R885" s="286">
        <f t="shared" si="1452"/>
        <v>0</v>
      </c>
      <c r="S885" s="286">
        <v>0</v>
      </c>
      <c r="T885" s="286">
        <v>0</v>
      </c>
      <c r="U885" s="286"/>
      <c r="V885" s="286">
        <v>0</v>
      </c>
      <c r="W885" s="286">
        <v>0</v>
      </c>
      <c r="X885" s="286"/>
      <c r="Y885" s="286">
        <v>0</v>
      </c>
      <c r="Z885" s="286">
        <v>0</v>
      </c>
      <c r="AA885" s="286"/>
      <c r="AB885" s="286">
        <v>0</v>
      </c>
      <c r="AC885" s="286">
        <v>0</v>
      </c>
      <c r="AD885" s="286"/>
      <c r="AE885" s="286">
        <v>0</v>
      </c>
      <c r="AF885" s="286">
        <v>0</v>
      </c>
      <c r="AG885" s="286"/>
      <c r="AH885" s="286">
        <v>0</v>
      </c>
      <c r="AI885" s="286">
        <v>0</v>
      </c>
      <c r="AJ885" s="286"/>
      <c r="AK885" s="286">
        <v>0</v>
      </c>
      <c r="AL885" s="286">
        <v>0</v>
      </c>
      <c r="AM885" s="286"/>
      <c r="AN885" s="286">
        <v>0</v>
      </c>
      <c r="AO885" s="286">
        <v>0</v>
      </c>
      <c r="AP885" s="286"/>
      <c r="AQ885" s="286">
        <v>0</v>
      </c>
      <c r="AR885" s="286">
        <v>0</v>
      </c>
      <c r="AS885" s="286"/>
      <c r="AT885" s="286">
        <v>0</v>
      </c>
      <c r="AU885" s="286">
        <v>0</v>
      </c>
      <c r="AV885" s="286"/>
      <c r="AW885" s="286">
        <v>0</v>
      </c>
      <c r="AX885" s="286">
        <v>0</v>
      </c>
      <c r="AY885" s="286"/>
      <c r="AZ885" s="286">
        <v>0</v>
      </c>
      <c r="BA885" s="286">
        <v>0</v>
      </c>
      <c r="BB885" s="302"/>
      <c r="BC885" s="302">
        <v>0</v>
      </c>
      <c r="BD885" s="286">
        <v>0</v>
      </c>
      <c r="BE885" s="286"/>
      <c r="BF885" s="286">
        <v>0</v>
      </c>
      <c r="BG885" s="286">
        <v>0</v>
      </c>
      <c r="BH885" s="286"/>
      <c r="BI885" s="286">
        <v>0</v>
      </c>
      <c r="BJ885" s="286">
        <v>0</v>
      </c>
      <c r="BK885" s="286"/>
      <c r="BL885" s="286">
        <v>0</v>
      </c>
      <c r="BM885" s="286">
        <v>0</v>
      </c>
      <c r="BN885" s="286"/>
      <c r="BO885" s="286">
        <v>0</v>
      </c>
      <c r="BP885" s="286">
        <v>0</v>
      </c>
      <c r="BQ885" s="286"/>
      <c r="BR885" s="286">
        <v>0</v>
      </c>
      <c r="BS885" s="286">
        <v>0</v>
      </c>
      <c r="BT885" s="286"/>
      <c r="BU885" s="286">
        <v>0</v>
      </c>
      <c r="BV885" s="286">
        <v>0</v>
      </c>
      <c r="BW885" s="286"/>
      <c r="BX885" s="286">
        <v>0</v>
      </c>
      <c r="BY885" s="286">
        <v>0</v>
      </c>
      <c r="BZ885" s="286"/>
      <c r="CA885" s="286">
        <v>0</v>
      </c>
      <c r="CB885" s="286">
        <v>0</v>
      </c>
      <c r="CC885" s="286"/>
      <c r="CD885" s="286">
        <v>0</v>
      </c>
      <c r="CE885" s="286">
        <v>0</v>
      </c>
      <c r="CF885" s="286"/>
      <c r="CG885" s="286">
        <v>0</v>
      </c>
      <c r="CH885" s="286">
        <v>0</v>
      </c>
      <c r="CI885" s="286"/>
      <c r="CJ885" s="286">
        <v>0</v>
      </c>
      <c r="CK885" s="286">
        <v>0</v>
      </c>
    </row>
    <row r="886" spans="1:89" ht="30" x14ac:dyDescent="0.25">
      <c r="A886" s="95"/>
      <c r="B886" s="96" t="s">
        <v>2098</v>
      </c>
      <c r="C886" s="312" t="s">
        <v>2865</v>
      </c>
      <c r="D886" s="95" t="s">
        <v>950</v>
      </c>
      <c r="E886" s="103"/>
      <c r="F886" s="103"/>
      <c r="G886" s="103"/>
      <c r="H886" s="103"/>
      <c r="I886" s="103">
        <v>8</v>
      </c>
      <c r="J886" s="103">
        <v>6</v>
      </c>
      <c r="K886" s="103">
        <v>12</v>
      </c>
      <c r="L886" s="103">
        <v>0</v>
      </c>
      <c r="M886" s="103">
        <v>0</v>
      </c>
      <c r="N886" s="103">
        <v>0</v>
      </c>
      <c r="Q886" s="286">
        <f t="shared" si="1451"/>
        <v>12</v>
      </c>
      <c r="R886" s="286">
        <f t="shared" si="1452"/>
        <v>8</v>
      </c>
      <c r="S886" s="286">
        <v>0</v>
      </c>
      <c r="T886" s="286">
        <v>0</v>
      </c>
      <c r="U886" s="286"/>
      <c r="V886" s="286">
        <v>0</v>
      </c>
      <c r="W886" s="286">
        <v>0</v>
      </c>
      <c r="X886" s="286"/>
      <c r="Y886" s="286">
        <v>0</v>
      </c>
      <c r="Z886" s="286">
        <v>0</v>
      </c>
      <c r="AA886" s="286"/>
      <c r="AB886" s="286">
        <v>0</v>
      </c>
      <c r="AC886" s="286">
        <v>0</v>
      </c>
      <c r="AD886" s="286"/>
      <c r="AE886" s="286">
        <v>0</v>
      </c>
      <c r="AF886" s="286">
        <v>0</v>
      </c>
      <c r="AG886" s="286"/>
      <c r="AH886" s="286">
        <v>0</v>
      </c>
      <c r="AI886" s="286">
        <v>0</v>
      </c>
      <c r="AJ886" s="286"/>
      <c r="AK886" s="286">
        <v>0</v>
      </c>
      <c r="AL886" s="286">
        <v>0</v>
      </c>
      <c r="AM886" s="286"/>
      <c r="AN886" s="286">
        <v>0</v>
      </c>
      <c r="AO886" s="286">
        <v>0</v>
      </c>
      <c r="AP886" s="286"/>
      <c r="AQ886" s="286">
        <v>0</v>
      </c>
      <c r="AR886" s="286">
        <v>0</v>
      </c>
      <c r="AS886" s="286"/>
      <c r="AT886" s="286">
        <v>0</v>
      </c>
      <c r="AU886" s="286">
        <v>0</v>
      </c>
      <c r="AV886" s="286"/>
      <c r="AW886" s="286">
        <v>0</v>
      </c>
      <c r="AX886" s="286">
        <v>0</v>
      </c>
      <c r="AY886" s="286"/>
      <c r="AZ886" s="286">
        <v>0</v>
      </c>
      <c r="BA886" s="286">
        <v>0</v>
      </c>
      <c r="BB886" s="302"/>
      <c r="BC886" s="302">
        <v>3</v>
      </c>
      <c r="BD886" s="286">
        <v>5</v>
      </c>
      <c r="BE886" s="286"/>
      <c r="BF886" s="286">
        <v>3</v>
      </c>
      <c r="BG886" s="286">
        <v>0</v>
      </c>
      <c r="BH886" s="286"/>
      <c r="BI886" s="286">
        <v>0</v>
      </c>
      <c r="BJ886" s="286">
        <v>0</v>
      </c>
      <c r="BK886" s="286"/>
      <c r="BL886" s="286">
        <v>0</v>
      </c>
      <c r="BM886" s="286">
        <v>0</v>
      </c>
      <c r="BN886" s="286"/>
      <c r="BO886" s="286">
        <v>0</v>
      </c>
      <c r="BP886" s="286">
        <v>0</v>
      </c>
      <c r="BQ886" s="286"/>
      <c r="BR886" s="286">
        <v>0</v>
      </c>
      <c r="BS886" s="286">
        <v>0</v>
      </c>
      <c r="BT886" s="286"/>
      <c r="BU886" s="286">
        <v>0</v>
      </c>
      <c r="BV886" s="286">
        <v>0</v>
      </c>
      <c r="BW886" s="286"/>
      <c r="BX886" s="286">
        <v>0</v>
      </c>
      <c r="BY886" s="286">
        <v>0</v>
      </c>
      <c r="BZ886" s="286"/>
      <c r="CA886" s="286">
        <v>0</v>
      </c>
      <c r="CB886" s="286">
        <v>0</v>
      </c>
      <c r="CC886" s="286"/>
      <c r="CD886" s="286">
        <v>6</v>
      </c>
      <c r="CE886" s="286">
        <v>3</v>
      </c>
      <c r="CF886" s="286"/>
      <c r="CG886" s="286">
        <v>0</v>
      </c>
      <c r="CH886" s="286">
        <v>0</v>
      </c>
      <c r="CI886" s="286"/>
      <c r="CJ886" s="286">
        <v>0</v>
      </c>
      <c r="CK886" s="286">
        <v>0</v>
      </c>
    </row>
    <row r="887" spans="1:89" ht="30" x14ac:dyDescent="0.25">
      <c r="A887" s="95"/>
      <c r="B887" s="96" t="s">
        <v>2097</v>
      </c>
      <c r="C887" s="312" t="s">
        <v>2866</v>
      </c>
      <c r="D887" s="95" t="s">
        <v>950</v>
      </c>
      <c r="E887" s="103"/>
      <c r="F887" s="103"/>
      <c r="G887" s="103"/>
      <c r="H887" s="103"/>
      <c r="I887" s="103">
        <v>6</v>
      </c>
      <c r="J887" s="103">
        <v>4</v>
      </c>
      <c r="K887" s="103">
        <v>6</v>
      </c>
      <c r="L887" s="103">
        <v>0</v>
      </c>
      <c r="M887" s="103">
        <v>0</v>
      </c>
      <c r="N887" s="103">
        <v>0</v>
      </c>
      <c r="Q887" s="286">
        <f t="shared" si="1451"/>
        <v>6</v>
      </c>
      <c r="R887" s="286">
        <f t="shared" si="1452"/>
        <v>5</v>
      </c>
      <c r="S887" s="286">
        <v>0</v>
      </c>
      <c r="T887" s="286">
        <v>0</v>
      </c>
      <c r="U887" s="286"/>
      <c r="V887" s="286">
        <v>0</v>
      </c>
      <c r="W887" s="286">
        <v>0</v>
      </c>
      <c r="X887" s="286"/>
      <c r="Y887" s="286">
        <v>0</v>
      </c>
      <c r="Z887" s="286">
        <v>0</v>
      </c>
      <c r="AA887" s="286"/>
      <c r="AB887" s="286">
        <v>0</v>
      </c>
      <c r="AC887" s="286">
        <v>0</v>
      </c>
      <c r="AD887" s="286"/>
      <c r="AE887" s="286">
        <v>0</v>
      </c>
      <c r="AF887" s="286">
        <v>0</v>
      </c>
      <c r="AG887" s="286"/>
      <c r="AH887" s="286">
        <v>0</v>
      </c>
      <c r="AI887" s="286">
        <v>0</v>
      </c>
      <c r="AJ887" s="286"/>
      <c r="AK887" s="286">
        <v>0</v>
      </c>
      <c r="AL887" s="286">
        <v>0</v>
      </c>
      <c r="AM887" s="286"/>
      <c r="AN887" s="286">
        <v>0</v>
      </c>
      <c r="AO887" s="286">
        <v>0</v>
      </c>
      <c r="AP887" s="286"/>
      <c r="AQ887" s="286">
        <v>0</v>
      </c>
      <c r="AR887" s="286">
        <v>0</v>
      </c>
      <c r="AS887" s="286"/>
      <c r="AT887" s="286">
        <v>0</v>
      </c>
      <c r="AU887" s="286">
        <v>0</v>
      </c>
      <c r="AV887" s="286"/>
      <c r="AW887" s="286">
        <v>0</v>
      </c>
      <c r="AX887" s="286">
        <v>0</v>
      </c>
      <c r="AY887" s="286"/>
      <c r="AZ887" s="286">
        <v>0</v>
      </c>
      <c r="BA887" s="286">
        <v>0</v>
      </c>
      <c r="BB887" s="302"/>
      <c r="BC887" s="302">
        <v>2</v>
      </c>
      <c r="BD887" s="286">
        <v>4</v>
      </c>
      <c r="BE887" s="286"/>
      <c r="BF887" s="286">
        <v>3</v>
      </c>
      <c r="BG887" s="286">
        <v>0</v>
      </c>
      <c r="BH887" s="286"/>
      <c r="BI887" s="286">
        <v>0</v>
      </c>
      <c r="BJ887" s="286">
        <v>0</v>
      </c>
      <c r="BK887" s="286"/>
      <c r="BL887" s="286">
        <v>0</v>
      </c>
      <c r="BM887" s="286">
        <v>0</v>
      </c>
      <c r="BN887" s="286"/>
      <c r="BO887" s="286">
        <v>0</v>
      </c>
      <c r="BP887" s="286">
        <v>0</v>
      </c>
      <c r="BQ887" s="286"/>
      <c r="BR887" s="286">
        <v>0</v>
      </c>
      <c r="BS887" s="286">
        <v>0</v>
      </c>
      <c r="BT887" s="286"/>
      <c r="BU887" s="286">
        <v>0</v>
      </c>
      <c r="BV887" s="286">
        <v>0</v>
      </c>
      <c r="BW887" s="286"/>
      <c r="BX887" s="286">
        <v>0</v>
      </c>
      <c r="BY887" s="286">
        <v>0</v>
      </c>
      <c r="BZ887" s="286"/>
      <c r="CA887" s="286">
        <v>0</v>
      </c>
      <c r="CB887" s="286">
        <v>0</v>
      </c>
      <c r="CC887" s="286"/>
      <c r="CD887" s="286">
        <v>1</v>
      </c>
      <c r="CE887" s="286">
        <v>1</v>
      </c>
      <c r="CF887" s="286"/>
      <c r="CG887" s="286">
        <v>0</v>
      </c>
      <c r="CH887" s="286">
        <v>0</v>
      </c>
      <c r="CI887" s="286"/>
      <c r="CJ887" s="286">
        <v>0</v>
      </c>
      <c r="CK887" s="286">
        <v>0</v>
      </c>
    </row>
    <row r="888" spans="1:89" x14ac:dyDescent="0.25">
      <c r="A888" s="95"/>
      <c r="B888" s="96" t="s">
        <v>1855</v>
      </c>
      <c r="C888" s="95"/>
      <c r="D888" s="95" t="s">
        <v>950</v>
      </c>
      <c r="E888" s="103"/>
      <c r="F888" s="103"/>
      <c r="G888" s="103"/>
      <c r="H888" s="103"/>
      <c r="I888" s="103">
        <f t="shared" ref="I888:N888" si="1453">I882+I884+I886</f>
        <v>8</v>
      </c>
      <c r="J888" s="103">
        <f t="shared" si="1453"/>
        <v>6</v>
      </c>
      <c r="K888" s="103">
        <f t="shared" si="1453"/>
        <v>12</v>
      </c>
      <c r="L888" s="103">
        <f t="shared" si="1453"/>
        <v>0</v>
      </c>
      <c r="M888" s="103">
        <f t="shared" si="1453"/>
        <v>0</v>
      </c>
      <c r="N888" s="103">
        <f t="shared" si="1453"/>
        <v>0</v>
      </c>
      <c r="Q888" s="103">
        <f>Q882+Q884+Q886</f>
        <v>12</v>
      </c>
      <c r="R888" s="103">
        <f>R882+R884+R886</f>
        <v>8</v>
      </c>
      <c r="S888" s="103">
        <f>S882+S884+S886</f>
        <v>0</v>
      </c>
      <c r="T888" s="103">
        <f>T882+T884+T886</f>
        <v>0</v>
      </c>
      <c r="V888" s="103">
        <f>V882+V884+V886</f>
        <v>0</v>
      </c>
      <c r="W888" s="103">
        <f>W882+W884+W886</f>
        <v>0</v>
      </c>
      <c r="Y888" s="103">
        <f>Y882+Y884+Y886</f>
        <v>0</v>
      </c>
      <c r="Z888" s="103">
        <f>Z882+Z884+Z886</f>
        <v>0</v>
      </c>
      <c r="AB888" s="103">
        <f>AB882+AB884+AB886</f>
        <v>0</v>
      </c>
      <c r="AC888" s="103">
        <f>AC882+AC884+AC886</f>
        <v>0</v>
      </c>
      <c r="AE888" s="103">
        <f>AE882+AE884+AE886</f>
        <v>0</v>
      </c>
      <c r="AF888" s="103">
        <f>AF882+AF884+AF886</f>
        <v>0</v>
      </c>
      <c r="AH888" s="103">
        <f>AH882+AH884+AH886</f>
        <v>0</v>
      </c>
      <c r="AI888" s="103">
        <f>AI882+AI884+AI886</f>
        <v>0</v>
      </c>
      <c r="AK888" s="103">
        <f>AK882+AK884+AK886</f>
        <v>0</v>
      </c>
      <c r="AL888" s="103">
        <f>AL882+AL884+AL886</f>
        <v>0</v>
      </c>
      <c r="AN888" s="103">
        <f>AN882+AN884+AN886</f>
        <v>0</v>
      </c>
      <c r="AO888" s="103">
        <f>AO882+AO884+AO886</f>
        <v>0</v>
      </c>
      <c r="AQ888" s="103">
        <f>AQ882+AQ884+AQ886</f>
        <v>0</v>
      </c>
      <c r="AR888" s="103">
        <f>AR882+AR884+AR886</f>
        <v>0</v>
      </c>
      <c r="AT888" s="103">
        <f>AT882+AT884+AT886</f>
        <v>0</v>
      </c>
      <c r="AU888" s="103">
        <f>AU882+AU884+AU886</f>
        <v>0</v>
      </c>
      <c r="AW888" s="103">
        <f>AW882+AW884+AW886</f>
        <v>0</v>
      </c>
      <c r="AX888" s="103">
        <f>AX882+AX884+AX886</f>
        <v>0</v>
      </c>
      <c r="AZ888" s="103">
        <f>AZ882+AZ884+AZ886</f>
        <v>0</v>
      </c>
      <c r="BA888" s="103">
        <f>BA882+BA884+BA886</f>
        <v>0</v>
      </c>
      <c r="BC888" s="103">
        <f>BC882+BC884+BC886</f>
        <v>3</v>
      </c>
      <c r="BD888" s="103">
        <f>BD882+BD884+BD886</f>
        <v>5</v>
      </c>
      <c r="BF888" s="103">
        <f>BF882+BF884+BF886</f>
        <v>3</v>
      </c>
      <c r="BG888" s="103">
        <f>BG882+BG884+BG886</f>
        <v>0</v>
      </c>
      <c r="BI888" s="103">
        <f>BI882+BI884+BI886</f>
        <v>0</v>
      </c>
      <c r="BJ888" s="103">
        <f>BJ882+BJ884+BJ886</f>
        <v>0</v>
      </c>
      <c r="BL888" s="103">
        <f>BL882+BL884+BL886</f>
        <v>0</v>
      </c>
      <c r="BM888" s="103">
        <f>BM882+BM884+BM886</f>
        <v>0</v>
      </c>
      <c r="BO888" s="103">
        <f>BO882+BO884+BO886</f>
        <v>0</v>
      </c>
      <c r="BP888" s="103">
        <f>BP882+BP884+BP886</f>
        <v>0</v>
      </c>
      <c r="BR888" s="103">
        <f>BR882+BR884+BR886</f>
        <v>0</v>
      </c>
      <c r="BS888" s="103">
        <f>BS882+BS884+BS886</f>
        <v>0</v>
      </c>
      <c r="BU888" s="103">
        <f>BU882+BU884+BU886</f>
        <v>0</v>
      </c>
      <c r="BV888" s="103">
        <f>BV882+BV884+BV886</f>
        <v>0</v>
      </c>
      <c r="BX888" s="103">
        <f>BX882+BX884+BX886</f>
        <v>0</v>
      </c>
      <c r="BY888" s="103">
        <f>BY882+BY884+BY886</f>
        <v>0</v>
      </c>
      <c r="CA888" s="103">
        <f>CA882+CA884+CA886</f>
        <v>0</v>
      </c>
      <c r="CB888" s="103">
        <f>CB882+CB884+CB886</f>
        <v>0</v>
      </c>
      <c r="CD888" s="103">
        <f>CD882+CD884+CD886</f>
        <v>6</v>
      </c>
      <c r="CE888" s="103">
        <f>CE882+CE884+CE886</f>
        <v>3</v>
      </c>
      <c r="CG888" s="103">
        <f>CG882+CG884+CG886</f>
        <v>0</v>
      </c>
      <c r="CH888" s="103">
        <f>CH882+CH884+CH886</f>
        <v>0</v>
      </c>
      <c r="CJ888" s="103">
        <f>CJ882+CJ884+CJ886</f>
        <v>0</v>
      </c>
      <c r="CK888" s="103">
        <f>CK882+CK884+CK886</f>
        <v>0</v>
      </c>
    </row>
    <row r="889" spans="1:89" ht="75" x14ac:dyDescent="0.25">
      <c r="A889" s="95" t="s">
        <v>1382</v>
      </c>
      <c r="B889" s="96" t="s">
        <v>1690</v>
      </c>
      <c r="C889" s="95"/>
      <c r="D889" s="95" t="s">
        <v>8</v>
      </c>
      <c r="E889" s="103"/>
      <c r="F889" s="103"/>
      <c r="G889" s="103"/>
      <c r="H889" s="103"/>
      <c r="I889" s="335"/>
      <c r="J889" s="335"/>
      <c r="K889" s="335"/>
      <c r="L889" s="335"/>
      <c r="M889" s="335"/>
      <c r="N889" s="335"/>
    </row>
    <row r="890" spans="1:89" x14ac:dyDescent="0.25">
      <c r="A890" s="95"/>
      <c r="B890" s="96" t="s">
        <v>1182</v>
      </c>
      <c r="C890" s="95"/>
      <c r="D890" s="95"/>
      <c r="E890" s="103"/>
      <c r="F890" s="103"/>
      <c r="G890" s="103"/>
      <c r="H890" s="103"/>
      <c r="I890" s="335">
        <f t="shared" ref="I890:N890" si="1454">I893/I894*100</f>
        <v>50.585313941113874</v>
      </c>
      <c r="J890" s="335">
        <f t="shared" si="1454"/>
        <v>78.065031982942429</v>
      </c>
      <c r="K890" s="335">
        <f t="shared" si="1454"/>
        <v>100</v>
      </c>
      <c r="L890" s="335">
        <f t="shared" si="1454"/>
        <v>100</v>
      </c>
      <c r="M890" s="335">
        <f t="shared" si="1454"/>
        <v>100</v>
      </c>
      <c r="N890" s="335">
        <f t="shared" si="1454"/>
        <v>100</v>
      </c>
      <c r="Q890" s="335">
        <f>Q893/Q894*100</f>
        <v>100</v>
      </c>
      <c r="R890" s="335">
        <f>R893/R894*100</f>
        <v>100</v>
      </c>
      <c r="S890" s="335">
        <f>S893/S894*100</f>
        <v>100</v>
      </c>
      <c r="T890" s="335">
        <f>T893/T894*100</f>
        <v>100</v>
      </c>
      <c r="V890" s="335">
        <f>V893/V894*100</f>
        <v>100</v>
      </c>
      <c r="W890" s="335">
        <f>W893/W894*100</f>
        <v>100</v>
      </c>
      <c r="Y890" s="335">
        <f>Y893/Y894*100</f>
        <v>100</v>
      </c>
      <c r="Z890" s="335">
        <f>Z893/Z894*100</f>
        <v>100</v>
      </c>
      <c r="AB890" s="335">
        <f>AB893/AB894*100</f>
        <v>100</v>
      </c>
      <c r="AC890" s="335">
        <f>AC893/AC894*100</f>
        <v>100</v>
      </c>
      <c r="AE890" s="335">
        <f>AE893/AE894*100</f>
        <v>100</v>
      </c>
      <c r="AF890" s="335">
        <f>AF893/AF894*100</f>
        <v>100</v>
      </c>
      <c r="AH890" s="335">
        <f>AH893/AH894*100</f>
        <v>100</v>
      </c>
      <c r="AI890" s="335">
        <f>AI893/AI894*100</f>
        <v>100</v>
      </c>
      <c r="AK890" s="335">
        <f>AK893/AK894*100</f>
        <v>100</v>
      </c>
      <c r="AL890" s="335">
        <f>AL893/AL894*100</f>
        <v>100</v>
      </c>
      <c r="AN890" s="335">
        <f>AN893/AN894*100</f>
        <v>100</v>
      </c>
      <c r="AO890" s="335">
        <f>AO893/AO894*100</f>
        <v>100</v>
      </c>
      <c r="AQ890" s="335">
        <f>AQ893/AQ894*100</f>
        <v>100</v>
      </c>
      <c r="AR890" s="335">
        <f>AR893/AR894*100</f>
        <v>100</v>
      </c>
      <c r="AT890" s="335">
        <f>AT893/AT894*100</f>
        <v>100</v>
      </c>
      <c r="AU890" s="335">
        <f>AU893/AU894*100</f>
        <v>100</v>
      </c>
      <c r="AW890" s="335">
        <f>AW893/AW894*100</f>
        <v>100</v>
      </c>
      <c r="AX890" s="335">
        <f>AX893/AX894*100</f>
        <v>100</v>
      </c>
      <c r="AZ890" s="335">
        <f>AZ893/AZ894*100</f>
        <v>100</v>
      </c>
      <c r="BA890" s="335">
        <f>BA893/BA894*100</f>
        <v>100</v>
      </c>
      <c r="BC890" s="335">
        <f>BC893/BC894*100</f>
        <v>100</v>
      </c>
      <c r="BD890" s="335">
        <f>BD893/BD894*100</f>
        <v>100</v>
      </c>
      <c r="BF890" s="335">
        <f>BF893/BF894*100</f>
        <v>100</v>
      </c>
      <c r="BG890" s="335">
        <f>BG893/BG894*100</f>
        <v>100</v>
      </c>
      <c r="BI890" s="335">
        <f>BI893/BI894*100</f>
        <v>100</v>
      </c>
      <c r="BJ890" s="335">
        <f>BJ893/BJ894*100</f>
        <v>100</v>
      </c>
      <c r="BL890" s="335">
        <f>BL893/BL894*100</f>
        <v>100</v>
      </c>
      <c r="BM890" s="335">
        <f>BM893/BM894*100</f>
        <v>100</v>
      </c>
      <c r="BO890" s="335">
        <f>BO893/BO894*100</f>
        <v>100</v>
      </c>
      <c r="BP890" s="335">
        <f>BP893/BP894*100</f>
        <v>100</v>
      </c>
      <c r="BR890" s="335">
        <f>BR893/BR894*100</f>
        <v>100</v>
      </c>
      <c r="BS890" s="335">
        <f>BS893/BS894*100</f>
        <v>100</v>
      </c>
      <c r="BU890" s="335">
        <f>BU893/BU894*100</f>
        <v>100</v>
      </c>
      <c r="BV890" s="335">
        <f>BV893/BV894*100</f>
        <v>100</v>
      </c>
      <c r="BX890" s="335">
        <f>BX893/BX894*100</f>
        <v>100</v>
      </c>
      <c r="BY890" s="335">
        <f>BY893/BY894*100</f>
        <v>100</v>
      </c>
      <c r="CA890" s="335">
        <f>CA893/CA894*100</f>
        <v>100</v>
      </c>
      <c r="CB890" s="335">
        <f>CB893/CB894*100</f>
        <v>100</v>
      </c>
      <c r="CD890" s="335">
        <f>CD893/CD894*100</f>
        <v>100</v>
      </c>
      <c r="CE890" s="335">
        <f>CE893/CE894*100</f>
        <v>100</v>
      </c>
      <c r="CG890" s="335">
        <f>CG893/CG894*100</f>
        <v>100</v>
      </c>
      <c r="CH890" s="335">
        <f>CH893/CH894*100</f>
        <v>100</v>
      </c>
      <c r="CJ890" s="335">
        <f>CJ893/CJ894*100</f>
        <v>100</v>
      </c>
      <c r="CK890" s="335">
        <f>CK893/CK894*100</f>
        <v>100</v>
      </c>
    </row>
    <row r="891" spans="1:89" x14ac:dyDescent="0.25">
      <c r="A891" s="95"/>
      <c r="B891" s="96" t="s">
        <v>1184</v>
      </c>
      <c r="C891" s="95"/>
      <c r="D891" s="95"/>
      <c r="E891" s="103"/>
      <c r="F891" s="103"/>
      <c r="G891" s="103"/>
      <c r="H891" s="103"/>
      <c r="I891" s="335">
        <f t="shared" ref="I891:N891" si="1455">I896/I897*100</f>
        <v>50</v>
      </c>
      <c r="J891" s="335">
        <f t="shared" si="1455"/>
        <v>100</v>
      </c>
      <c r="K891" s="335">
        <f t="shared" si="1455"/>
        <v>100</v>
      </c>
      <c r="L891" s="335" t="e">
        <f t="shared" si="1455"/>
        <v>#DIV/0!</v>
      </c>
      <c r="M891" s="335" t="e">
        <f t="shared" si="1455"/>
        <v>#DIV/0!</v>
      </c>
      <c r="N891" s="335" t="e">
        <f t="shared" si="1455"/>
        <v>#DIV/0!</v>
      </c>
      <c r="Q891" s="335">
        <f>Q896/Q897*100</f>
        <v>100</v>
      </c>
      <c r="R891" s="335">
        <f>R896/R897*100</f>
        <v>100</v>
      </c>
      <c r="S891" s="335" t="e">
        <f>S896/S897*100</f>
        <v>#DIV/0!</v>
      </c>
      <c r="T891" s="335" t="e">
        <f>T896/T897*100</f>
        <v>#DIV/0!</v>
      </c>
      <c r="V891" s="335" t="e">
        <f>V896/V897*100</f>
        <v>#DIV/0!</v>
      </c>
      <c r="W891" s="335" t="e">
        <f>W896/W897*100</f>
        <v>#DIV/0!</v>
      </c>
      <c r="Y891" s="335" t="e">
        <f>Y896/Y897*100</f>
        <v>#DIV/0!</v>
      </c>
      <c r="Z891" s="335" t="e">
        <f>Z896/Z897*100</f>
        <v>#DIV/0!</v>
      </c>
      <c r="AB891" s="335" t="e">
        <f>AB896/AB897*100</f>
        <v>#DIV/0!</v>
      </c>
      <c r="AC891" s="335" t="e">
        <f>AC896/AC897*100</f>
        <v>#DIV/0!</v>
      </c>
      <c r="AE891" s="335" t="e">
        <f>AE896/AE897*100</f>
        <v>#DIV/0!</v>
      </c>
      <c r="AF891" s="335" t="e">
        <f>AF896/AF897*100</f>
        <v>#DIV/0!</v>
      </c>
      <c r="AH891" s="335" t="e">
        <f>AH896/AH897*100</f>
        <v>#DIV/0!</v>
      </c>
      <c r="AI891" s="335" t="e">
        <f>AI896/AI897*100</f>
        <v>#DIV/0!</v>
      </c>
      <c r="AK891" s="335" t="e">
        <f>AK896/AK897*100</f>
        <v>#DIV/0!</v>
      </c>
      <c r="AL891" s="335" t="e">
        <f>AL896/AL897*100</f>
        <v>#DIV/0!</v>
      </c>
      <c r="AN891" s="335" t="e">
        <f>AN896/AN897*100</f>
        <v>#DIV/0!</v>
      </c>
      <c r="AO891" s="335" t="e">
        <f>AO896/AO897*100</f>
        <v>#DIV/0!</v>
      </c>
      <c r="AQ891" s="335" t="e">
        <f>AQ896/AQ897*100</f>
        <v>#DIV/0!</v>
      </c>
      <c r="AR891" s="335" t="e">
        <f>AR896/AR897*100</f>
        <v>#DIV/0!</v>
      </c>
      <c r="AT891" s="335" t="e">
        <f>AT896/AT897*100</f>
        <v>#DIV/0!</v>
      </c>
      <c r="AU891" s="335" t="e">
        <f>AU896/AU897*100</f>
        <v>#DIV/0!</v>
      </c>
      <c r="AW891" s="335" t="e">
        <f>AW896/AW897*100</f>
        <v>#DIV/0!</v>
      </c>
      <c r="AX891" s="335" t="e">
        <f>AX896/AX897*100</f>
        <v>#DIV/0!</v>
      </c>
      <c r="AZ891" s="335" t="e">
        <f>AZ896/AZ897*100</f>
        <v>#DIV/0!</v>
      </c>
      <c r="BA891" s="335" t="e">
        <f>BA896/BA897*100</f>
        <v>#DIV/0!</v>
      </c>
      <c r="BC891" s="335">
        <f>BC896/BC897*100</f>
        <v>100</v>
      </c>
      <c r="BD891" s="335">
        <f>BD896/BD897*100</f>
        <v>100</v>
      </c>
      <c r="BF891" s="335" t="e">
        <f>BF896/BF897*100</f>
        <v>#DIV/0!</v>
      </c>
      <c r="BG891" s="335" t="e">
        <f>BG896/BG897*100</f>
        <v>#DIV/0!</v>
      </c>
      <c r="BI891" s="335" t="e">
        <f>BI896/BI897*100</f>
        <v>#DIV/0!</v>
      </c>
      <c r="BJ891" s="335" t="e">
        <f>BJ896/BJ897*100</f>
        <v>#DIV/0!</v>
      </c>
      <c r="BL891" s="335" t="e">
        <f>BL896/BL897*100</f>
        <v>#DIV/0!</v>
      </c>
      <c r="BM891" s="335" t="e">
        <f>BM896/BM897*100</f>
        <v>#DIV/0!</v>
      </c>
      <c r="BO891" s="335" t="e">
        <f>BO896/BO897*100</f>
        <v>#DIV/0!</v>
      </c>
      <c r="BP891" s="335" t="e">
        <f>BP896/BP897*100</f>
        <v>#DIV/0!</v>
      </c>
      <c r="BR891" s="335" t="e">
        <f>BR896/BR897*100</f>
        <v>#DIV/0!</v>
      </c>
      <c r="BS891" s="335" t="e">
        <f>BS896/BS897*100</f>
        <v>#DIV/0!</v>
      </c>
      <c r="BU891" s="335" t="e">
        <f>BU896/BU897*100</f>
        <v>#DIV/0!</v>
      </c>
      <c r="BV891" s="335" t="e">
        <f>BV896/BV897*100</f>
        <v>#DIV/0!</v>
      </c>
      <c r="BX891" s="335" t="e">
        <f>BX896/BX897*100</f>
        <v>#DIV/0!</v>
      </c>
      <c r="BY891" s="335" t="e">
        <f>BY896/BY897*100</f>
        <v>#DIV/0!</v>
      </c>
      <c r="CA891" s="335" t="e">
        <f>CA896/CA897*100</f>
        <v>#DIV/0!</v>
      </c>
      <c r="CB891" s="335" t="e">
        <f>CB896/CB897*100</f>
        <v>#DIV/0!</v>
      </c>
      <c r="CD891" s="335">
        <f>CD896/CD897*100</f>
        <v>100</v>
      </c>
      <c r="CE891" s="335">
        <f>CE896/CE897*100</f>
        <v>100</v>
      </c>
      <c r="CG891" s="335" t="e">
        <f>CG896/CG897*100</f>
        <v>#DIV/0!</v>
      </c>
      <c r="CH891" s="335" t="e">
        <f>CH896/CH897*100</f>
        <v>#DIV/0!</v>
      </c>
      <c r="CJ891" s="335" t="e">
        <f>CJ896/CJ897*100</f>
        <v>#DIV/0!</v>
      </c>
      <c r="CK891" s="335" t="e">
        <f>CK896/CK897*100</f>
        <v>#DIV/0!</v>
      </c>
    </row>
    <row r="892" spans="1:89" x14ac:dyDescent="0.25">
      <c r="A892" s="107"/>
      <c r="B892" s="96" t="s">
        <v>1182</v>
      </c>
      <c r="C892" s="312"/>
      <c r="D892" s="95"/>
      <c r="E892" s="103"/>
      <c r="F892" s="103"/>
      <c r="G892" s="103"/>
      <c r="H892" s="103"/>
      <c r="I892" s="103"/>
      <c r="J892" s="103"/>
      <c r="K892" s="103"/>
      <c r="L892" s="103"/>
      <c r="M892" s="103"/>
      <c r="N892" s="103"/>
    </row>
    <row r="893" spans="1:89" ht="60" x14ac:dyDescent="0.25">
      <c r="A893" s="107"/>
      <c r="B893" s="294" t="s">
        <v>1856</v>
      </c>
      <c r="C893" s="312" t="s">
        <v>2859</v>
      </c>
      <c r="D893" s="95" t="s">
        <v>950</v>
      </c>
      <c r="E893" s="103"/>
      <c r="F893" s="103"/>
      <c r="G893" s="103"/>
      <c r="H893" s="103"/>
      <c r="I893" s="103">
        <v>1426</v>
      </c>
      <c r="J893" s="103">
        <v>2929</v>
      </c>
      <c r="K893" s="103">
        <v>4447</v>
      </c>
      <c r="L893" s="103">
        <v>134</v>
      </c>
      <c r="M893" s="103">
        <v>283</v>
      </c>
      <c r="N893" s="103">
        <v>319</v>
      </c>
      <c r="P893" s="283"/>
      <c r="Q893" s="283">
        <f>S893+V893+Y893+AB893+AE893+AH893+AK893+AN893+AQ893+AT893+AW893+AZ893+BC893+BF893+BI893+BL893+BO893+BR893+BU893+BX893+CA893+CD893+CG893+CJ893</f>
        <v>4447</v>
      </c>
      <c r="R893" s="283">
        <f>T893+W893+Z893+AC893+AF893+AI893+AL893+AO893+AR893+AU893+AX893+BA893+BD893+BG893+BJ893+BM893+BP893+BS893+BV893+BY893+CB893+CE893+CH893+CK893</f>
        <v>4409</v>
      </c>
      <c r="S893" s="267">
        <v>72</v>
      </c>
      <c r="T893" s="267">
        <v>81</v>
      </c>
      <c r="V893" s="267">
        <v>51</v>
      </c>
      <c r="W893" s="267">
        <v>39</v>
      </c>
      <c r="Y893" s="267">
        <v>182</v>
      </c>
      <c r="Z893" s="267">
        <v>184</v>
      </c>
      <c r="AB893" s="267">
        <v>91</v>
      </c>
      <c r="AC893" s="267">
        <v>69</v>
      </c>
      <c r="AE893" s="267">
        <v>71</v>
      </c>
      <c r="AF893" s="267">
        <v>65</v>
      </c>
      <c r="AH893" s="267">
        <v>157</v>
      </c>
      <c r="AI893" s="267">
        <v>134</v>
      </c>
      <c r="AK893" s="267">
        <v>145</v>
      </c>
      <c r="AL893" s="267">
        <v>143</v>
      </c>
      <c r="AN893" s="267">
        <v>370</v>
      </c>
      <c r="AO893" s="267">
        <v>356</v>
      </c>
      <c r="AQ893" s="267">
        <v>139</v>
      </c>
      <c r="AR893" s="267">
        <v>175</v>
      </c>
      <c r="AT893" s="267">
        <v>548</v>
      </c>
      <c r="AU893" s="267">
        <v>507</v>
      </c>
      <c r="AW893" s="267">
        <v>133</v>
      </c>
      <c r="AX893" s="267">
        <v>151</v>
      </c>
      <c r="AZ893" s="267">
        <v>110</v>
      </c>
      <c r="BA893" s="267">
        <v>119</v>
      </c>
      <c r="BC893" s="267">
        <v>182</v>
      </c>
      <c r="BD893" s="267">
        <v>170</v>
      </c>
      <c r="BF893" s="267">
        <v>193</v>
      </c>
      <c r="BG893" s="267">
        <v>207</v>
      </c>
      <c r="BI893" s="267">
        <v>1259</v>
      </c>
      <c r="BJ893" s="267">
        <v>1238</v>
      </c>
      <c r="BL893" s="267">
        <v>27</v>
      </c>
      <c r="BM893" s="267">
        <v>15</v>
      </c>
      <c r="BO893" s="267">
        <v>62</v>
      </c>
      <c r="BP893" s="267">
        <v>106</v>
      </c>
      <c r="BR893" s="267">
        <v>36</v>
      </c>
      <c r="BS893" s="267">
        <v>32</v>
      </c>
      <c r="BU893" s="267">
        <v>79</v>
      </c>
      <c r="BV893" s="267">
        <v>77</v>
      </c>
      <c r="BX893" s="267">
        <v>23</v>
      </c>
      <c r="BY893" s="267">
        <v>30</v>
      </c>
      <c r="CA893" s="267">
        <v>164</v>
      </c>
      <c r="CB893" s="267">
        <v>139</v>
      </c>
      <c r="CD893" s="267">
        <v>58</v>
      </c>
      <c r="CE893" s="267">
        <v>76</v>
      </c>
      <c r="CG893" s="267">
        <v>290</v>
      </c>
      <c r="CH893" s="267">
        <v>293</v>
      </c>
      <c r="CJ893" s="267">
        <v>5</v>
      </c>
      <c r="CK893" s="267">
        <v>3</v>
      </c>
    </row>
    <row r="894" spans="1:89" ht="60" x14ac:dyDescent="0.25">
      <c r="A894" s="107"/>
      <c r="B894" s="294" t="s">
        <v>1857</v>
      </c>
      <c r="C894" s="312" t="s">
        <v>2859</v>
      </c>
      <c r="D894" s="95" t="s">
        <v>950</v>
      </c>
      <c r="E894" s="103"/>
      <c r="F894" s="103"/>
      <c r="G894" s="103"/>
      <c r="H894" s="103"/>
      <c r="I894" s="103">
        <v>2819</v>
      </c>
      <c r="J894" s="103">
        <v>3752</v>
      </c>
      <c r="K894" s="103">
        <v>4447</v>
      </c>
      <c r="L894" s="103">
        <v>134</v>
      </c>
      <c r="M894" s="103">
        <v>283</v>
      </c>
      <c r="N894" s="103">
        <v>319</v>
      </c>
      <c r="P894" s="283"/>
      <c r="Q894" s="283">
        <f>S894+V894+Y894+AB894+AE894+AH894+AK894+AN894+AQ894+AT894+AW894+AZ894+BC894+BF894+BI894+BL894+BO894+BR894+BU894+BX894+CA894+CD894+CG894+CJ894</f>
        <v>4447</v>
      </c>
      <c r="R894" s="283">
        <f>T894+W894+Z894+AC894+AF894+AI894+AL894+AO894+AR894+AU894+AX894+BA894+BD894+BG894+BJ894+BM894+BP894+BS894+BV894+BY894+CB894+CE894+CH894+CK894</f>
        <v>4409</v>
      </c>
      <c r="S894" s="267">
        <v>72</v>
      </c>
      <c r="T894" s="267">
        <v>81</v>
      </c>
      <c r="V894" s="267">
        <v>51</v>
      </c>
      <c r="W894" s="267">
        <v>39</v>
      </c>
      <c r="Y894" s="267">
        <v>182</v>
      </c>
      <c r="Z894" s="267">
        <v>184</v>
      </c>
      <c r="AB894" s="267">
        <v>91</v>
      </c>
      <c r="AC894" s="267">
        <v>69</v>
      </c>
      <c r="AE894" s="267">
        <v>71</v>
      </c>
      <c r="AF894" s="267">
        <v>65</v>
      </c>
      <c r="AH894" s="267">
        <v>157</v>
      </c>
      <c r="AI894" s="267">
        <v>134</v>
      </c>
      <c r="AK894" s="267">
        <v>145</v>
      </c>
      <c r="AL894" s="267">
        <v>143</v>
      </c>
      <c r="AN894" s="267">
        <v>370</v>
      </c>
      <c r="AO894" s="267">
        <v>356</v>
      </c>
      <c r="AQ894" s="267">
        <v>139</v>
      </c>
      <c r="AR894" s="267">
        <v>175</v>
      </c>
      <c r="AT894" s="267">
        <v>548</v>
      </c>
      <c r="AU894" s="267">
        <v>507</v>
      </c>
      <c r="AW894" s="267">
        <v>133</v>
      </c>
      <c r="AX894" s="267">
        <v>151</v>
      </c>
      <c r="AZ894" s="267">
        <v>110</v>
      </c>
      <c r="BA894" s="267">
        <v>119</v>
      </c>
      <c r="BC894" s="267">
        <v>182</v>
      </c>
      <c r="BD894" s="267">
        <v>170</v>
      </c>
      <c r="BF894" s="267">
        <v>193</v>
      </c>
      <c r="BG894" s="267">
        <v>207</v>
      </c>
      <c r="BI894" s="267">
        <v>1259</v>
      </c>
      <c r="BJ894" s="267">
        <v>1238</v>
      </c>
      <c r="BL894" s="267">
        <v>27</v>
      </c>
      <c r="BM894" s="267">
        <v>15</v>
      </c>
      <c r="BO894" s="267">
        <v>62</v>
      </c>
      <c r="BP894" s="267">
        <v>106</v>
      </c>
      <c r="BR894" s="267">
        <v>36</v>
      </c>
      <c r="BS894" s="267">
        <v>32</v>
      </c>
      <c r="BU894" s="267">
        <v>79</v>
      </c>
      <c r="BV894" s="267">
        <v>77</v>
      </c>
      <c r="BX894" s="267">
        <v>23</v>
      </c>
      <c r="BY894" s="267">
        <v>30</v>
      </c>
      <c r="CA894" s="267">
        <v>164</v>
      </c>
      <c r="CB894" s="267">
        <v>139</v>
      </c>
      <c r="CD894" s="267">
        <v>58</v>
      </c>
      <c r="CE894" s="267">
        <v>76</v>
      </c>
      <c r="CG894" s="267">
        <v>290</v>
      </c>
      <c r="CH894" s="267">
        <v>293</v>
      </c>
      <c r="CJ894" s="267">
        <v>5</v>
      </c>
      <c r="CK894" s="267">
        <v>3</v>
      </c>
    </row>
    <row r="895" spans="1:89" x14ac:dyDescent="0.25">
      <c r="A895" s="107"/>
      <c r="B895" s="96" t="s">
        <v>1184</v>
      </c>
      <c r="C895" s="312"/>
      <c r="D895" s="95"/>
      <c r="E895" s="103"/>
      <c r="F895" s="103"/>
      <c r="G895" s="103"/>
      <c r="H895" s="103"/>
      <c r="I895" s="103"/>
      <c r="J895" s="103"/>
      <c r="K895" s="103"/>
      <c r="L895" s="103"/>
      <c r="M895" s="103"/>
      <c r="N895" s="103"/>
    </row>
    <row r="896" spans="1:89" ht="30" x14ac:dyDescent="0.25">
      <c r="A896" s="107"/>
      <c r="B896" s="294" t="s">
        <v>1856</v>
      </c>
      <c r="C896" s="312" t="s">
        <v>2670</v>
      </c>
      <c r="D896" s="95" t="s">
        <v>950</v>
      </c>
      <c r="E896" s="103"/>
      <c r="F896" s="103"/>
      <c r="G896" s="103"/>
      <c r="H896" s="103"/>
      <c r="I896" s="103">
        <v>4</v>
      </c>
      <c r="J896" s="103">
        <v>2</v>
      </c>
      <c r="K896" s="103">
        <v>5</v>
      </c>
      <c r="L896" s="103">
        <v>0</v>
      </c>
      <c r="M896" s="103">
        <v>0</v>
      </c>
      <c r="N896" s="103">
        <v>0</v>
      </c>
      <c r="Q896" s="283">
        <f>S896+V896+Y896+AB896+AE896+AH896+AK896+AN896+AQ896+AT896+AW896+AZ896+BC896+BF896+BI896+BL896+BO896+BR896+BU896+BX896+CA896+CD896+CG896+CJ896</f>
        <v>5</v>
      </c>
      <c r="R896" s="283">
        <f>T896+W896+Z896+AC896+AF896+AI896+AL896+AO896+AR896+AU896+AX896+BA896+BD896+BG896+BJ896+BM896+BP896+BS896+BV896+BY896+CB896+CE896+CH896+CK896</f>
        <v>4</v>
      </c>
      <c r="S896" s="283">
        <v>0</v>
      </c>
      <c r="T896" s="267">
        <v>0</v>
      </c>
      <c r="U896" s="283"/>
      <c r="V896" s="283">
        <v>0</v>
      </c>
      <c r="W896" s="267">
        <v>0</v>
      </c>
      <c r="X896" s="283"/>
      <c r="Y896" s="283">
        <v>0</v>
      </c>
      <c r="Z896" s="283">
        <v>0</v>
      </c>
      <c r="AA896" s="283"/>
      <c r="AB896" s="283">
        <v>0</v>
      </c>
      <c r="AC896" s="267">
        <v>0</v>
      </c>
      <c r="AD896" s="283"/>
      <c r="AE896" s="283">
        <v>0</v>
      </c>
      <c r="AF896" s="267">
        <v>0</v>
      </c>
      <c r="AG896" s="283"/>
      <c r="AH896" s="283">
        <v>0</v>
      </c>
      <c r="AI896" s="283">
        <v>0</v>
      </c>
      <c r="AJ896" s="283"/>
      <c r="AK896" s="283">
        <v>0</v>
      </c>
      <c r="AL896" s="283">
        <v>0</v>
      </c>
      <c r="AM896" s="283"/>
      <c r="AN896" s="283">
        <v>0</v>
      </c>
      <c r="AO896" s="267">
        <v>0</v>
      </c>
      <c r="AP896" s="283"/>
      <c r="AQ896" s="283">
        <v>0</v>
      </c>
      <c r="AR896" s="283">
        <v>0</v>
      </c>
      <c r="AS896" s="283"/>
      <c r="AT896" s="283">
        <v>0</v>
      </c>
      <c r="AU896" s="267">
        <v>0</v>
      </c>
      <c r="AV896" s="283"/>
      <c r="AW896" s="283">
        <v>0</v>
      </c>
      <c r="AX896" s="283">
        <v>0</v>
      </c>
      <c r="AY896" s="283"/>
      <c r="AZ896" s="283">
        <v>0</v>
      </c>
      <c r="BA896" s="283">
        <v>0</v>
      </c>
      <c r="BB896" s="283"/>
      <c r="BC896" s="283">
        <v>1</v>
      </c>
      <c r="BD896" s="283">
        <v>1</v>
      </c>
      <c r="BE896" s="283"/>
      <c r="BF896" s="283">
        <v>0</v>
      </c>
      <c r="BG896" s="267">
        <v>0</v>
      </c>
      <c r="BH896" s="283"/>
      <c r="BI896" s="283">
        <v>0</v>
      </c>
      <c r="BJ896" s="267">
        <v>0</v>
      </c>
      <c r="BK896" s="283"/>
      <c r="BL896" s="283">
        <v>0</v>
      </c>
      <c r="BM896" s="267">
        <v>0</v>
      </c>
      <c r="BN896" s="283"/>
      <c r="BO896" s="283">
        <v>0</v>
      </c>
      <c r="BP896" s="267">
        <v>0</v>
      </c>
      <c r="BQ896" s="283"/>
      <c r="BR896" s="283">
        <v>0</v>
      </c>
      <c r="BS896" s="267">
        <v>0</v>
      </c>
      <c r="BT896" s="283"/>
      <c r="BU896" s="283">
        <v>0</v>
      </c>
      <c r="BV896" s="283">
        <v>0</v>
      </c>
      <c r="BW896" s="283"/>
      <c r="BX896" s="283">
        <v>0</v>
      </c>
      <c r="BY896" s="283">
        <v>0</v>
      </c>
      <c r="BZ896" s="283"/>
      <c r="CA896" s="283">
        <v>0</v>
      </c>
      <c r="CB896" s="267">
        <v>0</v>
      </c>
      <c r="CC896" s="283"/>
      <c r="CD896" s="283">
        <v>4</v>
      </c>
      <c r="CE896" s="283">
        <v>3</v>
      </c>
      <c r="CF896" s="283"/>
      <c r="CG896" s="283">
        <v>0</v>
      </c>
      <c r="CH896" s="267">
        <v>0</v>
      </c>
      <c r="CI896" s="283"/>
      <c r="CJ896" s="283">
        <v>0</v>
      </c>
      <c r="CK896" s="283">
        <v>0</v>
      </c>
    </row>
    <row r="897" spans="1:89" ht="30" x14ac:dyDescent="0.25">
      <c r="A897" s="107"/>
      <c r="B897" s="294" t="s">
        <v>1857</v>
      </c>
      <c r="C897" s="312" t="s">
        <v>2670</v>
      </c>
      <c r="D897" s="95" t="s">
        <v>950</v>
      </c>
      <c r="E897" s="103"/>
      <c r="F897" s="103"/>
      <c r="G897" s="103"/>
      <c r="H897" s="103"/>
      <c r="I897" s="103">
        <v>8</v>
      </c>
      <c r="J897" s="103">
        <v>2</v>
      </c>
      <c r="K897" s="103">
        <v>5</v>
      </c>
      <c r="L897" s="103">
        <v>0</v>
      </c>
      <c r="M897" s="103">
        <v>0</v>
      </c>
      <c r="N897" s="103">
        <v>0</v>
      </c>
      <c r="Q897" s="283">
        <f>S897+V897+Y897+AB897+AE897+AH897+AK897+AN897+AQ897+AT897+AW897+AZ897+BC897+BF897+BI897+BL897+BO897+BR897+BU897+BX897+CA897+CD897+CG897+CJ897</f>
        <v>5</v>
      </c>
      <c r="R897" s="283">
        <f>T897+W897+Z897+AC897+AF897+AI897+AL897+AO897+AR897+AU897+AX897+BA897+BD897+BG897+BJ897+BM897+BP897+BS897+BV897+BY897+CB897+CE897+CH897+CK897</f>
        <v>4</v>
      </c>
      <c r="S897" s="283">
        <v>0</v>
      </c>
      <c r="T897" s="267">
        <v>0</v>
      </c>
      <c r="U897" s="283"/>
      <c r="V897" s="283">
        <v>0</v>
      </c>
      <c r="W897" s="267">
        <v>0</v>
      </c>
      <c r="X897" s="283"/>
      <c r="Y897" s="283">
        <v>0</v>
      </c>
      <c r="Z897" s="283">
        <v>0</v>
      </c>
      <c r="AA897" s="283"/>
      <c r="AB897" s="283">
        <v>0</v>
      </c>
      <c r="AC897" s="267">
        <v>0</v>
      </c>
      <c r="AD897" s="283"/>
      <c r="AE897" s="283">
        <v>0</v>
      </c>
      <c r="AF897" s="267">
        <v>0</v>
      </c>
      <c r="AG897" s="283"/>
      <c r="AH897" s="283">
        <v>0</v>
      </c>
      <c r="AI897" s="283">
        <v>0</v>
      </c>
      <c r="AJ897" s="283"/>
      <c r="AK897" s="283">
        <v>0</v>
      </c>
      <c r="AL897" s="283">
        <v>0</v>
      </c>
      <c r="AM897" s="283"/>
      <c r="AN897" s="283">
        <v>0</v>
      </c>
      <c r="AO897" s="267">
        <v>0</v>
      </c>
      <c r="AP897" s="283"/>
      <c r="AQ897" s="283">
        <v>0</v>
      </c>
      <c r="AR897" s="283">
        <v>0</v>
      </c>
      <c r="AS897" s="283"/>
      <c r="AT897" s="283">
        <v>0</v>
      </c>
      <c r="AU897" s="267">
        <v>0</v>
      </c>
      <c r="AV897" s="283"/>
      <c r="AW897" s="283">
        <v>0</v>
      </c>
      <c r="AX897" s="283">
        <v>0</v>
      </c>
      <c r="AY897" s="283"/>
      <c r="AZ897" s="283">
        <v>0</v>
      </c>
      <c r="BA897" s="283">
        <v>0</v>
      </c>
      <c r="BB897" s="283"/>
      <c r="BC897" s="283">
        <v>1</v>
      </c>
      <c r="BD897" s="283">
        <v>1</v>
      </c>
      <c r="BE897" s="283"/>
      <c r="BF897" s="283">
        <v>0</v>
      </c>
      <c r="BG897" s="267">
        <v>0</v>
      </c>
      <c r="BH897" s="283"/>
      <c r="BI897" s="283">
        <v>0</v>
      </c>
      <c r="BJ897" s="267">
        <v>0</v>
      </c>
      <c r="BK897" s="283"/>
      <c r="BL897" s="283">
        <v>0</v>
      </c>
      <c r="BM897" s="267">
        <v>0</v>
      </c>
      <c r="BN897" s="283"/>
      <c r="BO897" s="283">
        <v>0</v>
      </c>
      <c r="BP897" s="267">
        <v>0</v>
      </c>
      <c r="BQ897" s="283"/>
      <c r="BR897" s="283">
        <v>0</v>
      </c>
      <c r="BS897" s="267">
        <v>0</v>
      </c>
      <c r="BT897" s="283"/>
      <c r="BU897" s="283">
        <v>0</v>
      </c>
      <c r="BV897" s="283">
        <v>0</v>
      </c>
      <c r="BW897" s="283"/>
      <c r="BX897" s="283">
        <v>0</v>
      </c>
      <c r="BY897" s="283">
        <v>0</v>
      </c>
      <c r="BZ897" s="283"/>
      <c r="CA897" s="283">
        <v>0</v>
      </c>
      <c r="CB897" s="267">
        <v>0</v>
      </c>
      <c r="CC897" s="283"/>
      <c r="CD897" s="283">
        <v>4</v>
      </c>
      <c r="CE897" s="283">
        <v>3</v>
      </c>
      <c r="CF897" s="283"/>
      <c r="CG897" s="283">
        <v>0</v>
      </c>
      <c r="CH897" s="267">
        <v>0</v>
      </c>
      <c r="CI897" s="283"/>
      <c r="CJ897" s="283">
        <v>0</v>
      </c>
      <c r="CK897" s="283">
        <v>0</v>
      </c>
    </row>
    <row r="898" spans="1:89" ht="75" x14ac:dyDescent="0.25">
      <c r="A898" s="95" t="s">
        <v>1384</v>
      </c>
      <c r="B898" s="96" t="s">
        <v>1691</v>
      </c>
      <c r="C898" s="95"/>
      <c r="D898" s="95" t="s">
        <v>8</v>
      </c>
      <c r="E898" s="103"/>
      <c r="F898" s="103"/>
      <c r="G898" s="103"/>
      <c r="H898" s="103"/>
      <c r="I898" s="335"/>
      <c r="J898" s="335"/>
      <c r="K898" s="335"/>
      <c r="L898" s="335"/>
      <c r="M898" s="335"/>
      <c r="N898" s="335"/>
    </row>
    <row r="899" spans="1:89" x14ac:dyDescent="0.25">
      <c r="A899" s="95"/>
      <c r="B899" s="96" t="s">
        <v>1182</v>
      </c>
      <c r="C899" s="95"/>
      <c r="D899" s="95"/>
      <c r="E899" s="103"/>
      <c r="F899" s="103"/>
      <c r="G899" s="103"/>
      <c r="H899" s="103"/>
      <c r="I899" s="335">
        <f t="shared" ref="I899:N899" si="1456">(I902/I903)*100</f>
        <v>19.522278364722094</v>
      </c>
      <c r="J899" s="335">
        <f t="shared" si="1456"/>
        <v>29.032258064516132</v>
      </c>
      <c r="K899" s="335">
        <f t="shared" si="1456"/>
        <v>40.042372881355931</v>
      </c>
      <c r="L899" s="335" t="e">
        <f t="shared" si="1456"/>
        <v>#DIV/0!</v>
      </c>
      <c r="M899" s="335" t="e">
        <f t="shared" si="1456"/>
        <v>#DIV/0!</v>
      </c>
      <c r="N899" s="335" t="e">
        <f t="shared" si="1456"/>
        <v>#DIV/0!</v>
      </c>
      <c r="Q899" s="335">
        <f>(Q902/Q903)*100</f>
        <v>40.042372881355931</v>
      </c>
      <c r="R899" s="335">
        <f>(R902/R903)*100</f>
        <v>58.595744680851055</v>
      </c>
      <c r="S899" s="335" t="e">
        <f>(S902/S903)*100</f>
        <v>#DIV/0!</v>
      </c>
      <c r="T899" s="335" t="e">
        <f>(T902/T903)*100</f>
        <v>#DIV/0!</v>
      </c>
      <c r="V899" s="335">
        <f>(V902/V903)*100</f>
        <v>28.571428571428569</v>
      </c>
      <c r="W899" s="335">
        <f>(W902/W903)*100</f>
        <v>30.76923076923077</v>
      </c>
      <c r="Y899" s="335" t="e">
        <f>(Y902/Y903)*100</f>
        <v>#DIV/0!</v>
      </c>
      <c r="Z899" s="335" t="e">
        <f>(Z902/Z903)*100</f>
        <v>#DIV/0!</v>
      </c>
      <c r="AB899" s="335" t="e">
        <f>(AB902/AB903)*100</f>
        <v>#DIV/0!</v>
      </c>
      <c r="AC899" s="335" t="e">
        <f>(AC902/AC903)*100</f>
        <v>#DIV/0!</v>
      </c>
      <c r="AE899" s="335">
        <f>(AE902/AE903)*100</f>
        <v>27.710843373493976</v>
      </c>
      <c r="AF899" s="335">
        <f>(AF902/AF903)*100</f>
        <v>56.521739130434781</v>
      </c>
      <c r="AH899" s="335" t="e">
        <f>(AH902/AH903)*100</f>
        <v>#DIV/0!</v>
      </c>
      <c r="AI899" s="335" t="e">
        <f>(AI902/AI903)*100</f>
        <v>#DIV/0!</v>
      </c>
      <c r="AK899" s="335">
        <f>(AK902/AK903)*100</f>
        <v>0</v>
      </c>
      <c r="AL899" s="335">
        <f>(AL902/AL903)*100</f>
        <v>0</v>
      </c>
      <c r="AN899" s="335">
        <f>(AN902/AN903)*100</f>
        <v>41.739130434782609</v>
      </c>
      <c r="AO899" s="335">
        <f>(AO902/AO903)*100</f>
        <v>54.54545454545454</v>
      </c>
      <c r="AQ899" s="335">
        <f>(AQ902/AQ903)*100</f>
        <v>100</v>
      </c>
      <c r="AR899" s="335">
        <f>(AR902/AR903)*100</f>
        <v>100</v>
      </c>
      <c r="AT899" s="335" t="e">
        <f>(AT902/AT903)*100</f>
        <v>#DIV/0!</v>
      </c>
      <c r="AU899" s="335" t="e">
        <f>(AU902/AU903)*100</f>
        <v>#DIV/0!</v>
      </c>
      <c r="AW899" s="335">
        <f>(AW902/AW903)*100</f>
        <v>60</v>
      </c>
      <c r="AX899" s="335">
        <f>(AX902/AX903)*100</f>
        <v>66.666666666666657</v>
      </c>
      <c r="AZ899" s="335" t="e">
        <f>(AZ902/AZ903)*100</f>
        <v>#DIV/0!</v>
      </c>
      <c r="BA899" s="335" t="e">
        <f>(BA902/BA903)*100</f>
        <v>#DIV/0!</v>
      </c>
      <c r="BC899" s="335" t="e">
        <f>(BC902/BC903)*100</f>
        <v>#DIV/0!</v>
      </c>
      <c r="BD899" s="335" t="e">
        <f>(BD902/BD903)*100</f>
        <v>#DIV/0!</v>
      </c>
      <c r="BF899" s="335" t="e">
        <f>(BF902/BF903)*100</f>
        <v>#DIV/0!</v>
      </c>
      <c r="BG899" s="335">
        <f>(BG902/BG903)*100</f>
        <v>100</v>
      </c>
      <c r="BI899" s="335" t="e">
        <f>(BI902/BI903)*100</f>
        <v>#DIV/0!</v>
      </c>
      <c r="BJ899" s="335" t="e">
        <f>(BJ902/BJ903)*100</f>
        <v>#DIV/0!</v>
      </c>
      <c r="BL899" s="335" t="e">
        <f>(BL902/BL903)*100</f>
        <v>#DIV/0!</v>
      </c>
      <c r="BM899" s="335" t="e">
        <f>(BM902/BM903)*100</f>
        <v>#DIV/0!</v>
      </c>
      <c r="BO899" s="335" t="e">
        <f>(BO902/BO903)*100</f>
        <v>#DIV/0!</v>
      </c>
      <c r="BP899" s="335" t="e">
        <f>(BP902/BP903)*100</f>
        <v>#DIV/0!</v>
      </c>
      <c r="BR899" s="335" t="e">
        <f>(BR902/BR903)*100</f>
        <v>#DIV/0!</v>
      </c>
      <c r="BS899" s="335" t="e">
        <f>(BS902/BS903)*100</f>
        <v>#DIV/0!</v>
      </c>
      <c r="BU899" s="335">
        <f>(BU902/BU903)*100</f>
        <v>66.666666666666657</v>
      </c>
      <c r="BV899" s="335">
        <f>(BV902/BV903)*100</f>
        <v>63.636363636363633</v>
      </c>
      <c r="BX899" s="335" t="e">
        <f>(BX902/BX903)*100</f>
        <v>#DIV/0!</v>
      </c>
      <c r="BY899" s="335" t="e">
        <f>(BY902/BY903)*100</f>
        <v>#DIV/0!</v>
      </c>
      <c r="CA899" s="335" t="e">
        <f>(CA902/CA903)*100</f>
        <v>#DIV/0!</v>
      </c>
      <c r="CB899" s="335" t="e">
        <f>(CB902/CB903)*100</f>
        <v>#DIV/0!</v>
      </c>
      <c r="CD899" s="335" t="e">
        <f>(CD902/CD903)*100</f>
        <v>#DIV/0!</v>
      </c>
      <c r="CE899" s="335" t="e">
        <f>(CE902/CE903)*100</f>
        <v>#DIV/0!</v>
      </c>
      <c r="CG899" s="335">
        <f>(CG902/CG903)*100</f>
        <v>39.845634346357933</v>
      </c>
      <c r="CH899" s="335">
        <f>(CH902/CH903)*100</f>
        <v>58.931150698122295</v>
      </c>
      <c r="CJ899" s="335" t="e">
        <f>(CJ902/CJ903)*100</f>
        <v>#DIV/0!</v>
      </c>
      <c r="CK899" s="335" t="e">
        <f>(CK902/CK903)*100</f>
        <v>#DIV/0!</v>
      </c>
    </row>
    <row r="900" spans="1:89" x14ac:dyDescent="0.25">
      <c r="A900" s="95"/>
      <c r="B900" s="96" t="s">
        <v>1184</v>
      </c>
      <c r="C900" s="95"/>
      <c r="D900" s="95"/>
      <c r="E900" s="103"/>
      <c r="F900" s="103"/>
      <c r="G900" s="103"/>
      <c r="H900" s="103"/>
      <c r="I900" s="335" t="e">
        <f t="shared" ref="I900:N900" si="1457">(I905/I906)*100</f>
        <v>#DIV/0!</v>
      </c>
      <c r="J900" s="335" t="e">
        <f t="shared" si="1457"/>
        <v>#DIV/0!</v>
      </c>
      <c r="K900" s="335" t="e">
        <f t="shared" si="1457"/>
        <v>#DIV/0!</v>
      </c>
      <c r="L900" s="335" t="e">
        <f t="shared" si="1457"/>
        <v>#DIV/0!</v>
      </c>
      <c r="M900" s="335" t="e">
        <f t="shared" si="1457"/>
        <v>#DIV/0!</v>
      </c>
      <c r="N900" s="335" t="e">
        <f t="shared" si="1457"/>
        <v>#DIV/0!</v>
      </c>
      <c r="Q900" s="335" t="e">
        <f>(Q905/Q906)*100</f>
        <v>#DIV/0!</v>
      </c>
      <c r="R900" s="335" t="e">
        <f>(R905/R906)*100</f>
        <v>#DIV/0!</v>
      </c>
      <c r="S900" s="335" t="e">
        <f>(S905/S906)*100</f>
        <v>#DIV/0!</v>
      </c>
      <c r="T900" s="335" t="e">
        <f>(T905/T906)*100</f>
        <v>#DIV/0!</v>
      </c>
      <c r="V900" s="335" t="e">
        <f>(V905/V906)*100</f>
        <v>#DIV/0!</v>
      </c>
      <c r="W900" s="335" t="e">
        <f>(W905/W906)*100</f>
        <v>#DIV/0!</v>
      </c>
      <c r="Y900" s="335" t="e">
        <f>(Y905/Y906)*100</f>
        <v>#DIV/0!</v>
      </c>
      <c r="Z900" s="335" t="e">
        <f>(Z905/Z906)*100</f>
        <v>#DIV/0!</v>
      </c>
      <c r="AB900" s="335" t="e">
        <f>(AB905/AB906)*100</f>
        <v>#DIV/0!</v>
      </c>
      <c r="AC900" s="335" t="e">
        <f>(AC905/AC906)*100</f>
        <v>#DIV/0!</v>
      </c>
      <c r="AE900" s="335" t="e">
        <f>(AE905/AE906)*100</f>
        <v>#DIV/0!</v>
      </c>
      <c r="AF900" s="335" t="e">
        <f>(AF905/AF906)*100</f>
        <v>#DIV/0!</v>
      </c>
      <c r="AH900" s="335" t="e">
        <f>(AH905/AH906)*100</f>
        <v>#DIV/0!</v>
      </c>
      <c r="AI900" s="335" t="e">
        <f>(AI905/AI906)*100</f>
        <v>#DIV/0!</v>
      </c>
      <c r="AK900" s="335" t="e">
        <f>(AK905/AK906)*100</f>
        <v>#DIV/0!</v>
      </c>
      <c r="AL900" s="335" t="e">
        <f>(AL905/AL906)*100</f>
        <v>#DIV/0!</v>
      </c>
      <c r="AN900" s="335" t="e">
        <f>(AN905/AN906)*100</f>
        <v>#DIV/0!</v>
      </c>
      <c r="AO900" s="335" t="e">
        <f>(AO905/AO906)*100</f>
        <v>#DIV/0!</v>
      </c>
      <c r="AQ900" s="335" t="e">
        <f>(AQ905/AQ906)*100</f>
        <v>#DIV/0!</v>
      </c>
      <c r="AR900" s="335" t="e">
        <f>(AR905/AR906)*100</f>
        <v>#DIV/0!</v>
      </c>
      <c r="AT900" s="335" t="e">
        <f>(AT905/AT906)*100</f>
        <v>#DIV/0!</v>
      </c>
      <c r="AU900" s="335" t="e">
        <f>(AU905/AU906)*100</f>
        <v>#DIV/0!</v>
      </c>
      <c r="AW900" s="335" t="e">
        <f>(AW905/AW906)*100</f>
        <v>#DIV/0!</v>
      </c>
      <c r="AX900" s="335" t="e">
        <f>(AX905/AX906)*100</f>
        <v>#DIV/0!</v>
      </c>
      <c r="AZ900" s="335" t="e">
        <f>(AZ905/AZ906)*100</f>
        <v>#DIV/0!</v>
      </c>
      <c r="BA900" s="335" t="e">
        <f>(BA905/BA906)*100</f>
        <v>#DIV/0!</v>
      </c>
      <c r="BC900" s="335" t="e">
        <f>(BC905/BC906)*100</f>
        <v>#DIV/0!</v>
      </c>
      <c r="BD900" s="335" t="e">
        <f>(BD905/BD906)*100</f>
        <v>#DIV/0!</v>
      </c>
      <c r="BF900" s="335" t="e">
        <f>(BF905/BF906)*100</f>
        <v>#DIV/0!</v>
      </c>
      <c r="BG900" s="335" t="e">
        <f>(BG905/BG906)*100</f>
        <v>#DIV/0!</v>
      </c>
      <c r="BI900" s="335" t="e">
        <f>(BI905/BI906)*100</f>
        <v>#DIV/0!</v>
      </c>
      <c r="BJ900" s="335" t="e">
        <f>(BJ905/BJ906)*100</f>
        <v>#DIV/0!</v>
      </c>
      <c r="BL900" s="335" t="e">
        <f>(BL905/BL906)*100</f>
        <v>#DIV/0!</v>
      </c>
      <c r="BM900" s="335" t="e">
        <f>(BM905/BM906)*100</f>
        <v>#DIV/0!</v>
      </c>
      <c r="BO900" s="335" t="e">
        <f>(BO905/BO906)*100</f>
        <v>#DIV/0!</v>
      </c>
      <c r="BP900" s="335" t="e">
        <f>(BP905/BP906)*100</f>
        <v>#DIV/0!</v>
      </c>
      <c r="BR900" s="335" t="e">
        <f>(BR905/BR906)*100</f>
        <v>#DIV/0!</v>
      </c>
      <c r="BS900" s="335" t="e">
        <f>(BS905/BS906)*100</f>
        <v>#DIV/0!</v>
      </c>
      <c r="BU900" s="335" t="e">
        <f>(BU905/BU906)*100</f>
        <v>#DIV/0!</v>
      </c>
      <c r="BV900" s="335" t="e">
        <f>(BV905/BV906)*100</f>
        <v>#DIV/0!</v>
      </c>
      <c r="BX900" s="335" t="e">
        <f>(BX905/BX906)*100</f>
        <v>#DIV/0!</v>
      </c>
      <c r="BY900" s="335" t="e">
        <f>(BY905/BY906)*100</f>
        <v>#DIV/0!</v>
      </c>
      <c r="CA900" s="335" t="e">
        <f>(CA905/CA906)*100</f>
        <v>#DIV/0!</v>
      </c>
      <c r="CB900" s="335" t="e">
        <f>(CB905/CB906)*100</f>
        <v>#DIV/0!</v>
      </c>
      <c r="CD900" s="335" t="e">
        <f>(CD905/CD906)*100</f>
        <v>#DIV/0!</v>
      </c>
      <c r="CE900" s="335" t="e">
        <f>(CE905/CE906)*100</f>
        <v>#DIV/0!</v>
      </c>
      <c r="CG900" s="335" t="e">
        <f>(CG905/CG906)*100</f>
        <v>#DIV/0!</v>
      </c>
      <c r="CH900" s="335" t="e">
        <f>(CH905/CH906)*100</f>
        <v>#DIV/0!</v>
      </c>
      <c r="CJ900" s="335" t="e">
        <f>(CJ905/CJ906)*100</f>
        <v>#DIV/0!</v>
      </c>
      <c r="CK900" s="335" t="e">
        <f>(CK905/CK906)*100</f>
        <v>#DIV/0!</v>
      </c>
    </row>
    <row r="901" spans="1:89" x14ac:dyDescent="0.25">
      <c r="A901" s="107"/>
      <c r="B901" s="96" t="s">
        <v>1182</v>
      </c>
      <c r="C901" s="312"/>
      <c r="D901" s="95"/>
      <c r="E901" s="103"/>
      <c r="F901" s="103"/>
      <c r="G901" s="103"/>
      <c r="H901" s="103"/>
      <c r="I901" s="103"/>
      <c r="J901" s="103"/>
      <c r="K901" s="103"/>
      <c r="L901" s="103"/>
      <c r="M901" s="103"/>
      <c r="N901" s="103"/>
    </row>
    <row r="902" spans="1:89" ht="45" x14ac:dyDescent="0.25">
      <c r="A902" s="107"/>
      <c r="B902" s="294" t="s">
        <v>1858</v>
      </c>
      <c r="C902" s="312" t="s">
        <v>2858</v>
      </c>
      <c r="D902" s="95" t="s">
        <v>950</v>
      </c>
      <c r="E902" s="103"/>
      <c r="F902" s="103"/>
      <c r="G902" s="103"/>
      <c r="H902" s="103"/>
      <c r="I902" s="103">
        <v>425</v>
      </c>
      <c r="J902" s="103">
        <v>657</v>
      </c>
      <c r="K902" s="103">
        <v>945</v>
      </c>
      <c r="L902" s="103">
        <v>0</v>
      </c>
      <c r="M902" s="103">
        <v>0</v>
      </c>
      <c r="N902" s="103">
        <v>0</v>
      </c>
      <c r="Q902" s="283">
        <f>S902+V902+Y902+AB902+AE902+AH902+AK902+AN902+AQ902+AT902+AW902+AZ902+BC902+BF902+BI902+BL902+BO902+BR902+BU902+BX902+CA902+CD902+CG902+CJ902</f>
        <v>945</v>
      </c>
      <c r="R902" s="283">
        <f>T902+W902+Z902+AC902+AF902+AI902+AL902+AO902+AR902+AU902+AX902+BA902+BD902+BG902+BJ902+BM902+BP902+BS902+BV902+BY902+CB902+CE902+CH902+CK902</f>
        <v>1377</v>
      </c>
      <c r="S902" s="267">
        <v>0</v>
      </c>
      <c r="T902" s="267">
        <v>0</v>
      </c>
      <c r="V902" s="267">
        <v>6</v>
      </c>
      <c r="W902" s="267">
        <v>4</v>
      </c>
      <c r="Y902" s="267">
        <v>0</v>
      </c>
      <c r="Z902" s="267">
        <v>0</v>
      </c>
      <c r="AB902" s="267">
        <v>0</v>
      </c>
      <c r="AC902" s="267">
        <v>0</v>
      </c>
      <c r="AE902" s="267">
        <v>23</v>
      </c>
      <c r="AF902" s="267">
        <v>39</v>
      </c>
      <c r="AH902" s="267">
        <v>0</v>
      </c>
      <c r="AI902" s="267">
        <v>0</v>
      </c>
      <c r="AK902" s="267">
        <v>0</v>
      </c>
      <c r="AL902" s="267">
        <v>0</v>
      </c>
      <c r="AN902" s="267">
        <v>48</v>
      </c>
      <c r="AO902" s="267">
        <v>66</v>
      </c>
      <c r="AQ902" s="267">
        <v>6</v>
      </c>
      <c r="AR902" s="267">
        <v>3</v>
      </c>
      <c r="AT902" s="267">
        <v>0</v>
      </c>
      <c r="AU902" s="267">
        <v>0</v>
      </c>
      <c r="AW902" s="267">
        <v>6</v>
      </c>
      <c r="AX902" s="267">
        <v>6</v>
      </c>
      <c r="AZ902" s="267">
        <v>0</v>
      </c>
      <c r="BA902" s="267">
        <v>0</v>
      </c>
      <c r="BC902" s="267">
        <v>0</v>
      </c>
      <c r="BD902" s="267">
        <v>0</v>
      </c>
      <c r="BF902" s="267">
        <v>0</v>
      </c>
      <c r="BG902" s="267">
        <v>7</v>
      </c>
      <c r="BI902" s="267">
        <v>0</v>
      </c>
      <c r="BJ902" s="267">
        <v>0</v>
      </c>
      <c r="BL902" s="267">
        <v>0</v>
      </c>
      <c r="BM902" s="267">
        <v>0</v>
      </c>
      <c r="BO902" s="267">
        <v>0</v>
      </c>
      <c r="BP902" s="267">
        <v>0</v>
      </c>
      <c r="BR902" s="267">
        <v>0</v>
      </c>
      <c r="BS902" s="267">
        <v>0</v>
      </c>
      <c r="BU902" s="267">
        <v>30</v>
      </c>
      <c r="BV902" s="267">
        <v>28</v>
      </c>
      <c r="BX902" s="267">
        <v>0</v>
      </c>
      <c r="BY902" s="267">
        <v>0</v>
      </c>
      <c r="CA902" s="267">
        <v>0</v>
      </c>
      <c r="CB902" s="267">
        <v>0</v>
      </c>
      <c r="CD902" s="267">
        <v>0</v>
      </c>
      <c r="CE902" s="267">
        <v>0</v>
      </c>
      <c r="CG902" s="267">
        <v>826</v>
      </c>
      <c r="CH902" s="267">
        <v>1224</v>
      </c>
      <c r="CJ902" s="267">
        <v>0</v>
      </c>
      <c r="CK902" s="267">
        <v>0</v>
      </c>
    </row>
    <row r="903" spans="1:89" ht="30" x14ac:dyDescent="0.25">
      <c r="A903" s="107"/>
      <c r="B903" s="294" t="s">
        <v>1857</v>
      </c>
      <c r="C903" s="312" t="s">
        <v>2445</v>
      </c>
      <c r="D903" s="95" t="s">
        <v>950</v>
      </c>
      <c r="E903" s="103"/>
      <c r="F903" s="103"/>
      <c r="G903" s="103"/>
      <c r="H903" s="103"/>
      <c r="I903" s="103">
        <v>2177</v>
      </c>
      <c r="J903" s="103">
        <f>J18</f>
        <v>2263</v>
      </c>
      <c r="K903" s="103">
        <f>K18</f>
        <v>2360</v>
      </c>
      <c r="L903" s="103">
        <f>L18</f>
        <v>0</v>
      </c>
      <c r="M903" s="103">
        <f>M18</f>
        <v>0</v>
      </c>
      <c r="N903" s="103">
        <f>N18</f>
        <v>0</v>
      </c>
      <c r="Q903" s="283">
        <f>S903+V903+Y903+AB903+AE903+AH903+AK903+AN903+AQ903+AT903+AW903+AZ903+BC903+BF903+BI903+BL903+BO903+BR903+BU903+BX903+CA903+CD903+CG903+CJ903</f>
        <v>2360</v>
      </c>
      <c r="R903" s="283">
        <f>T903+W903+Z903+AC903+AF903+AI903+AL903+AO903+AR903+AU903+AX903+BA903+BD903+BG903+BJ903+BM903+BP903+BS903+BV903+BY903+CB903+CE903+CH903+CK903</f>
        <v>2350</v>
      </c>
      <c r="S903" s="267">
        <f>S18</f>
        <v>0</v>
      </c>
      <c r="T903" s="267">
        <v>0</v>
      </c>
      <c r="V903" s="267">
        <f>V18</f>
        <v>21</v>
      </c>
      <c r="W903" s="267">
        <v>13</v>
      </c>
      <c r="Y903" s="267">
        <f>Y18</f>
        <v>0</v>
      </c>
      <c r="Z903" s="267">
        <v>0</v>
      </c>
      <c r="AB903" s="267">
        <f>AB18</f>
        <v>0</v>
      </c>
      <c r="AC903" s="267">
        <v>0</v>
      </c>
      <c r="AE903" s="267">
        <f>AE18</f>
        <v>83</v>
      </c>
      <c r="AF903" s="267">
        <v>69</v>
      </c>
      <c r="AH903" s="267">
        <f>AH18</f>
        <v>0</v>
      </c>
      <c r="AI903" s="267">
        <v>0</v>
      </c>
      <c r="AK903" s="267">
        <f>AK18</f>
        <v>7</v>
      </c>
      <c r="AL903" s="267">
        <v>7</v>
      </c>
      <c r="AN903" s="267">
        <f>AN18</f>
        <v>115</v>
      </c>
      <c r="AO903" s="267">
        <v>121</v>
      </c>
      <c r="AQ903" s="267">
        <f>AQ18</f>
        <v>6</v>
      </c>
      <c r="AR903" s="267">
        <v>3</v>
      </c>
      <c r="AT903" s="267">
        <f>AT18</f>
        <v>0</v>
      </c>
      <c r="AU903" s="267">
        <v>0</v>
      </c>
      <c r="AW903" s="267">
        <f>AW18</f>
        <v>10</v>
      </c>
      <c r="AX903" s="267">
        <v>9</v>
      </c>
      <c r="AZ903" s="267">
        <v>0</v>
      </c>
      <c r="BA903" s="267">
        <v>0</v>
      </c>
      <c r="BC903" s="267">
        <f>BC18</f>
        <v>0</v>
      </c>
      <c r="BD903" s="267">
        <v>0</v>
      </c>
      <c r="BF903" s="267">
        <f>BF18</f>
        <v>0</v>
      </c>
      <c r="BG903" s="267">
        <v>7</v>
      </c>
      <c r="BI903" s="267">
        <f>BI18</f>
        <v>0</v>
      </c>
      <c r="BJ903" s="267">
        <v>0</v>
      </c>
      <c r="BL903" s="267">
        <f>BL18</f>
        <v>0</v>
      </c>
      <c r="BM903" s="267">
        <v>0</v>
      </c>
      <c r="BO903" s="267">
        <f>BO18</f>
        <v>0</v>
      </c>
      <c r="BP903" s="267">
        <v>0</v>
      </c>
      <c r="BR903" s="267">
        <f>BR18</f>
        <v>0</v>
      </c>
      <c r="BS903" s="267">
        <v>0</v>
      </c>
      <c r="BU903" s="267">
        <f>BU18</f>
        <v>45</v>
      </c>
      <c r="BV903" s="267">
        <v>44</v>
      </c>
      <c r="BX903" s="267">
        <f>BX18</f>
        <v>0</v>
      </c>
      <c r="BY903" s="267">
        <v>0</v>
      </c>
      <c r="CA903" s="267">
        <f>CA18</f>
        <v>0</v>
      </c>
      <c r="CB903" s="267">
        <v>0</v>
      </c>
      <c r="CD903" s="267">
        <f>CD18</f>
        <v>0</v>
      </c>
      <c r="CE903" s="267">
        <v>0</v>
      </c>
      <c r="CG903" s="267">
        <f>CG18</f>
        <v>2073</v>
      </c>
      <c r="CH903" s="267">
        <v>2077</v>
      </c>
      <c r="CJ903" s="267">
        <f>CJ18</f>
        <v>0</v>
      </c>
      <c r="CK903" s="267">
        <v>0</v>
      </c>
    </row>
    <row r="904" spans="1:89" x14ac:dyDescent="0.25">
      <c r="A904" s="107"/>
      <c r="B904" s="96" t="s">
        <v>1184</v>
      </c>
      <c r="C904" s="312"/>
      <c r="D904" s="95"/>
      <c r="E904" s="103"/>
      <c r="F904" s="103"/>
      <c r="G904" s="103"/>
      <c r="H904" s="103"/>
      <c r="I904" s="103"/>
      <c r="J904" s="103"/>
      <c r="K904" s="103"/>
      <c r="L904" s="103"/>
      <c r="M904" s="103"/>
      <c r="N904" s="103"/>
      <c r="Q904" s="283"/>
      <c r="R904" s="283"/>
    </row>
    <row r="905" spans="1:89" ht="45" x14ac:dyDescent="0.25">
      <c r="A905" s="107"/>
      <c r="B905" s="294" t="s">
        <v>1858</v>
      </c>
      <c r="C905" s="312" t="s">
        <v>2669</v>
      </c>
      <c r="D905" s="95" t="s">
        <v>950</v>
      </c>
      <c r="E905" s="103"/>
      <c r="F905" s="103"/>
      <c r="G905" s="103"/>
      <c r="H905" s="103"/>
      <c r="I905" s="103">
        <v>0</v>
      </c>
      <c r="J905" s="103">
        <v>0</v>
      </c>
      <c r="K905" s="103">
        <v>0</v>
      </c>
      <c r="L905" s="103">
        <v>0</v>
      </c>
      <c r="M905" s="103">
        <v>0</v>
      </c>
      <c r="N905" s="103">
        <v>0</v>
      </c>
      <c r="Q905" s="283">
        <f>S905+V905+Y905+AB905+AE905+AH905+AK905+AN905+AQ905+AT905+AW905+AZ905+BC905+BF905+BI905+BL905+BO905+BR905+BU905+BX905+CA905+CD905+CG905+CJ905</f>
        <v>0</v>
      </c>
      <c r="R905" s="283">
        <f>T905+W905+Z905+AC905+AF905+AI905+AL905+AO905+AR905+AU905+AX905+BA905+BD905+BG905+BJ905+BM905+BP905+BS905+BV905+BY905+CB905+CE905+CH905+CK905</f>
        <v>0</v>
      </c>
      <c r="S905" s="267">
        <v>0</v>
      </c>
      <c r="T905" s="267">
        <v>0</v>
      </c>
      <c r="V905" s="267">
        <v>0</v>
      </c>
      <c r="W905" s="267">
        <v>0</v>
      </c>
      <c r="Y905" s="267">
        <v>0</v>
      </c>
      <c r="Z905" s="267">
        <v>0</v>
      </c>
      <c r="AB905" s="267">
        <v>0</v>
      </c>
      <c r="AC905" s="267">
        <v>0</v>
      </c>
      <c r="AE905" s="267">
        <v>0</v>
      </c>
      <c r="AF905" s="267">
        <v>0</v>
      </c>
      <c r="AH905" s="267">
        <v>0</v>
      </c>
      <c r="AI905" s="267">
        <v>0</v>
      </c>
      <c r="AK905" s="267">
        <v>0</v>
      </c>
      <c r="AL905" s="267">
        <v>0</v>
      </c>
      <c r="AN905" s="267">
        <v>0</v>
      </c>
      <c r="AO905" s="267">
        <v>0</v>
      </c>
      <c r="AQ905" s="267">
        <v>0</v>
      </c>
      <c r="AR905" s="267">
        <v>0</v>
      </c>
      <c r="AT905" s="267">
        <v>0</v>
      </c>
      <c r="AU905" s="267">
        <v>0</v>
      </c>
      <c r="AW905" s="267">
        <v>0</v>
      </c>
      <c r="AX905" s="267">
        <v>0</v>
      </c>
      <c r="AZ905" s="267">
        <v>0</v>
      </c>
      <c r="BA905" s="267">
        <v>0</v>
      </c>
      <c r="BC905" s="267">
        <v>0</v>
      </c>
      <c r="BD905" s="267">
        <v>0</v>
      </c>
      <c r="BF905" s="267">
        <v>0</v>
      </c>
      <c r="BG905" s="267">
        <v>0</v>
      </c>
      <c r="BI905" s="267">
        <v>0</v>
      </c>
      <c r="BJ905" s="267">
        <v>0</v>
      </c>
      <c r="BL905" s="267">
        <v>0</v>
      </c>
      <c r="BM905" s="267">
        <v>0</v>
      </c>
      <c r="BO905" s="267">
        <v>0</v>
      </c>
      <c r="BP905" s="267">
        <v>0</v>
      </c>
      <c r="BR905" s="267">
        <v>0</v>
      </c>
      <c r="BS905" s="267">
        <v>0</v>
      </c>
      <c r="BU905" s="267">
        <v>0</v>
      </c>
      <c r="BV905" s="267">
        <v>0</v>
      </c>
      <c r="BX905" s="267">
        <v>0</v>
      </c>
      <c r="BY905" s="267">
        <v>0</v>
      </c>
      <c r="CA905" s="267">
        <v>0</v>
      </c>
      <c r="CB905" s="267">
        <v>0</v>
      </c>
      <c r="CD905" s="267">
        <v>0</v>
      </c>
      <c r="CE905" s="267">
        <v>0</v>
      </c>
      <c r="CG905" s="267">
        <v>0</v>
      </c>
      <c r="CH905" s="267">
        <v>0</v>
      </c>
      <c r="CJ905" s="267">
        <v>0</v>
      </c>
      <c r="CK905" s="267">
        <v>0</v>
      </c>
    </row>
    <row r="906" spans="1:89" ht="30" x14ac:dyDescent="0.25">
      <c r="A906" s="107"/>
      <c r="B906" s="294" t="s">
        <v>1857</v>
      </c>
      <c r="C906" s="312" t="s">
        <v>2445</v>
      </c>
      <c r="D906" s="95" t="s">
        <v>950</v>
      </c>
      <c r="E906" s="103"/>
      <c r="F906" s="103"/>
      <c r="G906" s="103"/>
      <c r="H906" s="103"/>
      <c r="I906" s="103">
        <v>0</v>
      </c>
      <c r="J906" s="103">
        <f>J58+J62</f>
        <v>0</v>
      </c>
      <c r="K906" s="103">
        <f>K58+K62</f>
        <v>0</v>
      </c>
      <c r="L906" s="103">
        <f>L58+L62</f>
        <v>0</v>
      </c>
      <c r="M906" s="103">
        <f>M58+M62</f>
        <v>0</v>
      </c>
      <c r="N906" s="103">
        <f>N58+N62</f>
        <v>0</v>
      </c>
      <c r="Q906" s="283">
        <f>S906+V906+Y906+AB906+AE906+AH906+AK906+AN906+AQ906+AT906+AW906+AZ906+BC906+BF906+BI906+BL906+BO906+BR906+BU906+BX906+CA906+CD906+CG906+CJ906</f>
        <v>0</v>
      </c>
      <c r="R906" s="283">
        <f>T906+W906+Z906+AC906+AF906+AI906+AL906+AO906+AR906+AU906+AX906+BA906+BD906+BG906+BJ906+BM906+BP906+BS906+BV906+BY906+CB906+CE906+CH906+CK906</f>
        <v>0</v>
      </c>
      <c r="S906" s="267">
        <f>S58+S62</f>
        <v>0</v>
      </c>
      <c r="T906" s="267">
        <f>T58+T62</f>
        <v>0</v>
      </c>
      <c r="V906" s="267">
        <f>V58+V62</f>
        <v>0</v>
      </c>
      <c r="W906" s="267">
        <f>W58+W62</f>
        <v>0</v>
      </c>
      <c r="Y906" s="267">
        <f>Y58+Y62</f>
        <v>0</v>
      </c>
      <c r="Z906" s="267">
        <f>Z58+Z62</f>
        <v>0</v>
      </c>
      <c r="AB906" s="267">
        <f>AB58+AB62</f>
        <v>0</v>
      </c>
      <c r="AC906" s="267">
        <f>AC58+AC62</f>
        <v>0</v>
      </c>
      <c r="AE906" s="267">
        <f>AE58+AE62</f>
        <v>0</v>
      </c>
      <c r="AF906" s="267">
        <f>AF58+AF62</f>
        <v>0</v>
      </c>
      <c r="AH906" s="267">
        <f>AH58+AH62</f>
        <v>0</v>
      </c>
      <c r="AI906" s="267">
        <f>AI58+AI62</f>
        <v>0</v>
      </c>
      <c r="AK906" s="267">
        <f>AK58+AK62</f>
        <v>0</v>
      </c>
      <c r="AL906" s="267">
        <f>AL58+AL62</f>
        <v>0</v>
      </c>
      <c r="AN906" s="267">
        <f>AN58+AN62</f>
        <v>0</v>
      </c>
      <c r="AO906" s="267">
        <f>AO58+AO62</f>
        <v>0</v>
      </c>
      <c r="AQ906" s="267">
        <f>AQ58+AQ62</f>
        <v>0</v>
      </c>
      <c r="AR906" s="267">
        <f>AR58+AR62</f>
        <v>0</v>
      </c>
      <c r="AT906" s="267">
        <f>AT58+AT62</f>
        <v>0</v>
      </c>
      <c r="AU906" s="267">
        <f>AU58+AU62</f>
        <v>0</v>
      </c>
      <c r="AW906" s="267">
        <f>AW58+AW62</f>
        <v>0</v>
      </c>
      <c r="AX906" s="267">
        <f>AX58+AX62</f>
        <v>0</v>
      </c>
      <c r="AZ906" s="267">
        <f>AZ58+AZ62</f>
        <v>0</v>
      </c>
      <c r="BA906" s="267">
        <f>BA58+BA62</f>
        <v>0</v>
      </c>
      <c r="BC906" s="267">
        <f>BC58+BC62</f>
        <v>0</v>
      </c>
      <c r="BD906" s="267">
        <f>BD58+BD62</f>
        <v>0</v>
      </c>
      <c r="BF906" s="267">
        <f>BF58+BF62</f>
        <v>0</v>
      </c>
      <c r="BG906" s="267">
        <f>BG58+BG62</f>
        <v>0</v>
      </c>
      <c r="BI906" s="267">
        <f>BI58+BI62</f>
        <v>0</v>
      </c>
      <c r="BJ906" s="267">
        <f>BJ58+BJ62</f>
        <v>0</v>
      </c>
      <c r="BL906" s="267">
        <f>BL58+BL62</f>
        <v>0</v>
      </c>
      <c r="BM906" s="267">
        <f>BM58+BM62</f>
        <v>0</v>
      </c>
      <c r="BO906" s="267">
        <f>BO58+BO62</f>
        <v>0</v>
      </c>
      <c r="BP906" s="267">
        <f>BP58+BP62</f>
        <v>0</v>
      </c>
      <c r="BR906" s="267">
        <f>BR58+BR62</f>
        <v>0</v>
      </c>
      <c r="BS906" s="267">
        <f>BS58+BS62</f>
        <v>0</v>
      </c>
      <c r="BU906" s="267">
        <f>BU58+BU62</f>
        <v>0</v>
      </c>
      <c r="BV906" s="267">
        <f>BV58+BV62</f>
        <v>0</v>
      </c>
      <c r="BX906" s="267">
        <f>BX58+BX62</f>
        <v>0</v>
      </c>
      <c r="BY906" s="267">
        <f>BY58+BY62</f>
        <v>0</v>
      </c>
      <c r="CA906" s="267">
        <f>CA58+CA62</f>
        <v>0</v>
      </c>
      <c r="CB906" s="267">
        <f>CB58+CB62</f>
        <v>0</v>
      </c>
      <c r="CD906" s="267">
        <f>CD58+CD62</f>
        <v>0</v>
      </c>
      <c r="CE906" s="267">
        <f>CE58+CE62</f>
        <v>0</v>
      </c>
      <c r="CG906" s="267">
        <f>CG58+CG62</f>
        <v>0</v>
      </c>
      <c r="CH906" s="267">
        <f>CH58+CH62</f>
        <v>0</v>
      </c>
      <c r="CJ906" s="267">
        <f>CJ58+CJ62</f>
        <v>0</v>
      </c>
      <c r="CK906" s="267">
        <f>CK58+CK62</f>
        <v>0</v>
      </c>
    </row>
    <row r="907" spans="1:89" ht="75" hidden="1" customHeight="1" x14ac:dyDescent="0.25">
      <c r="A907" s="95" t="s">
        <v>1382</v>
      </c>
      <c r="B907" s="96" t="s">
        <v>1383</v>
      </c>
      <c r="C907" s="95"/>
      <c r="D907" s="95"/>
      <c r="E907" s="103"/>
      <c r="F907" s="103"/>
      <c r="G907" s="103"/>
      <c r="H907" s="103"/>
      <c r="I907" s="103"/>
      <c r="J907" s="103"/>
      <c r="K907" s="103"/>
      <c r="L907" s="103"/>
      <c r="M907" s="103"/>
      <c r="N907" s="103"/>
    </row>
    <row r="908" spans="1:89" ht="15" hidden="1" customHeight="1" x14ac:dyDescent="0.25">
      <c r="A908" s="95"/>
      <c r="B908" s="96" t="s">
        <v>1364</v>
      </c>
      <c r="C908" s="95"/>
      <c r="D908" s="95" t="s">
        <v>8</v>
      </c>
      <c r="E908" s="103"/>
      <c r="F908" s="103"/>
      <c r="G908" s="103"/>
      <c r="H908" s="338">
        <f>ROUND(H922/H917*100,2)</f>
        <v>1.5</v>
      </c>
      <c r="I908" s="338" t="e">
        <f>ROUND(I922/I917*100,2)</f>
        <v>#DIV/0!</v>
      </c>
      <c r="J908" s="338" t="e">
        <f>ROUND(J922/J917*100,2)</f>
        <v>#DIV/0!</v>
      </c>
      <c r="K908" s="338" t="e">
        <f>ROUND(K922/K917*100,2)</f>
        <v>#DIV/0!</v>
      </c>
      <c r="L908" s="338" t="e">
        <f>ROUND(L922/L917*100,2)</f>
        <v>#DIV/0!</v>
      </c>
      <c r="M908" s="338" t="e">
        <f t="shared" ref="M908:N908" si="1458">ROUND(M922/M917*100,2)</f>
        <v>#DIV/0!</v>
      </c>
      <c r="N908" s="338" t="e">
        <f t="shared" si="1458"/>
        <v>#DIV/0!</v>
      </c>
    </row>
    <row r="909" spans="1:89" ht="15" hidden="1" customHeight="1" x14ac:dyDescent="0.25">
      <c r="A909" s="95"/>
      <c r="B909" s="96" t="s">
        <v>1365</v>
      </c>
      <c r="C909" s="95"/>
      <c r="D909" s="95" t="s">
        <v>8</v>
      </c>
      <c r="E909" s="103"/>
      <c r="F909" s="103"/>
      <c r="G909" s="103"/>
      <c r="H909" s="339">
        <f>ROUND(H927/H917*100,2)</f>
        <v>4.07</v>
      </c>
      <c r="I909" s="339" t="e">
        <f>ROUND(I927/I917*100,2)</f>
        <v>#DIV/0!</v>
      </c>
      <c r="J909" s="339" t="e">
        <f>ROUND(J927/J917*100,2)</f>
        <v>#DIV/0!</v>
      </c>
      <c r="K909" s="339" t="e">
        <f>ROUND(K927/K917*100,2)</f>
        <v>#DIV/0!</v>
      </c>
      <c r="L909" s="339" t="e">
        <f>ROUND(L927/L917*100,2)</f>
        <v>#DIV/0!</v>
      </c>
      <c r="M909" s="339" t="e">
        <f t="shared" ref="M909:N909" si="1459">ROUND(M927/M917*100,2)</f>
        <v>#DIV/0!</v>
      </c>
      <c r="N909" s="339" t="e">
        <f t="shared" si="1459"/>
        <v>#DIV/0!</v>
      </c>
    </row>
    <row r="910" spans="1:89" ht="15" hidden="1" customHeight="1" x14ac:dyDescent="0.25">
      <c r="A910" s="95"/>
      <c r="B910" s="96" t="s">
        <v>1366</v>
      </c>
      <c r="C910" s="95"/>
      <c r="D910" s="95" t="s">
        <v>8</v>
      </c>
      <c r="E910" s="103"/>
      <c r="F910" s="103"/>
      <c r="G910" s="103"/>
      <c r="H910" s="335">
        <f>ROUND(H930/H917*100,2)</f>
        <v>1.27</v>
      </c>
      <c r="I910" s="335" t="e">
        <f>ROUND(I930/I917*100,2)</f>
        <v>#DIV/0!</v>
      </c>
      <c r="J910" s="335" t="e">
        <f>ROUND(J930/J917*100,2)</f>
        <v>#DIV/0!</v>
      </c>
      <c r="K910" s="335" t="e">
        <f>ROUND(K930/K917*100,2)</f>
        <v>#DIV/0!</v>
      </c>
      <c r="L910" s="335" t="e">
        <f>ROUND(L930/L917*100,2)</f>
        <v>#DIV/0!</v>
      </c>
      <c r="M910" s="335" t="e">
        <f t="shared" ref="M910:N910" si="1460">ROUND(M930/M917*100,2)</f>
        <v>#DIV/0!</v>
      </c>
      <c r="N910" s="335" t="e">
        <f t="shared" si="1460"/>
        <v>#DIV/0!</v>
      </c>
    </row>
    <row r="911" spans="1:89" ht="15" hidden="1" customHeight="1" x14ac:dyDescent="0.25">
      <c r="A911" s="95"/>
      <c r="B911" s="96" t="s">
        <v>1367</v>
      </c>
      <c r="C911" s="95"/>
      <c r="D911" s="95" t="s">
        <v>8</v>
      </c>
      <c r="E911" s="103"/>
      <c r="F911" s="103"/>
      <c r="G911" s="103"/>
      <c r="H911" s="338">
        <f>ROUND(H939/H917*100,2)</f>
        <v>44.96</v>
      </c>
      <c r="I911" s="338" t="e">
        <f>ROUND(I939/I917*100,2)</f>
        <v>#DIV/0!</v>
      </c>
      <c r="J911" s="338" t="e">
        <f>ROUND(J939/J917*100,2)</f>
        <v>#DIV/0!</v>
      </c>
      <c r="K911" s="338" t="e">
        <f>ROUND(K939/K917*100,2)</f>
        <v>#DIV/0!</v>
      </c>
      <c r="L911" s="338" t="e">
        <f>ROUND(L939/L917*100,2)</f>
        <v>#DIV/0!</v>
      </c>
      <c r="M911" s="338" t="e">
        <f t="shared" ref="M911:N911" si="1461">ROUND(M939/M917*100,2)</f>
        <v>#DIV/0!</v>
      </c>
      <c r="N911" s="338" t="e">
        <f t="shared" si="1461"/>
        <v>#DIV/0!</v>
      </c>
    </row>
    <row r="912" spans="1:89" ht="15" hidden="1" customHeight="1" x14ac:dyDescent="0.25">
      <c r="A912" s="95"/>
      <c r="B912" s="96" t="s">
        <v>1368</v>
      </c>
      <c r="C912" s="95"/>
      <c r="D912" s="95" t="s">
        <v>8</v>
      </c>
      <c r="E912" s="103"/>
      <c r="F912" s="103"/>
      <c r="G912" s="103"/>
      <c r="H912" s="338">
        <f>ROUND(H942/H917*100,2)</f>
        <v>37.409999999999997</v>
      </c>
      <c r="I912" s="338" t="e">
        <f>ROUND(I942/I917*100,2)</f>
        <v>#DIV/0!</v>
      </c>
      <c r="J912" s="338" t="e">
        <f>ROUND(J942/J917*100,2)</f>
        <v>#DIV/0!</v>
      </c>
      <c r="K912" s="338" t="e">
        <f>ROUND(K942/K917*100,2)</f>
        <v>#DIV/0!</v>
      </c>
      <c r="L912" s="338" t="e">
        <f>ROUND(L942/L917*100,2)</f>
        <v>#DIV/0!</v>
      </c>
      <c r="M912" s="338" t="e">
        <f t="shared" ref="M912:N912" si="1462">ROUND(M942/M917*100,2)</f>
        <v>#DIV/0!</v>
      </c>
      <c r="N912" s="338" t="e">
        <f t="shared" si="1462"/>
        <v>#DIV/0!</v>
      </c>
    </row>
    <row r="913" spans="1:15" ht="15" hidden="1" customHeight="1" x14ac:dyDescent="0.25">
      <c r="A913" s="95"/>
      <c r="B913" s="96" t="s">
        <v>1369</v>
      </c>
      <c r="C913" s="95"/>
      <c r="D913" s="95" t="s">
        <v>8</v>
      </c>
      <c r="E913" s="103"/>
      <c r="F913" s="103"/>
      <c r="G913" s="103"/>
      <c r="H913" s="288">
        <f>ROUND(H945/H917*100,2)</f>
        <v>0</v>
      </c>
      <c r="I913" s="335" t="e">
        <f>ROUND(I945/I917*100,2)</f>
        <v>#DIV/0!</v>
      </c>
      <c r="J913" s="335" t="e">
        <f>ROUND(J945/J917*100,2)</f>
        <v>#DIV/0!</v>
      </c>
      <c r="K913" s="335" t="e">
        <f>ROUND(K945/K917*100,2)</f>
        <v>#DIV/0!</v>
      </c>
      <c r="L913" s="335" t="e">
        <f>ROUND(L945/L917*100,2)</f>
        <v>#DIV/0!</v>
      </c>
      <c r="M913" s="335" t="e">
        <f t="shared" ref="M913:N913" si="1463">ROUND(M945/M917*100,2)</f>
        <v>#DIV/0!</v>
      </c>
      <c r="N913" s="335" t="e">
        <f t="shared" si="1463"/>
        <v>#DIV/0!</v>
      </c>
    </row>
    <row r="914" spans="1:15" ht="15" hidden="1" customHeight="1" x14ac:dyDescent="0.25">
      <c r="A914" s="95"/>
      <c r="B914" s="96" t="s">
        <v>1370</v>
      </c>
      <c r="C914" s="95"/>
      <c r="D914" s="95" t="s">
        <v>8</v>
      </c>
      <c r="E914" s="103"/>
      <c r="F914" s="103"/>
      <c r="G914" s="103"/>
      <c r="H914" s="340">
        <f>ROUND(H948/H917*100,2)</f>
        <v>0</v>
      </c>
      <c r="I914" s="335" t="e">
        <f>ROUND(I948/I917*100,2)</f>
        <v>#DIV/0!</v>
      </c>
      <c r="J914" s="335" t="e">
        <f>ROUND(J948/J917*100,2)</f>
        <v>#DIV/0!</v>
      </c>
      <c r="K914" s="335" t="e">
        <f>ROUND(K948/K917*100,2)</f>
        <v>#DIV/0!</v>
      </c>
      <c r="L914" s="335" t="e">
        <f>ROUND(L948/L917*100,2)</f>
        <v>#DIV/0!</v>
      </c>
      <c r="M914" s="335" t="e">
        <f t="shared" ref="M914:N914" si="1464">ROUND(M948/M917*100,2)</f>
        <v>#DIV/0!</v>
      </c>
      <c r="N914" s="335" t="e">
        <f t="shared" si="1464"/>
        <v>#DIV/0!</v>
      </c>
    </row>
    <row r="915" spans="1:15" ht="15" hidden="1" customHeight="1" x14ac:dyDescent="0.25">
      <c r="A915" s="95"/>
      <c r="B915" s="96" t="s">
        <v>1371</v>
      </c>
      <c r="C915" s="95"/>
      <c r="D915" s="95" t="s">
        <v>8</v>
      </c>
      <c r="E915" s="103"/>
      <c r="F915" s="103"/>
      <c r="G915" s="103"/>
      <c r="H915" s="340">
        <f>ROUND(H951/H917*100,2)</f>
        <v>0</v>
      </c>
      <c r="I915" s="335" t="e">
        <f>ROUND(I951/I917*100,2)</f>
        <v>#DIV/0!</v>
      </c>
      <c r="J915" s="335" t="e">
        <f>ROUND(J951/J917*100,2)</f>
        <v>#DIV/0!</v>
      </c>
      <c r="K915" s="335" t="e">
        <f>ROUND(K951/K917*100,2)</f>
        <v>#DIV/0!</v>
      </c>
      <c r="L915" s="335" t="e">
        <f>ROUND(L951/L917*100,2)</f>
        <v>#DIV/0!</v>
      </c>
      <c r="M915" s="335" t="e">
        <f t="shared" ref="M915:N915" si="1465">ROUND(M951/M917*100,2)</f>
        <v>#DIV/0!</v>
      </c>
      <c r="N915" s="335" t="e">
        <f t="shared" si="1465"/>
        <v>#DIV/0!</v>
      </c>
    </row>
    <row r="916" spans="1:15" ht="15" hidden="1" customHeight="1" x14ac:dyDescent="0.25">
      <c r="A916" s="95"/>
      <c r="B916" s="96" t="s">
        <v>1372</v>
      </c>
      <c r="C916" s="95"/>
      <c r="D916" s="95" t="s">
        <v>8</v>
      </c>
      <c r="E916" s="103"/>
      <c r="F916" s="103"/>
      <c r="G916" s="103"/>
      <c r="H916" s="288">
        <f>ROUND(H954/H917*100,2)</f>
        <v>0</v>
      </c>
      <c r="I916" s="335" t="e">
        <f>ROUND(I954/I917*100,2)</f>
        <v>#DIV/0!</v>
      </c>
      <c r="J916" s="335" t="e">
        <f>ROUND(J954/J917*100,2)</f>
        <v>#DIV/0!</v>
      </c>
      <c r="K916" s="335" t="e">
        <f>ROUND(K954/K917*100,2)</f>
        <v>#DIV/0!</v>
      </c>
      <c r="L916" s="335" t="e">
        <f>ROUND(L954/L917*100,2)</f>
        <v>#DIV/0!</v>
      </c>
      <c r="M916" s="335" t="e">
        <f t="shared" ref="M916:N916" si="1466">ROUND(M954/M917*100,2)</f>
        <v>#DIV/0!</v>
      </c>
      <c r="N916" s="335" t="e">
        <f t="shared" si="1466"/>
        <v>#DIV/0!</v>
      </c>
    </row>
    <row r="917" spans="1:15" ht="15" hidden="1" customHeight="1" x14ac:dyDescent="0.25">
      <c r="A917" s="95"/>
      <c r="B917" s="95"/>
      <c r="C917" s="95"/>
      <c r="D917" s="95"/>
      <c r="E917" s="103"/>
      <c r="F917" s="103"/>
      <c r="G917" s="103"/>
      <c r="H917" s="103">
        <f>H918-H919+H920-H921</f>
        <v>2529</v>
      </c>
      <c r="I917" s="103">
        <f>I918-I919+I920-I921</f>
        <v>0</v>
      </c>
      <c r="J917" s="103">
        <f>J918-J919+J920-J921</f>
        <v>0</v>
      </c>
      <c r="K917" s="103">
        <f>K918-K919+K920-K921</f>
        <v>0</v>
      </c>
      <c r="L917" s="103">
        <f>L918-L919+L920-L921</f>
        <v>0</v>
      </c>
      <c r="M917" s="103">
        <f t="shared" ref="M917:N917" si="1467">M918-M919+M920-M921</f>
        <v>0</v>
      </c>
      <c r="N917" s="103">
        <f t="shared" si="1467"/>
        <v>0</v>
      </c>
    </row>
    <row r="918" spans="1:15" ht="15" hidden="1" customHeight="1" x14ac:dyDescent="0.25">
      <c r="A918" s="95"/>
      <c r="B918" s="95" t="s">
        <v>1557</v>
      </c>
      <c r="C918" s="95"/>
      <c r="D918" s="95"/>
      <c r="E918" s="103"/>
      <c r="F918" s="103"/>
      <c r="G918" s="103"/>
      <c r="H918" s="103">
        <v>1648</v>
      </c>
      <c r="I918" s="103"/>
      <c r="J918" s="103"/>
      <c r="K918" s="103"/>
      <c r="L918" s="103"/>
      <c r="M918" s="103"/>
      <c r="N918" s="103"/>
      <c r="O918" s="286"/>
    </row>
    <row r="919" spans="1:15" ht="15" hidden="1" customHeight="1" x14ac:dyDescent="0.25">
      <c r="A919" s="95"/>
      <c r="B919" s="95" t="s">
        <v>1534</v>
      </c>
      <c r="C919" s="95"/>
      <c r="D919" s="95"/>
      <c r="E919" s="103"/>
      <c r="F919" s="103"/>
      <c r="G919" s="103"/>
      <c r="H919" s="103">
        <v>256</v>
      </c>
      <c r="I919" s="103"/>
      <c r="J919" s="103"/>
      <c r="K919" s="103"/>
      <c r="L919" s="103"/>
      <c r="M919" s="103"/>
      <c r="N919" s="103"/>
    </row>
    <row r="920" spans="1:15" ht="15" hidden="1" customHeight="1" x14ac:dyDescent="0.25">
      <c r="A920" s="95"/>
      <c r="B920" s="95" t="s">
        <v>1558</v>
      </c>
      <c r="C920" s="95"/>
      <c r="D920" s="95"/>
      <c r="E920" s="103"/>
      <c r="F920" s="103"/>
      <c r="G920" s="103"/>
      <c r="H920" s="103">
        <v>1931</v>
      </c>
      <c r="I920" s="103"/>
      <c r="J920" s="103"/>
      <c r="K920" s="103"/>
      <c r="L920" s="103"/>
      <c r="M920" s="103"/>
      <c r="N920" s="103"/>
    </row>
    <row r="921" spans="1:15" ht="15" hidden="1" customHeight="1" x14ac:dyDescent="0.25">
      <c r="A921" s="95"/>
      <c r="B921" s="95" t="s">
        <v>1559</v>
      </c>
      <c r="C921" s="95"/>
      <c r="D921" s="95"/>
      <c r="E921" s="103"/>
      <c r="F921" s="103"/>
      <c r="G921" s="103"/>
      <c r="H921" s="103">
        <v>794</v>
      </c>
      <c r="I921" s="103"/>
      <c r="J921" s="103"/>
      <c r="K921" s="103"/>
      <c r="L921" s="103"/>
      <c r="M921" s="103"/>
      <c r="N921" s="103"/>
    </row>
    <row r="922" spans="1:15" ht="15" hidden="1" customHeight="1" x14ac:dyDescent="0.25">
      <c r="A922" s="95"/>
      <c r="B922" s="96" t="s">
        <v>1364</v>
      </c>
      <c r="C922" s="95"/>
      <c r="D922" s="95"/>
      <c r="E922" s="103"/>
      <c r="F922" s="103"/>
      <c r="G922" s="103"/>
      <c r="H922" s="103">
        <f>H923+H924-H925-H926</f>
        <v>38</v>
      </c>
      <c r="I922" s="103">
        <f>I923+I924-I925-I926</f>
        <v>0</v>
      </c>
      <c r="J922" s="103">
        <f>J923+J924-J925-J926</f>
        <v>0</v>
      </c>
      <c r="K922" s="103">
        <f>K923+K924-K925-K926</f>
        <v>0</v>
      </c>
      <c r="L922" s="103">
        <f>L923+L924-L925-L926</f>
        <v>0</v>
      </c>
      <c r="M922" s="103">
        <f t="shared" ref="M922:N922" si="1468">M923+M924-M925-M926</f>
        <v>0</v>
      </c>
      <c r="N922" s="103">
        <f t="shared" si="1468"/>
        <v>0</v>
      </c>
    </row>
    <row r="923" spans="1:15" ht="15" hidden="1" customHeight="1" x14ac:dyDescent="0.25">
      <c r="A923" s="95"/>
      <c r="B923" s="95" t="s">
        <v>1546</v>
      </c>
      <c r="C923" s="95"/>
      <c r="D923" s="95"/>
      <c r="E923" s="103"/>
      <c r="F923" s="103"/>
      <c r="G923" s="103"/>
      <c r="H923" s="103">
        <v>45</v>
      </c>
      <c r="I923" s="103"/>
      <c r="J923" s="103"/>
      <c r="K923" s="103"/>
      <c r="L923" s="103"/>
      <c r="M923" s="103"/>
      <c r="N923" s="103"/>
    </row>
    <row r="924" spans="1:15" ht="15" hidden="1" customHeight="1" x14ac:dyDescent="0.25">
      <c r="A924" s="95"/>
      <c r="B924" s="95" t="s">
        <v>1547</v>
      </c>
      <c r="C924" s="95"/>
      <c r="D924" s="95"/>
      <c r="E924" s="103"/>
      <c r="F924" s="103"/>
      <c r="G924" s="103"/>
      <c r="H924" s="103">
        <v>52</v>
      </c>
      <c r="I924" s="103"/>
      <c r="J924" s="103"/>
      <c r="K924" s="103"/>
      <c r="L924" s="103"/>
      <c r="M924" s="103"/>
      <c r="N924" s="103"/>
    </row>
    <row r="925" spans="1:15" ht="15" hidden="1" customHeight="1" x14ac:dyDescent="0.25">
      <c r="A925" s="95"/>
      <c r="B925" s="95" t="s">
        <v>1546</v>
      </c>
      <c r="C925" s="95"/>
      <c r="D925" s="95"/>
      <c r="E925" s="103"/>
      <c r="F925" s="103"/>
      <c r="G925" s="103"/>
      <c r="H925" s="103">
        <v>12</v>
      </c>
      <c r="I925" s="103"/>
      <c r="J925" s="103"/>
      <c r="K925" s="103"/>
      <c r="L925" s="103"/>
      <c r="M925" s="103"/>
      <c r="N925" s="103"/>
    </row>
    <row r="926" spans="1:15" ht="15" hidden="1" customHeight="1" x14ac:dyDescent="0.25">
      <c r="A926" s="95"/>
      <c r="B926" s="95" t="s">
        <v>1547</v>
      </c>
      <c r="C926" s="95"/>
      <c r="D926" s="95"/>
      <c r="E926" s="103"/>
      <c r="F926" s="103"/>
      <c r="G926" s="103"/>
      <c r="H926" s="103">
        <v>47</v>
      </c>
      <c r="I926" s="103"/>
      <c r="J926" s="103"/>
      <c r="K926" s="103"/>
      <c r="L926" s="103"/>
      <c r="M926" s="103"/>
      <c r="N926" s="103"/>
    </row>
    <row r="927" spans="1:15" ht="15" hidden="1" customHeight="1" x14ac:dyDescent="0.25">
      <c r="A927" s="95"/>
      <c r="B927" s="96" t="s">
        <v>1365</v>
      </c>
      <c r="C927" s="95"/>
      <c r="D927" s="95"/>
      <c r="E927" s="103"/>
      <c r="F927" s="103"/>
      <c r="G927" s="103"/>
      <c r="H927" s="103">
        <f>H928-H929</f>
        <v>103</v>
      </c>
      <c r="I927" s="103">
        <f>I928-I929</f>
        <v>0</v>
      </c>
      <c r="J927" s="103">
        <f>J928-J929</f>
        <v>0</v>
      </c>
      <c r="K927" s="103">
        <f>K928-K929</f>
        <v>0</v>
      </c>
      <c r="L927" s="103">
        <f>L928-L929</f>
        <v>0</v>
      </c>
      <c r="M927" s="103">
        <f t="shared" ref="M927:N927" si="1469">M928-M929</f>
        <v>0</v>
      </c>
      <c r="N927" s="103">
        <f t="shared" si="1469"/>
        <v>0</v>
      </c>
    </row>
    <row r="928" spans="1:15" ht="15" hidden="1" customHeight="1" x14ac:dyDescent="0.25">
      <c r="A928" s="95"/>
      <c r="B928" s="95" t="s">
        <v>1541</v>
      </c>
      <c r="C928" s="95"/>
      <c r="D928" s="95"/>
      <c r="E928" s="103"/>
      <c r="F928" s="103"/>
      <c r="G928" s="103"/>
      <c r="H928" s="103">
        <v>107</v>
      </c>
      <c r="I928" s="103"/>
      <c r="J928" s="103"/>
      <c r="K928" s="103"/>
      <c r="L928" s="103"/>
      <c r="M928" s="103"/>
      <c r="N928" s="103"/>
    </row>
    <row r="929" spans="1:14" ht="15" hidden="1" customHeight="1" x14ac:dyDescent="0.25">
      <c r="A929" s="95"/>
      <c r="B929" s="95" t="s">
        <v>1541</v>
      </c>
      <c r="C929" s="95"/>
      <c r="D929" s="95"/>
      <c r="E929" s="103"/>
      <c r="F929" s="103"/>
      <c r="G929" s="103"/>
      <c r="H929" s="103">
        <v>4</v>
      </c>
      <c r="I929" s="103"/>
      <c r="J929" s="103"/>
      <c r="K929" s="103"/>
      <c r="L929" s="103"/>
      <c r="M929" s="103"/>
      <c r="N929" s="103"/>
    </row>
    <row r="930" spans="1:14" ht="15" hidden="1" customHeight="1" x14ac:dyDescent="0.25">
      <c r="A930" s="95"/>
      <c r="B930" s="96" t="s">
        <v>1366</v>
      </c>
      <c r="C930" s="95"/>
      <c r="D930" s="95"/>
      <c r="E930" s="103"/>
      <c r="F930" s="103"/>
      <c r="G930" s="103"/>
      <c r="H930" s="103">
        <f>H931+H932+H933+H934-H935-H936-H937-H938</f>
        <v>32</v>
      </c>
      <c r="I930" s="103">
        <f>I931+I932+I933+I934-I935-I936-I937-I938</f>
        <v>0</v>
      </c>
      <c r="J930" s="103">
        <f>J931+J932+J933+J934-J935-J936-J937-J938</f>
        <v>0</v>
      </c>
      <c r="K930" s="103">
        <f>K931+K932+K933+K934-K935-K936-K937-K938</f>
        <v>0</v>
      </c>
      <c r="L930" s="103">
        <f>L931+L932+L933+L934-L935-L936-L937-L938</f>
        <v>0</v>
      </c>
      <c r="M930" s="103">
        <f t="shared" ref="M930:N930" si="1470">M931+M932+M933+M934-M935-M936-M937-M938</f>
        <v>0</v>
      </c>
      <c r="N930" s="103">
        <f t="shared" si="1470"/>
        <v>0</v>
      </c>
    </row>
    <row r="931" spans="1:14" ht="15" hidden="1" customHeight="1" x14ac:dyDescent="0.25">
      <c r="A931" s="95"/>
      <c r="B931" s="95" t="s">
        <v>1548</v>
      </c>
      <c r="C931" s="95"/>
      <c r="D931" s="95"/>
      <c r="E931" s="103"/>
      <c r="F931" s="103"/>
      <c r="G931" s="103"/>
      <c r="H931" s="103">
        <v>3</v>
      </c>
      <c r="I931" s="103"/>
      <c r="J931" s="103"/>
      <c r="K931" s="103"/>
      <c r="L931" s="103"/>
      <c r="M931" s="103"/>
      <c r="N931" s="103"/>
    </row>
    <row r="932" spans="1:14" ht="15" hidden="1" customHeight="1" x14ac:dyDescent="0.25">
      <c r="A932" s="95"/>
      <c r="B932" s="95" t="s">
        <v>1549</v>
      </c>
      <c r="C932" s="95"/>
      <c r="D932" s="95"/>
      <c r="E932" s="103"/>
      <c r="F932" s="103"/>
      <c r="G932" s="103"/>
      <c r="H932" s="103">
        <v>0</v>
      </c>
      <c r="I932" s="103"/>
      <c r="J932" s="103"/>
      <c r="K932" s="103"/>
      <c r="L932" s="103"/>
      <c r="M932" s="103"/>
      <c r="N932" s="103"/>
    </row>
    <row r="933" spans="1:14" ht="15" hidden="1" customHeight="1" x14ac:dyDescent="0.25">
      <c r="A933" s="95"/>
      <c r="B933" s="95" t="s">
        <v>1550</v>
      </c>
      <c r="C933" s="95"/>
      <c r="D933" s="95"/>
      <c r="E933" s="103"/>
      <c r="F933" s="103"/>
      <c r="G933" s="103"/>
      <c r="H933" s="103">
        <v>42</v>
      </c>
      <c r="I933" s="103"/>
      <c r="J933" s="103"/>
      <c r="K933" s="103"/>
      <c r="L933" s="103"/>
      <c r="M933" s="103"/>
      <c r="N933" s="103"/>
    </row>
    <row r="934" spans="1:14" ht="15" hidden="1" customHeight="1" x14ac:dyDescent="0.25">
      <c r="A934" s="95"/>
      <c r="B934" s="95" t="s">
        <v>1551</v>
      </c>
      <c r="C934" s="95"/>
      <c r="D934" s="95"/>
      <c r="E934" s="103"/>
      <c r="F934" s="103"/>
      <c r="G934" s="103"/>
      <c r="H934" s="103">
        <v>0</v>
      </c>
      <c r="I934" s="103"/>
      <c r="J934" s="103"/>
      <c r="K934" s="103"/>
      <c r="L934" s="103"/>
      <c r="M934" s="103"/>
      <c r="N934" s="103"/>
    </row>
    <row r="935" spans="1:14" ht="15" hidden="1" customHeight="1" x14ac:dyDescent="0.25">
      <c r="A935" s="95"/>
      <c r="B935" s="95" t="s">
        <v>1548</v>
      </c>
      <c r="C935" s="95"/>
      <c r="D935" s="95"/>
      <c r="E935" s="103"/>
      <c r="F935" s="103"/>
      <c r="G935" s="103"/>
      <c r="H935" s="103">
        <v>3</v>
      </c>
      <c r="I935" s="103"/>
      <c r="J935" s="103"/>
      <c r="K935" s="103"/>
      <c r="L935" s="103"/>
      <c r="M935" s="103"/>
      <c r="N935" s="103"/>
    </row>
    <row r="936" spans="1:14" ht="15" hidden="1" customHeight="1" x14ac:dyDescent="0.25">
      <c r="A936" s="95"/>
      <c r="B936" s="95" t="s">
        <v>1549</v>
      </c>
      <c r="C936" s="95"/>
      <c r="D936" s="95"/>
      <c r="E936" s="103"/>
      <c r="F936" s="103"/>
      <c r="G936" s="103"/>
      <c r="H936" s="103">
        <v>0</v>
      </c>
      <c r="I936" s="103"/>
      <c r="J936" s="103"/>
      <c r="K936" s="103"/>
      <c r="L936" s="103"/>
      <c r="M936" s="103"/>
      <c r="N936" s="103"/>
    </row>
    <row r="937" spans="1:14" ht="15" hidden="1" customHeight="1" x14ac:dyDescent="0.25">
      <c r="A937" s="95"/>
      <c r="B937" s="95" t="s">
        <v>1550</v>
      </c>
      <c r="C937" s="95"/>
      <c r="D937" s="95"/>
      <c r="E937" s="103"/>
      <c r="F937" s="103"/>
      <c r="G937" s="103"/>
      <c r="H937" s="103">
        <v>10</v>
      </c>
      <c r="I937" s="103"/>
      <c r="J937" s="103"/>
      <c r="K937" s="103"/>
      <c r="L937" s="103"/>
      <c r="M937" s="103"/>
      <c r="N937" s="103"/>
    </row>
    <row r="938" spans="1:14" ht="15" hidden="1" customHeight="1" x14ac:dyDescent="0.25">
      <c r="A938" s="95"/>
      <c r="B938" s="95" t="s">
        <v>1551</v>
      </c>
      <c r="C938" s="95"/>
      <c r="D938" s="95"/>
      <c r="E938" s="103"/>
      <c r="F938" s="103"/>
      <c r="G938" s="103"/>
      <c r="H938" s="103">
        <v>0</v>
      </c>
      <c r="I938" s="103"/>
      <c r="J938" s="103"/>
      <c r="K938" s="103"/>
      <c r="L938" s="103"/>
      <c r="M938" s="103"/>
      <c r="N938" s="103"/>
    </row>
    <row r="939" spans="1:14" ht="15" hidden="1" customHeight="1" x14ac:dyDescent="0.25">
      <c r="A939" s="95"/>
      <c r="B939" s="96" t="s">
        <v>1367</v>
      </c>
      <c r="C939" s="95"/>
      <c r="D939" s="95"/>
      <c r="E939" s="103"/>
      <c r="F939" s="103"/>
      <c r="G939" s="103"/>
      <c r="H939" s="103">
        <f>H940-H941</f>
        <v>1137</v>
      </c>
      <c r="I939" s="103">
        <f>I940-I941</f>
        <v>0</v>
      </c>
      <c r="J939" s="103">
        <f>J940-J941</f>
        <v>0</v>
      </c>
      <c r="K939" s="103">
        <f>K940-K941</f>
        <v>0</v>
      </c>
      <c r="L939" s="103">
        <f>L940-L941</f>
        <v>0</v>
      </c>
      <c r="M939" s="103">
        <f t="shared" ref="M939:N939" si="1471">M940-M941</f>
        <v>0</v>
      </c>
      <c r="N939" s="103">
        <f t="shared" si="1471"/>
        <v>0</v>
      </c>
    </row>
    <row r="940" spans="1:14" ht="15" hidden="1" customHeight="1" x14ac:dyDescent="0.25">
      <c r="A940" s="95"/>
      <c r="B940" s="95" t="s">
        <v>1560</v>
      </c>
      <c r="C940" s="95"/>
      <c r="D940" s="95"/>
      <c r="E940" s="103"/>
      <c r="F940" s="103"/>
      <c r="G940" s="103"/>
      <c r="H940" s="103">
        <v>1931</v>
      </c>
      <c r="I940" s="103"/>
      <c r="J940" s="103"/>
      <c r="K940" s="103"/>
      <c r="L940" s="103"/>
      <c r="M940" s="103"/>
      <c r="N940" s="103"/>
    </row>
    <row r="941" spans="1:14" ht="15" hidden="1" customHeight="1" x14ac:dyDescent="0.25">
      <c r="A941" s="95"/>
      <c r="B941" s="95" t="s">
        <v>1543</v>
      </c>
      <c r="C941" s="95"/>
      <c r="D941" s="95"/>
      <c r="E941" s="103"/>
      <c r="F941" s="103"/>
      <c r="G941" s="103"/>
      <c r="H941" s="103">
        <v>794</v>
      </c>
      <c r="I941" s="103"/>
      <c r="J941" s="103"/>
      <c r="K941" s="103"/>
      <c r="L941" s="103"/>
      <c r="M941" s="103"/>
      <c r="N941" s="103"/>
    </row>
    <row r="942" spans="1:14" ht="15" hidden="1" customHeight="1" x14ac:dyDescent="0.25">
      <c r="A942" s="95"/>
      <c r="B942" s="96" t="s">
        <v>1368</v>
      </c>
      <c r="C942" s="95"/>
      <c r="D942" s="95"/>
      <c r="E942" s="103"/>
      <c r="F942" s="103"/>
      <c r="G942" s="103"/>
      <c r="H942" s="103">
        <f>H943-H944</f>
        <v>946</v>
      </c>
      <c r="I942" s="103">
        <f>I943-I944</f>
        <v>0</v>
      </c>
      <c r="J942" s="103">
        <f>J943-J944</f>
        <v>0</v>
      </c>
      <c r="K942" s="103">
        <f>K943-K944</f>
        <v>0</v>
      </c>
      <c r="L942" s="103">
        <f>L943-L944</f>
        <v>0</v>
      </c>
      <c r="M942" s="103">
        <f t="shared" ref="M942:N942" si="1472">M943-M944</f>
        <v>0</v>
      </c>
      <c r="N942" s="103">
        <f t="shared" si="1472"/>
        <v>0</v>
      </c>
    </row>
    <row r="943" spans="1:14" ht="15" hidden="1" customHeight="1" x14ac:dyDescent="0.25">
      <c r="A943" s="95"/>
      <c r="B943" s="312" t="s">
        <v>1552</v>
      </c>
      <c r="C943" s="95"/>
      <c r="D943" s="95"/>
      <c r="E943" s="103"/>
      <c r="F943" s="103"/>
      <c r="G943" s="103"/>
      <c r="H943" s="103">
        <v>1004</v>
      </c>
      <c r="I943" s="103"/>
      <c r="J943" s="103"/>
      <c r="K943" s="103"/>
      <c r="L943" s="103"/>
      <c r="M943" s="103"/>
      <c r="N943" s="103"/>
    </row>
    <row r="944" spans="1:14" ht="15" hidden="1" customHeight="1" x14ac:dyDescent="0.25">
      <c r="A944" s="95"/>
      <c r="B944" s="312" t="s">
        <v>1552</v>
      </c>
      <c r="C944" s="95"/>
      <c r="D944" s="95"/>
      <c r="E944" s="103"/>
      <c r="F944" s="103"/>
      <c r="G944" s="103"/>
      <c r="H944" s="103">
        <v>58</v>
      </c>
      <c r="I944" s="103"/>
      <c r="J944" s="103"/>
      <c r="K944" s="103"/>
      <c r="L944" s="103"/>
      <c r="M944" s="103"/>
      <c r="N944" s="103"/>
    </row>
    <row r="945" spans="1:14" ht="15" hidden="1" customHeight="1" x14ac:dyDescent="0.25">
      <c r="A945" s="95"/>
      <c r="B945" s="96" t="s">
        <v>1369</v>
      </c>
      <c r="C945" s="95"/>
      <c r="D945" s="95"/>
      <c r="E945" s="103"/>
      <c r="F945" s="103"/>
      <c r="G945" s="103"/>
      <c r="H945" s="103">
        <f>H946-H947</f>
        <v>0</v>
      </c>
      <c r="I945" s="103">
        <f>I946-I947</f>
        <v>0</v>
      </c>
      <c r="J945" s="103">
        <f>J946-J947</f>
        <v>0</v>
      </c>
      <c r="K945" s="103">
        <f>K946-K947</f>
        <v>0</v>
      </c>
      <c r="L945" s="103">
        <f>L946-L947</f>
        <v>0</v>
      </c>
      <c r="M945" s="103">
        <f t="shared" ref="M945:N945" si="1473">M946-M947</f>
        <v>0</v>
      </c>
      <c r="N945" s="103">
        <f t="shared" si="1473"/>
        <v>0</v>
      </c>
    </row>
    <row r="946" spans="1:14" ht="15" hidden="1" customHeight="1" x14ac:dyDescent="0.25">
      <c r="A946" s="95"/>
      <c r="B946" s="312" t="s">
        <v>1553</v>
      </c>
      <c r="C946" s="95"/>
      <c r="D946" s="95"/>
      <c r="E946" s="103"/>
      <c r="F946" s="103"/>
      <c r="G946" s="103"/>
      <c r="H946" s="103">
        <v>22</v>
      </c>
      <c r="I946" s="103"/>
      <c r="J946" s="103"/>
      <c r="K946" s="103"/>
      <c r="L946" s="103"/>
      <c r="M946" s="103"/>
      <c r="N946" s="103"/>
    </row>
    <row r="947" spans="1:14" ht="15" hidden="1" customHeight="1" x14ac:dyDescent="0.25">
      <c r="A947" s="95"/>
      <c r="B947" s="312" t="s">
        <v>1553</v>
      </c>
      <c r="C947" s="95"/>
      <c r="D947" s="95"/>
      <c r="E947" s="103"/>
      <c r="F947" s="103"/>
      <c r="G947" s="103"/>
      <c r="H947" s="103">
        <v>22</v>
      </c>
      <c r="I947" s="103"/>
      <c r="J947" s="103"/>
      <c r="K947" s="103"/>
      <c r="L947" s="103"/>
      <c r="M947" s="103"/>
      <c r="N947" s="103"/>
    </row>
    <row r="948" spans="1:14" ht="15" hidden="1" customHeight="1" x14ac:dyDescent="0.25">
      <c r="A948" s="95"/>
      <c r="B948" s="96" t="s">
        <v>1370</v>
      </c>
      <c r="C948" s="95"/>
      <c r="D948" s="95"/>
      <c r="E948" s="103"/>
      <c r="F948" s="103"/>
      <c r="G948" s="103"/>
      <c r="H948" s="103">
        <f>H949-H950</f>
        <v>0</v>
      </c>
      <c r="I948" s="103">
        <f>I949-I950</f>
        <v>0</v>
      </c>
      <c r="J948" s="103">
        <f>J949-J950</f>
        <v>0</v>
      </c>
      <c r="K948" s="103">
        <f>K949-K950</f>
        <v>0</v>
      </c>
      <c r="L948" s="103">
        <f>L949-L950</f>
        <v>0</v>
      </c>
      <c r="M948" s="103">
        <f t="shared" ref="M948:N948" si="1474">M949-M950</f>
        <v>0</v>
      </c>
      <c r="N948" s="103">
        <f t="shared" si="1474"/>
        <v>0</v>
      </c>
    </row>
    <row r="949" spans="1:14" ht="15" hidden="1" customHeight="1" x14ac:dyDescent="0.25">
      <c r="A949" s="95"/>
      <c r="B949" s="312" t="s">
        <v>1554</v>
      </c>
      <c r="C949" s="95"/>
      <c r="D949" s="95"/>
      <c r="E949" s="103"/>
      <c r="F949" s="103"/>
      <c r="G949" s="103"/>
      <c r="H949" s="103">
        <v>11</v>
      </c>
      <c r="I949" s="103"/>
      <c r="J949" s="103"/>
      <c r="K949" s="103"/>
      <c r="L949" s="103"/>
      <c r="M949" s="103"/>
      <c r="N949" s="103"/>
    </row>
    <row r="950" spans="1:14" ht="15" hidden="1" customHeight="1" x14ac:dyDescent="0.25">
      <c r="A950" s="95"/>
      <c r="B950" s="312" t="s">
        <v>1554</v>
      </c>
      <c r="C950" s="95"/>
      <c r="D950" s="95"/>
      <c r="E950" s="103"/>
      <c r="F950" s="103"/>
      <c r="G950" s="103"/>
      <c r="H950" s="103">
        <v>11</v>
      </c>
      <c r="I950" s="103"/>
      <c r="J950" s="103"/>
      <c r="K950" s="103"/>
      <c r="L950" s="103"/>
      <c r="M950" s="103"/>
      <c r="N950" s="103"/>
    </row>
    <row r="951" spans="1:14" ht="15" hidden="1" customHeight="1" x14ac:dyDescent="0.25">
      <c r="A951" s="95"/>
      <c r="B951" s="96" t="s">
        <v>1371</v>
      </c>
      <c r="C951" s="95"/>
      <c r="D951" s="95"/>
      <c r="E951" s="103"/>
      <c r="F951" s="103"/>
      <c r="G951" s="103"/>
      <c r="H951" s="103">
        <f>H952-H953</f>
        <v>0</v>
      </c>
      <c r="I951" s="103">
        <f>I952-I953</f>
        <v>0</v>
      </c>
      <c r="J951" s="103">
        <f>J952-J953</f>
        <v>0</v>
      </c>
      <c r="K951" s="103">
        <f>K952-K953</f>
        <v>0</v>
      </c>
      <c r="L951" s="103">
        <f>L952-L953</f>
        <v>0</v>
      </c>
      <c r="M951" s="103">
        <f t="shared" ref="M951:N951" si="1475">M952-M953</f>
        <v>0</v>
      </c>
      <c r="N951" s="103">
        <f t="shared" si="1475"/>
        <v>0</v>
      </c>
    </row>
    <row r="952" spans="1:14" ht="15" hidden="1" customHeight="1" x14ac:dyDescent="0.25">
      <c r="A952" s="95"/>
      <c r="B952" s="312" t="s">
        <v>1555</v>
      </c>
      <c r="C952" s="95"/>
      <c r="D952" s="95"/>
      <c r="E952" s="103"/>
      <c r="F952" s="103"/>
      <c r="G952" s="103"/>
      <c r="H952" s="103">
        <v>0</v>
      </c>
      <c r="I952" s="103"/>
      <c r="J952" s="103"/>
      <c r="K952" s="103"/>
      <c r="L952" s="103"/>
      <c r="M952" s="103"/>
      <c r="N952" s="103"/>
    </row>
    <row r="953" spans="1:14" ht="15" hidden="1" customHeight="1" x14ac:dyDescent="0.25">
      <c r="A953" s="95"/>
      <c r="B953" s="312" t="s">
        <v>1555</v>
      </c>
      <c r="C953" s="95"/>
      <c r="D953" s="95"/>
      <c r="E953" s="103"/>
      <c r="F953" s="103"/>
      <c r="G953" s="103"/>
      <c r="H953" s="103">
        <v>0</v>
      </c>
      <c r="I953" s="103"/>
      <c r="J953" s="103"/>
      <c r="K953" s="103"/>
      <c r="L953" s="103"/>
      <c r="M953" s="103"/>
      <c r="N953" s="103"/>
    </row>
    <row r="954" spans="1:14" ht="15" hidden="1" customHeight="1" x14ac:dyDescent="0.25">
      <c r="A954" s="95"/>
      <c r="B954" s="96" t="s">
        <v>1372</v>
      </c>
      <c r="C954" s="95"/>
      <c r="D954" s="95"/>
      <c r="E954" s="103"/>
      <c r="F954" s="103"/>
      <c r="G954" s="103"/>
      <c r="H954" s="103">
        <f>H955-H956</f>
        <v>0</v>
      </c>
      <c r="I954" s="103">
        <f>I955-I956</f>
        <v>0</v>
      </c>
      <c r="J954" s="103">
        <f>J955-J956</f>
        <v>0</v>
      </c>
      <c r="K954" s="103">
        <f>K955-K956</f>
        <v>0</v>
      </c>
      <c r="L954" s="103">
        <f>L955-L956</f>
        <v>0</v>
      </c>
      <c r="M954" s="103">
        <f t="shared" ref="M954:N954" si="1476">M955-M956</f>
        <v>0</v>
      </c>
      <c r="N954" s="103">
        <f t="shared" si="1476"/>
        <v>0</v>
      </c>
    </row>
    <row r="955" spans="1:14" ht="15" hidden="1" customHeight="1" x14ac:dyDescent="0.25">
      <c r="A955" s="95"/>
      <c r="B955" s="312" t="s">
        <v>1556</v>
      </c>
      <c r="C955" s="95"/>
      <c r="D955" s="95"/>
      <c r="E955" s="103"/>
      <c r="F955" s="103"/>
      <c r="G955" s="103"/>
      <c r="H955" s="103">
        <v>0</v>
      </c>
      <c r="I955" s="103"/>
      <c r="J955" s="103"/>
      <c r="K955" s="103"/>
      <c r="L955" s="103"/>
      <c r="M955" s="103"/>
      <c r="N955" s="103"/>
    </row>
    <row r="956" spans="1:14" ht="15" hidden="1" customHeight="1" x14ac:dyDescent="0.25">
      <c r="A956" s="95"/>
      <c r="B956" s="312" t="s">
        <v>1556</v>
      </c>
      <c r="C956" s="95"/>
      <c r="D956" s="95"/>
      <c r="E956" s="103"/>
      <c r="F956" s="103"/>
      <c r="G956" s="103"/>
      <c r="H956" s="103">
        <v>0</v>
      </c>
      <c r="I956" s="103"/>
      <c r="J956" s="103"/>
      <c r="K956" s="103"/>
      <c r="L956" s="103"/>
      <c r="M956" s="103"/>
      <c r="N956" s="103"/>
    </row>
    <row r="957" spans="1:14" ht="60" hidden="1" customHeight="1" x14ac:dyDescent="0.25">
      <c r="A957" s="95" t="s">
        <v>1384</v>
      </c>
      <c r="B957" s="96" t="s">
        <v>1385</v>
      </c>
      <c r="C957" s="95"/>
      <c r="D957" s="95"/>
      <c r="E957" s="103"/>
      <c r="F957" s="103"/>
      <c r="G957" s="103"/>
      <c r="H957" s="103"/>
      <c r="I957" s="103"/>
      <c r="J957" s="103"/>
      <c r="K957" s="103"/>
      <c r="L957" s="103"/>
      <c r="M957" s="103"/>
      <c r="N957" s="103"/>
    </row>
    <row r="958" spans="1:14" ht="15" hidden="1" customHeight="1" x14ac:dyDescent="0.25">
      <c r="A958" s="95"/>
      <c r="B958" s="96" t="s">
        <v>1364</v>
      </c>
      <c r="C958" s="95"/>
      <c r="D958" s="95" t="s">
        <v>8</v>
      </c>
      <c r="E958" s="103"/>
      <c r="F958" s="103"/>
      <c r="G958" s="103"/>
      <c r="H958" s="338">
        <f>ROUND((H976/H967)*100,2)</f>
        <v>7.68</v>
      </c>
      <c r="I958" s="338" t="e">
        <f>ROUND((I976/I967)*100,2)</f>
        <v>#DIV/0!</v>
      </c>
      <c r="J958" s="338" t="e">
        <f>ROUND((J976/J967)*100,2)</f>
        <v>#DIV/0!</v>
      </c>
      <c r="K958" s="338" t="e">
        <f>ROUND((K976/K967)*100,2)</f>
        <v>#DIV/0!</v>
      </c>
      <c r="L958" s="338" t="e">
        <f>ROUND((L976/L967)*100,2)</f>
        <v>#DIV/0!</v>
      </c>
      <c r="M958" s="338" t="e">
        <f t="shared" ref="M958:N958" si="1477">ROUND((M976/M967)*100,2)</f>
        <v>#DIV/0!</v>
      </c>
      <c r="N958" s="338" t="e">
        <f t="shared" si="1477"/>
        <v>#DIV/0!</v>
      </c>
    </row>
    <row r="959" spans="1:14" ht="15" hidden="1" customHeight="1" x14ac:dyDescent="0.25">
      <c r="A959" s="95"/>
      <c r="B959" s="96" t="s">
        <v>1365</v>
      </c>
      <c r="C959" s="95"/>
      <c r="D959" s="95" t="s">
        <v>8</v>
      </c>
      <c r="E959" s="103"/>
      <c r="F959" s="103"/>
      <c r="G959" s="103"/>
      <c r="H959" s="339">
        <f>ROUND((H985/H967)*100,2)</f>
        <v>1.17</v>
      </c>
      <c r="I959" s="339" t="e">
        <f>ROUND((I985/I967)*100,2)</f>
        <v>#DIV/0!</v>
      </c>
      <c r="J959" s="339" t="e">
        <f>ROUND((J985/J967)*100,2)</f>
        <v>#DIV/0!</v>
      </c>
      <c r="K959" s="339" t="e">
        <f>ROUND((K985/K967)*100,2)</f>
        <v>#DIV/0!</v>
      </c>
      <c r="L959" s="339" t="e">
        <f>ROUND((L985/L967)*100,2)</f>
        <v>#DIV/0!</v>
      </c>
      <c r="M959" s="339" t="e">
        <f t="shared" ref="M959:N959" si="1478">ROUND((M985/M967)*100,2)</f>
        <v>#DIV/0!</v>
      </c>
      <c r="N959" s="339" t="e">
        <f t="shared" si="1478"/>
        <v>#DIV/0!</v>
      </c>
    </row>
    <row r="960" spans="1:14" ht="15" hidden="1" customHeight="1" x14ac:dyDescent="0.25">
      <c r="A960" s="95"/>
      <c r="B960" s="96" t="s">
        <v>1366</v>
      </c>
      <c r="C960" s="95"/>
      <c r="D960" s="95" t="s">
        <v>8</v>
      </c>
      <c r="E960" s="103"/>
      <c r="F960" s="103"/>
      <c r="G960" s="103"/>
      <c r="H960" s="335">
        <f>ROUND((H990/H967)*100,2)</f>
        <v>1.0900000000000001</v>
      </c>
      <c r="I960" s="335" t="e">
        <f>ROUND((I990/I967)*100,2)</f>
        <v>#DIV/0!</v>
      </c>
      <c r="J960" s="335" t="e">
        <f>ROUND((J990/J967)*100,2)</f>
        <v>#DIV/0!</v>
      </c>
      <c r="K960" s="335" t="e">
        <f>ROUND((K990/K967)*100,2)</f>
        <v>#DIV/0!</v>
      </c>
      <c r="L960" s="335" t="e">
        <f>ROUND((L990/L967)*100,2)</f>
        <v>#DIV/0!</v>
      </c>
      <c r="M960" s="335" t="e">
        <f t="shared" ref="M960:N960" si="1479">ROUND((M990/M967)*100,2)</f>
        <v>#DIV/0!</v>
      </c>
      <c r="N960" s="335" t="e">
        <f t="shared" si="1479"/>
        <v>#DIV/0!</v>
      </c>
    </row>
    <row r="961" spans="1:15" ht="15" hidden="1" customHeight="1" x14ac:dyDescent="0.25">
      <c r="A961" s="95"/>
      <c r="B961" s="96" t="s">
        <v>1367</v>
      </c>
      <c r="C961" s="95"/>
      <c r="D961" s="95" t="s">
        <v>8</v>
      </c>
      <c r="E961" s="103"/>
      <c r="F961" s="103"/>
      <c r="G961" s="103"/>
      <c r="H961" s="335">
        <f>ROUND((H1007/H967)*100,2)</f>
        <v>77.05</v>
      </c>
      <c r="I961" s="335" t="e">
        <f>ROUND((I1007/I967)*100,2)</f>
        <v>#DIV/0!</v>
      </c>
      <c r="J961" s="335" t="e">
        <f>ROUND((J1007/J967)*100,2)</f>
        <v>#DIV/0!</v>
      </c>
      <c r="K961" s="335" t="e">
        <f>ROUND((K1007/K967)*100,2)</f>
        <v>#DIV/0!</v>
      </c>
      <c r="L961" s="335" t="e">
        <f>ROUND((L1007/L967)*100,2)</f>
        <v>#DIV/0!</v>
      </c>
      <c r="M961" s="335" t="e">
        <f t="shared" ref="M961:N961" si="1480">ROUND((M1007/M967)*100,2)</f>
        <v>#DIV/0!</v>
      </c>
      <c r="N961" s="335" t="e">
        <f t="shared" si="1480"/>
        <v>#DIV/0!</v>
      </c>
    </row>
    <row r="962" spans="1:15" ht="15" hidden="1" customHeight="1" x14ac:dyDescent="0.25">
      <c r="A962" s="95"/>
      <c r="B962" s="96" t="s">
        <v>1368</v>
      </c>
      <c r="C962" s="95"/>
      <c r="D962" s="95" t="s">
        <v>8</v>
      </c>
      <c r="E962" s="103"/>
      <c r="F962" s="103"/>
      <c r="G962" s="103"/>
      <c r="H962" s="335">
        <f>ROUND((H1012/H967)*100,2)</f>
        <v>4.84</v>
      </c>
      <c r="I962" s="335" t="e">
        <f>ROUND((I1012/I967)*100,2)</f>
        <v>#DIV/0!</v>
      </c>
      <c r="J962" s="335" t="e">
        <f>ROUND((J1012/J967)*100,2)</f>
        <v>#DIV/0!</v>
      </c>
      <c r="K962" s="335" t="e">
        <f>ROUND((K1012/K967)*100,2)</f>
        <v>#DIV/0!</v>
      </c>
      <c r="L962" s="335" t="e">
        <f>ROUND((L1012/L967)*100,2)</f>
        <v>#DIV/0!</v>
      </c>
      <c r="M962" s="335" t="e">
        <f t="shared" ref="M962:N962" si="1481">ROUND((M1012/M967)*100,2)</f>
        <v>#DIV/0!</v>
      </c>
      <c r="N962" s="335" t="e">
        <f t="shared" si="1481"/>
        <v>#DIV/0!</v>
      </c>
    </row>
    <row r="963" spans="1:15" ht="15" hidden="1" customHeight="1" x14ac:dyDescent="0.25">
      <c r="A963" s="95"/>
      <c r="B963" s="96" t="s">
        <v>1369</v>
      </c>
      <c r="C963" s="95"/>
      <c r="D963" s="95" t="s">
        <v>8</v>
      </c>
      <c r="E963" s="103"/>
      <c r="F963" s="103"/>
      <c r="G963" s="103"/>
      <c r="H963" s="341">
        <f>ROUND((H1017/H967)*100,2)</f>
        <v>1.84</v>
      </c>
      <c r="I963" s="341" t="e">
        <f>ROUND((I1017/I967)*100,2)</f>
        <v>#DIV/0!</v>
      </c>
      <c r="J963" s="341" t="e">
        <f>ROUND((J1017/J967)*100,2)</f>
        <v>#DIV/0!</v>
      </c>
      <c r="K963" s="341" t="e">
        <f>ROUND((K1017/K967)*100,2)</f>
        <v>#DIV/0!</v>
      </c>
      <c r="L963" s="341" t="e">
        <f>ROUND((L1017/L967)*100,2)</f>
        <v>#DIV/0!</v>
      </c>
      <c r="M963" s="341" t="e">
        <f t="shared" ref="M963:N963" si="1482">ROUND((M1017/M967)*100,2)</f>
        <v>#DIV/0!</v>
      </c>
      <c r="N963" s="341" t="e">
        <f t="shared" si="1482"/>
        <v>#DIV/0!</v>
      </c>
    </row>
    <row r="964" spans="1:15" ht="15" hidden="1" customHeight="1" x14ac:dyDescent="0.25">
      <c r="A964" s="95"/>
      <c r="B964" s="96" t="s">
        <v>1370</v>
      </c>
      <c r="C964" s="95"/>
      <c r="D964" s="95" t="s">
        <v>8</v>
      </c>
      <c r="E964" s="103"/>
      <c r="F964" s="103"/>
      <c r="G964" s="103"/>
      <c r="H964" s="341">
        <f>ROUND((H1022/H967)*100,2)</f>
        <v>0.92</v>
      </c>
      <c r="I964" s="341" t="e">
        <f>ROUND((I1022/I967)*100,2)</f>
        <v>#DIV/0!</v>
      </c>
      <c r="J964" s="341" t="e">
        <f>ROUND((J1022/J967)*100,2)</f>
        <v>#DIV/0!</v>
      </c>
      <c r="K964" s="341" t="e">
        <f>ROUND((K1022/K967)*100,2)</f>
        <v>#DIV/0!</v>
      </c>
      <c r="L964" s="341" t="e">
        <f>ROUND((L1022/L967)*100,2)</f>
        <v>#DIV/0!</v>
      </c>
      <c r="M964" s="341" t="e">
        <f t="shared" ref="M964:N964" si="1483">ROUND((M1022/M967)*100,2)</f>
        <v>#DIV/0!</v>
      </c>
      <c r="N964" s="341" t="e">
        <f t="shared" si="1483"/>
        <v>#DIV/0!</v>
      </c>
    </row>
    <row r="965" spans="1:15" ht="15" hidden="1" customHeight="1" x14ac:dyDescent="0.25">
      <c r="A965" s="95"/>
      <c r="B965" s="96" t="s">
        <v>1371</v>
      </c>
      <c r="C965" s="95"/>
      <c r="D965" s="95" t="s">
        <v>8</v>
      </c>
      <c r="E965" s="103"/>
      <c r="F965" s="103"/>
      <c r="G965" s="103"/>
      <c r="H965" s="342">
        <f>ROUND((H1027/H967)*100,2)</f>
        <v>0</v>
      </c>
      <c r="I965" s="342" t="e">
        <f>ROUND((I1027/I967)*100,2)</f>
        <v>#DIV/0!</v>
      </c>
      <c r="J965" s="342" t="e">
        <f>ROUND((J1027/J967)*100,2)</f>
        <v>#DIV/0!</v>
      </c>
      <c r="K965" s="342" t="e">
        <f>ROUND((K1027/K967)*100,2)</f>
        <v>#DIV/0!</v>
      </c>
      <c r="L965" s="342" t="e">
        <f>ROUND((L1027/L967)*100,2)</f>
        <v>#DIV/0!</v>
      </c>
      <c r="M965" s="342" t="e">
        <f t="shared" ref="M965:N965" si="1484">ROUND((M1027/M967)*100,2)</f>
        <v>#DIV/0!</v>
      </c>
      <c r="N965" s="342" t="e">
        <f t="shared" si="1484"/>
        <v>#DIV/0!</v>
      </c>
    </row>
    <row r="966" spans="1:15" ht="15" hidden="1" customHeight="1" x14ac:dyDescent="0.25">
      <c r="A966" s="95"/>
      <c r="B966" s="96" t="s">
        <v>1372</v>
      </c>
      <c r="C966" s="95"/>
      <c r="D966" s="95" t="s">
        <v>8</v>
      </c>
      <c r="E966" s="103"/>
      <c r="F966" s="103"/>
      <c r="G966" s="103"/>
      <c r="H966" s="342">
        <f>ROUND((H1032/H967)*100,2)</f>
        <v>0</v>
      </c>
      <c r="I966" s="342" t="e">
        <f>ROUND((I1032/I967)*100,2)</f>
        <v>#DIV/0!</v>
      </c>
      <c r="J966" s="342" t="e">
        <f>ROUND((J1032/J967)*100,2)</f>
        <v>#DIV/0!</v>
      </c>
      <c r="K966" s="342" t="e">
        <f>ROUND((K1032/K967)*100,2)</f>
        <v>#DIV/0!</v>
      </c>
      <c r="L966" s="342" t="e">
        <f>ROUND((L1032/L967)*100,2)</f>
        <v>#DIV/0!</v>
      </c>
      <c r="M966" s="342" t="e">
        <f t="shared" ref="M966:N966" si="1485">ROUND((M1032/M967)*100,2)</f>
        <v>#DIV/0!</v>
      </c>
      <c r="N966" s="342" t="e">
        <f t="shared" si="1485"/>
        <v>#DIV/0!</v>
      </c>
    </row>
    <row r="967" spans="1:15" ht="15" hidden="1" customHeight="1" x14ac:dyDescent="0.25">
      <c r="A967" s="95"/>
      <c r="B967" s="95"/>
      <c r="C967" s="95"/>
      <c r="D967" s="95"/>
      <c r="E967" s="103"/>
      <c r="F967" s="103"/>
      <c r="G967" s="103"/>
      <c r="H967" s="103">
        <f>H968+H969+H970+H971+H972+H973+H974+H975</f>
        <v>1198</v>
      </c>
      <c r="I967" s="103">
        <f>I968+I969+I970+I971+I972+I973+I974+I975</f>
        <v>0</v>
      </c>
      <c r="J967" s="103">
        <f>J968+J969+J970+J971+J972+J973+J974+J975</f>
        <v>0</v>
      </c>
      <c r="K967" s="103">
        <f>K968+K969+K970+K971+K972+K973+K974+K975</f>
        <v>0</v>
      </c>
      <c r="L967" s="103">
        <f>L968+L969+L970+L971+L972+L973+L974+L975</f>
        <v>0</v>
      </c>
      <c r="M967" s="103">
        <f t="shared" ref="M967:N967" si="1486">M968+M969+M970+M971+M972+M973+M974+M975</f>
        <v>0</v>
      </c>
      <c r="N967" s="103">
        <f t="shared" si="1486"/>
        <v>0</v>
      </c>
      <c r="O967" s="278"/>
    </row>
    <row r="968" spans="1:15" ht="15" hidden="1" customHeight="1" x14ac:dyDescent="0.25">
      <c r="A968" s="95"/>
      <c r="B968" s="95" t="s">
        <v>1533</v>
      </c>
      <c r="C968" s="95"/>
      <c r="D968" s="95"/>
      <c r="E968" s="103"/>
      <c r="F968" s="103"/>
      <c r="G968" s="103"/>
      <c r="H968" s="103">
        <v>19</v>
      </c>
      <c r="I968" s="103"/>
      <c r="J968" s="103"/>
      <c r="K968" s="103"/>
      <c r="L968" s="103"/>
      <c r="M968" s="103"/>
      <c r="N968" s="103"/>
    </row>
    <row r="969" spans="1:15" ht="15" hidden="1" customHeight="1" x14ac:dyDescent="0.25">
      <c r="A969" s="95"/>
      <c r="B969" s="95" t="s">
        <v>1534</v>
      </c>
      <c r="C969" s="95"/>
      <c r="D969" s="95"/>
      <c r="E969" s="103"/>
      <c r="F969" s="103"/>
      <c r="G969" s="103"/>
      <c r="H969" s="103">
        <v>256</v>
      </c>
      <c r="I969" s="103"/>
      <c r="J969" s="103"/>
      <c r="K969" s="103"/>
      <c r="L969" s="103"/>
      <c r="M969" s="103"/>
      <c r="N969" s="103"/>
    </row>
    <row r="970" spans="1:15" ht="15" hidden="1" customHeight="1" x14ac:dyDescent="0.25">
      <c r="A970" s="95"/>
      <c r="B970" s="95" t="s">
        <v>1535</v>
      </c>
      <c r="C970" s="95"/>
      <c r="D970" s="95"/>
      <c r="E970" s="103"/>
      <c r="F970" s="103"/>
      <c r="G970" s="103"/>
      <c r="H970" s="103">
        <v>0</v>
      </c>
      <c r="I970" s="103"/>
      <c r="J970" s="103"/>
      <c r="K970" s="103"/>
      <c r="L970" s="103"/>
      <c r="M970" s="103"/>
      <c r="N970" s="103"/>
    </row>
    <row r="971" spans="1:15" ht="15" hidden="1" customHeight="1" x14ac:dyDescent="0.25">
      <c r="A971" s="95"/>
      <c r="B971" s="95" t="s">
        <v>1536</v>
      </c>
      <c r="C971" s="95"/>
      <c r="D971" s="95"/>
      <c r="E971" s="103"/>
      <c r="F971" s="103"/>
      <c r="G971" s="103"/>
      <c r="H971" s="103">
        <v>0</v>
      </c>
      <c r="I971" s="103"/>
      <c r="J971" s="103"/>
      <c r="K971" s="103"/>
      <c r="L971" s="103"/>
      <c r="M971" s="103"/>
      <c r="N971" s="103"/>
    </row>
    <row r="972" spans="1:15" ht="15" hidden="1" customHeight="1" x14ac:dyDescent="0.25">
      <c r="A972" s="95"/>
      <c r="B972" s="95" t="s">
        <v>1537</v>
      </c>
      <c r="C972" s="95"/>
      <c r="D972" s="95"/>
      <c r="E972" s="103"/>
      <c r="F972" s="103"/>
      <c r="G972" s="103"/>
      <c r="H972" s="103">
        <v>25</v>
      </c>
      <c r="I972" s="103"/>
      <c r="J972" s="103"/>
      <c r="K972" s="103"/>
      <c r="L972" s="103"/>
      <c r="M972" s="103"/>
      <c r="N972" s="103"/>
    </row>
    <row r="973" spans="1:15" ht="15" hidden="1" customHeight="1" x14ac:dyDescent="0.25">
      <c r="A973" s="95"/>
      <c r="B973" s="95" t="s">
        <v>1538</v>
      </c>
      <c r="C973" s="95"/>
      <c r="D973" s="95"/>
      <c r="E973" s="103"/>
      <c r="F973" s="103"/>
      <c r="G973" s="103"/>
      <c r="H973" s="103">
        <v>794</v>
      </c>
      <c r="I973" s="103"/>
      <c r="J973" s="103"/>
      <c r="K973" s="103"/>
      <c r="L973" s="103"/>
      <c r="M973" s="103"/>
      <c r="N973" s="103"/>
    </row>
    <row r="974" spans="1:15" ht="15" hidden="1" customHeight="1" x14ac:dyDescent="0.25">
      <c r="A974" s="95"/>
      <c r="B974" s="95" t="s">
        <v>1539</v>
      </c>
      <c r="C974" s="95"/>
      <c r="D974" s="95"/>
      <c r="E974" s="103"/>
      <c r="F974" s="103"/>
      <c r="G974" s="103"/>
      <c r="H974" s="103">
        <v>0</v>
      </c>
      <c r="I974" s="103"/>
      <c r="J974" s="103"/>
      <c r="K974" s="103"/>
      <c r="L974" s="103"/>
      <c r="M974" s="103"/>
      <c r="N974" s="103"/>
    </row>
    <row r="975" spans="1:15" ht="15" hidden="1" customHeight="1" x14ac:dyDescent="0.25">
      <c r="A975" s="95"/>
      <c r="B975" s="95" t="s">
        <v>1540</v>
      </c>
      <c r="C975" s="95"/>
      <c r="D975" s="95"/>
      <c r="E975" s="103"/>
      <c r="F975" s="103"/>
      <c r="G975" s="103"/>
      <c r="H975" s="103">
        <v>104</v>
      </c>
      <c r="I975" s="103"/>
      <c r="J975" s="103"/>
      <c r="K975" s="103"/>
      <c r="L975" s="103"/>
      <c r="M975" s="103"/>
      <c r="N975" s="103"/>
    </row>
    <row r="976" spans="1:15" ht="15" hidden="1" customHeight="1" x14ac:dyDescent="0.25">
      <c r="A976" s="95"/>
      <c r="B976" s="96" t="s">
        <v>1364</v>
      </c>
      <c r="C976" s="95"/>
      <c r="D976" s="95"/>
      <c r="E976" s="103"/>
      <c r="F976" s="103"/>
      <c r="G976" s="103"/>
      <c r="H976" s="103">
        <f>H977+H978+H979+H980+H981+H982+H983+H984</f>
        <v>92</v>
      </c>
      <c r="I976" s="103">
        <f>I977+I978+I979+I980+I981+I982+I983+I984</f>
        <v>0</v>
      </c>
      <c r="J976" s="103">
        <f>J977+J978+J979+J980+J981+J982+J983+J984</f>
        <v>0</v>
      </c>
      <c r="K976" s="103">
        <f>K977+K978+K979+K980+K981+K982+K983+K984</f>
        <v>0</v>
      </c>
      <c r="L976" s="103">
        <f>L977+L978+L979+L980+L981+L982+L983+L984</f>
        <v>0</v>
      </c>
      <c r="M976" s="103">
        <f t="shared" ref="M976:N976" si="1487">M977+M978+M979+M980+M981+M982+M983+M984</f>
        <v>0</v>
      </c>
      <c r="N976" s="103">
        <f t="shared" si="1487"/>
        <v>0</v>
      </c>
    </row>
    <row r="977" spans="1:14" ht="15" hidden="1" customHeight="1" x14ac:dyDescent="0.25">
      <c r="A977" s="95"/>
      <c r="B977" s="95" t="s">
        <v>1546</v>
      </c>
      <c r="C977" s="95"/>
      <c r="D977" s="95"/>
      <c r="E977" s="103"/>
      <c r="F977" s="103"/>
      <c r="G977" s="103"/>
      <c r="H977" s="103">
        <v>31</v>
      </c>
      <c r="I977" s="103"/>
      <c r="J977" s="103"/>
      <c r="K977" s="103"/>
      <c r="L977" s="103"/>
      <c r="M977" s="103"/>
      <c r="N977" s="103"/>
    </row>
    <row r="978" spans="1:14" ht="15" hidden="1" customHeight="1" x14ac:dyDescent="0.25">
      <c r="A978" s="95"/>
      <c r="B978" s="95" t="s">
        <v>1547</v>
      </c>
      <c r="C978" s="95"/>
      <c r="D978" s="95"/>
      <c r="E978" s="103"/>
      <c r="F978" s="103"/>
      <c r="G978" s="103"/>
      <c r="H978" s="103">
        <v>2</v>
      </c>
      <c r="I978" s="103"/>
      <c r="J978" s="103"/>
      <c r="K978" s="103"/>
      <c r="L978" s="103"/>
      <c r="M978" s="103"/>
      <c r="N978" s="103"/>
    </row>
    <row r="979" spans="1:14" ht="15" hidden="1" customHeight="1" x14ac:dyDescent="0.25">
      <c r="A979" s="95"/>
      <c r="B979" s="95" t="s">
        <v>1546</v>
      </c>
      <c r="C979" s="95"/>
      <c r="D979" s="95"/>
      <c r="E979" s="103"/>
      <c r="F979" s="103"/>
      <c r="G979" s="103"/>
      <c r="H979" s="103">
        <v>12</v>
      </c>
      <c r="I979" s="103"/>
      <c r="J979" s="103"/>
      <c r="K979" s="103"/>
      <c r="L979" s="103"/>
      <c r="M979" s="103"/>
      <c r="N979" s="103"/>
    </row>
    <row r="980" spans="1:14" ht="15" hidden="1" customHeight="1" x14ac:dyDescent="0.25">
      <c r="A980" s="95"/>
      <c r="B980" s="95" t="s">
        <v>1547</v>
      </c>
      <c r="C980" s="95"/>
      <c r="D980" s="95"/>
      <c r="E980" s="103"/>
      <c r="F980" s="103"/>
      <c r="G980" s="103"/>
      <c r="H980" s="103">
        <v>47</v>
      </c>
      <c r="I980" s="103"/>
      <c r="J980" s="103"/>
      <c r="K980" s="103"/>
      <c r="L980" s="103"/>
      <c r="M980" s="103"/>
      <c r="N980" s="103"/>
    </row>
    <row r="981" spans="1:14" ht="15" hidden="1" customHeight="1" x14ac:dyDescent="0.25">
      <c r="A981" s="95"/>
      <c r="B981" s="95" t="s">
        <v>1546</v>
      </c>
      <c r="C981" s="95"/>
      <c r="D981" s="95"/>
      <c r="E981" s="103"/>
      <c r="F981" s="103"/>
      <c r="G981" s="103"/>
      <c r="H981" s="103">
        <v>0</v>
      </c>
      <c r="I981" s="103"/>
      <c r="J981" s="103"/>
      <c r="K981" s="103"/>
      <c r="L981" s="103"/>
      <c r="M981" s="103"/>
      <c r="N981" s="103"/>
    </row>
    <row r="982" spans="1:14" ht="15" hidden="1" customHeight="1" x14ac:dyDescent="0.25">
      <c r="A982" s="95"/>
      <c r="B982" s="95" t="s">
        <v>1547</v>
      </c>
      <c r="C982" s="95"/>
      <c r="D982" s="95"/>
      <c r="E982" s="103"/>
      <c r="F982" s="103"/>
      <c r="G982" s="103"/>
      <c r="H982" s="103">
        <v>0</v>
      </c>
      <c r="I982" s="103"/>
      <c r="J982" s="103"/>
      <c r="K982" s="103"/>
      <c r="L982" s="103"/>
      <c r="M982" s="103"/>
      <c r="N982" s="103"/>
    </row>
    <row r="983" spans="1:14" ht="15" hidden="1" customHeight="1" x14ac:dyDescent="0.25">
      <c r="A983" s="95"/>
      <c r="B983" s="95" t="s">
        <v>1546</v>
      </c>
      <c r="C983" s="95"/>
      <c r="D983" s="95"/>
      <c r="E983" s="103"/>
      <c r="F983" s="103"/>
      <c r="G983" s="103"/>
      <c r="H983" s="103">
        <v>0</v>
      </c>
      <c r="I983" s="103"/>
      <c r="J983" s="103"/>
      <c r="K983" s="103"/>
      <c r="L983" s="103"/>
      <c r="M983" s="103"/>
      <c r="N983" s="103"/>
    </row>
    <row r="984" spans="1:14" ht="15" hidden="1" customHeight="1" x14ac:dyDescent="0.25">
      <c r="A984" s="95"/>
      <c r="B984" s="95" t="s">
        <v>1547</v>
      </c>
      <c r="C984" s="95"/>
      <c r="D984" s="95"/>
      <c r="E984" s="103"/>
      <c r="F984" s="103"/>
      <c r="G984" s="103"/>
      <c r="H984" s="103">
        <v>0</v>
      </c>
      <c r="I984" s="103"/>
      <c r="J984" s="103"/>
      <c r="K984" s="103"/>
      <c r="L984" s="103"/>
      <c r="M984" s="103"/>
      <c r="N984" s="103"/>
    </row>
    <row r="985" spans="1:14" ht="15" hidden="1" customHeight="1" x14ac:dyDescent="0.25">
      <c r="A985" s="95"/>
      <c r="B985" s="96" t="s">
        <v>1365</v>
      </c>
      <c r="C985" s="95"/>
      <c r="D985" s="95"/>
      <c r="E985" s="103"/>
      <c r="F985" s="103"/>
      <c r="G985" s="103"/>
      <c r="H985" s="103">
        <f>H986+H987+H988+H989</f>
        <v>14</v>
      </c>
      <c r="I985" s="103">
        <f>I986+I987+I988+I989</f>
        <v>0</v>
      </c>
      <c r="J985" s="103">
        <f>J986+J987+J988+J989</f>
        <v>0</v>
      </c>
      <c r="K985" s="103">
        <f>K986+K987+K988+K989</f>
        <v>0</v>
      </c>
      <c r="L985" s="103">
        <f>L986+L987+L988+L989</f>
        <v>0</v>
      </c>
      <c r="M985" s="103">
        <f t="shared" ref="M985:N985" si="1488">M986+M987+M988+M989</f>
        <v>0</v>
      </c>
      <c r="N985" s="103">
        <f t="shared" si="1488"/>
        <v>0</v>
      </c>
    </row>
    <row r="986" spans="1:14" ht="15" hidden="1" customHeight="1" x14ac:dyDescent="0.25">
      <c r="A986" s="95"/>
      <c r="B986" s="95" t="s">
        <v>1541</v>
      </c>
      <c r="C986" s="95"/>
      <c r="D986" s="95"/>
      <c r="E986" s="103"/>
      <c r="F986" s="103"/>
      <c r="G986" s="103"/>
      <c r="H986" s="103">
        <v>10</v>
      </c>
      <c r="I986" s="103"/>
      <c r="J986" s="103"/>
      <c r="K986" s="103"/>
      <c r="L986" s="103"/>
      <c r="M986" s="103"/>
      <c r="N986" s="103"/>
    </row>
    <row r="987" spans="1:14" ht="15" hidden="1" customHeight="1" x14ac:dyDescent="0.25">
      <c r="A987" s="95"/>
      <c r="B987" s="95" t="s">
        <v>1541</v>
      </c>
      <c r="C987" s="95"/>
      <c r="D987" s="95"/>
      <c r="E987" s="103"/>
      <c r="F987" s="103"/>
      <c r="G987" s="103"/>
      <c r="H987" s="103">
        <v>4</v>
      </c>
      <c r="I987" s="103"/>
      <c r="J987" s="103"/>
      <c r="K987" s="103"/>
      <c r="L987" s="103"/>
      <c r="M987" s="103"/>
      <c r="N987" s="103"/>
    </row>
    <row r="988" spans="1:14" ht="15" hidden="1" customHeight="1" x14ac:dyDescent="0.25">
      <c r="A988" s="95"/>
      <c r="B988" s="95" t="s">
        <v>1541</v>
      </c>
      <c r="C988" s="95"/>
      <c r="D988" s="95"/>
      <c r="E988" s="103"/>
      <c r="F988" s="103"/>
      <c r="G988" s="103"/>
      <c r="H988" s="103">
        <v>0</v>
      </c>
      <c r="I988" s="103"/>
      <c r="J988" s="103"/>
      <c r="K988" s="103"/>
      <c r="L988" s="103"/>
      <c r="M988" s="103"/>
      <c r="N988" s="103"/>
    </row>
    <row r="989" spans="1:14" ht="15" hidden="1" customHeight="1" x14ac:dyDescent="0.25">
      <c r="A989" s="95"/>
      <c r="B989" s="95" t="s">
        <v>1541</v>
      </c>
      <c r="C989" s="95"/>
      <c r="D989" s="95"/>
      <c r="E989" s="103"/>
      <c r="F989" s="103"/>
      <c r="G989" s="103"/>
      <c r="H989" s="103">
        <v>0</v>
      </c>
      <c r="I989" s="103"/>
      <c r="J989" s="103"/>
      <c r="K989" s="103"/>
      <c r="L989" s="103"/>
      <c r="M989" s="103"/>
      <c r="N989" s="103"/>
    </row>
    <row r="990" spans="1:14" ht="15" hidden="1" customHeight="1" x14ac:dyDescent="0.25">
      <c r="A990" s="95"/>
      <c r="B990" s="96" t="s">
        <v>1366</v>
      </c>
      <c r="C990" s="95"/>
      <c r="D990" s="95"/>
      <c r="E990" s="103"/>
      <c r="F990" s="103"/>
      <c r="G990" s="103"/>
      <c r="H990" s="103">
        <f>SUM(H992:H1006)</f>
        <v>13</v>
      </c>
      <c r="I990" s="103">
        <f>SUM(I992:I1006)</f>
        <v>0</v>
      </c>
      <c r="J990" s="103">
        <f>SUM(J992:J1006)</f>
        <v>0</v>
      </c>
      <c r="K990" s="103">
        <f>SUM(K992:K1006)</f>
        <v>0</v>
      </c>
      <c r="L990" s="103">
        <f>SUM(L992:L1006)</f>
        <v>0</v>
      </c>
      <c r="M990" s="103">
        <f t="shared" ref="M990:N990" si="1489">SUM(M992:M1006)</f>
        <v>0</v>
      </c>
      <c r="N990" s="103">
        <f t="shared" si="1489"/>
        <v>0</v>
      </c>
    </row>
    <row r="991" spans="1:14" ht="15" hidden="1" customHeight="1" x14ac:dyDescent="0.25">
      <c r="A991" s="95"/>
      <c r="B991" s="95" t="s">
        <v>1548</v>
      </c>
      <c r="C991" s="95"/>
      <c r="D991" s="95"/>
      <c r="E991" s="103"/>
      <c r="F991" s="103"/>
      <c r="G991" s="103"/>
      <c r="H991" s="103">
        <v>0</v>
      </c>
      <c r="I991" s="103"/>
      <c r="J991" s="103"/>
      <c r="K991" s="103"/>
      <c r="L991" s="103"/>
      <c r="M991" s="103"/>
      <c r="N991" s="103"/>
    </row>
    <row r="992" spans="1:14" ht="15" hidden="1" customHeight="1" x14ac:dyDescent="0.25">
      <c r="A992" s="95"/>
      <c r="B992" s="95" t="s">
        <v>1549</v>
      </c>
      <c r="C992" s="95"/>
      <c r="D992" s="95"/>
      <c r="E992" s="103"/>
      <c r="F992" s="103"/>
      <c r="G992" s="103"/>
      <c r="H992" s="103">
        <v>0</v>
      </c>
      <c r="I992" s="103"/>
      <c r="J992" s="103"/>
      <c r="K992" s="103"/>
      <c r="L992" s="103"/>
      <c r="M992" s="103"/>
      <c r="N992" s="103"/>
    </row>
    <row r="993" spans="1:14" ht="15" hidden="1" customHeight="1" x14ac:dyDescent="0.25">
      <c r="A993" s="95"/>
      <c r="B993" s="95" t="s">
        <v>1550</v>
      </c>
      <c r="C993" s="95"/>
      <c r="D993" s="95"/>
      <c r="E993" s="103"/>
      <c r="F993" s="103"/>
      <c r="G993" s="103"/>
      <c r="H993" s="103">
        <v>0</v>
      </c>
      <c r="I993" s="103"/>
      <c r="J993" s="103"/>
      <c r="K993" s="103"/>
      <c r="L993" s="103"/>
      <c r="M993" s="103"/>
      <c r="N993" s="103"/>
    </row>
    <row r="994" spans="1:14" ht="15" hidden="1" customHeight="1" x14ac:dyDescent="0.25">
      <c r="A994" s="95"/>
      <c r="B994" s="95" t="s">
        <v>1551</v>
      </c>
      <c r="C994" s="95"/>
      <c r="D994" s="95"/>
      <c r="E994" s="103"/>
      <c r="F994" s="103"/>
      <c r="G994" s="103"/>
      <c r="H994" s="103">
        <v>0</v>
      </c>
      <c r="I994" s="103"/>
      <c r="J994" s="103"/>
      <c r="K994" s="103"/>
      <c r="L994" s="103"/>
      <c r="M994" s="103"/>
      <c r="N994" s="103"/>
    </row>
    <row r="995" spans="1:14" ht="15" hidden="1" customHeight="1" x14ac:dyDescent="0.25">
      <c r="A995" s="95"/>
      <c r="B995" s="95" t="s">
        <v>1548</v>
      </c>
      <c r="C995" s="95"/>
      <c r="D995" s="95"/>
      <c r="E995" s="103"/>
      <c r="F995" s="103"/>
      <c r="G995" s="103"/>
      <c r="H995" s="103">
        <v>3</v>
      </c>
      <c r="I995" s="103"/>
      <c r="J995" s="103"/>
      <c r="K995" s="103"/>
      <c r="L995" s="103"/>
      <c r="M995" s="103"/>
      <c r="N995" s="103"/>
    </row>
    <row r="996" spans="1:14" ht="15" hidden="1" customHeight="1" x14ac:dyDescent="0.25">
      <c r="A996" s="95"/>
      <c r="B996" s="95" t="s">
        <v>1549</v>
      </c>
      <c r="C996" s="95"/>
      <c r="D996" s="95"/>
      <c r="E996" s="103"/>
      <c r="F996" s="103"/>
      <c r="G996" s="103"/>
      <c r="H996" s="103">
        <v>0</v>
      </c>
      <c r="I996" s="103"/>
      <c r="J996" s="103"/>
      <c r="K996" s="103"/>
      <c r="L996" s="103"/>
      <c r="M996" s="103"/>
      <c r="N996" s="103"/>
    </row>
    <row r="997" spans="1:14" ht="15" hidden="1" customHeight="1" x14ac:dyDescent="0.25">
      <c r="A997" s="95"/>
      <c r="B997" s="95" t="s">
        <v>1550</v>
      </c>
      <c r="C997" s="95"/>
      <c r="D997" s="95"/>
      <c r="E997" s="103"/>
      <c r="F997" s="103"/>
      <c r="G997" s="103"/>
      <c r="H997" s="103">
        <v>10</v>
      </c>
      <c r="I997" s="103"/>
      <c r="J997" s="103"/>
      <c r="K997" s="103"/>
      <c r="L997" s="103"/>
      <c r="M997" s="103"/>
      <c r="N997" s="103"/>
    </row>
    <row r="998" spans="1:14" ht="15" hidden="1" customHeight="1" x14ac:dyDescent="0.25">
      <c r="A998" s="95"/>
      <c r="B998" s="95" t="s">
        <v>1551</v>
      </c>
      <c r="C998" s="95"/>
      <c r="D998" s="95"/>
      <c r="E998" s="103"/>
      <c r="F998" s="103"/>
      <c r="G998" s="103"/>
      <c r="H998" s="103">
        <v>0</v>
      </c>
      <c r="I998" s="103"/>
      <c r="J998" s="103"/>
      <c r="K998" s="103"/>
      <c r="L998" s="103"/>
      <c r="M998" s="103"/>
      <c r="N998" s="103"/>
    </row>
    <row r="999" spans="1:14" ht="15" hidden="1" customHeight="1" x14ac:dyDescent="0.25">
      <c r="A999" s="95"/>
      <c r="B999" s="95" t="s">
        <v>1548</v>
      </c>
      <c r="C999" s="95"/>
      <c r="D999" s="95"/>
      <c r="E999" s="103"/>
      <c r="F999" s="103"/>
      <c r="G999" s="103"/>
      <c r="H999" s="103">
        <v>0</v>
      </c>
      <c r="I999" s="103"/>
      <c r="J999" s="103"/>
      <c r="K999" s="103"/>
      <c r="L999" s="103"/>
      <c r="M999" s="103"/>
      <c r="N999" s="103"/>
    </row>
    <row r="1000" spans="1:14" ht="15" hidden="1" customHeight="1" x14ac:dyDescent="0.25">
      <c r="A1000" s="95"/>
      <c r="B1000" s="95" t="s">
        <v>1549</v>
      </c>
      <c r="C1000" s="95"/>
      <c r="D1000" s="95"/>
      <c r="E1000" s="103"/>
      <c r="F1000" s="103"/>
      <c r="G1000" s="103"/>
      <c r="H1000" s="103">
        <v>0</v>
      </c>
      <c r="I1000" s="103"/>
      <c r="J1000" s="103"/>
      <c r="K1000" s="103"/>
      <c r="L1000" s="103"/>
      <c r="M1000" s="103"/>
      <c r="N1000" s="103"/>
    </row>
    <row r="1001" spans="1:14" ht="15" hidden="1" customHeight="1" x14ac:dyDescent="0.25">
      <c r="A1001" s="95"/>
      <c r="B1001" s="95" t="s">
        <v>1550</v>
      </c>
      <c r="C1001" s="95"/>
      <c r="D1001" s="95"/>
      <c r="E1001" s="103"/>
      <c r="F1001" s="103"/>
      <c r="G1001" s="103"/>
      <c r="H1001" s="103">
        <v>0</v>
      </c>
      <c r="I1001" s="103"/>
      <c r="J1001" s="103"/>
      <c r="K1001" s="103"/>
      <c r="L1001" s="103"/>
      <c r="M1001" s="103"/>
      <c r="N1001" s="103"/>
    </row>
    <row r="1002" spans="1:14" ht="15" hidden="1" customHeight="1" x14ac:dyDescent="0.25">
      <c r="A1002" s="95"/>
      <c r="B1002" s="95" t="s">
        <v>1551</v>
      </c>
      <c r="C1002" s="95"/>
      <c r="D1002" s="95"/>
      <c r="E1002" s="103"/>
      <c r="F1002" s="103"/>
      <c r="G1002" s="103"/>
      <c r="H1002" s="103">
        <v>0</v>
      </c>
      <c r="I1002" s="103"/>
      <c r="J1002" s="103"/>
      <c r="K1002" s="103"/>
      <c r="L1002" s="103"/>
      <c r="M1002" s="103"/>
      <c r="N1002" s="103"/>
    </row>
    <row r="1003" spans="1:14" ht="15" hidden="1" customHeight="1" x14ac:dyDescent="0.25">
      <c r="A1003" s="95"/>
      <c r="B1003" s="95" t="s">
        <v>1548</v>
      </c>
      <c r="C1003" s="95"/>
      <c r="D1003" s="95"/>
      <c r="E1003" s="103"/>
      <c r="F1003" s="103"/>
      <c r="G1003" s="103"/>
      <c r="H1003" s="103">
        <v>0</v>
      </c>
      <c r="I1003" s="103"/>
      <c r="J1003" s="103"/>
      <c r="K1003" s="103"/>
      <c r="L1003" s="103"/>
      <c r="M1003" s="103"/>
      <c r="N1003" s="103"/>
    </row>
    <row r="1004" spans="1:14" ht="15" hidden="1" customHeight="1" x14ac:dyDescent="0.25">
      <c r="A1004" s="95"/>
      <c r="B1004" s="95" t="s">
        <v>1549</v>
      </c>
      <c r="C1004" s="95"/>
      <c r="D1004" s="95"/>
      <c r="E1004" s="103"/>
      <c r="F1004" s="103"/>
      <c r="G1004" s="103"/>
      <c r="H1004" s="103">
        <v>0</v>
      </c>
      <c r="I1004" s="103"/>
      <c r="J1004" s="103"/>
      <c r="K1004" s="103"/>
      <c r="L1004" s="103"/>
      <c r="M1004" s="103"/>
      <c r="N1004" s="103"/>
    </row>
    <row r="1005" spans="1:14" ht="15" hidden="1" customHeight="1" x14ac:dyDescent="0.25">
      <c r="A1005" s="95"/>
      <c r="B1005" s="95" t="s">
        <v>1550</v>
      </c>
      <c r="C1005" s="95"/>
      <c r="D1005" s="95"/>
      <c r="E1005" s="103"/>
      <c r="F1005" s="103"/>
      <c r="G1005" s="103"/>
      <c r="H1005" s="103">
        <v>0</v>
      </c>
      <c r="I1005" s="103"/>
      <c r="J1005" s="103"/>
      <c r="K1005" s="103"/>
      <c r="L1005" s="103"/>
      <c r="M1005" s="103"/>
      <c r="N1005" s="103"/>
    </row>
    <row r="1006" spans="1:14" ht="15" hidden="1" customHeight="1" x14ac:dyDescent="0.25">
      <c r="A1006" s="95"/>
      <c r="B1006" s="95" t="s">
        <v>1551</v>
      </c>
      <c r="C1006" s="95"/>
      <c r="D1006" s="95"/>
      <c r="E1006" s="103"/>
      <c r="F1006" s="103"/>
      <c r="G1006" s="103"/>
      <c r="H1006" s="103">
        <v>0</v>
      </c>
      <c r="I1006" s="103"/>
      <c r="J1006" s="103"/>
      <c r="K1006" s="103"/>
      <c r="L1006" s="103"/>
      <c r="M1006" s="103"/>
      <c r="N1006" s="103"/>
    </row>
    <row r="1007" spans="1:14" ht="15" hidden="1" customHeight="1" x14ac:dyDescent="0.25">
      <c r="A1007" s="95"/>
      <c r="B1007" s="96" t="s">
        <v>1367</v>
      </c>
      <c r="C1007" s="95"/>
      <c r="D1007" s="95"/>
      <c r="E1007" s="103"/>
      <c r="F1007" s="103"/>
      <c r="G1007" s="103"/>
      <c r="H1007" s="103">
        <f>H1008+H1009+H1010+H1011</f>
        <v>923</v>
      </c>
      <c r="I1007" s="103"/>
      <c r="J1007" s="103"/>
      <c r="K1007" s="103"/>
      <c r="L1007" s="103"/>
      <c r="M1007" s="103"/>
      <c r="N1007" s="103"/>
    </row>
    <row r="1008" spans="1:14" ht="15" hidden="1" customHeight="1" x14ac:dyDescent="0.25">
      <c r="A1008" s="95"/>
      <c r="B1008" s="95" t="s">
        <v>1542</v>
      </c>
      <c r="C1008" s="95"/>
      <c r="D1008" s="95"/>
      <c r="E1008" s="103"/>
      <c r="F1008" s="103"/>
      <c r="G1008" s="103"/>
      <c r="H1008" s="103">
        <v>25</v>
      </c>
      <c r="I1008" s="103"/>
      <c r="J1008" s="103"/>
      <c r="K1008" s="103"/>
      <c r="L1008" s="103"/>
      <c r="M1008" s="103"/>
      <c r="N1008" s="103"/>
    </row>
    <row r="1009" spans="1:14" ht="15" hidden="1" customHeight="1" x14ac:dyDescent="0.25">
      <c r="A1009" s="95"/>
      <c r="B1009" s="95" t="s">
        <v>1543</v>
      </c>
      <c r="C1009" s="95"/>
      <c r="D1009" s="95"/>
      <c r="E1009" s="103"/>
      <c r="F1009" s="103"/>
      <c r="G1009" s="103"/>
      <c r="H1009" s="103">
        <v>794</v>
      </c>
      <c r="I1009" s="103"/>
      <c r="J1009" s="103"/>
      <c r="K1009" s="103"/>
      <c r="L1009" s="103"/>
      <c r="M1009" s="103"/>
      <c r="N1009" s="103"/>
    </row>
    <row r="1010" spans="1:14" ht="15" hidden="1" customHeight="1" x14ac:dyDescent="0.25">
      <c r="A1010" s="95"/>
      <c r="B1010" s="95" t="s">
        <v>1544</v>
      </c>
      <c r="C1010" s="95"/>
      <c r="D1010" s="95"/>
      <c r="E1010" s="103"/>
      <c r="F1010" s="103"/>
      <c r="G1010" s="103"/>
      <c r="H1010" s="103">
        <v>0</v>
      </c>
      <c r="I1010" s="103"/>
      <c r="J1010" s="103"/>
      <c r="K1010" s="103"/>
      <c r="L1010" s="103"/>
      <c r="M1010" s="103"/>
      <c r="N1010" s="103"/>
    </row>
    <row r="1011" spans="1:14" ht="15" hidden="1" customHeight="1" x14ac:dyDescent="0.25">
      <c r="A1011" s="95"/>
      <c r="B1011" s="95" t="s">
        <v>1545</v>
      </c>
      <c r="C1011" s="95"/>
      <c r="D1011" s="95"/>
      <c r="E1011" s="103"/>
      <c r="F1011" s="103"/>
      <c r="G1011" s="103"/>
      <c r="H1011" s="103">
        <v>104</v>
      </c>
      <c r="I1011" s="103"/>
      <c r="J1011" s="103"/>
      <c r="K1011" s="103"/>
      <c r="L1011" s="103"/>
      <c r="M1011" s="103"/>
      <c r="N1011" s="103"/>
    </row>
    <row r="1012" spans="1:14" ht="15" hidden="1" customHeight="1" x14ac:dyDescent="0.25">
      <c r="A1012" s="95"/>
      <c r="B1012" s="96" t="s">
        <v>1368</v>
      </c>
      <c r="C1012" s="95"/>
      <c r="D1012" s="95"/>
      <c r="E1012" s="103"/>
      <c r="F1012" s="103"/>
      <c r="G1012" s="103"/>
      <c r="H1012" s="103">
        <f>H1013+H1014+H1015+H1016</f>
        <v>58</v>
      </c>
      <c r="I1012" s="103">
        <f>I1013+I1014+I1015+I1016</f>
        <v>0</v>
      </c>
      <c r="J1012" s="103">
        <f>J1013+J1014+J1015+J1016</f>
        <v>0</v>
      </c>
      <c r="K1012" s="103">
        <f>K1013+K1014+K1015+K1016</f>
        <v>0</v>
      </c>
      <c r="L1012" s="103">
        <f>L1013+L1014+L1015+L1016</f>
        <v>0</v>
      </c>
      <c r="M1012" s="103">
        <f t="shared" ref="M1012:N1012" si="1490">M1013+M1014+M1015+M1016</f>
        <v>0</v>
      </c>
      <c r="N1012" s="103">
        <f t="shared" si="1490"/>
        <v>0</v>
      </c>
    </row>
    <row r="1013" spans="1:14" ht="15" hidden="1" customHeight="1" x14ac:dyDescent="0.25">
      <c r="A1013" s="95"/>
      <c r="B1013" s="312" t="s">
        <v>1552</v>
      </c>
      <c r="C1013" s="95"/>
      <c r="D1013" s="95"/>
      <c r="E1013" s="103"/>
      <c r="F1013" s="103"/>
      <c r="G1013" s="103"/>
      <c r="H1013" s="103">
        <v>0</v>
      </c>
      <c r="I1013" s="103"/>
      <c r="J1013" s="103"/>
      <c r="K1013" s="103"/>
      <c r="L1013" s="103"/>
      <c r="M1013" s="103"/>
      <c r="N1013" s="103"/>
    </row>
    <row r="1014" spans="1:14" ht="15" hidden="1" customHeight="1" x14ac:dyDescent="0.25">
      <c r="A1014" s="95"/>
      <c r="B1014" s="312" t="s">
        <v>1552</v>
      </c>
      <c r="C1014" s="95"/>
      <c r="D1014" s="95"/>
      <c r="E1014" s="103"/>
      <c r="F1014" s="103"/>
      <c r="G1014" s="103"/>
      <c r="H1014" s="103">
        <v>58</v>
      </c>
      <c r="I1014" s="103"/>
      <c r="J1014" s="103"/>
      <c r="K1014" s="103"/>
      <c r="L1014" s="103"/>
      <c r="M1014" s="103"/>
      <c r="N1014" s="103"/>
    </row>
    <row r="1015" spans="1:14" ht="15" hidden="1" customHeight="1" x14ac:dyDescent="0.25">
      <c r="A1015" s="95"/>
      <c r="B1015" s="312" t="s">
        <v>1552</v>
      </c>
      <c r="C1015" s="95"/>
      <c r="D1015" s="95"/>
      <c r="E1015" s="103"/>
      <c r="F1015" s="103"/>
      <c r="G1015" s="103"/>
      <c r="H1015" s="103">
        <v>0</v>
      </c>
      <c r="I1015" s="103"/>
      <c r="J1015" s="103"/>
      <c r="K1015" s="103"/>
      <c r="L1015" s="103"/>
      <c r="M1015" s="103"/>
      <c r="N1015" s="103"/>
    </row>
    <row r="1016" spans="1:14" ht="15" hidden="1" customHeight="1" x14ac:dyDescent="0.25">
      <c r="A1016" s="95"/>
      <c r="B1016" s="312" t="s">
        <v>1552</v>
      </c>
      <c r="C1016" s="95"/>
      <c r="D1016" s="95"/>
      <c r="E1016" s="103"/>
      <c r="F1016" s="103"/>
      <c r="G1016" s="103"/>
      <c r="H1016" s="103">
        <v>0</v>
      </c>
      <c r="I1016" s="103"/>
      <c r="J1016" s="103"/>
      <c r="K1016" s="103"/>
      <c r="L1016" s="103"/>
      <c r="M1016" s="103"/>
      <c r="N1016" s="103"/>
    </row>
    <row r="1017" spans="1:14" ht="15" hidden="1" customHeight="1" x14ac:dyDescent="0.25">
      <c r="A1017" s="95"/>
      <c r="B1017" s="96" t="s">
        <v>1369</v>
      </c>
      <c r="C1017" s="95"/>
      <c r="D1017" s="95"/>
      <c r="E1017" s="103"/>
      <c r="F1017" s="103"/>
      <c r="G1017" s="103"/>
      <c r="H1017" s="103">
        <f>H1018+H1019+H1020+H1021</f>
        <v>22</v>
      </c>
      <c r="I1017" s="103">
        <f>I1018+I1019+I1020+I1021</f>
        <v>0</v>
      </c>
      <c r="J1017" s="103">
        <f>J1018+J1019+J1020+J1021</f>
        <v>0</v>
      </c>
      <c r="K1017" s="103">
        <f>K1018+K1019+K1020+K1021</f>
        <v>0</v>
      </c>
      <c r="L1017" s="103">
        <f>L1018+L1019+L1020+L1021</f>
        <v>0</v>
      </c>
      <c r="M1017" s="103">
        <f t="shared" ref="M1017:N1017" si="1491">M1018+M1019+M1020+M1021</f>
        <v>0</v>
      </c>
      <c r="N1017" s="103">
        <f t="shared" si="1491"/>
        <v>0</v>
      </c>
    </row>
    <row r="1018" spans="1:14" ht="15" hidden="1" customHeight="1" x14ac:dyDescent="0.25">
      <c r="A1018" s="95"/>
      <c r="B1018" s="312" t="s">
        <v>1553</v>
      </c>
      <c r="C1018" s="95"/>
      <c r="D1018" s="95"/>
      <c r="E1018" s="103"/>
      <c r="F1018" s="103"/>
      <c r="G1018" s="103"/>
      <c r="H1018" s="103">
        <v>0</v>
      </c>
      <c r="I1018" s="103"/>
      <c r="J1018" s="103"/>
      <c r="K1018" s="103"/>
      <c r="L1018" s="103"/>
      <c r="M1018" s="103"/>
      <c r="N1018" s="103"/>
    </row>
    <row r="1019" spans="1:14" ht="15" hidden="1" customHeight="1" x14ac:dyDescent="0.25">
      <c r="A1019" s="95"/>
      <c r="B1019" s="312" t="s">
        <v>1553</v>
      </c>
      <c r="C1019" s="95"/>
      <c r="D1019" s="95"/>
      <c r="E1019" s="103"/>
      <c r="F1019" s="103"/>
      <c r="G1019" s="103"/>
      <c r="H1019" s="103">
        <v>22</v>
      </c>
      <c r="I1019" s="103"/>
      <c r="J1019" s="103"/>
      <c r="K1019" s="103"/>
      <c r="L1019" s="103"/>
      <c r="M1019" s="103"/>
      <c r="N1019" s="103"/>
    </row>
    <row r="1020" spans="1:14" ht="15" hidden="1" customHeight="1" x14ac:dyDescent="0.25">
      <c r="A1020" s="95"/>
      <c r="B1020" s="312" t="s">
        <v>1553</v>
      </c>
      <c r="C1020" s="95"/>
      <c r="D1020" s="95"/>
      <c r="E1020" s="103"/>
      <c r="F1020" s="103"/>
      <c r="G1020" s="103"/>
      <c r="H1020" s="103">
        <v>0</v>
      </c>
      <c r="I1020" s="103"/>
      <c r="J1020" s="103"/>
      <c r="K1020" s="103"/>
      <c r="L1020" s="103"/>
      <c r="M1020" s="103"/>
      <c r="N1020" s="103"/>
    </row>
    <row r="1021" spans="1:14" ht="15" hidden="1" customHeight="1" x14ac:dyDescent="0.25">
      <c r="A1021" s="95"/>
      <c r="B1021" s="312" t="s">
        <v>1553</v>
      </c>
      <c r="C1021" s="95"/>
      <c r="D1021" s="95"/>
      <c r="E1021" s="103"/>
      <c r="F1021" s="103"/>
      <c r="G1021" s="103"/>
      <c r="H1021" s="103">
        <v>0</v>
      </c>
      <c r="I1021" s="103"/>
      <c r="J1021" s="103"/>
      <c r="K1021" s="103"/>
      <c r="L1021" s="103"/>
      <c r="M1021" s="103"/>
      <c r="N1021" s="103"/>
    </row>
    <row r="1022" spans="1:14" ht="15" hidden="1" customHeight="1" x14ac:dyDescent="0.25">
      <c r="A1022" s="95"/>
      <c r="B1022" s="96" t="s">
        <v>1370</v>
      </c>
      <c r="C1022" s="95"/>
      <c r="D1022" s="95"/>
      <c r="E1022" s="103"/>
      <c r="F1022" s="103"/>
      <c r="G1022" s="103"/>
      <c r="H1022" s="103">
        <f>H1023+H1024+H1025+H1026</f>
        <v>11</v>
      </c>
      <c r="I1022" s="103">
        <f>I1023+I1024+I1025+I1026</f>
        <v>0</v>
      </c>
      <c r="J1022" s="103">
        <f>J1023+J1024+J1025+J1026</f>
        <v>0</v>
      </c>
      <c r="K1022" s="103">
        <f>K1023+K1024+K1025+K1026</f>
        <v>0</v>
      </c>
      <c r="L1022" s="103">
        <f>L1023+L1024+L1025+L1026</f>
        <v>0</v>
      </c>
      <c r="M1022" s="103">
        <f t="shared" ref="M1022:N1022" si="1492">M1023+M1024+M1025+M1026</f>
        <v>0</v>
      </c>
      <c r="N1022" s="103">
        <f t="shared" si="1492"/>
        <v>0</v>
      </c>
    </row>
    <row r="1023" spans="1:14" ht="15" hidden="1" customHeight="1" x14ac:dyDescent="0.25">
      <c r="A1023" s="95"/>
      <c r="B1023" s="312" t="s">
        <v>1554</v>
      </c>
      <c r="C1023" s="95"/>
      <c r="D1023" s="95"/>
      <c r="E1023" s="103"/>
      <c r="F1023" s="103"/>
      <c r="G1023" s="103"/>
      <c r="H1023" s="103">
        <v>0</v>
      </c>
      <c r="I1023" s="103"/>
      <c r="J1023" s="103"/>
      <c r="K1023" s="103"/>
      <c r="L1023" s="103"/>
      <c r="M1023" s="103"/>
      <c r="N1023" s="103"/>
    </row>
    <row r="1024" spans="1:14" ht="15" hidden="1" customHeight="1" x14ac:dyDescent="0.25">
      <c r="A1024" s="95"/>
      <c r="B1024" s="312" t="s">
        <v>1554</v>
      </c>
      <c r="C1024" s="95"/>
      <c r="D1024" s="95"/>
      <c r="E1024" s="103"/>
      <c r="F1024" s="103"/>
      <c r="G1024" s="103"/>
      <c r="H1024" s="103">
        <v>11</v>
      </c>
      <c r="I1024" s="103"/>
      <c r="J1024" s="103"/>
      <c r="K1024" s="103"/>
      <c r="L1024" s="103"/>
      <c r="M1024" s="103"/>
      <c r="N1024" s="103"/>
    </row>
    <row r="1025" spans="1:14" ht="15" hidden="1" customHeight="1" x14ac:dyDescent="0.25">
      <c r="A1025" s="95"/>
      <c r="B1025" s="312" t="s">
        <v>1554</v>
      </c>
      <c r="C1025" s="95"/>
      <c r="D1025" s="95"/>
      <c r="E1025" s="103"/>
      <c r="F1025" s="103"/>
      <c r="G1025" s="103"/>
      <c r="H1025" s="103">
        <v>0</v>
      </c>
      <c r="I1025" s="103"/>
      <c r="J1025" s="103"/>
      <c r="K1025" s="103"/>
      <c r="L1025" s="103"/>
      <c r="M1025" s="103"/>
      <c r="N1025" s="103"/>
    </row>
    <row r="1026" spans="1:14" ht="15" hidden="1" customHeight="1" x14ac:dyDescent="0.25">
      <c r="A1026" s="95"/>
      <c r="B1026" s="312" t="s">
        <v>1554</v>
      </c>
      <c r="C1026" s="95"/>
      <c r="D1026" s="95"/>
      <c r="E1026" s="103"/>
      <c r="F1026" s="103"/>
      <c r="G1026" s="103"/>
      <c r="H1026" s="103">
        <v>0</v>
      </c>
      <c r="I1026" s="103"/>
      <c r="J1026" s="103"/>
      <c r="K1026" s="103"/>
      <c r="L1026" s="103"/>
      <c r="M1026" s="103"/>
      <c r="N1026" s="103"/>
    </row>
    <row r="1027" spans="1:14" ht="15" hidden="1" customHeight="1" x14ac:dyDescent="0.25">
      <c r="A1027" s="95"/>
      <c r="B1027" s="96" t="s">
        <v>1371</v>
      </c>
      <c r="C1027" s="95"/>
      <c r="D1027" s="95"/>
      <c r="E1027" s="103"/>
      <c r="F1027" s="103"/>
      <c r="G1027" s="103"/>
      <c r="H1027" s="103">
        <f>H1028+H1029+H1030+H1031</f>
        <v>0</v>
      </c>
      <c r="I1027" s="103">
        <f>I1028+I1029+I1030+I1031</f>
        <v>0</v>
      </c>
      <c r="J1027" s="103">
        <f>J1028+J1029+J1030+J1031</f>
        <v>0</v>
      </c>
      <c r="K1027" s="103">
        <f>K1028+K1029+K1030+K1031</f>
        <v>0</v>
      </c>
      <c r="L1027" s="103">
        <f>L1028+L1029+L1030+L1031</f>
        <v>0</v>
      </c>
      <c r="M1027" s="103">
        <f t="shared" ref="M1027:N1027" si="1493">M1028+M1029+M1030+M1031</f>
        <v>0</v>
      </c>
      <c r="N1027" s="103">
        <f t="shared" si="1493"/>
        <v>0</v>
      </c>
    </row>
    <row r="1028" spans="1:14" ht="15" hidden="1" customHeight="1" x14ac:dyDescent="0.25">
      <c r="A1028" s="95"/>
      <c r="B1028" s="312" t="s">
        <v>1555</v>
      </c>
      <c r="C1028" s="95"/>
      <c r="D1028" s="95"/>
      <c r="E1028" s="103"/>
      <c r="F1028" s="103"/>
      <c r="G1028" s="103"/>
      <c r="H1028" s="103">
        <v>0</v>
      </c>
      <c r="I1028" s="103"/>
      <c r="J1028" s="103"/>
      <c r="K1028" s="103"/>
      <c r="L1028" s="103"/>
      <c r="M1028" s="103"/>
      <c r="N1028" s="103"/>
    </row>
    <row r="1029" spans="1:14" ht="15" hidden="1" customHeight="1" x14ac:dyDescent="0.25">
      <c r="A1029" s="95"/>
      <c r="B1029" s="312" t="s">
        <v>1555</v>
      </c>
      <c r="C1029" s="95"/>
      <c r="D1029" s="95"/>
      <c r="E1029" s="103"/>
      <c r="F1029" s="103"/>
      <c r="G1029" s="103"/>
      <c r="H1029" s="103">
        <v>0</v>
      </c>
      <c r="I1029" s="103"/>
      <c r="J1029" s="103"/>
      <c r="K1029" s="103"/>
      <c r="L1029" s="103"/>
      <c r="M1029" s="103"/>
      <c r="N1029" s="103"/>
    </row>
    <row r="1030" spans="1:14" ht="15" hidden="1" customHeight="1" x14ac:dyDescent="0.25">
      <c r="A1030" s="95"/>
      <c r="B1030" s="312" t="s">
        <v>1555</v>
      </c>
      <c r="C1030" s="95"/>
      <c r="D1030" s="95"/>
      <c r="E1030" s="103"/>
      <c r="F1030" s="103"/>
      <c r="G1030" s="103"/>
      <c r="H1030" s="103">
        <v>0</v>
      </c>
      <c r="I1030" s="103"/>
      <c r="J1030" s="103"/>
      <c r="K1030" s="103"/>
      <c r="L1030" s="103"/>
      <c r="M1030" s="103"/>
      <c r="N1030" s="103"/>
    </row>
    <row r="1031" spans="1:14" ht="15" hidden="1" customHeight="1" x14ac:dyDescent="0.25">
      <c r="A1031" s="95"/>
      <c r="B1031" s="312" t="s">
        <v>1555</v>
      </c>
      <c r="C1031" s="95"/>
      <c r="D1031" s="95"/>
      <c r="E1031" s="103"/>
      <c r="F1031" s="103"/>
      <c r="G1031" s="103"/>
      <c r="H1031" s="103">
        <v>0</v>
      </c>
      <c r="I1031" s="103"/>
      <c r="J1031" s="103"/>
      <c r="K1031" s="103"/>
      <c r="L1031" s="103"/>
      <c r="M1031" s="103"/>
      <c r="N1031" s="103"/>
    </row>
    <row r="1032" spans="1:14" ht="15" hidden="1" customHeight="1" x14ac:dyDescent="0.25">
      <c r="A1032" s="95"/>
      <c r="B1032" s="96" t="s">
        <v>1372</v>
      </c>
      <c r="C1032" s="95"/>
      <c r="D1032" s="95"/>
      <c r="E1032" s="103"/>
      <c r="F1032" s="103"/>
      <c r="G1032" s="103"/>
      <c r="H1032" s="103">
        <f>H1033+H1034+H1035+H1036</f>
        <v>0</v>
      </c>
      <c r="I1032" s="103">
        <f>I1033+I1034+I1035+I1036</f>
        <v>0</v>
      </c>
      <c r="J1032" s="103">
        <f>J1033+J1034+J1035+J1036</f>
        <v>0</v>
      </c>
      <c r="K1032" s="103">
        <f>K1033+K1034+K1035+K1036</f>
        <v>0</v>
      </c>
      <c r="L1032" s="103">
        <f>L1033+L1034+L1035+L1036</f>
        <v>0</v>
      </c>
      <c r="M1032" s="103">
        <f t="shared" ref="M1032:N1032" si="1494">M1033+M1034+M1035+M1036</f>
        <v>0</v>
      </c>
      <c r="N1032" s="103">
        <f t="shared" si="1494"/>
        <v>0</v>
      </c>
    </row>
    <row r="1033" spans="1:14" ht="15" hidden="1" customHeight="1" x14ac:dyDescent="0.25">
      <c r="A1033" s="95"/>
      <c r="B1033" s="312" t="s">
        <v>1556</v>
      </c>
      <c r="C1033" s="95"/>
      <c r="D1033" s="95"/>
      <c r="E1033" s="103"/>
      <c r="F1033" s="103"/>
      <c r="G1033" s="103"/>
      <c r="H1033" s="103">
        <v>0</v>
      </c>
      <c r="I1033" s="103"/>
      <c r="J1033" s="103"/>
      <c r="K1033" s="103"/>
      <c r="L1033" s="103"/>
      <c r="M1033" s="103"/>
      <c r="N1033" s="103"/>
    </row>
    <row r="1034" spans="1:14" ht="15" hidden="1" customHeight="1" x14ac:dyDescent="0.25">
      <c r="A1034" s="95"/>
      <c r="B1034" s="312" t="s">
        <v>1556</v>
      </c>
      <c r="C1034" s="95"/>
      <c r="D1034" s="95"/>
      <c r="E1034" s="103"/>
      <c r="F1034" s="103"/>
      <c r="G1034" s="103"/>
      <c r="H1034" s="103">
        <v>0</v>
      </c>
      <c r="I1034" s="103"/>
      <c r="J1034" s="103"/>
      <c r="K1034" s="103"/>
      <c r="L1034" s="103"/>
      <c r="M1034" s="103"/>
      <c r="N1034" s="103"/>
    </row>
    <row r="1035" spans="1:14" ht="15" hidden="1" customHeight="1" x14ac:dyDescent="0.25">
      <c r="A1035" s="95"/>
      <c r="B1035" s="312" t="s">
        <v>1556</v>
      </c>
      <c r="C1035" s="95"/>
      <c r="D1035" s="95"/>
      <c r="E1035" s="103"/>
      <c r="F1035" s="103"/>
      <c r="G1035" s="103"/>
      <c r="H1035" s="103">
        <v>0</v>
      </c>
      <c r="I1035" s="103"/>
      <c r="J1035" s="103"/>
      <c r="K1035" s="103"/>
      <c r="L1035" s="103"/>
      <c r="M1035" s="103"/>
      <c r="N1035" s="103"/>
    </row>
    <row r="1036" spans="1:14" ht="15" hidden="1" customHeight="1" x14ac:dyDescent="0.25">
      <c r="A1036" s="95"/>
      <c r="B1036" s="312" t="s">
        <v>1556</v>
      </c>
      <c r="C1036" s="95"/>
      <c r="D1036" s="95"/>
      <c r="E1036" s="103"/>
      <c r="F1036" s="103"/>
      <c r="G1036" s="103"/>
      <c r="H1036" s="103">
        <v>0</v>
      </c>
      <c r="I1036" s="103"/>
      <c r="J1036" s="103"/>
      <c r="K1036" s="103"/>
      <c r="L1036" s="103"/>
      <c r="M1036" s="103"/>
      <c r="N1036" s="103"/>
    </row>
    <row r="1037" spans="1:14" ht="45" hidden="1" customHeight="1" x14ac:dyDescent="0.25">
      <c r="A1037" s="95" t="s">
        <v>1386</v>
      </c>
      <c r="B1037" s="96" t="s">
        <v>1387</v>
      </c>
      <c r="C1037" s="95"/>
      <c r="D1037" s="95"/>
      <c r="E1037" s="103"/>
      <c r="F1037" s="103"/>
      <c r="G1037" s="103"/>
      <c r="H1037" s="103"/>
      <c r="I1037" s="103"/>
      <c r="J1037" s="103"/>
      <c r="K1037" s="103"/>
      <c r="L1037" s="103"/>
      <c r="M1037" s="103"/>
      <c r="N1037" s="103"/>
    </row>
    <row r="1038" spans="1:14" ht="15" hidden="1" customHeight="1" x14ac:dyDescent="0.25">
      <c r="A1038" s="95"/>
      <c r="B1038" s="96" t="s">
        <v>1182</v>
      </c>
      <c r="C1038" s="95"/>
      <c r="D1038" s="95"/>
      <c r="E1038" s="103"/>
      <c r="F1038" s="103"/>
      <c r="G1038" s="103"/>
      <c r="H1038" s="103"/>
      <c r="I1038" s="103"/>
      <c r="J1038" s="103"/>
      <c r="K1038" s="103"/>
      <c r="L1038" s="103"/>
      <c r="M1038" s="103"/>
      <c r="N1038" s="103"/>
    </row>
    <row r="1039" spans="1:14" ht="15" hidden="1" customHeight="1" x14ac:dyDescent="0.25">
      <c r="A1039" s="95"/>
      <c r="B1039" s="96" t="s">
        <v>1388</v>
      </c>
      <c r="C1039" s="95"/>
      <c r="D1039" s="95" t="s">
        <v>8</v>
      </c>
      <c r="E1039" s="103"/>
      <c r="F1039" s="103"/>
      <c r="G1039" s="103"/>
      <c r="H1039" s="338">
        <f>ROUND(H1046/H1058*100,2)</f>
        <v>85.19</v>
      </c>
      <c r="I1039" s="338" t="e">
        <f>ROUND(I1046/I1058*100,2)</f>
        <v>#DIV/0!</v>
      </c>
      <c r="J1039" s="338" t="e">
        <f>ROUND(J1046/J1058*100,2)</f>
        <v>#DIV/0!</v>
      </c>
      <c r="K1039" s="338" t="e">
        <f>ROUND(K1046/K1058*100,2)</f>
        <v>#DIV/0!</v>
      </c>
      <c r="L1039" s="338" t="e">
        <f>ROUND(L1046/L1058*100,2)</f>
        <v>#DIV/0!</v>
      </c>
      <c r="M1039" s="338" t="e">
        <f t="shared" ref="M1039:N1039" si="1495">ROUND(M1046/M1058*100,2)</f>
        <v>#DIV/0!</v>
      </c>
      <c r="N1039" s="338" t="e">
        <f t="shared" si="1495"/>
        <v>#DIV/0!</v>
      </c>
    </row>
    <row r="1040" spans="1:14" ht="15" hidden="1" customHeight="1" x14ac:dyDescent="0.25">
      <c r="A1040" s="95"/>
      <c r="B1040" s="96" t="s">
        <v>1393</v>
      </c>
      <c r="C1040" s="95"/>
      <c r="D1040" s="95" t="s">
        <v>8</v>
      </c>
      <c r="E1040" s="103"/>
      <c r="F1040" s="103"/>
      <c r="G1040" s="103"/>
      <c r="H1040" s="338">
        <f>ROUND(H1048/H1060*100,2)</f>
        <v>84.39</v>
      </c>
      <c r="I1040" s="338" t="e">
        <f>ROUND(I1048/I1060*100,2)</f>
        <v>#DIV/0!</v>
      </c>
      <c r="J1040" s="338" t="e">
        <f>ROUND(J1048/J1060*100,2)</f>
        <v>#DIV/0!</v>
      </c>
      <c r="K1040" s="338" t="e">
        <f>ROUND(K1048/K1060*100,2)</f>
        <v>#DIV/0!</v>
      </c>
      <c r="L1040" s="338" t="e">
        <f>ROUND(L1048/L1060*100,2)</f>
        <v>#DIV/0!</v>
      </c>
      <c r="M1040" s="338" t="e">
        <f t="shared" ref="M1040:N1040" si="1496">ROUND(M1048/M1060*100,2)</f>
        <v>#DIV/0!</v>
      </c>
      <c r="N1040" s="338" t="e">
        <f t="shared" si="1496"/>
        <v>#DIV/0!</v>
      </c>
    </row>
    <row r="1041" spans="1:16" ht="15" hidden="1" customHeight="1" x14ac:dyDescent="0.25">
      <c r="A1041" s="95"/>
      <c r="B1041" s="96" t="s">
        <v>1389</v>
      </c>
      <c r="C1041" s="95"/>
      <c r="D1041" s="95" t="s">
        <v>8</v>
      </c>
      <c r="E1041" s="103"/>
      <c r="F1041" s="103"/>
      <c r="G1041" s="103"/>
      <c r="H1041" s="338">
        <f>ROUND(H1050/H1062*100,2)</f>
        <v>85.64</v>
      </c>
      <c r="I1041" s="338" t="e">
        <f>ROUND(I1050/I1062*100,2)</f>
        <v>#DIV/0!</v>
      </c>
      <c r="J1041" s="338" t="e">
        <f>ROUND(J1050/J1062*100,2)</f>
        <v>#DIV/0!</v>
      </c>
      <c r="K1041" s="338" t="e">
        <f>ROUND(K1050/K1062*100,2)</f>
        <v>#DIV/0!</v>
      </c>
      <c r="L1041" s="338" t="e">
        <f>ROUND(L1050/L1062*100,2)</f>
        <v>#DIV/0!</v>
      </c>
      <c r="M1041" s="338" t="e">
        <f t="shared" ref="M1041:N1041" si="1497">ROUND(M1050/M1062*100,2)</f>
        <v>#DIV/0!</v>
      </c>
      <c r="N1041" s="338" t="e">
        <f t="shared" si="1497"/>
        <v>#DIV/0!</v>
      </c>
    </row>
    <row r="1042" spans="1:16" ht="15" hidden="1" customHeight="1" x14ac:dyDescent="0.25">
      <c r="A1042" s="95"/>
      <c r="B1042" s="96" t="s">
        <v>1390</v>
      </c>
      <c r="C1042" s="95"/>
      <c r="D1042" s="95" t="s">
        <v>8</v>
      </c>
      <c r="E1042" s="103"/>
      <c r="F1042" s="103"/>
      <c r="G1042" s="103"/>
      <c r="H1042" s="338">
        <f>ROUND(H1052/H1064*100,2)</f>
        <v>83.35</v>
      </c>
      <c r="I1042" s="338" t="e">
        <f>ROUND(I1052/I1064*100,2)</f>
        <v>#DIV/0!</v>
      </c>
      <c r="J1042" s="338" t="e">
        <f>ROUND(J1052/J1064*100,2)</f>
        <v>#DIV/0!</v>
      </c>
      <c r="K1042" s="338" t="e">
        <f>ROUND(K1052/K1064*100,2)</f>
        <v>#DIV/0!</v>
      </c>
      <c r="L1042" s="338" t="e">
        <f>ROUND(L1052/L1064*100,2)</f>
        <v>#DIV/0!</v>
      </c>
      <c r="M1042" s="338" t="e">
        <f t="shared" ref="M1042:N1042" si="1498">ROUND(M1052/M1064*100,2)</f>
        <v>#DIV/0!</v>
      </c>
      <c r="N1042" s="338" t="e">
        <f t="shared" si="1498"/>
        <v>#DIV/0!</v>
      </c>
    </row>
    <row r="1043" spans="1:16" ht="15" hidden="1" customHeight="1" x14ac:dyDescent="0.25">
      <c r="A1043" s="95"/>
      <c r="B1043" s="96" t="s">
        <v>1391</v>
      </c>
      <c r="C1043" s="95"/>
      <c r="D1043" s="95" t="s">
        <v>8</v>
      </c>
      <c r="E1043" s="103"/>
      <c r="F1043" s="103"/>
      <c r="G1043" s="103"/>
      <c r="H1043" s="335">
        <f>ROUND(H1054/H1066*100,2)</f>
        <v>94.12</v>
      </c>
      <c r="I1043" s="335" t="e">
        <f>ROUND(I1054/I1066*100,2)</f>
        <v>#DIV/0!</v>
      </c>
      <c r="J1043" s="335" t="e">
        <f>ROUND(J1054/J1066*100,2)</f>
        <v>#DIV/0!</v>
      </c>
      <c r="K1043" s="335" t="e">
        <f>ROUND(K1054/K1066*100,2)</f>
        <v>#DIV/0!</v>
      </c>
      <c r="L1043" s="335" t="e">
        <f>ROUND(L1054/L1066*100,2)</f>
        <v>#DIV/0!</v>
      </c>
      <c r="M1043" s="335" t="e">
        <f t="shared" ref="M1043:N1043" si="1499">ROUND(M1054/M1066*100,2)</f>
        <v>#DIV/0!</v>
      </c>
      <c r="N1043" s="335" t="e">
        <f t="shared" si="1499"/>
        <v>#DIV/0!</v>
      </c>
    </row>
    <row r="1044" spans="1:16" ht="15" hidden="1" customHeight="1" x14ac:dyDescent="0.25">
      <c r="A1044" s="95"/>
      <c r="B1044" s="96" t="s">
        <v>1392</v>
      </c>
      <c r="C1044" s="95"/>
      <c r="D1044" s="95" t="s">
        <v>8</v>
      </c>
      <c r="E1044" s="103"/>
      <c r="F1044" s="103"/>
      <c r="G1044" s="103"/>
      <c r="H1044" s="338">
        <f>ROUND(H1056/H1068*100,2)</f>
        <v>100</v>
      </c>
      <c r="I1044" s="338" t="e">
        <f>ROUND(I1056/I1068*100,2)</f>
        <v>#DIV/0!</v>
      </c>
      <c r="J1044" s="338" t="e">
        <f>ROUND(J1056/J1068*100,2)</f>
        <v>#DIV/0!</v>
      </c>
      <c r="K1044" s="338" t="e">
        <f>ROUND(K1056/K1068*100,2)</f>
        <v>#DIV/0!</v>
      </c>
      <c r="L1044" s="338" t="e">
        <f>ROUND(L1056/L1068*100,2)</f>
        <v>#DIV/0!</v>
      </c>
      <c r="M1044" s="338" t="e">
        <f t="shared" ref="M1044:N1044" si="1500">ROUND(M1056/M1068*100,2)</f>
        <v>#DIV/0!</v>
      </c>
      <c r="N1044" s="338" t="e">
        <f t="shared" si="1500"/>
        <v>#DIV/0!</v>
      </c>
    </row>
    <row r="1045" spans="1:16" ht="15" hidden="1" customHeight="1" x14ac:dyDescent="0.25">
      <c r="A1045" s="95"/>
      <c r="B1045" s="96" t="s">
        <v>1388</v>
      </c>
      <c r="C1045" s="95"/>
      <c r="D1045" s="95"/>
      <c r="E1045" s="103"/>
      <c r="F1045" s="103"/>
      <c r="G1045" s="103"/>
      <c r="H1045" s="103"/>
      <c r="I1045" s="103"/>
      <c r="J1045" s="103"/>
      <c r="K1045" s="103"/>
      <c r="L1045" s="103"/>
      <c r="M1045" s="103"/>
      <c r="N1045" s="103"/>
    </row>
    <row r="1046" spans="1:16" ht="15" hidden="1" customHeight="1" x14ac:dyDescent="0.25">
      <c r="A1046" s="95"/>
      <c r="B1046" s="95" t="s">
        <v>1527</v>
      </c>
      <c r="C1046" s="95"/>
      <c r="D1046" s="95"/>
      <c r="E1046" s="103"/>
      <c r="F1046" s="103"/>
      <c r="G1046" s="103"/>
      <c r="H1046" s="342">
        <v>941.33</v>
      </c>
      <c r="I1046" s="342"/>
      <c r="J1046" s="342"/>
      <c r="K1046" s="342"/>
      <c r="L1046" s="342"/>
      <c r="M1046" s="342"/>
      <c r="N1046" s="342"/>
      <c r="P1046" s="295"/>
    </row>
    <row r="1047" spans="1:16" ht="15" hidden="1" customHeight="1" x14ac:dyDescent="0.25">
      <c r="A1047" s="95"/>
      <c r="B1047" s="96" t="s">
        <v>1393</v>
      </c>
      <c r="C1047" s="95"/>
      <c r="D1047" s="95"/>
      <c r="E1047" s="103"/>
      <c r="F1047" s="103"/>
      <c r="G1047" s="103"/>
      <c r="H1047" s="103"/>
      <c r="I1047" s="103"/>
      <c r="J1047" s="103"/>
      <c r="K1047" s="103"/>
      <c r="L1047" s="103"/>
      <c r="M1047" s="103"/>
      <c r="N1047" s="103"/>
    </row>
    <row r="1048" spans="1:16" ht="15" hidden="1" customHeight="1" x14ac:dyDescent="0.25">
      <c r="A1048" s="95"/>
      <c r="B1048" s="95" t="s">
        <v>1528</v>
      </c>
      <c r="C1048" s="95"/>
      <c r="D1048" s="95"/>
      <c r="E1048" s="103"/>
      <c r="F1048" s="103"/>
      <c r="G1048" s="103"/>
      <c r="H1048" s="339">
        <v>41.1</v>
      </c>
      <c r="I1048" s="339"/>
      <c r="J1048" s="339"/>
      <c r="K1048" s="339"/>
      <c r="L1048" s="339"/>
      <c r="M1048" s="339"/>
      <c r="N1048" s="339"/>
    </row>
    <row r="1049" spans="1:16" ht="15" hidden="1" customHeight="1" x14ac:dyDescent="0.25">
      <c r="A1049" s="95"/>
      <c r="B1049" s="96" t="s">
        <v>1389</v>
      </c>
      <c r="C1049" s="95"/>
      <c r="D1049" s="95"/>
      <c r="E1049" s="103"/>
      <c r="F1049" s="103"/>
      <c r="G1049" s="103"/>
      <c r="H1049" s="103"/>
      <c r="I1049" s="103"/>
      <c r="J1049" s="103"/>
      <c r="K1049" s="103"/>
      <c r="L1049" s="103"/>
      <c r="M1049" s="103"/>
      <c r="N1049" s="103"/>
    </row>
    <row r="1050" spans="1:16" ht="15" hidden="1" customHeight="1" x14ac:dyDescent="0.25">
      <c r="A1050" s="95"/>
      <c r="B1050" s="95" t="s">
        <v>1529</v>
      </c>
      <c r="C1050" s="95"/>
      <c r="D1050" s="95"/>
      <c r="E1050" s="103"/>
      <c r="F1050" s="103"/>
      <c r="G1050" s="103"/>
      <c r="H1050" s="339">
        <v>44.25</v>
      </c>
      <c r="I1050" s="339"/>
      <c r="J1050" s="339"/>
      <c r="K1050" s="339"/>
      <c r="L1050" s="339"/>
      <c r="M1050" s="339"/>
      <c r="N1050" s="339"/>
      <c r="O1050" s="295"/>
    </row>
    <row r="1051" spans="1:16" ht="15" hidden="1" customHeight="1" x14ac:dyDescent="0.25">
      <c r="A1051" s="95"/>
      <c r="B1051" s="96" t="s">
        <v>1390</v>
      </c>
      <c r="C1051" s="95"/>
      <c r="D1051" s="95"/>
      <c r="E1051" s="103"/>
      <c r="F1051" s="103"/>
      <c r="G1051" s="103"/>
      <c r="H1051" s="103"/>
      <c r="I1051" s="103"/>
      <c r="J1051" s="103"/>
      <c r="K1051" s="103"/>
      <c r="L1051" s="103"/>
      <c r="M1051" s="103"/>
      <c r="N1051" s="103"/>
    </row>
    <row r="1052" spans="1:16" ht="15" hidden="1" customHeight="1" x14ac:dyDescent="0.25">
      <c r="A1052" s="95"/>
      <c r="B1052" s="95" t="s">
        <v>1530</v>
      </c>
      <c r="C1052" s="95"/>
      <c r="D1052" s="95"/>
      <c r="E1052" s="103"/>
      <c r="F1052" s="103"/>
      <c r="G1052" s="103"/>
      <c r="H1052" s="339">
        <v>47.56</v>
      </c>
      <c r="I1052" s="339"/>
      <c r="J1052" s="339"/>
      <c r="K1052" s="339"/>
      <c r="L1052" s="339"/>
      <c r="M1052" s="339"/>
      <c r="N1052" s="339"/>
      <c r="O1052" s="295"/>
    </row>
    <row r="1053" spans="1:16" ht="15" hidden="1" customHeight="1" x14ac:dyDescent="0.25">
      <c r="A1053" s="95"/>
      <c r="B1053" s="96" t="s">
        <v>1391</v>
      </c>
      <c r="C1053" s="95"/>
      <c r="D1053" s="95"/>
      <c r="E1053" s="103"/>
      <c r="F1053" s="103"/>
      <c r="G1053" s="103"/>
      <c r="H1053" s="103"/>
      <c r="I1053" s="103"/>
      <c r="J1053" s="103"/>
      <c r="K1053" s="103"/>
      <c r="L1053" s="103"/>
      <c r="M1053" s="103"/>
      <c r="N1053" s="103"/>
    </row>
    <row r="1054" spans="1:16" ht="15" hidden="1" customHeight="1" x14ac:dyDescent="0.25">
      <c r="A1054" s="95"/>
      <c r="B1054" s="95" t="s">
        <v>1531</v>
      </c>
      <c r="C1054" s="95"/>
      <c r="D1054" s="95"/>
      <c r="E1054" s="103"/>
      <c r="F1054" s="103"/>
      <c r="G1054" s="103"/>
      <c r="H1054" s="342">
        <v>16</v>
      </c>
      <c r="I1054" s="342"/>
      <c r="J1054" s="342"/>
      <c r="K1054" s="342"/>
      <c r="L1054" s="342"/>
      <c r="M1054" s="342"/>
      <c r="N1054" s="342"/>
      <c r="O1054" s="295"/>
    </row>
    <row r="1055" spans="1:16" ht="15" hidden="1" customHeight="1" x14ac:dyDescent="0.25">
      <c r="A1055" s="95"/>
      <c r="B1055" s="96" t="s">
        <v>1392</v>
      </c>
      <c r="C1055" s="95"/>
      <c r="D1055" s="95"/>
      <c r="E1055" s="103"/>
      <c r="F1055" s="103"/>
      <c r="G1055" s="103"/>
      <c r="H1055" s="103"/>
      <c r="I1055" s="103"/>
      <c r="J1055" s="103"/>
      <c r="K1055" s="103"/>
      <c r="L1055" s="103"/>
      <c r="M1055" s="103"/>
      <c r="N1055" s="103"/>
    </row>
    <row r="1056" spans="1:16" ht="15" hidden="1" customHeight="1" x14ac:dyDescent="0.25">
      <c r="A1056" s="95"/>
      <c r="B1056" s="95" t="s">
        <v>1532</v>
      </c>
      <c r="C1056" s="95"/>
      <c r="D1056" s="95"/>
      <c r="E1056" s="103"/>
      <c r="F1056" s="103"/>
      <c r="G1056" s="103"/>
      <c r="H1056" s="103">
        <v>6</v>
      </c>
      <c r="I1056" s="103"/>
      <c r="J1056" s="103"/>
      <c r="K1056" s="103"/>
      <c r="L1056" s="103"/>
      <c r="M1056" s="103"/>
      <c r="N1056" s="103"/>
      <c r="O1056" s="295"/>
    </row>
    <row r="1057" spans="1:89" ht="15" hidden="1" customHeight="1" x14ac:dyDescent="0.25">
      <c r="A1057" s="95"/>
      <c r="B1057" s="96" t="s">
        <v>1388</v>
      </c>
      <c r="C1057" s="95"/>
      <c r="D1057" s="95"/>
      <c r="E1057" s="103"/>
      <c r="F1057" s="103"/>
      <c r="G1057" s="103"/>
      <c r="I1057" s="107"/>
      <c r="J1057" s="107"/>
      <c r="K1057" s="107"/>
      <c r="L1057" s="107"/>
      <c r="M1057" s="107"/>
      <c r="N1057" s="107"/>
    </row>
    <row r="1058" spans="1:89" ht="15" hidden="1" customHeight="1" x14ac:dyDescent="0.25">
      <c r="A1058" s="95"/>
      <c r="B1058" s="95" t="s">
        <v>1527</v>
      </c>
      <c r="C1058" s="95"/>
      <c r="D1058" s="95"/>
      <c r="E1058" s="103"/>
      <c r="F1058" s="103"/>
      <c r="G1058" s="103"/>
      <c r="H1058" s="339">
        <v>1104.97</v>
      </c>
      <c r="I1058" s="339"/>
      <c r="J1058" s="339"/>
      <c r="K1058" s="339"/>
      <c r="L1058" s="339"/>
      <c r="M1058" s="339"/>
      <c r="N1058" s="339"/>
      <c r="O1058" s="295"/>
    </row>
    <row r="1059" spans="1:89" ht="15" hidden="1" customHeight="1" x14ac:dyDescent="0.25">
      <c r="A1059" s="95"/>
      <c r="B1059" s="96" t="s">
        <v>1393</v>
      </c>
      <c r="C1059" s="95"/>
      <c r="D1059" s="95"/>
      <c r="E1059" s="103"/>
      <c r="F1059" s="103"/>
      <c r="G1059" s="103"/>
      <c r="H1059" s="103"/>
      <c r="I1059" s="103"/>
      <c r="J1059" s="103"/>
      <c r="K1059" s="103"/>
      <c r="L1059" s="103"/>
      <c r="M1059" s="103"/>
      <c r="N1059" s="103"/>
    </row>
    <row r="1060" spans="1:89" ht="15" hidden="1" customHeight="1" x14ac:dyDescent="0.25">
      <c r="A1060" s="95"/>
      <c r="B1060" s="95" t="s">
        <v>1528</v>
      </c>
      <c r="C1060" s="95"/>
      <c r="D1060" s="95"/>
      <c r="E1060" s="103"/>
      <c r="F1060" s="103"/>
      <c r="G1060" s="103"/>
      <c r="H1060" s="342">
        <v>48.7</v>
      </c>
      <c r="I1060" s="342"/>
      <c r="J1060" s="342"/>
      <c r="K1060" s="342"/>
      <c r="L1060" s="342"/>
      <c r="M1060" s="342"/>
      <c r="N1060" s="342"/>
      <c r="O1060" s="295"/>
    </row>
    <row r="1061" spans="1:89" ht="15" hidden="1" customHeight="1" x14ac:dyDescent="0.25">
      <c r="A1061" s="95"/>
      <c r="B1061" s="96" t="s">
        <v>1389</v>
      </c>
      <c r="C1061" s="95"/>
      <c r="D1061" s="95"/>
      <c r="E1061" s="103"/>
      <c r="F1061" s="103"/>
      <c r="G1061" s="103"/>
      <c r="H1061" s="103"/>
      <c r="I1061" s="103"/>
      <c r="J1061" s="103"/>
      <c r="K1061" s="103"/>
      <c r="L1061" s="103"/>
      <c r="M1061" s="103"/>
      <c r="N1061" s="103"/>
    </row>
    <row r="1062" spans="1:89" ht="15" hidden="1" customHeight="1" x14ac:dyDescent="0.25">
      <c r="A1062" s="95"/>
      <c r="B1062" s="95" t="s">
        <v>1529</v>
      </c>
      <c r="C1062" s="95"/>
      <c r="D1062" s="95"/>
      <c r="E1062" s="103"/>
      <c r="F1062" s="103"/>
      <c r="G1062" s="103"/>
      <c r="H1062" s="342">
        <v>51.67</v>
      </c>
      <c r="I1062" s="342"/>
      <c r="J1062" s="342"/>
      <c r="K1062" s="342"/>
      <c r="L1062" s="342"/>
      <c r="M1062" s="342"/>
      <c r="N1062" s="342"/>
      <c r="O1062" s="295"/>
    </row>
    <row r="1063" spans="1:89" ht="15" hidden="1" customHeight="1" x14ac:dyDescent="0.25">
      <c r="A1063" s="95"/>
      <c r="B1063" s="96" t="s">
        <v>1390</v>
      </c>
      <c r="C1063" s="95"/>
      <c r="D1063" s="95"/>
      <c r="E1063" s="103"/>
      <c r="F1063" s="103"/>
      <c r="G1063" s="103"/>
      <c r="H1063" s="103"/>
      <c r="I1063" s="103"/>
      <c r="J1063" s="103"/>
      <c r="K1063" s="103"/>
      <c r="L1063" s="103"/>
      <c r="M1063" s="103"/>
      <c r="N1063" s="103"/>
    </row>
    <row r="1064" spans="1:89" ht="15" hidden="1" customHeight="1" x14ac:dyDescent="0.25">
      <c r="A1064" s="95"/>
      <c r="B1064" s="95" t="s">
        <v>1530</v>
      </c>
      <c r="C1064" s="95"/>
      <c r="D1064" s="95"/>
      <c r="E1064" s="103"/>
      <c r="F1064" s="103"/>
      <c r="G1064" s="103"/>
      <c r="H1064" s="342">
        <v>57.06</v>
      </c>
      <c r="I1064" s="342"/>
      <c r="J1064" s="342"/>
      <c r="K1064" s="342"/>
      <c r="L1064" s="342"/>
      <c r="M1064" s="342"/>
      <c r="N1064" s="342"/>
      <c r="O1064" s="295"/>
    </row>
    <row r="1065" spans="1:89" ht="15" hidden="1" customHeight="1" x14ac:dyDescent="0.25">
      <c r="A1065" s="95"/>
      <c r="B1065" s="96" t="s">
        <v>1391</v>
      </c>
      <c r="C1065" s="95"/>
      <c r="D1065" s="95"/>
      <c r="E1065" s="103"/>
      <c r="F1065" s="103"/>
      <c r="G1065" s="103"/>
      <c r="H1065" s="103"/>
      <c r="I1065" s="103"/>
      <c r="J1065" s="103"/>
      <c r="K1065" s="103"/>
      <c r="L1065" s="103"/>
      <c r="M1065" s="103"/>
      <c r="N1065" s="103"/>
    </row>
    <row r="1066" spans="1:89" ht="15" hidden="1" customHeight="1" x14ac:dyDescent="0.25">
      <c r="A1066" s="95"/>
      <c r="B1066" s="95" t="s">
        <v>1531</v>
      </c>
      <c r="C1066" s="95"/>
      <c r="D1066" s="95"/>
      <c r="E1066" s="103"/>
      <c r="F1066" s="103"/>
      <c r="G1066" s="103"/>
      <c r="H1066" s="342">
        <v>17</v>
      </c>
      <c r="I1066" s="342"/>
      <c r="J1066" s="342"/>
      <c r="K1066" s="342"/>
      <c r="L1066" s="342"/>
      <c r="M1066" s="342"/>
      <c r="N1066" s="342"/>
      <c r="O1066" s="295"/>
    </row>
    <row r="1067" spans="1:89" ht="15" hidden="1" customHeight="1" x14ac:dyDescent="0.25">
      <c r="A1067" s="95"/>
      <c r="B1067" s="96" t="s">
        <v>1392</v>
      </c>
      <c r="C1067" s="95"/>
      <c r="D1067" s="95"/>
      <c r="E1067" s="103"/>
      <c r="F1067" s="103"/>
      <c r="G1067" s="103"/>
      <c r="H1067" s="103"/>
      <c r="I1067" s="103"/>
      <c r="J1067" s="103"/>
      <c r="K1067" s="103"/>
      <c r="L1067" s="103"/>
      <c r="M1067" s="103"/>
      <c r="N1067" s="103"/>
    </row>
    <row r="1068" spans="1:89" ht="15" hidden="1" customHeight="1" x14ac:dyDescent="0.25">
      <c r="A1068" s="95"/>
      <c r="B1068" s="95" t="s">
        <v>1532</v>
      </c>
      <c r="C1068" s="95"/>
      <c r="D1068" s="95"/>
      <c r="E1068" s="103"/>
      <c r="F1068" s="103"/>
      <c r="G1068" s="103"/>
      <c r="H1068" s="342">
        <v>6</v>
      </c>
      <c r="I1068" s="342"/>
      <c r="J1068" s="342"/>
      <c r="K1068" s="342"/>
      <c r="L1068" s="342"/>
      <c r="M1068" s="342"/>
      <c r="N1068" s="342"/>
      <c r="O1068" s="295"/>
    </row>
    <row r="1069" spans="1:89" ht="45" x14ac:dyDescent="0.25">
      <c r="A1069" s="95" t="s">
        <v>1386</v>
      </c>
      <c r="B1069" s="96" t="s">
        <v>2533</v>
      </c>
      <c r="C1069" s="95"/>
      <c r="D1069" s="95"/>
      <c r="E1069" s="103"/>
      <c r="F1069" s="103"/>
      <c r="G1069" s="103"/>
      <c r="H1069" s="342"/>
      <c r="I1069" s="342"/>
      <c r="J1069" s="342"/>
      <c r="K1069" s="342"/>
      <c r="L1069" s="342"/>
      <c r="M1069" s="342"/>
      <c r="N1069" s="342"/>
      <c r="O1069" s="295"/>
    </row>
    <row r="1070" spans="1:89" ht="15" customHeight="1" x14ac:dyDescent="0.25">
      <c r="A1070" s="95"/>
      <c r="B1070" s="96" t="s">
        <v>1675</v>
      </c>
      <c r="C1070" s="95"/>
      <c r="D1070" s="95" t="s">
        <v>8</v>
      </c>
      <c r="E1070" s="103"/>
      <c r="F1070" s="103"/>
      <c r="G1070" s="103"/>
      <c r="H1070" s="342"/>
      <c r="I1070" s="335">
        <f t="shared" ref="I1070:N1070" si="1501">I1077/I1084*100</f>
        <v>95.513404857069403</v>
      </c>
      <c r="J1070" s="335">
        <f t="shared" si="1501"/>
        <v>97.326516105679858</v>
      </c>
      <c r="K1070" s="335">
        <f t="shared" si="1501"/>
        <v>98.541939971856849</v>
      </c>
      <c r="L1070" s="335">
        <f t="shared" si="1501"/>
        <v>97.313794413832412</v>
      </c>
      <c r="M1070" s="335">
        <f t="shared" si="1501"/>
        <v>95.138396836643736</v>
      </c>
      <c r="N1070" s="335">
        <f t="shared" si="1501"/>
        <v>99.323318446339144</v>
      </c>
      <c r="O1070" s="295"/>
      <c r="Q1070" s="335">
        <f>Q1077/Q1084*100</f>
        <v>98.541939971856834</v>
      </c>
      <c r="R1070" s="335">
        <f>R1077/R1084*100</f>
        <v>98.114920711422116</v>
      </c>
      <c r="S1070" s="335">
        <f>S1077/S1084*100</f>
        <v>99.637247433525587</v>
      </c>
      <c r="T1070" s="335">
        <f>T1077/T1084*100</f>
        <v>100</v>
      </c>
      <c r="V1070" s="335">
        <f t="shared" ref="V1070:W1075" si="1502">V1077/V1084*100</f>
        <v>97.286240835999834</v>
      </c>
      <c r="W1070" s="335">
        <f t="shared" si="1502"/>
        <v>97.36395774158612</v>
      </c>
      <c r="Y1070" s="335">
        <f t="shared" ref="Y1070:Z1075" si="1503">Y1077/Y1084*100</f>
        <v>98.589510727664873</v>
      </c>
      <c r="Z1070" s="335">
        <f t="shared" si="1503"/>
        <v>99.084014996591691</v>
      </c>
      <c r="AB1070" s="335">
        <f t="shared" ref="AB1070:AC1075" si="1504">AB1077/AB1084*100</f>
        <v>92.547586206896554</v>
      </c>
      <c r="AC1070" s="335">
        <f t="shared" si="1504"/>
        <v>98.513297941891793</v>
      </c>
      <c r="AE1070" s="335">
        <f t="shared" ref="AE1070:AF1075" si="1505">AE1077/AE1084*100</f>
        <v>96.636895960253142</v>
      </c>
      <c r="AF1070" s="335">
        <f t="shared" si="1505"/>
        <v>92.982819292072037</v>
      </c>
      <c r="AH1070" s="335">
        <f t="shared" ref="AH1070:AI1075" si="1506">AH1077/AH1084*100</f>
        <v>98.042116566247088</v>
      </c>
      <c r="AI1070" s="335">
        <f t="shared" si="1506"/>
        <v>97.313794413832412</v>
      </c>
      <c r="AK1070" s="335">
        <f t="shared" ref="AK1070:AL1075" si="1507">AK1077/AK1084*100</f>
        <v>99.810685738325631</v>
      </c>
      <c r="AL1070" s="335">
        <f t="shared" si="1507"/>
        <v>99.630854213971759</v>
      </c>
      <c r="AN1070" s="335">
        <f t="shared" ref="AN1070:AO1075" si="1508">AN1077/AN1084*100</f>
        <v>99.472008167829458</v>
      </c>
      <c r="AO1070" s="335">
        <f t="shared" si="1508"/>
        <v>99.556617484050548</v>
      </c>
      <c r="AQ1070" s="335">
        <f t="shared" ref="AQ1070:AR1075" si="1509">AQ1077/AQ1084*100</f>
        <v>97.515268570235406</v>
      </c>
      <c r="AR1070" s="335">
        <f t="shared" si="1509"/>
        <v>91.187290694029727</v>
      </c>
      <c r="AT1070" s="335">
        <f t="shared" ref="AT1070:AU1075" si="1510">AT1077/AT1084*100</f>
        <v>100</v>
      </c>
      <c r="AU1070" s="335">
        <f t="shared" si="1510"/>
        <v>94.699908210700841</v>
      </c>
      <c r="AW1070" s="335">
        <f t="shared" ref="AW1070:AX1075" si="1511">AW1077/AW1084*100</f>
        <v>100</v>
      </c>
      <c r="AX1070" s="335">
        <f t="shared" si="1511"/>
        <v>99.698509127636157</v>
      </c>
      <c r="AZ1070" s="335">
        <f t="shared" ref="AZ1070:BA1075" si="1512">AZ1077/AZ1084*100</f>
        <v>96.414188779169194</v>
      </c>
      <c r="BA1070" s="335">
        <f t="shared" si="1512"/>
        <v>97.56979767152707</v>
      </c>
      <c r="BC1070" s="335">
        <f t="shared" ref="BC1070:BD1075" si="1513">BC1077/BC1084*100</f>
        <v>98.066493324726565</v>
      </c>
      <c r="BD1070" s="335">
        <f t="shared" si="1513"/>
        <v>97.92146705962908</v>
      </c>
      <c r="BF1070" s="335">
        <f t="shared" ref="BF1070:BG1075" si="1514">BF1077/BF1084*100</f>
        <v>99.564678699393895</v>
      </c>
      <c r="BG1070" s="335">
        <f t="shared" si="1514"/>
        <v>99.719308269278031</v>
      </c>
      <c r="BI1070" s="335">
        <f t="shared" ref="BI1070:BJ1075" si="1515">BI1077/BI1084*100</f>
        <v>98.582416599588583</v>
      </c>
      <c r="BJ1070" s="335">
        <f t="shared" si="1515"/>
        <v>98.733178450883258</v>
      </c>
      <c r="BL1070" s="335">
        <f t="shared" ref="BL1070:BM1075" si="1516">BL1077/BL1084*100</f>
        <v>99.922984504482301</v>
      </c>
      <c r="BM1070" s="335">
        <f t="shared" si="1516"/>
        <v>99.924229795875078</v>
      </c>
      <c r="BO1070" s="335">
        <f t="shared" ref="BO1070:BP1075" si="1517">BO1077/BO1084*100</f>
        <v>98.906552275212377</v>
      </c>
      <c r="BP1070" s="335">
        <f t="shared" si="1517"/>
        <v>98.910067668784563</v>
      </c>
      <c r="BR1070" s="335">
        <f t="shared" ref="BR1070:BS1075" si="1518">BR1077/BR1084*100</f>
        <v>99.942039065669746</v>
      </c>
      <c r="BS1070" s="335">
        <f t="shared" si="1518"/>
        <v>99.766600536818757</v>
      </c>
      <c r="BU1070" s="335">
        <f t="shared" ref="BU1070:BV1075" si="1519">BU1077/BU1084*100</f>
        <v>99.638860568241839</v>
      </c>
      <c r="BV1070" s="335">
        <f t="shared" si="1519"/>
        <v>99.334599610438318</v>
      </c>
      <c r="BX1070" s="335">
        <f t="shared" ref="BX1070:BY1075" si="1520">BX1077/BX1084*100</f>
        <v>96.039565403637212</v>
      </c>
      <c r="BY1070" s="335">
        <f t="shared" si="1520"/>
        <v>98.175196327630033</v>
      </c>
      <c r="CA1070" s="335">
        <f t="shared" ref="CA1070:CB1075" si="1521">CA1077/CA1084*100</f>
        <v>93.679948169744094</v>
      </c>
      <c r="CB1070" s="335">
        <f t="shared" si="1521"/>
        <v>89.179897576354122</v>
      </c>
      <c r="CD1070" s="335">
        <f t="shared" ref="CD1070:CE1075" si="1522">CD1077/CD1084*100</f>
        <v>100</v>
      </c>
      <c r="CE1070" s="335">
        <f t="shared" si="1522"/>
        <v>100</v>
      </c>
      <c r="CG1070" s="335">
        <f t="shared" ref="CG1070:CH1075" si="1523">CG1077/CG1084*100</f>
        <v>96.606321500176904</v>
      </c>
      <c r="CH1070" s="335">
        <f t="shared" si="1523"/>
        <v>96.289635643247806</v>
      </c>
      <c r="CJ1070" s="335">
        <f t="shared" ref="CJ1070:CK1075" si="1524">CJ1077/CJ1084*100</f>
        <v>96.062584188167023</v>
      </c>
      <c r="CK1070" s="335">
        <f t="shared" si="1524"/>
        <v>98.669980812837963</v>
      </c>
    </row>
    <row r="1071" spans="1:89" ht="15" customHeight="1" x14ac:dyDescent="0.25">
      <c r="A1071" s="95"/>
      <c r="B1071" s="96" t="s">
        <v>1625</v>
      </c>
      <c r="C1071" s="95"/>
      <c r="D1071" s="95" t="s">
        <v>8</v>
      </c>
      <c r="E1071" s="103"/>
      <c r="F1071" s="103"/>
      <c r="G1071" s="103"/>
      <c r="H1071" s="342"/>
      <c r="I1071" s="335">
        <f t="shared" ref="I1071:J1075" si="1525">I1078/I1085*100</f>
        <v>91.463414634146346</v>
      </c>
      <c r="J1071" s="335">
        <f t="shared" si="1525"/>
        <v>85.842111224374236</v>
      </c>
      <c r="K1071" s="335">
        <f t="shared" ref="K1071:M1075" si="1526">K1078/K1085*100</f>
        <v>87.422503627489775</v>
      </c>
      <c r="L1071" s="335">
        <f t="shared" si="1526"/>
        <v>81.481481481481495</v>
      </c>
      <c r="M1071" s="335">
        <f t="shared" si="1526"/>
        <v>100</v>
      </c>
      <c r="N1071" s="335">
        <f t="shared" ref="N1071" si="1527">N1078/N1085*100</f>
        <v>100</v>
      </c>
      <c r="O1071" s="295"/>
      <c r="Q1071" s="335">
        <f t="shared" ref="Q1071:R1075" si="1528">Q1078/Q1085*100</f>
        <v>87.422503627489775</v>
      </c>
      <c r="R1071" s="335">
        <f t="shared" si="1528"/>
        <v>87.353360377151617</v>
      </c>
      <c r="S1071" s="335">
        <f t="shared" ref="S1071:T1075" si="1529">S1078/S1085*100</f>
        <v>100</v>
      </c>
      <c r="T1071" s="335">
        <f t="shared" si="1529"/>
        <v>100</v>
      </c>
      <c r="V1071" s="335">
        <f t="shared" si="1502"/>
        <v>100</v>
      </c>
      <c r="W1071" s="335">
        <f t="shared" si="1502"/>
        <v>100</v>
      </c>
      <c r="Y1071" s="335">
        <f t="shared" si="1503"/>
        <v>85.528219971056444</v>
      </c>
      <c r="Z1071" s="335">
        <f t="shared" si="1503"/>
        <v>86.666666666666671</v>
      </c>
      <c r="AB1071" s="335">
        <f t="shared" si="1504"/>
        <v>100</v>
      </c>
      <c r="AC1071" s="335">
        <f t="shared" si="1504"/>
        <v>100</v>
      </c>
      <c r="AE1071" s="335">
        <f t="shared" si="1505"/>
        <v>69.230769230769226</v>
      </c>
      <c r="AF1071" s="335">
        <f t="shared" si="1505"/>
        <v>76.923076923076934</v>
      </c>
      <c r="AH1071" s="335">
        <f t="shared" si="1506"/>
        <v>85.714285714285722</v>
      </c>
      <c r="AI1071" s="335">
        <f t="shared" si="1506"/>
        <v>81.481481481481495</v>
      </c>
      <c r="AK1071" s="335">
        <f t="shared" si="1507"/>
        <v>100</v>
      </c>
      <c r="AL1071" s="335">
        <f t="shared" si="1507"/>
        <v>100</v>
      </c>
      <c r="AN1071" s="335">
        <f t="shared" si="1508"/>
        <v>82.857142857142861</v>
      </c>
      <c r="AO1071" s="335">
        <f t="shared" si="1508"/>
        <v>89.534883720930239</v>
      </c>
      <c r="AQ1071" s="335">
        <f t="shared" si="1509"/>
        <v>86.335403726708066</v>
      </c>
      <c r="AR1071" s="335">
        <f t="shared" si="1509"/>
        <v>7.3099415204678362</v>
      </c>
      <c r="AT1071" s="335">
        <f t="shared" si="1510"/>
        <v>100</v>
      </c>
      <c r="AU1071" s="335">
        <f t="shared" si="1510"/>
        <v>97.297297297297291</v>
      </c>
      <c r="AW1071" s="335">
        <f t="shared" si="1511"/>
        <v>100</v>
      </c>
      <c r="AX1071" s="335">
        <f t="shared" si="1511"/>
        <v>77.777777777777786</v>
      </c>
      <c r="AZ1071" s="335">
        <f t="shared" si="1512"/>
        <v>100</v>
      </c>
      <c r="BA1071" s="335">
        <f t="shared" si="1512"/>
        <v>85.714285714285708</v>
      </c>
      <c r="BC1071" s="335">
        <f t="shared" si="1513"/>
        <v>72.222222222222214</v>
      </c>
      <c r="BD1071" s="335">
        <f t="shared" si="1513"/>
        <v>86.36363636363636</v>
      </c>
      <c r="BF1071" s="335">
        <f t="shared" si="1514"/>
        <v>100</v>
      </c>
      <c r="BG1071" s="335">
        <f t="shared" si="1514"/>
        <v>100</v>
      </c>
      <c r="BI1071" s="335">
        <f t="shared" si="1515"/>
        <v>89.090909090909093</v>
      </c>
      <c r="BJ1071" s="335">
        <f t="shared" si="1515"/>
        <v>90.839694656488547</v>
      </c>
      <c r="BL1071" s="335">
        <f t="shared" si="1516"/>
        <v>100</v>
      </c>
      <c r="BM1071" s="335">
        <f t="shared" si="1516"/>
        <v>100</v>
      </c>
      <c r="BO1071" s="335">
        <f t="shared" si="1517"/>
        <v>67.5</v>
      </c>
      <c r="BP1071" s="335">
        <f t="shared" si="1517"/>
        <v>73.333333333333329</v>
      </c>
      <c r="BR1071" s="335">
        <f t="shared" si="1518"/>
        <v>80</v>
      </c>
      <c r="BS1071" s="335">
        <f t="shared" si="1518"/>
        <v>100</v>
      </c>
      <c r="BU1071" s="335">
        <f t="shared" si="1519"/>
        <v>100</v>
      </c>
      <c r="BV1071" s="335">
        <f t="shared" si="1519"/>
        <v>81.818181818181827</v>
      </c>
      <c r="BX1071" s="335">
        <f t="shared" si="1520"/>
        <v>100</v>
      </c>
      <c r="BY1071" s="335">
        <f t="shared" si="1520"/>
        <v>80</v>
      </c>
      <c r="CA1071" s="335">
        <f t="shared" si="1521"/>
        <v>87.5</v>
      </c>
      <c r="CB1071" s="335">
        <f t="shared" si="1521"/>
        <v>73.333333333333329</v>
      </c>
      <c r="CD1071" s="335" t="e">
        <f t="shared" si="1522"/>
        <v>#DIV/0!</v>
      </c>
      <c r="CE1071" s="335">
        <f t="shared" si="1522"/>
        <v>100</v>
      </c>
      <c r="CG1071" s="335">
        <f t="shared" si="1523"/>
        <v>96.13693094021157</v>
      </c>
      <c r="CH1071" s="335">
        <f t="shared" si="1523"/>
        <v>97.52847380410023</v>
      </c>
      <c r="CJ1071" s="335" t="e">
        <f t="shared" si="1524"/>
        <v>#DIV/0!</v>
      </c>
      <c r="CK1071" s="335" t="e">
        <f t="shared" si="1524"/>
        <v>#DIV/0!</v>
      </c>
    </row>
    <row r="1072" spans="1:89" ht="15" customHeight="1" x14ac:dyDescent="0.25">
      <c r="A1072" s="95"/>
      <c r="B1072" s="96" t="s">
        <v>1626</v>
      </c>
      <c r="C1072" s="95"/>
      <c r="D1072" s="95" t="s">
        <v>8</v>
      </c>
      <c r="E1072" s="103"/>
      <c r="F1072" s="103"/>
      <c r="G1072" s="103"/>
      <c r="H1072" s="342"/>
      <c r="I1072" s="335">
        <f t="shared" si="1525"/>
        <v>93.685773227678482</v>
      </c>
      <c r="J1072" s="335">
        <f t="shared" si="1525"/>
        <v>94.608867862251074</v>
      </c>
      <c r="K1072" s="335">
        <f t="shared" si="1526"/>
        <v>92.119797388014149</v>
      </c>
      <c r="L1072" s="335">
        <f t="shared" si="1526"/>
        <v>98.181818181818187</v>
      </c>
      <c r="M1072" s="335">
        <f t="shared" si="1526"/>
        <v>93.103448275862064</v>
      </c>
      <c r="N1072" s="335">
        <f t="shared" ref="N1072" si="1530">N1079/N1086*100</f>
        <v>92.72727272727272</v>
      </c>
      <c r="O1072" s="295"/>
      <c r="Q1072" s="335">
        <f t="shared" si="1528"/>
        <v>92.119797388014163</v>
      </c>
      <c r="R1072" s="335">
        <f t="shared" si="1528"/>
        <v>92.842626793051792</v>
      </c>
      <c r="S1072" s="335">
        <f>S1079/S1086*100</f>
        <v>100</v>
      </c>
      <c r="T1072" s="335">
        <f t="shared" si="1529"/>
        <v>100</v>
      </c>
      <c r="V1072" s="335">
        <f t="shared" si="1502"/>
        <v>100</v>
      </c>
      <c r="W1072" s="335">
        <f t="shared" si="1502"/>
        <v>100</v>
      </c>
      <c r="Y1072" s="335">
        <f t="shared" si="1503"/>
        <v>93.939393939393938</v>
      </c>
      <c r="Z1072" s="335">
        <f t="shared" si="1503"/>
        <v>100</v>
      </c>
      <c r="AB1072" s="335">
        <f t="shared" si="1504"/>
        <v>81.25</v>
      </c>
      <c r="AC1072" s="335">
        <f t="shared" si="1504"/>
        <v>93.75</v>
      </c>
      <c r="AE1072" s="335">
        <f t="shared" si="1505"/>
        <v>96.742671009771982</v>
      </c>
      <c r="AF1072" s="335">
        <f t="shared" si="1505"/>
        <v>98.371335504885991</v>
      </c>
      <c r="AH1072" s="335">
        <f t="shared" si="1506"/>
        <v>97.816593886462883</v>
      </c>
      <c r="AI1072" s="335">
        <f t="shared" si="1506"/>
        <v>98.181818181818187</v>
      </c>
      <c r="AK1072" s="335">
        <f t="shared" si="1507"/>
        <v>100</v>
      </c>
      <c r="AL1072" s="335">
        <f t="shared" si="1507"/>
        <v>100</v>
      </c>
      <c r="AN1072" s="335">
        <f t="shared" si="1508"/>
        <v>100</v>
      </c>
      <c r="AO1072" s="335">
        <f t="shared" si="1508"/>
        <v>98.260869565217391</v>
      </c>
      <c r="AQ1072" s="335">
        <f t="shared" si="1509"/>
        <v>100</v>
      </c>
      <c r="AR1072" s="335">
        <f t="shared" si="1509"/>
        <v>89.0829694323144</v>
      </c>
      <c r="AT1072" s="335">
        <f t="shared" si="1510"/>
        <v>100</v>
      </c>
      <c r="AU1072" s="335">
        <f t="shared" si="1510"/>
        <v>87.755102040816325</v>
      </c>
      <c r="AW1072" s="335">
        <f t="shared" si="1511"/>
        <v>100</v>
      </c>
      <c r="AX1072" s="335">
        <f t="shared" si="1511"/>
        <v>100</v>
      </c>
      <c r="AZ1072" s="335">
        <f t="shared" si="1512"/>
        <v>90.909090909090907</v>
      </c>
      <c r="BA1072" s="335">
        <f t="shared" si="1512"/>
        <v>95.121951219512198</v>
      </c>
      <c r="BC1072" s="335">
        <f t="shared" si="1513"/>
        <v>97.484276729559753</v>
      </c>
      <c r="BD1072" s="335">
        <f t="shared" si="1513"/>
        <v>96.296296296296291</v>
      </c>
      <c r="BF1072" s="335">
        <f t="shared" si="1514"/>
        <v>100</v>
      </c>
      <c r="BG1072" s="335">
        <f t="shared" si="1514"/>
        <v>100</v>
      </c>
      <c r="BI1072" s="335">
        <f t="shared" si="1515"/>
        <v>80.0251256281407</v>
      </c>
      <c r="BJ1072" s="335">
        <f t="shared" si="1515"/>
        <v>85.918854415274453</v>
      </c>
      <c r="BL1072" s="335">
        <f t="shared" si="1516"/>
        <v>100</v>
      </c>
      <c r="BM1072" s="335">
        <f t="shared" si="1516"/>
        <v>100</v>
      </c>
      <c r="BO1072" s="335">
        <f t="shared" si="1517"/>
        <v>100</v>
      </c>
      <c r="BP1072" s="335">
        <f t="shared" si="1517"/>
        <v>100</v>
      </c>
      <c r="BR1072" s="335">
        <f t="shared" si="1518"/>
        <v>100</v>
      </c>
      <c r="BS1072" s="335">
        <f t="shared" si="1518"/>
        <v>100</v>
      </c>
      <c r="BU1072" s="335">
        <f t="shared" si="1519"/>
        <v>100</v>
      </c>
      <c r="BV1072" s="335">
        <f t="shared" si="1519"/>
        <v>90.909090909090907</v>
      </c>
      <c r="BX1072" s="335">
        <f t="shared" si="1520"/>
        <v>100</v>
      </c>
      <c r="BY1072" s="335">
        <f t="shared" si="1520"/>
        <v>100</v>
      </c>
      <c r="CA1072" s="335">
        <f t="shared" si="1521"/>
        <v>68.07692307692308</v>
      </c>
      <c r="CB1072" s="335">
        <f t="shared" si="1521"/>
        <v>70.967741935483872</v>
      </c>
      <c r="CD1072" s="335">
        <f t="shared" si="1522"/>
        <v>100</v>
      </c>
      <c r="CE1072" s="335">
        <f t="shared" si="1522"/>
        <v>100</v>
      </c>
      <c r="CG1072" s="335">
        <f t="shared" si="1523"/>
        <v>96.612220205686612</v>
      </c>
      <c r="CH1072" s="335">
        <f t="shared" si="1523"/>
        <v>98.334126606377907</v>
      </c>
      <c r="CJ1072" s="335">
        <f t="shared" si="1524"/>
        <v>77.777777777777786</v>
      </c>
      <c r="CK1072" s="335">
        <f t="shared" si="1524"/>
        <v>57.272727272727273</v>
      </c>
    </row>
    <row r="1073" spans="1:89" ht="15" customHeight="1" x14ac:dyDescent="0.25">
      <c r="A1073" s="95"/>
      <c r="B1073" s="96" t="s">
        <v>1624</v>
      </c>
      <c r="C1073" s="95"/>
      <c r="D1073" s="95" t="s">
        <v>8</v>
      </c>
      <c r="E1073" s="103"/>
      <c r="F1073" s="103"/>
      <c r="G1073" s="103"/>
      <c r="H1073" s="342"/>
      <c r="I1073" s="335">
        <f t="shared" si="1525"/>
        <v>95.248700816629551</v>
      </c>
      <c r="J1073" s="335">
        <f t="shared" si="1525"/>
        <v>93.379679995754501</v>
      </c>
      <c r="K1073" s="335">
        <f t="shared" si="1526"/>
        <v>95.259374852224894</v>
      </c>
      <c r="L1073" s="335">
        <f t="shared" si="1526"/>
        <v>89.235737351991389</v>
      </c>
      <c r="M1073" s="335">
        <f t="shared" si="1526"/>
        <v>100</v>
      </c>
      <c r="N1073" s="335">
        <f t="shared" ref="N1073" si="1531">N1080/N1087*100</f>
        <v>100</v>
      </c>
      <c r="O1073" s="295"/>
      <c r="Q1073" s="335">
        <f t="shared" si="1528"/>
        <v>95.25937485222488</v>
      </c>
      <c r="R1073" s="335">
        <f t="shared" si="1528"/>
        <v>95.554683170145921</v>
      </c>
      <c r="S1073" s="335">
        <f>S1080/S1087*100</f>
        <v>100</v>
      </c>
      <c r="T1073" s="335">
        <f t="shared" si="1529"/>
        <v>100</v>
      </c>
      <c r="V1073" s="335">
        <f t="shared" si="1502"/>
        <v>100</v>
      </c>
      <c r="W1073" s="335">
        <f t="shared" si="1502"/>
        <v>100</v>
      </c>
      <c r="Y1073" s="335">
        <f t="shared" si="1503"/>
        <v>96.072270227808332</v>
      </c>
      <c r="Z1073" s="335">
        <f t="shared" si="1503"/>
        <v>100</v>
      </c>
      <c r="AB1073" s="335">
        <f t="shared" si="1504"/>
        <v>100</v>
      </c>
      <c r="AC1073" s="335">
        <f t="shared" si="1504"/>
        <v>100</v>
      </c>
      <c r="AE1073" s="335">
        <f t="shared" si="1505"/>
        <v>97.938144329896915</v>
      </c>
      <c r="AF1073" s="335">
        <f t="shared" si="1505"/>
        <v>100</v>
      </c>
      <c r="AH1073" s="335">
        <f t="shared" si="1506"/>
        <v>98.607242339832879</v>
      </c>
      <c r="AI1073" s="335">
        <f t="shared" si="1506"/>
        <v>89.235737351991389</v>
      </c>
      <c r="AK1073" s="335">
        <f t="shared" si="1507"/>
        <v>100</v>
      </c>
      <c r="AL1073" s="335">
        <f t="shared" si="1507"/>
        <v>100</v>
      </c>
      <c r="AN1073" s="335">
        <f t="shared" si="1508"/>
        <v>99.411764705882348</v>
      </c>
      <c r="AO1073" s="335">
        <f t="shared" si="1508"/>
        <v>97.023809523809518</v>
      </c>
      <c r="AQ1073" s="335">
        <f t="shared" si="1509"/>
        <v>100</v>
      </c>
      <c r="AR1073" s="335">
        <f t="shared" si="1509"/>
        <v>86.928104575163403</v>
      </c>
      <c r="AT1073" s="335">
        <f t="shared" si="1510"/>
        <v>100</v>
      </c>
      <c r="AU1073" s="335">
        <f t="shared" si="1510"/>
        <v>93.902439024390247</v>
      </c>
      <c r="AW1073" s="335">
        <f t="shared" si="1511"/>
        <v>100</v>
      </c>
      <c r="AX1073" s="335">
        <f t="shared" si="1511"/>
        <v>100</v>
      </c>
      <c r="AZ1073" s="335">
        <f t="shared" si="1512"/>
        <v>93.103448275862064</v>
      </c>
      <c r="BA1073" s="335">
        <f t="shared" si="1512"/>
        <v>100</v>
      </c>
      <c r="BC1073" s="335">
        <f t="shared" si="1513"/>
        <v>91.228070175438589</v>
      </c>
      <c r="BD1073" s="335">
        <f t="shared" si="1513"/>
        <v>93.043478260869563</v>
      </c>
      <c r="BF1073" s="335">
        <f t="shared" si="1514"/>
        <v>100</v>
      </c>
      <c r="BG1073" s="335">
        <f t="shared" si="1514"/>
        <v>100</v>
      </c>
      <c r="BI1073" s="335">
        <f t="shared" si="1515"/>
        <v>92.629482071713142</v>
      </c>
      <c r="BJ1073" s="335">
        <f t="shared" si="1515"/>
        <v>94.129979035639408</v>
      </c>
      <c r="BL1073" s="335">
        <f t="shared" si="1516"/>
        <v>92.307692307692307</v>
      </c>
      <c r="BM1073" s="335">
        <f t="shared" si="1516"/>
        <v>100</v>
      </c>
      <c r="BO1073" s="335">
        <f t="shared" si="1517"/>
        <v>78.048780487804876</v>
      </c>
      <c r="BP1073" s="335">
        <f t="shared" si="1517"/>
        <v>100</v>
      </c>
      <c r="BR1073" s="335">
        <f t="shared" si="1518"/>
        <v>100</v>
      </c>
      <c r="BS1073" s="335">
        <f t="shared" si="1518"/>
        <v>100</v>
      </c>
      <c r="BU1073" s="335">
        <f t="shared" si="1519"/>
        <v>100</v>
      </c>
      <c r="BV1073" s="335">
        <f t="shared" si="1519"/>
        <v>91.111111111111114</v>
      </c>
      <c r="BX1073" s="335">
        <f t="shared" si="1520"/>
        <v>100</v>
      </c>
      <c r="BY1073" s="335">
        <f t="shared" si="1520"/>
        <v>100</v>
      </c>
      <c r="CA1073" s="335">
        <f t="shared" si="1521"/>
        <v>75</v>
      </c>
      <c r="CB1073" s="335">
        <f t="shared" si="1521"/>
        <v>83.333333333333343</v>
      </c>
      <c r="CD1073" s="335">
        <f t="shared" si="1522"/>
        <v>100</v>
      </c>
      <c r="CE1073" s="335">
        <f t="shared" si="1522"/>
        <v>100</v>
      </c>
      <c r="CG1073" s="335">
        <f t="shared" si="1523"/>
        <v>96.626898047722349</v>
      </c>
      <c r="CH1073" s="335">
        <f t="shared" si="1523"/>
        <v>96.500530222693541</v>
      </c>
      <c r="CJ1073" s="335" t="e">
        <f t="shared" si="1524"/>
        <v>#DIV/0!</v>
      </c>
      <c r="CK1073" s="335" t="e">
        <f t="shared" si="1524"/>
        <v>#DIV/0!</v>
      </c>
    </row>
    <row r="1074" spans="1:89" ht="15" customHeight="1" x14ac:dyDescent="0.25">
      <c r="A1074" s="95"/>
      <c r="B1074" s="96" t="s">
        <v>1627</v>
      </c>
      <c r="C1074" s="95"/>
      <c r="D1074" s="95" t="s">
        <v>8</v>
      </c>
      <c r="E1074" s="103"/>
      <c r="F1074" s="103"/>
      <c r="G1074" s="103"/>
      <c r="H1074" s="342"/>
      <c r="I1074" s="335">
        <f t="shared" si="1525"/>
        <v>95.633778564927553</v>
      </c>
      <c r="J1074" s="335">
        <f t="shared" si="1525"/>
        <v>95.125161479026005</v>
      </c>
      <c r="K1074" s="335">
        <f t="shared" si="1526"/>
        <v>97.107847766550194</v>
      </c>
      <c r="L1074" s="335">
        <f t="shared" si="1526"/>
        <v>100</v>
      </c>
      <c r="M1074" s="335">
        <f t="shared" si="1526"/>
        <v>100</v>
      </c>
      <c r="N1074" s="335">
        <f t="shared" ref="N1074" si="1532">N1081/N1088*100</f>
        <v>100</v>
      </c>
      <c r="O1074" s="295"/>
      <c r="Q1074" s="335">
        <f t="shared" si="1528"/>
        <v>97.107847766550194</v>
      </c>
      <c r="R1074" s="335">
        <f t="shared" si="1528"/>
        <v>95.098039215686285</v>
      </c>
      <c r="S1074" s="335">
        <f>S1081/S1088*100</f>
        <v>100</v>
      </c>
      <c r="T1074" s="335">
        <f t="shared" si="1529"/>
        <v>100</v>
      </c>
      <c r="V1074" s="335">
        <f t="shared" si="1502"/>
        <v>100</v>
      </c>
      <c r="W1074" s="335">
        <f t="shared" si="1502"/>
        <v>87.5</v>
      </c>
      <c r="Y1074" s="335">
        <f t="shared" si="1503"/>
        <v>90.619136960600372</v>
      </c>
      <c r="Z1074" s="335">
        <f t="shared" si="1503"/>
        <v>83.673469387755105</v>
      </c>
      <c r="AB1074" s="335">
        <f t="shared" si="1504"/>
        <v>100</v>
      </c>
      <c r="AC1074" s="335">
        <f t="shared" si="1504"/>
        <v>89.743589743589752</v>
      </c>
      <c r="AE1074" s="335">
        <f t="shared" si="1505"/>
        <v>94.252873563218387</v>
      </c>
      <c r="AF1074" s="335">
        <f t="shared" si="1505"/>
        <v>87.356321839080465</v>
      </c>
      <c r="AH1074" s="335">
        <f t="shared" si="1506"/>
        <v>100</v>
      </c>
      <c r="AI1074" s="335">
        <f t="shared" si="1506"/>
        <v>100</v>
      </c>
      <c r="AK1074" s="335">
        <f t="shared" si="1507"/>
        <v>100</v>
      </c>
      <c r="AL1074" s="335">
        <f t="shared" si="1507"/>
        <v>95</v>
      </c>
      <c r="AN1074" s="335">
        <f t="shared" si="1508"/>
        <v>98.019801980198025</v>
      </c>
      <c r="AO1074" s="335">
        <f t="shared" si="1508"/>
        <v>100</v>
      </c>
      <c r="AQ1074" s="335">
        <f t="shared" si="1509"/>
        <v>93.103448275862064</v>
      </c>
      <c r="AR1074" s="335">
        <f t="shared" si="1509"/>
        <v>84.848484848484844</v>
      </c>
      <c r="AT1074" s="335">
        <f t="shared" si="1510"/>
        <v>100</v>
      </c>
      <c r="AU1074" s="335">
        <f t="shared" si="1510"/>
        <v>84.72505091649694</v>
      </c>
      <c r="AW1074" s="335">
        <f t="shared" si="1511"/>
        <v>100</v>
      </c>
      <c r="AX1074" s="335">
        <f t="shared" si="1511"/>
        <v>100</v>
      </c>
      <c r="AZ1074" s="335">
        <f t="shared" si="1512"/>
        <v>87.272727272727266</v>
      </c>
      <c r="BA1074" s="335">
        <f t="shared" si="1512"/>
        <v>87.272727272727266</v>
      </c>
      <c r="BC1074" s="335">
        <f t="shared" si="1513"/>
        <v>100</v>
      </c>
      <c r="BD1074" s="335">
        <f t="shared" si="1513"/>
        <v>100</v>
      </c>
      <c r="BF1074" s="335">
        <f t="shared" si="1514"/>
        <v>99.103139013452918</v>
      </c>
      <c r="BG1074" s="335">
        <f t="shared" si="1514"/>
        <v>99.14236706689536</v>
      </c>
      <c r="BI1074" s="335">
        <f t="shared" si="1515"/>
        <v>93.956043956043956</v>
      </c>
      <c r="BJ1074" s="335">
        <f t="shared" si="1515"/>
        <v>94.148936170212778</v>
      </c>
      <c r="BL1074" s="335">
        <f t="shared" si="1516"/>
        <v>100</v>
      </c>
      <c r="BM1074" s="335">
        <f t="shared" si="1516"/>
        <v>100</v>
      </c>
      <c r="BO1074" s="335">
        <f t="shared" si="1517"/>
        <v>100</v>
      </c>
      <c r="BP1074" s="335">
        <f t="shared" si="1517"/>
        <v>100</v>
      </c>
      <c r="BR1074" s="335">
        <f t="shared" si="1518"/>
        <v>100</v>
      </c>
      <c r="BS1074" s="335">
        <f t="shared" si="1518"/>
        <v>100</v>
      </c>
      <c r="BU1074" s="335">
        <f t="shared" si="1519"/>
        <v>100</v>
      </c>
      <c r="BV1074" s="335">
        <f t="shared" si="1519"/>
        <v>100</v>
      </c>
      <c r="BX1074" s="335">
        <f t="shared" si="1520"/>
        <v>100</v>
      </c>
      <c r="BY1074" s="335">
        <f t="shared" si="1520"/>
        <v>100</v>
      </c>
      <c r="CA1074" s="335">
        <f t="shared" si="1521"/>
        <v>90</v>
      </c>
      <c r="CB1074" s="335">
        <f t="shared" si="1521"/>
        <v>85.714285714285708</v>
      </c>
      <c r="CD1074" s="335">
        <f t="shared" si="1522"/>
        <v>100</v>
      </c>
      <c r="CE1074" s="335">
        <f t="shared" si="1522"/>
        <v>100</v>
      </c>
      <c r="CG1074" s="335">
        <f t="shared" si="1523"/>
        <v>95.555555555555557</v>
      </c>
      <c r="CH1074" s="335">
        <f t="shared" si="1523"/>
        <v>100</v>
      </c>
      <c r="CJ1074" s="335">
        <f t="shared" si="1524"/>
        <v>100</v>
      </c>
      <c r="CK1074" s="335">
        <f t="shared" si="1524"/>
        <v>100</v>
      </c>
    </row>
    <row r="1075" spans="1:89" ht="15" customHeight="1" x14ac:dyDescent="0.25">
      <c r="A1075" s="95"/>
      <c r="B1075" s="96" t="s">
        <v>2671</v>
      </c>
      <c r="C1075" s="95"/>
      <c r="D1075" s="95" t="s">
        <v>8</v>
      </c>
      <c r="E1075" s="103"/>
      <c r="F1075" s="103"/>
      <c r="G1075" s="103"/>
      <c r="H1075" s="342"/>
      <c r="I1075" s="335">
        <f>I1082/I1089*100</f>
        <v>79.869149471565166</v>
      </c>
      <c r="J1075" s="335">
        <f t="shared" si="1525"/>
        <v>79.442508710801391</v>
      </c>
      <c r="K1075" s="335">
        <f t="shared" si="1526"/>
        <v>88.02123802123802</v>
      </c>
      <c r="L1075" s="335">
        <f t="shared" si="1526"/>
        <v>69.230769230769226</v>
      </c>
      <c r="M1075" s="335">
        <f t="shared" si="1526"/>
        <v>76.470588235294116</v>
      </c>
      <c r="N1075" s="335">
        <f t="shared" ref="N1075" si="1533">N1082/N1089*100</f>
        <v>69.230769230769226</v>
      </c>
      <c r="O1075" s="295"/>
      <c r="Q1075" s="335">
        <f t="shared" si="1528"/>
        <v>88.02123802123802</v>
      </c>
      <c r="R1075" s="335">
        <f t="shared" si="1528"/>
        <v>81.548401226456406</v>
      </c>
      <c r="S1075" s="335">
        <f>S1082/S1089*100</f>
        <v>100</v>
      </c>
      <c r="T1075" s="335">
        <f t="shared" si="1529"/>
        <v>100</v>
      </c>
      <c r="V1075" s="335">
        <f t="shared" si="1502"/>
        <v>100</v>
      </c>
      <c r="W1075" s="335">
        <f t="shared" si="1502"/>
        <v>100</v>
      </c>
      <c r="Y1075" s="335">
        <f t="shared" si="1503"/>
        <v>100</v>
      </c>
      <c r="Z1075" s="335">
        <f t="shared" si="1503"/>
        <v>100</v>
      </c>
      <c r="AB1075" s="335">
        <f t="shared" si="1504"/>
        <v>88.888888888888886</v>
      </c>
      <c r="AC1075" s="335">
        <f t="shared" si="1504"/>
        <v>66.666666666666657</v>
      </c>
      <c r="AE1075" s="335">
        <f t="shared" si="1505"/>
        <v>20</v>
      </c>
      <c r="AF1075" s="335">
        <f t="shared" si="1505"/>
        <v>40</v>
      </c>
      <c r="AH1075" s="335">
        <f t="shared" si="1506"/>
        <v>60</v>
      </c>
      <c r="AI1075" s="335">
        <f t="shared" si="1506"/>
        <v>69.230769230769226</v>
      </c>
      <c r="AK1075" s="335">
        <f t="shared" si="1507"/>
        <v>100</v>
      </c>
      <c r="AL1075" s="335">
        <f t="shared" si="1507"/>
        <v>100</v>
      </c>
      <c r="AN1075" s="335">
        <f t="shared" si="1508"/>
        <v>66.666666666666657</v>
      </c>
      <c r="AO1075" s="335">
        <f t="shared" si="1508"/>
        <v>90</v>
      </c>
      <c r="AQ1075" s="335" t="e">
        <f t="shared" si="1509"/>
        <v>#DIV/0!</v>
      </c>
      <c r="AR1075" s="335">
        <f t="shared" si="1509"/>
        <v>33.333333333333329</v>
      </c>
      <c r="AT1075" s="335">
        <f t="shared" si="1510"/>
        <v>100</v>
      </c>
      <c r="AU1075" s="335">
        <f t="shared" si="1510"/>
        <v>77.837837837837839</v>
      </c>
      <c r="AW1075" s="335">
        <f t="shared" si="1511"/>
        <v>100</v>
      </c>
      <c r="AX1075" s="335">
        <f t="shared" si="1511"/>
        <v>100</v>
      </c>
      <c r="AZ1075" s="335">
        <f t="shared" si="1512"/>
        <v>75.409836065573771</v>
      </c>
      <c r="BA1075" s="335">
        <f t="shared" si="1512"/>
        <v>66.666666666666657</v>
      </c>
      <c r="BC1075" s="335">
        <f t="shared" si="1513"/>
        <v>86.666666666666671</v>
      </c>
      <c r="BD1075" s="335">
        <f t="shared" si="1513"/>
        <v>66.666666666666657</v>
      </c>
      <c r="BF1075" s="335">
        <f t="shared" si="1514"/>
        <v>100</v>
      </c>
      <c r="BG1075" s="335">
        <f t="shared" si="1514"/>
        <v>100</v>
      </c>
      <c r="BI1075" s="335">
        <f t="shared" si="1515"/>
        <v>88.888888888888886</v>
      </c>
      <c r="BJ1075" s="335">
        <f t="shared" si="1515"/>
        <v>77.272727272727266</v>
      </c>
      <c r="BL1075" s="335" t="e">
        <f t="shared" si="1516"/>
        <v>#DIV/0!</v>
      </c>
      <c r="BM1075" s="335" t="e">
        <f t="shared" si="1516"/>
        <v>#DIV/0!</v>
      </c>
      <c r="BO1075" s="335">
        <f t="shared" si="1517"/>
        <v>14.529914529914532</v>
      </c>
      <c r="BP1075" s="335">
        <f t="shared" si="1517"/>
        <v>14.529914529914532</v>
      </c>
      <c r="BR1075" s="335">
        <f t="shared" si="1518"/>
        <v>100</v>
      </c>
      <c r="BS1075" s="335">
        <f t="shared" si="1518"/>
        <v>100</v>
      </c>
      <c r="BU1075" s="335">
        <f t="shared" si="1519"/>
        <v>75</v>
      </c>
      <c r="BV1075" s="335">
        <f t="shared" si="1519"/>
        <v>100</v>
      </c>
      <c r="BX1075" s="335">
        <f t="shared" si="1520"/>
        <v>100</v>
      </c>
      <c r="BY1075" s="335">
        <f t="shared" si="1520"/>
        <v>100</v>
      </c>
      <c r="CA1075" s="335">
        <f t="shared" si="1521"/>
        <v>100</v>
      </c>
      <c r="CB1075" s="335">
        <f t="shared" si="1521"/>
        <v>77.142857142857153</v>
      </c>
      <c r="CD1075" s="335" t="e">
        <f t="shared" si="1522"/>
        <v>#DIV/0!</v>
      </c>
      <c r="CE1075" s="335">
        <f t="shared" si="1522"/>
        <v>100</v>
      </c>
      <c r="CG1075" s="335">
        <f t="shared" si="1523"/>
        <v>92.079207920792086</v>
      </c>
      <c r="CH1075" s="335">
        <f t="shared" si="1523"/>
        <v>94.268077601410937</v>
      </c>
      <c r="CJ1075" s="335" t="e">
        <f t="shared" si="1524"/>
        <v>#DIV/0!</v>
      </c>
      <c r="CK1075" s="335" t="e">
        <f t="shared" si="1524"/>
        <v>#DIV/0!</v>
      </c>
    </row>
    <row r="1076" spans="1:89" ht="30" x14ac:dyDescent="0.25">
      <c r="A1076" s="95"/>
      <c r="B1076" s="248" t="s">
        <v>2672</v>
      </c>
      <c r="C1076" s="95"/>
      <c r="D1076" s="95"/>
      <c r="E1076" s="103"/>
      <c r="F1076" s="103"/>
      <c r="G1076" s="103"/>
      <c r="H1076" s="342"/>
      <c r="I1076" s="342"/>
      <c r="J1076" s="342"/>
      <c r="K1076" s="342"/>
      <c r="L1076" s="342"/>
      <c r="M1076" s="342"/>
      <c r="N1076" s="342"/>
      <c r="O1076" s="295"/>
    </row>
    <row r="1077" spans="1:89" ht="30" x14ac:dyDescent="0.25">
      <c r="A1077" s="95"/>
      <c r="B1077" s="96" t="s">
        <v>1675</v>
      </c>
      <c r="C1077" s="312" t="s">
        <v>2728</v>
      </c>
      <c r="D1077" s="95" t="s">
        <v>950</v>
      </c>
      <c r="E1077" s="103"/>
      <c r="F1077" s="103"/>
      <c r="G1077" s="103"/>
      <c r="H1077" s="342"/>
      <c r="I1077" s="339">
        <f>24371.61-1488.05</f>
        <v>22883.56</v>
      </c>
      <c r="J1077" s="339">
        <f>25403.3-1633.79</f>
        <v>23769.51</v>
      </c>
      <c r="K1077" s="339">
        <f>26641.97-1823.67</f>
        <v>24818.300000000003</v>
      </c>
      <c r="L1077" s="339">
        <v>819.46</v>
      </c>
      <c r="M1077" s="339">
        <v>832.48</v>
      </c>
      <c r="N1077" s="339">
        <v>880.68</v>
      </c>
      <c r="O1077" s="295"/>
      <c r="P1077" s="296"/>
      <c r="Q1077" s="295">
        <f t="shared" ref="Q1077" si="1534">S1077+V1077+Y1077+AB1077+AE1077+AH1077+AK1077+AN1077+AQ1077+AT1077+AW1077+AZ1077+BC1077+BF1077+BI1077+BL1077+BO1077+BR1077+BU1077+BX1077+CA1077+CD1077+CG1077+CJ1077-CG1077-CJ1077</f>
        <v>24818.300000000007</v>
      </c>
      <c r="R1077" s="295">
        <f>T1077+W1077+Z1077+AC1077+AF1077+AI1077+AL1077+AO1077+AR1077+AU1077+AX1077+BA1077+BD1077+BG1077+BJ1077+BM1077+BP1077+BS1077+BV1077+BY1077+CB1077+CE1077+CH1077+CK1077-CH1077-CK1077</f>
        <v>25080.449999999997</v>
      </c>
      <c r="S1077" s="295">
        <v>549.34</v>
      </c>
      <c r="T1077" s="295">
        <v>586.11</v>
      </c>
      <c r="U1077" s="295"/>
      <c r="V1077" s="295">
        <v>480.38</v>
      </c>
      <c r="W1077" s="295">
        <v>476.47</v>
      </c>
      <c r="X1077" s="295"/>
      <c r="Y1077" s="295">
        <v>694.78</v>
      </c>
      <c r="Z1077" s="295">
        <v>697.71</v>
      </c>
      <c r="AA1077" s="295"/>
      <c r="AB1077" s="295">
        <v>670.97</v>
      </c>
      <c r="AC1077" s="295">
        <v>753.41</v>
      </c>
      <c r="AD1077" s="295"/>
      <c r="AE1077" s="295">
        <v>816.92</v>
      </c>
      <c r="AF1077" s="295">
        <v>763.64</v>
      </c>
      <c r="AG1077" s="295"/>
      <c r="AH1077" s="295">
        <v>821.74</v>
      </c>
      <c r="AI1077" s="295">
        <v>819.46</v>
      </c>
      <c r="AJ1077" s="295"/>
      <c r="AK1077" s="295">
        <v>759.2</v>
      </c>
      <c r="AL1077" s="295">
        <v>750.31</v>
      </c>
      <c r="AM1077" s="295"/>
      <c r="AN1077" s="295">
        <v>2045.99</v>
      </c>
      <c r="AO1077" s="295">
        <v>2020.85</v>
      </c>
      <c r="AP1077" s="295"/>
      <c r="AQ1077" s="295">
        <v>560.42999999999995</v>
      </c>
      <c r="AR1077" s="295">
        <v>552.75</v>
      </c>
      <c r="AS1077" s="295"/>
      <c r="AT1077" s="295">
        <v>1362.44</v>
      </c>
      <c r="AU1077" s="295">
        <v>1279.32</v>
      </c>
      <c r="AV1077" s="295"/>
      <c r="AW1077" s="295">
        <v>589.42999999999995</v>
      </c>
      <c r="AX1077" s="295">
        <v>661.37</v>
      </c>
      <c r="AY1077" s="295"/>
      <c r="AZ1077" s="295">
        <v>873.85</v>
      </c>
      <c r="BA1077" s="295">
        <v>863.2</v>
      </c>
      <c r="BB1077" s="295"/>
      <c r="BC1077" s="295">
        <v>1625.56</v>
      </c>
      <c r="BD1077" s="295">
        <v>1644.64</v>
      </c>
      <c r="BE1077" s="295"/>
      <c r="BF1077" s="295">
        <v>2973.3</v>
      </c>
      <c r="BG1077" s="295">
        <v>3001.97</v>
      </c>
      <c r="BH1077" s="295"/>
      <c r="BI1077" s="295">
        <v>5511.25</v>
      </c>
      <c r="BJ1077" s="295">
        <v>5631</v>
      </c>
      <c r="BK1077" s="295"/>
      <c r="BL1077" s="295">
        <v>648.72</v>
      </c>
      <c r="BM1077" s="295">
        <v>659.39</v>
      </c>
      <c r="BN1077" s="295"/>
      <c r="BO1077" s="295">
        <v>587.95000000000005</v>
      </c>
      <c r="BP1077" s="295">
        <v>574.44000000000005</v>
      </c>
      <c r="BQ1077" s="295"/>
      <c r="BR1077" s="295">
        <v>862.15</v>
      </c>
      <c r="BS1077" s="295">
        <v>854.9</v>
      </c>
      <c r="BT1077" s="295"/>
      <c r="BU1077" s="295">
        <v>811.15</v>
      </c>
      <c r="BV1077" s="295">
        <v>821.07</v>
      </c>
      <c r="BW1077" s="295"/>
      <c r="BX1077" s="295">
        <v>246.62</v>
      </c>
      <c r="BY1077" s="295">
        <v>258.77999999999997</v>
      </c>
      <c r="BZ1077" s="295"/>
      <c r="CA1077" s="295">
        <v>578.38</v>
      </c>
      <c r="CB1077" s="295">
        <v>625.16</v>
      </c>
      <c r="CC1077" s="295"/>
      <c r="CD1077" s="295">
        <v>747.75</v>
      </c>
      <c r="CE1077" s="295">
        <v>784.5</v>
      </c>
      <c r="CF1077" s="295"/>
      <c r="CG1077" s="295">
        <v>1638.25</v>
      </c>
      <c r="CH1077" s="295">
        <v>1686.59</v>
      </c>
      <c r="CI1077" s="295"/>
      <c r="CJ1077" s="295">
        <v>185.42</v>
      </c>
      <c r="CK1077" s="295">
        <v>226.27</v>
      </c>
    </row>
    <row r="1078" spans="1:89" ht="30" x14ac:dyDescent="0.25">
      <c r="A1078" s="95"/>
      <c r="B1078" s="96" t="s">
        <v>1625</v>
      </c>
      <c r="C1078" s="312" t="s">
        <v>2729</v>
      </c>
      <c r="D1078" s="95" t="s">
        <v>950</v>
      </c>
      <c r="E1078" s="103"/>
      <c r="F1078" s="103"/>
      <c r="G1078" s="103"/>
      <c r="H1078" s="342"/>
      <c r="I1078" s="339">
        <f>91.75-54.25</f>
        <v>37.5</v>
      </c>
      <c r="J1078" s="339">
        <f>148.27-72.48</f>
        <v>75.790000000000006</v>
      </c>
      <c r="K1078" s="339">
        <f>213.43-80.88</f>
        <v>132.55000000000001</v>
      </c>
      <c r="L1078" s="339">
        <v>1.1000000000000001</v>
      </c>
      <c r="M1078" s="339">
        <v>1.85</v>
      </c>
      <c r="N1078" s="339">
        <v>1.6</v>
      </c>
      <c r="O1078" s="295"/>
      <c r="P1078" s="296"/>
      <c r="Q1078" s="295">
        <f t="shared" ref="Q1078:Q1082" si="1535">S1078+V1078+Y1078+AB1078+AE1078+AH1078+AK1078+AN1078+AQ1078+AT1078+AW1078+AZ1078+BC1078+BF1078+BI1078+BL1078+BO1078+BR1078+BU1078+BX1078+CA1078+CD1078+CG1078+CJ1078-CG1078-CJ1078</f>
        <v>132.55000000000001</v>
      </c>
      <c r="R1078" s="295">
        <f t="shared" ref="R1078:R1082" si="1536">T1078+W1078+Z1078+AC1078+AF1078+AI1078+AL1078+AO1078+AR1078+AU1078+AX1078+BA1078+BD1078+BG1078+BJ1078+BM1078+BP1078+BS1078+BV1078+BY1078+CB1078+CE1078+CH1078+CK1078-CH1078-CK1078</f>
        <v>159.35</v>
      </c>
      <c r="S1078" s="295">
        <v>3.25</v>
      </c>
      <c r="T1078" s="295">
        <v>5.2</v>
      </c>
      <c r="U1078" s="295"/>
      <c r="V1078" s="295">
        <v>1.6</v>
      </c>
      <c r="W1078" s="295">
        <v>1.1499999999999999</v>
      </c>
      <c r="X1078" s="295"/>
      <c r="Y1078" s="295">
        <v>5.91</v>
      </c>
      <c r="Z1078" s="295">
        <v>6.5</v>
      </c>
      <c r="AA1078" s="295"/>
      <c r="AB1078" s="295">
        <v>1</v>
      </c>
      <c r="AC1078" s="295">
        <v>1.25</v>
      </c>
      <c r="AD1078" s="295"/>
      <c r="AE1078" s="295">
        <v>4.5</v>
      </c>
      <c r="AF1078" s="295">
        <v>5</v>
      </c>
      <c r="AG1078" s="295"/>
      <c r="AH1078" s="295">
        <v>0.6</v>
      </c>
      <c r="AI1078" s="295">
        <v>1.1000000000000001</v>
      </c>
      <c r="AJ1078" s="295"/>
      <c r="AK1078" s="295">
        <v>6.75</v>
      </c>
      <c r="AL1078" s="295">
        <v>7</v>
      </c>
      <c r="AM1078" s="295"/>
      <c r="AN1078" s="295">
        <v>14.5</v>
      </c>
      <c r="AO1078" s="295">
        <v>19.25</v>
      </c>
      <c r="AP1078" s="295"/>
      <c r="AQ1078" s="295">
        <v>1.39</v>
      </c>
      <c r="AR1078" s="295">
        <v>0.25</v>
      </c>
      <c r="AS1078" s="295"/>
      <c r="AT1078" s="295">
        <v>12.8</v>
      </c>
      <c r="AU1078" s="295">
        <v>14.4</v>
      </c>
      <c r="AV1078" s="295"/>
      <c r="AW1078" s="295">
        <v>2</v>
      </c>
      <c r="AX1078" s="295">
        <v>3.5</v>
      </c>
      <c r="AY1078" s="295"/>
      <c r="AZ1078" s="295">
        <v>3</v>
      </c>
      <c r="BA1078" s="295">
        <v>3</v>
      </c>
      <c r="BB1078" s="295"/>
      <c r="BC1078" s="295">
        <v>6.5</v>
      </c>
      <c r="BD1078" s="295">
        <v>9.5</v>
      </c>
      <c r="BE1078" s="295"/>
      <c r="BF1078" s="295">
        <v>1</v>
      </c>
      <c r="BG1078" s="295">
        <v>1.25</v>
      </c>
      <c r="BH1078" s="295"/>
      <c r="BI1078" s="295">
        <v>49</v>
      </c>
      <c r="BJ1078" s="295">
        <v>59.5</v>
      </c>
      <c r="BK1078" s="295"/>
      <c r="BL1078" s="295">
        <v>1</v>
      </c>
      <c r="BM1078" s="295">
        <v>0.5</v>
      </c>
      <c r="BN1078" s="295"/>
      <c r="BO1078" s="295">
        <v>6.75</v>
      </c>
      <c r="BP1078" s="295">
        <v>5.5</v>
      </c>
      <c r="BQ1078" s="295"/>
      <c r="BR1078" s="295">
        <v>2</v>
      </c>
      <c r="BS1078" s="295">
        <v>2.5</v>
      </c>
      <c r="BT1078" s="295"/>
      <c r="BU1078" s="295">
        <v>3.5</v>
      </c>
      <c r="BV1078" s="295">
        <v>4.5</v>
      </c>
      <c r="BW1078" s="295"/>
      <c r="BX1078" s="295">
        <v>2</v>
      </c>
      <c r="BY1078" s="295">
        <v>2</v>
      </c>
      <c r="BZ1078" s="295"/>
      <c r="CA1078" s="295">
        <v>3.5</v>
      </c>
      <c r="CB1078" s="295">
        <v>5.5</v>
      </c>
      <c r="CC1078" s="295"/>
      <c r="CD1078" s="295">
        <v>0</v>
      </c>
      <c r="CE1078" s="295">
        <v>1</v>
      </c>
      <c r="CF1078" s="295"/>
      <c r="CG1078" s="295">
        <v>80.88</v>
      </c>
      <c r="CH1078" s="295">
        <v>85.63</v>
      </c>
      <c r="CI1078" s="295"/>
      <c r="CJ1078" s="295">
        <v>0</v>
      </c>
      <c r="CK1078" s="295">
        <v>0</v>
      </c>
    </row>
    <row r="1079" spans="1:89" ht="30" x14ac:dyDescent="0.25">
      <c r="A1079" s="95"/>
      <c r="B1079" s="96" t="s">
        <v>1626</v>
      </c>
      <c r="C1079" s="312" t="s">
        <v>2731</v>
      </c>
      <c r="D1079" s="95" t="s">
        <v>950</v>
      </c>
      <c r="E1079" s="103"/>
      <c r="F1079" s="103"/>
      <c r="G1079" s="103"/>
      <c r="H1079" s="342"/>
      <c r="I1079" s="339">
        <f>556.52-70.6</f>
        <v>485.91999999999996</v>
      </c>
      <c r="J1079" s="339">
        <f>593.71-77.77</f>
        <v>515.94000000000005</v>
      </c>
      <c r="K1079" s="339">
        <f>687.14-83.35</f>
        <v>603.79</v>
      </c>
      <c r="L1079" s="339">
        <v>13.5</v>
      </c>
      <c r="M1079" s="339">
        <v>13.5</v>
      </c>
      <c r="N1079" s="339">
        <v>12.75</v>
      </c>
      <c r="O1079" s="295"/>
      <c r="P1079" s="296"/>
      <c r="Q1079" s="295">
        <f t="shared" si="1535"/>
        <v>603.79</v>
      </c>
      <c r="R1079" s="295">
        <f t="shared" si="1536"/>
        <v>625.88</v>
      </c>
      <c r="S1079" s="295">
        <v>13</v>
      </c>
      <c r="T1079" s="295">
        <v>13.7</v>
      </c>
      <c r="U1079" s="295"/>
      <c r="V1079" s="295">
        <v>11</v>
      </c>
      <c r="W1079" s="295">
        <v>13.25</v>
      </c>
      <c r="X1079" s="295"/>
      <c r="Y1079" s="295">
        <v>15.5</v>
      </c>
      <c r="Z1079" s="295">
        <v>15.75</v>
      </c>
      <c r="AA1079" s="295"/>
      <c r="AB1079" s="295">
        <v>13</v>
      </c>
      <c r="AC1079" s="295">
        <v>15</v>
      </c>
      <c r="AD1079" s="295"/>
      <c r="AE1079" s="295">
        <v>14.85</v>
      </c>
      <c r="AF1079" s="295">
        <v>15.1</v>
      </c>
      <c r="AG1079" s="295"/>
      <c r="AH1079" s="295">
        <v>11.2</v>
      </c>
      <c r="AI1079" s="295">
        <v>13.5</v>
      </c>
      <c r="AJ1079" s="295"/>
      <c r="AK1079" s="295">
        <v>19.75</v>
      </c>
      <c r="AL1079" s="295">
        <v>19.5</v>
      </c>
      <c r="AM1079" s="295"/>
      <c r="AN1079" s="295">
        <v>58</v>
      </c>
      <c r="AO1079" s="295">
        <v>56.5</v>
      </c>
      <c r="AP1079" s="295"/>
      <c r="AQ1079" s="295">
        <v>15.84</v>
      </c>
      <c r="AR1079" s="295">
        <v>14.28</v>
      </c>
      <c r="AS1079" s="295"/>
      <c r="AT1079" s="295">
        <v>48</v>
      </c>
      <c r="AU1079" s="295">
        <v>43</v>
      </c>
      <c r="AV1079" s="295"/>
      <c r="AW1079" s="295">
        <v>12</v>
      </c>
      <c r="AX1079" s="295">
        <v>13</v>
      </c>
      <c r="AY1079" s="295"/>
      <c r="AZ1079" s="295">
        <v>20</v>
      </c>
      <c r="BA1079" s="295">
        <v>19.5</v>
      </c>
      <c r="BB1079" s="295"/>
      <c r="BC1079" s="295">
        <v>38.75</v>
      </c>
      <c r="BD1079" s="295">
        <v>39</v>
      </c>
      <c r="BE1079" s="295"/>
      <c r="BF1079" s="295">
        <v>62.95</v>
      </c>
      <c r="BG1079" s="295">
        <v>64.75</v>
      </c>
      <c r="BH1079" s="295"/>
      <c r="BI1079" s="295">
        <v>159.25</v>
      </c>
      <c r="BJ1079" s="295">
        <v>180</v>
      </c>
      <c r="BK1079" s="295"/>
      <c r="BL1079" s="295">
        <v>11.5</v>
      </c>
      <c r="BM1079" s="295">
        <v>11</v>
      </c>
      <c r="BN1079" s="295"/>
      <c r="BO1079" s="295">
        <v>14</v>
      </c>
      <c r="BP1079" s="295">
        <v>14</v>
      </c>
      <c r="BQ1079" s="295"/>
      <c r="BR1079" s="295">
        <v>19.850000000000001</v>
      </c>
      <c r="BS1079" s="295">
        <v>19.55</v>
      </c>
      <c r="BT1079" s="295"/>
      <c r="BU1079" s="295">
        <v>17</v>
      </c>
      <c r="BV1079" s="295">
        <v>15</v>
      </c>
      <c r="BW1079" s="295"/>
      <c r="BX1079" s="295">
        <v>6.5</v>
      </c>
      <c r="BY1079" s="295">
        <v>5.5</v>
      </c>
      <c r="BZ1079" s="295"/>
      <c r="CA1079" s="295">
        <v>8.85</v>
      </c>
      <c r="CB1079" s="295">
        <v>11</v>
      </c>
      <c r="CC1079" s="295"/>
      <c r="CD1079" s="295">
        <v>13</v>
      </c>
      <c r="CE1079" s="295">
        <v>14</v>
      </c>
      <c r="CF1079" s="295"/>
      <c r="CG1079" s="295">
        <v>79.849999999999994</v>
      </c>
      <c r="CH1079" s="295">
        <v>82.64</v>
      </c>
      <c r="CI1079" s="295"/>
      <c r="CJ1079" s="295">
        <v>3.5</v>
      </c>
      <c r="CK1079" s="295">
        <v>3.15</v>
      </c>
    </row>
    <row r="1080" spans="1:89" ht="30" x14ac:dyDescent="0.25">
      <c r="A1080" s="95"/>
      <c r="B1080" s="96" t="s">
        <v>1624</v>
      </c>
      <c r="C1080" s="312" t="s">
        <v>2734</v>
      </c>
      <c r="D1080" s="95" t="s">
        <v>950</v>
      </c>
      <c r="E1080" s="103"/>
      <c r="F1080" s="103"/>
      <c r="G1080" s="103"/>
      <c r="H1080" s="342"/>
      <c r="I1080" s="339">
        <f>399.65-78.9</f>
        <v>320.75</v>
      </c>
      <c r="J1080" s="339">
        <f>433.37-81.45</f>
        <v>351.92</v>
      </c>
      <c r="K1080" s="339">
        <f>491.98-89.09</f>
        <v>402.89</v>
      </c>
      <c r="L1080" s="339">
        <v>8.2899999999999991</v>
      </c>
      <c r="M1080" s="339">
        <v>11.28</v>
      </c>
      <c r="N1080" s="339">
        <v>12.67</v>
      </c>
      <c r="O1080" s="295"/>
      <c r="P1080" s="296"/>
      <c r="Q1080" s="295">
        <f t="shared" si="1535"/>
        <v>402.89</v>
      </c>
      <c r="R1080" s="295">
        <f t="shared" si="1536"/>
        <v>413.78999999999996</v>
      </c>
      <c r="S1080" s="295">
        <v>9.5</v>
      </c>
      <c r="T1080" s="295">
        <v>11</v>
      </c>
      <c r="U1080" s="295"/>
      <c r="V1080" s="295">
        <v>4.76</v>
      </c>
      <c r="W1080" s="295">
        <v>4.3499999999999996</v>
      </c>
      <c r="X1080" s="295"/>
      <c r="Y1080" s="295">
        <v>12.23</v>
      </c>
      <c r="Z1080" s="295">
        <v>13.05</v>
      </c>
      <c r="AA1080" s="295"/>
      <c r="AB1080" s="295">
        <v>10.5</v>
      </c>
      <c r="AC1080" s="295">
        <v>10.5</v>
      </c>
      <c r="AD1080" s="295"/>
      <c r="AE1080" s="295">
        <v>9.5</v>
      </c>
      <c r="AF1080" s="295">
        <v>10.199999999999999</v>
      </c>
      <c r="AG1080" s="295"/>
      <c r="AH1080" s="295">
        <v>7.08</v>
      </c>
      <c r="AI1080" s="295">
        <v>8.2899999999999991</v>
      </c>
      <c r="AJ1080" s="295"/>
      <c r="AK1080" s="295">
        <v>11.5</v>
      </c>
      <c r="AL1080" s="295">
        <v>13.25</v>
      </c>
      <c r="AM1080" s="295"/>
      <c r="AN1080" s="295">
        <v>42.25</v>
      </c>
      <c r="AO1080" s="295">
        <v>40.75</v>
      </c>
      <c r="AP1080" s="295"/>
      <c r="AQ1080" s="295">
        <v>13.47</v>
      </c>
      <c r="AR1080" s="295">
        <v>13.3</v>
      </c>
      <c r="AS1080" s="295"/>
      <c r="AT1080" s="295">
        <v>31.3</v>
      </c>
      <c r="AU1080" s="295">
        <v>30.8</v>
      </c>
      <c r="AV1080" s="295"/>
      <c r="AW1080" s="295">
        <v>6</v>
      </c>
      <c r="AX1080" s="295">
        <v>7</v>
      </c>
      <c r="AY1080" s="295"/>
      <c r="AZ1080" s="295">
        <v>13.5</v>
      </c>
      <c r="BA1080" s="295">
        <v>14.75</v>
      </c>
      <c r="BB1080" s="295"/>
      <c r="BC1080" s="295">
        <v>26</v>
      </c>
      <c r="BD1080" s="295">
        <v>26.75</v>
      </c>
      <c r="BE1080" s="295"/>
      <c r="BF1080" s="295">
        <v>26.8</v>
      </c>
      <c r="BG1080" s="295">
        <v>27.05</v>
      </c>
      <c r="BH1080" s="295"/>
      <c r="BI1080" s="295">
        <v>116.25</v>
      </c>
      <c r="BJ1080" s="295">
        <v>112.25</v>
      </c>
      <c r="BK1080" s="295"/>
      <c r="BL1080" s="295">
        <v>6</v>
      </c>
      <c r="BM1080" s="295">
        <v>4</v>
      </c>
      <c r="BN1080" s="295"/>
      <c r="BO1080" s="295">
        <v>8</v>
      </c>
      <c r="BP1080" s="295">
        <v>11.25</v>
      </c>
      <c r="BQ1080" s="295"/>
      <c r="BR1080" s="295">
        <v>10</v>
      </c>
      <c r="BS1080" s="295">
        <v>11.5</v>
      </c>
      <c r="BT1080" s="295"/>
      <c r="BU1080" s="295">
        <v>10.25</v>
      </c>
      <c r="BV1080" s="295">
        <v>10.25</v>
      </c>
      <c r="BW1080" s="295"/>
      <c r="BX1080" s="295">
        <v>2.5</v>
      </c>
      <c r="BY1080" s="295">
        <v>3.25</v>
      </c>
      <c r="BZ1080" s="295"/>
      <c r="CA1080" s="295">
        <v>10.5</v>
      </c>
      <c r="CB1080" s="295">
        <v>15</v>
      </c>
      <c r="CC1080" s="295"/>
      <c r="CD1080" s="295">
        <v>15</v>
      </c>
      <c r="CE1080" s="295">
        <v>15.25</v>
      </c>
      <c r="CF1080" s="295"/>
      <c r="CG1080" s="295">
        <v>89.09</v>
      </c>
      <c r="CH1080" s="295">
        <v>91</v>
      </c>
      <c r="CI1080" s="295"/>
      <c r="CJ1080" s="295">
        <v>0</v>
      </c>
      <c r="CK1080" s="295">
        <v>0</v>
      </c>
    </row>
    <row r="1081" spans="1:89" ht="30" x14ac:dyDescent="0.25">
      <c r="A1081" s="95"/>
      <c r="B1081" s="96" t="s">
        <v>1627</v>
      </c>
      <c r="C1081" s="312" t="s">
        <v>2736</v>
      </c>
      <c r="D1081" s="95" t="s">
        <v>950</v>
      </c>
      <c r="E1081" s="103"/>
      <c r="F1081" s="103"/>
      <c r="G1081" s="103"/>
      <c r="H1081" s="342"/>
      <c r="I1081" s="339">
        <f>410.28-21.5</f>
        <v>388.78</v>
      </c>
      <c r="J1081" s="339">
        <f>413.77-23.5</f>
        <v>390.27</v>
      </c>
      <c r="K1081" s="339">
        <f>433.81-22.5</f>
        <v>411.31</v>
      </c>
      <c r="L1081" s="339">
        <v>10.53</v>
      </c>
      <c r="M1081" s="339">
        <v>10.56</v>
      </c>
      <c r="N1081" s="339">
        <v>10.16</v>
      </c>
      <c r="O1081" s="295"/>
      <c r="P1081" s="296"/>
      <c r="Q1081" s="295">
        <f t="shared" si="1535"/>
        <v>411.31</v>
      </c>
      <c r="R1081" s="295">
        <f t="shared" si="1536"/>
        <v>411.28000000000003</v>
      </c>
      <c r="S1081" s="295">
        <v>10.5</v>
      </c>
      <c r="T1081" s="295">
        <v>11.5</v>
      </c>
      <c r="U1081" s="295"/>
      <c r="V1081" s="295">
        <v>9.5</v>
      </c>
      <c r="W1081" s="295">
        <v>7</v>
      </c>
      <c r="X1081" s="295"/>
      <c r="Y1081" s="295">
        <v>9.66</v>
      </c>
      <c r="Z1081" s="295">
        <v>10.25</v>
      </c>
      <c r="AA1081" s="295"/>
      <c r="AB1081" s="295">
        <v>9.75</v>
      </c>
      <c r="AC1081" s="295">
        <v>8.75</v>
      </c>
      <c r="AD1081" s="295"/>
      <c r="AE1081" s="295">
        <v>16.399999999999999</v>
      </c>
      <c r="AF1081" s="295">
        <v>15.2</v>
      </c>
      <c r="AG1081" s="295"/>
      <c r="AH1081" s="295">
        <v>10.25</v>
      </c>
      <c r="AI1081" s="295">
        <v>10.53</v>
      </c>
      <c r="AJ1081" s="295"/>
      <c r="AK1081" s="295">
        <v>13.5</v>
      </c>
      <c r="AL1081" s="295">
        <v>14.25</v>
      </c>
      <c r="AM1081" s="295"/>
      <c r="AN1081" s="295">
        <v>49.5</v>
      </c>
      <c r="AO1081" s="295">
        <v>51.5</v>
      </c>
      <c r="AP1081" s="295"/>
      <c r="AQ1081" s="295">
        <v>6.75</v>
      </c>
      <c r="AR1081" s="295">
        <v>7</v>
      </c>
      <c r="AS1081" s="295"/>
      <c r="AT1081" s="295">
        <v>27.55</v>
      </c>
      <c r="AU1081" s="295">
        <v>20.8</v>
      </c>
      <c r="AV1081" s="295"/>
      <c r="AW1081" s="295">
        <v>6</v>
      </c>
      <c r="AX1081" s="295">
        <v>6</v>
      </c>
      <c r="AY1081" s="295"/>
      <c r="AZ1081" s="295">
        <v>12</v>
      </c>
      <c r="BA1081" s="295">
        <v>12</v>
      </c>
      <c r="BB1081" s="295"/>
      <c r="BC1081" s="295">
        <v>20</v>
      </c>
      <c r="BD1081" s="295">
        <v>22.75</v>
      </c>
      <c r="BE1081" s="295"/>
      <c r="BF1081" s="295">
        <v>55.25</v>
      </c>
      <c r="BG1081" s="295">
        <v>57.8</v>
      </c>
      <c r="BH1081" s="295"/>
      <c r="BI1081" s="295">
        <v>85.5</v>
      </c>
      <c r="BJ1081" s="295">
        <v>88.5</v>
      </c>
      <c r="BK1081" s="295"/>
      <c r="BL1081" s="295">
        <v>10</v>
      </c>
      <c r="BM1081" s="295">
        <v>9.5</v>
      </c>
      <c r="BN1081" s="295"/>
      <c r="BO1081" s="295">
        <v>10.75</v>
      </c>
      <c r="BP1081" s="295">
        <v>9</v>
      </c>
      <c r="BQ1081" s="295"/>
      <c r="BR1081" s="295">
        <v>14.7</v>
      </c>
      <c r="BS1081" s="295">
        <v>14.2</v>
      </c>
      <c r="BT1081" s="295"/>
      <c r="BU1081" s="295">
        <v>14.5</v>
      </c>
      <c r="BV1081" s="295">
        <v>15.5</v>
      </c>
      <c r="BW1081" s="295"/>
      <c r="BX1081" s="295">
        <v>3</v>
      </c>
      <c r="BY1081" s="295">
        <v>3</v>
      </c>
      <c r="BZ1081" s="295"/>
      <c r="CA1081" s="295">
        <v>9</v>
      </c>
      <c r="CB1081" s="295">
        <v>9</v>
      </c>
      <c r="CC1081" s="295"/>
      <c r="CD1081" s="295">
        <v>7.25</v>
      </c>
      <c r="CE1081" s="295">
        <v>7.25</v>
      </c>
      <c r="CF1081" s="295"/>
      <c r="CG1081" s="295">
        <v>21.5</v>
      </c>
      <c r="CH1081" s="295">
        <v>23</v>
      </c>
      <c r="CI1081" s="295"/>
      <c r="CJ1081" s="295">
        <v>1</v>
      </c>
      <c r="CK1081" s="295">
        <v>1</v>
      </c>
    </row>
    <row r="1082" spans="1:89" ht="30" x14ac:dyDescent="0.25">
      <c r="A1082" s="95"/>
      <c r="B1082" s="96" t="s">
        <v>2671</v>
      </c>
      <c r="C1082" s="312" t="s">
        <v>2738</v>
      </c>
      <c r="D1082" s="95" t="s">
        <v>950</v>
      </c>
      <c r="E1082" s="103"/>
      <c r="F1082" s="103"/>
      <c r="G1082" s="103"/>
      <c r="H1082" s="342"/>
      <c r="I1082" s="339">
        <f>67.61-20</f>
        <v>47.61</v>
      </c>
      <c r="J1082" s="339">
        <f>92-35</f>
        <v>57</v>
      </c>
      <c r="K1082" s="339">
        <f>114.47-46.5</f>
        <v>67.97</v>
      </c>
      <c r="L1082" s="343">
        <v>2.25</v>
      </c>
      <c r="M1082" s="343">
        <v>3.25</v>
      </c>
      <c r="N1082" s="343">
        <v>2.25</v>
      </c>
      <c r="O1082" s="295"/>
      <c r="P1082" s="296"/>
      <c r="Q1082" s="295">
        <f t="shared" si="1535"/>
        <v>67.97</v>
      </c>
      <c r="R1082" s="295">
        <f t="shared" si="1536"/>
        <v>74.47</v>
      </c>
      <c r="S1082" s="295">
        <v>3</v>
      </c>
      <c r="T1082" s="295">
        <v>4.0999999999999996</v>
      </c>
      <c r="U1082" s="295"/>
      <c r="V1082" s="295">
        <v>1.75</v>
      </c>
      <c r="W1082" s="295">
        <v>1.3</v>
      </c>
      <c r="X1082" s="295"/>
      <c r="Y1082" s="295">
        <v>1</v>
      </c>
      <c r="Z1082" s="295">
        <v>2</v>
      </c>
      <c r="AA1082" s="295"/>
      <c r="AB1082" s="295">
        <v>4</v>
      </c>
      <c r="AC1082" s="295">
        <v>3</v>
      </c>
      <c r="AD1082" s="295"/>
      <c r="AE1082" s="295">
        <v>0.5</v>
      </c>
      <c r="AF1082" s="295">
        <v>1</v>
      </c>
      <c r="AG1082" s="295"/>
      <c r="AH1082" s="295">
        <v>1.5</v>
      </c>
      <c r="AI1082" s="295">
        <v>2.25</v>
      </c>
      <c r="AJ1082" s="295"/>
      <c r="AK1082" s="295">
        <v>1.75</v>
      </c>
      <c r="AL1082" s="295">
        <v>3.25</v>
      </c>
      <c r="AM1082" s="295"/>
      <c r="AN1082" s="295">
        <v>2</v>
      </c>
      <c r="AO1082" s="295">
        <v>4.5</v>
      </c>
      <c r="AP1082" s="295"/>
      <c r="AQ1082" s="295">
        <v>0</v>
      </c>
      <c r="AR1082" s="295">
        <v>0.25</v>
      </c>
      <c r="AS1082" s="295"/>
      <c r="AT1082" s="295">
        <v>15</v>
      </c>
      <c r="AU1082" s="295">
        <v>14.4</v>
      </c>
      <c r="AV1082" s="295"/>
      <c r="AW1082" s="295">
        <v>1</v>
      </c>
      <c r="AX1082" s="295">
        <v>1.5</v>
      </c>
      <c r="AY1082" s="295"/>
      <c r="AZ1082" s="295">
        <v>2.2999999999999998</v>
      </c>
      <c r="BA1082" s="295">
        <v>2.5</v>
      </c>
      <c r="BB1082" s="295"/>
      <c r="BC1082" s="295">
        <v>6.5</v>
      </c>
      <c r="BD1082" s="295">
        <v>2</v>
      </c>
      <c r="BE1082" s="295"/>
      <c r="BF1082" s="295">
        <v>3</v>
      </c>
      <c r="BG1082" s="295">
        <v>2</v>
      </c>
      <c r="BH1082" s="295"/>
      <c r="BI1082" s="295">
        <v>8</v>
      </c>
      <c r="BJ1082" s="295">
        <v>8.5</v>
      </c>
      <c r="BK1082" s="295"/>
      <c r="BL1082" s="295">
        <v>0</v>
      </c>
      <c r="BM1082" s="295">
        <v>0</v>
      </c>
      <c r="BN1082" s="295"/>
      <c r="BO1082" s="295">
        <v>0.17</v>
      </c>
      <c r="BP1082" s="295">
        <v>0.17</v>
      </c>
      <c r="BQ1082" s="295"/>
      <c r="BR1082" s="295">
        <v>7.5</v>
      </c>
      <c r="BS1082" s="295">
        <v>6.5</v>
      </c>
      <c r="BT1082" s="295"/>
      <c r="BU1082" s="295">
        <v>3</v>
      </c>
      <c r="BV1082" s="295">
        <v>5.5</v>
      </c>
      <c r="BW1082" s="295"/>
      <c r="BX1082" s="295">
        <v>1</v>
      </c>
      <c r="BY1082" s="295">
        <v>1</v>
      </c>
      <c r="BZ1082" s="295"/>
      <c r="CA1082" s="295">
        <v>5</v>
      </c>
      <c r="CB1082" s="295">
        <v>6.75</v>
      </c>
      <c r="CC1082" s="295"/>
      <c r="CD1082" s="295">
        <v>0</v>
      </c>
      <c r="CE1082" s="295">
        <v>2</v>
      </c>
      <c r="CF1082" s="295"/>
      <c r="CG1082" s="295">
        <v>46.5</v>
      </c>
      <c r="CH1082" s="295">
        <v>53.45</v>
      </c>
      <c r="CI1082" s="295"/>
      <c r="CJ1082" s="295">
        <v>0</v>
      </c>
      <c r="CK1082" s="295">
        <v>0</v>
      </c>
    </row>
    <row r="1083" spans="1:89" x14ac:dyDescent="0.25">
      <c r="A1083" s="95"/>
      <c r="B1083" s="248" t="s">
        <v>2673</v>
      </c>
      <c r="C1083" s="95"/>
      <c r="D1083" s="95"/>
      <c r="E1083" s="103"/>
      <c r="F1083" s="103"/>
      <c r="G1083" s="103"/>
      <c r="H1083" s="342"/>
      <c r="I1083" s="342"/>
      <c r="J1083" s="342"/>
      <c r="K1083" s="342"/>
      <c r="L1083" s="342"/>
      <c r="M1083" s="342"/>
      <c r="N1083" s="342"/>
      <c r="O1083" s="295"/>
      <c r="Q1083" s="295"/>
      <c r="R1083" s="295"/>
      <c r="S1083" s="295"/>
      <c r="T1083" s="295"/>
      <c r="U1083" s="295"/>
      <c r="V1083" s="295"/>
      <c r="W1083" s="295"/>
      <c r="X1083" s="295"/>
      <c r="Y1083" s="295"/>
      <c r="Z1083" s="295"/>
      <c r="AA1083" s="295"/>
      <c r="AB1083" s="295"/>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95"/>
      <c r="AW1083" s="295"/>
      <c r="AX1083" s="295"/>
      <c r="AY1083" s="295"/>
      <c r="AZ1083" s="295"/>
      <c r="BA1083" s="295"/>
      <c r="BB1083" s="295"/>
      <c r="BC1083" s="295"/>
      <c r="BD1083" s="295"/>
      <c r="BE1083" s="295"/>
      <c r="BF1083" s="295"/>
      <c r="BG1083" s="295"/>
      <c r="BH1083" s="295"/>
      <c r="BI1083" s="295"/>
      <c r="BJ1083" s="295"/>
      <c r="BK1083" s="295"/>
      <c r="BL1083" s="295"/>
      <c r="BM1083" s="295"/>
      <c r="BN1083" s="295"/>
      <c r="BO1083" s="295"/>
      <c r="BP1083" s="295"/>
      <c r="BQ1083" s="295"/>
      <c r="BR1083" s="295"/>
      <c r="BS1083" s="295"/>
      <c r="BT1083" s="295"/>
      <c r="BU1083" s="295"/>
      <c r="BV1083" s="295"/>
      <c r="BW1083" s="295"/>
      <c r="BX1083" s="295"/>
      <c r="BY1083" s="295"/>
      <c r="BZ1083" s="295"/>
      <c r="CA1083" s="295"/>
      <c r="CB1083" s="295"/>
      <c r="CC1083" s="295"/>
      <c r="CD1083" s="295"/>
      <c r="CE1083" s="295"/>
      <c r="CF1083" s="295"/>
      <c r="CG1083" s="295"/>
      <c r="CH1083" s="295"/>
      <c r="CI1083" s="295"/>
      <c r="CJ1083" s="295"/>
      <c r="CK1083" s="295"/>
    </row>
    <row r="1084" spans="1:89" ht="30" x14ac:dyDescent="0.25">
      <c r="A1084" s="95"/>
      <c r="B1084" s="96" t="s">
        <v>1675</v>
      </c>
      <c r="C1084" s="312" t="s">
        <v>2733</v>
      </c>
      <c r="D1084" s="95" t="s">
        <v>950</v>
      </c>
      <c r="E1084" s="103"/>
      <c r="F1084" s="103"/>
      <c r="G1084" s="103"/>
      <c r="H1084" s="342"/>
      <c r="I1084" s="339">
        <f>25583.67-1625.19</f>
        <v>23958.48</v>
      </c>
      <c r="J1084" s="339">
        <f>26154.21-1731.77</f>
        <v>24422.44</v>
      </c>
      <c r="K1084" s="339">
        <f>27074.34-1888.82</f>
        <v>25185.52</v>
      </c>
      <c r="L1084" s="339">
        <v>842.08</v>
      </c>
      <c r="M1084" s="339">
        <v>875.02</v>
      </c>
      <c r="N1084" s="339">
        <v>886.68</v>
      </c>
      <c r="O1084" s="295"/>
      <c r="P1084" s="296"/>
      <c r="Q1084" s="295">
        <f t="shared" ref="Q1084:Q1089" si="1537">S1084+V1084+Y1084+AB1084+AE1084+AH1084+AK1084+AN1084+AQ1084+AT1084+AW1084+AZ1084+BC1084+BF1084+BI1084+BL1084+BO1084+BR1084+BU1084+BX1084+CA1084+CD1084+CG1084+CJ1084-CG1084-CJ1084</f>
        <v>25185.520000000008</v>
      </c>
      <c r="R1084" s="295">
        <f t="shared" ref="R1084:R1089" si="1538">T1084+W1084+Z1084+AC1084+AF1084+AI1084+AL1084+AO1084+AR1084+AU1084+AX1084+BA1084+BD1084+BG1084+BJ1084+BM1084+BP1084+BS1084+BV1084+BY1084+CB1084+CE1084+CH1084+CK1084-CH1084-CK1084</f>
        <v>25562.32</v>
      </c>
      <c r="S1084" s="295">
        <v>551.34</v>
      </c>
      <c r="T1084" s="295">
        <v>586.11</v>
      </c>
      <c r="U1084" s="295"/>
      <c r="V1084" s="295">
        <v>493.78</v>
      </c>
      <c r="W1084" s="295">
        <v>489.37</v>
      </c>
      <c r="X1084" s="295"/>
      <c r="Y1084" s="295">
        <v>704.72</v>
      </c>
      <c r="Z1084" s="295">
        <v>704.16</v>
      </c>
      <c r="AA1084" s="295"/>
      <c r="AB1084" s="295">
        <v>725</v>
      </c>
      <c r="AC1084" s="295">
        <v>764.78</v>
      </c>
      <c r="AD1084" s="295"/>
      <c r="AE1084" s="295">
        <v>845.35</v>
      </c>
      <c r="AF1084" s="295">
        <v>821.27</v>
      </c>
      <c r="AG1084" s="295"/>
      <c r="AH1084" s="295">
        <v>838.15</v>
      </c>
      <c r="AI1084" s="295">
        <v>842.08</v>
      </c>
      <c r="AJ1084" s="295"/>
      <c r="AK1084" s="295">
        <v>760.64</v>
      </c>
      <c r="AL1084" s="295">
        <v>753.09</v>
      </c>
      <c r="AM1084" s="295"/>
      <c r="AN1084" s="295">
        <v>2056.85</v>
      </c>
      <c r="AO1084" s="295">
        <v>2029.85</v>
      </c>
      <c r="AP1084" s="295"/>
      <c r="AQ1084" s="295">
        <v>574.71</v>
      </c>
      <c r="AR1084" s="295">
        <v>606.16999999999996</v>
      </c>
      <c r="AS1084" s="295"/>
      <c r="AT1084" s="295">
        <v>1362.44</v>
      </c>
      <c r="AU1084" s="295">
        <v>1350.92</v>
      </c>
      <c r="AV1084" s="295"/>
      <c r="AW1084" s="295">
        <v>589.42999999999995</v>
      </c>
      <c r="AX1084" s="295">
        <v>663.37</v>
      </c>
      <c r="AY1084" s="295"/>
      <c r="AZ1084" s="295">
        <v>906.35</v>
      </c>
      <c r="BA1084" s="295">
        <v>884.7</v>
      </c>
      <c r="BB1084" s="295"/>
      <c r="BC1084" s="295">
        <v>1657.61</v>
      </c>
      <c r="BD1084" s="295">
        <v>1679.55</v>
      </c>
      <c r="BE1084" s="295"/>
      <c r="BF1084" s="295">
        <v>2986.3</v>
      </c>
      <c r="BG1084" s="295">
        <v>3010.42</v>
      </c>
      <c r="BH1084" s="295"/>
      <c r="BI1084" s="295">
        <v>5590.5</v>
      </c>
      <c r="BJ1084" s="295">
        <v>5703.25</v>
      </c>
      <c r="BK1084" s="295"/>
      <c r="BL1084" s="295">
        <v>649.22</v>
      </c>
      <c r="BM1084" s="295">
        <v>659.89</v>
      </c>
      <c r="BN1084" s="295"/>
      <c r="BO1084" s="295">
        <v>594.45000000000005</v>
      </c>
      <c r="BP1084" s="295">
        <v>580.77</v>
      </c>
      <c r="BQ1084" s="295"/>
      <c r="BR1084" s="295">
        <v>862.65</v>
      </c>
      <c r="BS1084" s="295">
        <v>856.9</v>
      </c>
      <c r="BT1084" s="295"/>
      <c r="BU1084" s="295">
        <v>814.09</v>
      </c>
      <c r="BV1084" s="295">
        <v>826.57</v>
      </c>
      <c r="BW1084" s="295"/>
      <c r="BX1084" s="295">
        <v>256.79000000000002</v>
      </c>
      <c r="BY1084" s="295">
        <v>263.58999999999997</v>
      </c>
      <c r="BZ1084" s="295"/>
      <c r="CA1084" s="295">
        <v>617.4</v>
      </c>
      <c r="CB1084" s="295">
        <v>701.01</v>
      </c>
      <c r="CC1084" s="295"/>
      <c r="CD1084" s="295">
        <v>747.75</v>
      </c>
      <c r="CE1084" s="295">
        <v>784.5</v>
      </c>
      <c r="CF1084" s="295"/>
      <c r="CG1084" s="295">
        <v>1695.8</v>
      </c>
      <c r="CH1084" s="295">
        <v>1751.58</v>
      </c>
      <c r="CI1084" s="295"/>
      <c r="CJ1084" s="295">
        <v>193.02</v>
      </c>
      <c r="CK1084" s="295">
        <v>229.32</v>
      </c>
    </row>
    <row r="1085" spans="1:89" ht="30" x14ac:dyDescent="0.25">
      <c r="A1085" s="95"/>
      <c r="B1085" s="96" t="s">
        <v>1625</v>
      </c>
      <c r="C1085" s="312" t="s">
        <v>2730</v>
      </c>
      <c r="D1085" s="95" t="s">
        <v>950</v>
      </c>
      <c r="E1085" s="103"/>
      <c r="F1085" s="103"/>
      <c r="G1085" s="103"/>
      <c r="H1085" s="342"/>
      <c r="I1085" s="339">
        <f>104.42-63.42</f>
        <v>41</v>
      </c>
      <c r="J1085" s="339">
        <f>167.19-78.9</f>
        <v>88.289999999999992</v>
      </c>
      <c r="K1085" s="339">
        <f>235.75-84.13</f>
        <v>151.62</v>
      </c>
      <c r="L1085" s="339">
        <v>1.35</v>
      </c>
      <c r="M1085" s="339">
        <v>1.85</v>
      </c>
      <c r="N1085" s="339">
        <v>1.6</v>
      </c>
      <c r="O1085" s="295"/>
      <c r="P1085" s="296"/>
      <c r="Q1085" s="295">
        <f t="shared" si="1537"/>
        <v>151.62</v>
      </c>
      <c r="R1085" s="295">
        <f t="shared" si="1538"/>
        <v>182.42000000000002</v>
      </c>
      <c r="S1085" s="295">
        <v>3.25</v>
      </c>
      <c r="T1085" s="295">
        <v>5.2</v>
      </c>
      <c r="U1085" s="295"/>
      <c r="V1085" s="295">
        <v>1.6</v>
      </c>
      <c r="W1085" s="295">
        <v>1.1499999999999999</v>
      </c>
      <c r="X1085" s="295"/>
      <c r="Y1085" s="295">
        <v>6.91</v>
      </c>
      <c r="Z1085" s="295">
        <v>7.5</v>
      </c>
      <c r="AA1085" s="295"/>
      <c r="AB1085" s="295">
        <v>1</v>
      </c>
      <c r="AC1085" s="295">
        <v>1.25</v>
      </c>
      <c r="AD1085" s="295"/>
      <c r="AE1085" s="295">
        <v>6.5</v>
      </c>
      <c r="AF1085" s="295">
        <v>6.5</v>
      </c>
      <c r="AG1085" s="295"/>
      <c r="AH1085" s="295">
        <v>0.7</v>
      </c>
      <c r="AI1085" s="295">
        <v>1.35</v>
      </c>
      <c r="AJ1085" s="295"/>
      <c r="AK1085" s="295">
        <v>6.75</v>
      </c>
      <c r="AL1085" s="295">
        <v>7</v>
      </c>
      <c r="AM1085" s="295"/>
      <c r="AN1085" s="295">
        <v>17.5</v>
      </c>
      <c r="AO1085" s="295">
        <v>21.5</v>
      </c>
      <c r="AP1085" s="295"/>
      <c r="AQ1085" s="295">
        <v>1.61</v>
      </c>
      <c r="AR1085" s="295">
        <v>3.42</v>
      </c>
      <c r="AS1085" s="295"/>
      <c r="AT1085" s="295">
        <v>12.8</v>
      </c>
      <c r="AU1085" s="295">
        <v>14.8</v>
      </c>
      <c r="AV1085" s="295"/>
      <c r="AW1085" s="295">
        <v>2</v>
      </c>
      <c r="AX1085" s="295">
        <v>4.5</v>
      </c>
      <c r="AY1085" s="295"/>
      <c r="AZ1085" s="295">
        <v>3</v>
      </c>
      <c r="BA1085" s="295">
        <v>3.5</v>
      </c>
      <c r="BB1085" s="295"/>
      <c r="BC1085" s="295">
        <v>9</v>
      </c>
      <c r="BD1085" s="295">
        <v>11</v>
      </c>
      <c r="BE1085" s="295"/>
      <c r="BF1085" s="295">
        <v>1</v>
      </c>
      <c r="BG1085" s="295">
        <v>1.25</v>
      </c>
      <c r="BH1085" s="295"/>
      <c r="BI1085" s="295">
        <v>55</v>
      </c>
      <c r="BJ1085" s="295">
        <v>65.5</v>
      </c>
      <c r="BK1085" s="295"/>
      <c r="BL1085" s="295">
        <v>1</v>
      </c>
      <c r="BM1085" s="295">
        <v>0.5</v>
      </c>
      <c r="BN1085" s="295"/>
      <c r="BO1085" s="295">
        <v>10</v>
      </c>
      <c r="BP1085" s="295">
        <v>7.5</v>
      </c>
      <c r="BQ1085" s="295"/>
      <c r="BR1085" s="295">
        <v>2.5</v>
      </c>
      <c r="BS1085" s="295">
        <v>2.5</v>
      </c>
      <c r="BT1085" s="295"/>
      <c r="BU1085" s="295">
        <v>3.5</v>
      </c>
      <c r="BV1085" s="295">
        <v>5.5</v>
      </c>
      <c r="BW1085" s="295"/>
      <c r="BX1085" s="295">
        <v>2</v>
      </c>
      <c r="BY1085" s="295">
        <v>2.5</v>
      </c>
      <c r="BZ1085" s="295"/>
      <c r="CA1085" s="295">
        <v>4</v>
      </c>
      <c r="CB1085" s="295">
        <v>7.5</v>
      </c>
      <c r="CC1085" s="295"/>
      <c r="CD1085" s="295">
        <v>0</v>
      </c>
      <c r="CE1085" s="295">
        <v>1</v>
      </c>
      <c r="CF1085" s="295"/>
      <c r="CG1085" s="295">
        <v>84.13</v>
      </c>
      <c r="CH1085" s="295">
        <v>87.8</v>
      </c>
      <c r="CI1085" s="295"/>
      <c r="CJ1085" s="295">
        <v>0</v>
      </c>
      <c r="CK1085" s="295">
        <v>0</v>
      </c>
    </row>
    <row r="1086" spans="1:89" ht="30" x14ac:dyDescent="0.25">
      <c r="A1086" s="95"/>
      <c r="B1086" s="96" t="s">
        <v>1626</v>
      </c>
      <c r="C1086" s="312" t="s">
        <v>2732</v>
      </c>
      <c r="D1086" s="95" t="s">
        <v>950</v>
      </c>
      <c r="E1086" s="103"/>
      <c r="F1086" s="103"/>
      <c r="G1086" s="103"/>
      <c r="H1086" s="342"/>
      <c r="I1086" s="339">
        <f>593.27-74.6</f>
        <v>518.66999999999996</v>
      </c>
      <c r="J1086" s="339">
        <f>627.11-81.77</f>
        <v>545.34</v>
      </c>
      <c r="K1086" s="339">
        <f>742.59-87.15</f>
        <v>655.44</v>
      </c>
      <c r="L1086" s="339">
        <v>13.75</v>
      </c>
      <c r="M1086" s="339">
        <v>14.5</v>
      </c>
      <c r="N1086" s="339">
        <v>13.75</v>
      </c>
      <c r="O1086" s="295"/>
      <c r="P1086" s="296"/>
      <c r="Q1086" s="295">
        <f t="shared" si="1537"/>
        <v>655.43999999999994</v>
      </c>
      <c r="R1086" s="295">
        <f t="shared" si="1538"/>
        <v>674.13</v>
      </c>
      <c r="S1086" s="295">
        <v>13</v>
      </c>
      <c r="T1086" s="295">
        <v>13.7</v>
      </c>
      <c r="U1086" s="295"/>
      <c r="V1086" s="295">
        <v>11</v>
      </c>
      <c r="W1086" s="295">
        <v>13.25</v>
      </c>
      <c r="X1086" s="295"/>
      <c r="Y1086" s="295">
        <v>16.5</v>
      </c>
      <c r="Z1086" s="295">
        <v>15.75</v>
      </c>
      <c r="AA1086" s="295"/>
      <c r="AB1086" s="295">
        <v>16</v>
      </c>
      <c r="AC1086" s="295">
        <v>16</v>
      </c>
      <c r="AD1086" s="295"/>
      <c r="AE1086" s="295">
        <v>15.35</v>
      </c>
      <c r="AF1086" s="295">
        <v>15.35</v>
      </c>
      <c r="AG1086" s="295"/>
      <c r="AH1086" s="295">
        <v>11.45</v>
      </c>
      <c r="AI1086" s="295">
        <v>13.75</v>
      </c>
      <c r="AJ1086" s="295"/>
      <c r="AK1086" s="295">
        <v>19.75</v>
      </c>
      <c r="AL1086" s="295">
        <v>19.5</v>
      </c>
      <c r="AM1086" s="295"/>
      <c r="AN1086" s="295">
        <v>58</v>
      </c>
      <c r="AO1086" s="295">
        <v>57.5</v>
      </c>
      <c r="AP1086" s="295"/>
      <c r="AQ1086" s="295">
        <v>15.84</v>
      </c>
      <c r="AR1086" s="295">
        <v>16.03</v>
      </c>
      <c r="AS1086" s="295"/>
      <c r="AT1086" s="295">
        <v>48</v>
      </c>
      <c r="AU1086" s="295">
        <v>49</v>
      </c>
      <c r="AV1086" s="295"/>
      <c r="AW1086" s="295">
        <v>12</v>
      </c>
      <c r="AX1086" s="295">
        <v>13</v>
      </c>
      <c r="AY1086" s="295"/>
      <c r="AZ1086" s="295">
        <v>22</v>
      </c>
      <c r="BA1086" s="295">
        <v>20.5</v>
      </c>
      <c r="BB1086" s="295"/>
      <c r="BC1086" s="295">
        <v>39.75</v>
      </c>
      <c r="BD1086" s="295">
        <v>40.5</v>
      </c>
      <c r="BE1086" s="295"/>
      <c r="BF1086" s="295">
        <v>62.95</v>
      </c>
      <c r="BG1086" s="295">
        <v>64.75</v>
      </c>
      <c r="BH1086" s="295"/>
      <c r="BI1086" s="295">
        <v>199</v>
      </c>
      <c r="BJ1086" s="295">
        <v>209.5</v>
      </c>
      <c r="BK1086" s="295"/>
      <c r="BL1086" s="295">
        <v>11.5</v>
      </c>
      <c r="BM1086" s="295">
        <v>11</v>
      </c>
      <c r="BN1086" s="295"/>
      <c r="BO1086" s="295">
        <v>14</v>
      </c>
      <c r="BP1086" s="295">
        <v>14</v>
      </c>
      <c r="BQ1086" s="295"/>
      <c r="BR1086" s="295">
        <v>19.850000000000001</v>
      </c>
      <c r="BS1086" s="295">
        <v>19.55</v>
      </c>
      <c r="BT1086" s="295"/>
      <c r="BU1086" s="295">
        <v>17</v>
      </c>
      <c r="BV1086" s="295">
        <v>16.5</v>
      </c>
      <c r="BW1086" s="295"/>
      <c r="BX1086" s="295">
        <v>6.5</v>
      </c>
      <c r="BY1086" s="295">
        <v>5.5</v>
      </c>
      <c r="BZ1086" s="295"/>
      <c r="CA1086" s="295">
        <v>13</v>
      </c>
      <c r="CB1086" s="295">
        <v>15.5</v>
      </c>
      <c r="CC1086" s="295"/>
      <c r="CD1086" s="295">
        <v>13</v>
      </c>
      <c r="CE1086" s="295">
        <v>14</v>
      </c>
      <c r="CF1086" s="295"/>
      <c r="CG1086" s="295">
        <v>82.65</v>
      </c>
      <c r="CH1086" s="295">
        <v>84.04</v>
      </c>
      <c r="CI1086" s="295"/>
      <c r="CJ1086" s="295">
        <v>4.5</v>
      </c>
      <c r="CK1086" s="295">
        <v>5.5</v>
      </c>
    </row>
    <row r="1087" spans="1:89" ht="30" x14ac:dyDescent="0.25">
      <c r="A1087" s="95"/>
      <c r="B1087" s="96" t="s">
        <v>1624</v>
      </c>
      <c r="C1087" s="312" t="s">
        <v>2735</v>
      </c>
      <c r="D1087" s="95" t="s">
        <v>950</v>
      </c>
      <c r="E1087" s="103"/>
      <c r="F1087" s="103"/>
      <c r="G1087" s="103"/>
      <c r="H1087" s="342"/>
      <c r="I1087" s="339">
        <f>425.45-88.7</f>
        <v>336.75</v>
      </c>
      <c r="J1087" s="339">
        <f>466.02-89.15</f>
        <v>376.87</v>
      </c>
      <c r="K1087" s="339">
        <f>515.14-92.2</f>
        <v>422.94</v>
      </c>
      <c r="L1087" s="339">
        <v>9.2899999999999991</v>
      </c>
      <c r="M1087" s="339">
        <v>11.28</v>
      </c>
      <c r="N1087" s="339">
        <v>12.67</v>
      </c>
      <c r="O1087" s="295"/>
      <c r="P1087" s="296"/>
      <c r="Q1087" s="295">
        <f t="shared" si="1537"/>
        <v>422.94000000000011</v>
      </c>
      <c r="R1087" s="295">
        <f t="shared" si="1538"/>
        <v>433.04</v>
      </c>
      <c r="S1087" s="295">
        <v>9.5</v>
      </c>
      <c r="T1087" s="295">
        <v>11</v>
      </c>
      <c r="U1087" s="295"/>
      <c r="V1087" s="295">
        <v>4.76</v>
      </c>
      <c r="W1087" s="295">
        <v>4.3499999999999996</v>
      </c>
      <c r="X1087" s="295"/>
      <c r="Y1087" s="295">
        <v>12.73</v>
      </c>
      <c r="Z1087" s="295">
        <v>13.05</v>
      </c>
      <c r="AA1087" s="295"/>
      <c r="AB1087" s="295">
        <v>10.5</v>
      </c>
      <c r="AC1087" s="295">
        <v>10.5</v>
      </c>
      <c r="AD1087" s="295"/>
      <c r="AE1087" s="295">
        <v>9.6999999999999993</v>
      </c>
      <c r="AF1087" s="295">
        <v>10.199999999999999</v>
      </c>
      <c r="AG1087" s="295"/>
      <c r="AH1087" s="295">
        <v>7.18</v>
      </c>
      <c r="AI1087" s="295">
        <v>9.2899999999999991</v>
      </c>
      <c r="AJ1087" s="295"/>
      <c r="AK1087" s="295">
        <v>11.5</v>
      </c>
      <c r="AL1087" s="295">
        <v>13.25</v>
      </c>
      <c r="AM1087" s="295"/>
      <c r="AN1087" s="295">
        <v>42.5</v>
      </c>
      <c r="AO1087" s="295">
        <v>42</v>
      </c>
      <c r="AP1087" s="295"/>
      <c r="AQ1087" s="295">
        <v>13.47</v>
      </c>
      <c r="AR1087" s="295">
        <v>15.3</v>
      </c>
      <c r="AS1087" s="295"/>
      <c r="AT1087" s="295">
        <v>31.3</v>
      </c>
      <c r="AU1087" s="295">
        <v>32.799999999999997</v>
      </c>
      <c r="AV1087" s="295"/>
      <c r="AW1087" s="295">
        <v>6</v>
      </c>
      <c r="AX1087" s="295">
        <v>7</v>
      </c>
      <c r="AY1087" s="295"/>
      <c r="AZ1087" s="295">
        <v>14.5</v>
      </c>
      <c r="BA1087" s="295">
        <v>14.75</v>
      </c>
      <c r="BB1087" s="295"/>
      <c r="BC1087" s="295">
        <v>28.5</v>
      </c>
      <c r="BD1087" s="295">
        <v>28.75</v>
      </c>
      <c r="BE1087" s="295"/>
      <c r="BF1087" s="295">
        <v>26.8</v>
      </c>
      <c r="BG1087" s="295">
        <v>27.05</v>
      </c>
      <c r="BH1087" s="295"/>
      <c r="BI1087" s="295">
        <v>125.5</v>
      </c>
      <c r="BJ1087" s="295">
        <v>119.25</v>
      </c>
      <c r="BK1087" s="295"/>
      <c r="BL1087" s="295">
        <v>6.5</v>
      </c>
      <c r="BM1087" s="295">
        <v>4</v>
      </c>
      <c r="BN1087" s="295"/>
      <c r="BO1087" s="295">
        <v>10.25</v>
      </c>
      <c r="BP1087" s="295">
        <v>11.25</v>
      </c>
      <c r="BQ1087" s="295"/>
      <c r="BR1087" s="295">
        <v>10</v>
      </c>
      <c r="BS1087" s="295">
        <v>11.5</v>
      </c>
      <c r="BT1087" s="295"/>
      <c r="BU1087" s="295">
        <v>10.25</v>
      </c>
      <c r="BV1087" s="295">
        <v>11.25</v>
      </c>
      <c r="BW1087" s="295"/>
      <c r="BX1087" s="295">
        <v>2.5</v>
      </c>
      <c r="BY1087" s="295">
        <v>3.25</v>
      </c>
      <c r="BZ1087" s="295"/>
      <c r="CA1087" s="295">
        <v>14</v>
      </c>
      <c r="CB1087" s="295">
        <v>18</v>
      </c>
      <c r="CC1087" s="295"/>
      <c r="CD1087" s="295">
        <v>15</v>
      </c>
      <c r="CE1087" s="295">
        <v>15.25</v>
      </c>
      <c r="CF1087" s="295"/>
      <c r="CG1087" s="295">
        <v>92.2</v>
      </c>
      <c r="CH1087" s="295">
        <v>94.3</v>
      </c>
      <c r="CI1087" s="295"/>
      <c r="CJ1087" s="295">
        <v>0</v>
      </c>
      <c r="CK1087" s="295">
        <v>0</v>
      </c>
    </row>
    <row r="1088" spans="1:89" ht="30" x14ac:dyDescent="0.25">
      <c r="A1088" s="95"/>
      <c r="B1088" s="96" t="s">
        <v>1627</v>
      </c>
      <c r="C1088" s="312" t="s">
        <v>2737</v>
      </c>
      <c r="D1088" s="95" t="s">
        <v>950</v>
      </c>
      <c r="E1088" s="103"/>
      <c r="F1088" s="103"/>
      <c r="G1088" s="103"/>
      <c r="H1088" s="342"/>
      <c r="I1088" s="339">
        <f>429.53-23</f>
        <v>406.53</v>
      </c>
      <c r="J1088" s="339">
        <f>434.77-24.5</f>
        <v>410.27</v>
      </c>
      <c r="K1088" s="339">
        <f>447.06-23.5</f>
        <v>423.56</v>
      </c>
      <c r="L1088" s="339">
        <v>10.53</v>
      </c>
      <c r="M1088" s="339">
        <v>10.56</v>
      </c>
      <c r="N1088" s="339">
        <v>10.16</v>
      </c>
      <c r="O1088" s="295"/>
      <c r="P1088" s="296"/>
      <c r="Q1088" s="295">
        <f t="shared" si="1537"/>
        <v>423.56</v>
      </c>
      <c r="R1088" s="295">
        <f t="shared" si="1538"/>
        <v>432.48</v>
      </c>
      <c r="S1088" s="295">
        <v>10.5</v>
      </c>
      <c r="T1088" s="295">
        <v>11.5</v>
      </c>
      <c r="U1088" s="295"/>
      <c r="V1088" s="295">
        <v>9.5</v>
      </c>
      <c r="W1088" s="295">
        <v>8</v>
      </c>
      <c r="X1088" s="295"/>
      <c r="Y1088" s="295">
        <v>10.66</v>
      </c>
      <c r="Z1088" s="295">
        <v>12.25</v>
      </c>
      <c r="AA1088" s="295"/>
      <c r="AB1088" s="295">
        <v>9.75</v>
      </c>
      <c r="AC1088" s="295">
        <v>9.75</v>
      </c>
      <c r="AD1088" s="295"/>
      <c r="AE1088" s="295">
        <v>17.399999999999999</v>
      </c>
      <c r="AF1088" s="295">
        <v>17.399999999999999</v>
      </c>
      <c r="AG1088" s="295"/>
      <c r="AH1088" s="295">
        <v>10.25</v>
      </c>
      <c r="AI1088" s="295">
        <v>10.53</v>
      </c>
      <c r="AJ1088" s="295"/>
      <c r="AK1088" s="295">
        <v>13.5</v>
      </c>
      <c r="AL1088" s="295">
        <v>15</v>
      </c>
      <c r="AM1088" s="295"/>
      <c r="AN1088" s="295">
        <v>50.5</v>
      </c>
      <c r="AO1088" s="295">
        <v>51.5</v>
      </c>
      <c r="AP1088" s="295"/>
      <c r="AQ1088" s="295">
        <v>7.25</v>
      </c>
      <c r="AR1088" s="295">
        <v>8.25</v>
      </c>
      <c r="AS1088" s="295"/>
      <c r="AT1088" s="295">
        <v>27.55</v>
      </c>
      <c r="AU1088" s="295">
        <v>24.55</v>
      </c>
      <c r="AV1088" s="295"/>
      <c r="AW1088" s="295">
        <v>6</v>
      </c>
      <c r="AX1088" s="295">
        <v>6</v>
      </c>
      <c r="AY1088" s="295"/>
      <c r="AZ1088" s="295">
        <v>13.75</v>
      </c>
      <c r="BA1088" s="295">
        <v>13.75</v>
      </c>
      <c r="BB1088" s="295"/>
      <c r="BC1088" s="295">
        <v>20</v>
      </c>
      <c r="BD1088" s="295">
        <v>22.75</v>
      </c>
      <c r="BE1088" s="295"/>
      <c r="BF1088" s="295">
        <v>55.75</v>
      </c>
      <c r="BG1088" s="295">
        <v>58.3</v>
      </c>
      <c r="BH1088" s="295"/>
      <c r="BI1088" s="295">
        <v>91</v>
      </c>
      <c r="BJ1088" s="295">
        <v>94</v>
      </c>
      <c r="BK1088" s="295"/>
      <c r="BL1088" s="295">
        <v>10</v>
      </c>
      <c r="BM1088" s="295">
        <v>9.5</v>
      </c>
      <c r="BN1088" s="295"/>
      <c r="BO1088" s="295">
        <v>10.75</v>
      </c>
      <c r="BP1088" s="295">
        <v>9</v>
      </c>
      <c r="BQ1088" s="295"/>
      <c r="BR1088" s="295">
        <v>14.7</v>
      </c>
      <c r="BS1088" s="295">
        <v>14.2</v>
      </c>
      <c r="BT1088" s="295"/>
      <c r="BU1088" s="295">
        <v>14.5</v>
      </c>
      <c r="BV1088" s="295">
        <v>15.5</v>
      </c>
      <c r="BW1088" s="295"/>
      <c r="BX1088" s="295">
        <v>3</v>
      </c>
      <c r="BY1088" s="295">
        <v>3</v>
      </c>
      <c r="BZ1088" s="295"/>
      <c r="CA1088" s="295">
        <v>10</v>
      </c>
      <c r="CB1088" s="295">
        <v>10.5</v>
      </c>
      <c r="CC1088" s="295"/>
      <c r="CD1088" s="295">
        <v>7.25</v>
      </c>
      <c r="CE1088" s="295">
        <v>7.25</v>
      </c>
      <c r="CF1088" s="295"/>
      <c r="CG1088" s="295">
        <v>22.5</v>
      </c>
      <c r="CH1088" s="295">
        <v>23</v>
      </c>
      <c r="CI1088" s="295"/>
      <c r="CJ1088" s="295">
        <v>1</v>
      </c>
      <c r="CK1088" s="295">
        <v>1</v>
      </c>
    </row>
    <row r="1089" spans="1:89" ht="30" x14ac:dyDescent="0.25">
      <c r="A1089" s="95"/>
      <c r="B1089" s="96" t="s">
        <v>2671</v>
      </c>
      <c r="C1089" s="312" t="s">
        <v>2739</v>
      </c>
      <c r="D1089" s="95" t="s">
        <v>950</v>
      </c>
      <c r="E1089" s="103"/>
      <c r="F1089" s="103"/>
      <c r="G1089" s="103"/>
      <c r="H1089" s="342"/>
      <c r="I1089" s="339">
        <f>85.61-26</f>
        <v>59.61</v>
      </c>
      <c r="J1089" s="339">
        <f>110.75-39</f>
        <v>71.75</v>
      </c>
      <c r="K1089" s="339">
        <f>127.72-50.5</f>
        <v>77.22</v>
      </c>
      <c r="L1089" s="339">
        <v>3.25</v>
      </c>
      <c r="M1089" s="339">
        <v>4.25</v>
      </c>
      <c r="N1089" s="339">
        <v>3.25</v>
      </c>
      <c r="O1089" s="295"/>
      <c r="P1089" s="296"/>
      <c r="Q1089" s="295">
        <f t="shared" si="1537"/>
        <v>77.22</v>
      </c>
      <c r="R1089" s="295">
        <f t="shared" si="1538"/>
        <v>91.320000000000007</v>
      </c>
      <c r="S1089" s="295">
        <v>3</v>
      </c>
      <c r="T1089" s="295">
        <v>4.0999999999999996</v>
      </c>
      <c r="U1089" s="295"/>
      <c r="V1089" s="295">
        <v>1.75</v>
      </c>
      <c r="W1089" s="295">
        <v>1.3</v>
      </c>
      <c r="X1089" s="295"/>
      <c r="Y1089" s="295">
        <v>1</v>
      </c>
      <c r="Z1089" s="295">
        <v>2</v>
      </c>
      <c r="AA1089" s="295"/>
      <c r="AB1089" s="295">
        <v>4.5</v>
      </c>
      <c r="AC1089" s="295">
        <v>4.5</v>
      </c>
      <c r="AD1089" s="295"/>
      <c r="AE1089" s="295">
        <v>2.5</v>
      </c>
      <c r="AF1089" s="295">
        <v>2.5</v>
      </c>
      <c r="AG1089" s="295"/>
      <c r="AH1089" s="295">
        <v>2.5</v>
      </c>
      <c r="AI1089" s="295">
        <v>3.25</v>
      </c>
      <c r="AJ1089" s="295"/>
      <c r="AK1089" s="295">
        <v>1.75</v>
      </c>
      <c r="AL1089" s="295">
        <v>3.25</v>
      </c>
      <c r="AM1089" s="295"/>
      <c r="AN1089" s="295">
        <v>3</v>
      </c>
      <c r="AO1089" s="295">
        <v>5</v>
      </c>
      <c r="AP1089" s="295"/>
      <c r="AQ1089" s="295">
        <v>0</v>
      </c>
      <c r="AR1089" s="295">
        <v>0.75</v>
      </c>
      <c r="AS1089" s="295"/>
      <c r="AT1089" s="295">
        <v>15</v>
      </c>
      <c r="AU1089" s="295">
        <v>18.5</v>
      </c>
      <c r="AV1089" s="295"/>
      <c r="AW1089" s="295">
        <v>1</v>
      </c>
      <c r="AX1089" s="295">
        <v>1.5</v>
      </c>
      <c r="AY1089" s="295"/>
      <c r="AZ1089" s="295">
        <v>3.05</v>
      </c>
      <c r="BA1089" s="295">
        <v>3.75</v>
      </c>
      <c r="BB1089" s="295"/>
      <c r="BC1089" s="295">
        <v>7.5</v>
      </c>
      <c r="BD1089" s="295">
        <v>3</v>
      </c>
      <c r="BE1089" s="295"/>
      <c r="BF1089" s="295">
        <v>3</v>
      </c>
      <c r="BG1089" s="295">
        <v>2</v>
      </c>
      <c r="BH1089" s="295"/>
      <c r="BI1089" s="295">
        <v>9</v>
      </c>
      <c r="BJ1089" s="295">
        <v>11</v>
      </c>
      <c r="BK1089" s="295"/>
      <c r="BL1089" s="295">
        <v>0</v>
      </c>
      <c r="BM1089" s="295">
        <v>0</v>
      </c>
      <c r="BN1089" s="295"/>
      <c r="BO1089" s="295">
        <v>1.17</v>
      </c>
      <c r="BP1089" s="295">
        <v>1.17</v>
      </c>
      <c r="BQ1089" s="295"/>
      <c r="BR1089" s="295">
        <v>7.5</v>
      </c>
      <c r="BS1089" s="295">
        <v>6.5</v>
      </c>
      <c r="BT1089" s="295"/>
      <c r="BU1089" s="295">
        <v>4</v>
      </c>
      <c r="BV1089" s="295">
        <v>5.5</v>
      </c>
      <c r="BW1089" s="295"/>
      <c r="BX1089" s="295">
        <v>1</v>
      </c>
      <c r="BY1089" s="295">
        <v>1</v>
      </c>
      <c r="BZ1089" s="295"/>
      <c r="CA1089" s="295">
        <v>5</v>
      </c>
      <c r="CB1089" s="295">
        <v>8.75</v>
      </c>
      <c r="CC1089" s="295"/>
      <c r="CD1089" s="295">
        <v>0</v>
      </c>
      <c r="CE1089" s="295">
        <v>2</v>
      </c>
      <c r="CF1089" s="295"/>
      <c r="CG1089" s="295">
        <v>50.5</v>
      </c>
      <c r="CH1089" s="295">
        <v>56.7</v>
      </c>
      <c r="CI1089" s="295"/>
      <c r="CJ1089" s="295">
        <v>0</v>
      </c>
      <c r="CK1089" s="295">
        <v>0</v>
      </c>
    </row>
    <row r="1090" spans="1:89" ht="45" x14ac:dyDescent="0.25">
      <c r="A1090" s="95" t="s">
        <v>1701</v>
      </c>
      <c r="B1090" s="96" t="s">
        <v>1702</v>
      </c>
      <c r="C1090" s="95"/>
      <c r="D1090" s="95"/>
      <c r="E1090" s="103"/>
      <c r="F1090" s="103"/>
      <c r="G1090" s="103"/>
      <c r="H1090" s="342"/>
      <c r="I1090" s="342"/>
      <c r="J1090" s="342"/>
      <c r="K1090" s="342"/>
      <c r="L1090" s="342"/>
      <c r="M1090" s="342"/>
      <c r="N1090" s="342"/>
      <c r="O1090" s="295"/>
      <c r="P1090" s="296"/>
    </row>
    <row r="1091" spans="1:89" x14ac:dyDescent="0.25">
      <c r="A1091" s="95"/>
      <c r="B1091" s="96" t="s">
        <v>1182</v>
      </c>
      <c r="C1091" s="95"/>
      <c r="D1091" s="95"/>
      <c r="E1091" s="103"/>
      <c r="F1091" s="103"/>
      <c r="G1091" s="103"/>
      <c r="H1091" s="342"/>
      <c r="I1091" s="342"/>
      <c r="J1091" s="342"/>
      <c r="K1091" s="342"/>
      <c r="L1091" s="342"/>
      <c r="M1091" s="342"/>
      <c r="N1091" s="342"/>
      <c r="O1091" s="295"/>
    </row>
    <row r="1092" spans="1:89" x14ac:dyDescent="0.25">
      <c r="A1092" s="95"/>
      <c r="B1092" s="96" t="s">
        <v>1703</v>
      </c>
      <c r="C1092" s="95"/>
      <c r="D1092" s="95" t="s">
        <v>950</v>
      </c>
      <c r="E1092" s="103"/>
      <c r="F1092" s="103"/>
      <c r="G1092" s="103"/>
      <c r="H1092" s="335"/>
      <c r="I1092" s="335">
        <f>$I$1102/(I1105+I1110)</f>
        <v>110.96930533117933</v>
      </c>
      <c r="J1092" s="335">
        <f>$J$1102/(J1105+J1110)</f>
        <v>89.632738719832105</v>
      </c>
      <c r="K1092" s="335">
        <f>$K$1102/(K1105+K1110)</f>
        <v>78.439490445859875</v>
      </c>
      <c r="L1092" s="335">
        <f>$L$1102/(L1105+L1110)</f>
        <v>227</v>
      </c>
      <c r="M1092" s="335">
        <f t="shared" ref="M1092:N1095" si="1539">$M$1102/(M1105+M1110)</f>
        <v>227</v>
      </c>
      <c r="N1092" s="335">
        <f t="shared" si="1539"/>
        <v>227</v>
      </c>
      <c r="O1092" s="295"/>
      <c r="Q1092" s="335">
        <f>Q1102/(Q1105+Q1110)</f>
        <v>78.439490445859875</v>
      </c>
      <c r="R1092" s="335">
        <f>R1102/(R1105+R1110)</f>
        <v>69.203049203049204</v>
      </c>
      <c r="S1092" s="335">
        <f>S1102/(S1105+S1110)</f>
        <v>60.5</v>
      </c>
      <c r="T1092" s="335">
        <f>T1102/(T1105+T1110)</f>
        <v>66</v>
      </c>
      <c r="V1092" s="335">
        <f>V1102/(V1105+V1110)</f>
        <v>72</v>
      </c>
      <c r="W1092" s="335">
        <f>W1102/(W1105+W1110)</f>
        <v>88</v>
      </c>
      <c r="Y1092" s="335">
        <f>Y1102/(Y1105+Y1110)</f>
        <v>201.5</v>
      </c>
      <c r="Z1092" s="335">
        <f>Z1102/(Z1105+Z1110)</f>
        <v>415</v>
      </c>
      <c r="AB1092" s="335">
        <f>AB1102/(AB1105+AB1110)</f>
        <v>245</v>
      </c>
      <c r="AC1092" s="335">
        <f>AC1102/(AC1105+AC1110)</f>
        <v>239</v>
      </c>
      <c r="AE1092" s="335">
        <f>AE1102/(AE1105+AE1110)</f>
        <v>62</v>
      </c>
      <c r="AF1092" s="335">
        <f>AF1102/(AF1105+AF1110)</f>
        <v>58.947368421052637</v>
      </c>
      <c r="AH1092" s="335" t="e">
        <f>AH1102/(AH1105+AH1110)</f>
        <v>#DIV/0!</v>
      </c>
      <c r="AI1092" s="335">
        <f>AI1102/(AI1105+AI1110)</f>
        <v>227</v>
      </c>
      <c r="AK1092" s="335">
        <f>AK1102/(AK1105+AK1110)</f>
        <v>102.75</v>
      </c>
      <c r="AL1092" s="335">
        <f>AL1102/(AL1105+AL1110)</f>
        <v>100.25</v>
      </c>
      <c r="AN1092" s="335">
        <f>AN1102/(AN1105+AN1110)</f>
        <v>99.733333333333334</v>
      </c>
      <c r="AO1092" s="335">
        <f>AO1102/(AO1105+AO1110)</f>
        <v>74.400000000000006</v>
      </c>
      <c r="AQ1092" s="335" t="e">
        <f>AQ1102/(AQ1105+AQ1110)</f>
        <v>#DIV/0!</v>
      </c>
      <c r="AR1092" s="335" t="e">
        <f>AR1102/(AR1105+AR1110)</f>
        <v>#DIV/0!</v>
      </c>
      <c r="AT1092" s="335">
        <f>AT1102/(AT1105+AT1110)</f>
        <v>120.57142857142857</v>
      </c>
      <c r="AU1092" s="335">
        <f>AU1102/(AU1105+AU1110)</f>
        <v>104.25</v>
      </c>
      <c r="AW1092" s="335">
        <f>AW1102/(AW1105+AW1110)</f>
        <v>192</v>
      </c>
      <c r="AX1092" s="335">
        <f>AX1102/(AX1105+AX1110)</f>
        <v>115</v>
      </c>
      <c r="AZ1092" s="335">
        <f>AZ1102/(AZ1105+AZ1110)</f>
        <v>66.666666666666671</v>
      </c>
      <c r="BA1092" s="335">
        <f>BA1102/(BA1105+BA1110)</f>
        <v>78</v>
      </c>
      <c r="BC1092" s="335">
        <f>BC1102/(BC1105+BC1110)</f>
        <v>100.66666666666667</v>
      </c>
      <c r="BD1092" s="335">
        <f>BD1102/(BD1105+BD1110)</f>
        <v>55.8</v>
      </c>
      <c r="BF1092" s="335" t="e">
        <f>BF1102/(BF1105+BF1110)</f>
        <v>#DIV/0!</v>
      </c>
      <c r="BG1092" s="335" t="e">
        <f>BG1102/(BG1105+BG1110)</f>
        <v>#DIV/0!</v>
      </c>
      <c r="BI1092" s="335">
        <f>BI1102/(BI1105+BI1110)</f>
        <v>90.044444444444451</v>
      </c>
      <c r="BJ1092" s="335">
        <f>BJ1102/(BJ1105+BJ1110)</f>
        <v>62.950819672131146</v>
      </c>
      <c r="BL1092" s="335" t="e">
        <f>BL1102/(BL1105+BL1110)</f>
        <v>#DIV/0!</v>
      </c>
      <c r="BM1092" s="335" t="e">
        <f>BM1102/(BM1105+BM1110)</f>
        <v>#DIV/0!</v>
      </c>
      <c r="BO1092" s="335">
        <f>BO1102/(BO1105+BO1110)</f>
        <v>79.5</v>
      </c>
      <c r="BP1092" s="335">
        <f>BP1102/(BP1105+BP1110)</f>
        <v>76.333333333333329</v>
      </c>
      <c r="BR1092" s="335">
        <f>BR1102/(BR1105+BR1110)</f>
        <v>24.5</v>
      </c>
      <c r="BS1092" s="335">
        <f>BS1102/(BS1105+BS1110)</f>
        <v>23.5</v>
      </c>
      <c r="BU1092" s="335">
        <f>BU1102/(BU1105+BU1110)</f>
        <v>82.38095238095238</v>
      </c>
      <c r="BV1092" s="335">
        <f>BV1102/(BV1105+BV1110)</f>
        <v>61.666666666666664</v>
      </c>
      <c r="BX1092" s="335">
        <f>BX1102/(BX1105+BX1110)</f>
        <v>50</v>
      </c>
      <c r="BY1092" s="335">
        <f>BY1102/(BY1105+BY1110)</f>
        <v>60</v>
      </c>
      <c r="CA1092" s="335">
        <f>CA1102/(CA1105+CA1110)</f>
        <v>68</v>
      </c>
      <c r="CB1092" s="335">
        <f>CB1102/(CB1105+CB1110)</f>
        <v>43.5</v>
      </c>
      <c r="CD1092" s="335" t="e">
        <f>CD1102/(CD1105+CD1110)</f>
        <v>#DIV/0!</v>
      </c>
      <c r="CE1092" s="335" t="e">
        <f>CE1102/(CE1105+CE1110)</f>
        <v>#DIV/0!</v>
      </c>
      <c r="CG1092" s="335">
        <f>CG1102/(CG1105+CG1110)</f>
        <v>43.827586206896555</v>
      </c>
      <c r="CH1092" s="335">
        <f>CH1102/(CH1105+CH1110)</f>
        <v>43.101694915254235</v>
      </c>
      <c r="CJ1092" s="335" t="e">
        <f>CJ1102/(CJ1105+CJ1110)</f>
        <v>#DIV/0!</v>
      </c>
      <c r="CK1092" s="335" t="e">
        <f>CK1102/(CK1105+CK1110)</f>
        <v>#DIV/0!</v>
      </c>
    </row>
    <row r="1093" spans="1:89" x14ac:dyDescent="0.25">
      <c r="A1093" s="95"/>
      <c r="B1093" s="96" t="s">
        <v>1704</v>
      </c>
      <c r="C1093" s="95"/>
      <c r="D1093" s="95" t="s">
        <v>950</v>
      </c>
      <c r="E1093" s="103"/>
      <c r="F1093" s="103"/>
      <c r="G1093" s="103"/>
      <c r="H1093" s="342"/>
      <c r="I1093" s="335">
        <f>$I$1102/(I1106+I1111)</f>
        <v>22.294709509899381</v>
      </c>
      <c r="J1093" s="335">
        <f>$J$1102/(J1106+J1111)</f>
        <v>25.377302436125969</v>
      </c>
      <c r="K1093" s="335">
        <f>$K$1102/(K1106+K1111)</f>
        <v>26.962233169129721</v>
      </c>
      <c r="L1093" s="335">
        <f>$L$1102/(L1106+L1111)</f>
        <v>37.833333333333336</v>
      </c>
      <c r="M1093" s="335">
        <f t="shared" si="1539"/>
        <v>37.833333333333336</v>
      </c>
      <c r="N1093" s="335">
        <f t="shared" si="1539"/>
        <v>37.833333333333336</v>
      </c>
      <c r="O1093" s="295"/>
      <c r="Q1093" s="335">
        <f>Q1102/(Q1106+Q1111)</f>
        <v>26.962233169129721</v>
      </c>
      <c r="R1093" s="335">
        <f>R1102/(R1106+R1111)</f>
        <v>26.292785676671933</v>
      </c>
      <c r="S1093" s="335">
        <f>S1102/(S1106+S1111)</f>
        <v>13.444444444444445</v>
      </c>
      <c r="T1093" s="335">
        <f>T1102/(T1106+T1111)</f>
        <v>16.5</v>
      </c>
      <c r="V1093" s="335">
        <f>V1102/(V1106+V1111)</f>
        <v>14.4</v>
      </c>
      <c r="W1093" s="335">
        <f>W1102/(W1106+W1111)</f>
        <v>22</v>
      </c>
      <c r="Y1093" s="335">
        <f>Y1102/(Y1106+Y1111)</f>
        <v>42.421052631578945</v>
      </c>
      <c r="Z1093" s="335">
        <f>Z1102/(Z1106+Z1111)</f>
        <v>37.727272727272727</v>
      </c>
      <c r="AB1093" s="335">
        <f>AB1102/(AB1106+AB1111)</f>
        <v>24.5</v>
      </c>
      <c r="AC1093" s="335">
        <f>AC1102/(AC1106+AC1111)</f>
        <v>21.727272727272727</v>
      </c>
      <c r="AE1093" s="335">
        <f>AE1102/(AE1106+AE1111)</f>
        <v>24.111111111111111</v>
      </c>
      <c r="AF1093" s="335">
        <f>AF1102/(AF1106+AF1111)</f>
        <v>26.352941176470587</v>
      </c>
      <c r="AH1093" s="335">
        <f>AH1102/(AH1106+AH1111)</f>
        <v>48</v>
      </c>
      <c r="AI1093" s="335">
        <f>AI1102/(AI1106+AI1111)</f>
        <v>37.833333333333336</v>
      </c>
      <c r="AK1093" s="335">
        <f>AK1102/(AK1106+AK1111)</f>
        <v>37.363636363636367</v>
      </c>
      <c r="AL1093" s="335">
        <f>AL1102/(AL1106+AL1111)</f>
        <v>32.08</v>
      </c>
      <c r="AN1093" s="335">
        <f>AN1102/(AN1106+AN1111)</f>
        <v>24.524590163934427</v>
      </c>
      <c r="AO1093" s="335">
        <f>AO1102/(AO1106+AO1111)</f>
        <v>25.220338983050848</v>
      </c>
      <c r="AQ1093" s="335">
        <f>AQ1102/(AQ1106+AQ1111)</f>
        <v>24.857142857142858</v>
      </c>
      <c r="AR1093" s="335">
        <f>AR1102/(AR1106+AR1111)</f>
        <v>27.476635514018692</v>
      </c>
      <c r="AT1093" s="335">
        <f>AT1102/(AT1106+AT1111)</f>
        <v>45.621621621621621</v>
      </c>
      <c r="AU1093" s="335">
        <f>AU1102/(AU1106+AU1111)</f>
        <v>37.909090909090907</v>
      </c>
      <c r="AW1093" s="335">
        <f>AW1102/(AW1106+AW1111)</f>
        <v>38.4</v>
      </c>
      <c r="AX1093" s="335">
        <f>AX1102/(AX1106+AX1111)</f>
        <v>46</v>
      </c>
      <c r="AZ1093" s="335">
        <f>AZ1102/(AZ1106+AZ1111)</f>
        <v>15.384615384615385</v>
      </c>
      <c r="BA1093" s="335">
        <f>BA1102/(BA1106+BA1111)</f>
        <v>16.714285714285715</v>
      </c>
      <c r="BC1093" s="335">
        <f>BC1102/(BC1106+BC1111)</f>
        <v>13.727272727272727</v>
      </c>
      <c r="BD1093" s="335">
        <f>BD1102/(BD1106+BD1111)</f>
        <v>13.285714285714286</v>
      </c>
      <c r="BF1093" s="335">
        <f>BF1102/(BF1106+BF1111)</f>
        <v>16.285714285714285</v>
      </c>
      <c r="BG1093" s="335">
        <f>BG1102/(BG1106+BG1111)</f>
        <v>17.315789473684209</v>
      </c>
      <c r="BI1093" s="335">
        <f>BI1102/(BI1106+BI1111)</f>
        <v>28.73758865248227</v>
      </c>
      <c r="BJ1093" s="335">
        <f>BJ1102/(BJ1106+BJ1111)</f>
        <v>26.229508196721312</v>
      </c>
      <c r="BL1093" s="335">
        <f>BL1102/(BL1106+BL1111)</f>
        <v>4</v>
      </c>
      <c r="BM1093" s="335">
        <f>BM1102/(BM1106+BM1111)</f>
        <v>2.6666666666666665</v>
      </c>
      <c r="BO1093" s="335">
        <f>BO1102/(BO1106+BO1111)</f>
        <v>31.8</v>
      </c>
      <c r="BP1093" s="335">
        <f>BP1102/(BP1106+BP1111)</f>
        <v>45.8</v>
      </c>
      <c r="BR1093" s="335">
        <f>BR1102/(BR1106+BR1111)</f>
        <v>8.1666666666666661</v>
      </c>
      <c r="BS1093" s="335">
        <f>BS1102/(BS1106+BS1111)</f>
        <v>5.2222222222222223</v>
      </c>
      <c r="BU1093" s="335">
        <f>BU1102/(BU1106+BU1111)</f>
        <v>21.625</v>
      </c>
      <c r="BV1093" s="335">
        <f>BV1102/(BV1106+BV1111)</f>
        <v>23.125</v>
      </c>
      <c r="BX1093" s="335">
        <f>BX1102/(BX1106+BX1111)</f>
        <v>50</v>
      </c>
      <c r="BY1093" s="335">
        <f>BY1102/(BY1106+BY1111)</f>
        <v>30</v>
      </c>
      <c r="CA1093" s="335">
        <f>CA1102/(CA1106+CA1111)</f>
        <v>25.5</v>
      </c>
      <c r="CB1093" s="335">
        <f>CB1102/(CB1106+CB1111)</f>
        <v>13.384615384615385</v>
      </c>
      <c r="CD1093" s="335">
        <f>CD1102/(CD1106+CD1111)</f>
        <v>6.8571428571428568</v>
      </c>
      <c r="CE1093" s="335">
        <f>CE1102/(CE1106+CE1111)</f>
        <v>11.538461538461538</v>
      </c>
      <c r="CG1093" s="335">
        <f>CG1102/(CG1106+CG1111)</f>
        <v>38.283132530120476</v>
      </c>
      <c r="CH1093" s="335">
        <f>CH1102/(CH1106+CH1111)</f>
        <v>35.616246498599438</v>
      </c>
      <c r="CJ1093" s="335">
        <f>CJ1102/(CJ1106+CJ1111)</f>
        <v>0</v>
      </c>
      <c r="CK1093" s="335" t="e">
        <f>CK1102/(CK1106+CK1111)</f>
        <v>#DIV/0!</v>
      </c>
    </row>
    <row r="1094" spans="1:89" x14ac:dyDescent="0.25">
      <c r="A1094" s="95"/>
      <c r="B1094" s="96" t="s">
        <v>1705</v>
      </c>
      <c r="C1094" s="95"/>
      <c r="D1094" s="95" t="s">
        <v>950</v>
      </c>
      <c r="E1094" s="103"/>
      <c r="F1094" s="103"/>
      <c r="G1094" s="103"/>
      <c r="H1094" s="342"/>
      <c r="I1094" s="335">
        <f>$I$1102/(I1107+I1112)</f>
        <v>14.636692946942254</v>
      </c>
      <c r="J1094" s="335">
        <f>$J$1102/(J1107+J1112)</f>
        <v>16.941689805632684</v>
      </c>
      <c r="K1094" s="335">
        <f>$K$1102/(K1107+K1112)</f>
        <v>18.560663149962323</v>
      </c>
      <c r="L1094" s="335">
        <f>$L$1102/(L1107+L1112)</f>
        <v>18.916666666666668</v>
      </c>
      <c r="M1094" s="335">
        <f t="shared" si="1539"/>
        <v>20.636363636363637</v>
      </c>
      <c r="N1094" s="335">
        <f t="shared" si="1539"/>
        <v>20.636363636363637</v>
      </c>
      <c r="O1094" s="295"/>
      <c r="Q1094" s="335">
        <f>Q1102/(Q1107+Q1112)</f>
        <v>18.560663149962323</v>
      </c>
      <c r="R1094" s="335">
        <f>R1102/(R1107+R1112)</f>
        <v>18.613233923578751</v>
      </c>
      <c r="S1094" s="335">
        <f>S1102/(S1107+S1112)</f>
        <v>12.1</v>
      </c>
      <c r="T1094" s="335">
        <f>T1102/(T1107+T1112)</f>
        <v>12</v>
      </c>
      <c r="V1094" s="335">
        <f>V1102/(V1107+V1112)</f>
        <v>6.5454545454545459</v>
      </c>
      <c r="W1094" s="335">
        <f>W1102/(W1107+W1112)</f>
        <v>7.04</v>
      </c>
      <c r="Y1094" s="335">
        <f>Y1102/(Y1107+Y1112)</f>
        <v>35.043478260869563</v>
      </c>
      <c r="Z1094" s="335">
        <f>Z1102/(Z1107+Z1112)</f>
        <v>34.583333333333336</v>
      </c>
      <c r="AB1094" s="335">
        <f>AB1102/(AB1107+AB1112)</f>
        <v>18.846153846153847</v>
      </c>
      <c r="AC1094" s="335">
        <f>AC1102/(AC1107+AC1112)</f>
        <v>18.384615384615383</v>
      </c>
      <c r="AE1094" s="335">
        <f>AE1102/(AE1107+AE1112)</f>
        <v>15.5</v>
      </c>
      <c r="AF1094" s="335">
        <f>AF1102/(AF1107+AF1112)</f>
        <v>21.333333333333332</v>
      </c>
      <c r="AH1094" s="335">
        <f>AH1102/(AH1107+AH1112)</f>
        <v>24</v>
      </c>
      <c r="AI1094" s="335">
        <f>AI1102/(AI1107+AI1112)</f>
        <v>18.916666666666668</v>
      </c>
      <c r="AK1094" s="335">
        <f>AK1102/(AK1107+AK1112)</f>
        <v>22.833333333333332</v>
      </c>
      <c r="AL1094" s="335">
        <f>AL1102/(AL1107+AL1112)</f>
        <v>22.914285714285715</v>
      </c>
      <c r="AN1094" s="335">
        <f>AN1102/(AN1107+AN1112)</f>
        <v>17.80952380952381</v>
      </c>
      <c r="AO1094" s="335">
        <f>AO1102/(AO1107+AO1112)</f>
        <v>18.146341463414632</v>
      </c>
      <c r="AQ1094" s="335">
        <f>AQ1102/(AQ1107+AQ1112)</f>
        <v>21.75</v>
      </c>
      <c r="AR1094" s="335">
        <f>AR1102/(AR1107+AR1112)</f>
        <v>26.727272727272727</v>
      </c>
      <c r="AT1094" s="335">
        <f>AT1102/(AT1107+AT1112)</f>
        <v>24.252873563218394</v>
      </c>
      <c r="AU1094" s="335">
        <f>AU1102/(AU1107+AU1112)</f>
        <v>24.173913043478262</v>
      </c>
      <c r="AW1094" s="335">
        <f>AW1102/(AW1107+AW1112)</f>
        <v>14.222222222222221</v>
      </c>
      <c r="AX1094" s="335">
        <f>AX1102/(AX1107+AX1112)</f>
        <v>21.904761904761905</v>
      </c>
      <c r="AZ1094" s="335">
        <f>AZ1102/(AZ1107+AZ1112)</f>
        <v>10</v>
      </c>
      <c r="BA1094" s="335">
        <f>BA1102/(BA1107+BA1112)</f>
        <v>12.315789473684211</v>
      </c>
      <c r="BC1094" s="335">
        <f>BC1102/(BC1107+BC1112)</f>
        <v>9.4375</v>
      </c>
      <c r="BD1094" s="335">
        <f>BD1102/(BD1107+BD1112)</f>
        <v>9.9642857142857135</v>
      </c>
      <c r="BF1094" s="335">
        <f>BF1102/(BF1107+BF1112)</f>
        <v>6.129032258064516</v>
      </c>
      <c r="BG1094" s="335">
        <f>BG1102/(BG1107+BG1112)</f>
        <v>7.3111111111111109</v>
      </c>
      <c r="BI1094" s="335">
        <f>BI1102/(BI1107+BI1112)</f>
        <v>20.159203980099502</v>
      </c>
      <c r="BJ1094" s="335">
        <f>BJ1102/(BJ1107+BJ1112)</f>
        <v>16.695652173913043</v>
      </c>
      <c r="BL1094" s="335">
        <f>BL1102/(BL1107+BL1112)</f>
        <v>1.6</v>
      </c>
      <c r="BM1094" s="335">
        <f>BM1102/(BM1107+BM1112)</f>
        <v>0.72727272727272729</v>
      </c>
      <c r="BO1094" s="335">
        <f>BO1102/(BO1107+BO1112)</f>
        <v>13.25</v>
      </c>
      <c r="BP1094" s="335">
        <f>BP1102/(BP1107+BP1112)</f>
        <v>17.615384615384617</v>
      </c>
      <c r="BR1094" s="335">
        <f>BR1102/(BR1107+BR1112)</f>
        <v>3.2666666666666666</v>
      </c>
      <c r="BS1094" s="335">
        <f>BS1102/(BS1107+BS1112)</f>
        <v>3.3571428571428572</v>
      </c>
      <c r="BU1094" s="335">
        <f>BU1102/(BU1107+BU1112)</f>
        <v>14.416666666666666</v>
      </c>
      <c r="BV1094" s="335">
        <f>BV1102/(BV1107+BV1112)</f>
        <v>16.818181818181817</v>
      </c>
      <c r="BX1094" s="335">
        <f>BX1102/(BX1107+BX1112)</f>
        <v>8.3333333333333339</v>
      </c>
      <c r="BY1094" s="335">
        <f>BY1102/(BY1107+BY1112)</f>
        <v>12</v>
      </c>
      <c r="CA1094" s="335">
        <f>CA1102/(CA1107+CA1112)</f>
        <v>18.545454545454547</v>
      </c>
      <c r="CB1094" s="335">
        <f>CB1102/(CB1107+CB1112)</f>
        <v>14.5</v>
      </c>
      <c r="CD1094" s="335">
        <f>CD1102/(CD1107+CD1112)</f>
        <v>8</v>
      </c>
      <c r="CE1094" s="335">
        <f>CE1102/(CE1107+CE1112)</f>
        <v>13.636363636363637</v>
      </c>
      <c r="CG1094" s="335">
        <f>CG1102/(CG1107+CG1112)</f>
        <v>40.349206349206348</v>
      </c>
      <c r="CH1094" s="335">
        <f>CH1102/(CH1107+CH1112)</f>
        <v>40.365079365079367</v>
      </c>
      <c r="CJ1094" s="335">
        <f>CJ1102/(CJ1107+CJ1112)</f>
        <v>0</v>
      </c>
      <c r="CK1094" s="335">
        <f>CK1102/(CK1107+CK1112)</f>
        <v>0</v>
      </c>
    </row>
    <row r="1095" spans="1:89" x14ac:dyDescent="0.25">
      <c r="A1095" s="95"/>
      <c r="B1095" s="96" t="s">
        <v>1706</v>
      </c>
      <c r="C1095" s="95"/>
      <c r="D1095" s="95" t="s">
        <v>950</v>
      </c>
      <c r="E1095" s="103"/>
      <c r="F1095" s="103"/>
      <c r="G1095" s="103"/>
      <c r="H1095" s="342"/>
      <c r="I1095" s="335">
        <f>$I$1102/(I1108+I1113)</f>
        <v>199.68023255813955</v>
      </c>
      <c r="J1095" s="335">
        <f>$J$1102/(J1108+J1113)</f>
        <v>151.9928825622776</v>
      </c>
      <c r="K1095" s="335">
        <f>$K$1102/(K1108+K1113)</f>
        <v>118.6987951807229</v>
      </c>
      <c r="L1095" s="335">
        <f>$L$1102/(L1108+L1113)</f>
        <v>227</v>
      </c>
      <c r="M1095" s="335">
        <f t="shared" si="1539"/>
        <v>227</v>
      </c>
      <c r="N1095" s="335">
        <f t="shared" si="1539"/>
        <v>227</v>
      </c>
      <c r="O1095" s="295"/>
      <c r="Q1095" s="335">
        <f>Q1102/(Q1108+Q1113)</f>
        <v>118.6987951807229</v>
      </c>
      <c r="R1095" s="335">
        <f>R1102/(R1108+R1113)</f>
        <v>110.95555555555555</v>
      </c>
      <c r="S1095" s="335" t="e">
        <f>S1102/(S1108+S1113)</f>
        <v>#DIV/0!</v>
      </c>
      <c r="T1095" s="335">
        <f>T1102/(T1108+T1113)</f>
        <v>66</v>
      </c>
      <c r="V1095" s="335">
        <f>V1102/(V1108+V1113)</f>
        <v>36</v>
      </c>
      <c r="W1095" s="335">
        <f>W1102/(W1108+W1113)</f>
        <v>88</v>
      </c>
      <c r="Y1095" s="335" t="e">
        <f>Y1102/(Y1108+Y1113)</f>
        <v>#DIV/0!</v>
      </c>
      <c r="Z1095" s="335">
        <f>Z1102/(Z1108+Z1113)</f>
        <v>415</v>
      </c>
      <c r="AB1095" s="335">
        <f>AB1102/(AB1108+AB1113)</f>
        <v>122.5</v>
      </c>
      <c r="AC1095" s="335">
        <f>AC1102/(AC1108+AC1113)</f>
        <v>119.5</v>
      </c>
      <c r="AE1095" s="335" t="e">
        <f>AE1102/(AE1108+AE1113)</f>
        <v>#DIV/0!</v>
      </c>
      <c r="AF1095" s="335">
        <f>AF1102/(AF1108+AF1113)</f>
        <v>224</v>
      </c>
      <c r="AH1095" s="335">
        <f>AH1102/(AH1108+AH1113)</f>
        <v>120</v>
      </c>
      <c r="AI1095" s="335">
        <f>AI1102/(AI1108+AI1113)</f>
        <v>227</v>
      </c>
      <c r="AK1095" s="335">
        <f>AK1102/(AK1108+AK1113)</f>
        <v>205.5</v>
      </c>
      <c r="AL1095" s="335">
        <f>AL1102/(AL1108+AL1113)</f>
        <v>133.66666666666666</v>
      </c>
      <c r="AN1095" s="335">
        <f>AN1102/(AN1108+AN1113)</f>
        <v>748</v>
      </c>
      <c r="AO1095" s="335">
        <f>AO1102/(AO1108+AO1113)</f>
        <v>744</v>
      </c>
      <c r="AQ1095" s="335" t="e">
        <f>AQ1102/(AQ1108+AQ1113)</f>
        <v>#DIV/0!</v>
      </c>
      <c r="AR1095" s="335" t="e">
        <f>AR1102/(AR1108+AR1113)</f>
        <v>#DIV/0!</v>
      </c>
      <c r="AT1095" s="335">
        <f>AT1102/(AT1108+AT1113)</f>
        <v>93.777777777777771</v>
      </c>
      <c r="AU1095" s="335">
        <f>AU1102/(AU1108+AU1113)</f>
        <v>92.666666666666671</v>
      </c>
      <c r="AW1095" s="335">
        <f>AW1102/(AW1108+AW1113)</f>
        <v>192</v>
      </c>
      <c r="AX1095" s="335" t="e">
        <f>AX1102/(AX1108+AX1113)</f>
        <v>#DIV/0!</v>
      </c>
      <c r="AZ1095" s="335">
        <f>AZ1102/(AZ1108+AZ1113)</f>
        <v>200</v>
      </c>
      <c r="BA1095" s="335">
        <f>BA1102/(BA1108+BA1113)</f>
        <v>234</v>
      </c>
      <c r="BC1095" s="335" t="e">
        <f>BC1102/(BC1108+BC1113)</f>
        <v>#DIV/0!</v>
      </c>
      <c r="BD1095" s="335">
        <f>BD1102/(BD1108+BD1113)</f>
        <v>279</v>
      </c>
      <c r="BF1095" s="335">
        <f>BF1102/(BF1108+BF1113)</f>
        <v>285</v>
      </c>
      <c r="BG1095" s="335" t="e">
        <f>BG1102/(BG1108+BG1113)</f>
        <v>#DIV/0!</v>
      </c>
      <c r="BI1095" s="335">
        <f>BI1102/(BI1108+BI1113)</f>
        <v>225.11111111111111</v>
      </c>
      <c r="BJ1095" s="335">
        <f>BJ1102/(BJ1108+BJ1113)</f>
        <v>192</v>
      </c>
      <c r="BL1095" s="335" t="e">
        <f>BL1102/(BL1108+BL1113)</f>
        <v>#DIV/0!</v>
      </c>
      <c r="BM1095" s="335" t="e">
        <f>BM1102/(BM1108+BM1113)</f>
        <v>#DIV/0!</v>
      </c>
      <c r="BO1095" s="335" t="e">
        <f>BO1102/(BO1108+BO1113)</f>
        <v>#DIV/0!</v>
      </c>
      <c r="BP1095" s="335" t="e">
        <f>BP1102/(BP1108+BP1113)</f>
        <v>#DIV/0!</v>
      </c>
      <c r="BR1095" s="335">
        <f>BR1102/(BR1108+BR1113)</f>
        <v>12.25</v>
      </c>
      <c r="BS1095" s="335">
        <f>BS1102/(BS1108+BS1113)</f>
        <v>23.5</v>
      </c>
      <c r="BU1095" s="335">
        <f>BU1102/(BU1108+BU1113)</f>
        <v>173</v>
      </c>
      <c r="BV1095" s="335">
        <f>BV1102/(BV1108+BV1113)</f>
        <v>185</v>
      </c>
      <c r="BX1095" s="335" t="e">
        <f>BX1102/(BX1108+BX1113)</f>
        <v>#DIV/0!</v>
      </c>
      <c r="BY1095" s="335" t="e">
        <f>BY1102/(BY1108+BY1113)</f>
        <v>#DIV/0!</v>
      </c>
      <c r="CA1095" s="335">
        <f>CA1102/(CA1108+CA1113)</f>
        <v>40.799999999999997</v>
      </c>
      <c r="CB1095" s="335">
        <f>CB1102/(CB1108+CB1113)</f>
        <v>24.857142857142858</v>
      </c>
      <c r="CD1095" s="335" t="e">
        <f>CD1102/(CD1108+CD1113)</f>
        <v>#DIV/0!</v>
      </c>
      <c r="CE1095" s="335" t="e">
        <f>CE1102/(CE1108+CE1113)</f>
        <v>#DIV/0!</v>
      </c>
      <c r="CG1095" s="335">
        <f>CG1102/(CG1108+CG1113)</f>
        <v>68.702702702702709</v>
      </c>
      <c r="CH1095" s="335">
        <f>CH1102/(CH1108+CH1113)</f>
        <v>54.106382978723403</v>
      </c>
      <c r="CJ1095" s="335">
        <f>CJ1102/(CJ1108+CJ1113)</f>
        <v>0</v>
      </c>
      <c r="CK1095" s="335" t="e">
        <f>CK1102/(CK1108+CK1113)</f>
        <v>#DIV/0!</v>
      </c>
    </row>
    <row r="1096" spans="1:89" x14ac:dyDescent="0.25">
      <c r="A1096" s="95"/>
      <c r="B1096" s="96" t="s">
        <v>1184</v>
      </c>
      <c r="C1096" s="95"/>
      <c r="D1096" s="95"/>
      <c r="E1096" s="103"/>
      <c r="F1096" s="103"/>
      <c r="G1096" s="103"/>
      <c r="H1096" s="342"/>
      <c r="I1096" s="342"/>
      <c r="J1096" s="342"/>
      <c r="K1096" s="342"/>
      <c r="L1096" s="342"/>
      <c r="M1096" s="342"/>
      <c r="N1096" s="342"/>
      <c r="Q1096" s="342"/>
      <c r="R1096" s="342"/>
      <c r="S1096" s="342"/>
      <c r="T1096" s="342"/>
      <c r="V1096" s="342"/>
      <c r="W1096" s="342"/>
      <c r="Y1096" s="342"/>
      <c r="Z1096" s="342"/>
      <c r="AB1096" s="342"/>
      <c r="AC1096" s="342"/>
      <c r="AE1096" s="342"/>
      <c r="AF1096" s="342"/>
      <c r="AH1096" s="342"/>
      <c r="AI1096" s="342"/>
      <c r="AK1096" s="342"/>
      <c r="AL1096" s="342"/>
      <c r="AN1096" s="342"/>
      <c r="AO1096" s="342"/>
      <c r="AQ1096" s="342"/>
      <c r="AR1096" s="342"/>
      <c r="AT1096" s="342"/>
      <c r="AU1096" s="342"/>
      <c r="AW1096" s="342"/>
      <c r="AX1096" s="342"/>
      <c r="AZ1096" s="342"/>
      <c r="BA1096" s="342"/>
      <c r="BC1096" s="342"/>
      <c r="BD1096" s="342"/>
      <c r="BF1096" s="342"/>
      <c r="BG1096" s="342"/>
      <c r="BI1096" s="342"/>
      <c r="BJ1096" s="342"/>
      <c r="BL1096" s="342"/>
      <c r="BM1096" s="342"/>
      <c r="BO1096" s="342"/>
      <c r="BP1096" s="342"/>
      <c r="BR1096" s="342"/>
      <c r="BS1096" s="342"/>
      <c r="BU1096" s="342"/>
      <c r="BV1096" s="342"/>
      <c r="BX1096" s="342"/>
      <c r="BY1096" s="342"/>
      <c r="CA1096" s="342"/>
      <c r="CB1096" s="342"/>
      <c r="CD1096" s="342"/>
      <c r="CE1096" s="342"/>
      <c r="CG1096" s="342"/>
      <c r="CH1096" s="342"/>
      <c r="CJ1096" s="342"/>
      <c r="CK1096" s="342"/>
    </row>
    <row r="1097" spans="1:89" x14ac:dyDescent="0.25">
      <c r="A1097" s="95"/>
      <c r="B1097" s="96" t="s">
        <v>1703</v>
      </c>
      <c r="C1097" s="95"/>
      <c r="D1097" s="95" t="s">
        <v>950</v>
      </c>
      <c r="E1097" s="103"/>
      <c r="F1097" s="103"/>
      <c r="G1097" s="103"/>
      <c r="H1097" s="342"/>
      <c r="I1097" s="335" t="e">
        <f>$I$1115/(I1118+I1123)</f>
        <v>#DIV/0!</v>
      </c>
      <c r="J1097" s="335" t="e">
        <f>$J$1115/(J1118+J1123)</f>
        <v>#DIV/0!</v>
      </c>
      <c r="K1097" s="335" t="e">
        <f>$K$1115/(K1118+K1123)</f>
        <v>#DIV/0!</v>
      </c>
      <c r="L1097" s="335" t="e">
        <f>$L$1115/(L1118+L1123)</f>
        <v>#DIV/0!</v>
      </c>
      <c r="M1097" s="335" t="e">
        <f t="shared" ref="M1097:N1100" si="1540">$M$1115/(M1118+M1123)</f>
        <v>#DIV/0!</v>
      </c>
      <c r="N1097" s="335" t="e">
        <f t="shared" si="1540"/>
        <v>#DIV/0!</v>
      </c>
      <c r="Q1097" s="335" t="e">
        <f>Q1115/(Q1118+Q1123)</f>
        <v>#DIV/0!</v>
      </c>
      <c r="R1097" s="335" t="e">
        <f>R1115/(R1118+R1123)</f>
        <v>#DIV/0!</v>
      </c>
      <c r="S1097" s="335" t="e">
        <f>S1115/(S1118+S1123)</f>
        <v>#DIV/0!</v>
      </c>
      <c r="T1097" s="335" t="e">
        <f>T1115/(T1118+T1123)</f>
        <v>#DIV/0!</v>
      </c>
      <c r="V1097" s="335" t="e">
        <f>V1115/(V1118+V1123)</f>
        <v>#DIV/0!</v>
      </c>
      <c r="W1097" s="335" t="e">
        <f>W1115/(W1118+W1123)</f>
        <v>#DIV/0!</v>
      </c>
      <c r="Y1097" s="335" t="e">
        <f>Y1115/(Y1118+Y1123)</f>
        <v>#DIV/0!</v>
      </c>
      <c r="Z1097" s="335" t="e">
        <f>Z1115/(Z1118+Z1123)</f>
        <v>#DIV/0!</v>
      </c>
      <c r="AB1097" s="335" t="e">
        <f>AB1115/(AB1118+AB1123)</f>
        <v>#DIV/0!</v>
      </c>
      <c r="AC1097" s="335" t="e">
        <f>AC1115/(AC1118+AC1123)</f>
        <v>#DIV/0!</v>
      </c>
      <c r="AE1097" s="335" t="e">
        <f>AE1115/(AE1118+AE1123)</f>
        <v>#DIV/0!</v>
      </c>
      <c r="AF1097" s="335" t="e">
        <f>AF1115/(AF1118+AF1123)</f>
        <v>#DIV/0!</v>
      </c>
      <c r="AH1097" s="335" t="e">
        <f>AH1115/(AH1118+AH1123)</f>
        <v>#DIV/0!</v>
      </c>
      <c r="AI1097" s="335" t="e">
        <f>AI1115/(AI1118+AI1123)</f>
        <v>#DIV/0!</v>
      </c>
      <c r="AK1097" s="335" t="e">
        <f>AK1115/(AK1118+AK1123)</f>
        <v>#DIV/0!</v>
      </c>
      <c r="AL1097" s="335" t="e">
        <f>AL1115/(AL1118+AL1123)</f>
        <v>#DIV/0!</v>
      </c>
      <c r="AN1097" s="335" t="e">
        <f>AN1115/(AN1118+AN1123)</f>
        <v>#DIV/0!</v>
      </c>
      <c r="AO1097" s="335" t="e">
        <f>AO1115/(AO1118+AO1123)</f>
        <v>#DIV/0!</v>
      </c>
      <c r="AQ1097" s="335" t="e">
        <f>AQ1115/(AQ1118+AQ1123)</f>
        <v>#DIV/0!</v>
      </c>
      <c r="AR1097" s="335" t="e">
        <f>AR1115/(AR1118+AR1123)</f>
        <v>#DIV/0!</v>
      </c>
      <c r="AT1097" s="335" t="e">
        <f>AT1115/(AT1118+AT1123)</f>
        <v>#DIV/0!</v>
      </c>
      <c r="AU1097" s="335" t="e">
        <f>AU1115/(AU1118+AU1123)</f>
        <v>#DIV/0!</v>
      </c>
      <c r="AW1097" s="335" t="e">
        <f>AW1115/(AW1118+AW1123)</f>
        <v>#DIV/0!</v>
      </c>
      <c r="AX1097" s="335" t="e">
        <f>AX1115/(AX1118+AX1123)</f>
        <v>#DIV/0!</v>
      </c>
      <c r="AZ1097" s="335" t="e">
        <f>AZ1115/(AZ1118+AZ1123)</f>
        <v>#DIV/0!</v>
      </c>
      <c r="BA1097" s="335" t="e">
        <f>BA1115/(BA1118+BA1123)</f>
        <v>#DIV/0!</v>
      </c>
      <c r="BC1097" s="335" t="e">
        <f>BC1115/(BC1118+BC1123)</f>
        <v>#DIV/0!</v>
      </c>
      <c r="BD1097" s="335" t="e">
        <f>BD1115/(BD1118+BD1123)</f>
        <v>#DIV/0!</v>
      </c>
      <c r="BF1097" s="335" t="e">
        <f>BF1115/(BF1118+BF1123)</f>
        <v>#DIV/0!</v>
      </c>
      <c r="BG1097" s="335" t="e">
        <f>BG1115/(BG1118+BG1123)</f>
        <v>#DIV/0!</v>
      </c>
      <c r="BI1097" s="335" t="e">
        <f>BI1115/(BI1118+BI1123)</f>
        <v>#DIV/0!</v>
      </c>
      <c r="BJ1097" s="335" t="e">
        <f>BJ1115/(BJ1118+BJ1123)</f>
        <v>#DIV/0!</v>
      </c>
      <c r="BL1097" s="335" t="e">
        <f>BL1115/(BL1118+BL1123)</f>
        <v>#DIV/0!</v>
      </c>
      <c r="BM1097" s="335" t="e">
        <f>BM1115/(BM1118+BM1123)</f>
        <v>#DIV/0!</v>
      </c>
      <c r="BO1097" s="335" t="e">
        <f>BO1115/(BO1118+BO1123)</f>
        <v>#DIV/0!</v>
      </c>
      <c r="BP1097" s="335" t="e">
        <f>BP1115/(BP1118+BP1123)</f>
        <v>#DIV/0!</v>
      </c>
      <c r="BR1097" s="335" t="e">
        <f>BR1115/(BR1118+BR1123)</f>
        <v>#DIV/0!</v>
      </c>
      <c r="BS1097" s="335" t="e">
        <f>BS1115/(BS1118+BS1123)</f>
        <v>#DIV/0!</v>
      </c>
      <c r="BU1097" s="335" t="e">
        <f>BU1115/(BU1118+BU1123)</f>
        <v>#DIV/0!</v>
      </c>
      <c r="BV1097" s="335" t="e">
        <f>BV1115/(BV1118+BV1123)</f>
        <v>#DIV/0!</v>
      </c>
      <c r="BX1097" s="335" t="e">
        <f>BX1115/(BX1118+BX1123)</f>
        <v>#DIV/0!</v>
      </c>
      <c r="BY1097" s="335" t="e">
        <f>BY1115/(BY1118+BY1123)</f>
        <v>#DIV/0!</v>
      </c>
      <c r="CA1097" s="335" t="e">
        <f>CA1115/(CA1118+CA1123)</f>
        <v>#DIV/0!</v>
      </c>
      <c r="CB1097" s="335" t="e">
        <f>CB1115/(CB1118+CB1123)</f>
        <v>#DIV/0!</v>
      </c>
      <c r="CD1097" s="335" t="e">
        <f>CD1115/(CD1118+CD1123)</f>
        <v>#DIV/0!</v>
      </c>
      <c r="CE1097" s="335" t="e">
        <f>CE1115/(CE1118+CE1123)</f>
        <v>#DIV/0!</v>
      </c>
      <c r="CG1097" s="335" t="e">
        <f>CG1115/(CG1118+CG1123)</f>
        <v>#DIV/0!</v>
      </c>
      <c r="CH1097" s="335" t="e">
        <f>CH1115/(CH1118+CH1123)</f>
        <v>#DIV/0!</v>
      </c>
      <c r="CJ1097" s="335" t="e">
        <f>CJ1115/(CJ1118+CJ1123)</f>
        <v>#DIV/0!</v>
      </c>
      <c r="CK1097" s="335" t="e">
        <f>CK1115/(CK1118+CK1123)</f>
        <v>#DIV/0!</v>
      </c>
    </row>
    <row r="1098" spans="1:89" x14ac:dyDescent="0.25">
      <c r="A1098" s="95"/>
      <c r="B1098" s="96" t="s">
        <v>1704</v>
      </c>
      <c r="C1098" s="95"/>
      <c r="D1098" s="95" t="s">
        <v>950</v>
      </c>
      <c r="E1098" s="103"/>
      <c r="F1098" s="103"/>
      <c r="G1098" s="103"/>
      <c r="H1098" s="342"/>
      <c r="I1098" s="335" t="e">
        <f>$I$1115/(I1119+I1124)</f>
        <v>#DIV/0!</v>
      </c>
      <c r="J1098" s="335" t="e">
        <f>$J$1115/(J1119+J1124)</f>
        <v>#DIV/0!</v>
      </c>
      <c r="K1098" s="335" t="e">
        <f>$K$1115/(K1119+K1124)</f>
        <v>#DIV/0!</v>
      </c>
      <c r="L1098" s="335" t="e">
        <f>$L$1115/(L1119+L1124)</f>
        <v>#DIV/0!</v>
      </c>
      <c r="M1098" s="335" t="e">
        <f t="shared" si="1540"/>
        <v>#DIV/0!</v>
      </c>
      <c r="N1098" s="335" t="e">
        <f t="shared" si="1540"/>
        <v>#DIV/0!</v>
      </c>
      <c r="Q1098" s="335" t="e">
        <f>Q1115/(Q1119+Q1124)</f>
        <v>#DIV/0!</v>
      </c>
      <c r="R1098" s="335" t="e">
        <f>R1115/(R1119+R1124)</f>
        <v>#DIV/0!</v>
      </c>
      <c r="S1098" s="335" t="e">
        <f>S1115/(S1119+S1124)</f>
        <v>#DIV/0!</v>
      </c>
      <c r="T1098" s="335" t="e">
        <f>T1115/(T1119+T1124)</f>
        <v>#DIV/0!</v>
      </c>
      <c r="V1098" s="335" t="e">
        <f>V1115/(V1119+V1124)</f>
        <v>#DIV/0!</v>
      </c>
      <c r="W1098" s="335" t="e">
        <f>W1115/(W1119+W1124)</f>
        <v>#DIV/0!</v>
      </c>
      <c r="Y1098" s="335" t="e">
        <f>Y1115/(Y1119+Y1124)</f>
        <v>#DIV/0!</v>
      </c>
      <c r="Z1098" s="335" t="e">
        <f>Z1115/(Z1119+Z1124)</f>
        <v>#DIV/0!</v>
      </c>
      <c r="AB1098" s="335" t="e">
        <f>AB1115/(AB1119+AB1124)</f>
        <v>#DIV/0!</v>
      </c>
      <c r="AC1098" s="335" t="e">
        <f>AC1115/(AC1119+AC1124)</f>
        <v>#DIV/0!</v>
      </c>
      <c r="AE1098" s="335" t="e">
        <f>AE1115/(AE1119+AE1124)</f>
        <v>#DIV/0!</v>
      </c>
      <c r="AF1098" s="335" t="e">
        <f>AF1115/(AF1119+AF1124)</f>
        <v>#DIV/0!</v>
      </c>
      <c r="AH1098" s="335" t="e">
        <f>AH1115/(AH1119+AH1124)</f>
        <v>#DIV/0!</v>
      </c>
      <c r="AI1098" s="335" t="e">
        <f>AI1115/(AI1119+AI1124)</f>
        <v>#DIV/0!</v>
      </c>
      <c r="AK1098" s="335" t="e">
        <f>AK1115/(AK1119+AK1124)</f>
        <v>#DIV/0!</v>
      </c>
      <c r="AL1098" s="335" t="e">
        <f>AL1115/(AL1119+AL1124)</f>
        <v>#DIV/0!</v>
      </c>
      <c r="AN1098" s="335" t="e">
        <f>AN1115/(AN1119+AN1124)</f>
        <v>#DIV/0!</v>
      </c>
      <c r="AO1098" s="335" t="e">
        <f>AO1115/(AO1119+AO1124)</f>
        <v>#DIV/0!</v>
      </c>
      <c r="AQ1098" s="335" t="e">
        <f>AQ1115/(AQ1119+AQ1124)</f>
        <v>#DIV/0!</v>
      </c>
      <c r="AR1098" s="335" t="e">
        <f>AR1115/(AR1119+AR1124)</f>
        <v>#DIV/0!</v>
      </c>
      <c r="AT1098" s="335" t="e">
        <f>AT1115/(AT1119+AT1124)</f>
        <v>#DIV/0!</v>
      </c>
      <c r="AU1098" s="335" t="e">
        <f>AU1115/(AU1119+AU1124)</f>
        <v>#DIV/0!</v>
      </c>
      <c r="AW1098" s="335" t="e">
        <f>AW1115/(AW1119+AW1124)</f>
        <v>#DIV/0!</v>
      </c>
      <c r="AX1098" s="335" t="e">
        <f>AX1115/(AX1119+AX1124)</f>
        <v>#DIV/0!</v>
      </c>
      <c r="AZ1098" s="335" t="e">
        <f>AZ1115/(AZ1119+AZ1124)</f>
        <v>#DIV/0!</v>
      </c>
      <c r="BA1098" s="335" t="e">
        <f>BA1115/(BA1119+BA1124)</f>
        <v>#DIV/0!</v>
      </c>
      <c r="BC1098" s="335" t="e">
        <f>BC1115/(BC1119+BC1124)</f>
        <v>#DIV/0!</v>
      </c>
      <c r="BD1098" s="335" t="e">
        <f>BD1115/(BD1119+BD1124)</f>
        <v>#DIV/0!</v>
      </c>
      <c r="BF1098" s="335" t="e">
        <f>BF1115/(BF1119+BF1124)</f>
        <v>#DIV/0!</v>
      </c>
      <c r="BG1098" s="335" t="e">
        <f>BG1115/(BG1119+BG1124)</f>
        <v>#DIV/0!</v>
      </c>
      <c r="BI1098" s="335" t="e">
        <f>BI1115/(BI1119+BI1124)</f>
        <v>#DIV/0!</v>
      </c>
      <c r="BJ1098" s="335" t="e">
        <f>BJ1115/(BJ1119+BJ1124)</f>
        <v>#DIV/0!</v>
      </c>
      <c r="BL1098" s="335" t="e">
        <f>BL1115/(BL1119+BL1124)</f>
        <v>#DIV/0!</v>
      </c>
      <c r="BM1098" s="335" t="e">
        <f>BM1115/(BM1119+BM1124)</f>
        <v>#DIV/0!</v>
      </c>
      <c r="BO1098" s="335" t="e">
        <f>BO1115/(BO1119+BO1124)</f>
        <v>#DIV/0!</v>
      </c>
      <c r="BP1098" s="335" t="e">
        <f>BP1115/(BP1119+BP1124)</f>
        <v>#DIV/0!</v>
      </c>
      <c r="BR1098" s="335" t="e">
        <f>BR1115/(BR1119+BR1124)</f>
        <v>#DIV/0!</v>
      </c>
      <c r="BS1098" s="335" t="e">
        <f>BS1115/(BS1119+BS1124)</f>
        <v>#DIV/0!</v>
      </c>
      <c r="BU1098" s="335" t="e">
        <f>BU1115/(BU1119+BU1124)</f>
        <v>#DIV/0!</v>
      </c>
      <c r="BV1098" s="335" t="e">
        <f>BV1115/(BV1119+BV1124)</f>
        <v>#DIV/0!</v>
      </c>
      <c r="BX1098" s="335" t="e">
        <f>BX1115/(BX1119+BX1124)</f>
        <v>#DIV/0!</v>
      </c>
      <c r="BY1098" s="335" t="e">
        <f>BY1115/(BY1119+BY1124)</f>
        <v>#DIV/0!</v>
      </c>
      <c r="CA1098" s="335" t="e">
        <f>CA1115/(CA1119+CA1124)</f>
        <v>#DIV/0!</v>
      </c>
      <c r="CB1098" s="335" t="e">
        <f>CB1115/(CB1119+CB1124)</f>
        <v>#DIV/0!</v>
      </c>
      <c r="CD1098" s="335" t="e">
        <f>CD1115/(CD1119+CD1124)</f>
        <v>#DIV/0!</v>
      </c>
      <c r="CE1098" s="335" t="e">
        <f>CE1115/(CE1119+CE1124)</f>
        <v>#DIV/0!</v>
      </c>
      <c r="CG1098" s="335" t="e">
        <f>CG1115/(CG1119+CG1124)</f>
        <v>#DIV/0!</v>
      </c>
      <c r="CH1098" s="335" t="e">
        <f>CH1115/(CH1119+CH1124)</f>
        <v>#DIV/0!</v>
      </c>
      <c r="CJ1098" s="335" t="e">
        <f>CJ1115/(CJ1119+CJ1124)</f>
        <v>#DIV/0!</v>
      </c>
      <c r="CK1098" s="335" t="e">
        <f>CK1115/(CK1119+CK1124)</f>
        <v>#DIV/0!</v>
      </c>
    </row>
    <row r="1099" spans="1:89" x14ac:dyDescent="0.25">
      <c r="A1099" s="95"/>
      <c r="B1099" s="96" t="s">
        <v>1705</v>
      </c>
      <c r="C1099" s="95"/>
      <c r="D1099" s="95" t="s">
        <v>950</v>
      </c>
      <c r="E1099" s="103"/>
      <c r="F1099" s="103"/>
      <c r="G1099" s="103"/>
      <c r="H1099" s="342"/>
      <c r="I1099" s="335">
        <f>$I$1115/(I1120+I1125)</f>
        <v>2</v>
      </c>
      <c r="J1099" s="335">
        <f>$J$1115/(J1120+J1125)</f>
        <v>4</v>
      </c>
      <c r="K1099" s="335">
        <f>$K$1115/(K1120+K1125)</f>
        <v>10</v>
      </c>
      <c r="L1099" s="335" t="e">
        <f>$L$1115/(L1120+L1125)</f>
        <v>#DIV/0!</v>
      </c>
      <c r="M1099" s="335" t="e">
        <f t="shared" si="1540"/>
        <v>#DIV/0!</v>
      </c>
      <c r="N1099" s="335" t="e">
        <f t="shared" si="1540"/>
        <v>#DIV/0!</v>
      </c>
      <c r="Q1099" s="335">
        <f>Q1115/(Q1120+Q1125)</f>
        <v>10</v>
      </c>
      <c r="R1099" s="335">
        <f>R1115/(R1120+R1125)</f>
        <v>4.666666666666667</v>
      </c>
      <c r="S1099" s="335" t="e">
        <f>S1115/(S1120+S1125)</f>
        <v>#DIV/0!</v>
      </c>
      <c r="T1099" s="335" t="e">
        <f>T1115/(T1120+T1125)</f>
        <v>#DIV/0!</v>
      </c>
      <c r="V1099" s="335" t="e">
        <f>V1115/(V1120+V1125)</f>
        <v>#DIV/0!</v>
      </c>
      <c r="W1099" s="335" t="e">
        <f>W1115/(W1120+W1125)</f>
        <v>#DIV/0!</v>
      </c>
      <c r="Y1099" s="335" t="e">
        <f>Y1115/(Y1120+Y1125)</f>
        <v>#DIV/0!</v>
      </c>
      <c r="Z1099" s="335" t="e">
        <f>Z1115/(Z1120+Z1125)</f>
        <v>#DIV/0!</v>
      </c>
      <c r="AB1099" s="335" t="e">
        <f>AB1115/(AB1120+AB1125)</f>
        <v>#DIV/0!</v>
      </c>
      <c r="AC1099" s="335" t="e">
        <f>AC1115/(AC1120+AC1125)</f>
        <v>#DIV/0!</v>
      </c>
      <c r="AE1099" s="335" t="e">
        <f>AE1115/(AE1120+AE1125)</f>
        <v>#DIV/0!</v>
      </c>
      <c r="AF1099" s="335" t="e">
        <f>AF1115/(AF1120+AF1125)</f>
        <v>#DIV/0!</v>
      </c>
      <c r="AH1099" s="335" t="e">
        <f>AH1115/(AH1120+AH1125)</f>
        <v>#DIV/0!</v>
      </c>
      <c r="AI1099" s="335" t="e">
        <f>AI1115/(AI1120+AI1125)</f>
        <v>#DIV/0!</v>
      </c>
      <c r="AK1099" s="335" t="e">
        <f>AK1115/(AK1120+AK1125)</f>
        <v>#DIV/0!</v>
      </c>
      <c r="AL1099" s="335" t="e">
        <f>AL1115/(AL1120+AL1125)</f>
        <v>#DIV/0!</v>
      </c>
      <c r="AN1099" s="335" t="e">
        <f>AN1115/(AN1120+AN1125)</f>
        <v>#DIV/0!</v>
      </c>
      <c r="AO1099" s="335" t="e">
        <f>AO1115/(AO1120+AO1125)</f>
        <v>#DIV/0!</v>
      </c>
      <c r="AQ1099" s="335" t="e">
        <f>AQ1115/(AQ1120+AQ1125)</f>
        <v>#DIV/0!</v>
      </c>
      <c r="AR1099" s="335" t="e">
        <f>AR1115/(AR1120+AR1125)</f>
        <v>#DIV/0!</v>
      </c>
      <c r="AT1099" s="335" t="e">
        <f>AT1115/(AT1120+AT1125)</f>
        <v>#DIV/0!</v>
      </c>
      <c r="AU1099" s="335" t="e">
        <f>AU1115/(AU1120+AU1125)</f>
        <v>#DIV/0!</v>
      </c>
      <c r="AW1099" s="335" t="e">
        <f>AW1115/(AW1120+AW1125)</f>
        <v>#DIV/0!</v>
      </c>
      <c r="AX1099" s="335" t="e">
        <f>AX1115/(AX1120+AX1125)</f>
        <v>#DIV/0!</v>
      </c>
      <c r="AZ1099" s="335" t="e">
        <f>AZ1115/(AZ1120+AZ1125)</f>
        <v>#DIV/0!</v>
      </c>
      <c r="BA1099" s="335" t="e">
        <f>BA1115/(BA1120+BA1125)</f>
        <v>#DIV/0!</v>
      </c>
      <c r="BC1099" s="335" t="e">
        <f>BC1115/(BC1120+BC1125)</f>
        <v>#DIV/0!</v>
      </c>
      <c r="BD1099" s="335" t="e">
        <f>BD1115/(BD1120+BD1125)</f>
        <v>#DIV/0!</v>
      </c>
      <c r="BF1099" s="335">
        <f>BF1115/(BF1120+BF1125)</f>
        <v>0</v>
      </c>
      <c r="BG1099" s="335">
        <f>BG1115/(BG1120+BG1125)</f>
        <v>0</v>
      </c>
      <c r="BI1099" s="335" t="e">
        <f>BI1115/(BI1120+BI1125)</f>
        <v>#DIV/0!</v>
      </c>
      <c r="BJ1099" s="335" t="e">
        <f>BJ1115/(BJ1120+BJ1125)</f>
        <v>#DIV/0!</v>
      </c>
      <c r="BL1099" s="335" t="e">
        <f>BL1115/(BL1120+BL1125)</f>
        <v>#DIV/0!</v>
      </c>
      <c r="BM1099" s="335" t="e">
        <f>BM1115/(BM1120+BM1125)</f>
        <v>#DIV/0!</v>
      </c>
      <c r="BO1099" s="335" t="e">
        <f>BO1115/(BO1120+BO1125)</f>
        <v>#DIV/0!</v>
      </c>
      <c r="BP1099" s="335" t="e">
        <f>BP1115/(BP1120+BP1125)</f>
        <v>#DIV/0!</v>
      </c>
      <c r="BR1099" s="335" t="e">
        <f>BR1115/(BR1120+BR1125)</f>
        <v>#DIV/0!</v>
      </c>
      <c r="BS1099" s="335" t="e">
        <f>BS1115/(BS1120+BS1125)</f>
        <v>#DIV/0!</v>
      </c>
      <c r="BU1099" s="335" t="e">
        <f>BU1115/(BU1120+BU1125)</f>
        <v>#DIV/0!</v>
      </c>
      <c r="BV1099" s="335" t="e">
        <f>BV1115/(BV1120+BV1125)</f>
        <v>#DIV/0!</v>
      </c>
      <c r="BX1099" s="335" t="e">
        <f>BX1115/(BX1120+BX1125)</f>
        <v>#DIV/0!</v>
      </c>
      <c r="BY1099" s="335" t="e">
        <f>BY1115/(BY1120+BY1125)</f>
        <v>#DIV/0!</v>
      </c>
      <c r="CA1099" s="335" t="e">
        <f>CA1115/(CA1120+CA1125)</f>
        <v>#DIV/0!</v>
      </c>
      <c r="CB1099" s="335" t="e">
        <f>CB1115/(CB1120+CB1125)</f>
        <v>#DIV/0!</v>
      </c>
      <c r="CD1099" s="335" t="e">
        <f>CD1115/(CD1120+CD1125)</f>
        <v>#DIV/0!</v>
      </c>
      <c r="CE1099" s="335">
        <f>CE1115/(CE1120+CE1125)</f>
        <v>3</v>
      </c>
      <c r="CG1099" s="335" t="e">
        <f>CG1115/(CG1120+CG1125)</f>
        <v>#DIV/0!</v>
      </c>
      <c r="CH1099" s="335" t="e">
        <f>CH1115/(CH1120+CH1125)</f>
        <v>#DIV/0!</v>
      </c>
      <c r="CJ1099" s="335" t="e">
        <f>CJ1115/(CJ1120+CJ1125)</f>
        <v>#DIV/0!</v>
      </c>
      <c r="CK1099" s="335" t="e">
        <f>CK1115/(CK1120+CK1125)</f>
        <v>#DIV/0!</v>
      </c>
    </row>
    <row r="1100" spans="1:89" x14ac:dyDescent="0.25">
      <c r="A1100" s="95"/>
      <c r="B1100" s="96" t="s">
        <v>1706</v>
      </c>
      <c r="C1100" s="95"/>
      <c r="D1100" s="95" t="s">
        <v>950</v>
      </c>
      <c r="E1100" s="103"/>
      <c r="F1100" s="103"/>
      <c r="G1100" s="103"/>
      <c r="H1100" s="342"/>
      <c r="I1100" s="335" t="e">
        <f>$I$1115/(I1121+I1126)</f>
        <v>#DIV/0!</v>
      </c>
      <c r="J1100" s="335" t="e">
        <f>$J$1115/(J1121+J1126)</f>
        <v>#DIV/0!</v>
      </c>
      <c r="K1100" s="335" t="e">
        <f>$K$1115/(K1121+K1126)</f>
        <v>#DIV/0!</v>
      </c>
      <c r="L1100" s="335" t="e">
        <f>$L$1115/(L1121+L1126)</f>
        <v>#DIV/0!</v>
      </c>
      <c r="M1100" s="335" t="e">
        <f t="shared" si="1540"/>
        <v>#DIV/0!</v>
      </c>
      <c r="N1100" s="335" t="e">
        <f t="shared" si="1540"/>
        <v>#DIV/0!</v>
      </c>
      <c r="Q1100" s="335" t="e">
        <f>Q1115/(Q1121+Q1126)</f>
        <v>#DIV/0!</v>
      </c>
      <c r="R1100" s="335" t="e">
        <f>R1115/(R1121+R1126)</f>
        <v>#DIV/0!</v>
      </c>
      <c r="S1100" s="335" t="e">
        <f>S1115/(S1121+S1126)</f>
        <v>#DIV/0!</v>
      </c>
      <c r="T1100" s="335" t="e">
        <f>T1115/(T1121+T1126)</f>
        <v>#DIV/0!</v>
      </c>
      <c r="V1100" s="335" t="e">
        <f>V1115/(V1121+V1126)</f>
        <v>#DIV/0!</v>
      </c>
      <c r="W1100" s="335" t="e">
        <f>W1115/(W1121+W1126)</f>
        <v>#DIV/0!</v>
      </c>
      <c r="Y1100" s="335" t="e">
        <f>Y1115/(Y1121+Y1126)</f>
        <v>#DIV/0!</v>
      </c>
      <c r="Z1100" s="335" t="e">
        <f>Z1115/(Z1121+Z1126)</f>
        <v>#DIV/0!</v>
      </c>
      <c r="AB1100" s="335" t="e">
        <f>AB1115/(AB1121+AB1126)</f>
        <v>#DIV/0!</v>
      </c>
      <c r="AC1100" s="335" t="e">
        <f>AC1115/(AC1121+AC1126)</f>
        <v>#DIV/0!</v>
      </c>
      <c r="AE1100" s="335" t="e">
        <f>AE1115/(AE1121+AE1126)</f>
        <v>#DIV/0!</v>
      </c>
      <c r="AF1100" s="335" t="e">
        <f>AF1115/(AF1121+AF1126)</f>
        <v>#DIV/0!</v>
      </c>
      <c r="AH1100" s="335" t="e">
        <f>AH1115/(AH1121+AH1126)</f>
        <v>#DIV/0!</v>
      </c>
      <c r="AI1100" s="335" t="e">
        <f>AI1115/(AI1121+AI1126)</f>
        <v>#DIV/0!</v>
      </c>
      <c r="AK1100" s="335" t="e">
        <f>AK1115/(AK1121+AK1126)</f>
        <v>#DIV/0!</v>
      </c>
      <c r="AL1100" s="335" t="e">
        <f>AL1115/(AL1121+AL1126)</f>
        <v>#DIV/0!</v>
      </c>
      <c r="AN1100" s="335" t="e">
        <f>AN1115/(AN1121+AN1126)</f>
        <v>#DIV/0!</v>
      </c>
      <c r="AO1100" s="335" t="e">
        <f>AO1115/(AO1121+AO1126)</f>
        <v>#DIV/0!</v>
      </c>
      <c r="AQ1100" s="335" t="e">
        <f>AQ1115/(AQ1121+AQ1126)</f>
        <v>#DIV/0!</v>
      </c>
      <c r="AR1100" s="335" t="e">
        <f>AR1115/(AR1121+AR1126)</f>
        <v>#DIV/0!</v>
      </c>
      <c r="AT1100" s="335" t="e">
        <f>AT1115/(AT1121+AT1126)</f>
        <v>#DIV/0!</v>
      </c>
      <c r="AU1100" s="335" t="e">
        <f>AU1115/(AU1121+AU1126)</f>
        <v>#DIV/0!</v>
      </c>
      <c r="AW1100" s="335" t="e">
        <f>AW1115/(AW1121+AW1126)</f>
        <v>#DIV/0!</v>
      </c>
      <c r="AX1100" s="335" t="e">
        <f>AX1115/(AX1121+AX1126)</f>
        <v>#DIV/0!</v>
      </c>
      <c r="AZ1100" s="335" t="e">
        <f>AZ1115/(AZ1121+AZ1126)</f>
        <v>#DIV/0!</v>
      </c>
      <c r="BA1100" s="335" t="e">
        <f>BA1115/(BA1121+BA1126)</f>
        <v>#DIV/0!</v>
      </c>
      <c r="BC1100" s="335" t="e">
        <f>BC1115/(BC1121+BC1126)</f>
        <v>#DIV/0!</v>
      </c>
      <c r="BD1100" s="335" t="e">
        <f>BD1115/(BD1121+BD1126)</f>
        <v>#DIV/0!</v>
      </c>
      <c r="BF1100" s="335" t="e">
        <f>BF1115/(BF1121+BF1126)</f>
        <v>#DIV/0!</v>
      </c>
      <c r="BG1100" s="335" t="e">
        <f>BG1115/(BG1121+BG1126)</f>
        <v>#DIV/0!</v>
      </c>
      <c r="BI1100" s="335" t="e">
        <f>BI1115/(BI1121+BI1126)</f>
        <v>#DIV/0!</v>
      </c>
      <c r="BJ1100" s="335" t="e">
        <f>BJ1115/(BJ1121+BJ1126)</f>
        <v>#DIV/0!</v>
      </c>
      <c r="BL1100" s="335" t="e">
        <f>BL1115/(BL1121+BL1126)</f>
        <v>#DIV/0!</v>
      </c>
      <c r="BM1100" s="335" t="e">
        <f>BM1115/(BM1121+BM1126)</f>
        <v>#DIV/0!</v>
      </c>
      <c r="BO1100" s="335" t="e">
        <f>BO1115/(BO1121+BO1126)</f>
        <v>#DIV/0!</v>
      </c>
      <c r="BP1100" s="335" t="e">
        <f>BP1115/(BP1121+BP1126)</f>
        <v>#DIV/0!</v>
      </c>
      <c r="BR1100" s="335" t="e">
        <f>BR1115/(BR1121+BR1126)</f>
        <v>#DIV/0!</v>
      </c>
      <c r="BS1100" s="335" t="e">
        <f>BS1115/(BS1121+BS1126)</f>
        <v>#DIV/0!</v>
      </c>
      <c r="BU1100" s="335" t="e">
        <f>BU1115/(BU1121+BU1126)</f>
        <v>#DIV/0!</v>
      </c>
      <c r="BV1100" s="335" t="e">
        <f>BV1115/(BV1121+BV1126)</f>
        <v>#DIV/0!</v>
      </c>
      <c r="BX1100" s="335" t="e">
        <f>BX1115/(BX1121+BX1126)</f>
        <v>#DIV/0!</v>
      </c>
      <c r="BY1100" s="335" t="e">
        <f>BY1115/(BY1121+BY1126)</f>
        <v>#DIV/0!</v>
      </c>
      <c r="CA1100" s="335" t="e">
        <f>CA1115/(CA1121+CA1126)</f>
        <v>#DIV/0!</v>
      </c>
      <c r="CB1100" s="335" t="e">
        <f>CB1115/(CB1121+CB1126)</f>
        <v>#DIV/0!</v>
      </c>
      <c r="CD1100" s="335" t="e">
        <f>CD1115/(CD1121+CD1126)</f>
        <v>#DIV/0!</v>
      </c>
      <c r="CE1100" s="335" t="e">
        <f>CE1115/(CE1121+CE1126)</f>
        <v>#DIV/0!</v>
      </c>
      <c r="CG1100" s="335" t="e">
        <f>CG1115/(CG1121+CG1126)</f>
        <v>#DIV/0!</v>
      </c>
      <c r="CH1100" s="335" t="e">
        <f>CH1115/(CH1121+CH1126)</f>
        <v>#DIV/0!</v>
      </c>
      <c r="CJ1100" s="335" t="e">
        <f>CJ1115/(CJ1121+CJ1126)</f>
        <v>#DIV/0!</v>
      </c>
      <c r="CK1100" s="335" t="e">
        <f>CK1115/(CK1121+CK1126)</f>
        <v>#DIV/0!</v>
      </c>
    </row>
    <row r="1101" spans="1:89" x14ac:dyDescent="0.25">
      <c r="A1101" s="95"/>
      <c r="B1101" s="96" t="s">
        <v>1182</v>
      </c>
      <c r="C1101" s="95"/>
      <c r="D1101" s="95"/>
      <c r="E1101" s="103"/>
      <c r="F1101" s="103"/>
      <c r="G1101" s="103"/>
      <c r="H1101" s="342"/>
      <c r="I1101" s="335"/>
      <c r="J1101" s="335"/>
      <c r="K1101" s="335"/>
      <c r="L1101" s="335"/>
      <c r="M1101" s="335"/>
      <c r="N1101" s="335"/>
      <c r="O1101" s="295"/>
    </row>
    <row r="1102" spans="1:89" x14ac:dyDescent="0.25">
      <c r="A1102" s="95"/>
      <c r="B1102" s="248" t="s">
        <v>1848</v>
      </c>
      <c r="C1102" s="95"/>
      <c r="D1102" s="95"/>
      <c r="E1102" s="103"/>
      <c r="F1102" s="103"/>
      <c r="G1102" s="103"/>
      <c r="H1102" s="103"/>
      <c r="I1102" s="103">
        <f t="shared" ref="I1102:N1102" si="1541">I1103</f>
        <v>6869</v>
      </c>
      <c r="J1102" s="103">
        <f t="shared" si="1541"/>
        <v>8542</v>
      </c>
      <c r="K1102" s="103">
        <f t="shared" si="1541"/>
        <v>9852</v>
      </c>
      <c r="L1102" s="103">
        <f t="shared" si="1541"/>
        <v>227</v>
      </c>
      <c r="M1102" s="103">
        <f t="shared" si="1541"/>
        <v>227</v>
      </c>
      <c r="N1102" s="103">
        <f t="shared" si="1541"/>
        <v>227</v>
      </c>
      <c r="O1102" s="286"/>
      <c r="P1102" s="286"/>
      <c r="Q1102" s="103">
        <f>Q1103</f>
        <v>9852</v>
      </c>
      <c r="R1102" s="103">
        <f>R1103</f>
        <v>9986</v>
      </c>
      <c r="S1102" s="103">
        <f>S1103</f>
        <v>121</v>
      </c>
      <c r="T1102" s="103">
        <f>T1103</f>
        <v>132</v>
      </c>
      <c r="V1102" s="103">
        <f>V1103</f>
        <v>72</v>
      </c>
      <c r="W1102" s="103">
        <f>W1103</f>
        <v>88</v>
      </c>
      <c r="Y1102" s="103">
        <f>Y1103</f>
        <v>403</v>
      </c>
      <c r="Z1102" s="103">
        <f>Z1103</f>
        <v>415</v>
      </c>
      <c r="AB1102" s="103">
        <f>AB1103</f>
        <v>245</v>
      </c>
      <c r="AC1102" s="103">
        <f>AC1103</f>
        <v>239</v>
      </c>
      <c r="AE1102" s="103">
        <f>AE1103</f>
        <v>217</v>
      </c>
      <c r="AF1102" s="103">
        <f>AF1103</f>
        <v>224</v>
      </c>
      <c r="AH1102" s="103">
        <f>AH1103</f>
        <v>240</v>
      </c>
      <c r="AI1102" s="103">
        <f>AI1103</f>
        <v>227</v>
      </c>
      <c r="AK1102" s="103">
        <f>AK1103</f>
        <v>411</v>
      </c>
      <c r="AL1102" s="103">
        <f>AL1103</f>
        <v>401</v>
      </c>
      <c r="AN1102" s="103">
        <f>AN1103</f>
        <v>748</v>
      </c>
      <c r="AO1102" s="103">
        <f>AO1103</f>
        <v>744</v>
      </c>
      <c r="AQ1102" s="103">
        <f>AQ1103</f>
        <v>261</v>
      </c>
      <c r="AR1102" s="103">
        <f>AR1103</f>
        <v>294</v>
      </c>
      <c r="AT1102" s="103">
        <f>AT1103</f>
        <v>844</v>
      </c>
      <c r="AU1102" s="103">
        <f>AU1103</f>
        <v>834</v>
      </c>
      <c r="AW1102" s="103">
        <f>AW1103</f>
        <v>192</v>
      </c>
      <c r="AX1102" s="103">
        <f>AX1103</f>
        <v>230</v>
      </c>
      <c r="AZ1102" s="103">
        <f>AZ1103</f>
        <v>200</v>
      </c>
      <c r="BA1102" s="103">
        <f>BA1103</f>
        <v>234</v>
      </c>
      <c r="BC1102" s="103">
        <f>BC1103</f>
        <v>302</v>
      </c>
      <c r="BD1102" s="103">
        <f>BD1103</f>
        <v>279</v>
      </c>
      <c r="BF1102" s="103">
        <f>BF1103</f>
        <v>285</v>
      </c>
      <c r="BG1102" s="103">
        <f>BG1103</f>
        <v>329</v>
      </c>
      <c r="BI1102" s="103">
        <f>BI1103</f>
        <v>2026</v>
      </c>
      <c r="BJ1102" s="103">
        <f>BJ1103</f>
        <v>1920</v>
      </c>
      <c r="BL1102" s="103">
        <f>BL1103</f>
        <v>12</v>
      </c>
      <c r="BM1102" s="103">
        <f>BM1103</f>
        <v>8</v>
      </c>
      <c r="BO1102" s="103">
        <f>BO1103</f>
        <v>159</v>
      </c>
      <c r="BP1102" s="103">
        <f>BP1103</f>
        <v>229</v>
      </c>
      <c r="BR1102" s="103">
        <f>BR1103</f>
        <v>49</v>
      </c>
      <c r="BS1102" s="103">
        <f>BS1103</f>
        <v>47</v>
      </c>
      <c r="BU1102" s="103">
        <f>BU1103</f>
        <v>173</v>
      </c>
      <c r="BV1102" s="103">
        <f>BV1103</f>
        <v>185</v>
      </c>
      <c r="BX1102" s="103">
        <f>BX1103</f>
        <v>50</v>
      </c>
      <c r="BY1102" s="103">
        <f>BY1103</f>
        <v>60</v>
      </c>
      <c r="CA1102" s="103">
        <f>CA1103</f>
        <v>204</v>
      </c>
      <c r="CB1102" s="103">
        <f>CB1103</f>
        <v>174</v>
      </c>
      <c r="CD1102" s="103">
        <f>CD1103</f>
        <v>96</v>
      </c>
      <c r="CE1102" s="103">
        <f>CE1103</f>
        <v>150</v>
      </c>
      <c r="CG1102" s="103">
        <f>CG1103</f>
        <v>2542</v>
      </c>
      <c r="CH1102" s="103">
        <f>CH1103</f>
        <v>2543</v>
      </c>
      <c r="CJ1102" s="103">
        <f>CJ1103</f>
        <v>0</v>
      </c>
      <c r="CK1102" s="103">
        <f>CK1103</f>
        <v>0</v>
      </c>
    </row>
    <row r="1103" spans="1:89" ht="30" x14ac:dyDescent="0.25">
      <c r="A1103" s="95"/>
      <c r="B1103" s="248"/>
      <c r="C1103" s="312" t="s">
        <v>2776</v>
      </c>
      <c r="D1103" s="95" t="s">
        <v>950</v>
      </c>
      <c r="E1103" s="103"/>
      <c r="F1103" s="103"/>
      <c r="G1103" s="103"/>
      <c r="H1103" s="342"/>
      <c r="I1103" s="103">
        <v>6869</v>
      </c>
      <c r="J1103" s="103">
        <v>8542</v>
      </c>
      <c r="K1103" s="103">
        <v>9852</v>
      </c>
      <c r="L1103" s="103">
        <v>227</v>
      </c>
      <c r="M1103" s="103">
        <v>227</v>
      </c>
      <c r="N1103" s="103">
        <v>227</v>
      </c>
      <c r="O1103" s="286"/>
      <c r="P1103" s="286"/>
      <c r="Q1103" s="283">
        <f>S1103+V1103+Y1103+AB1103+AE1103+AH1103+AK1103+AN1103+AQ1103+AT1103+AW1103+AZ1103+BC1103+BF1103+BI1103+BL1103+BO1103+BR1103+BU1103+BX1103+CA1103+CD1103+CG1103+CJ1103</f>
        <v>9852</v>
      </c>
      <c r="R1103" s="283">
        <f>T1103+W1103+Z1103+AC1103+AF1103+AI1103+AL1103+AO1103+AR1103+AU1103+AX1103+BA1103+BD1103+BG1103+BJ1103+BM1103+BP1103+BS1103+BV1103+BY1103+CB1103+CE1103+CH1103+CK1103</f>
        <v>9986</v>
      </c>
      <c r="S1103" s="267">
        <v>121</v>
      </c>
      <c r="T1103" s="267">
        <v>132</v>
      </c>
      <c r="V1103" s="267">
        <v>72</v>
      </c>
      <c r="W1103" s="267">
        <v>88</v>
      </c>
      <c r="Y1103" s="267">
        <v>403</v>
      </c>
      <c r="Z1103" s="267">
        <v>415</v>
      </c>
      <c r="AB1103" s="267">
        <v>245</v>
      </c>
      <c r="AC1103" s="267">
        <v>239</v>
      </c>
      <c r="AE1103" s="267">
        <v>217</v>
      </c>
      <c r="AF1103" s="267">
        <v>224</v>
      </c>
      <c r="AH1103" s="267">
        <v>240</v>
      </c>
      <c r="AI1103" s="267">
        <v>227</v>
      </c>
      <c r="AK1103" s="267">
        <v>411</v>
      </c>
      <c r="AL1103" s="267">
        <v>401</v>
      </c>
      <c r="AN1103" s="267">
        <v>748</v>
      </c>
      <c r="AO1103" s="267">
        <v>744</v>
      </c>
      <c r="AQ1103" s="267">
        <v>261</v>
      </c>
      <c r="AR1103" s="267">
        <v>294</v>
      </c>
      <c r="AT1103" s="267">
        <v>844</v>
      </c>
      <c r="AU1103" s="267">
        <v>834</v>
      </c>
      <c r="AW1103" s="267">
        <v>192</v>
      </c>
      <c r="AX1103" s="267">
        <v>230</v>
      </c>
      <c r="AZ1103" s="267">
        <v>200</v>
      </c>
      <c r="BA1103" s="267">
        <v>234</v>
      </c>
      <c r="BC1103" s="267">
        <v>302</v>
      </c>
      <c r="BD1103" s="267">
        <v>279</v>
      </c>
      <c r="BF1103" s="267">
        <v>285</v>
      </c>
      <c r="BG1103" s="267">
        <v>329</v>
      </c>
      <c r="BI1103" s="267">
        <v>2026</v>
      </c>
      <c r="BJ1103" s="267">
        <v>1920</v>
      </c>
      <c r="BL1103" s="267">
        <v>12</v>
      </c>
      <c r="BM1103" s="267">
        <v>8</v>
      </c>
      <c r="BO1103" s="267">
        <v>159</v>
      </c>
      <c r="BP1103" s="267">
        <v>229</v>
      </c>
      <c r="BR1103" s="267">
        <v>49</v>
      </c>
      <c r="BS1103" s="267">
        <v>47</v>
      </c>
      <c r="BU1103" s="267">
        <v>173</v>
      </c>
      <c r="BV1103" s="267">
        <v>185</v>
      </c>
      <c r="BX1103" s="267">
        <v>50</v>
      </c>
      <c r="BY1103" s="267">
        <v>60</v>
      </c>
      <c r="CA1103" s="267">
        <v>204</v>
      </c>
      <c r="CB1103" s="267">
        <v>174</v>
      </c>
      <c r="CD1103" s="267">
        <v>96</v>
      </c>
      <c r="CE1103" s="267">
        <v>150</v>
      </c>
      <c r="CG1103" s="267">
        <v>2542</v>
      </c>
      <c r="CH1103" s="267">
        <v>2543</v>
      </c>
      <c r="CJ1103" s="267">
        <v>0</v>
      </c>
      <c r="CK1103" s="267">
        <v>0</v>
      </c>
    </row>
    <row r="1104" spans="1:89" x14ac:dyDescent="0.25">
      <c r="A1104" s="95"/>
      <c r="B1104" s="248" t="s">
        <v>2395</v>
      </c>
      <c r="C1104" s="312"/>
      <c r="D1104" s="95"/>
      <c r="E1104" s="103"/>
      <c r="F1104" s="103"/>
      <c r="G1104" s="103"/>
      <c r="H1104" s="342"/>
      <c r="I1104" s="103"/>
      <c r="J1104" s="342"/>
      <c r="K1104" s="342"/>
      <c r="L1104" s="342"/>
      <c r="M1104" s="342"/>
      <c r="N1104" s="342"/>
      <c r="O1104" s="295"/>
    </row>
    <row r="1105" spans="1:89" ht="30" x14ac:dyDescent="0.25">
      <c r="A1105" s="95"/>
      <c r="B1105" s="248" t="s">
        <v>1849</v>
      </c>
      <c r="C1105" s="312" t="s">
        <v>2748</v>
      </c>
      <c r="D1105" s="95" t="s">
        <v>950</v>
      </c>
      <c r="E1105" s="103"/>
      <c r="F1105" s="103"/>
      <c r="G1105" s="103"/>
      <c r="H1105" s="295"/>
      <c r="I1105" s="103">
        <v>61</v>
      </c>
      <c r="J1105" s="344">
        <v>93.8</v>
      </c>
      <c r="K1105" s="345">
        <v>124.6</v>
      </c>
      <c r="L1105" s="345">
        <v>1</v>
      </c>
      <c r="M1105" s="345">
        <v>1</v>
      </c>
      <c r="N1105" s="345">
        <v>1</v>
      </c>
      <c r="O1105" s="295"/>
      <c r="Q1105" s="346">
        <f t="shared" ref="Q1105:R1108" si="1542">S1105+V1105+Y1105+AB1105+AE1105+AH1105+AK1105+AN1105+AQ1105+AT1105+AW1105+AZ1105+BC1105+BF1105+BI1105+BL1105+BO1105+BR1105+BU1105+BX1105+CA1105+CD1105+CG1105+CJ1105</f>
        <v>124.6</v>
      </c>
      <c r="R1105" s="346">
        <f t="shared" si="1542"/>
        <v>143</v>
      </c>
      <c r="S1105" s="267">
        <v>2</v>
      </c>
      <c r="T1105" s="267">
        <v>2</v>
      </c>
      <c r="V1105" s="267">
        <v>1</v>
      </c>
      <c r="W1105" s="267">
        <v>1</v>
      </c>
      <c r="Y1105" s="267">
        <v>2</v>
      </c>
      <c r="Z1105" s="267">
        <v>1</v>
      </c>
      <c r="AB1105" s="267">
        <v>1</v>
      </c>
      <c r="AC1105" s="267">
        <v>1</v>
      </c>
      <c r="AE1105" s="267">
        <v>3.5</v>
      </c>
      <c r="AF1105" s="267">
        <v>3.5</v>
      </c>
      <c r="AH1105" s="267">
        <v>0</v>
      </c>
      <c r="AI1105" s="267">
        <v>1</v>
      </c>
      <c r="AK1105" s="267">
        <v>4</v>
      </c>
      <c r="AL1105" s="267">
        <v>4</v>
      </c>
      <c r="AN1105" s="267">
        <v>7</v>
      </c>
      <c r="AO1105" s="267">
        <v>9.5</v>
      </c>
      <c r="AQ1105" s="267">
        <v>0</v>
      </c>
      <c r="AR1105" s="267">
        <v>0</v>
      </c>
      <c r="AT1105" s="267">
        <v>7</v>
      </c>
      <c r="AU1105" s="267">
        <v>8</v>
      </c>
      <c r="AW1105" s="267">
        <v>1</v>
      </c>
      <c r="AX1105" s="267">
        <v>2</v>
      </c>
      <c r="AZ1105" s="267">
        <v>3</v>
      </c>
      <c r="BA1105" s="267">
        <v>3</v>
      </c>
      <c r="BC1105" s="267">
        <v>3</v>
      </c>
      <c r="BD1105" s="267">
        <v>5</v>
      </c>
      <c r="BF1105" s="267">
        <v>0</v>
      </c>
      <c r="BG1105" s="267">
        <v>0</v>
      </c>
      <c r="BI1105" s="267">
        <v>22</v>
      </c>
      <c r="BJ1105" s="267">
        <v>30</v>
      </c>
      <c r="BL1105" s="267">
        <v>0</v>
      </c>
      <c r="BM1105" s="267">
        <v>0</v>
      </c>
      <c r="BO1105" s="267">
        <v>2</v>
      </c>
      <c r="BP1105" s="267">
        <v>3</v>
      </c>
      <c r="BR1105" s="267">
        <v>2</v>
      </c>
      <c r="BS1105" s="267">
        <v>2</v>
      </c>
      <c r="BU1105" s="267">
        <v>2.1</v>
      </c>
      <c r="BV1105" s="267">
        <v>3</v>
      </c>
      <c r="BX1105" s="267">
        <v>1</v>
      </c>
      <c r="BY1105" s="267">
        <v>1</v>
      </c>
      <c r="CA1105" s="267">
        <v>3</v>
      </c>
      <c r="CB1105" s="267">
        <v>4</v>
      </c>
      <c r="CD1105" s="267">
        <v>0</v>
      </c>
      <c r="CE1105" s="267">
        <v>0</v>
      </c>
      <c r="CG1105" s="267">
        <v>58</v>
      </c>
      <c r="CH1105" s="267">
        <v>59</v>
      </c>
      <c r="CJ1105" s="267">
        <v>0</v>
      </c>
      <c r="CK1105" s="267">
        <v>0</v>
      </c>
    </row>
    <row r="1106" spans="1:89" ht="30" x14ac:dyDescent="0.25">
      <c r="A1106" s="95"/>
      <c r="B1106" s="248" t="s">
        <v>1850</v>
      </c>
      <c r="C1106" s="312" t="s">
        <v>2750</v>
      </c>
      <c r="D1106" s="95" t="s">
        <v>950</v>
      </c>
      <c r="E1106" s="103"/>
      <c r="F1106" s="103"/>
      <c r="G1106" s="103"/>
      <c r="H1106" s="342"/>
      <c r="I1106" s="345">
        <v>301</v>
      </c>
      <c r="J1106" s="344">
        <v>328.7</v>
      </c>
      <c r="K1106" s="345">
        <v>354.5</v>
      </c>
      <c r="L1106" s="345">
        <v>5</v>
      </c>
      <c r="M1106" s="345">
        <v>6</v>
      </c>
      <c r="N1106" s="345">
        <v>6</v>
      </c>
      <c r="O1106" s="347"/>
      <c r="P1106" s="295"/>
      <c r="Q1106" s="346">
        <f t="shared" si="1542"/>
        <v>354.5</v>
      </c>
      <c r="R1106" s="346">
        <f t="shared" si="1542"/>
        <v>369</v>
      </c>
      <c r="S1106" s="267">
        <v>9</v>
      </c>
      <c r="T1106" s="267">
        <v>8</v>
      </c>
      <c r="V1106" s="267">
        <v>5</v>
      </c>
      <c r="W1106" s="267">
        <v>4</v>
      </c>
      <c r="Y1106" s="267">
        <v>8.5</v>
      </c>
      <c r="Z1106" s="267">
        <v>10</v>
      </c>
      <c r="AB1106" s="267">
        <v>10</v>
      </c>
      <c r="AC1106" s="267">
        <v>11</v>
      </c>
      <c r="AE1106" s="267">
        <v>8</v>
      </c>
      <c r="AF1106" s="267">
        <v>7</v>
      </c>
      <c r="AH1106" s="267">
        <v>4</v>
      </c>
      <c r="AI1106" s="267">
        <v>5</v>
      </c>
      <c r="AK1106" s="267">
        <v>11</v>
      </c>
      <c r="AL1106" s="267">
        <v>12.5</v>
      </c>
      <c r="AN1106" s="267">
        <v>30.5</v>
      </c>
      <c r="AO1106" s="267">
        <v>29.5</v>
      </c>
      <c r="AQ1106" s="267">
        <v>9</v>
      </c>
      <c r="AR1106" s="267">
        <v>9</v>
      </c>
      <c r="AT1106" s="267">
        <v>18</v>
      </c>
      <c r="AU1106" s="267">
        <v>22</v>
      </c>
      <c r="AW1106" s="267">
        <v>5</v>
      </c>
      <c r="AX1106" s="267">
        <v>5</v>
      </c>
      <c r="AZ1106" s="267">
        <v>13</v>
      </c>
      <c r="BA1106" s="267">
        <v>14</v>
      </c>
      <c r="BC1106" s="267">
        <v>21</v>
      </c>
      <c r="BD1106" s="267">
        <v>21</v>
      </c>
      <c r="BF1106" s="267">
        <v>17.5</v>
      </c>
      <c r="BG1106" s="267">
        <v>19</v>
      </c>
      <c r="BI1106" s="267">
        <v>69</v>
      </c>
      <c r="BJ1106" s="267">
        <v>71</v>
      </c>
      <c r="BL1106" s="267">
        <v>3</v>
      </c>
      <c r="BM1106" s="267">
        <v>3</v>
      </c>
      <c r="BO1106" s="267">
        <v>4</v>
      </c>
      <c r="BP1106" s="267">
        <v>4</v>
      </c>
      <c r="BR1106" s="267">
        <v>6</v>
      </c>
      <c r="BS1106" s="267">
        <v>8</v>
      </c>
      <c r="BU1106" s="267">
        <v>8</v>
      </c>
      <c r="BV1106" s="267">
        <v>8</v>
      </c>
      <c r="BX1106" s="267">
        <v>1</v>
      </c>
      <c r="BY1106" s="267">
        <v>2</v>
      </c>
      <c r="CA1106" s="267">
        <v>8</v>
      </c>
      <c r="CB1106" s="267">
        <v>13</v>
      </c>
      <c r="CD1106" s="267">
        <v>14</v>
      </c>
      <c r="CE1106" s="267">
        <v>13</v>
      </c>
      <c r="CG1106" s="267">
        <v>64</v>
      </c>
      <c r="CH1106" s="267">
        <v>70</v>
      </c>
      <c r="CJ1106" s="267">
        <v>8</v>
      </c>
      <c r="CK1106" s="267">
        <v>0</v>
      </c>
    </row>
    <row r="1107" spans="1:89" ht="30" x14ac:dyDescent="0.25">
      <c r="A1107" s="95"/>
      <c r="B1107" s="248" t="s">
        <v>1851</v>
      </c>
      <c r="C1107" s="312" t="s">
        <v>2749</v>
      </c>
      <c r="D1107" s="95" t="s">
        <v>950</v>
      </c>
      <c r="E1107" s="103"/>
      <c r="F1107" s="103"/>
      <c r="G1107" s="103"/>
      <c r="H1107" s="342"/>
      <c r="I1107" s="345">
        <v>466</v>
      </c>
      <c r="J1107" s="344">
        <v>500</v>
      </c>
      <c r="K1107" s="345">
        <v>525</v>
      </c>
      <c r="L1107" s="345">
        <v>12</v>
      </c>
      <c r="M1107" s="345">
        <v>11</v>
      </c>
      <c r="N1107" s="345">
        <v>11</v>
      </c>
      <c r="O1107" s="347"/>
      <c r="P1107" s="295"/>
      <c r="Q1107" s="346">
        <f t="shared" si="1542"/>
        <v>525</v>
      </c>
      <c r="R1107" s="346">
        <f t="shared" si="1542"/>
        <v>533</v>
      </c>
      <c r="S1107" s="267">
        <v>10</v>
      </c>
      <c r="T1107" s="267">
        <v>11</v>
      </c>
      <c r="V1107" s="267">
        <v>10</v>
      </c>
      <c r="W1107" s="267">
        <v>11</v>
      </c>
      <c r="Y1107" s="267">
        <v>11.5</v>
      </c>
      <c r="Z1107" s="267">
        <v>12</v>
      </c>
      <c r="AB1107" s="267">
        <v>13</v>
      </c>
      <c r="AC1107" s="267">
        <v>13</v>
      </c>
      <c r="AE1107" s="267">
        <v>14</v>
      </c>
      <c r="AF1107" s="267">
        <v>10.5</v>
      </c>
      <c r="AH1107" s="267">
        <v>10</v>
      </c>
      <c r="AI1107" s="267">
        <v>12</v>
      </c>
      <c r="AK1107" s="267">
        <v>18</v>
      </c>
      <c r="AL1107" s="267">
        <v>17.5</v>
      </c>
      <c r="AN1107" s="267">
        <v>42</v>
      </c>
      <c r="AO1107" s="267">
        <v>41</v>
      </c>
      <c r="AQ1107" s="267">
        <v>12</v>
      </c>
      <c r="AR1107" s="267">
        <v>11</v>
      </c>
      <c r="AT1107" s="267">
        <v>34</v>
      </c>
      <c r="AU1107" s="267">
        <v>34</v>
      </c>
      <c r="AW1107" s="267">
        <v>12</v>
      </c>
      <c r="AX1107" s="267">
        <v>10</v>
      </c>
      <c r="AZ1107" s="267">
        <v>20</v>
      </c>
      <c r="BA1107" s="267">
        <v>19</v>
      </c>
      <c r="BC1107" s="267">
        <v>31</v>
      </c>
      <c r="BD1107" s="267">
        <v>27</v>
      </c>
      <c r="BF1107" s="267">
        <v>46</v>
      </c>
      <c r="BG1107" s="267">
        <v>45</v>
      </c>
      <c r="BI1107" s="267">
        <v>100</v>
      </c>
      <c r="BJ1107" s="267">
        <v>115</v>
      </c>
      <c r="BL1107" s="267">
        <v>7</v>
      </c>
      <c r="BM1107" s="267">
        <v>11</v>
      </c>
      <c r="BO1107" s="267">
        <v>12</v>
      </c>
      <c r="BP1107" s="267">
        <v>13</v>
      </c>
      <c r="BR1107" s="267">
        <v>15</v>
      </c>
      <c r="BS1107" s="267">
        <v>14</v>
      </c>
      <c r="BU1107" s="267">
        <v>12</v>
      </c>
      <c r="BV1107" s="267">
        <v>11</v>
      </c>
      <c r="BX1107" s="267">
        <v>6</v>
      </c>
      <c r="BY1107" s="267">
        <v>5</v>
      </c>
      <c r="CA1107" s="267">
        <v>11</v>
      </c>
      <c r="CB1107" s="267">
        <v>12</v>
      </c>
      <c r="CD1107" s="267">
        <v>12</v>
      </c>
      <c r="CE1107" s="267">
        <v>11</v>
      </c>
      <c r="CG1107" s="267">
        <v>63</v>
      </c>
      <c r="CH1107" s="267">
        <v>63</v>
      </c>
      <c r="CJ1107" s="267">
        <v>3.5</v>
      </c>
      <c r="CK1107" s="267">
        <v>4</v>
      </c>
    </row>
    <row r="1108" spans="1:89" ht="30" x14ac:dyDescent="0.25">
      <c r="A1108" s="95"/>
      <c r="B1108" s="248" t="s">
        <v>1852</v>
      </c>
      <c r="C1108" s="312" t="s">
        <v>2747</v>
      </c>
      <c r="D1108" s="95" t="s">
        <v>950</v>
      </c>
      <c r="E1108" s="103"/>
      <c r="F1108" s="103"/>
      <c r="G1108" s="103"/>
      <c r="H1108" s="342"/>
      <c r="I1108" s="345">
        <v>33</v>
      </c>
      <c r="J1108" s="344">
        <f>50.8+5</f>
        <v>55.8</v>
      </c>
      <c r="K1108" s="345">
        <f>78+5</f>
        <v>83</v>
      </c>
      <c r="L1108" s="345">
        <v>1</v>
      </c>
      <c r="M1108" s="345">
        <v>1</v>
      </c>
      <c r="N1108" s="345">
        <v>1</v>
      </c>
      <c r="O1108" s="295"/>
      <c r="P1108" s="295"/>
      <c r="Q1108" s="346">
        <f t="shared" si="1542"/>
        <v>83</v>
      </c>
      <c r="R1108" s="346">
        <f t="shared" si="1542"/>
        <v>89</v>
      </c>
      <c r="S1108" s="267">
        <v>0</v>
      </c>
      <c r="T1108" s="267">
        <v>2</v>
      </c>
      <c r="V1108" s="267">
        <v>2</v>
      </c>
      <c r="W1108" s="267">
        <v>1</v>
      </c>
      <c r="Y1108" s="267">
        <v>0</v>
      </c>
      <c r="Z1108" s="267">
        <v>1</v>
      </c>
      <c r="AB1108" s="267">
        <v>2</v>
      </c>
      <c r="AC1108" s="267">
        <v>2</v>
      </c>
      <c r="AE1108" s="267">
        <v>0</v>
      </c>
      <c r="AF1108" s="267">
        <v>1</v>
      </c>
      <c r="AH1108" s="267">
        <v>2</v>
      </c>
      <c r="AI1108" s="267">
        <v>1</v>
      </c>
      <c r="AK1108" s="267">
        <v>2</v>
      </c>
      <c r="AL1108" s="267">
        <v>3</v>
      </c>
      <c r="AN1108" s="267">
        <v>1</v>
      </c>
      <c r="AO1108" s="267">
        <v>1</v>
      </c>
      <c r="AQ1108" s="267">
        <v>0</v>
      </c>
      <c r="AR1108" s="267">
        <v>0</v>
      </c>
      <c r="AT1108" s="267">
        <v>9</v>
      </c>
      <c r="AU1108" s="267">
        <v>9</v>
      </c>
      <c r="AW1108" s="267">
        <v>1</v>
      </c>
      <c r="AX1108" s="267">
        <v>0</v>
      </c>
      <c r="AZ1108" s="267">
        <v>1</v>
      </c>
      <c r="BA1108" s="267">
        <v>1</v>
      </c>
      <c r="BC1108" s="267">
        <v>0</v>
      </c>
      <c r="BD1108" s="267">
        <v>1</v>
      </c>
      <c r="BF1108" s="267">
        <v>1</v>
      </c>
      <c r="BG1108" s="267">
        <v>0</v>
      </c>
      <c r="BI1108" s="267">
        <v>9</v>
      </c>
      <c r="BJ1108" s="267">
        <v>10</v>
      </c>
      <c r="BL1108" s="267">
        <v>0</v>
      </c>
      <c r="BM1108" s="267">
        <v>0</v>
      </c>
      <c r="BO1108" s="267">
        <v>0</v>
      </c>
      <c r="BP1108" s="267">
        <v>0</v>
      </c>
      <c r="BR1108" s="267">
        <v>4</v>
      </c>
      <c r="BS1108" s="267">
        <v>2</v>
      </c>
      <c r="BU1108" s="267">
        <v>1</v>
      </c>
      <c r="BV1108" s="267">
        <v>1</v>
      </c>
      <c r="BX1108" s="267">
        <v>0</v>
      </c>
      <c r="BY1108" s="267">
        <v>0</v>
      </c>
      <c r="CA1108" s="267">
        <v>5</v>
      </c>
      <c r="CB1108" s="267">
        <v>6</v>
      </c>
      <c r="CD1108" s="267">
        <v>0</v>
      </c>
      <c r="CE1108" s="267">
        <v>0</v>
      </c>
      <c r="CG1108" s="267">
        <v>37</v>
      </c>
      <c r="CH1108" s="267">
        <v>47</v>
      </c>
      <c r="CJ1108" s="267">
        <v>6</v>
      </c>
      <c r="CK1108" s="267">
        <v>0</v>
      </c>
    </row>
    <row r="1109" spans="1:89" x14ac:dyDescent="0.25">
      <c r="A1109" s="95"/>
      <c r="B1109" s="248" t="s">
        <v>2385</v>
      </c>
      <c r="C1109" s="312"/>
      <c r="D1109" s="95"/>
      <c r="E1109" s="103"/>
      <c r="F1109" s="103"/>
      <c r="G1109" s="103"/>
      <c r="H1109" s="342"/>
      <c r="I1109" s="342"/>
      <c r="J1109" s="342"/>
      <c r="K1109" s="345"/>
      <c r="L1109" s="345"/>
      <c r="M1109" s="345"/>
      <c r="N1109" s="345"/>
      <c r="O1109" s="295"/>
    </row>
    <row r="1110" spans="1:89" ht="30" x14ac:dyDescent="0.25">
      <c r="A1110" s="95"/>
      <c r="B1110" s="248" t="s">
        <v>1849</v>
      </c>
      <c r="C1110" s="312" t="s">
        <v>2860</v>
      </c>
      <c r="D1110" s="95" t="s">
        <v>950</v>
      </c>
      <c r="E1110" s="103"/>
      <c r="F1110" s="103"/>
      <c r="G1110" s="103"/>
      <c r="H1110" s="295"/>
      <c r="I1110" s="342">
        <v>0.9</v>
      </c>
      <c r="J1110" s="342">
        <v>1.5</v>
      </c>
      <c r="K1110" s="345">
        <v>1</v>
      </c>
      <c r="L1110" s="345">
        <v>0</v>
      </c>
      <c r="M1110" s="345">
        <v>0</v>
      </c>
      <c r="N1110" s="345">
        <v>0</v>
      </c>
      <c r="O1110" s="295"/>
      <c r="Q1110" s="346">
        <f t="shared" ref="Q1110:R1113" si="1543">S1110+V1110+Y1110+AB1110+AE1110+AH1110+AK1110+AN1110+AQ1110+AT1110+AW1110+AZ1110+BC1110+BF1110+BI1110+BL1110+BO1110+BR1110+BU1110+BX1110+CA1110+CD1110+CG1110+CJ1110</f>
        <v>1</v>
      </c>
      <c r="R1110" s="346">
        <f t="shared" si="1543"/>
        <v>1.3</v>
      </c>
      <c r="S1110" s="267">
        <v>0</v>
      </c>
      <c r="T1110" s="267">
        <v>0</v>
      </c>
      <c r="V1110" s="267">
        <v>0</v>
      </c>
      <c r="W1110" s="267">
        <v>0</v>
      </c>
      <c r="Y1110" s="267">
        <v>0</v>
      </c>
      <c r="Z1110" s="267">
        <v>0</v>
      </c>
      <c r="AB1110" s="267">
        <v>0</v>
      </c>
      <c r="AC1110" s="267">
        <v>0</v>
      </c>
      <c r="AE1110" s="267">
        <v>0</v>
      </c>
      <c r="AF1110" s="267">
        <v>0.3</v>
      </c>
      <c r="AH1110" s="267">
        <v>0</v>
      </c>
      <c r="AI1110" s="267">
        <v>0</v>
      </c>
      <c r="AK1110" s="267">
        <v>0</v>
      </c>
      <c r="AL1110" s="267">
        <v>0</v>
      </c>
      <c r="AN1110" s="267">
        <v>0.5</v>
      </c>
      <c r="AO1110" s="267">
        <v>0.5</v>
      </c>
      <c r="AQ1110" s="267">
        <v>0</v>
      </c>
      <c r="AR1110" s="267">
        <v>0</v>
      </c>
      <c r="AT1110" s="267">
        <v>0</v>
      </c>
      <c r="AU1110" s="267">
        <v>0</v>
      </c>
      <c r="AW1110" s="267">
        <v>0</v>
      </c>
      <c r="AX1110" s="267">
        <v>0</v>
      </c>
      <c r="AZ1110" s="267">
        <v>0</v>
      </c>
      <c r="BA1110" s="267">
        <v>0</v>
      </c>
      <c r="BC1110" s="267">
        <v>0</v>
      </c>
      <c r="BD1110" s="267">
        <v>0</v>
      </c>
      <c r="BF1110" s="267">
        <v>0</v>
      </c>
      <c r="BG1110" s="267">
        <v>0</v>
      </c>
      <c r="BI1110" s="267">
        <v>0.5</v>
      </c>
      <c r="BJ1110" s="267">
        <v>0.5</v>
      </c>
      <c r="BL1110" s="267">
        <v>0</v>
      </c>
      <c r="BM1110" s="267">
        <v>0</v>
      </c>
      <c r="BO1110" s="267">
        <v>0</v>
      </c>
      <c r="BP1110" s="267">
        <v>0</v>
      </c>
      <c r="BR1110" s="267">
        <v>0</v>
      </c>
      <c r="BS1110" s="267">
        <v>0</v>
      </c>
      <c r="BU1110" s="267">
        <v>0</v>
      </c>
      <c r="BV1110" s="267">
        <v>0</v>
      </c>
      <c r="BX1110" s="267">
        <v>0</v>
      </c>
      <c r="BY1110" s="267">
        <v>0</v>
      </c>
      <c r="CA1110" s="267">
        <v>0</v>
      </c>
      <c r="CB1110" s="267">
        <v>0</v>
      </c>
      <c r="CD1110" s="267">
        <v>0</v>
      </c>
      <c r="CE1110" s="267">
        <v>0</v>
      </c>
      <c r="CG1110" s="267">
        <v>0</v>
      </c>
      <c r="CH1110" s="267">
        <v>0</v>
      </c>
      <c r="CJ1110" s="267">
        <v>0</v>
      </c>
      <c r="CK1110" s="267">
        <v>0</v>
      </c>
    </row>
    <row r="1111" spans="1:89" ht="30" x14ac:dyDescent="0.25">
      <c r="A1111" s="95"/>
      <c r="B1111" s="248" t="s">
        <v>1850</v>
      </c>
      <c r="C1111" s="312" t="s">
        <v>2861</v>
      </c>
      <c r="D1111" s="95" t="s">
        <v>950</v>
      </c>
      <c r="E1111" s="103"/>
      <c r="F1111" s="103"/>
      <c r="G1111" s="103"/>
      <c r="H1111" s="342"/>
      <c r="I1111" s="342">
        <v>7.1</v>
      </c>
      <c r="J1111" s="342">
        <v>7.9</v>
      </c>
      <c r="K1111" s="345">
        <v>10.9</v>
      </c>
      <c r="L1111" s="345">
        <v>1</v>
      </c>
      <c r="M1111" s="345">
        <v>0</v>
      </c>
      <c r="N1111" s="345">
        <v>0</v>
      </c>
      <c r="O1111" s="295"/>
      <c r="Q1111" s="346">
        <f t="shared" si="1543"/>
        <v>10.9</v>
      </c>
      <c r="R1111" s="346">
        <f t="shared" si="1543"/>
        <v>10.8</v>
      </c>
      <c r="S1111" s="267">
        <v>0</v>
      </c>
      <c r="T1111" s="267">
        <v>0</v>
      </c>
      <c r="V1111" s="267">
        <v>0</v>
      </c>
      <c r="W1111" s="267">
        <v>0</v>
      </c>
      <c r="Y1111" s="267">
        <v>1</v>
      </c>
      <c r="Z1111" s="267">
        <v>1</v>
      </c>
      <c r="AB1111" s="267">
        <v>0</v>
      </c>
      <c r="AC1111" s="267">
        <v>0</v>
      </c>
      <c r="AE1111" s="267">
        <v>1</v>
      </c>
      <c r="AF1111" s="267">
        <v>1.5</v>
      </c>
      <c r="AH1111" s="267">
        <v>1</v>
      </c>
      <c r="AI1111" s="267">
        <v>1</v>
      </c>
      <c r="AK1111" s="267">
        <v>0</v>
      </c>
      <c r="AL1111" s="267">
        <v>0</v>
      </c>
      <c r="AN1111" s="267">
        <v>0</v>
      </c>
      <c r="AO1111" s="267">
        <v>0</v>
      </c>
      <c r="AQ1111" s="267">
        <v>1.5</v>
      </c>
      <c r="AR1111" s="267">
        <v>1.7</v>
      </c>
      <c r="AT1111" s="267">
        <v>0.5</v>
      </c>
      <c r="AU1111" s="267">
        <v>0</v>
      </c>
      <c r="AW1111" s="267">
        <v>0</v>
      </c>
      <c r="AX1111" s="267">
        <v>0</v>
      </c>
      <c r="AZ1111" s="267">
        <v>0</v>
      </c>
      <c r="BA1111" s="267">
        <v>0</v>
      </c>
      <c r="BC1111" s="267">
        <v>1</v>
      </c>
      <c r="BD1111" s="267">
        <v>0</v>
      </c>
      <c r="BF1111" s="267">
        <v>0</v>
      </c>
      <c r="BG1111" s="267">
        <v>0</v>
      </c>
      <c r="BI1111" s="267">
        <v>1.5</v>
      </c>
      <c r="BJ1111" s="267">
        <v>2.2000000000000002</v>
      </c>
      <c r="BL1111" s="267">
        <v>0</v>
      </c>
      <c r="BM1111" s="267">
        <v>0</v>
      </c>
      <c r="BO1111" s="267">
        <v>1</v>
      </c>
      <c r="BP1111" s="267">
        <v>1</v>
      </c>
      <c r="BR1111" s="267">
        <v>0</v>
      </c>
      <c r="BS1111" s="267">
        <v>1</v>
      </c>
      <c r="BU1111" s="267">
        <v>0</v>
      </c>
      <c r="BV1111" s="267">
        <v>0</v>
      </c>
      <c r="BX1111" s="267">
        <v>0</v>
      </c>
      <c r="BY1111" s="267">
        <v>0</v>
      </c>
      <c r="CA1111" s="267">
        <v>0</v>
      </c>
      <c r="CB1111" s="267">
        <v>0</v>
      </c>
      <c r="CD1111" s="267">
        <v>0</v>
      </c>
      <c r="CE1111" s="267">
        <v>0</v>
      </c>
      <c r="CG1111" s="267">
        <v>2.4</v>
      </c>
      <c r="CH1111" s="267">
        <v>1.4</v>
      </c>
      <c r="CJ1111" s="267">
        <v>0</v>
      </c>
      <c r="CK1111" s="267">
        <v>0</v>
      </c>
    </row>
    <row r="1112" spans="1:89" ht="30" x14ac:dyDescent="0.25">
      <c r="A1112" s="95"/>
      <c r="B1112" s="248" t="s">
        <v>1851</v>
      </c>
      <c r="C1112" s="312" t="s">
        <v>2862</v>
      </c>
      <c r="D1112" s="95" t="s">
        <v>950</v>
      </c>
      <c r="E1112" s="103"/>
      <c r="F1112" s="103"/>
      <c r="G1112" s="103"/>
      <c r="H1112" s="342"/>
      <c r="I1112" s="342">
        <v>3.3</v>
      </c>
      <c r="J1112" s="342">
        <v>4.2</v>
      </c>
      <c r="K1112" s="345">
        <v>5.8</v>
      </c>
      <c r="L1112" s="345">
        <v>0</v>
      </c>
      <c r="M1112" s="345">
        <v>0</v>
      </c>
      <c r="N1112" s="345">
        <v>0</v>
      </c>
      <c r="O1112" s="295"/>
      <c r="Q1112" s="346">
        <f t="shared" si="1543"/>
        <v>5.8</v>
      </c>
      <c r="R1112" s="346">
        <f t="shared" si="1543"/>
        <v>3.5</v>
      </c>
      <c r="S1112" s="267">
        <v>0</v>
      </c>
      <c r="T1112" s="267">
        <v>0</v>
      </c>
      <c r="V1112" s="267">
        <v>1</v>
      </c>
      <c r="W1112" s="267">
        <v>1.5</v>
      </c>
      <c r="Y1112" s="267">
        <v>0</v>
      </c>
      <c r="Z1112" s="267">
        <v>0</v>
      </c>
      <c r="AB1112" s="267">
        <v>0</v>
      </c>
      <c r="AC1112" s="267">
        <v>0</v>
      </c>
      <c r="AE1112" s="267">
        <v>0</v>
      </c>
      <c r="AF1112" s="267">
        <v>0</v>
      </c>
      <c r="AH1112" s="267">
        <v>0</v>
      </c>
      <c r="AI1112" s="267">
        <v>0</v>
      </c>
      <c r="AK1112" s="267">
        <v>0</v>
      </c>
      <c r="AL1112" s="267">
        <v>0</v>
      </c>
      <c r="AN1112" s="267">
        <v>0</v>
      </c>
      <c r="AO1112" s="267">
        <v>0</v>
      </c>
      <c r="AQ1112" s="267">
        <v>0</v>
      </c>
      <c r="AR1112" s="267">
        <v>0</v>
      </c>
      <c r="AT1112" s="267">
        <v>0.8</v>
      </c>
      <c r="AU1112" s="267">
        <v>0.5</v>
      </c>
      <c r="AW1112" s="267">
        <v>1.5</v>
      </c>
      <c r="AX1112" s="267">
        <v>0.5</v>
      </c>
      <c r="AZ1112" s="267">
        <v>0</v>
      </c>
      <c r="BA1112" s="267">
        <v>0</v>
      </c>
      <c r="BC1112" s="267">
        <v>1</v>
      </c>
      <c r="BD1112" s="267">
        <v>1</v>
      </c>
      <c r="BF1112" s="267">
        <v>0.5</v>
      </c>
      <c r="BG1112" s="267">
        <v>0</v>
      </c>
      <c r="BI1112" s="267">
        <v>0.5</v>
      </c>
      <c r="BJ1112" s="267">
        <v>0</v>
      </c>
      <c r="BL1112" s="267">
        <v>0.5</v>
      </c>
      <c r="BM1112" s="267">
        <v>0</v>
      </c>
      <c r="BO1112" s="267">
        <v>0</v>
      </c>
      <c r="BP1112" s="267">
        <v>0</v>
      </c>
      <c r="BR1112" s="267">
        <v>0</v>
      </c>
      <c r="BS1112" s="267">
        <v>0</v>
      </c>
      <c r="BU1112" s="267">
        <v>0</v>
      </c>
      <c r="BV1112" s="267">
        <v>0</v>
      </c>
      <c r="BX1112" s="267">
        <v>0</v>
      </c>
      <c r="BY1112" s="267">
        <v>0</v>
      </c>
      <c r="CA1112" s="267">
        <v>0</v>
      </c>
      <c r="CB1112" s="267">
        <v>0</v>
      </c>
      <c r="CD1112" s="267">
        <v>0</v>
      </c>
      <c r="CE1112" s="267">
        <v>0</v>
      </c>
      <c r="CG1112" s="267">
        <v>0</v>
      </c>
      <c r="CH1112" s="267">
        <v>0</v>
      </c>
      <c r="CJ1112" s="267">
        <v>0</v>
      </c>
      <c r="CK1112" s="267">
        <v>0</v>
      </c>
    </row>
    <row r="1113" spans="1:89" ht="30" x14ac:dyDescent="0.25">
      <c r="A1113" s="95"/>
      <c r="B1113" s="248" t="s">
        <v>1852</v>
      </c>
      <c r="C1113" s="312" t="s">
        <v>2863</v>
      </c>
      <c r="D1113" s="95" t="s">
        <v>950</v>
      </c>
      <c r="E1113" s="103"/>
      <c r="F1113" s="103"/>
      <c r="G1113" s="103"/>
      <c r="H1113" s="342"/>
      <c r="I1113" s="342">
        <v>1.4</v>
      </c>
      <c r="J1113" s="342">
        <v>0.4</v>
      </c>
      <c r="K1113" s="345">
        <v>0</v>
      </c>
      <c r="L1113" s="345">
        <v>0</v>
      </c>
      <c r="M1113" s="345">
        <v>0</v>
      </c>
      <c r="N1113" s="345">
        <v>0</v>
      </c>
      <c r="O1113" s="295"/>
      <c r="Q1113" s="346">
        <f t="shared" si="1543"/>
        <v>0</v>
      </c>
      <c r="R1113" s="346">
        <f t="shared" si="1543"/>
        <v>1</v>
      </c>
      <c r="S1113" s="267">
        <v>0</v>
      </c>
      <c r="T1113" s="267">
        <v>0</v>
      </c>
      <c r="V1113" s="267">
        <v>0</v>
      </c>
      <c r="W1113" s="267">
        <v>0</v>
      </c>
      <c r="Y1113" s="267">
        <v>0</v>
      </c>
      <c r="Z1113" s="267">
        <v>0</v>
      </c>
      <c r="AB1113" s="267">
        <v>0</v>
      </c>
      <c r="AC1113" s="267">
        <v>0</v>
      </c>
      <c r="AE1113" s="267">
        <v>0</v>
      </c>
      <c r="AF1113" s="267">
        <v>0</v>
      </c>
      <c r="AH1113" s="267">
        <v>0</v>
      </c>
      <c r="AI1113" s="267">
        <v>0</v>
      </c>
      <c r="AK1113" s="267">
        <v>0</v>
      </c>
      <c r="AL1113" s="267">
        <v>0</v>
      </c>
      <c r="AN1113" s="267">
        <v>0</v>
      </c>
      <c r="AO1113" s="267">
        <v>0</v>
      </c>
      <c r="AQ1113" s="267">
        <v>0</v>
      </c>
      <c r="AR1113" s="267">
        <v>0</v>
      </c>
      <c r="AT1113" s="267">
        <v>0</v>
      </c>
      <c r="AU1113" s="267">
        <v>0</v>
      </c>
      <c r="AW1113" s="267">
        <v>0</v>
      </c>
      <c r="AX1113" s="267">
        <v>0</v>
      </c>
      <c r="AZ1113" s="267">
        <v>0</v>
      </c>
      <c r="BA1113" s="267">
        <v>0</v>
      </c>
      <c r="BC1113" s="267">
        <v>0</v>
      </c>
      <c r="BD1113" s="267">
        <v>0</v>
      </c>
      <c r="BF1113" s="267">
        <v>0</v>
      </c>
      <c r="BG1113" s="267">
        <v>0</v>
      </c>
      <c r="BI1113" s="267">
        <v>0</v>
      </c>
      <c r="BJ1113" s="267">
        <v>0</v>
      </c>
      <c r="BL1113" s="267">
        <v>0</v>
      </c>
      <c r="BM1113" s="267">
        <v>0</v>
      </c>
      <c r="BO1113" s="267">
        <v>0</v>
      </c>
      <c r="BP1113" s="267">
        <v>0</v>
      </c>
      <c r="BR1113" s="267">
        <v>0</v>
      </c>
      <c r="BS1113" s="267">
        <v>0</v>
      </c>
      <c r="BU1113" s="267">
        <v>0</v>
      </c>
      <c r="BV1113" s="267">
        <v>0</v>
      </c>
      <c r="BX1113" s="267">
        <v>0</v>
      </c>
      <c r="BY1113" s="267">
        <v>0</v>
      </c>
      <c r="CA1113" s="267">
        <v>0</v>
      </c>
      <c r="CB1113" s="267">
        <v>1</v>
      </c>
      <c r="CD1113" s="267">
        <v>0</v>
      </c>
      <c r="CE1113" s="267">
        <v>0</v>
      </c>
      <c r="CG1113" s="267">
        <v>0</v>
      </c>
      <c r="CH1113" s="267">
        <v>0</v>
      </c>
      <c r="CJ1113" s="267">
        <v>0</v>
      </c>
      <c r="CK1113" s="267">
        <v>0</v>
      </c>
    </row>
    <row r="1114" spans="1:89" x14ac:dyDescent="0.25">
      <c r="A1114" s="95"/>
      <c r="B1114" s="96" t="s">
        <v>1184</v>
      </c>
      <c r="C1114" s="95"/>
      <c r="D1114" s="95"/>
      <c r="E1114" s="103"/>
      <c r="F1114" s="103"/>
      <c r="G1114" s="103"/>
      <c r="H1114" s="342"/>
      <c r="I1114" s="335"/>
      <c r="J1114" s="335"/>
      <c r="K1114" s="335"/>
      <c r="L1114" s="335"/>
      <c r="M1114" s="335"/>
      <c r="N1114" s="335"/>
      <c r="O1114" s="295"/>
    </row>
    <row r="1115" spans="1:89" x14ac:dyDescent="0.25">
      <c r="A1115" s="95"/>
      <c r="B1115" s="248" t="s">
        <v>1848</v>
      </c>
      <c r="C1115" s="95"/>
      <c r="D1115" s="95"/>
      <c r="E1115" s="103"/>
      <c r="F1115" s="103"/>
      <c r="G1115" s="103"/>
      <c r="H1115" s="342"/>
      <c r="I1115" s="103">
        <f t="shared" ref="I1115:N1115" si="1544">I1116</f>
        <v>2</v>
      </c>
      <c r="J1115" s="103">
        <f t="shared" si="1544"/>
        <v>4</v>
      </c>
      <c r="K1115" s="103">
        <f t="shared" si="1544"/>
        <v>5</v>
      </c>
      <c r="L1115" s="103">
        <f t="shared" si="1544"/>
        <v>0</v>
      </c>
      <c r="M1115" s="103">
        <f t="shared" si="1544"/>
        <v>0</v>
      </c>
      <c r="N1115" s="103">
        <f t="shared" si="1544"/>
        <v>0</v>
      </c>
      <c r="O1115" s="295"/>
      <c r="Q1115" s="103">
        <f>Q1116</f>
        <v>5</v>
      </c>
      <c r="R1115" s="103">
        <f>R1116</f>
        <v>7</v>
      </c>
      <c r="S1115" s="103">
        <f>S1116</f>
        <v>0</v>
      </c>
      <c r="T1115" s="103">
        <f>T1116</f>
        <v>0</v>
      </c>
      <c r="V1115" s="103">
        <f>V1116</f>
        <v>0</v>
      </c>
      <c r="W1115" s="103">
        <f>W1116</f>
        <v>0</v>
      </c>
      <c r="Y1115" s="103">
        <f>Y1116</f>
        <v>0</v>
      </c>
      <c r="Z1115" s="103">
        <f>Z1116</f>
        <v>0</v>
      </c>
      <c r="AB1115" s="103">
        <f>AB1116</f>
        <v>0</v>
      </c>
      <c r="AC1115" s="103">
        <f>AC1116</f>
        <v>0</v>
      </c>
      <c r="AE1115" s="103">
        <f>AE1116</f>
        <v>0</v>
      </c>
      <c r="AF1115" s="103">
        <f>AF1116</f>
        <v>0</v>
      </c>
      <c r="AH1115" s="103">
        <f>AH1116</f>
        <v>0</v>
      </c>
      <c r="AI1115" s="103">
        <f>AI1116</f>
        <v>0</v>
      </c>
      <c r="AK1115" s="103">
        <f>AK1116</f>
        <v>0</v>
      </c>
      <c r="AL1115" s="103">
        <f>AL1116</f>
        <v>0</v>
      </c>
      <c r="AN1115" s="103">
        <f>AN1116</f>
        <v>0</v>
      </c>
      <c r="AO1115" s="103">
        <f>AO1116</f>
        <v>0</v>
      </c>
      <c r="AQ1115" s="103">
        <f>AQ1116</f>
        <v>0</v>
      </c>
      <c r="AR1115" s="103">
        <f>AR1116</f>
        <v>0</v>
      </c>
      <c r="AT1115" s="103">
        <f>AT1116</f>
        <v>0</v>
      </c>
      <c r="AU1115" s="103">
        <f>AU1116</f>
        <v>0</v>
      </c>
      <c r="AW1115" s="103">
        <f>AW1116</f>
        <v>0</v>
      </c>
      <c r="AX1115" s="103">
        <f>AX1116</f>
        <v>0</v>
      </c>
      <c r="AZ1115" s="103">
        <f>AZ1116</f>
        <v>0</v>
      </c>
      <c r="BA1115" s="103">
        <f>BA1116</f>
        <v>0</v>
      </c>
      <c r="BC1115" s="103">
        <f>BC1116</f>
        <v>3</v>
      </c>
      <c r="BD1115" s="103">
        <f>BD1116</f>
        <v>4</v>
      </c>
      <c r="BF1115" s="103">
        <f>BF1116</f>
        <v>0</v>
      </c>
      <c r="BG1115" s="103">
        <f>BG1116</f>
        <v>0</v>
      </c>
      <c r="BI1115" s="103">
        <f>BI1116</f>
        <v>0</v>
      </c>
      <c r="BJ1115" s="103">
        <f>BJ1116</f>
        <v>0</v>
      </c>
      <c r="BL1115" s="103">
        <f>BL1116</f>
        <v>0</v>
      </c>
      <c r="BM1115" s="103">
        <f>BM1116</f>
        <v>0</v>
      </c>
      <c r="BO1115" s="103">
        <f>BO1116</f>
        <v>0</v>
      </c>
      <c r="BP1115" s="103">
        <f>BP1116</f>
        <v>0</v>
      </c>
      <c r="BR1115" s="103">
        <f>BR1116</f>
        <v>0</v>
      </c>
      <c r="BS1115" s="103">
        <f>BS1116</f>
        <v>0</v>
      </c>
      <c r="BU1115" s="103">
        <f>BU1116</f>
        <v>0</v>
      </c>
      <c r="BV1115" s="103">
        <f>BV1116</f>
        <v>0</v>
      </c>
      <c r="BX1115" s="103">
        <f>BX1116</f>
        <v>0</v>
      </c>
      <c r="BY1115" s="103">
        <f>BY1116</f>
        <v>0</v>
      </c>
      <c r="CA1115" s="103">
        <f>CA1116</f>
        <v>0</v>
      </c>
      <c r="CB1115" s="103">
        <f>CB1116</f>
        <v>0</v>
      </c>
      <c r="CD1115" s="103">
        <f>CD1116</f>
        <v>2</v>
      </c>
      <c r="CE1115" s="103">
        <f>CE1116</f>
        <v>3</v>
      </c>
      <c r="CG1115" s="103">
        <f>CG1116</f>
        <v>0</v>
      </c>
      <c r="CH1115" s="103">
        <f>CH1116</f>
        <v>0</v>
      </c>
      <c r="CJ1115" s="103">
        <f>CJ1116</f>
        <v>0</v>
      </c>
      <c r="CK1115" s="103">
        <f>CK1116</f>
        <v>0</v>
      </c>
    </row>
    <row r="1116" spans="1:89" ht="30" x14ac:dyDescent="0.25">
      <c r="A1116" s="95"/>
      <c r="B1116" s="248"/>
      <c r="C1116" s="312" t="s">
        <v>2751</v>
      </c>
      <c r="D1116" s="95" t="s">
        <v>950</v>
      </c>
      <c r="E1116" s="103"/>
      <c r="F1116" s="103"/>
      <c r="G1116" s="103"/>
      <c r="H1116" s="342"/>
      <c r="I1116" s="103">
        <v>2</v>
      </c>
      <c r="J1116" s="103">
        <v>4</v>
      </c>
      <c r="K1116" s="103">
        <v>5</v>
      </c>
      <c r="L1116" s="103">
        <v>0</v>
      </c>
      <c r="M1116" s="103">
        <v>0</v>
      </c>
      <c r="N1116" s="103">
        <v>0</v>
      </c>
      <c r="O1116" s="295"/>
      <c r="Q1116" s="283">
        <f>S1116+V1116+Y1116+AB1116+AE1116+AH1116+AK1116+AN1116+AQ1116+AT1116+AW1116+AZ1116+BC1116+BF1116+BI1116+BL1116+BO1116+BR1116+BU1116+BX1116+CA1116+CD1116+CG1116+CJ1116</f>
        <v>5</v>
      </c>
      <c r="R1116" s="283">
        <f>T1116+W1116+Z1116+AC1116+AF1116+AI1116+AL1116+AO1116+AR1116+AU1116+AX1116+BA1116+BD1116+BG1116+BJ1116+BM1116+BP1116+BS1116+BV1116+BY1116+CB1116+CE1116+CH1116+CK1116</f>
        <v>7</v>
      </c>
      <c r="S1116" s="267">
        <v>0</v>
      </c>
      <c r="T1116" s="267">
        <v>0</v>
      </c>
      <c r="V1116" s="267">
        <v>0</v>
      </c>
      <c r="W1116" s="267">
        <v>0</v>
      </c>
      <c r="Y1116" s="267">
        <v>0</v>
      </c>
      <c r="Z1116" s="267">
        <v>0</v>
      </c>
      <c r="AB1116" s="267">
        <v>0</v>
      </c>
      <c r="AC1116" s="267">
        <v>0</v>
      </c>
      <c r="AE1116" s="267">
        <v>0</v>
      </c>
      <c r="AF1116" s="267">
        <v>0</v>
      </c>
      <c r="AH1116" s="267">
        <v>0</v>
      </c>
      <c r="AI1116" s="267">
        <v>0</v>
      </c>
      <c r="AK1116" s="267">
        <v>0</v>
      </c>
      <c r="AL1116" s="267">
        <v>0</v>
      </c>
      <c r="AN1116" s="267">
        <v>0</v>
      </c>
      <c r="AO1116" s="267">
        <v>0</v>
      </c>
      <c r="AQ1116" s="267">
        <v>0</v>
      </c>
      <c r="AR1116" s="267">
        <v>0</v>
      </c>
      <c r="AT1116" s="267">
        <v>0</v>
      </c>
      <c r="AU1116" s="267">
        <v>0</v>
      </c>
      <c r="AW1116" s="267">
        <v>0</v>
      </c>
      <c r="AX1116" s="267">
        <v>0</v>
      </c>
      <c r="AZ1116" s="267">
        <v>0</v>
      </c>
      <c r="BA1116" s="267">
        <v>0</v>
      </c>
      <c r="BB1116" s="304"/>
      <c r="BC1116" s="267">
        <v>3</v>
      </c>
      <c r="BD1116" s="304">
        <v>4</v>
      </c>
      <c r="BE1116" s="304"/>
      <c r="BF1116" s="267">
        <v>0</v>
      </c>
      <c r="BG1116" s="304">
        <v>0</v>
      </c>
      <c r="BH1116" s="304"/>
      <c r="BI1116" s="267">
        <v>0</v>
      </c>
      <c r="BJ1116" s="304">
        <v>0</v>
      </c>
      <c r="BL1116" s="267">
        <v>0</v>
      </c>
      <c r="BM1116" s="267">
        <v>0</v>
      </c>
      <c r="BO1116" s="267">
        <v>0</v>
      </c>
      <c r="BP1116" s="267">
        <v>0</v>
      </c>
      <c r="BR1116" s="267">
        <v>0</v>
      </c>
      <c r="BS1116" s="267">
        <v>0</v>
      </c>
      <c r="BU1116" s="267">
        <v>0</v>
      </c>
      <c r="BV1116" s="267">
        <v>0</v>
      </c>
      <c r="BX1116" s="267">
        <v>0</v>
      </c>
      <c r="BY1116" s="267">
        <v>0</v>
      </c>
      <c r="CA1116" s="267">
        <v>0</v>
      </c>
      <c r="CB1116" s="267">
        <v>0</v>
      </c>
      <c r="CC1116" s="304"/>
      <c r="CD1116" s="267">
        <v>2</v>
      </c>
      <c r="CE1116" s="304">
        <v>3</v>
      </c>
      <c r="CG1116" s="267">
        <v>0</v>
      </c>
      <c r="CH1116" s="267">
        <v>0</v>
      </c>
      <c r="CJ1116" s="267">
        <v>0</v>
      </c>
      <c r="CK1116" s="267">
        <v>0</v>
      </c>
    </row>
    <row r="1117" spans="1:89" x14ac:dyDescent="0.25">
      <c r="A1117" s="95"/>
      <c r="B1117" s="248" t="s">
        <v>2395</v>
      </c>
      <c r="C1117" s="312"/>
      <c r="D1117" s="95"/>
      <c r="E1117" s="103"/>
      <c r="F1117" s="103"/>
      <c r="G1117" s="103"/>
      <c r="H1117" s="342"/>
      <c r="I1117" s="103"/>
      <c r="J1117" s="342"/>
      <c r="K1117" s="342"/>
      <c r="L1117" s="342"/>
      <c r="M1117" s="342"/>
      <c r="N1117" s="342"/>
      <c r="O1117" s="295"/>
      <c r="Q1117" s="346"/>
      <c r="R1117" s="346"/>
    </row>
    <row r="1118" spans="1:89" ht="30" x14ac:dyDescent="0.25">
      <c r="A1118" s="95"/>
      <c r="B1118" s="248" t="s">
        <v>1849</v>
      </c>
      <c r="C1118" s="312" t="s">
        <v>2748</v>
      </c>
      <c r="D1118" s="95" t="s">
        <v>950</v>
      </c>
      <c r="E1118" s="103"/>
      <c r="F1118" s="103"/>
      <c r="G1118" s="103"/>
      <c r="H1118" s="342"/>
      <c r="I1118" s="103">
        <v>0</v>
      </c>
      <c r="J1118" s="342">
        <v>0</v>
      </c>
      <c r="K1118" s="345">
        <v>0</v>
      </c>
      <c r="L1118" s="345">
        <v>0</v>
      </c>
      <c r="M1118" s="345">
        <v>0</v>
      </c>
      <c r="N1118" s="345">
        <v>0</v>
      </c>
      <c r="O1118" s="295"/>
      <c r="Q1118" s="346">
        <f t="shared" ref="Q1118:R1121" si="1545">S1118+V1118+Y1118+AB1118+AE1118+AH1118+AK1118+AN1118+AQ1118+AT1118+AW1118+AZ1118+BC1118+BF1118+BI1118+BL1118+BO1118+BR1118+BU1118+BX1118+CA1118+CD1118+CG1118+CJ1118</f>
        <v>0</v>
      </c>
      <c r="R1118" s="346">
        <f t="shared" si="1545"/>
        <v>0</v>
      </c>
      <c r="S1118" s="267">
        <v>0</v>
      </c>
      <c r="T1118" s="267">
        <v>0</v>
      </c>
      <c r="V1118" s="267">
        <v>0</v>
      </c>
      <c r="W1118" s="267">
        <v>0</v>
      </c>
      <c r="Y1118" s="267">
        <v>0</v>
      </c>
      <c r="Z1118" s="267">
        <v>0</v>
      </c>
      <c r="AB1118" s="267">
        <v>0</v>
      </c>
      <c r="AC1118" s="267">
        <v>0</v>
      </c>
      <c r="AE1118" s="267">
        <v>0</v>
      </c>
      <c r="AF1118" s="267">
        <v>0</v>
      </c>
      <c r="AH1118" s="267">
        <v>0</v>
      </c>
      <c r="AI1118" s="267">
        <v>0</v>
      </c>
      <c r="AK1118" s="267">
        <v>0</v>
      </c>
      <c r="AL1118" s="267">
        <v>0</v>
      </c>
      <c r="AN1118" s="267">
        <v>0</v>
      </c>
      <c r="AO1118" s="267">
        <v>0</v>
      </c>
      <c r="AQ1118" s="267">
        <v>0</v>
      </c>
      <c r="AR1118" s="267">
        <v>0</v>
      </c>
      <c r="AT1118" s="267">
        <v>0</v>
      </c>
      <c r="AU1118" s="267">
        <v>0</v>
      </c>
      <c r="AW1118" s="267">
        <v>0</v>
      </c>
      <c r="AX1118" s="267">
        <v>0</v>
      </c>
      <c r="AZ1118" s="267">
        <v>0</v>
      </c>
      <c r="BA1118" s="267">
        <v>0</v>
      </c>
      <c r="BC1118" s="267">
        <v>0</v>
      </c>
      <c r="BD1118" s="267">
        <v>0</v>
      </c>
      <c r="BF1118" s="267">
        <v>0</v>
      </c>
      <c r="BG1118" s="267">
        <v>0</v>
      </c>
      <c r="BI1118" s="267">
        <v>0</v>
      </c>
      <c r="BJ1118" s="267">
        <v>0</v>
      </c>
      <c r="BL1118" s="267">
        <v>0</v>
      </c>
      <c r="BM1118" s="267">
        <v>0</v>
      </c>
      <c r="BO1118" s="267">
        <v>0</v>
      </c>
      <c r="BP1118" s="267">
        <v>0</v>
      </c>
      <c r="BR1118" s="267">
        <v>0</v>
      </c>
      <c r="BS1118" s="267">
        <v>0</v>
      </c>
      <c r="BU1118" s="267">
        <v>0</v>
      </c>
      <c r="BV1118" s="267">
        <v>0</v>
      </c>
      <c r="BX1118" s="267">
        <v>0</v>
      </c>
      <c r="BY1118" s="267">
        <v>0</v>
      </c>
      <c r="CA1118" s="267">
        <v>0</v>
      </c>
      <c r="CB1118" s="267">
        <v>0</v>
      </c>
      <c r="CD1118" s="267">
        <v>0</v>
      </c>
      <c r="CE1118" s="267">
        <v>0</v>
      </c>
      <c r="CG1118" s="267">
        <v>0</v>
      </c>
      <c r="CH1118" s="267">
        <v>0</v>
      </c>
      <c r="CJ1118" s="267">
        <v>0</v>
      </c>
      <c r="CK1118" s="267">
        <v>0</v>
      </c>
    </row>
    <row r="1119" spans="1:89" ht="30" x14ac:dyDescent="0.25">
      <c r="A1119" s="95"/>
      <c r="B1119" s="248" t="s">
        <v>1850</v>
      </c>
      <c r="C1119" s="312" t="s">
        <v>2750</v>
      </c>
      <c r="D1119" s="95" t="s">
        <v>950</v>
      </c>
      <c r="E1119" s="103"/>
      <c r="F1119" s="103"/>
      <c r="G1119" s="103"/>
      <c r="H1119" s="342"/>
      <c r="I1119" s="103">
        <v>0</v>
      </c>
      <c r="J1119" s="342">
        <v>0</v>
      </c>
      <c r="K1119" s="345">
        <v>0</v>
      </c>
      <c r="L1119" s="345">
        <v>0</v>
      </c>
      <c r="M1119" s="345">
        <v>0</v>
      </c>
      <c r="N1119" s="345">
        <v>0</v>
      </c>
      <c r="O1119" s="295"/>
      <c r="Q1119" s="346">
        <f t="shared" si="1545"/>
        <v>0</v>
      </c>
      <c r="R1119" s="346">
        <f t="shared" si="1545"/>
        <v>0</v>
      </c>
      <c r="S1119" s="267">
        <v>0</v>
      </c>
      <c r="T1119" s="267">
        <v>0</v>
      </c>
      <c r="V1119" s="267">
        <v>0</v>
      </c>
      <c r="W1119" s="267">
        <v>0</v>
      </c>
      <c r="Y1119" s="267">
        <v>0</v>
      </c>
      <c r="Z1119" s="267">
        <v>0</v>
      </c>
      <c r="AB1119" s="267">
        <v>0</v>
      </c>
      <c r="AC1119" s="267">
        <v>0</v>
      </c>
      <c r="AE1119" s="267">
        <v>0</v>
      </c>
      <c r="AF1119" s="267">
        <v>0</v>
      </c>
      <c r="AH1119" s="267">
        <v>0</v>
      </c>
      <c r="AI1119" s="267">
        <v>0</v>
      </c>
      <c r="AK1119" s="267">
        <v>0</v>
      </c>
      <c r="AL1119" s="267">
        <v>0</v>
      </c>
      <c r="AN1119" s="267">
        <v>0</v>
      </c>
      <c r="AO1119" s="267">
        <v>0</v>
      </c>
      <c r="AQ1119" s="267">
        <v>0</v>
      </c>
      <c r="AR1119" s="267">
        <v>0</v>
      </c>
      <c r="AT1119" s="267">
        <v>0</v>
      </c>
      <c r="AU1119" s="267">
        <v>0</v>
      </c>
      <c r="AW1119" s="267">
        <v>0</v>
      </c>
      <c r="AX1119" s="267">
        <v>0</v>
      </c>
      <c r="AZ1119" s="267">
        <v>0</v>
      </c>
      <c r="BA1119" s="267">
        <v>0</v>
      </c>
      <c r="BC1119" s="267">
        <v>0</v>
      </c>
      <c r="BD1119" s="267">
        <v>0</v>
      </c>
      <c r="BF1119" s="267">
        <v>0</v>
      </c>
      <c r="BG1119" s="267">
        <v>0</v>
      </c>
      <c r="BI1119" s="267">
        <v>0</v>
      </c>
      <c r="BJ1119" s="267">
        <v>0</v>
      </c>
      <c r="BL1119" s="267">
        <v>0</v>
      </c>
      <c r="BM1119" s="267">
        <v>0</v>
      </c>
      <c r="BO1119" s="267">
        <v>0</v>
      </c>
      <c r="BP1119" s="267">
        <v>0</v>
      </c>
      <c r="BR1119" s="267">
        <v>0</v>
      </c>
      <c r="BS1119" s="267">
        <v>0</v>
      </c>
      <c r="BU1119" s="267">
        <v>0</v>
      </c>
      <c r="BV1119" s="267">
        <v>0</v>
      </c>
      <c r="BX1119" s="267">
        <v>0</v>
      </c>
      <c r="BY1119" s="267">
        <v>0</v>
      </c>
      <c r="CA1119" s="267">
        <v>0</v>
      </c>
      <c r="CB1119" s="267">
        <v>0</v>
      </c>
      <c r="CD1119" s="267">
        <v>0</v>
      </c>
      <c r="CE1119" s="267">
        <v>0</v>
      </c>
      <c r="CG1119" s="267">
        <v>0</v>
      </c>
      <c r="CH1119" s="267">
        <v>0</v>
      </c>
      <c r="CJ1119" s="267">
        <v>0</v>
      </c>
      <c r="CK1119" s="267">
        <v>0</v>
      </c>
    </row>
    <row r="1120" spans="1:89" ht="30" x14ac:dyDescent="0.25">
      <c r="A1120" s="95"/>
      <c r="B1120" s="248" t="s">
        <v>1851</v>
      </c>
      <c r="C1120" s="312" t="s">
        <v>2749</v>
      </c>
      <c r="D1120" s="95" t="s">
        <v>950</v>
      </c>
      <c r="E1120" s="103"/>
      <c r="F1120" s="103"/>
      <c r="G1120" s="103"/>
      <c r="H1120" s="342"/>
      <c r="I1120" s="103">
        <v>0</v>
      </c>
      <c r="J1120" s="342">
        <v>0</v>
      </c>
      <c r="K1120" s="345">
        <v>0</v>
      </c>
      <c r="L1120" s="345">
        <v>0</v>
      </c>
      <c r="M1120" s="345">
        <v>0</v>
      </c>
      <c r="N1120" s="345">
        <v>0</v>
      </c>
      <c r="O1120" s="295"/>
      <c r="Q1120" s="346">
        <f t="shared" si="1545"/>
        <v>0</v>
      </c>
      <c r="R1120" s="346">
        <f t="shared" si="1545"/>
        <v>1</v>
      </c>
      <c r="S1120" s="267">
        <v>0</v>
      </c>
      <c r="T1120" s="267">
        <v>0</v>
      </c>
      <c r="V1120" s="267">
        <v>0</v>
      </c>
      <c r="W1120" s="267">
        <v>0</v>
      </c>
      <c r="Y1120" s="267">
        <v>0</v>
      </c>
      <c r="Z1120" s="267">
        <v>0</v>
      </c>
      <c r="AB1120" s="267">
        <v>0</v>
      </c>
      <c r="AC1120" s="267">
        <v>0</v>
      </c>
      <c r="AE1120" s="267">
        <v>0</v>
      </c>
      <c r="AF1120" s="267">
        <v>0</v>
      </c>
      <c r="AH1120" s="267">
        <v>0</v>
      </c>
      <c r="AI1120" s="267">
        <v>0</v>
      </c>
      <c r="AK1120" s="267">
        <v>0</v>
      </c>
      <c r="AL1120" s="267">
        <v>0</v>
      </c>
      <c r="AN1120" s="267">
        <v>0</v>
      </c>
      <c r="AO1120" s="267">
        <v>0</v>
      </c>
      <c r="AQ1120" s="267">
        <v>0</v>
      </c>
      <c r="AR1120" s="267">
        <v>0</v>
      </c>
      <c r="AT1120" s="267">
        <v>0</v>
      </c>
      <c r="AU1120" s="267">
        <v>0</v>
      </c>
      <c r="AW1120" s="267">
        <v>0</v>
      </c>
      <c r="AX1120" s="267">
        <v>0</v>
      </c>
      <c r="AZ1120" s="267">
        <v>0</v>
      </c>
      <c r="BA1120" s="267">
        <v>0</v>
      </c>
      <c r="BC1120" s="267">
        <v>0</v>
      </c>
      <c r="BD1120" s="304">
        <v>0</v>
      </c>
      <c r="BF1120" s="267">
        <v>0</v>
      </c>
      <c r="BG1120" s="304">
        <v>0</v>
      </c>
      <c r="BI1120" s="267">
        <v>0</v>
      </c>
      <c r="BJ1120" s="304">
        <v>0</v>
      </c>
      <c r="BL1120" s="267">
        <v>0</v>
      </c>
      <c r="BM1120" s="267">
        <v>0</v>
      </c>
      <c r="BO1120" s="267">
        <v>0</v>
      </c>
      <c r="BP1120" s="267">
        <v>0</v>
      </c>
      <c r="BR1120" s="267">
        <v>0</v>
      </c>
      <c r="BS1120" s="267">
        <v>0</v>
      </c>
      <c r="BU1120" s="267">
        <v>0</v>
      </c>
      <c r="BV1120" s="267">
        <v>0</v>
      </c>
      <c r="BX1120" s="267">
        <v>0</v>
      </c>
      <c r="BY1120" s="267">
        <v>0</v>
      </c>
      <c r="CA1120" s="267">
        <v>0</v>
      </c>
      <c r="CB1120" s="267">
        <v>0</v>
      </c>
      <c r="CD1120" s="267">
        <v>0</v>
      </c>
      <c r="CE1120" s="304">
        <v>1</v>
      </c>
      <c r="CG1120" s="267">
        <v>0</v>
      </c>
      <c r="CH1120" s="267">
        <v>0</v>
      </c>
      <c r="CJ1120" s="267">
        <v>0</v>
      </c>
      <c r="CK1120" s="267">
        <v>0</v>
      </c>
    </row>
    <row r="1121" spans="1:89" ht="30" x14ac:dyDescent="0.25">
      <c r="A1121" s="95"/>
      <c r="B1121" s="248" t="s">
        <v>1852</v>
      </c>
      <c r="C1121" s="312" t="s">
        <v>2747</v>
      </c>
      <c r="D1121" s="95" t="s">
        <v>950</v>
      </c>
      <c r="E1121" s="103"/>
      <c r="F1121" s="103"/>
      <c r="G1121" s="103"/>
      <c r="H1121" s="342"/>
      <c r="I1121" s="103">
        <v>0</v>
      </c>
      <c r="J1121" s="342">
        <v>0</v>
      </c>
      <c r="K1121" s="345">
        <v>0</v>
      </c>
      <c r="L1121" s="345">
        <v>0</v>
      </c>
      <c r="M1121" s="345">
        <v>0</v>
      </c>
      <c r="N1121" s="345">
        <v>0</v>
      </c>
      <c r="O1121" s="295"/>
      <c r="Q1121" s="346">
        <f t="shared" si="1545"/>
        <v>0</v>
      </c>
      <c r="R1121" s="346">
        <f t="shared" si="1545"/>
        <v>0</v>
      </c>
      <c r="S1121" s="267">
        <v>0</v>
      </c>
      <c r="T1121" s="267">
        <v>0</v>
      </c>
      <c r="V1121" s="267">
        <v>0</v>
      </c>
      <c r="W1121" s="267">
        <v>0</v>
      </c>
      <c r="Y1121" s="267">
        <v>0</v>
      </c>
      <c r="Z1121" s="267">
        <v>0</v>
      </c>
      <c r="AB1121" s="267">
        <v>0</v>
      </c>
      <c r="AC1121" s="267">
        <v>0</v>
      </c>
      <c r="AE1121" s="267">
        <v>0</v>
      </c>
      <c r="AF1121" s="267">
        <v>0</v>
      </c>
      <c r="AH1121" s="267">
        <v>0</v>
      </c>
      <c r="AI1121" s="267">
        <v>0</v>
      </c>
      <c r="AK1121" s="267">
        <v>0</v>
      </c>
      <c r="AL1121" s="267">
        <v>0</v>
      </c>
      <c r="AN1121" s="267">
        <v>0</v>
      </c>
      <c r="AO1121" s="267">
        <v>0</v>
      </c>
      <c r="AQ1121" s="267">
        <v>0</v>
      </c>
      <c r="AR1121" s="267">
        <v>0</v>
      </c>
      <c r="AT1121" s="267">
        <v>0</v>
      </c>
      <c r="AU1121" s="267">
        <v>0</v>
      </c>
      <c r="AW1121" s="267">
        <v>0</v>
      </c>
      <c r="AX1121" s="267">
        <v>0</v>
      </c>
      <c r="AZ1121" s="267">
        <v>0</v>
      </c>
      <c r="BA1121" s="267">
        <v>0</v>
      </c>
      <c r="BC1121" s="267">
        <v>0</v>
      </c>
      <c r="BD1121" s="304">
        <v>0</v>
      </c>
      <c r="BF1121" s="267">
        <v>0</v>
      </c>
      <c r="BG1121" s="304">
        <v>0</v>
      </c>
      <c r="BI1121" s="267">
        <v>0</v>
      </c>
      <c r="BJ1121" s="304">
        <v>0</v>
      </c>
      <c r="BL1121" s="267">
        <v>0</v>
      </c>
      <c r="BM1121" s="267">
        <v>0</v>
      </c>
      <c r="BO1121" s="267">
        <v>0</v>
      </c>
      <c r="BP1121" s="267">
        <v>0</v>
      </c>
      <c r="BR1121" s="267">
        <v>0</v>
      </c>
      <c r="BS1121" s="267">
        <v>0</v>
      </c>
      <c r="BU1121" s="267">
        <v>0</v>
      </c>
      <c r="BV1121" s="267">
        <v>0</v>
      </c>
      <c r="BX1121" s="267">
        <v>0</v>
      </c>
      <c r="BY1121" s="267">
        <v>0</v>
      </c>
      <c r="CA1121" s="267">
        <v>0</v>
      </c>
      <c r="CB1121" s="267">
        <v>0</v>
      </c>
      <c r="CD1121" s="267">
        <v>0</v>
      </c>
      <c r="CE1121" s="304">
        <v>0</v>
      </c>
      <c r="CG1121" s="267">
        <v>0</v>
      </c>
      <c r="CH1121" s="267">
        <v>0</v>
      </c>
      <c r="CJ1121" s="267">
        <v>0</v>
      </c>
      <c r="CK1121" s="267">
        <v>0</v>
      </c>
    </row>
    <row r="1122" spans="1:89" x14ac:dyDescent="0.25">
      <c r="A1122" s="95"/>
      <c r="B1122" s="248" t="s">
        <v>2385</v>
      </c>
      <c r="C1122" s="312"/>
      <c r="D1122" s="95"/>
      <c r="E1122" s="103"/>
      <c r="F1122" s="103"/>
      <c r="G1122" s="103"/>
      <c r="H1122" s="342"/>
      <c r="I1122" s="342"/>
      <c r="J1122" s="342"/>
      <c r="K1122" s="345"/>
      <c r="L1122" s="345"/>
      <c r="M1122" s="345"/>
      <c r="N1122" s="345"/>
      <c r="O1122" s="295"/>
    </row>
    <row r="1123" spans="1:89" ht="30" x14ac:dyDescent="0.25">
      <c r="A1123" s="95"/>
      <c r="B1123" s="248" t="s">
        <v>1849</v>
      </c>
      <c r="C1123" s="312" t="s">
        <v>2860</v>
      </c>
      <c r="D1123" s="95" t="s">
        <v>950</v>
      </c>
      <c r="E1123" s="103"/>
      <c r="F1123" s="103"/>
      <c r="G1123" s="103"/>
      <c r="H1123" s="342"/>
      <c r="I1123" s="103">
        <v>0</v>
      </c>
      <c r="J1123" s="342">
        <v>0</v>
      </c>
      <c r="K1123" s="345">
        <v>0</v>
      </c>
      <c r="L1123" s="345">
        <v>0</v>
      </c>
      <c r="M1123" s="345">
        <v>0</v>
      </c>
      <c r="N1123" s="345">
        <v>0</v>
      </c>
      <c r="O1123" s="295"/>
      <c r="Q1123" s="346">
        <f t="shared" ref="Q1123:R1126" si="1546">S1123+V1123+Y1123+AB1123+AE1123+AH1123+AK1123+AN1123+AQ1123+AT1123+AW1123+AZ1123+BC1123+BF1123+BI1123+BL1123+BO1123+BR1123+BU1123+BX1123+CA1123+CD1123+CG1123+CJ1123</f>
        <v>0</v>
      </c>
      <c r="R1123" s="346">
        <f t="shared" si="1546"/>
        <v>0</v>
      </c>
      <c r="S1123" s="267">
        <v>0</v>
      </c>
      <c r="T1123" s="267">
        <v>0</v>
      </c>
      <c r="V1123" s="267">
        <v>0</v>
      </c>
      <c r="W1123" s="267">
        <v>0</v>
      </c>
      <c r="Y1123" s="267">
        <v>0</v>
      </c>
      <c r="Z1123" s="267">
        <v>0</v>
      </c>
      <c r="AB1123" s="267">
        <v>0</v>
      </c>
      <c r="AC1123" s="267">
        <v>0</v>
      </c>
      <c r="AE1123" s="267">
        <v>0</v>
      </c>
      <c r="AF1123" s="267">
        <v>0</v>
      </c>
      <c r="AH1123" s="267">
        <v>0</v>
      </c>
      <c r="AI1123" s="267">
        <v>0</v>
      </c>
      <c r="AK1123" s="267">
        <v>0</v>
      </c>
      <c r="AL1123" s="267">
        <v>0</v>
      </c>
      <c r="AN1123" s="267">
        <v>0</v>
      </c>
      <c r="AO1123" s="267">
        <v>0</v>
      </c>
      <c r="AQ1123" s="267">
        <v>0</v>
      </c>
      <c r="AR1123" s="267">
        <v>0</v>
      </c>
      <c r="AT1123" s="267">
        <v>0</v>
      </c>
      <c r="AU1123" s="267">
        <v>0</v>
      </c>
      <c r="AW1123" s="267">
        <v>0</v>
      </c>
      <c r="AX1123" s="267">
        <v>0</v>
      </c>
      <c r="AZ1123" s="267">
        <v>0</v>
      </c>
      <c r="BA1123" s="267">
        <v>0</v>
      </c>
      <c r="BC1123" s="267">
        <v>0</v>
      </c>
      <c r="BD1123" s="267">
        <v>0</v>
      </c>
      <c r="BF1123" s="267">
        <v>0</v>
      </c>
      <c r="BG1123" s="267">
        <v>0</v>
      </c>
      <c r="BI1123" s="267">
        <v>0</v>
      </c>
      <c r="BJ1123" s="267">
        <v>0</v>
      </c>
      <c r="BL1123" s="267">
        <v>0</v>
      </c>
      <c r="BM1123" s="267">
        <v>0</v>
      </c>
      <c r="BO1123" s="267">
        <v>0</v>
      </c>
      <c r="BP1123" s="267">
        <v>0</v>
      </c>
      <c r="BR1123" s="267">
        <v>0</v>
      </c>
      <c r="BS1123" s="267">
        <v>0</v>
      </c>
      <c r="BU1123" s="267">
        <v>0</v>
      </c>
      <c r="BV1123" s="267">
        <v>0</v>
      </c>
      <c r="BX1123" s="267">
        <v>0</v>
      </c>
      <c r="BY1123" s="267">
        <v>0</v>
      </c>
      <c r="CA1123" s="267">
        <v>0</v>
      </c>
      <c r="CB1123" s="267">
        <v>0</v>
      </c>
      <c r="CD1123" s="267">
        <v>0</v>
      </c>
      <c r="CE1123" s="267">
        <v>0</v>
      </c>
      <c r="CG1123" s="267">
        <v>0</v>
      </c>
      <c r="CH1123" s="267">
        <v>0</v>
      </c>
      <c r="CJ1123" s="267">
        <v>0</v>
      </c>
      <c r="CK1123" s="267">
        <v>0</v>
      </c>
    </row>
    <row r="1124" spans="1:89" ht="30" x14ac:dyDescent="0.25">
      <c r="A1124" s="95"/>
      <c r="B1124" s="248" t="s">
        <v>1850</v>
      </c>
      <c r="C1124" s="312" t="s">
        <v>2861</v>
      </c>
      <c r="D1124" s="95" t="s">
        <v>950</v>
      </c>
      <c r="E1124" s="103"/>
      <c r="F1124" s="103"/>
      <c r="G1124" s="103"/>
      <c r="H1124" s="342"/>
      <c r="I1124" s="103">
        <v>0</v>
      </c>
      <c r="J1124" s="342">
        <v>0</v>
      </c>
      <c r="K1124" s="345">
        <v>0</v>
      </c>
      <c r="L1124" s="345">
        <v>0</v>
      </c>
      <c r="M1124" s="345">
        <v>0</v>
      </c>
      <c r="N1124" s="345">
        <v>0</v>
      </c>
      <c r="O1124" s="295"/>
      <c r="Q1124" s="346">
        <f t="shared" si="1546"/>
        <v>0</v>
      </c>
      <c r="R1124" s="346">
        <f t="shared" si="1546"/>
        <v>0</v>
      </c>
      <c r="S1124" s="267">
        <v>0</v>
      </c>
      <c r="T1124" s="267">
        <v>0</v>
      </c>
      <c r="V1124" s="267">
        <v>0</v>
      </c>
      <c r="W1124" s="267">
        <v>0</v>
      </c>
      <c r="Y1124" s="267">
        <v>0</v>
      </c>
      <c r="Z1124" s="267">
        <v>0</v>
      </c>
      <c r="AB1124" s="267">
        <v>0</v>
      </c>
      <c r="AC1124" s="267">
        <v>0</v>
      </c>
      <c r="AE1124" s="267">
        <v>0</v>
      </c>
      <c r="AF1124" s="267">
        <v>0</v>
      </c>
      <c r="AH1124" s="267">
        <v>0</v>
      </c>
      <c r="AI1124" s="267">
        <v>0</v>
      </c>
      <c r="AK1124" s="267">
        <v>0</v>
      </c>
      <c r="AL1124" s="267">
        <v>0</v>
      </c>
      <c r="AN1124" s="267">
        <v>0</v>
      </c>
      <c r="AO1124" s="267">
        <v>0</v>
      </c>
      <c r="AQ1124" s="267">
        <v>0</v>
      </c>
      <c r="AR1124" s="267">
        <v>0</v>
      </c>
      <c r="AT1124" s="267">
        <v>0</v>
      </c>
      <c r="AU1124" s="267">
        <v>0</v>
      </c>
      <c r="AW1124" s="267">
        <v>0</v>
      </c>
      <c r="AX1124" s="267">
        <v>0</v>
      </c>
      <c r="AZ1124" s="267">
        <v>0</v>
      </c>
      <c r="BA1124" s="267">
        <v>0</v>
      </c>
      <c r="BC1124" s="267">
        <v>0</v>
      </c>
      <c r="BD1124" s="267">
        <v>0</v>
      </c>
      <c r="BF1124" s="267">
        <v>0</v>
      </c>
      <c r="BG1124" s="267">
        <v>0</v>
      </c>
      <c r="BI1124" s="267">
        <v>0</v>
      </c>
      <c r="BJ1124" s="267">
        <v>0</v>
      </c>
      <c r="BL1124" s="267">
        <v>0</v>
      </c>
      <c r="BM1124" s="267">
        <v>0</v>
      </c>
      <c r="BO1124" s="267">
        <v>0</v>
      </c>
      <c r="BP1124" s="267">
        <v>0</v>
      </c>
      <c r="BR1124" s="267">
        <v>0</v>
      </c>
      <c r="BS1124" s="267">
        <v>0</v>
      </c>
      <c r="BU1124" s="267">
        <v>0</v>
      </c>
      <c r="BV1124" s="267">
        <v>0</v>
      </c>
      <c r="BX1124" s="267">
        <v>0</v>
      </c>
      <c r="BY1124" s="267">
        <v>0</v>
      </c>
      <c r="CA1124" s="267">
        <v>0</v>
      </c>
      <c r="CB1124" s="267">
        <v>0</v>
      </c>
      <c r="CD1124" s="267">
        <v>0</v>
      </c>
      <c r="CE1124" s="267">
        <v>0</v>
      </c>
      <c r="CG1124" s="267">
        <v>0</v>
      </c>
      <c r="CH1124" s="267">
        <v>0</v>
      </c>
      <c r="CJ1124" s="267">
        <v>0</v>
      </c>
      <c r="CK1124" s="267">
        <v>0</v>
      </c>
    </row>
    <row r="1125" spans="1:89" ht="30" x14ac:dyDescent="0.25">
      <c r="A1125" s="95"/>
      <c r="B1125" s="248" t="s">
        <v>1851</v>
      </c>
      <c r="C1125" s="312" t="s">
        <v>2862</v>
      </c>
      <c r="D1125" s="95" t="s">
        <v>950</v>
      </c>
      <c r="E1125" s="103"/>
      <c r="F1125" s="103"/>
      <c r="G1125" s="103"/>
      <c r="H1125" s="342"/>
      <c r="I1125" s="103">
        <v>1</v>
      </c>
      <c r="J1125" s="342">
        <v>1</v>
      </c>
      <c r="K1125" s="345">
        <v>0.5</v>
      </c>
      <c r="L1125" s="345">
        <v>0</v>
      </c>
      <c r="M1125" s="345">
        <v>0</v>
      </c>
      <c r="N1125" s="345">
        <v>0</v>
      </c>
      <c r="O1125" s="295"/>
      <c r="Q1125" s="346">
        <f t="shared" si="1546"/>
        <v>0.5</v>
      </c>
      <c r="R1125" s="346">
        <f t="shared" si="1546"/>
        <v>0.5</v>
      </c>
      <c r="S1125" s="267">
        <v>0</v>
      </c>
      <c r="T1125" s="267">
        <v>0</v>
      </c>
      <c r="V1125" s="267">
        <v>0</v>
      </c>
      <c r="W1125" s="267">
        <v>0</v>
      </c>
      <c r="Y1125" s="267">
        <v>0</v>
      </c>
      <c r="Z1125" s="267">
        <v>0</v>
      </c>
      <c r="AB1125" s="267">
        <v>0</v>
      </c>
      <c r="AC1125" s="267">
        <v>0</v>
      </c>
      <c r="AE1125" s="267">
        <v>0</v>
      </c>
      <c r="AF1125" s="267">
        <v>0</v>
      </c>
      <c r="AH1125" s="267">
        <v>0</v>
      </c>
      <c r="AI1125" s="267">
        <v>0</v>
      </c>
      <c r="AK1125" s="267">
        <v>0</v>
      </c>
      <c r="AL1125" s="267">
        <v>0</v>
      </c>
      <c r="AN1125" s="267">
        <v>0</v>
      </c>
      <c r="AO1125" s="267">
        <v>0</v>
      </c>
      <c r="AQ1125" s="267">
        <v>0</v>
      </c>
      <c r="AR1125" s="267">
        <v>0</v>
      </c>
      <c r="AT1125" s="267">
        <v>0</v>
      </c>
      <c r="AU1125" s="267">
        <v>0</v>
      </c>
      <c r="AW1125" s="267">
        <v>0</v>
      </c>
      <c r="AX1125" s="267">
        <v>0</v>
      </c>
      <c r="AZ1125" s="267">
        <v>0</v>
      </c>
      <c r="BA1125" s="267">
        <v>0</v>
      </c>
      <c r="BC1125" s="267">
        <v>0</v>
      </c>
      <c r="BD1125" s="267">
        <v>0</v>
      </c>
      <c r="BF1125" s="267">
        <v>0.5</v>
      </c>
      <c r="BG1125" s="267">
        <v>0.5</v>
      </c>
      <c r="BI1125" s="267">
        <v>0</v>
      </c>
      <c r="BJ1125" s="267">
        <v>0</v>
      </c>
      <c r="BL1125" s="267">
        <v>0</v>
      </c>
      <c r="BM1125" s="267">
        <v>0</v>
      </c>
      <c r="BO1125" s="267">
        <v>0</v>
      </c>
      <c r="BP1125" s="267">
        <v>0</v>
      </c>
      <c r="BR1125" s="267">
        <v>0</v>
      </c>
      <c r="BS1125" s="267">
        <v>0</v>
      </c>
      <c r="BU1125" s="267">
        <v>0</v>
      </c>
      <c r="BV1125" s="267">
        <v>0</v>
      </c>
      <c r="BX1125" s="267">
        <v>0</v>
      </c>
      <c r="BY1125" s="267">
        <v>0</v>
      </c>
      <c r="CA1125" s="267">
        <v>0</v>
      </c>
      <c r="CB1125" s="267">
        <v>0</v>
      </c>
      <c r="CD1125" s="267">
        <v>0</v>
      </c>
      <c r="CE1125" s="267">
        <v>0</v>
      </c>
      <c r="CG1125" s="267">
        <v>0</v>
      </c>
      <c r="CH1125" s="267">
        <v>0</v>
      </c>
      <c r="CJ1125" s="267">
        <v>0</v>
      </c>
      <c r="CK1125" s="267">
        <v>0</v>
      </c>
    </row>
    <row r="1126" spans="1:89" ht="30" x14ac:dyDescent="0.25">
      <c r="A1126" s="95"/>
      <c r="B1126" s="248" t="s">
        <v>1852</v>
      </c>
      <c r="C1126" s="312" t="s">
        <v>2863</v>
      </c>
      <c r="D1126" s="95" t="s">
        <v>950</v>
      </c>
      <c r="E1126" s="103"/>
      <c r="F1126" s="103"/>
      <c r="G1126" s="103"/>
      <c r="H1126" s="342"/>
      <c r="I1126" s="103">
        <v>0</v>
      </c>
      <c r="J1126" s="342">
        <v>0</v>
      </c>
      <c r="K1126" s="345">
        <v>0</v>
      </c>
      <c r="L1126" s="345">
        <v>0</v>
      </c>
      <c r="M1126" s="345">
        <v>0</v>
      </c>
      <c r="N1126" s="345">
        <v>0</v>
      </c>
      <c r="O1126" s="295"/>
      <c r="Q1126" s="346">
        <f t="shared" si="1546"/>
        <v>0</v>
      </c>
      <c r="R1126" s="346">
        <f t="shared" si="1546"/>
        <v>0</v>
      </c>
      <c r="S1126" s="267">
        <v>0</v>
      </c>
      <c r="T1126" s="267">
        <v>0</v>
      </c>
      <c r="V1126" s="267">
        <v>0</v>
      </c>
      <c r="W1126" s="267">
        <v>0</v>
      </c>
      <c r="Y1126" s="267">
        <v>0</v>
      </c>
      <c r="Z1126" s="267">
        <v>0</v>
      </c>
      <c r="AB1126" s="267">
        <v>0</v>
      </c>
      <c r="AC1126" s="267">
        <v>0</v>
      </c>
      <c r="AE1126" s="267">
        <v>0</v>
      </c>
      <c r="AF1126" s="267">
        <v>0</v>
      </c>
      <c r="AH1126" s="267">
        <v>0</v>
      </c>
      <c r="AI1126" s="267">
        <v>0</v>
      </c>
      <c r="AK1126" s="267">
        <v>0</v>
      </c>
      <c r="AL1126" s="267">
        <v>0</v>
      </c>
      <c r="AN1126" s="267">
        <v>0</v>
      </c>
      <c r="AO1126" s="267">
        <v>0</v>
      </c>
      <c r="AQ1126" s="267">
        <v>0</v>
      </c>
      <c r="AR1126" s="267">
        <v>0</v>
      </c>
      <c r="AT1126" s="267">
        <v>0</v>
      </c>
      <c r="AU1126" s="267">
        <v>0</v>
      </c>
      <c r="AW1126" s="267">
        <v>0</v>
      </c>
      <c r="AX1126" s="267">
        <v>0</v>
      </c>
      <c r="AZ1126" s="267">
        <v>0</v>
      </c>
      <c r="BA1126" s="267">
        <v>0</v>
      </c>
      <c r="BC1126" s="267">
        <v>0</v>
      </c>
      <c r="BD1126" s="267">
        <v>0</v>
      </c>
      <c r="BF1126" s="267">
        <v>0</v>
      </c>
      <c r="BG1126" s="267">
        <v>0</v>
      </c>
      <c r="BI1126" s="267">
        <v>0</v>
      </c>
      <c r="BJ1126" s="267">
        <v>0</v>
      </c>
      <c r="BL1126" s="267">
        <v>0</v>
      </c>
      <c r="BM1126" s="267">
        <v>0</v>
      </c>
      <c r="BO1126" s="267">
        <v>0</v>
      </c>
      <c r="BP1126" s="267">
        <v>0</v>
      </c>
      <c r="BR1126" s="267">
        <v>0</v>
      </c>
      <c r="BS1126" s="267">
        <v>0</v>
      </c>
      <c r="BU1126" s="267">
        <v>0</v>
      </c>
      <c r="BV1126" s="267">
        <v>0</v>
      </c>
      <c r="BX1126" s="267">
        <v>0</v>
      </c>
      <c r="BY1126" s="267">
        <v>0</v>
      </c>
      <c r="CA1126" s="267">
        <v>0</v>
      </c>
      <c r="CB1126" s="267">
        <v>0</v>
      </c>
      <c r="CD1126" s="267">
        <v>0</v>
      </c>
      <c r="CE1126" s="267">
        <v>0</v>
      </c>
      <c r="CG1126" s="267">
        <v>0</v>
      </c>
      <c r="CH1126" s="267">
        <v>0</v>
      </c>
      <c r="CJ1126" s="267">
        <v>0</v>
      </c>
      <c r="CK1126" s="267">
        <v>0</v>
      </c>
    </row>
    <row r="1127" spans="1:89" ht="30" x14ac:dyDescent="0.25">
      <c r="A1127" s="95" t="s">
        <v>2535</v>
      </c>
      <c r="B1127" s="96" t="s">
        <v>2536</v>
      </c>
      <c r="C1127" s="95"/>
      <c r="D1127" s="95"/>
      <c r="E1127" s="103"/>
      <c r="F1127" s="103"/>
      <c r="G1127" s="103"/>
      <c r="H1127" s="342"/>
      <c r="I1127" s="342"/>
      <c r="J1127" s="342"/>
      <c r="K1127" s="342"/>
      <c r="L1127" s="342"/>
      <c r="M1127" s="342"/>
      <c r="N1127" s="342"/>
      <c r="O1127" s="295"/>
    </row>
    <row r="1128" spans="1:89" x14ac:dyDescent="0.25">
      <c r="A1128" s="95"/>
      <c r="B1128" s="96" t="s">
        <v>1182</v>
      </c>
      <c r="C1128" s="95"/>
      <c r="D1128" s="95"/>
      <c r="E1128" s="103"/>
      <c r="F1128" s="103"/>
      <c r="G1128" s="103"/>
      <c r="H1128" s="342"/>
      <c r="I1128" s="342"/>
      <c r="J1128" s="342"/>
      <c r="K1128" s="342"/>
      <c r="L1128" s="342"/>
      <c r="M1128" s="342"/>
      <c r="N1128" s="342"/>
      <c r="O1128" s="295"/>
    </row>
    <row r="1129" spans="1:89" x14ac:dyDescent="0.25">
      <c r="A1129" s="95"/>
      <c r="B1129" s="96" t="s">
        <v>1692</v>
      </c>
      <c r="C1129" s="95"/>
      <c r="D1129" s="95" t="s">
        <v>8</v>
      </c>
      <c r="E1129" s="103"/>
      <c r="F1129" s="103"/>
      <c r="G1129" s="103"/>
      <c r="H1129" s="342"/>
      <c r="I1129" s="342">
        <f t="shared" ref="I1129:I1137" si="1547">I1153/$I$1164*100</f>
        <v>1.0045130295530644</v>
      </c>
      <c r="J1129" s="342">
        <f t="shared" ref="J1129:J1136" si="1548">J1153/$J$1164*100</f>
        <v>0.65558417232498245</v>
      </c>
      <c r="K1129" s="342">
        <f t="shared" ref="K1129:K1136" si="1549">K1153/$K$1164*100</f>
        <v>0.50751116524563544</v>
      </c>
      <c r="L1129" s="342">
        <f t="shared" ref="L1129:L1136" si="1550">L1153/$L$1164*100</f>
        <v>0</v>
      </c>
      <c r="M1129" s="342">
        <f t="shared" ref="M1129:N1136" si="1551">M1153/$M$1164*100</f>
        <v>0</v>
      </c>
      <c r="N1129" s="342">
        <f t="shared" si="1551"/>
        <v>0</v>
      </c>
      <c r="O1129" s="295"/>
      <c r="Q1129" s="342">
        <f>Q1153/Q1164*100</f>
        <v>0.50751116524563544</v>
      </c>
      <c r="R1129" s="342">
        <f>R1153/R1164*100</f>
        <v>0.54075705988383738</v>
      </c>
      <c r="S1129" s="342">
        <f>S1153/S1164*100</f>
        <v>0</v>
      </c>
      <c r="T1129" s="342">
        <f>T1153/T1164*100</f>
        <v>0</v>
      </c>
      <c r="V1129" s="342">
        <f>V1153/V1164*100</f>
        <v>0</v>
      </c>
      <c r="W1129" s="342">
        <f>W1153/W1164*100</f>
        <v>0</v>
      </c>
      <c r="Y1129" s="342">
        <f>Y1153/Y1164*100</f>
        <v>0</v>
      </c>
      <c r="Z1129" s="342">
        <f>Z1153/Z1164*100</f>
        <v>0</v>
      </c>
      <c r="AB1129" s="342">
        <f>AB1153/AB1164*100</f>
        <v>0</v>
      </c>
      <c r="AC1129" s="342">
        <f>AC1153/AC1164*100</f>
        <v>0</v>
      </c>
      <c r="AE1129" s="342">
        <f>AE1153/AE1164*100</f>
        <v>0</v>
      </c>
      <c r="AF1129" s="342">
        <f>AF1153/AF1164*100</f>
        <v>0</v>
      </c>
      <c r="AH1129" s="342">
        <f>AH1153/AH1164*100</f>
        <v>0</v>
      </c>
      <c r="AI1129" s="342">
        <f>AI1153/AI1164*100</f>
        <v>0</v>
      </c>
      <c r="AK1129" s="342">
        <f>AK1153/AK1164*100</f>
        <v>0.24330900243309003</v>
      </c>
      <c r="AL1129" s="342">
        <f>AL1153/AL1164*100</f>
        <v>0.24937655860349126</v>
      </c>
      <c r="AN1129" s="342">
        <f>AN1153/AN1164*100</f>
        <v>0</v>
      </c>
      <c r="AO1129" s="342">
        <f>AO1153/AO1164*100</f>
        <v>0</v>
      </c>
      <c r="AQ1129" s="342">
        <f>AQ1153/AQ1164*100</f>
        <v>0</v>
      </c>
      <c r="AR1129" s="342">
        <f>AR1153/AR1164*100</f>
        <v>0</v>
      </c>
      <c r="AT1129" s="342">
        <f>AT1153/AT1164*100</f>
        <v>0</v>
      </c>
      <c r="AU1129" s="342">
        <f>AU1153/AU1164*100</f>
        <v>0</v>
      </c>
      <c r="AW1129" s="342">
        <f>AW1153/AW1164*100</f>
        <v>0</v>
      </c>
      <c r="AX1129" s="342">
        <f>AX1153/AX1164*100</f>
        <v>0</v>
      </c>
      <c r="AZ1129" s="342">
        <f>AZ1153/AZ1164*100</f>
        <v>0</v>
      </c>
      <c r="BA1129" s="342">
        <f>BA1153/BA1164*100</f>
        <v>0</v>
      </c>
      <c r="BC1129" s="342">
        <f>BC1153/BC1164*100</f>
        <v>0.33112582781456956</v>
      </c>
      <c r="BD1129" s="342">
        <f>BD1153/BD1164*100</f>
        <v>0.35842293906810035</v>
      </c>
      <c r="BF1129" s="342">
        <f>BF1153/BF1164*100</f>
        <v>0</v>
      </c>
      <c r="BG1129" s="342">
        <f>BG1153/BG1164*100</f>
        <v>0</v>
      </c>
      <c r="BI1129" s="342">
        <f>BI1153/BI1164*100</f>
        <v>0.74037512339585387</v>
      </c>
      <c r="BJ1129" s="342">
        <f>BJ1153/BJ1164*100</f>
        <v>0.83333333333333337</v>
      </c>
      <c r="BL1129" s="342">
        <f>BL1153/BL1164*100</f>
        <v>0</v>
      </c>
      <c r="BM1129" s="342">
        <f>BM1153/BM1164*100</f>
        <v>0</v>
      </c>
      <c r="BO1129" s="342">
        <f>BO1153/BO1164*100</f>
        <v>0</v>
      </c>
      <c r="BP1129" s="342">
        <f>BP1153/BP1164*100</f>
        <v>0</v>
      </c>
      <c r="BR1129" s="342">
        <f>BR1153/BR1164*100</f>
        <v>2.0408163265306123</v>
      </c>
      <c r="BS1129" s="342">
        <f>BS1153/BS1164*100</f>
        <v>4.2553191489361701</v>
      </c>
      <c r="BU1129" s="342">
        <f>BU1153/BU1164*100</f>
        <v>0</v>
      </c>
      <c r="BV1129" s="342">
        <f>BV1153/BV1164*100</f>
        <v>0</v>
      </c>
      <c r="BX1129" s="342">
        <f>BX1153/BX1164*100</f>
        <v>0</v>
      </c>
      <c r="BY1129" s="342">
        <f>BY1153/BY1164*100</f>
        <v>0</v>
      </c>
      <c r="CA1129" s="342">
        <f>CA1153/CA1164*100</f>
        <v>0</v>
      </c>
      <c r="CB1129" s="342">
        <f>CB1153/CB1164*100</f>
        <v>0</v>
      </c>
      <c r="CD1129" s="342">
        <f>CD1153/CD1164*100</f>
        <v>0</v>
      </c>
      <c r="CE1129" s="342">
        <f>CE1153/CE1164*100</f>
        <v>0</v>
      </c>
      <c r="CG1129" s="342">
        <f>CG1153/CG1164*100</f>
        <v>1.2588512981904012</v>
      </c>
      <c r="CH1129" s="342">
        <f>CH1153/CH1164*100</f>
        <v>1.3370035391270154</v>
      </c>
      <c r="CJ1129" s="342" t="e">
        <f>CJ1153/CJ1164*100</f>
        <v>#DIV/0!</v>
      </c>
      <c r="CK1129" s="342" t="e">
        <f>CK1153/CK1164*100</f>
        <v>#DIV/0!</v>
      </c>
    </row>
    <row r="1130" spans="1:89" x14ac:dyDescent="0.25">
      <c r="A1130" s="95"/>
      <c r="B1130" s="96" t="s">
        <v>1693</v>
      </c>
      <c r="C1130" s="95"/>
      <c r="D1130" s="95" t="s">
        <v>8</v>
      </c>
      <c r="E1130" s="103"/>
      <c r="F1130" s="103"/>
      <c r="G1130" s="103"/>
      <c r="H1130" s="342"/>
      <c r="I1130" s="342">
        <f t="shared" si="1547"/>
        <v>1.3975833454651332</v>
      </c>
      <c r="J1130" s="342">
        <f t="shared" si="1548"/>
        <v>1.5921329899321002</v>
      </c>
      <c r="K1130" s="342">
        <f t="shared" si="1549"/>
        <v>1.4920828258221681</v>
      </c>
      <c r="L1130" s="342">
        <f t="shared" si="1550"/>
        <v>1.3215859030837005</v>
      </c>
      <c r="M1130" s="342">
        <f t="shared" si="1551"/>
        <v>1.1673151750972763</v>
      </c>
      <c r="N1130" s="342">
        <f t="shared" si="1551"/>
        <v>1.1673151750972763</v>
      </c>
      <c r="O1130" s="295"/>
      <c r="Q1130" s="342">
        <f>Q1154/Q1164*100</f>
        <v>1.4920828258221681</v>
      </c>
      <c r="R1130" s="342">
        <f>R1154/R1164*100</f>
        <v>1.4920889244942921</v>
      </c>
      <c r="S1130" s="342">
        <f>S1154/S1164*100</f>
        <v>3.3057851239669422</v>
      </c>
      <c r="T1130" s="342">
        <f>T1154/T1164*100</f>
        <v>3.7878787878787881</v>
      </c>
      <c r="V1130" s="342">
        <f>V1154/V1164*100</f>
        <v>0</v>
      </c>
      <c r="W1130" s="342">
        <f>W1154/W1164*100</f>
        <v>0</v>
      </c>
      <c r="Y1130" s="342">
        <f>Y1154/Y1164*100</f>
        <v>0.49627791563275436</v>
      </c>
      <c r="Z1130" s="342">
        <f>Z1154/Z1164*100</f>
        <v>0.96385542168674709</v>
      </c>
      <c r="AB1130" s="342">
        <f>AB1154/AB1164*100</f>
        <v>1.2244897959183674</v>
      </c>
      <c r="AC1130" s="342">
        <f>AC1154/AC1164*100</f>
        <v>0.83682008368200833</v>
      </c>
      <c r="AE1130" s="342">
        <f>AE1154/AE1164*100</f>
        <v>0.46082949308755761</v>
      </c>
      <c r="AF1130" s="342">
        <f>AF1154/AF1164*100</f>
        <v>0</v>
      </c>
      <c r="AH1130" s="342">
        <f>AH1154/AH1164*100</f>
        <v>1.6666666666666667</v>
      </c>
      <c r="AI1130" s="342">
        <f>AI1154/AI1164*100</f>
        <v>1.3215859030837005</v>
      </c>
      <c r="AK1130" s="342">
        <f>AK1154/AK1164*100</f>
        <v>0.24330900243309003</v>
      </c>
      <c r="AL1130" s="342">
        <f>AL1154/AL1164*100</f>
        <v>0.49875311720698251</v>
      </c>
      <c r="AN1130" s="342">
        <f>AN1154/AN1164*100</f>
        <v>1.2032085561497325</v>
      </c>
      <c r="AO1130" s="342">
        <f>AO1154/AO1164*100</f>
        <v>0.94086021505376349</v>
      </c>
      <c r="AQ1130" s="342">
        <f>AQ1154/AQ1164*100</f>
        <v>0</v>
      </c>
      <c r="AR1130" s="342">
        <f>AR1154/AR1164*100</f>
        <v>0.68027210884353739</v>
      </c>
      <c r="AT1130" s="342">
        <f>AT1154/AT1164*100</f>
        <v>1.066350710900474</v>
      </c>
      <c r="AU1130" s="342">
        <f>AU1154/AU1164*100</f>
        <v>1.1990407673860912</v>
      </c>
      <c r="AW1130" s="342">
        <f>AW1154/AW1164*100</f>
        <v>3.125</v>
      </c>
      <c r="AX1130" s="342">
        <f>AX1154/AX1164*100</f>
        <v>2.6086956521739131</v>
      </c>
      <c r="AZ1130" s="342">
        <f>AZ1154/AZ1164*100</f>
        <v>1</v>
      </c>
      <c r="BA1130" s="342">
        <f>BA1154/BA1164*100</f>
        <v>0.85470085470085477</v>
      </c>
      <c r="BC1130" s="342">
        <f>BC1154/BC1164*100</f>
        <v>5.9602649006622519</v>
      </c>
      <c r="BD1130" s="342">
        <f>BD1154/BD1164*100</f>
        <v>6.8100358422939076</v>
      </c>
      <c r="BF1130" s="342">
        <f>BF1154/BF1164*100</f>
        <v>2.807017543859649</v>
      </c>
      <c r="BG1130" s="342">
        <f>BG1154/BG1164*100</f>
        <v>2.43161094224924</v>
      </c>
      <c r="BI1130" s="342">
        <f>BI1154/BI1164*100</f>
        <v>0.4935834155972359</v>
      </c>
      <c r="BJ1130" s="342">
        <f>BJ1154/BJ1164*100</f>
        <v>0.52083333333333326</v>
      </c>
      <c r="BL1130" s="342">
        <f>BL1154/BL1164*100</f>
        <v>0</v>
      </c>
      <c r="BM1130" s="342">
        <f>BM1154/BM1164*100</f>
        <v>12.5</v>
      </c>
      <c r="BO1130" s="342">
        <f>BO1154/BO1164*100</f>
        <v>1.257861635220126</v>
      </c>
      <c r="BP1130" s="342">
        <f>BP1154/BP1164*100</f>
        <v>0.43668122270742354</v>
      </c>
      <c r="BR1130" s="342">
        <f>BR1154/BR1164*100</f>
        <v>4.0816326530612246</v>
      </c>
      <c r="BS1130" s="342">
        <f>BS1154/BS1164*100</f>
        <v>2.1276595744680851</v>
      </c>
      <c r="BU1130" s="342">
        <f>BU1154/BU1164*100</f>
        <v>0</v>
      </c>
      <c r="BV1130" s="342">
        <f>BV1154/BV1164*100</f>
        <v>0</v>
      </c>
      <c r="BX1130" s="342">
        <f>BX1154/BX1164*100</f>
        <v>4</v>
      </c>
      <c r="BY1130" s="342">
        <f>BY1154/BY1164*100</f>
        <v>5</v>
      </c>
      <c r="CA1130" s="342">
        <f>CA1154/CA1164*100</f>
        <v>1.9607843137254901</v>
      </c>
      <c r="CB1130" s="342">
        <f>CB1154/CB1164*100</f>
        <v>3.4482758620689653</v>
      </c>
      <c r="CD1130" s="342">
        <f>CD1154/CD1164*100</f>
        <v>1.0416666666666665</v>
      </c>
      <c r="CE1130" s="342">
        <f>CE1154/CE1164*100</f>
        <v>2.666666666666667</v>
      </c>
      <c r="CG1130" s="342">
        <f>CG1154/CG1164*100</f>
        <v>2.3210070810385521</v>
      </c>
      <c r="CH1130" s="342">
        <f>CH1154/CH1164*100</f>
        <v>2.0841525756979942</v>
      </c>
      <c r="CJ1130" s="342" t="e">
        <f>CJ1154/CJ1164*100</f>
        <v>#DIV/0!</v>
      </c>
      <c r="CK1130" s="342" t="e">
        <f>CK1154/CK1164*100</f>
        <v>#DIV/0!</v>
      </c>
    </row>
    <row r="1131" spans="1:89" x14ac:dyDescent="0.25">
      <c r="A1131" s="95"/>
      <c r="B1131" s="96" t="s">
        <v>1694</v>
      </c>
      <c r="C1131" s="95"/>
      <c r="D1131" s="95" t="s">
        <v>8</v>
      </c>
      <c r="E1131" s="103"/>
      <c r="F1131" s="103"/>
      <c r="G1131" s="103"/>
      <c r="H1131" s="342"/>
      <c r="I1131" s="342">
        <f t="shared" si="1547"/>
        <v>0.3493958363662833</v>
      </c>
      <c r="J1131" s="342">
        <f t="shared" si="1548"/>
        <v>0.28096464528213533</v>
      </c>
      <c r="K1131" s="342">
        <f t="shared" si="1549"/>
        <v>0.25375558262281772</v>
      </c>
      <c r="L1131" s="342">
        <f t="shared" si="1550"/>
        <v>0.44052863436123352</v>
      </c>
      <c r="M1131" s="342">
        <f t="shared" si="1551"/>
        <v>0.38910505836575876</v>
      </c>
      <c r="N1131" s="342">
        <f t="shared" si="1551"/>
        <v>0.38910505836575876</v>
      </c>
      <c r="O1131" s="295"/>
      <c r="Q1131" s="342">
        <f>Q1155/Q1164*100</f>
        <v>0.25375558262281772</v>
      </c>
      <c r="R1131" s="342">
        <f>R1155/R1164*100</f>
        <v>0.22030843180452633</v>
      </c>
      <c r="S1131" s="342">
        <f>S1155/S1164*100</f>
        <v>0</v>
      </c>
      <c r="T1131" s="342">
        <f>T1155/T1164*100</f>
        <v>0</v>
      </c>
      <c r="V1131" s="342">
        <f>V1155/V1164*100</f>
        <v>0</v>
      </c>
      <c r="W1131" s="342">
        <f>W1155/W1164*100</f>
        <v>0</v>
      </c>
      <c r="Y1131" s="342">
        <f>Y1155/Y1164*100</f>
        <v>0.24813895781637718</v>
      </c>
      <c r="Z1131" s="342">
        <f>Z1155/Z1164*100</f>
        <v>0.24096385542168677</v>
      </c>
      <c r="AB1131" s="342">
        <f>AB1155/AB1164*100</f>
        <v>0</v>
      </c>
      <c r="AC1131" s="342">
        <f>AC1155/AC1164*100</f>
        <v>0</v>
      </c>
      <c r="AE1131" s="342">
        <f>AE1155/AE1164*100</f>
        <v>0</v>
      </c>
      <c r="AF1131" s="342">
        <f>AF1155/AF1164*100</f>
        <v>0</v>
      </c>
      <c r="AH1131" s="342">
        <f>AH1155/AH1164*100</f>
        <v>0.41666666666666669</v>
      </c>
      <c r="AI1131" s="342">
        <f>AI1155/AI1164*100</f>
        <v>0.44052863436123352</v>
      </c>
      <c r="AK1131" s="342">
        <f>AK1155/AK1164*100</f>
        <v>0.24330900243309003</v>
      </c>
      <c r="AL1131" s="342">
        <f>AL1155/AL1164*100</f>
        <v>0.24937655860349126</v>
      </c>
      <c r="AN1131" s="342">
        <f>AN1155/AN1164*100</f>
        <v>0</v>
      </c>
      <c r="AO1131" s="342">
        <f>AO1155/AO1164*100</f>
        <v>0</v>
      </c>
      <c r="AQ1131" s="342">
        <f>AQ1155/AQ1164*100</f>
        <v>0</v>
      </c>
      <c r="AR1131" s="342">
        <f>AR1155/AR1164*100</f>
        <v>0</v>
      </c>
      <c r="AT1131" s="342">
        <f>AT1155/AT1164*100</f>
        <v>0</v>
      </c>
      <c r="AU1131" s="342">
        <f>AU1155/AU1164*100</f>
        <v>0</v>
      </c>
      <c r="AW1131" s="342">
        <f>AW1155/AW1164*100</f>
        <v>0</v>
      </c>
      <c r="AX1131" s="342">
        <f>AX1155/AX1164*100</f>
        <v>0</v>
      </c>
      <c r="AZ1131" s="342">
        <f>AZ1155/AZ1164*100</f>
        <v>0</v>
      </c>
      <c r="BA1131" s="342">
        <f>BA1155/BA1164*100</f>
        <v>0</v>
      </c>
      <c r="BC1131" s="342">
        <f>BC1155/BC1164*100</f>
        <v>2.6490066225165565</v>
      </c>
      <c r="BD1131" s="342">
        <f>BD1155/BD1164*100</f>
        <v>2.5089605734767026</v>
      </c>
      <c r="BF1131" s="342">
        <f>BF1155/BF1164*100</f>
        <v>0</v>
      </c>
      <c r="BG1131" s="342">
        <f>BG1155/BG1164*100</f>
        <v>0</v>
      </c>
      <c r="BI1131" s="342">
        <f>BI1155/BI1164*100</f>
        <v>4.9358341559723587E-2</v>
      </c>
      <c r="BJ1131" s="342">
        <f>BJ1155/BJ1164*100</f>
        <v>0.10416666666666667</v>
      </c>
      <c r="BL1131" s="342">
        <f>BL1155/BL1164*100</f>
        <v>0</v>
      </c>
      <c r="BM1131" s="342">
        <f>BM1155/BM1164*100</f>
        <v>0</v>
      </c>
      <c r="BO1131" s="342">
        <f>BO1155/BO1164*100</f>
        <v>0</v>
      </c>
      <c r="BP1131" s="342">
        <f>BP1155/BP1164*100</f>
        <v>0</v>
      </c>
      <c r="BR1131" s="342">
        <f>BR1155/BR1164*100</f>
        <v>0</v>
      </c>
      <c r="BS1131" s="342">
        <f>BS1155/BS1164*100</f>
        <v>2.1276595744680851</v>
      </c>
      <c r="BU1131" s="342">
        <f>BU1155/BU1164*100</f>
        <v>0</v>
      </c>
      <c r="BV1131" s="342">
        <f>BV1155/BV1164*100</f>
        <v>0</v>
      </c>
      <c r="BX1131" s="342">
        <f>BX1155/BX1164*100</f>
        <v>2</v>
      </c>
      <c r="BY1131" s="342">
        <f>BY1155/BY1164*100</f>
        <v>0</v>
      </c>
      <c r="CA1131" s="342">
        <f>CA1155/CA1164*100</f>
        <v>0</v>
      </c>
      <c r="CB1131" s="342">
        <f>CB1155/CB1164*100</f>
        <v>0</v>
      </c>
      <c r="CD1131" s="342">
        <f>CD1155/CD1164*100</f>
        <v>2.083333333333333</v>
      </c>
      <c r="CE1131" s="342">
        <f>CE1155/CE1164*100</f>
        <v>0</v>
      </c>
      <c r="CG1131" s="342">
        <f>CG1155/CG1164*100</f>
        <v>0.39339103068450038</v>
      </c>
      <c r="CH1131" s="342">
        <f>CH1155/CH1164*100</f>
        <v>0.3539127015336217</v>
      </c>
      <c r="CJ1131" s="342" t="e">
        <f>CJ1155/CJ1164*100</f>
        <v>#DIV/0!</v>
      </c>
      <c r="CK1131" s="342" t="e">
        <f>CK1155/CK1164*100</f>
        <v>#DIV/0!</v>
      </c>
    </row>
    <row r="1132" spans="1:89" x14ac:dyDescent="0.25">
      <c r="A1132" s="95"/>
      <c r="B1132" s="96" t="s">
        <v>1695</v>
      </c>
      <c r="C1132" s="95"/>
      <c r="D1132" s="95" t="s">
        <v>8</v>
      </c>
      <c r="E1132" s="103"/>
      <c r="F1132" s="103"/>
      <c r="G1132" s="103"/>
      <c r="H1132" s="342"/>
      <c r="I1132" s="342">
        <f t="shared" si="1547"/>
        <v>1.6741883825884409</v>
      </c>
      <c r="J1132" s="342">
        <f t="shared" si="1548"/>
        <v>1.8730976352142357</v>
      </c>
      <c r="K1132" s="342">
        <f t="shared" si="1549"/>
        <v>2.0401948842874544</v>
      </c>
      <c r="L1132" s="342">
        <f t="shared" si="1550"/>
        <v>4.4052863436123353</v>
      </c>
      <c r="M1132" s="342">
        <f t="shared" si="1551"/>
        <v>3.1128404669260701</v>
      </c>
      <c r="N1132" s="342">
        <f t="shared" si="1551"/>
        <v>2.7237354085603114</v>
      </c>
      <c r="O1132" s="295"/>
      <c r="Q1132" s="342">
        <f>Q1156/Q1164*100</f>
        <v>2.0401948842874544</v>
      </c>
      <c r="R1132" s="342">
        <f>R1156/R1164*100</f>
        <v>1.982775886240737</v>
      </c>
      <c r="S1132" s="342">
        <f>S1156/S1164*100</f>
        <v>4.1322314049586781</v>
      </c>
      <c r="T1132" s="342">
        <f>T1156/T1164*100</f>
        <v>3.7878787878787881</v>
      </c>
      <c r="V1132" s="342">
        <f>V1156/V1164*100</f>
        <v>1.3888888888888888</v>
      </c>
      <c r="W1132" s="342">
        <f>W1156/W1164*100</f>
        <v>2.2727272727272729</v>
      </c>
      <c r="Y1132" s="342">
        <f>Y1156/Y1164*100</f>
        <v>1.9851116625310175</v>
      </c>
      <c r="Z1132" s="342">
        <f>Z1156/Z1164*100</f>
        <v>1.9277108433734942</v>
      </c>
      <c r="AB1132" s="342">
        <f>AB1156/AB1164*100</f>
        <v>1.6326530612244898</v>
      </c>
      <c r="AC1132" s="342">
        <f>AC1156/AC1164*100</f>
        <v>1.2552301255230125</v>
      </c>
      <c r="AE1132" s="342">
        <f>AE1156/AE1164*100</f>
        <v>0.92165898617511521</v>
      </c>
      <c r="AF1132" s="342">
        <f>AF1156/AF1164*100</f>
        <v>0.89285714285714279</v>
      </c>
      <c r="AH1132" s="342">
        <f>AH1156/AH1164*100</f>
        <v>3.3333333333333335</v>
      </c>
      <c r="AI1132" s="342">
        <f>AI1156/AI1164*100</f>
        <v>4.4052863436123353</v>
      </c>
      <c r="AK1132" s="342">
        <f>AK1156/AK1164*100</f>
        <v>1.4598540145985401</v>
      </c>
      <c r="AL1132" s="342">
        <f>AL1156/AL1164*100</f>
        <v>1.2468827930174564</v>
      </c>
      <c r="AN1132" s="342">
        <f>AN1156/AN1164*100</f>
        <v>1.8716577540106951</v>
      </c>
      <c r="AO1132" s="342">
        <f>AO1156/AO1164*100</f>
        <v>1.6129032258064515</v>
      </c>
      <c r="AQ1132" s="342">
        <f>AQ1156/AQ1164*100</f>
        <v>0</v>
      </c>
      <c r="AR1132" s="342">
        <f>AR1156/AR1164*100</f>
        <v>0.3401360544217687</v>
      </c>
      <c r="AT1132" s="342">
        <f>AT1156/AT1164*100</f>
        <v>2.4881516587677726</v>
      </c>
      <c r="AU1132" s="342">
        <f>AU1156/AU1164*100</f>
        <v>2.3980815347721824</v>
      </c>
      <c r="AW1132" s="342">
        <f>AW1156/AW1164*100</f>
        <v>0.52083333333333326</v>
      </c>
      <c r="AX1132" s="342">
        <f>AX1156/AX1164*100</f>
        <v>0.43478260869565216</v>
      </c>
      <c r="AZ1132" s="342">
        <f>AZ1156/AZ1164*100</f>
        <v>2.5</v>
      </c>
      <c r="BA1132" s="342">
        <f>BA1156/BA1164*100</f>
        <v>1.2820512820512819</v>
      </c>
      <c r="BC1132" s="342">
        <f>BC1156/BC1164*100</f>
        <v>0.66225165562913912</v>
      </c>
      <c r="BD1132" s="342">
        <f>BD1156/BD1164*100</f>
        <v>0.35842293906810035</v>
      </c>
      <c r="BF1132" s="342">
        <f>BF1156/BF1164*100</f>
        <v>6.666666666666667</v>
      </c>
      <c r="BG1132" s="342">
        <f>BG1156/BG1164*100</f>
        <v>6.9908814589665651</v>
      </c>
      <c r="BI1132" s="342">
        <f>BI1156/BI1164*100</f>
        <v>3.6525172754195459</v>
      </c>
      <c r="BJ1132" s="342">
        <f>BJ1156/BJ1164*100</f>
        <v>3.802083333333333</v>
      </c>
      <c r="BL1132" s="342">
        <f>BL1156/BL1164*100</f>
        <v>0</v>
      </c>
      <c r="BM1132" s="342">
        <f>BM1156/BM1164*100</f>
        <v>0</v>
      </c>
      <c r="BO1132" s="342">
        <f>BO1156/BO1164*100</f>
        <v>0.62893081761006298</v>
      </c>
      <c r="BP1132" s="342">
        <f>BP1156/BP1164*100</f>
        <v>0.43668122270742354</v>
      </c>
      <c r="BR1132" s="342">
        <f>BR1156/BR1164*100</f>
        <v>14.285714285714285</v>
      </c>
      <c r="BS1132" s="342">
        <f>BS1156/BS1164*100</f>
        <v>14.893617021276595</v>
      </c>
      <c r="BU1132" s="342">
        <f>BU1156/BU1164*100</f>
        <v>0</v>
      </c>
      <c r="BV1132" s="342">
        <f>BV1156/BV1164*100</f>
        <v>0</v>
      </c>
      <c r="BX1132" s="342">
        <f>BX1156/BX1164*100</f>
        <v>8</v>
      </c>
      <c r="BY1132" s="342">
        <f>BY1156/BY1164*100</f>
        <v>6.666666666666667</v>
      </c>
      <c r="CA1132" s="342">
        <f>CA1156/CA1164*100</f>
        <v>2.4509803921568629</v>
      </c>
      <c r="CB1132" s="342">
        <f>CB1156/CB1164*100</f>
        <v>1.7241379310344827</v>
      </c>
      <c r="CD1132" s="342">
        <f>CD1156/CD1164*100</f>
        <v>4.1666666666666661</v>
      </c>
      <c r="CE1132" s="342">
        <f>CE1156/CE1164*100</f>
        <v>3.3333333333333335</v>
      </c>
      <c r="CG1132" s="342">
        <f>CG1156/CG1164*100</f>
        <v>0.39339103068450038</v>
      </c>
      <c r="CH1132" s="342">
        <f>CH1156/CH1164*100</f>
        <v>0.3539127015336217</v>
      </c>
      <c r="CJ1132" s="342" t="e">
        <f>CJ1156/CJ1164*100</f>
        <v>#DIV/0!</v>
      </c>
      <c r="CK1132" s="342" t="e">
        <f>CK1156/CK1164*100</f>
        <v>#DIV/0!</v>
      </c>
    </row>
    <row r="1133" spans="1:89" x14ac:dyDescent="0.25">
      <c r="A1133" s="95"/>
      <c r="B1133" s="96" t="s">
        <v>1696</v>
      </c>
      <c r="C1133" s="95"/>
      <c r="D1133" s="95" t="s">
        <v>8</v>
      </c>
      <c r="E1133" s="103"/>
      <c r="F1133" s="103"/>
      <c r="G1133" s="103"/>
      <c r="H1133" s="342"/>
      <c r="I1133" s="342">
        <f t="shared" si="1547"/>
        <v>10.321735332653953</v>
      </c>
      <c r="J1133" s="342">
        <f t="shared" si="1548"/>
        <v>14.797471318192459</v>
      </c>
      <c r="K1133" s="342">
        <f t="shared" si="1549"/>
        <v>15.966301258627691</v>
      </c>
      <c r="L1133" s="342">
        <f t="shared" si="1550"/>
        <v>29.515418502202646</v>
      </c>
      <c r="M1133" s="342">
        <f t="shared" si="1551"/>
        <v>31.1284046692607</v>
      </c>
      <c r="N1133" s="342">
        <f t="shared" si="1551"/>
        <v>37.354085603112843</v>
      </c>
      <c r="O1133" s="295"/>
      <c r="Q1133" s="342">
        <f>Q1157/Q1164*100</f>
        <v>15.966301258627691</v>
      </c>
      <c r="R1133" s="342">
        <f>R1157/R1164*100</f>
        <v>14.900861205687962</v>
      </c>
      <c r="S1133" s="342">
        <f>S1157/S1164*100</f>
        <v>5.785123966942149</v>
      </c>
      <c r="T1133" s="342">
        <f>T1157/T1164*100</f>
        <v>5.3030303030303028</v>
      </c>
      <c r="V1133" s="342">
        <f>V1157/V1164*100</f>
        <v>8.3333333333333321</v>
      </c>
      <c r="W1133" s="342">
        <f>W1157/W1164*100</f>
        <v>7.9545454545454541</v>
      </c>
      <c r="Y1133" s="342">
        <f>Y1157/Y1164*100</f>
        <v>8.1885856079404462</v>
      </c>
      <c r="Z1133" s="342">
        <f>Z1157/Z1164*100</f>
        <v>9.6385542168674707</v>
      </c>
      <c r="AB1133" s="342">
        <f>AB1157/AB1164*100</f>
        <v>0.40816326530612246</v>
      </c>
      <c r="AC1133" s="342">
        <f>AC1157/AC1164*100</f>
        <v>0.83682008368200833</v>
      </c>
      <c r="AE1133" s="342">
        <f>AE1157/AE1164*100</f>
        <v>2.3041474654377883</v>
      </c>
      <c r="AF1133" s="342">
        <f>AF1157/AF1164*100</f>
        <v>2.6785714285714284</v>
      </c>
      <c r="AH1133" s="342">
        <f>AH1157/AH1164*100</f>
        <v>38.75</v>
      </c>
      <c r="AI1133" s="342">
        <f>AI1157/AI1164*100</f>
        <v>29.515418502202646</v>
      </c>
      <c r="AK1133" s="342">
        <f>AK1157/AK1164*100</f>
        <v>1.2165450121654502</v>
      </c>
      <c r="AL1133" s="342">
        <f>AL1157/AL1164*100</f>
        <v>1.2468827930174564</v>
      </c>
      <c r="AN1133" s="342">
        <f>AN1157/AN1164*100</f>
        <v>21.657754010695189</v>
      </c>
      <c r="AO1133" s="342">
        <f>AO1157/AO1164*100</f>
        <v>22.043010752688172</v>
      </c>
      <c r="AQ1133" s="342">
        <f>AQ1157/AQ1164*100</f>
        <v>18.007662835249043</v>
      </c>
      <c r="AR1133" s="342">
        <f>AR1157/AR1164*100</f>
        <v>20.748299319727892</v>
      </c>
      <c r="AT1133" s="342">
        <f>AT1157/AT1164*100</f>
        <v>25.118483412322274</v>
      </c>
      <c r="AU1133" s="342">
        <f>AU1157/AU1164*100</f>
        <v>19.544364508393286</v>
      </c>
      <c r="AW1133" s="342">
        <f>AW1157/AW1164*100</f>
        <v>31.25</v>
      </c>
      <c r="AX1133" s="342">
        <f>AX1157/AX1164*100</f>
        <v>36.086956521739133</v>
      </c>
      <c r="AZ1133" s="342">
        <f>AZ1157/AZ1164*100</f>
        <v>32</v>
      </c>
      <c r="BA1133" s="342">
        <f>BA1157/BA1164*100</f>
        <v>33.333333333333329</v>
      </c>
      <c r="BC1133" s="342">
        <f>BC1157/BC1164*100</f>
        <v>0.33112582781456956</v>
      </c>
      <c r="BD1133" s="342">
        <f>BD1157/BD1164*100</f>
        <v>0.35842293906810035</v>
      </c>
      <c r="BF1133" s="342">
        <f>BF1157/BF1164*100</f>
        <v>6.666666666666667</v>
      </c>
      <c r="BG1133" s="342">
        <f>BG1157/BG1164*100</f>
        <v>7.2948328267477196</v>
      </c>
      <c r="BI1133" s="342">
        <f>BI1157/BI1164*100</f>
        <v>33.711747285291217</v>
      </c>
      <c r="BJ1133" s="342">
        <f>BJ1157/BJ1164*100</f>
        <v>30.833333333333336</v>
      </c>
      <c r="BL1133" s="342">
        <f>BL1157/BL1164*100</f>
        <v>0</v>
      </c>
      <c r="BM1133" s="342">
        <f>BM1157/BM1164*100</f>
        <v>0</v>
      </c>
      <c r="BO1133" s="342">
        <f>BO1157/BO1164*100</f>
        <v>3.7735849056603774</v>
      </c>
      <c r="BP1133" s="342">
        <f>BP1157/BP1164*100</f>
        <v>3.9301310043668125</v>
      </c>
      <c r="BR1133" s="342">
        <f>BR1157/BR1164*100</f>
        <v>14.285714285714285</v>
      </c>
      <c r="BS1133" s="342">
        <f>BS1157/BS1164*100</f>
        <v>17.021276595744681</v>
      </c>
      <c r="BU1133" s="342">
        <f>BU1157/BU1164*100</f>
        <v>0</v>
      </c>
      <c r="BV1133" s="342">
        <f>BV1157/BV1164*100</f>
        <v>0</v>
      </c>
      <c r="BX1133" s="342">
        <f>BX1157/BX1164*100</f>
        <v>2</v>
      </c>
      <c r="BY1133" s="342">
        <f>BY1157/BY1164*100</f>
        <v>1.6666666666666667</v>
      </c>
      <c r="CA1133" s="342">
        <f>CA1157/CA1164*100</f>
        <v>27.450980392156865</v>
      </c>
      <c r="CB1133" s="342">
        <f>CB1157/CB1164*100</f>
        <v>23.563218390804597</v>
      </c>
      <c r="CD1133" s="342">
        <f>CD1157/CD1164*100</f>
        <v>5.2083333333333339</v>
      </c>
      <c r="CE1133" s="342">
        <f>CE1157/CE1164*100</f>
        <v>6</v>
      </c>
      <c r="CG1133" s="342">
        <f>CG1157/CG1164*100</f>
        <v>3.9339103068450036</v>
      </c>
      <c r="CH1133" s="342">
        <f>CH1157/CH1164*100</f>
        <v>4.7188360204482898</v>
      </c>
      <c r="CJ1133" s="342" t="e">
        <f>CJ1157/CJ1164*100</f>
        <v>#DIV/0!</v>
      </c>
      <c r="CK1133" s="342" t="e">
        <f>CK1157/CK1164*100</f>
        <v>#DIV/0!</v>
      </c>
    </row>
    <row r="1134" spans="1:89" x14ac:dyDescent="0.25">
      <c r="A1134" s="95"/>
      <c r="B1134" s="96" t="s">
        <v>1697</v>
      </c>
      <c r="C1134" s="95"/>
      <c r="D1134" s="95" t="s">
        <v>8</v>
      </c>
      <c r="E1134" s="103"/>
      <c r="F1134" s="103"/>
      <c r="G1134" s="103"/>
      <c r="H1134" s="342"/>
      <c r="I1134" s="342">
        <f t="shared" si="1547"/>
        <v>2.4166545348667929</v>
      </c>
      <c r="J1134" s="342">
        <f t="shared" si="1548"/>
        <v>2.5872161086396628</v>
      </c>
      <c r="K1134" s="342">
        <f t="shared" si="1549"/>
        <v>2.4766544863987008</v>
      </c>
      <c r="L1134" s="342">
        <f t="shared" si="1550"/>
        <v>9.6916299559471373</v>
      </c>
      <c r="M1134" s="342">
        <f t="shared" si="1551"/>
        <v>10.505836575875486</v>
      </c>
      <c r="N1134" s="342">
        <f t="shared" si="1551"/>
        <v>7.782101167315175</v>
      </c>
      <c r="O1134" s="295"/>
      <c r="Q1134" s="342">
        <f>Q1158/Q1164*100</f>
        <v>2.4766544863987008</v>
      </c>
      <c r="R1134" s="342">
        <f>R1158/R1164*100</f>
        <v>2.8539955938313639</v>
      </c>
      <c r="S1134" s="342">
        <f>S1158/S1164*100</f>
        <v>2.4793388429752068</v>
      </c>
      <c r="T1134" s="342">
        <f>T1158/T1164*100</f>
        <v>3.0303030303030303</v>
      </c>
      <c r="V1134" s="342">
        <f>V1158/V1164*100</f>
        <v>2.7777777777777777</v>
      </c>
      <c r="W1134" s="342">
        <f>W1158/W1164*100</f>
        <v>9.0909090909090917</v>
      </c>
      <c r="Y1134" s="342">
        <f>Y1158/Y1164*100</f>
        <v>0.74441687344913154</v>
      </c>
      <c r="Z1134" s="342">
        <f>Z1158/Z1164*100</f>
        <v>0.72289156626506024</v>
      </c>
      <c r="AB1134" s="342">
        <f>AB1158/AB1164*100</f>
        <v>4.4897959183673466</v>
      </c>
      <c r="AC1134" s="342">
        <f>AC1158/AC1164*100</f>
        <v>3.7656903765690379</v>
      </c>
      <c r="AE1134" s="342">
        <f>AE1158/AE1164*100</f>
        <v>2.3041474654377883</v>
      </c>
      <c r="AF1134" s="342">
        <f>AF1158/AF1164*100</f>
        <v>1.3392857142857142</v>
      </c>
      <c r="AH1134" s="342">
        <f>AH1158/AH1164*100</f>
        <v>9.5833333333333339</v>
      </c>
      <c r="AI1134" s="342">
        <f>AI1158/AI1164*100</f>
        <v>9.6916299559471373</v>
      </c>
      <c r="AK1134" s="342">
        <f>AK1158/AK1164*100</f>
        <v>5.1094890510948909</v>
      </c>
      <c r="AL1134" s="342">
        <f>AL1158/AL1164*100</f>
        <v>4.7381546134663344</v>
      </c>
      <c r="AN1134" s="342">
        <f>AN1158/AN1164*100</f>
        <v>0.80213903743315518</v>
      </c>
      <c r="AO1134" s="342">
        <f>AO1158/AO1164*100</f>
        <v>0.94086021505376349</v>
      </c>
      <c r="AQ1134" s="342">
        <f>AQ1158/AQ1164*100</f>
        <v>0</v>
      </c>
      <c r="AR1134" s="342">
        <f>AR1158/AR1164*100</f>
        <v>0</v>
      </c>
      <c r="AT1134" s="342">
        <f>AT1158/AT1164*100</f>
        <v>2.4881516587677726</v>
      </c>
      <c r="AU1134" s="342">
        <f>AU1158/AU1164*100</f>
        <v>3.2374100719424459</v>
      </c>
      <c r="AW1134" s="342">
        <f>AW1158/AW1164*100</f>
        <v>2.083333333333333</v>
      </c>
      <c r="AX1134" s="342">
        <f>AX1158/AX1164*100</f>
        <v>1.7391304347826086</v>
      </c>
      <c r="AZ1134" s="342">
        <f>AZ1158/AZ1164*100</f>
        <v>1</v>
      </c>
      <c r="BA1134" s="342">
        <f>BA1158/BA1164*100</f>
        <v>3.8461538461538463</v>
      </c>
      <c r="BC1134" s="342">
        <f>BC1158/BC1164*100</f>
        <v>3.3112582781456954</v>
      </c>
      <c r="BD1134" s="342">
        <f>BD1158/BD1164*100</f>
        <v>1.4336917562724014</v>
      </c>
      <c r="BF1134" s="342">
        <f>BF1158/BF1164*100</f>
        <v>13.684210526315791</v>
      </c>
      <c r="BG1134" s="342">
        <f>BG1158/BG1164*100</f>
        <v>12.158054711246201</v>
      </c>
      <c r="BI1134" s="342">
        <f>BI1158/BI1164*100</f>
        <v>2.3692003948667324</v>
      </c>
      <c r="BJ1134" s="342">
        <f>BJ1158/BJ1164*100</f>
        <v>3.75</v>
      </c>
      <c r="BL1134" s="342">
        <f>BL1158/BL1164*100</f>
        <v>33.333333333333329</v>
      </c>
      <c r="BM1134" s="342">
        <f>BM1158/BM1164*100</f>
        <v>37.5</v>
      </c>
      <c r="BO1134" s="342">
        <f>BO1158/BO1164*100</f>
        <v>1.8867924528301887</v>
      </c>
      <c r="BP1134" s="342">
        <f>BP1158/BP1164*100</f>
        <v>3.0567685589519651</v>
      </c>
      <c r="BR1134" s="342">
        <f>BR1158/BR1164*100</f>
        <v>18.367346938775512</v>
      </c>
      <c r="BS1134" s="342">
        <f>BS1158/BS1164*100</f>
        <v>21.276595744680851</v>
      </c>
      <c r="BU1134" s="342">
        <f>BU1158/BU1164*100</f>
        <v>0</v>
      </c>
      <c r="BV1134" s="342">
        <f>BV1158/BV1164*100</f>
        <v>0</v>
      </c>
      <c r="BX1134" s="342">
        <f>BX1158/BX1164*100</f>
        <v>6</v>
      </c>
      <c r="BY1134" s="342">
        <f>BY1158/BY1164*100</f>
        <v>8.3333333333333321</v>
      </c>
      <c r="CA1134" s="342">
        <f>CA1158/CA1164*100</f>
        <v>6.8627450980392162</v>
      </c>
      <c r="CB1134" s="342">
        <f>CB1158/CB1164*100</f>
        <v>5.7471264367816088</v>
      </c>
      <c r="CD1134" s="342">
        <f>CD1158/CD1164*100</f>
        <v>5.2083333333333339</v>
      </c>
      <c r="CE1134" s="342">
        <f>CE1158/CE1164*100</f>
        <v>7.333333333333333</v>
      </c>
      <c r="CG1134" s="342">
        <f>CG1158/CG1164*100</f>
        <v>0.3147128245476003</v>
      </c>
      <c r="CH1134" s="342">
        <f>CH1158/CH1164*100</f>
        <v>0.31458906802988595</v>
      </c>
      <c r="CJ1134" s="342" t="e">
        <f>CJ1158/CJ1164*100</f>
        <v>#DIV/0!</v>
      </c>
      <c r="CK1134" s="342" t="e">
        <f>CK1158/CK1164*100</f>
        <v>#DIV/0!</v>
      </c>
    </row>
    <row r="1135" spans="1:89" x14ac:dyDescent="0.25">
      <c r="A1135" s="95"/>
      <c r="B1135" s="96" t="s">
        <v>1698</v>
      </c>
      <c r="C1135" s="95"/>
      <c r="D1135" s="95" t="s">
        <v>8</v>
      </c>
      <c r="E1135" s="103"/>
      <c r="F1135" s="103"/>
      <c r="G1135" s="103"/>
      <c r="H1135" s="342"/>
      <c r="I1135" s="342">
        <f t="shared" si="1547"/>
        <v>44.664434415489886</v>
      </c>
      <c r="J1135" s="342">
        <f t="shared" si="1548"/>
        <v>46.24209786935144</v>
      </c>
      <c r="K1135" s="342">
        <f t="shared" si="1549"/>
        <v>46.579374746244419</v>
      </c>
      <c r="L1135" s="342">
        <f t="shared" si="1550"/>
        <v>43.171806167400881</v>
      </c>
      <c r="M1135" s="342">
        <f t="shared" si="1551"/>
        <v>47.470817120622563</v>
      </c>
      <c r="N1135" s="342">
        <f t="shared" si="1551"/>
        <v>57.198443579766533</v>
      </c>
      <c r="O1135" s="295"/>
      <c r="Q1135" s="342">
        <f>Q1159/Q1164*100</f>
        <v>46.579374746244419</v>
      </c>
      <c r="R1135" s="342">
        <f>R1159/R1164*100</f>
        <v>47.516523132385338</v>
      </c>
      <c r="S1135" s="342">
        <f>S1159/S1164*100</f>
        <v>44.628099173553721</v>
      </c>
      <c r="T1135" s="342">
        <f>T1159/T1164*100</f>
        <v>46.969696969696969</v>
      </c>
      <c r="V1135" s="342">
        <f>V1159/V1164*100</f>
        <v>29.166666666666668</v>
      </c>
      <c r="W1135" s="342">
        <f>W1159/W1164*100</f>
        <v>28.40909090909091</v>
      </c>
      <c r="Y1135" s="342">
        <f>Y1159/Y1164*100</f>
        <v>74.937965260545909</v>
      </c>
      <c r="Z1135" s="342">
        <f>Z1159/Z1164*100</f>
        <v>72.048192771084345</v>
      </c>
      <c r="AB1135" s="342">
        <f>AB1159/AB1164*100</f>
        <v>66.938775510204081</v>
      </c>
      <c r="AC1135" s="342">
        <f>AC1159/AC1164*100</f>
        <v>73.640167364016733</v>
      </c>
      <c r="AE1135" s="342">
        <f>AE1159/AE1164*100</f>
        <v>55.299539170506918</v>
      </c>
      <c r="AF1135" s="342">
        <f>AF1159/AF1164*100</f>
        <v>61.160714285714292</v>
      </c>
      <c r="AH1135" s="342">
        <f>AH1159/AH1164*100</f>
        <v>34.166666666666664</v>
      </c>
      <c r="AI1135" s="342">
        <f>AI1159/AI1164*100</f>
        <v>43.171806167400881</v>
      </c>
      <c r="AK1135" s="342">
        <f>AK1159/AK1164*100</f>
        <v>70.559610705596114</v>
      </c>
      <c r="AL1135" s="342">
        <f>AL1159/AL1164*100</f>
        <v>70.32418952618454</v>
      </c>
      <c r="AN1135" s="342">
        <f>AN1159/AN1164*100</f>
        <v>48.262032085561493</v>
      </c>
      <c r="AO1135" s="342">
        <f>AO1159/AO1164*100</f>
        <v>46.908602150537639</v>
      </c>
      <c r="AQ1135" s="342">
        <f>AQ1159/AQ1164*100</f>
        <v>55.938697318007655</v>
      </c>
      <c r="AR1135" s="342">
        <f>AR1159/AR1164*100</f>
        <v>54.761904761904766</v>
      </c>
      <c r="AT1135" s="342">
        <f>AT1159/AT1164*100</f>
        <v>65.639810426540279</v>
      </c>
      <c r="AU1135" s="342">
        <f>AU1159/AU1164*100</f>
        <v>69.184652278177467</v>
      </c>
      <c r="AW1135" s="342">
        <f>AW1159/AW1164*100</f>
        <v>47.395833333333329</v>
      </c>
      <c r="AX1135" s="342">
        <f>AX1159/AX1164*100</f>
        <v>48.695652173913047</v>
      </c>
      <c r="AZ1135" s="342">
        <f>AZ1159/AZ1164*100</f>
        <v>59.5</v>
      </c>
      <c r="BA1135" s="342">
        <f>BA1159/BA1164*100</f>
        <v>58.119658119658126</v>
      </c>
      <c r="BC1135" s="342">
        <f>BC1159/BC1164*100</f>
        <v>85.761589403973517</v>
      </c>
      <c r="BD1135" s="342">
        <f>BD1159/BD1164*100</f>
        <v>86.021505376344081</v>
      </c>
      <c r="BF1135" s="342">
        <f>BF1159/BF1164*100</f>
        <v>68.771929824561411</v>
      </c>
      <c r="BG1135" s="342">
        <f>BG1159/BG1164*100</f>
        <v>68.389057750759875</v>
      </c>
      <c r="BI1135" s="342">
        <f>BI1159/BI1164*100</f>
        <v>58.884501480750252</v>
      </c>
      <c r="BJ1135" s="342">
        <f>BJ1159/BJ1164*100</f>
        <v>59.947916666666664</v>
      </c>
      <c r="BL1135" s="342">
        <f>BL1159/BL1164*100</f>
        <v>33.333333333333329</v>
      </c>
      <c r="BM1135" s="342">
        <f>BM1159/BM1164*100</f>
        <v>25</v>
      </c>
      <c r="BO1135" s="342">
        <f>BO1159/BO1164*100</f>
        <v>91.823899371069189</v>
      </c>
      <c r="BP1135" s="342">
        <f>BP1159/BP1164*100</f>
        <v>91.703056768558952</v>
      </c>
      <c r="BR1135" s="342">
        <f>BR1159/BR1164*100</f>
        <v>42.857142857142854</v>
      </c>
      <c r="BS1135" s="342">
        <f>BS1159/BS1164*100</f>
        <v>34.042553191489361</v>
      </c>
      <c r="BU1135" s="342">
        <f>BU1159/BU1164*100</f>
        <v>60.115606936416185</v>
      </c>
      <c r="BV1135" s="342">
        <f>BV1159/BV1164*100</f>
        <v>63.78378378378379</v>
      </c>
      <c r="BX1135" s="342">
        <f>BX1159/BX1164*100</f>
        <v>54</v>
      </c>
      <c r="BY1135" s="342">
        <f>BY1159/BY1164*100</f>
        <v>50</v>
      </c>
      <c r="CA1135" s="342">
        <f>CA1159/CA1164*100</f>
        <v>44.607843137254903</v>
      </c>
      <c r="CB1135" s="342">
        <f>CB1159/CB1164*100</f>
        <v>47.126436781609193</v>
      </c>
      <c r="CD1135" s="342">
        <f>CD1159/CD1164*100</f>
        <v>38.541666666666671</v>
      </c>
      <c r="CE1135" s="342">
        <f>CE1159/CE1164*100</f>
        <v>46</v>
      </c>
      <c r="CG1135" s="342">
        <f>CG1159/CG1164*100</f>
        <v>8.1431943351691594</v>
      </c>
      <c r="CH1135" s="342">
        <f>CH1159/CH1164*100</f>
        <v>7.3928430987023201</v>
      </c>
      <c r="CJ1135" s="342" t="e">
        <f>CJ1159/CJ1164*100</f>
        <v>#DIV/0!</v>
      </c>
      <c r="CK1135" s="342" t="e">
        <f>CK1159/CK1164*100</f>
        <v>#DIV/0!</v>
      </c>
    </row>
    <row r="1136" spans="1:89" x14ac:dyDescent="0.25">
      <c r="A1136" s="95"/>
      <c r="B1136" s="96" t="s">
        <v>1699</v>
      </c>
      <c r="C1136" s="95"/>
      <c r="D1136" s="95" t="s">
        <v>8</v>
      </c>
      <c r="E1136" s="103"/>
      <c r="F1136" s="103"/>
      <c r="G1136" s="103"/>
      <c r="H1136" s="342"/>
      <c r="I1136" s="342">
        <f t="shared" si="1547"/>
        <v>1.0045130295530644</v>
      </c>
      <c r="J1136" s="342">
        <f t="shared" si="1548"/>
        <v>1.0770311402481854</v>
      </c>
      <c r="K1136" s="342">
        <f t="shared" si="1549"/>
        <v>1.3702801461632157</v>
      </c>
      <c r="L1136" s="342">
        <f t="shared" si="1550"/>
        <v>2.643171806167401</v>
      </c>
      <c r="M1136" s="342">
        <f t="shared" si="1551"/>
        <v>1.9455252918287937</v>
      </c>
      <c r="N1136" s="342">
        <f t="shared" si="1551"/>
        <v>2.7237354085603114</v>
      </c>
      <c r="O1136" s="295"/>
      <c r="Q1136" s="342">
        <f>Q1160/Q1164*100</f>
        <v>1.3702801461632157</v>
      </c>
      <c r="R1136" s="342">
        <f>R1160/R1164*100</f>
        <v>1.5021029441217704</v>
      </c>
      <c r="S1136" s="342">
        <f>S1160/S1164*100</f>
        <v>2.4793388429752068</v>
      </c>
      <c r="T1136" s="342">
        <f>T1160/T1164*100</f>
        <v>3.7878787878787881</v>
      </c>
      <c r="V1136" s="342">
        <f>V1160/V1164*100</f>
        <v>2.7777777777777777</v>
      </c>
      <c r="W1136" s="342">
        <f>W1160/W1164*100</f>
        <v>7.9545454545454541</v>
      </c>
      <c r="Y1136" s="342">
        <f>Y1160/Y1164*100</f>
        <v>0</v>
      </c>
      <c r="Z1136" s="342">
        <f>Z1160/Z1164*100</f>
        <v>0.24096385542168677</v>
      </c>
      <c r="AB1136" s="342">
        <f>AB1160/AB1164*100</f>
        <v>1.6326530612244898</v>
      </c>
      <c r="AC1136" s="342">
        <f>AC1160/AC1164*100</f>
        <v>1.6736401673640167</v>
      </c>
      <c r="AE1136" s="342">
        <f>AE1160/AE1164*100</f>
        <v>0.46082949308755761</v>
      </c>
      <c r="AF1136" s="342">
        <f>AF1160/AF1164*100</f>
        <v>2.2321428571428572</v>
      </c>
      <c r="AH1136" s="342">
        <f>AH1160/AH1164*100</f>
        <v>2.5</v>
      </c>
      <c r="AI1136" s="342">
        <f>AI1160/AI1164*100</f>
        <v>2.643171806167401</v>
      </c>
      <c r="AK1136" s="342">
        <f>AK1160/AK1164*100</f>
        <v>1.4598540145985401</v>
      </c>
      <c r="AL1136" s="342">
        <f>AL1160/AL1164*100</f>
        <v>1.99501246882793</v>
      </c>
      <c r="AN1136" s="342">
        <f>AN1160/AN1164*100</f>
        <v>0.40106951871657759</v>
      </c>
      <c r="AO1136" s="342">
        <f>AO1160/AO1164*100</f>
        <v>0.26881720430107531</v>
      </c>
      <c r="AQ1136" s="342">
        <f>AQ1160/AQ1164*100</f>
        <v>2.6819923371647509</v>
      </c>
      <c r="AR1136" s="342">
        <f>AR1160/AR1164*100</f>
        <v>2.7210884353741496</v>
      </c>
      <c r="AT1136" s="342">
        <f>AT1160/AT1164*100</f>
        <v>2.2511848341232228</v>
      </c>
      <c r="AU1136" s="342">
        <f>AU1160/AU1164*100</f>
        <v>3.1175059952038371</v>
      </c>
      <c r="AW1136" s="342">
        <f>AW1160/AW1164*100</f>
        <v>0</v>
      </c>
      <c r="AX1136" s="342">
        <f>AX1160/AX1164*100</f>
        <v>0.43478260869565216</v>
      </c>
      <c r="AZ1136" s="342">
        <f>AZ1160/AZ1164*100</f>
        <v>3</v>
      </c>
      <c r="BA1136" s="342">
        <f>BA1160/BA1164*100</f>
        <v>2.1367521367521367</v>
      </c>
      <c r="BC1136" s="342">
        <f>BC1160/BC1164*100</f>
        <v>0.66225165562913912</v>
      </c>
      <c r="BD1136" s="342">
        <f>BD1160/BD1164*100</f>
        <v>1.0752688172043012</v>
      </c>
      <c r="BF1136" s="342">
        <f>BF1160/BF1164*100</f>
        <v>1.4035087719298245</v>
      </c>
      <c r="BG1136" s="342">
        <f>BG1160/BG1164*100</f>
        <v>0.60790273556231</v>
      </c>
      <c r="BI1136" s="342">
        <f>BI1160/BI1164*100</f>
        <v>4.9358341559723587E-2</v>
      </c>
      <c r="BJ1136" s="342">
        <f>BJ1160/BJ1164*100</f>
        <v>5.2083333333333336E-2</v>
      </c>
      <c r="BL1136" s="342">
        <f>BL1160/BL1164*100</f>
        <v>33.333333333333329</v>
      </c>
      <c r="BM1136" s="342">
        <f>BM1160/BM1164*100</f>
        <v>25</v>
      </c>
      <c r="BO1136" s="342">
        <f>BO1160/BO1164*100</f>
        <v>0.62893081761006298</v>
      </c>
      <c r="BP1136" s="342">
        <f>BP1160/BP1164*100</f>
        <v>0.43668122270742354</v>
      </c>
      <c r="BR1136" s="342">
        <f>BR1160/BR1164*100</f>
        <v>4.0816326530612246</v>
      </c>
      <c r="BS1136" s="342">
        <f>BS1160/BS1164*100</f>
        <v>4.2553191489361701</v>
      </c>
      <c r="BU1136" s="342">
        <f>BU1160/BU1164*100</f>
        <v>1.7341040462427744</v>
      </c>
      <c r="BV1136" s="342">
        <f>BV1160/BV1164*100</f>
        <v>0.54054054054054057</v>
      </c>
      <c r="BX1136" s="342">
        <f>BX1160/BX1164*100</f>
        <v>6</v>
      </c>
      <c r="BY1136" s="342">
        <f>BY1160/BY1164*100</f>
        <v>6.666666666666667</v>
      </c>
      <c r="CA1136" s="342">
        <f>CA1160/CA1164*100</f>
        <v>2.9411764705882351</v>
      </c>
      <c r="CB1136" s="342">
        <f>CB1160/CB1164*100</f>
        <v>3.4482758620689653</v>
      </c>
      <c r="CD1136" s="342">
        <f>CD1160/CD1164*100</f>
        <v>9.375</v>
      </c>
      <c r="CE1136" s="342">
        <f>CE1160/CE1164*100</f>
        <v>8.6666666666666679</v>
      </c>
      <c r="CG1136" s="342">
        <f>CG1160/CG1164*100</f>
        <v>1.6915814319433515</v>
      </c>
      <c r="CH1136" s="342">
        <f>CH1160/CH1164*100</f>
        <v>1.4549744396382225</v>
      </c>
      <c r="CJ1136" s="342" t="e">
        <f>CJ1160/CJ1164*100</f>
        <v>#DIV/0!</v>
      </c>
      <c r="CK1136" s="342" t="e">
        <f>CK1160/CK1164*100</f>
        <v>#DIV/0!</v>
      </c>
    </row>
    <row r="1137" spans="1:89" hidden="1" x14ac:dyDescent="0.25">
      <c r="A1137" s="95"/>
      <c r="B1137" s="96" t="s">
        <v>1700</v>
      </c>
      <c r="C1137" s="95"/>
      <c r="D1137" s="95" t="s">
        <v>8</v>
      </c>
      <c r="E1137" s="103"/>
      <c r="F1137" s="103"/>
      <c r="G1137" s="103"/>
      <c r="H1137" s="342"/>
      <c r="I1137" s="342">
        <f t="shared" si="1547"/>
        <v>37.166982093463389</v>
      </c>
      <c r="J1137" s="342">
        <f>J1161/$I$1164*100</f>
        <v>38.418983840442564</v>
      </c>
      <c r="K1137" s="342">
        <f>K1161/$I$1164*100</f>
        <v>42.043965642742762</v>
      </c>
      <c r="L1137" s="342">
        <f>L1161/$I$1164*100</f>
        <v>0.29116319697190274</v>
      </c>
      <c r="M1137" s="342">
        <f>M1161/$I$1164*100</f>
        <v>0.16013975833454652</v>
      </c>
      <c r="N1137" s="342">
        <f>N1161/$I$1164*100</f>
        <v>0.3785121560634736</v>
      </c>
      <c r="O1137" s="295"/>
      <c r="Q1137" s="342">
        <f>Q1161/$I$1164*100</f>
        <v>42.043965642742762</v>
      </c>
      <c r="R1137" s="342">
        <f>R1161/$I$1164*100</f>
        <v>42.145872761682924</v>
      </c>
      <c r="S1137" s="342">
        <f>S1161/$I$1164*100</f>
        <v>0.65511719318678119</v>
      </c>
      <c r="T1137" s="342">
        <f>T1161/$I$1164*100</f>
        <v>0.64055903333818609</v>
      </c>
      <c r="V1137" s="342">
        <f>V1161/$I$1164*100</f>
        <v>0.58232639394380548</v>
      </c>
      <c r="W1137" s="342">
        <f>W1161/$I$1164*100</f>
        <v>0.56776823409521038</v>
      </c>
      <c r="Y1137" s="342">
        <f>Y1161/$I$1164*100</f>
        <v>0.7861406318241374</v>
      </c>
      <c r="Z1137" s="342">
        <f>Z1161/$I$1164*100</f>
        <v>0.85893143106711323</v>
      </c>
      <c r="AB1137" s="342">
        <f>AB1161/$I$1164*100</f>
        <v>0.84437327121851791</v>
      </c>
      <c r="AC1137" s="342">
        <f>AC1161/$I$1164*100</f>
        <v>0.62600087348959088</v>
      </c>
      <c r="AE1137" s="342">
        <f>AE1161/$I$1164*100</f>
        <v>1.2083272674333965</v>
      </c>
      <c r="AF1137" s="342">
        <f>AF1161/$I$1164*100</f>
        <v>1.0336293492502546</v>
      </c>
      <c r="AH1137" s="342">
        <f>AH1161/$I$1164*100</f>
        <v>0.33483767651768814</v>
      </c>
      <c r="AI1137" s="342">
        <f>AI1161/$I$1164*100</f>
        <v>0.29116319697190274</v>
      </c>
      <c r="AK1137" s="342">
        <f>AK1161/$I$1164*100</f>
        <v>1.164652787887611</v>
      </c>
      <c r="AL1137" s="342">
        <f>AL1161/$I$1164*100</f>
        <v>1.1355364681904208</v>
      </c>
      <c r="AN1137" s="342">
        <f>AN1161/$I$1164*100</f>
        <v>2.8097248507788617</v>
      </c>
      <c r="AO1137" s="342">
        <f>AO1161/$I$1164*100</f>
        <v>2.9553064492648127</v>
      </c>
      <c r="AQ1137" s="342">
        <f>AQ1161/$I$1164*100</f>
        <v>0.88804775076430342</v>
      </c>
      <c r="AR1137" s="342">
        <f>AR1161/$I$1164*100</f>
        <v>0.88804775076430342</v>
      </c>
      <c r="AT1137" s="342">
        <f>AT1161/$I$1164*100</f>
        <v>0.1164652787887611</v>
      </c>
      <c r="AU1137" s="342">
        <f>AU1161/$I$1164*100</f>
        <v>0.16013975833454652</v>
      </c>
      <c r="AW1137" s="342">
        <f>AW1161/$I$1164*100</f>
        <v>0.43674479545785411</v>
      </c>
      <c r="AX1137" s="342">
        <f>AX1161/$I$1164*100</f>
        <v>0.33483767651768814</v>
      </c>
      <c r="AZ1137" s="342">
        <f>AZ1161/$I$1164*100</f>
        <v>2.9116319697190276E-2</v>
      </c>
      <c r="BA1137" s="342">
        <f>BA1161/$I$1164*100</f>
        <v>1.4558159848595138E-2</v>
      </c>
      <c r="BC1137" s="342">
        <f>BC1161/$I$1164*100</f>
        <v>1.4558159848595138E-2</v>
      </c>
      <c r="BD1137" s="342">
        <f>BD1161/$I$1164*100</f>
        <v>4.3674479545785412E-2</v>
      </c>
      <c r="BF1137" s="342">
        <f>BF1161/$I$1164*100</f>
        <v>0</v>
      </c>
      <c r="BG1137" s="342">
        <f>BG1161/$I$1164*100</f>
        <v>0.10190711894016596</v>
      </c>
      <c r="BI1137" s="342">
        <f>BI1161/$I$1164*100</f>
        <v>1.4558159848595138E-2</v>
      </c>
      <c r="BJ1137" s="342">
        <f>BJ1161/$I$1164*100</f>
        <v>4.3674479545785412E-2</v>
      </c>
      <c r="BL1137" s="342">
        <f>BL1161/$I$1164*100</f>
        <v>0</v>
      </c>
      <c r="BM1137" s="342">
        <f>BM1161/$I$1164*100</f>
        <v>0</v>
      </c>
      <c r="BO1137" s="342">
        <f>BO1161/$I$1164*100</f>
        <v>0</v>
      </c>
      <c r="BP1137" s="342">
        <f>BP1161/$I$1164*100</f>
        <v>0</v>
      </c>
      <c r="BR1137" s="342">
        <f>BR1161/$I$1164*100</f>
        <v>0</v>
      </c>
      <c r="BS1137" s="342">
        <f>BS1161/$I$1164*100</f>
        <v>0</v>
      </c>
      <c r="BU1137" s="342">
        <f>BU1161/$I$1164*100</f>
        <v>0.96083855000727914</v>
      </c>
      <c r="BV1137" s="342">
        <f>BV1161/$I$1164*100</f>
        <v>0.96083855000727914</v>
      </c>
      <c r="BX1137" s="342">
        <f>BX1161/$I$1164*100</f>
        <v>0.13102343863735624</v>
      </c>
      <c r="BY1137" s="342">
        <f>BY1161/$I$1164*100</f>
        <v>0.1892560780317368</v>
      </c>
      <c r="CA1137" s="342">
        <f>CA1161/$I$1164*100</f>
        <v>0.40762847576066386</v>
      </c>
      <c r="CB1137" s="342">
        <f>CB1161/$I$1164*100</f>
        <v>0.3785121560634736</v>
      </c>
      <c r="CD1137" s="342">
        <f>CD1161/$I$1164*100</f>
        <v>0.48041927500363957</v>
      </c>
      <c r="CE1137" s="342">
        <f>CE1161/$I$1164*100</f>
        <v>0.56776823409521038</v>
      </c>
      <c r="CG1137" s="342">
        <f>CG1161/$I$1164*100</f>
        <v>30.179065366137721</v>
      </c>
      <c r="CH1137" s="342">
        <f>CH1161/$I$1164*100</f>
        <v>30.353763284320863</v>
      </c>
      <c r="CJ1137" s="342">
        <f>CJ1161/$I$1164*100</f>
        <v>0</v>
      </c>
      <c r="CK1137" s="342">
        <f>CK1161/$I$1164*100</f>
        <v>0</v>
      </c>
    </row>
    <row r="1138" spans="1:89" x14ac:dyDescent="0.25">
      <c r="A1138" s="95"/>
      <c r="B1138" s="96" t="s">
        <v>2540</v>
      </c>
      <c r="C1138" s="95"/>
      <c r="D1138" s="95" t="s">
        <v>8</v>
      </c>
      <c r="E1138" s="103"/>
      <c r="F1138" s="103"/>
      <c r="G1138" s="103"/>
      <c r="H1138" s="342"/>
      <c r="I1138" s="342"/>
      <c r="J1138" s="342"/>
      <c r="K1138" s="342"/>
      <c r="L1138" s="342"/>
      <c r="M1138" s="342"/>
      <c r="N1138" s="342"/>
      <c r="O1138" s="295"/>
      <c r="Q1138" s="342"/>
      <c r="R1138" s="342"/>
      <c r="S1138" s="342"/>
      <c r="T1138" s="342"/>
      <c r="V1138" s="342"/>
      <c r="W1138" s="342"/>
      <c r="Y1138" s="342"/>
      <c r="Z1138" s="342"/>
      <c r="AB1138" s="342"/>
      <c r="AC1138" s="342"/>
      <c r="AE1138" s="342"/>
      <c r="AF1138" s="342"/>
      <c r="AH1138" s="342"/>
      <c r="AI1138" s="342"/>
      <c r="AK1138" s="342"/>
      <c r="AL1138" s="342"/>
      <c r="AN1138" s="342"/>
      <c r="AO1138" s="342"/>
      <c r="AQ1138" s="342"/>
      <c r="AR1138" s="342"/>
      <c r="AT1138" s="342"/>
      <c r="AU1138" s="342"/>
      <c r="AW1138" s="342"/>
      <c r="AX1138" s="342"/>
      <c r="AZ1138" s="342"/>
      <c r="BA1138" s="342"/>
      <c r="BC1138" s="342"/>
      <c r="BD1138" s="342"/>
      <c r="BF1138" s="342"/>
      <c r="BG1138" s="342"/>
      <c r="BI1138" s="342"/>
      <c r="BJ1138" s="342"/>
      <c r="BL1138" s="342"/>
      <c r="BM1138" s="342"/>
      <c r="BO1138" s="342"/>
      <c r="BP1138" s="342"/>
      <c r="BR1138" s="342"/>
      <c r="BS1138" s="342"/>
      <c r="BU1138" s="342"/>
      <c r="BV1138" s="342"/>
      <c r="BX1138" s="342"/>
      <c r="BY1138" s="342"/>
      <c r="CA1138" s="342"/>
      <c r="CB1138" s="342"/>
      <c r="CD1138" s="342"/>
      <c r="CE1138" s="342"/>
      <c r="CG1138" s="342"/>
      <c r="CH1138" s="342"/>
      <c r="CJ1138" s="342"/>
      <c r="CK1138" s="342"/>
    </row>
    <row r="1139" spans="1:89" x14ac:dyDescent="0.25">
      <c r="A1139" s="95"/>
      <c r="B1139" s="96" t="s">
        <v>2538</v>
      </c>
      <c r="C1139" s="95"/>
      <c r="D1139" s="95" t="s">
        <v>8</v>
      </c>
      <c r="E1139" s="103"/>
      <c r="F1139" s="103"/>
      <c r="G1139" s="103"/>
      <c r="H1139" s="342"/>
      <c r="I1139" s="342"/>
      <c r="J1139" s="342"/>
      <c r="K1139" s="342"/>
      <c r="L1139" s="342"/>
      <c r="M1139" s="342"/>
      <c r="N1139" s="342"/>
      <c r="O1139" s="295"/>
      <c r="Q1139" s="342"/>
      <c r="R1139" s="342"/>
      <c r="S1139" s="342"/>
      <c r="T1139" s="342"/>
      <c r="V1139" s="342"/>
      <c r="W1139" s="342"/>
      <c r="Y1139" s="342"/>
      <c r="Z1139" s="342"/>
      <c r="AB1139" s="342"/>
      <c r="AC1139" s="342"/>
      <c r="AE1139" s="342"/>
      <c r="AF1139" s="342"/>
      <c r="AH1139" s="342"/>
      <c r="AI1139" s="342"/>
      <c r="AK1139" s="342"/>
      <c r="AL1139" s="342"/>
      <c r="AN1139" s="342"/>
      <c r="AO1139" s="342"/>
      <c r="AQ1139" s="342"/>
      <c r="AR1139" s="342"/>
      <c r="AT1139" s="342"/>
      <c r="AU1139" s="342"/>
      <c r="AW1139" s="342"/>
      <c r="AX1139" s="342"/>
      <c r="AZ1139" s="342"/>
      <c r="BA1139" s="342"/>
      <c r="BC1139" s="342"/>
      <c r="BD1139" s="342"/>
      <c r="BF1139" s="342"/>
      <c r="BG1139" s="342"/>
      <c r="BI1139" s="342"/>
      <c r="BJ1139" s="342"/>
      <c r="BL1139" s="342"/>
      <c r="BM1139" s="342"/>
      <c r="BO1139" s="342"/>
      <c r="BP1139" s="342"/>
      <c r="BR1139" s="342"/>
      <c r="BS1139" s="342"/>
      <c r="BU1139" s="342"/>
      <c r="BV1139" s="342"/>
      <c r="BX1139" s="342"/>
      <c r="BY1139" s="342"/>
      <c r="CA1139" s="342"/>
      <c r="CB1139" s="342"/>
      <c r="CD1139" s="342"/>
      <c r="CE1139" s="342"/>
      <c r="CG1139" s="342"/>
      <c r="CH1139" s="342"/>
      <c r="CJ1139" s="342"/>
      <c r="CK1139" s="342"/>
    </row>
    <row r="1140" spans="1:89" x14ac:dyDescent="0.25">
      <c r="A1140" s="95"/>
      <c r="B1140" s="96" t="s">
        <v>1184</v>
      </c>
      <c r="C1140" s="95"/>
      <c r="D1140" s="95"/>
      <c r="E1140" s="103"/>
      <c r="F1140" s="103"/>
      <c r="G1140" s="103"/>
      <c r="H1140" s="342"/>
      <c r="I1140" s="342"/>
      <c r="J1140" s="342"/>
      <c r="K1140" s="342"/>
      <c r="L1140" s="342"/>
      <c r="M1140" s="342"/>
      <c r="N1140" s="342"/>
      <c r="O1140" s="295"/>
      <c r="Q1140" s="342"/>
      <c r="R1140" s="342"/>
      <c r="S1140" s="342"/>
      <c r="T1140" s="342"/>
      <c r="V1140" s="342"/>
      <c r="W1140" s="342"/>
      <c r="Y1140" s="342"/>
      <c r="Z1140" s="342"/>
      <c r="AB1140" s="342"/>
      <c r="AC1140" s="342"/>
      <c r="AE1140" s="342"/>
      <c r="AF1140" s="342"/>
      <c r="AH1140" s="342"/>
      <c r="AI1140" s="342"/>
      <c r="AK1140" s="342"/>
      <c r="AL1140" s="342"/>
      <c r="AN1140" s="342"/>
      <c r="AO1140" s="342"/>
      <c r="AQ1140" s="342"/>
      <c r="AR1140" s="342"/>
      <c r="AT1140" s="342"/>
      <c r="AU1140" s="342"/>
      <c r="AW1140" s="342"/>
      <c r="AX1140" s="342"/>
      <c r="AZ1140" s="342"/>
      <c r="BA1140" s="342"/>
      <c r="BC1140" s="342"/>
      <c r="BD1140" s="342"/>
      <c r="BF1140" s="342"/>
      <c r="BG1140" s="342"/>
      <c r="BI1140" s="342"/>
      <c r="BJ1140" s="342"/>
      <c r="BL1140" s="342"/>
      <c r="BM1140" s="342"/>
      <c r="BO1140" s="342"/>
      <c r="BP1140" s="342"/>
      <c r="BR1140" s="342"/>
      <c r="BS1140" s="342"/>
      <c r="BU1140" s="342"/>
      <c r="BV1140" s="342"/>
      <c r="BX1140" s="342"/>
      <c r="BY1140" s="342"/>
      <c r="CA1140" s="342"/>
      <c r="CB1140" s="342"/>
      <c r="CD1140" s="342"/>
      <c r="CE1140" s="342"/>
      <c r="CG1140" s="342"/>
      <c r="CH1140" s="342"/>
      <c r="CJ1140" s="342"/>
      <c r="CK1140" s="342"/>
    </row>
    <row r="1141" spans="1:89" x14ac:dyDescent="0.25">
      <c r="A1141" s="95"/>
      <c r="B1141" s="96" t="s">
        <v>1692</v>
      </c>
      <c r="C1141" s="95"/>
      <c r="D1141" s="95" t="s">
        <v>8</v>
      </c>
      <c r="E1141" s="103"/>
      <c r="F1141" s="103"/>
      <c r="G1141" s="103"/>
      <c r="H1141" s="342"/>
      <c r="I1141" s="342">
        <f t="shared" ref="I1141:I1149" si="1552">I1166/$I$1177*100</f>
        <v>0</v>
      </c>
      <c r="J1141" s="342">
        <f t="shared" ref="J1141:J1148" si="1553">J1166/$J$1177*100</f>
        <v>0</v>
      </c>
      <c r="K1141" s="342">
        <f t="shared" ref="K1141:K1148" si="1554">K1166/$K$1177*100</f>
        <v>0</v>
      </c>
      <c r="L1141" s="342" t="e">
        <f t="shared" ref="L1141:L1148" si="1555">L1166/$L$1177*100</f>
        <v>#DIV/0!</v>
      </c>
      <c r="M1141" s="342" t="e">
        <f t="shared" ref="M1141:N1148" si="1556">M1166/$M$1177*100</f>
        <v>#DIV/0!</v>
      </c>
      <c r="N1141" s="342" t="e">
        <f t="shared" si="1556"/>
        <v>#DIV/0!</v>
      </c>
      <c r="O1141" s="295"/>
      <c r="Q1141" s="342">
        <f>Q1166/Q1177*100</f>
        <v>0</v>
      </c>
      <c r="R1141" s="342">
        <f>R1166/R1177*100</f>
        <v>0</v>
      </c>
      <c r="S1141" s="342" t="e">
        <f>S1166/S1177*100</f>
        <v>#DIV/0!</v>
      </c>
      <c r="T1141" s="342" t="e">
        <f>T1166/T1177*100</f>
        <v>#DIV/0!</v>
      </c>
      <c r="V1141" s="342" t="e">
        <f>V1166/V1177*100</f>
        <v>#DIV/0!</v>
      </c>
      <c r="W1141" s="342" t="e">
        <f>W1166/W1177*100</f>
        <v>#DIV/0!</v>
      </c>
      <c r="Y1141" s="342" t="e">
        <f>Y1166/Y1177*100</f>
        <v>#DIV/0!</v>
      </c>
      <c r="Z1141" s="342" t="e">
        <f>Z1166/Z1177*100</f>
        <v>#DIV/0!</v>
      </c>
      <c r="AB1141" s="342" t="e">
        <f>AB1166/AB1177*100</f>
        <v>#DIV/0!</v>
      </c>
      <c r="AC1141" s="342" t="e">
        <f>AC1166/AC1177*100</f>
        <v>#DIV/0!</v>
      </c>
      <c r="AE1141" s="342" t="e">
        <f>AE1166/AE1177*100</f>
        <v>#DIV/0!</v>
      </c>
      <c r="AF1141" s="342" t="e">
        <f>AF1166/AF1177*100</f>
        <v>#DIV/0!</v>
      </c>
      <c r="AH1141" s="342" t="e">
        <f>AH1166/AH1177*100</f>
        <v>#DIV/0!</v>
      </c>
      <c r="AI1141" s="342" t="e">
        <f>AI1166/AI1177*100</f>
        <v>#DIV/0!</v>
      </c>
      <c r="AK1141" s="342" t="e">
        <f>AK1166/AK1177*100</f>
        <v>#DIV/0!</v>
      </c>
      <c r="AL1141" s="342" t="e">
        <f>AL1166/AL1177*100</f>
        <v>#DIV/0!</v>
      </c>
      <c r="AN1141" s="342" t="e">
        <f>AN1166/AN1177*100</f>
        <v>#DIV/0!</v>
      </c>
      <c r="AO1141" s="342" t="e">
        <f>AO1166/AO1177*100</f>
        <v>#DIV/0!</v>
      </c>
      <c r="AQ1141" s="342" t="e">
        <f>AQ1166/AQ1177*100</f>
        <v>#DIV/0!</v>
      </c>
      <c r="AR1141" s="342" t="e">
        <f>AR1166/AR1177*100</f>
        <v>#DIV/0!</v>
      </c>
      <c r="AT1141" s="342" t="e">
        <f>AT1166/AT1177*100</f>
        <v>#DIV/0!</v>
      </c>
      <c r="AU1141" s="342" t="e">
        <f>AU1166/AU1177*100</f>
        <v>#DIV/0!</v>
      </c>
      <c r="AW1141" s="342" t="e">
        <f>AW1166/AW1177*100</f>
        <v>#DIV/0!</v>
      </c>
      <c r="AX1141" s="342" t="e">
        <f>AX1166/AX1177*100</f>
        <v>#DIV/0!</v>
      </c>
      <c r="AZ1141" s="342" t="e">
        <f>AZ1166/AZ1177*100</f>
        <v>#DIV/0!</v>
      </c>
      <c r="BA1141" s="342" t="e">
        <f>BA1166/BA1177*100</f>
        <v>#DIV/0!</v>
      </c>
      <c r="BC1141" s="342">
        <f>BC1166/BC1177*100</f>
        <v>0</v>
      </c>
      <c r="BD1141" s="342">
        <f>BD1166/BD1177*100</f>
        <v>0</v>
      </c>
      <c r="BF1141" s="342" t="e">
        <f>BF1166/BF1177*100</f>
        <v>#DIV/0!</v>
      </c>
      <c r="BG1141" s="342" t="e">
        <f>BG1166/BG1177*100</f>
        <v>#DIV/0!</v>
      </c>
      <c r="BI1141" s="342" t="e">
        <f>BI1166/BI1177*100</f>
        <v>#DIV/0!</v>
      </c>
      <c r="BJ1141" s="342" t="e">
        <f>BJ1166/BJ1177*100</f>
        <v>#DIV/0!</v>
      </c>
      <c r="BL1141" s="342" t="e">
        <f>BL1166/BL1177*100</f>
        <v>#DIV/0!</v>
      </c>
      <c r="BM1141" s="342" t="e">
        <f>BM1166/BM1177*100</f>
        <v>#DIV/0!</v>
      </c>
      <c r="BO1141" s="342" t="e">
        <f>BO1166/BO1177*100</f>
        <v>#DIV/0!</v>
      </c>
      <c r="BP1141" s="342" t="e">
        <f>BP1166/BP1177*100</f>
        <v>#DIV/0!</v>
      </c>
      <c r="BR1141" s="342" t="e">
        <f>BR1166/BR1177*100</f>
        <v>#DIV/0!</v>
      </c>
      <c r="BS1141" s="342" t="e">
        <f>BS1166/BS1177*100</f>
        <v>#DIV/0!</v>
      </c>
      <c r="BU1141" s="342" t="e">
        <f>BU1166/BU1177*100</f>
        <v>#DIV/0!</v>
      </c>
      <c r="BV1141" s="342" t="e">
        <f>BV1166/BV1177*100</f>
        <v>#DIV/0!</v>
      </c>
      <c r="BX1141" s="342" t="e">
        <f>BX1166/BX1177*100</f>
        <v>#DIV/0!</v>
      </c>
      <c r="BY1141" s="342" t="e">
        <f>BY1166/BY1177*100</f>
        <v>#DIV/0!</v>
      </c>
      <c r="CA1141" s="342" t="e">
        <f>CA1166/CA1177*100</f>
        <v>#DIV/0!</v>
      </c>
      <c r="CB1141" s="342" t="e">
        <f>CB1166/CB1177*100</f>
        <v>#DIV/0!</v>
      </c>
      <c r="CD1141" s="342">
        <f>CD1166/CD1177*100</f>
        <v>0</v>
      </c>
      <c r="CE1141" s="342">
        <f>CE1166/CE1177*100</f>
        <v>0</v>
      </c>
      <c r="CG1141" s="342" t="e">
        <f>CG1166/CG1177*100</f>
        <v>#DIV/0!</v>
      </c>
      <c r="CH1141" s="342" t="e">
        <f>CH1166/CH1177*100</f>
        <v>#DIV/0!</v>
      </c>
      <c r="CJ1141" s="342" t="e">
        <f>CJ1166/CJ1177*100</f>
        <v>#DIV/0!</v>
      </c>
      <c r="CK1141" s="342" t="e">
        <f>CK1166/CK1177*100</f>
        <v>#DIV/0!</v>
      </c>
    </row>
    <row r="1142" spans="1:89" x14ac:dyDescent="0.25">
      <c r="A1142" s="95"/>
      <c r="B1142" s="96" t="s">
        <v>1693</v>
      </c>
      <c r="C1142" s="95"/>
      <c r="D1142" s="95" t="s">
        <v>8</v>
      </c>
      <c r="E1142" s="103"/>
      <c r="F1142" s="103"/>
      <c r="G1142" s="103"/>
      <c r="H1142" s="342"/>
      <c r="I1142" s="342">
        <f t="shared" si="1552"/>
        <v>0</v>
      </c>
      <c r="J1142" s="342">
        <f t="shared" si="1553"/>
        <v>0</v>
      </c>
      <c r="K1142" s="342">
        <f t="shared" si="1554"/>
        <v>0</v>
      </c>
      <c r="L1142" s="342" t="e">
        <f t="shared" si="1555"/>
        <v>#DIV/0!</v>
      </c>
      <c r="M1142" s="342" t="e">
        <f t="shared" si="1556"/>
        <v>#DIV/0!</v>
      </c>
      <c r="N1142" s="342" t="e">
        <f t="shared" si="1556"/>
        <v>#DIV/0!</v>
      </c>
      <c r="O1142" s="295"/>
      <c r="Q1142" s="342">
        <f>Q1167/Q1177*100</f>
        <v>0</v>
      </c>
      <c r="R1142" s="342">
        <f>R1167/R1177*100</f>
        <v>0</v>
      </c>
      <c r="S1142" s="342" t="e">
        <f>S1167/S1177*100</f>
        <v>#DIV/0!</v>
      </c>
      <c r="T1142" s="342" t="e">
        <f>T1167/T1177*100</f>
        <v>#DIV/0!</v>
      </c>
      <c r="V1142" s="342" t="e">
        <f>V1167/V1177*100</f>
        <v>#DIV/0!</v>
      </c>
      <c r="W1142" s="342" t="e">
        <f>W1167/W1177*100</f>
        <v>#DIV/0!</v>
      </c>
      <c r="Y1142" s="342" t="e">
        <f>Y1167/Y1177*100</f>
        <v>#DIV/0!</v>
      </c>
      <c r="Z1142" s="342" t="e">
        <f>Z1167/Z1177*100</f>
        <v>#DIV/0!</v>
      </c>
      <c r="AB1142" s="342" t="e">
        <f>AB1167/AB1177*100</f>
        <v>#DIV/0!</v>
      </c>
      <c r="AC1142" s="342" t="e">
        <f>AC1167/AC1177*100</f>
        <v>#DIV/0!</v>
      </c>
      <c r="AE1142" s="342" t="e">
        <f>AE1167/AE1177*100</f>
        <v>#DIV/0!</v>
      </c>
      <c r="AF1142" s="342" t="e">
        <f>AF1167/AF1177*100</f>
        <v>#DIV/0!</v>
      </c>
      <c r="AH1142" s="342" t="e">
        <f>AH1167/AH1177*100</f>
        <v>#DIV/0!</v>
      </c>
      <c r="AI1142" s="342" t="e">
        <f>AI1167/AI1177*100</f>
        <v>#DIV/0!</v>
      </c>
      <c r="AK1142" s="342" t="e">
        <f>AK1167/AK1177*100</f>
        <v>#DIV/0!</v>
      </c>
      <c r="AL1142" s="342" t="e">
        <f>AL1167/AL1177*100</f>
        <v>#DIV/0!</v>
      </c>
      <c r="AN1142" s="342" t="e">
        <f>AN1167/AN1177*100</f>
        <v>#DIV/0!</v>
      </c>
      <c r="AO1142" s="342" t="e">
        <f>AO1167/AO1177*100</f>
        <v>#DIV/0!</v>
      </c>
      <c r="AQ1142" s="342" t="e">
        <f>AQ1167/AQ1177*100</f>
        <v>#DIV/0!</v>
      </c>
      <c r="AR1142" s="342" t="e">
        <f>AR1167/AR1177*100</f>
        <v>#DIV/0!</v>
      </c>
      <c r="AT1142" s="342" t="e">
        <f>AT1167/AT1177*100</f>
        <v>#DIV/0!</v>
      </c>
      <c r="AU1142" s="342" t="e">
        <f>AU1167/AU1177*100</f>
        <v>#DIV/0!</v>
      </c>
      <c r="AW1142" s="342" t="e">
        <f>AW1167/AW1177*100</f>
        <v>#DIV/0!</v>
      </c>
      <c r="AX1142" s="342" t="e">
        <f>AX1167/AX1177*100</f>
        <v>#DIV/0!</v>
      </c>
      <c r="AZ1142" s="342" t="e">
        <f>AZ1167/AZ1177*100</f>
        <v>#DIV/0!</v>
      </c>
      <c r="BA1142" s="342" t="e">
        <f>BA1167/BA1177*100</f>
        <v>#DIV/0!</v>
      </c>
      <c r="BC1142" s="342">
        <f>BC1167/BC1177*100</f>
        <v>0</v>
      </c>
      <c r="BD1142" s="342">
        <f>BD1167/BD1177*100</f>
        <v>0</v>
      </c>
      <c r="BF1142" s="342" t="e">
        <f>BF1167/BF1177*100</f>
        <v>#DIV/0!</v>
      </c>
      <c r="BG1142" s="342" t="e">
        <f>BG1167/BG1177*100</f>
        <v>#DIV/0!</v>
      </c>
      <c r="BI1142" s="342" t="e">
        <f>BI1167/BI1177*100</f>
        <v>#DIV/0!</v>
      </c>
      <c r="BJ1142" s="342" t="e">
        <f>BJ1167/BJ1177*100</f>
        <v>#DIV/0!</v>
      </c>
      <c r="BL1142" s="342" t="e">
        <f>BL1167/BL1177*100</f>
        <v>#DIV/0!</v>
      </c>
      <c r="BM1142" s="342" t="e">
        <f>BM1167/BM1177*100</f>
        <v>#DIV/0!</v>
      </c>
      <c r="BO1142" s="342" t="e">
        <f>BO1167/BO1177*100</f>
        <v>#DIV/0!</v>
      </c>
      <c r="BP1142" s="342" t="e">
        <f>BP1167/BP1177*100</f>
        <v>#DIV/0!</v>
      </c>
      <c r="BR1142" s="342" t="e">
        <f>BR1167/BR1177*100</f>
        <v>#DIV/0!</v>
      </c>
      <c r="BS1142" s="342" t="e">
        <f>BS1167/BS1177*100</f>
        <v>#DIV/0!</v>
      </c>
      <c r="BU1142" s="342" t="e">
        <f>BU1167/BU1177*100</f>
        <v>#DIV/0!</v>
      </c>
      <c r="BV1142" s="342" t="e">
        <f>BV1167/BV1177*100</f>
        <v>#DIV/0!</v>
      </c>
      <c r="BX1142" s="342" t="e">
        <f>BX1167/BX1177*100</f>
        <v>#DIV/0!</v>
      </c>
      <c r="BY1142" s="342" t="e">
        <f>BY1167/BY1177*100</f>
        <v>#DIV/0!</v>
      </c>
      <c r="CA1142" s="342" t="e">
        <f>CA1167/CA1177*100</f>
        <v>#DIV/0!</v>
      </c>
      <c r="CB1142" s="342" t="e">
        <f>CB1167/CB1177*100</f>
        <v>#DIV/0!</v>
      </c>
      <c r="CD1142" s="342">
        <f>CD1167/CD1177*100</f>
        <v>0</v>
      </c>
      <c r="CE1142" s="342">
        <f>CE1167/CE1177*100</f>
        <v>0</v>
      </c>
      <c r="CG1142" s="342" t="e">
        <f>CG1167/CG1177*100</f>
        <v>#DIV/0!</v>
      </c>
      <c r="CH1142" s="342" t="e">
        <f>CH1167/CH1177*100</f>
        <v>#DIV/0!</v>
      </c>
      <c r="CJ1142" s="342" t="e">
        <f>CJ1167/CJ1177*100</f>
        <v>#DIV/0!</v>
      </c>
      <c r="CK1142" s="342" t="e">
        <f>CK1167/CK1177*100</f>
        <v>#DIV/0!</v>
      </c>
    </row>
    <row r="1143" spans="1:89" x14ac:dyDescent="0.25">
      <c r="A1143" s="95"/>
      <c r="B1143" s="96" t="s">
        <v>1694</v>
      </c>
      <c r="C1143" s="95"/>
      <c r="D1143" s="95" t="s">
        <v>8</v>
      </c>
      <c r="E1143" s="103"/>
      <c r="F1143" s="103"/>
      <c r="G1143" s="103"/>
      <c r="H1143" s="342"/>
      <c r="I1143" s="342">
        <f t="shared" si="1552"/>
        <v>0</v>
      </c>
      <c r="J1143" s="342">
        <f t="shared" si="1553"/>
        <v>0</v>
      </c>
      <c r="K1143" s="342">
        <f t="shared" si="1554"/>
        <v>0</v>
      </c>
      <c r="L1143" s="342" t="e">
        <f t="shared" si="1555"/>
        <v>#DIV/0!</v>
      </c>
      <c r="M1143" s="342" t="e">
        <f t="shared" si="1556"/>
        <v>#DIV/0!</v>
      </c>
      <c r="N1143" s="342" t="e">
        <f t="shared" si="1556"/>
        <v>#DIV/0!</v>
      </c>
      <c r="O1143" s="295"/>
      <c r="Q1143" s="342">
        <f>Q1168/Q1177*100</f>
        <v>0</v>
      </c>
      <c r="R1143" s="342">
        <f>R1168/R1177*100</f>
        <v>0</v>
      </c>
      <c r="S1143" s="342" t="e">
        <f>S1168/S1177*100</f>
        <v>#DIV/0!</v>
      </c>
      <c r="T1143" s="342" t="e">
        <f>T1168/T1177*100</f>
        <v>#DIV/0!</v>
      </c>
      <c r="V1143" s="342" t="e">
        <f>V1168/V1177*100</f>
        <v>#DIV/0!</v>
      </c>
      <c r="W1143" s="342" t="e">
        <f>W1168/W1177*100</f>
        <v>#DIV/0!</v>
      </c>
      <c r="Y1143" s="342" t="e">
        <f>Y1168/Y1177*100</f>
        <v>#DIV/0!</v>
      </c>
      <c r="Z1143" s="342" t="e">
        <f>Z1168/Z1177*100</f>
        <v>#DIV/0!</v>
      </c>
      <c r="AB1143" s="342" t="e">
        <f>AB1168/AB1177*100</f>
        <v>#DIV/0!</v>
      </c>
      <c r="AC1143" s="342" t="e">
        <f>AC1168/AC1177*100</f>
        <v>#DIV/0!</v>
      </c>
      <c r="AE1143" s="342" t="e">
        <f>AE1168/AE1177*100</f>
        <v>#DIV/0!</v>
      </c>
      <c r="AF1143" s="342" t="e">
        <f>AF1168/AF1177*100</f>
        <v>#DIV/0!</v>
      </c>
      <c r="AH1143" s="342" t="e">
        <f>AH1168/AH1177*100</f>
        <v>#DIV/0!</v>
      </c>
      <c r="AI1143" s="342" t="e">
        <f>AI1168/AI1177*100</f>
        <v>#DIV/0!</v>
      </c>
      <c r="AK1143" s="342" t="e">
        <f>AK1168/AK1177*100</f>
        <v>#DIV/0!</v>
      </c>
      <c r="AL1143" s="342" t="e">
        <f>AL1168/AL1177*100</f>
        <v>#DIV/0!</v>
      </c>
      <c r="AN1143" s="342" t="e">
        <f>AN1168/AN1177*100</f>
        <v>#DIV/0!</v>
      </c>
      <c r="AO1143" s="342" t="e">
        <f>AO1168/AO1177*100</f>
        <v>#DIV/0!</v>
      </c>
      <c r="AQ1143" s="342" t="e">
        <f>AQ1168/AQ1177*100</f>
        <v>#DIV/0!</v>
      </c>
      <c r="AR1143" s="342" t="e">
        <f>AR1168/AR1177*100</f>
        <v>#DIV/0!</v>
      </c>
      <c r="AT1143" s="342" t="e">
        <f>AT1168/AT1177*100</f>
        <v>#DIV/0!</v>
      </c>
      <c r="AU1143" s="342" t="e">
        <f>AU1168/AU1177*100</f>
        <v>#DIV/0!</v>
      </c>
      <c r="AW1143" s="342" t="e">
        <f>AW1168/AW1177*100</f>
        <v>#DIV/0!</v>
      </c>
      <c r="AX1143" s="342" t="e">
        <f>AX1168/AX1177*100</f>
        <v>#DIV/0!</v>
      </c>
      <c r="AZ1143" s="342" t="e">
        <f>AZ1168/AZ1177*100</f>
        <v>#DIV/0!</v>
      </c>
      <c r="BA1143" s="342" t="e">
        <f>BA1168/BA1177*100</f>
        <v>#DIV/0!</v>
      </c>
      <c r="BC1143" s="342">
        <f>BC1168/BC1177*100</f>
        <v>0</v>
      </c>
      <c r="BD1143" s="342">
        <f>BD1168/BD1177*100</f>
        <v>0</v>
      </c>
      <c r="BF1143" s="342" t="e">
        <f>BF1168/BF1177*100</f>
        <v>#DIV/0!</v>
      </c>
      <c r="BG1143" s="342" t="e">
        <f>BG1168/BG1177*100</f>
        <v>#DIV/0!</v>
      </c>
      <c r="BI1143" s="342" t="e">
        <f>BI1168/BI1177*100</f>
        <v>#DIV/0!</v>
      </c>
      <c r="BJ1143" s="342" t="e">
        <f>BJ1168/BJ1177*100</f>
        <v>#DIV/0!</v>
      </c>
      <c r="BL1143" s="342" t="e">
        <f>BL1168/BL1177*100</f>
        <v>#DIV/0!</v>
      </c>
      <c r="BM1143" s="342" t="e">
        <f>BM1168/BM1177*100</f>
        <v>#DIV/0!</v>
      </c>
      <c r="BO1143" s="342" t="e">
        <f>BO1168/BO1177*100</f>
        <v>#DIV/0!</v>
      </c>
      <c r="BP1143" s="342" t="e">
        <f>BP1168/BP1177*100</f>
        <v>#DIV/0!</v>
      </c>
      <c r="BR1143" s="342" t="e">
        <f>BR1168/BR1177*100</f>
        <v>#DIV/0!</v>
      </c>
      <c r="BS1143" s="342" t="e">
        <f>BS1168/BS1177*100</f>
        <v>#DIV/0!</v>
      </c>
      <c r="BU1143" s="342" t="e">
        <f>BU1168/BU1177*100</f>
        <v>#DIV/0!</v>
      </c>
      <c r="BV1143" s="342" t="e">
        <f>BV1168/BV1177*100</f>
        <v>#DIV/0!</v>
      </c>
      <c r="BX1143" s="342" t="e">
        <f>BX1168/BX1177*100</f>
        <v>#DIV/0!</v>
      </c>
      <c r="BY1143" s="342" t="e">
        <f>BY1168/BY1177*100</f>
        <v>#DIV/0!</v>
      </c>
      <c r="CA1143" s="342" t="e">
        <f>CA1168/CA1177*100</f>
        <v>#DIV/0!</v>
      </c>
      <c r="CB1143" s="342" t="e">
        <f>CB1168/CB1177*100</f>
        <v>#DIV/0!</v>
      </c>
      <c r="CD1143" s="342">
        <f>CD1168/CD1177*100</f>
        <v>0</v>
      </c>
      <c r="CE1143" s="342">
        <f>CE1168/CE1177*100</f>
        <v>0</v>
      </c>
      <c r="CG1143" s="342" t="e">
        <f>CG1168/CG1177*100</f>
        <v>#DIV/0!</v>
      </c>
      <c r="CH1143" s="342" t="e">
        <f>CH1168/CH1177*100</f>
        <v>#DIV/0!</v>
      </c>
      <c r="CJ1143" s="342" t="e">
        <f>CJ1168/CJ1177*100</f>
        <v>#DIV/0!</v>
      </c>
      <c r="CK1143" s="342" t="e">
        <f>CK1168/CK1177*100</f>
        <v>#DIV/0!</v>
      </c>
    </row>
    <row r="1144" spans="1:89" x14ac:dyDescent="0.25">
      <c r="A1144" s="95"/>
      <c r="B1144" s="96" t="s">
        <v>1695</v>
      </c>
      <c r="C1144" s="95"/>
      <c r="D1144" s="95" t="s">
        <v>8</v>
      </c>
      <c r="E1144" s="103"/>
      <c r="F1144" s="103"/>
      <c r="G1144" s="103"/>
      <c r="H1144" s="342"/>
      <c r="I1144" s="342">
        <f t="shared" si="1552"/>
        <v>16.666666666666664</v>
      </c>
      <c r="J1144" s="342">
        <f t="shared" si="1553"/>
        <v>25</v>
      </c>
      <c r="K1144" s="342">
        <f t="shared" si="1554"/>
        <v>0</v>
      </c>
      <c r="L1144" s="342" t="e">
        <f t="shared" si="1555"/>
        <v>#DIV/0!</v>
      </c>
      <c r="M1144" s="342" t="e">
        <f t="shared" si="1556"/>
        <v>#DIV/0!</v>
      </c>
      <c r="N1144" s="342" t="e">
        <f t="shared" si="1556"/>
        <v>#DIV/0!</v>
      </c>
      <c r="O1144" s="295"/>
      <c r="Q1144" s="342">
        <f>Q1169/Q1177*100</f>
        <v>0</v>
      </c>
      <c r="R1144" s="342">
        <f>R1169/R1177*100</f>
        <v>0</v>
      </c>
      <c r="S1144" s="342" t="e">
        <f>S1169/S1177*100</f>
        <v>#DIV/0!</v>
      </c>
      <c r="T1144" s="342" t="e">
        <f>T1169/T1177*100</f>
        <v>#DIV/0!</v>
      </c>
      <c r="V1144" s="342" t="e">
        <f>V1169/V1177*100</f>
        <v>#DIV/0!</v>
      </c>
      <c r="W1144" s="342" t="e">
        <f>W1169/W1177*100</f>
        <v>#DIV/0!</v>
      </c>
      <c r="Y1144" s="342" t="e">
        <f>Y1169/Y1177*100</f>
        <v>#DIV/0!</v>
      </c>
      <c r="Z1144" s="342" t="e">
        <f>Z1169/Z1177*100</f>
        <v>#DIV/0!</v>
      </c>
      <c r="AB1144" s="342" t="e">
        <f>AB1169/AB1177*100</f>
        <v>#DIV/0!</v>
      </c>
      <c r="AC1144" s="342" t="e">
        <f>AC1169/AC1177*100</f>
        <v>#DIV/0!</v>
      </c>
      <c r="AE1144" s="342" t="e">
        <f>AE1169/AE1177*100</f>
        <v>#DIV/0!</v>
      </c>
      <c r="AF1144" s="342" t="e">
        <f>AF1169/AF1177*100</f>
        <v>#DIV/0!</v>
      </c>
      <c r="AH1144" s="342" t="e">
        <f>AH1169/AH1177*100</f>
        <v>#DIV/0!</v>
      </c>
      <c r="AI1144" s="342" t="e">
        <f>AI1169/AI1177*100</f>
        <v>#DIV/0!</v>
      </c>
      <c r="AK1144" s="342" t="e">
        <f>AK1169/AK1177*100</f>
        <v>#DIV/0!</v>
      </c>
      <c r="AL1144" s="342" t="e">
        <f>AL1169/AL1177*100</f>
        <v>#DIV/0!</v>
      </c>
      <c r="AN1144" s="342" t="e">
        <f>AN1169/AN1177*100</f>
        <v>#DIV/0!</v>
      </c>
      <c r="AO1144" s="342" t="e">
        <f>AO1169/AO1177*100</f>
        <v>#DIV/0!</v>
      </c>
      <c r="AQ1144" s="342" t="e">
        <f>AQ1169/AQ1177*100</f>
        <v>#DIV/0!</v>
      </c>
      <c r="AR1144" s="342" t="e">
        <f>AR1169/AR1177*100</f>
        <v>#DIV/0!</v>
      </c>
      <c r="AT1144" s="342" t="e">
        <f>AT1169/AT1177*100</f>
        <v>#DIV/0!</v>
      </c>
      <c r="AU1144" s="342" t="e">
        <f>AU1169/AU1177*100</f>
        <v>#DIV/0!</v>
      </c>
      <c r="AW1144" s="342" t="e">
        <f>AW1169/AW1177*100</f>
        <v>#DIV/0!</v>
      </c>
      <c r="AX1144" s="342" t="e">
        <f>AX1169/AX1177*100</f>
        <v>#DIV/0!</v>
      </c>
      <c r="AZ1144" s="342" t="e">
        <f>AZ1169/AZ1177*100</f>
        <v>#DIV/0!</v>
      </c>
      <c r="BA1144" s="342" t="e">
        <f>BA1169/BA1177*100</f>
        <v>#DIV/0!</v>
      </c>
      <c r="BC1144" s="342">
        <f>BC1169/BC1177*100</f>
        <v>0</v>
      </c>
      <c r="BD1144" s="342">
        <f>BD1169/BD1177*100</f>
        <v>0</v>
      </c>
      <c r="BF1144" s="342" t="e">
        <f>BF1169/BF1177*100</f>
        <v>#DIV/0!</v>
      </c>
      <c r="BG1144" s="342" t="e">
        <f>BG1169/BG1177*100</f>
        <v>#DIV/0!</v>
      </c>
      <c r="BI1144" s="342" t="e">
        <f>BI1169/BI1177*100</f>
        <v>#DIV/0!</v>
      </c>
      <c r="BJ1144" s="342" t="e">
        <f>BJ1169/BJ1177*100</f>
        <v>#DIV/0!</v>
      </c>
      <c r="BL1144" s="342" t="e">
        <f>BL1169/BL1177*100</f>
        <v>#DIV/0!</v>
      </c>
      <c r="BM1144" s="342" t="e">
        <f>BM1169/BM1177*100</f>
        <v>#DIV/0!</v>
      </c>
      <c r="BO1144" s="342" t="e">
        <f>BO1169/BO1177*100</f>
        <v>#DIV/0!</v>
      </c>
      <c r="BP1144" s="342" t="e">
        <f>BP1169/BP1177*100</f>
        <v>#DIV/0!</v>
      </c>
      <c r="BR1144" s="342" t="e">
        <f>BR1169/BR1177*100</f>
        <v>#DIV/0!</v>
      </c>
      <c r="BS1144" s="342" t="e">
        <f>BS1169/BS1177*100</f>
        <v>#DIV/0!</v>
      </c>
      <c r="BU1144" s="342" t="e">
        <f>BU1169/BU1177*100</f>
        <v>#DIV/0!</v>
      </c>
      <c r="BV1144" s="342" t="e">
        <f>BV1169/BV1177*100</f>
        <v>#DIV/0!</v>
      </c>
      <c r="BX1144" s="342" t="e">
        <f>BX1169/BX1177*100</f>
        <v>#DIV/0!</v>
      </c>
      <c r="BY1144" s="342" t="e">
        <f>BY1169/BY1177*100</f>
        <v>#DIV/0!</v>
      </c>
      <c r="CA1144" s="342" t="e">
        <f>CA1169/CA1177*100</f>
        <v>#DIV/0!</v>
      </c>
      <c r="CB1144" s="342" t="e">
        <f>CB1169/CB1177*100</f>
        <v>#DIV/0!</v>
      </c>
      <c r="CD1144" s="342">
        <f>CD1169/CD1177*100</f>
        <v>0</v>
      </c>
      <c r="CE1144" s="342">
        <f>CE1169/CE1177*100</f>
        <v>0</v>
      </c>
      <c r="CG1144" s="342" t="e">
        <f>CG1169/CG1177*100</f>
        <v>#DIV/0!</v>
      </c>
      <c r="CH1144" s="342" t="e">
        <f>CH1169/CH1177*100</f>
        <v>#DIV/0!</v>
      </c>
      <c r="CJ1144" s="342" t="e">
        <f>CJ1169/CJ1177*100</f>
        <v>#DIV/0!</v>
      </c>
      <c r="CK1144" s="342" t="e">
        <f>CK1169/CK1177*100</f>
        <v>#DIV/0!</v>
      </c>
    </row>
    <row r="1145" spans="1:89" x14ac:dyDescent="0.25">
      <c r="A1145" s="95"/>
      <c r="B1145" s="96" t="s">
        <v>1696</v>
      </c>
      <c r="C1145" s="95"/>
      <c r="D1145" s="95" t="s">
        <v>8</v>
      </c>
      <c r="E1145" s="103"/>
      <c r="F1145" s="103"/>
      <c r="G1145" s="103"/>
      <c r="H1145" s="342"/>
      <c r="I1145" s="342">
        <f t="shared" si="1552"/>
        <v>0</v>
      </c>
      <c r="J1145" s="342">
        <f t="shared" si="1553"/>
        <v>0</v>
      </c>
      <c r="K1145" s="342">
        <f t="shared" si="1554"/>
        <v>0</v>
      </c>
      <c r="L1145" s="342" t="e">
        <f t="shared" si="1555"/>
        <v>#DIV/0!</v>
      </c>
      <c r="M1145" s="342" t="e">
        <f t="shared" si="1556"/>
        <v>#DIV/0!</v>
      </c>
      <c r="N1145" s="342" t="e">
        <f t="shared" si="1556"/>
        <v>#DIV/0!</v>
      </c>
      <c r="O1145" s="295"/>
      <c r="Q1145" s="342">
        <f>Q1170/Q1177*100</f>
        <v>0</v>
      </c>
      <c r="R1145" s="342">
        <f>R1170/R1177*100</f>
        <v>0</v>
      </c>
      <c r="S1145" s="342" t="e">
        <f>S1170/S1177*100</f>
        <v>#DIV/0!</v>
      </c>
      <c r="T1145" s="342" t="e">
        <f>T1170/T1177*100</f>
        <v>#DIV/0!</v>
      </c>
      <c r="V1145" s="342" t="e">
        <f>V1170/V1177*100</f>
        <v>#DIV/0!</v>
      </c>
      <c r="W1145" s="342" t="e">
        <f>W1170/W1177*100</f>
        <v>#DIV/0!</v>
      </c>
      <c r="Y1145" s="342" t="e">
        <f>Y1170/Y1177*100</f>
        <v>#DIV/0!</v>
      </c>
      <c r="Z1145" s="342" t="e">
        <f>Z1170/Z1177*100</f>
        <v>#DIV/0!</v>
      </c>
      <c r="AB1145" s="342" t="e">
        <f>AB1170/AB1177*100</f>
        <v>#DIV/0!</v>
      </c>
      <c r="AC1145" s="342" t="e">
        <f>AC1170/AC1177*100</f>
        <v>#DIV/0!</v>
      </c>
      <c r="AE1145" s="342" t="e">
        <f>AE1170/AE1177*100</f>
        <v>#DIV/0!</v>
      </c>
      <c r="AF1145" s="342" t="e">
        <f>AF1170/AF1177*100</f>
        <v>#DIV/0!</v>
      </c>
      <c r="AH1145" s="342" t="e">
        <f>AH1170/AH1177*100</f>
        <v>#DIV/0!</v>
      </c>
      <c r="AI1145" s="342" t="e">
        <f>AI1170/AI1177*100</f>
        <v>#DIV/0!</v>
      </c>
      <c r="AK1145" s="342" t="e">
        <f>AK1170/AK1177*100</f>
        <v>#DIV/0!</v>
      </c>
      <c r="AL1145" s="342" t="e">
        <f>AL1170/AL1177*100</f>
        <v>#DIV/0!</v>
      </c>
      <c r="AN1145" s="342" t="e">
        <f>AN1170/AN1177*100</f>
        <v>#DIV/0!</v>
      </c>
      <c r="AO1145" s="342" t="e">
        <f>AO1170/AO1177*100</f>
        <v>#DIV/0!</v>
      </c>
      <c r="AQ1145" s="342" t="e">
        <f>AQ1170/AQ1177*100</f>
        <v>#DIV/0!</v>
      </c>
      <c r="AR1145" s="342" t="e">
        <f>AR1170/AR1177*100</f>
        <v>#DIV/0!</v>
      </c>
      <c r="AT1145" s="342" t="e">
        <f>AT1170/AT1177*100</f>
        <v>#DIV/0!</v>
      </c>
      <c r="AU1145" s="342" t="e">
        <f>AU1170/AU1177*100</f>
        <v>#DIV/0!</v>
      </c>
      <c r="AW1145" s="342" t="e">
        <f>AW1170/AW1177*100</f>
        <v>#DIV/0!</v>
      </c>
      <c r="AX1145" s="342" t="e">
        <f>AX1170/AX1177*100</f>
        <v>#DIV/0!</v>
      </c>
      <c r="AZ1145" s="342" t="e">
        <f>AZ1170/AZ1177*100</f>
        <v>#DIV/0!</v>
      </c>
      <c r="BA1145" s="342" t="e">
        <f>BA1170/BA1177*100</f>
        <v>#DIV/0!</v>
      </c>
      <c r="BC1145" s="342">
        <f>BC1170/BC1177*100</f>
        <v>0</v>
      </c>
      <c r="BD1145" s="342">
        <f>BD1170/BD1177*100</f>
        <v>0</v>
      </c>
      <c r="BF1145" s="342" t="e">
        <f>BF1170/BF1177*100</f>
        <v>#DIV/0!</v>
      </c>
      <c r="BG1145" s="342" t="e">
        <f>BG1170/BG1177*100</f>
        <v>#DIV/0!</v>
      </c>
      <c r="BI1145" s="342" t="e">
        <f>BI1170/BI1177*100</f>
        <v>#DIV/0!</v>
      </c>
      <c r="BJ1145" s="342" t="e">
        <f>BJ1170/BJ1177*100</f>
        <v>#DIV/0!</v>
      </c>
      <c r="BL1145" s="342" t="e">
        <f>BL1170/BL1177*100</f>
        <v>#DIV/0!</v>
      </c>
      <c r="BM1145" s="342" t="e">
        <f>BM1170/BM1177*100</f>
        <v>#DIV/0!</v>
      </c>
      <c r="BO1145" s="342" t="e">
        <f>BO1170/BO1177*100</f>
        <v>#DIV/0!</v>
      </c>
      <c r="BP1145" s="342" t="e">
        <f>BP1170/BP1177*100</f>
        <v>#DIV/0!</v>
      </c>
      <c r="BR1145" s="342" t="e">
        <f>BR1170/BR1177*100</f>
        <v>#DIV/0!</v>
      </c>
      <c r="BS1145" s="342" t="e">
        <f>BS1170/BS1177*100</f>
        <v>#DIV/0!</v>
      </c>
      <c r="BU1145" s="342" t="e">
        <f>BU1170/BU1177*100</f>
        <v>#DIV/0!</v>
      </c>
      <c r="BV1145" s="342" t="e">
        <f>BV1170/BV1177*100</f>
        <v>#DIV/0!</v>
      </c>
      <c r="BX1145" s="342" t="e">
        <f>BX1170/BX1177*100</f>
        <v>#DIV/0!</v>
      </c>
      <c r="BY1145" s="342" t="e">
        <f>BY1170/BY1177*100</f>
        <v>#DIV/0!</v>
      </c>
      <c r="CA1145" s="342" t="e">
        <f>CA1170/CA1177*100</f>
        <v>#DIV/0!</v>
      </c>
      <c r="CB1145" s="342" t="e">
        <f>CB1170/CB1177*100</f>
        <v>#DIV/0!</v>
      </c>
      <c r="CD1145" s="342">
        <f>CD1170/CD1177*100</f>
        <v>0</v>
      </c>
      <c r="CE1145" s="342">
        <f>CE1170/CE1177*100</f>
        <v>0</v>
      </c>
      <c r="CG1145" s="342" t="e">
        <f>CG1170/CG1177*100</f>
        <v>#DIV/0!</v>
      </c>
      <c r="CH1145" s="342" t="e">
        <f>CH1170/CH1177*100</f>
        <v>#DIV/0!</v>
      </c>
      <c r="CJ1145" s="342" t="e">
        <f>CJ1170/CJ1177*100</f>
        <v>#DIV/0!</v>
      </c>
      <c r="CK1145" s="342" t="e">
        <f>CK1170/CK1177*100</f>
        <v>#DIV/0!</v>
      </c>
    </row>
    <row r="1146" spans="1:89" x14ac:dyDescent="0.25">
      <c r="A1146" s="95"/>
      <c r="B1146" s="96" t="s">
        <v>1697</v>
      </c>
      <c r="C1146" s="95"/>
      <c r="D1146" s="95" t="s">
        <v>8</v>
      </c>
      <c r="E1146" s="103"/>
      <c r="F1146" s="103"/>
      <c r="G1146" s="103"/>
      <c r="H1146" s="342"/>
      <c r="I1146" s="342">
        <f t="shared" si="1552"/>
        <v>50</v>
      </c>
      <c r="J1146" s="342">
        <f t="shared" si="1553"/>
        <v>50</v>
      </c>
      <c r="K1146" s="342">
        <f t="shared" si="1554"/>
        <v>40</v>
      </c>
      <c r="L1146" s="342" t="e">
        <f t="shared" si="1555"/>
        <v>#DIV/0!</v>
      </c>
      <c r="M1146" s="342" t="e">
        <f t="shared" si="1556"/>
        <v>#DIV/0!</v>
      </c>
      <c r="N1146" s="342" t="e">
        <f t="shared" si="1556"/>
        <v>#DIV/0!</v>
      </c>
      <c r="O1146" s="295"/>
      <c r="Q1146" s="342">
        <f>Q1171/Q1177*100</f>
        <v>40</v>
      </c>
      <c r="R1146" s="342">
        <f>R1171/R1177*100</f>
        <v>42.857142857142854</v>
      </c>
      <c r="S1146" s="342" t="e">
        <f>S1171/S1177*100</f>
        <v>#DIV/0!</v>
      </c>
      <c r="T1146" s="342" t="e">
        <f>T1171/T1177*100</f>
        <v>#DIV/0!</v>
      </c>
      <c r="V1146" s="342" t="e">
        <f>V1171/V1177*100</f>
        <v>#DIV/0!</v>
      </c>
      <c r="W1146" s="342" t="e">
        <f>W1171/W1177*100</f>
        <v>#DIV/0!</v>
      </c>
      <c r="Y1146" s="342" t="e">
        <f>Y1171/Y1177*100</f>
        <v>#DIV/0!</v>
      </c>
      <c r="Z1146" s="342" t="e">
        <f>Z1171/Z1177*100</f>
        <v>#DIV/0!</v>
      </c>
      <c r="AB1146" s="342" t="e">
        <f>AB1171/AB1177*100</f>
        <v>#DIV/0!</v>
      </c>
      <c r="AC1146" s="342" t="e">
        <f>AC1171/AC1177*100</f>
        <v>#DIV/0!</v>
      </c>
      <c r="AE1146" s="342" t="e">
        <f>AE1171/AE1177*100</f>
        <v>#DIV/0!</v>
      </c>
      <c r="AF1146" s="342" t="e">
        <f>AF1171/AF1177*100</f>
        <v>#DIV/0!</v>
      </c>
      <c r="AH1146" s="342" t="e">
        <f>AH1171/AH1177*100</f>
        <v>#DIV/0!</v>
      </c>
      <c r="AI1146" s="342" t="e">
        <f>AI1171/AI1177*100</f>
        <v>#DIV/0!</v>
      </c>
      <c r="AK1146" s="342" t="e">
        <f>AK1171/AK1177*100</f>
        <v>#DIV/0!</v>
      </c>
      <c r="AL1146" s="342" t="e">
        <f>AL1171/AL1177*100</f>
        <v>#DIV/0!</v>
      </c>
      <c r="AN1146" s="342" t="e">
        <f>AN1171/AN1177*100</f>
        <v>#DIV/0!</v>
      </c>
      <c r="AO1146" s="342" t="e">
        <f>AO1171/AO1177*100</f>
        <v>#DIV/0!</v>
      </c>
      <c r="AQ1146" s="342" t="e">
        <f>AQ1171/AQ1177*100</f>
        <v>#DIV/0!</v>
      </c>
      <c r="AR1146" s="342" t="e">
        <f>AR1171/AR1177*100</f>
        <v>#DIV/0!</v>
      </c>
      <c r="AT1146" s="342" t="e">
        <f>AT1171/AT1177*100</f>
        <v>#DIV/0!</v>
      </c>
      <c r="AU1146" s="342" t="e">
        <f>AU1171/AU1177*100</f>
        <v>#DIV/0!</v>
      </c>
      <c r="AW1146" s="342" t="e">
        <f>AW1171/AW1177*100</f>
        <v>#DIV/0!</v>
      </c>
      <c r="AX1146" s="342" t="e">
        <f>AX1171/AX1177*100</f>
        <v>#DIV/0!</v>
      </c>
      <c r="AZ1146" s="342" t="e">
        <f>AZ1171/AZ1177*100</f>
        <v>#DIV/0!</v>
      </c>
      <c r="BA1146" s="342" t="e">
        <f>BA1171/BA1177*100</f>
        <v>#DIV/0!</v>
      </c>
      <c r="BC1146" s="342">
        <f>BC1171/BC1177*100</f>
        <v>66.666666666666657</v>
      </c>
      <c r="BD1146" s="342">
        <f>BD1171/BD1177*100</f>
        <v>75</v>
      </c>
      <c r="BF1146" s="342" t="e">
        <f>BF1171/BF1177*100</f>
        <v>#DIV/0!</v>
      </c>
      <c r="BG1146" s="342" t="e">
        <f>BG1171/BG1177*100</f>
        <v>#DIV/0!</v>
      </c>
      <c r="BI1146" s="342" t="e">
        <f>BI1171/BI1177*100</f>
        <v>#DIV/0!</v>
      </c>
      <c r="BJ1146" s="342" t="e">
        <f>BJ1171/BJ1177*100</f>
        <v>#DIV/0!</v>
      </c>
      <c r="BL1146" s="342" t="e">
        <f>BL1171/BL1177*100</f>
        <v>#DIV/0!</v>
      </c>
      <c r="BM1146" s="342" t="e">
        <f>BM1171/BM1177*100</f>
        <v>#DIV/0!</v>
      </c>
      <c r="BO1146" s="342" t="e">
        <f>BO1171/BO1177*100</f>
        <v>#DIV/0!</v>
      </c>
      <c r="BP1146" s="342" t="e">
        <f>BP1171/BP1177*100</f>
        <v>#DIV/0!</v>
      </c>
      <c r="BR1146" s="342" t="e">
        <f>BR1171/BR1177*100</f>
        <v>#DIV/0!</v>
      </c>
      <c r="BS1146" s="342" t="e">
        <f>BS1171/BS1177*100</f>
        <v>#DIV/0!</v>
      </c>
      <c r="BU1146" s="342" t="e">
        <f>BU1171/BU1177*100</f>
        <v>#DIV/0!</v>
      </c>
      <c r="BV1146" s="342" t="e">
        <f>BV1171/BV1177*100</f>
        <v>#DIV/0!</v>
      </c>
      <c r="BX1146" s="342" t="e">
        <f>BX1171/BX1177*100</f>
        <v>#DIV/0!</v>
      </c>
      <c r="BY1146" s="342" t="e">
        <f>BY1171/BY1177*100</f>
        <v>#DIV/0!</v>
      </c>
      <c r="CA1146" s="342" t="e">
        <f>CA1171/CA1177*100</f>
        <v>#DIV/0!</v>
      </c>
      <c r="CB1146" s="342" t="e">
        <f>CB1171/CB1177*100</f>
        <v>#DIV/0!</v>
      </c>
      <c r="CD1146" s="342">
        <f>CD1171/CD1177*100</f>
        <v>0</v>
      </c>
      <c r="CE1146" s="342">
        <f>CE1171/CE1177*100</f>
        <v>0</v>
      </c>
      <c r="CG1146" s="342" t="e">
        <f>CG1171/CG1177*100</f>
        <v>#DIV/0!</v>
      </c>
      <c r="CH1146" s="342" t="e">
        <f>CH1171/CH1177*100</f>
        <v>#DIV/0!</v>
      </c>
      <c r="CJ1146" s="342" t="e">
        <f>CJ1171/CJ1177*100</f>
        <v>#DIV/0!</v>
      </c>
      <c r="CK1146" s="342" t="e">
        <f>CK1171/CK1177*100</f>
        <v>#DIV/0!</v>
      </c>
    </row>
    <row r="1147" spans="1:89" x14ac:dyDescent="0.25">
      <c r="A1147" s="95"/>
      <c r="B1147" s="96" t="s">
        <v>1698</v>
      </c>
      <c r="C1147" s="95"/>
      <c r="D1147" s="95" t="s">
        <v>8</v>
      </c>
      <c r="E1147" s="103"/>
      <c r="F1147" s="103"/>
      <c r="G1147" s="103"/>
      <c r="H1147" s="342"/>
      <c r="I1147" s="342">
        <f t="shared" si="1552"/>
        <v>33.333333333333329</v>
      </c>
      <c r="J1147" s="342">
        <f t="shared" si="1553"/>
        <v>25</v>
      </c>
      <c r="K1147" s="342">
        <f t="shared" si="1554"/>
        <v>60</v>
      </c>
      <c r="L1147" s="342" t="e">
        <f t="shared" si="1555"/>
        <v>#DIV/0!</v>
      </c>
      <c r="M1147" s="342" t="e">
        <f t="shared" si="1556"/>
        <v>#DIV/0!</v>
      </c>
      <c r="N1147" s="342" t="e">
        <f t="shared" si="1556"/>
        <v>#DIV/0!</v>
      </c>
      <c r="O1147" s="295"/>
      <c r="Q1147" s="342">
        <f>Q1172/Q1177*100</f>
        <v>60</v>
      </c>
      <c r="R1147" s="342">
        <f>R1172/R1177*100</f>
        <v>42.857142857142854</v>
      </c>
      <c r="S1147" s="342" t="e">
        <f>S1172/S1177*100</f>
        <v>#DIV/0!</v>
      </c>
      <c r="T1147" s="342" t="e">
        <f>T1172/T1177*100</f>
        <v>#DIV/0!</v>
      </c>
      <c r="V1147" s="342" t="e">
        <f>V1172/V1177*100</f>
        <v>#DIV/0!</v>
      </c>
      <c r="W1147" s="342" t="e">
        <f>W1172/W1177*100</f>
        <v>#DIV/0!</v>
      </c>
      <c r="Y1147" s="342" t="e">
        <f>Y1172/Y1177*100</f>
        <v>#DIV/0!</v>
      </c>
      <c r="Z1147" s="342" t="e">
        <f>Z1172/Z1177*100</f>
        <v>#DIV/0!</v>
      </c>
      <c r="AB1147" s="342" t="e">
        <f>AB1172/AB1177*100</f>
        <v>#DIV/0!</v>
      </c>
      <c r="AC1147" s="342" t="e">
        <f>AC1172/AC1177*100</f>
        <v>#DIV/0!</v>
      </c>
      <c r="AE1147" s="342" t="e">
        <f>AE1172/AE1177*100</f>
        <v>#DIV/0!</v>
      </c>
      <c r="AF1147" s="342" t="e">
        <f>AF1172/AF1177*100</f>
        <v>#DIV/0!</v>
      </c>
      <c r="AH1147" s="342" t="e">
        <f>AH1172/AH1177*100</f>
        <v>#DIV/0!</v>
      </c>
      <c r="AI1147" s="342" t="e">
        <f>AI1172/AI1177*100</f>
        <v>#DIV/0!</v>
      </c>
      <c r="AK1147" s="342" t="e">
        <f>AK1172/AK1177*100</f>
        <v>#DIV/0!</v>
      </c>
      <c r="AL1147" s="342" t="e">
        <f>AL1172/AL1177*100</f>
        <v>#DIV/0!</v>
      </c>
      <c r="AN1147" s="342" t="e">
        <f>AN1172/AN1177*100</f>
        <v>#DIV/0!</v>
      </c>
      <c r="AO1147" s="342" t="e">
        <f>AO1172/AO1177*100</f>
        <v>#DIV/0!</v>
      </c>
      <c r="AQ1147" s="342" t="e">
        <f>AQ1172/AQ1177*100</f>
        <v>#DIV/0!</v>
      </c>
      <c r="AR1147" s="342" t="e">
        <f>AR1172/AR1177*100</f>
        <v>#DIV/0!</v>
      </c>
      <c r="AT1147" s="342" t="e">
        <f>AT1172/AT1177*100</f>
        <v>#DIV/0!</v>
      </c>
      <c r="AU1147" s="342" t="e">
        <f>AU1172/AU1177*100</f>
        <v>#DIV/0!</v>
      </c>
      <c r="AW1147" s="342" t="e">
        <f>AW1172/AW1177*100</f>
        <v>#DIV/0!</v>
      </c>
      <c r="AX1147" s="342" t="e">
        <f>AX1172/AX1177*100</f>
        <v>#DIV/0!</v>
      </c>
      <c r="AZ1147" s="342" t="e">
        <f>AZ1172/AZ1177*100</f>
        <v>#DIV/0!</v>
      </c>
      <c r="BA1147" s="342" t="e">
        <f>BA1172/BA1177*100</f>
        <v>#DIV/0!</v>
      </c>
      <c r="BC1147" s="342">
        <f>BC1172/BC1177*100</f>
        <v>33.333333333333329</v>
      </c>
      <c r="BD1147" s="342">
        <f>BD1172/BD1177*100</f>
        <v>25</v>
      </c>
      <c r="BF1147" s="342" t="e">
        <f>BF1172/BF1177*100</f>
        <v>#DIV/0!</v>
      </c>
      <c r="BG1147" s="342" t="e">
        <f>BG1172/BG1177*100</f>
        <v>#DIV/0!</v>
      </c>
      <c r="BI1147" s="342" t="e">
        <f>BI1172/BI1177*100</f>
        <v>#DIV/0!</v>
      </c>
      <c r="BJ1147" s="342" t="e">
        <f>BJ1172/BJ1177*100</f>
        <v>#DIV/0!</v>
      </c>
      <c r="BL1147" s="342" t="e">
        <f>BL1172/BL1177*100</f>
        <v>#DIV/0!</v>
      </c>
      <c r="BM1147" s="342" t="e">
        <f>BM1172/BM1177*100</f>
        <v>#DIV/0!</v>
      </c>
      <c r="BO1147" s="342" t="e">
        <f>BO1172/BO1177*100</f>
        <v>#DIV/0!</v>
      </c>
      <c r="BP1147" s="342" t="e">
        <f>BP1172/BP1177*100</f>
        <v>#DIV/0!</v>
      </c>
      <c r="BR1147" s="342" t="e">
        <f>BR1172/BR1177*100</f>
        <v>#DIV/0!</v>
      </c>
      <c r="BS1147" s="342" t="e">
        <f>BS1172/BS1177*100</f>
        <v>#DIV/0!</v>
      </c>
      <c r="BU1147" s="342" t="e">
        <f>BU1172/BU1177*100</f>
        <v>#DIV/0!</v>
      </c>
      <c r="BV1147" s="342" t="e">
        <f>BV1172/BV1177*100</f>
        <v>#DIV/0!</v>
      </c>
      <c r="BX1147" s="342" t="e">
        <f>BX1172/BX1177*100</f>
        <v>#DIV/0!</v>
      </c>
      <c r="BY1147" s="342" t="e">
        <f>BY1172/BY1177*100</f>
        <v>#DIV/0!</v>
      </c>
      <c r="CA1147" s="342" t="e">
        <f>CA1172/CA1177*100</f>
        <v>#DIV/0!</v>
      </c>
      <c r="CB1147" s="342" t="e">
        <f>CB1172/CB1177*100</f>
        <v>#DIV/0!</v>
      </c>
      <c r="CD1147" s="342">
        <f>CD1172/CD1177*100</f>
        <v>100</v>
      </c>
      <c r="CE1147" s="342">
        <f>CE1172/CE1177*100</f>
        <v>66.666666666666657</v>
      </c>
      <c r="CG1147" s="342" t="e">
        <f>CG1172/CG1177*100</f>
        <v>#DIV/0!</v>
      </c>
      <c r="CH1147" s="342" t="e">
        <f>CH1172/CH1177*100</f>
        <v>#DIV/0!</v>
      </c>
      <c r="CJ1147" s="342" t="e">
        <f>CJ1172/CJ1177*100</f>
        <v>#DIV/0!</v>
      </c>
      <c r="CK1147" s="342" t="e">
        <f>CK1172/CK1177*100</f>
        <v>#DIV/0!</v>
      </c>
    </row>
    <row r="1148" spans="1:89" x14ac:dyDescent="0.25">
      <c r="A1148" s="95"/>
      <c r="B1148" s="96" t="s">
        <v>1699</v>
      </c>
      <c r="C1148" s="95"/>
      <c r="D1148" s="95" t="s">
        <v>8</v>
      </c>
      <c r="E1148" s="103"/>
      <c r="F1148" s="103"/>
      <c r="G1148" s="103"/>
      <c r="H1148" s="342"/>
      <c r="I1148" s="342">
        <f t="shared" si="1552"/>
        <v>0</v>
      </c>
      <c r="J1148" s="342">
        <f t="shared" si="1553"/>
        <v>0</v>
      </c>
      <c r="K1148" s="342">
        <f t="shared" si="1554"/>
        <v>0</v>
      </c>
      <c r="L1148" s="342" t="e">
        <f t="shared" si="1555"/>
        <v>#DIV/0!</v>
      </c>
      <c r="M1148" s="342" t="e">
        <f t="shared" si="1556"/>
        <v>#DIV/0!</v>
      </c>
      <c r="N1148" s="342" t="e">
        <f t="shared" si="1556"/>
        <v>#DIV/0!</v>
      </c>
      <c r="O1148" s="295"/>
      <c r="Q1148" s="342">
        <f>Q1173/Q1177*100</f>
        <v>0</v>
      </c>
      <c r="R1148" s="342">
        <f>R1173/R1177*100</f>
        <v>0</v>
      </c>
      <c r="S1148" s="342" t="e">
        <f>S1173/S1177*100</f>
        <v>#DIV/0!</v>
      </c>
      <c r="T1148" s="342" t="e">
        <f>T1173/T1177*100</f>
        <v>#DIV/0!</v>
      </c>
      <c r="V1148" s="342" t="e">
        <f>V1173/V1177*100</f>
        <v>#DIV/0!</v>
      </c>
      <c r="W1148" s="342" t="e">
        <f>W1173/W1177*100</f>
        <v>#DIV/0!</v>
      </c>
      <c r="Y1148" s="342" t="e">
        <f>Y1173/Y1177*100</f>
        <v>#DIV/0!</v>
      </c>
      <c r="Z1148" s="342" t="e">
        <f>Z1173/Z1177*100</f>
        <v>#DIV/0!</v>
      </c>
      <c r="AB1148" s="342" t="e">
        <f>AB1173/AB1177*100</f>
        <v>#DIV/0!</v>
      </c>
      <c r="AC1148" s="342" t="e">
        <f>AC1173/AC1177*100</f>
        <v>#DIV/0!</v>
      </c>
      <c r="AE1148" s="342" t="e">
        <f>AE1173/AE1177*100</f>
        <v>#DIV/0!</v>
      </c>
      <c r="AF1148" s="342" t="e">
        <f>AF1173/AF1177*100</f>
        <v>#DIV/0!</v>
      </c>
      <c r="AH1148" s="342" t="e">
        <f>AH1173/AH1177*100</f>
        <v>#DIV/0!</v>
      </c>
      <c r="AI1148" s="342" t="e">
        <f>AI1173/AI1177*100</f>
        <v>#DIV/0!</v>
      </c>
      <c r="AK1148" s="342" t="e">
        <f>AK1173/AK1177*100</f>
        <v>#DIV/0!</v>
      </c>
      <c r="AL1148" s="342" t="e">
        <f>AL1173/AL1177*100</f>
        <v>#DIV/0!</v>
      </c>
      <c r="AN1148" s="342" t="e">
        <f>AN1173/AN1177*100</f>
        <v>#DIV/0!</v>
      </c>
      <c r="AO1148" s="342" t="e">
        <f>AO1173/AO1177*100</f>
        <v>#DIV/0!</v>
      </c>
      <c r="AQ1148" s="342" t="e">
        <f>AQ1173/AQ1177*100</f>
        <v>#DIV/0!</v>
      </c>
      <c r="AR1148" s="342" t="e">
        <f>AR1173/AR1177*100</f>
        <v>#DIV/0!</v>
      </c>
      <c r="AT1148" s="342" t="e">
        <f>AT1173/AT1177*100</f>
        <v>#DIV/0!</v>
      </c>
      <c r="AU1148" s="342" t="e">
        <f>AU1173/AU1177*100</f>
        <v>#DIV/0!</v>
      </c>
      <c r="AW1148" s="342" t="e">
        <f>AW1173/AW1177*100</f>
        <v>#DIV/0!</v>
      </c>
      <c r="AX1148" s="342" t="e">
        <f>AX1173/AX1177*100</f>
        <v>#DIV/0!</v>
      </c>
      <c r="AZ1148" s="342" t="e">
        <f>AZ1173/AZ1177*100</f>
        <v>#DIV/0!</v>
      </c>
      <c r="BA1148" s="342" t="e">
        <f>BA1173/BA1177*100</f>
        <v>#DIV/0!</v>
      </c>
      <c r="BC1148" s="342">
        <f>BC1173/BC1177*100</f>
        <v>0</v>
      </c>
      <c r="BD1148" s="342">
        <f>BD1173/BD1177*100</f>
        <v>0</v>
      </c>
      <c r="BF1148" s="342" t="e">
        <f>BF1173/BF1177*100</f>
        <v>#DIV/0!</v>
      </c>
      <c r="BG1148" s="342" t="e">
        <f>BG1173/BG1177*100</f>
        <v>#DIV/0!</v>
      </c>
      <c r="BI1148" s="342" t="e">
        <f>BI1173/BI1177*100</f>
        <v>#DIV/0!</v>
      </c>
      <c r="BJ1148" s="342" t="e">
        <f>BJ1173/BJ1177*100</f>
        <v>#DIV/0!</v>
      </c>
      <c r="BL1148" s="342" t="e">
        <f>BL1173/BL1177*100</f>
        <v>#DIV/0!</v>
      </c>
      <c r="BM1148" s="342" t="e">
        <f>BM1173/BM1177*100</f>
        <v>#DIV/0!</v>
      </c>
      <c r="BO1148" s="342" t="e">
        <f>BO1173/BO1177*100</f>
        <v>#DIV/0!</v>
      </c>
      <c r="BP1148" s="342" t="e">
        <f>BP1173/BP1177*100</f>
        <v>#DIV/0!</v>
      </c>
      <c r="BR1148" s="342" t="e">
        <f>BR1173/BR1177*100</f>
        <v>#DIV/0!</v>
      </c>
      <c r="BS1148" s="342" t="e">
        <f>BS1173/BS1177*100</f>
        <v>#DIV/0!</v>
      </c>
      <c r="BU1148" s="342" t="e">
        <f>BU1173/BU1177*100</f>
        <v>#DIV/0!</v>
      </c>
      <c r="BV1148" s="342" t="e">
        <f>BV1173/BV1177*100</f>
        <v>#DIV/0!</v>
      </c>
      <c r="BX1148" s="342" t="e">
        <f>BX1173/BX1177*100</f>
        <v>#DIV/0!</v>
      </c>
      <c r="BY1148" s="342" t="e">
        <f>BY1173/BY1177*100</f>
        <v>#DIV/0!</v>
      </c>
      <c r="CA1148" s="342" t="e">
        <f>CA1173/CA1177*100</f>
        <v>#DIV/0!</v>
      </c>
      <c r="CB1148" s="342" t="e">
        <f>CB1173/CB1177*100</f>
        <v>#DIV/0!</v>
      </c>
      <c r="CD1148" s="342">
        <f>CD1173/CD1177*100</f>
        <v>0</v>
      </c>
      <c r="CE1148" s="342">
        <f>CE1173/CE1177*100</f>
        <v>0</v>
      </c>
      <c r="CG1148" s="342" t="e">
        <f>CG1173/CG1177*100</f>
        <v>#DIV/0!</v>
      </c>
      <c r="CH1148" s="342" t="e">
        <f>CH1173/CH1177*100</f>
        <v>#DIV/0!</v>
      </c>
      <c r="CJ1148" s="342" t="e">
        <f>CJ1173/CJ1177*100</f>
        <v>#DIV/0!</v>
      </c>
      <c r="CK1148" s="342" t="e">
        <f>CK1173/CK1177*100</f>
        <v>#DIV/0!</v>
      </c>
    </row>
    <row r="1149" spans="1:89" hidden="1" x14ac:dyDescent="0.25">
      <c r="A1149" s="95"/>
      <c r="B1149" s="96" t="s">
        <v>1700</v>
      </c>
      <c r="C1149" s="95"/>
      <c r="D1149" s="95" t="s">
        <v>8</v>
      </c>
      <c r="E1149" s="103"/>
      <c r="F1149" s="103"/>
      <c r="G1149" s="103"/>
      <c r="H1149" s="342"/>
      <c r="I1149" s="342">
        <f t="shared" si="1552"/>
        <v>0</v>
      </c>
      <c r="J1149" s="342">
        <f>J1174/$I$1177*100</f>
        <v>0</v>
      </c>
      <c r="K1149" s="342">
        <f>K1174/$I$1177*100</f>
        <v>0</v>
      </c>
      <c r="L1149" s="342">
        <f>L1174/$I$1177*100</f>
        <v>0</v>
      </c>
      <c r="M1149" s="342">
        <f>M1174/$I$1177*100</f>
        <v>0</v>
      </c>
      <c r="N1149" s="342">
        <f>N1174/$I$1177*100</f>
        <v>0</v>
      </c>
      <c r="O1149" s="295"/>
      <c r="Q1149" s="342">
        <f>Q1174/$I$1177*100</f>
        <v>0</v>
      </c>
      <c r="R1149" s="342">
        <f>R1174/$I$1177*100</f>
        <v>16.666666666666664</v>
      </c>
      <c r="S1149" s="342">
        <f>S1174/$I$1177*100</f>
        <v>0</v>
      </c>
      <c r="T1149" s="342">
        <f>T1174/$I$1177*100</f>
        <v>0</v>
      </c>
      <c r="V1149" s="342">
        <f>V1174/$I$1177*100</f>
        <v>0</v>
      </c>
      <c r="W1149" s="342">
        <f>W1174/$I$1177*100</f>
        <v>0</v>
      </c>
      <c r="Y1149" s="342">
        <f>Y1174/$I$1177*100</f>
        <v>0</v>
      </c>
      <c r="Z1149" s="342">
        <f>Z1174/$I$1177*100</f>
        <v>0</v>
      </c>
      <c r="AB1149" s="342">
        <f>AB1174/$I$1177*100</f>
        <v>0</v>
      </c>
      <c r="AC1149" s="342">
        <f>AC1174/$I$1177*100</f>
        <v>0</v>
      </c>
      <c r="AE1149" s="342">
        <f>AE1174/$I$1177*100</f>
        <v>0</v>
      </c>
      <c r="AF1149" s="342">
        <f>AF1174/$I$1177*100</f>
        <v>0</v>
      </c>
      <c r="AH1149" s="342">
        <f>AH1174/$I$1177*100</f>
        <v>0</v>
      </c>
      <c r="AI1149" s="342">
        <f>AI1174/$I$1177*100</f>
        <v>0</v>
      </c>
      <c r="AK1149" s="342">
        <f>AK1174/$I$1177*100</f>
        <v>0</v>
      </c>
      <c r="AL1149" s="342">
        <f>AL1174/$I$1177*100</f>
        <v>0</v>
      </c>
      <c r="AN1149" s="342">
        <f>AN1174/$I$1177*100</f>
        <v>0</v>
      </c>
      <c r="AO1149" s="342">
        <f>AO1174/$I$1177*100</f>
        <v>0</v>
      </c>
      <c r="AQ1149" s="342">
        <f>AQ1174/$I$1177*100</f>
        <v>0</v>
      </c>
      <c r="AR1149" s="342">
        <f>AR1174/$I$1177*100</f>
        <v>0</v>
      </c>
      <c r="AT1149" s="342">
        <f>AT1174/$I$1177*100</f>
        <v>0</v>
      </c>
      <c r="AU1149" s="342">
        <f>AU1174/$I$1177*100</f>
        <v>0</v>
      </c>
      <c r="AW1149" s="342">
        <f>AW1174/$I$1177*100</f>
        <v>0</v>
      </c>
      <c r="AX1149" s="342">
        <f>AX1174/$I$1177*100</f>
        <v>0</v>
      </c>
      <c r="AZ1149" s="342">
        <f>AZ1174/$I$1177*100</f>
        <v>0</v>
      </c>
      <c r="BA1149" s="342">
        <f>BA1174/$I$1177*100</f>
        <v>0</v>
      </c>
      <c r="BC1149" s="342">
        <f>BC1174/$I$1177*100</f>
        <v>0</v>
      </c>
      <c r="BD1149" s="342">
        <f>BD1174/$I$1177*100</f>
        <v>0</v>
      </c>
      <c r="BF1149" s="342">
        <f>BF1174/$I$1177*100</f>
        <v>0</v>
      </c>
      <c r="BG1149" s="342">
        <f>BG1174/$I$1177*100</f>
        <v>0</v>
      </c>
      <c r="BI1149" s="342">
        <f>BI1174/$I$1177*100</f>
        <v>0</v>
      </c>
      <c r="BJ1149" s="342">
        <f>BJ1174/$I$1177*100</f>
        <v>0</v>
      </c>
      <c r="BL1149" s="342">
        <f>BL1174/$I$1177*100</f>
        <v>0</v>
      </c>
      <c r="BM1149" s="342">
        <f>BM1174/$I$1177*100</f>
        <v>0</v>
      </c>
      <c r="BO1149" s="342">
        <f>BO1174/$I$1177*100</f>
        <v>0</v>
      </c>
      <c r="BP1149" s="342">
        <f>BP1174/$I$1177*100</f>
        <v>0</v>
      </c>
      <c r="BR1149" s="342">
        <f>BR1174/$I$1177*100</f>
        <v>0</v>
      </c>
      <c r="BS1149" s="342">
        <f>BS1174/$I$1177*100</f>
        <v>0</v>
      </c>
      <c r="BU1149" s="342">
        <f>BU1174/$I$1177*100</f>
        <v>0</v>
      </c>
      <c r="BV1149" s="342">
        <f>BV1174/$I$1177*100</f>
        <v>0</v>
      </c>
      <c r="BX1149" s="342">
        <f>BX1174/$I$1177*100</f>
        <v>0</v>
      </c>
      <c r="BY1149" s="342">
        <f>BY1174/$I$1177*100</f>
        <v>0</v>
      </c>
      <c r="CA1149" s="342">
        <f>CA1174/$I$1177*100</f>
        <v>0</v>
      </c>
      <c r="CB1149" s="342">
        <f>CB1174/$I$1177*100</f>
        <v>0</v>
      </c>
      <c r="CD1149" s="342">
        <f>CD1174/$I$1177*100</f>
        <v>0</v>
      </c>
      <c r="CE1149" s="342">
        <f>CE1174/$I$1177*100</f>
        <v>16.666666666666664</v>
      </c>
      <c r="CG1149" s="342">
        <f>CG1174/$I$1177*100</f>
        <v>0</v>
      </c>
      <c r="CH1149" s="342">
        <f>CH1174/$I$1177*100</f>
        <v>0</v>
      </c>
      <c r="CJ1149" s="342">
        <f>CJ1174/$I$1177*100</f>
        <v>0</v>
      </c>
      <c r="CK1149" s="342">
        <f>CK1174/$I$1177*100</f>
        <v>0</v>
      </c>
    </row>
    <row r="1150" spans="1:89" x14ac:dyDescent="0.25">
      <c r="A1150" s="95"/>
      <c r="B1150" s="96" t="s">
        <v>2540</v>
      </c>
      <c r="C1150" s="95"/>
      <c r="D1150" s="95" t="s">
        <v>8</v>
      </c>
      <c r="E1150" s="103"/>
      <c r="F1150" s="103"/>
      <c r="G1150" s="103"/>
      <c r="H1150" s="342"/>
      <c r="I1150" s="342"/>
      <c r="J1150" s="342"/>
      <c r="K1150" s="342"/>
      <c r="L1150" s="342"/>
      <c r="M1150" s="342"/>
      <c r="N1150" s="342"/>
      <c r="O1150" s="295"/>
      <c r="Q1150" s="348"/>
      <c r="R1150" s="348"/>
      <c r="S1150" s="348"/>
      <c r="T1150" s="348"/>
      <c r="V1150" s="348"/>
      <c r="W1150" s="348"/>
      <c r="Y1150" s="348"/>
      <c r="Z1150" s="348"/>
      <c r="AB1150" s="348"/>
      <c r="AC1150" s="348"/>
      <c r="AE1150" s="348"/>
      <c r="AF1150" s="348"/>
      <c r="AH1150" s="348"/>
      <c r="AI1150" s="348"/>
      <c r="AK1150" s="348"/>
      <c r="AL1150" s="348"/>
      <c r="AN1150" s="348"/>
      <c r="AO1150" s="348"/>
      <c r="AQ1150" s="348"/>
      <c r="AR1150" s="348"/>
      <c r="AT1150" s="348"/>
      <c r="AU1150" s="348"/>
      <c r="AW1150" s="348"/>
      <c r="AX1150" s="348"/>
      <c r="AZ1150" s="348"/>
      <c r="BA1150" s="348"/>
      <c r="BC1150" s="348"/>
      <c r="BD1150" s="348"/>
      <c r="BF1150" s="348"/>
      <c r="BG1150" s="348"/>
      <c r="BI1150" s="348"/>
      <c r="BJ1150" s="348"/>
      <c r="BL1150" s="348"/>
      <c r="BM1150" s="348"/>
      <c r="BO1150" s="348"/>
      <c r="BP1150" s="348"/>
      <c r="BR1150" s="348"/>
      <c r="BS1150" s="348"/>
      <c r="BU1150" s="348"/>
      <c r="BV1150" s="348"/>
      <c r="BX1150" s="348"/>
      <c r="BY1150" s="348"/>
      <c r="CA1150" s="348"/>
      <c r="CB1150" s="348"/>
      <c r="CD1150" s="348"/>
      <c r="CE1150" s="348"/>
      <c r="CG1150" s="348"/>
      <c r="CH1150" s="348"/>
      <c r="CJ1150" s="348"/>
      <c r="CK1150" s="348"/>
    </row>
    <row r="1151" spans="1:89" x14ac:dyDescent="0.25">
      <c r="A1151" s="95"/>
      <c r="B1151" s="96" t="s">
        <v>2538</v>
      </c>
      <c r="C1151" s="95"/>
      <c r="D1151" s="95" t="s">
        <v>8</v>
      </c>
      <c r="E1151" s="103"/>
      <c r="F1151" s="103"/>
      <c r="G1151" s="103"/>
      <c r="H1151" s="342"/>
      <c r="I1151" s="342"/>
      <c r="J1151" s="342"/>
      <c r="K1151" s="342"/>
      <c r="L1151" s="342"/>
      <c r="M1151" s="342"/>
      <c r="N1151" s="342"/>
      <c r="O1151" s="295"/>
      <c r="Q1151" s="348"/>
      <c r="R1151" s="348"/>
      <c r="S1151" s="348"/>
      <c r="T1151" s="348"/>
      <c r="V1151" s="348"/>
      <c r="W1151" s="348"/>
      <c r="Y1151" s="348"/>
      <c r="Z1151" s="348"/>
      <c r="AB1151" s="348"/>
      <c r="AC1151" s="348"/>
      <c r="AE1151" s="348"/>
      <c r="AF1151" s="348"/>
      <c r="AH1151" s="348"/>
      <c r="AI1151" s="348"/>
      <c r="AK1151" s="348"/>
      <c r="AL1151" s="348"/>
      <c r="AN1151" s="348"/>
      <c r="AO1151" s="348"/>
      <c r="AQ1151" s="348"/>
      <c r="AR1151" s="348"/>
      <c r="AT1151" s="348"/>
      <c r="AU1151" s="348"/>
      <c r="AW1151" s="348"/>
      <c r="AX1151" s="348"/>
      <c r="AZ1151" s="348"/>
      <c r="BA1151" s="348"/>
      <c r="BC1151" s="348"/>
      <c r="BD1151" s="348"/>
      <c r="BF1151" s="348"/>
      <c r="BG1151" s="348"/>
      <c r="BI1151" s="348"/>
      <c r="BJ1151" s="348"/>
      <c r="BL1151" s="348"/>
      <c r="BM1151" s="348"/>
      <c r="BO1151" s="348"/>
      <c r="BP1151" s="348"/>
      <c r="BR1151" s="348"/>
      <c r="BS1151" s="348"/>
      <c r="BU1151" s="348"/>
      <c r="BV1151" s="348"/>
      <c r="BX1151" s="348"/>
      <c r="BY1151" s="348"/>
      <c r="CA1151" s="348"/>
      <c r="CB1151" s="348"/>
      <c r="CD1151" s="348"/>
      <c r="CE1151" s="348"/>
      <c r="CG1151" s="348"/>
      <c r="CH1151" s="348"/>
      <c r="CJ1151" s="348"/>
      <c r="CK1151" s="348"/>
    </row>
    <row r="1152" spans="1:89" x14ac:dyDescent="0.25">
      <c r="A1152" s="95"/>
      <c r="B1152" s="96" t="s">
        <v>1182</v>
      </c>
      <c r="C1152" s="95"/>
      <c r="D1152" s="95"/>
      <c r="E1152" s="103"/>
      <c r="F1152" s="103"/>
      <c r="G1152" s="103"/>
      <c r="H1152" s="342"/>
      <c r="I1152" s="103"/>
      <c r="J1152" s="103"/>
      <c r="K1152" s="103"/>
      <c r="L1152" s="103"/>
      <c r="M1152" s="103"/>
      <c r="N1152" s="103"/>
      <c r="O1152" s="295"/>
    </row>
    <row r="1153" spans="1:89" ht="30" x14ac:dyDescent="0.25">
      <c r="A1153" s="95"/>
      <c r="B1153" s="96" t="s">
        <v>1692</v>
      </c>
      <c r="C1153" s="312" t="s">
        <v>2444</v>
      </c>
      <c r="D1153" s="95" t="s">
        <v>950</v>
      </c>
      <c r="E1153" s="103"/>
      <c r="F1153" s="103"/>
      <c r="G1153" s="103"/>
      <c r="H1153" s="342"/>
      <c r="I1153" s="103">
        <v>69</v>
      </c>
      <c r="J1153" s="103">
        <v>56</v>
      </c>
      <c r="K1153" s="103">
        <v>50</v>
      </c>
      <c r="L1153" s="103">
        <v>0</v>
      </c>
      <c r="M1153" s="103">
        <v>0</v>
      </c>
      <c r="N1153" s="103">
        <v>0</v>
      </c>
      <c r="O1153" s="295"/>
      <c r="P1153" s="283"/>
      <c r="Q1153" s="283">
        <f t="shared" ref="Q1153:Q1161" si="1557">S1153+V1153+Y1153+AB1153+AE1153+AH1153+AK1153+AN1153+AQ1153+AT1153+AW1153+AZ1153+BC1153+BF1153+BI1153+BL1153+BO1153+BR1153+BU1153+BX1153+CA1153+CD1153+CG1153+CJ1153</f>
        <v>50</v>
      </c>
      <c r="R1153" s="283">
        <f t="shared" ref="R1153:R1161" si="1558">T1153+W1153+Z1153+AC1153+AF1153+AI1153+AL1153+AO1153+AR1153+AU1153+AX1153+BA1153+BD1153+BG1153+BJ1153+BM1153+BP1153+BS1153+BV1153+BY1153+CB1153+CE1153+CH1153+CK1153</f>
        <v>54</v>
      </c>
      <c r="S1153" s="267">
        <v>0</v>
      </c>
      <c r="T1153" s="267">
        <v>0</v>
      </c>
      <c r="V1153" s="267">
        <v>0</v>
      </c>
      <c r="W1153" s="267">
        <v>0</v>
      </c>
      <c r="Y1153" s="267">
        <v>0</v>
      </c>
      <c r="Z1153" s="267">
        <v>0</v>
      </c>
      <c r="AB1153" s="267">
        <v>0</v>
      </c>
      <c r="AC1153" s="267">
        <v>0</v>
      </c>
      <c r="AE1153" s="267">
        <v>0</v>
      </c>
      <c r="AF1153" s="267">
        <v>0</v>
      </c>
      <c r="AH1153" s="267">
        <v>0</v>
      </c>
      <c r="AI1153" s="267">
        <v>0</v>
      </c>
      <c r="AK1153" s="267">
        <v>1</v>
      </c>
      <c r="AL1153" s="267">
        <v>1</v>
      </c>
      <c r="AN1153" s="267">
        <v>0</v>
      </c>
      <c r="AO1153" s="267">
        <v>0</v>
      </c>
      <c r="AQ1153" s="267">
        <v>0</v>
      </c>
      <c r="AR1153" s="267">
        <v>0</v>
      </c>
      <c r="AT1153" s="267">
        <v>0</v>
      </c>
      <c r="AU1153" s="267">
        <v>0</v>
      </c>
      <c r="AW1153" s="267">
        <v>0</v>
      </c>
      <c r="AX1153" s="267">
        <v>0</v>
      </c>
      <c r="AZ1153" s="267">
        <v>0</v>
      </c>
      <c r="BA1153" s="267">
        <v>0</v>
      </c>
      <c r="BC1153" s="267">
        <v>1</v>
      </c>
      <c r="BD1153" s="267">
        <v>1</v>
      </c>
      <c r="BF1153" s="267">
        <v>0</v>
      </c>
      <c r="BG1153" s="267">
        <v>0</v>
      </c>
      <c r="BI1153" s="267">
        <v>15</v>
      </c>
      <c r="BJ1153" s="267">
        <v>16</v>
      </c>
      <c r="BL1153" s="267">
        <v>0</v>
      </c>
      <c r="BM1153" s="267">
        <v>0</v>
      </c>
      <c r="BO1153" s="267">
        <v>0</v>
      </c>
      <c r="BP1153" s="267">
        <v>0</v>
      </c>
      <c r="BR1153" s="267">
        <v>1</v>
      </c>
      <c r="BS1153" s="267">
        <v>2</v>
      </c>
      <c r="BU1153" s="267">
        <v>0</v>
      </c>
      <c r="BV1153" s="267">
        <v>0</v>
      </c>
      <c r="BX1153" s="267">
        <v>0</v>
      </c>
      <c r="BY1153" s="267">
        <v>0</v>
      </c>
      <c r="CA1153" s="267">
        <v>0</v>
      </c>
      <c r="CB1153" s="267">
        <v>0</v>
      </c>
      <c r="CD1153" s="267">
        <v>0</v>
      </c>
      <c r="CE1153" s="267">
        <v>0</v>
      </c>
      <c r="CG1153" s="267">
        <v>32</v>
      </c>
      <c r="CH1153" s="267">
        <v>34</v>
      </c>
      <c r="CJ1153" s="267">
        <v>0</v>
      </c>
      <c r="CK1153" s="267">
        <v>0</v>
      </c>
    </row>
    <row r="1154" spans="1:89" ht="30" x14ac:dyDescent="0.25">
      <c r="A1154" s="95"/>
      <c r="B1154" s="96" t="s">
        <v>1693</v>
      </c>
      <c r="C1154" s="312" t="s">
        <v>2418</v>
      </c>
      <c r="D1154" s="95" t="s">
        <v>950</v>
      </c>
      <c r="E1154" s="103"/>
      <c r="F1154" s="103"/>
      <c r="G1154" s="103"/>
      <c r="H1154" s="342"/>
      <c r="I1154" s="103">
        <v>96</v>
      </c>
      <c r="J1154" s="103">
        <v>136</v>
      </c>
      <c r="K1154" s="103">
        <v>147</v>
      </c>
      <c r="L1154" s="103">
        <v>3</v>
      </c>
      <c r="M1154" s="103">
        <v>3</v>
      </c>
      <c r="N1154" s="103">
        <v>3</v>
      </c>
      <c r="O1154" s="295"/>
      <c r="P1154" s="283"/>
      <c r="Q1154" s="283">
        <f t="shared" si="1557"/>
        <v>147</v>
      </c>
      <c r="R1154" s="283">
        <f t="shared" si="1558"/>
        <v>149</v>
      </c>
      <c r="S1154" s="267">
        <v>4</v>
      </c>
      <c r="T1154" s="267">
        <v>5</v>
      </c>
      <c r="V1154" s="267">
        <v>0</v>
      </c>
      <c r="W1154" s="267">
        <v>0</v>
      </c>
      <c r="Y1154" s="267">
        <v>2</v>
      </c>
      <c r="Z1154" s="267">
        <v>4</v>
      </c>
      <c r="AB1154" s="267">
        <v>3</v>
      </c>
      <c r="AC1154" s="267">
        <v>2</v>
      </c>
      <c r="AE1154" s="267">
        <v>1</v>
      </c>
      <c r="AF1154" s="267">
        <v>0</v>
      </c>
      <c r="AH1154" s="267">
        <v>4</v>
      </c>
      <c r="AI1154" s="267">
        <v>3</v>
      </c>
      <c r="AK1154" s="267">
        <v>1</v>
      </c>
      <c r="AL1154" s="267">
        <v>2</v>
      </c>
      <c r="AN1154" s="267">
        <v>9</v>
      </c>
      <c r="AO1154" s="267">
        <v>7</v>
      </c>
      <c r="AQ1154" s="267">
        <v>0</v>
      </c>
      <c r="AR1154" s="267">
        <v>2</v>
      </c>
      <c r="AT1154" s="267">
        <v>9</v>
      </c>
      <c r="AU1154" s="267">
        <v>10</v>
      </c>
      <c r="AW1154" s="267">
        <v>6</v>
      </c>
      <c r="AX1154" s="267">
        <v>6</v>
      </c>
      <c r="AZ1154" s="267">
        <v>2</v>
      </c>
      <c r="BA1154" s="267">
        <v>2</v>
      </c>
      <c r="BC1154" s="267">
        <v>18</v>
      </c>
      <c r="BD1154" s="267">
        <v>19</v>
      </c>
      <c r="BF1154" s="267">
        <v>8</v>
      </c>
      <c r="BG1154" s="267">
        <v>8</v>
      </c>
      <c r="BI1154" s="267">
        <v>10</v>
      </c>
      <c r="BJ1154" s="267">
        <v>10</v>
      </c>
      <c r="BL1154" s="267">
        <v>0</v>
      </c>
      <c r="BM1154" s="267">
        <v>1</v>
      </c>
      <c r="BO1154" s="267">
        <v>2</v>
      </c>
      <c r="BP1154" s="267">
        <v>1</v>
      </c>
      <c r="BR1154" s="267">
        <v>2</v>
      </c>
      <c r="BS1154" s="267">
        <v>1</v>
      </c>
      <c r="BU1154" s="267">
        <v>0</v>
      </c>
      <c r="BV1154" s="267">
        <v>0</v>
      </c>
      <c r="BX1154" s="267">
        <v>2</v>
      </c>
      <c r="BY1154" s="267">
        <v>3</v>
      </c>
      <c r="CA1154" s="267">
        <v>4</v>
      </c>
      <c r="CB1154" s="267">
        <v>6</v>
      </c>
      <c r="CD1154" s="267">
        <v>1</v>
      </c>
      <c r="CE1154" s="267">
        <v>4</v>
      </c>
      <c r="CG1154" s="267">
        <v>59</v>
      </c>
      <c r="CH1154" s="267">
        <v>53</v>
      </c>
      <c r="CJ1154" s="267">
        <v>0</v>
      </c>
      <c r="CK1154" s="267">
        <v>0</v>
      </c>
    </row>
    <row r="1155" spans="1:89" ht="30" x14ac:dyDescent="0.25">
      <c r="A1155" s="95"/>
      <c r="B1155" s="96" t="s">
        <v>1694</v>
      </c>
      <c r="C1155" s="312" t="s">
        <v>2419</v>
      </c>
      <c r="D1155" s="95" t="s">
        <v>950</v>
      </c>
      <c r="E1155" s="103"/>
      <c r="F1155" s="103"/>
      <c r="G1155" s="103"/>
      <c r="H1155" s="342"/>
      <c r="I1155" s="103">
        <v>24</v>
      </c>
      <c r="J1155" s="103">
        <v>24</v>
      </c>
      <c r="K1155" s="103">
        <v>25</v>
      </c>
      <c r="L1155" s="103">
        <v>1</v>
      </c>
      <c r="M1155" s="103">
        <v>1</v>
      </c>
      <c r="N1155" s="103">
        <v>1</v>
      </c>
      <c r="O1155" s="295"/>
      <c r="P1155" s="283"/>
      <c r="Q1155" s="283">
        <f t="shared" si="1557"/>
        <v>25</v>
      </c>
      <c r="R1155" s="283">
        <f t="shared" si="1558"/>
        <v>22</v>
      </c>
      <c r="S1155" s="267">
        <v>0</v>
      </c>
      <c r="T1155" s="267">
        <v>0</v>
      </c>
      <c r="V1155" s="267">
        <v>0</v>
      </c>
      <c r="W1155" s="267">
        <v>0</v>
      </c>
      <c r="Y1155" s="267">
        <v>1</v>
      </c>
      <c r="Z1155" s="267">
        <v>1</v>
      </c>
      <c r="AB1155" s="267">
        <v>0</v>
      </c>
      <c r="AC1155" s="267">
        <v>0</v>
      </c>
      <c r="AE1155" s="267">
        <v>0</v>
      </c>
      <c r="AF1155" s="267">
        <v>0</v>
      </c>
      <c r="AH1155" s="267">
        <v>1</v>
      </c>
      <c r="AI1155" s="267">
        <v>1</v>
      </c>
      <c r="AK1155" s="267">
        <v>1</v>
      </c>
      <c r="AL1155" s="267">
        <v>1</v>
      </c>
      <c r="AN1155" s="267">
        <v>0</v>
      </c>
      <c r="AO1155" s="267">
        <v>0</v>
      </c>
      <c r="AQ1155" s="267">
        <v>0</v>
      </c>
      <c r="AR1155" s="267">
        <v>0</v>
      </c>
      <c r="AT1155" s="267">
        <v>0</v>
      </c>
      <c r="AU1155" s="267">
        <v>0</v>
      </c>
      <c r="AW1155" s="267">
        <v>0</v>
      </c>
      <c r="AX1155" s="267">
        <v>0</v>
      </c>
      <c r="AZ1155" s="267">
        <v>0</v>
      </c>
      <c r="BA1155" s="267">
        <v>0</v>
      </c>
      <c r="BC1155" s="267">
        <v>8</v>
      </c>
      <c r="BD1155" s="267">
        <v>7</v>
      </c>
      <c r="BF1155" s="267">
        <v>0</v>
      </c>
      <c r="BG1155" s="267">
        <v>0</v>
      </c>
      <c r="BI1155" s="267">
        <v>1</v>
      </c>
      <c r="BJ1155" s="267">
        <v>2</v>
      </c>
      <c r="BL1155" s="267">
        <v>0</v>
      </c>
      <c r="BM1155" s="267">
        <v>0</v>
      </c>
      <c r="BO1155" s="267">
        <v>0</v>
      </c>
      <c r="BP1155" s="267">
        <v>0</v>
      </c>
      <c r="BR1155" s="267">
        <v>0</v>
      </c>
      <c r="BS1155" s="267">
        <v>1</v>
      </c>
      <c r="BU1155" s="267">
        <v>0</v>
      </c>
      <c r="BV1155" s="267">
        <v>0</v>
      </c>
      <c r="BX1155" s="267">
        <v>1</v>
      </c>
      <c r="BY1155" s="267">
        <v>0</v>
      </c>
      <c r="CA1155" s="267">
        <v>0</v>
      </c>
      <c r="CB1155" s="267">
        <v>0</v>
      </c>
      <c r="CD1155" s="267">
        <v>2</v>
      </c>
      <c r="CE1155" s="267">
        <v>0</v>
      </c>
      <c r="CG1155" s="267">
        <v>10</v>
      </c>
      <c r="CH1155" s="267">
        <v>9</v>
      </c>
      <c r="CJ1155" s="267">
        <v>0</v>
      </c>
      <c r="CK1155" s="267">
        <v>0</v>
      </c>
    </row>
    <row r="1156" spans="1:89" ht="30" x14ac:dyDescent="0.25">
      <c r="A1156" s="95"/>
      <c r="B1156" s="96" t="s">
        <v>1695</v>
      </c>
      <c r="C1156" s="312" t="s">
        <v>2420</v>
      </c>
      <c r="D1156" s="95" t="s">
        <v>950</v>
      </c>
      <c r="E1156" s="103"/>
      <c r="F1156" s="103"/>
      <c r="G1156" s="103"/>
      <c r="H1156" s="342"/>
      <c r="I1156" s="103">
        <v>115</v>
      </c>
      <c r="J1156" s="103">
        <v>160</v>
      </c>
      <c r="K1156" s="103">
        <v>201</v>
      </c>
      <c r="L1156" s="103">
        <v>10</v>
      </c>
      <c r="M1156" s="103">
        <v>8</v>
      </c>
      <c r="N1156" s="103">
        <v>7</v>
      </c>
      <c r="O1156" s="295"/>
      <c r="P1156" s="283"/>
      <c r="Q1156" s="283">
        <f t="shared" si="1557"/>
        <v>201</v>
      </c>
      <c r="R1156" s="283">
        <f t="shared" si="1558"/>
        <v>198</v>
      </c>
      <c r="S1156" s="267">
        <v>5</v>
      </c>
      <c r="T1156" s="267">
        <v>5</v>
      </c>
      <c r="U1156" s="304"/>
      <c r="V1156" s="304">
        <v>1</v>
      </c>
      <c r="W1156" s="267">
        <v>2</v>
      </c>
      <c r="X1156" s="304"/>
      <c r="Y1156" s="304">
        <v>8</v>
      </c>
      <c r="Z1156" s="304">
        <v>8</v>
      </c>
      <c r="AA1156" s="304"/>
      <c r="AB1156" s="267">
        <v>4</v>
      </c>
      <c r="AC1156" s="267">
        <v>3</v>
      </c>
      <c r="AD1156" s="304"/>
      <c r="AE1156" s="304">
        <v>2</v>
      </c>
      <c r="AF1156" s="267">
        <v>2</v>
      </c>
      <c r="AG1156" s="304"/>
      <c r="AH1156" s="304">
        <v>8</v>
      </c>
      <c r="AI1156" s="304">
        <v>10</v>
      </c>
      <c r="AJ1156" s="304"/>
      <c r="AK1156" s="304">
        <v>6</v>
      </c>
      <c r="AL1156" s="304">
        <v>5</v>
      </c>
      <c r="AM1156" s="304"/>
      <c r="AN1156" s="267">
        <v>14</v>
      </c>
      <c r="AO1156" s="267">
        <v>12</v>
      </c>
      <c r="AP1156" s="304"/>
      <c r="AQ1156" s="304">
        <v>0</v>
      </c>
      <c r="AR1156" s="304">
        <v>1</v>
      </c>
      <c r="AS1156" s="304"/>
      <c r="AT1156" s="267">
        <v>21</v>
      </c>
      <c r="AU1156" s="267">
        <v>20</v>
      </c>
      <c r="AV1156" s="304"/>
      <c r="AW1156" s="267">
        <v>1</v>
      </c>
      <c r="AX1156" s="267">
        <v>1</v>
      </c>
      <c r="AY1156" s="304"/>
      <c r="AZ1156" s="304">
        <v>5</v>
      </c>
      <c r="BA1156" s="304">
        <v>3</v>
      </c>
      <c r="BB1156" s="304"/>
      <c r="BC1156" s="267">
        <v>2</v>
      </c>
      <c r="BD1156" s="267">
        <v>1</v>
      </c>
      <c r="BE1156" s="304"/>
      <c r="BF1156" s="267">
        <v>19</v>
      </c>
      <c r="BG1156" s="267">
        <v>23</v>
      </c>
      <c r="BH1156" s="304"/>
      <c r="BI1156" s="267">
        <v>74</v>
      </c>
      <c r="BJ1156" s="267">
        <v>73</v>
      </c>
      <c r="BK1156" s="304"/>
      <c r="BL1156" s="304">
        <v>0</v>
      </c>
      <c r="BM1156" s="304">
        <v>0</v>
      </c>
      <c r="BN1156" s="304"/>
      <c r="BO1156" s="304">
        <v>1</v>
      </c>
      <c r="BP1156" s="267">
        <v>1</v>
      </c>
      <c r="BQ1156" s="304"/>
      <c r="BR1156" s="267">
        <v>7</v>
      </c>
      <c r="BS1156" s="267">
        <v>7</v>
      </c>
      <c r="BT1156" s="304"/>
      <c r="BU1156" s="304">
        <v>0</v>
      </c>
      <c r="BV1156" s="304">
        <v>0</v>
      </c>
      <c r="BW1156" s="304"/>
      <c r="BX1156" s="304">
        <v>4</v>
      </c>
      <c r="BY1156" s="304">
        <v>4</v>
      </c>
      <c r="BZ1156" s="304"/>
      <c r="CA1156" s="267">
        <v>5</v>
      </c>
      <c r="CB1156" s="267">
        <v>3</v>
      </c>
      <c r="CC1156" s="304"/>
      <c r="CD1156" s="304">
        <v>4</v>
      </c>
      <c r="CE1156" s="304">
        <v>5</v>
      </c>
      <c r="CF1156" s="304"/>
      <c r="CG1156" s="267">
        <v>10</v>
      </c>
      <c r="CH1156" s="267">
        <v>9</v>
      </c>
      <c r="CI1156" s="304"/>
      <c r="CJ1156" s="267">
        <v>0</v>
      </c>
      <c r="CK1156" s="267">
        <v>0</v>
      </c>
    </row>
    <row r="1157" spans="1:89" ht="30" x14ac:dyDescent="0.25">
      <c r="A1157" s="95"/>
      <c r="B1157" s="96" t="s">
        <v>1696</v>
      </c>
      <c r="C1157" s="312" t="s">
        <v>2421</v>
      </c>
      <c r="D1157" s="95" t="s">
        <v>950</v>
      </c>
      <c r="E1157" s="103"/>
      <c r="F1157" s="103"/>
      <c r="G1157" s="103"/>
      <c r="H1157" s="342"/>
      <c r="I1157" s="103">
        <v>709</v>
      </c>
      <c r="J1157" s="103">
        <v>1264</v>
      </c>
      <c r="K1157" s="103">
        <v>1573</v>
      </c>
      <c r="L1157" s="103">
        <v>67</v>
      </c>
      <c r="M1157" s="103">
        <v>80</v>
      </c>
      <c r="N1157" s="103">
        <v>96</v>
      </c>
      <c r="O1157" s="295"/>
      <c r="P1157" s="283"/>
      <c r="Q1157" s="283">
        <f t="shared" si="1557"/>
        <v>1573</v>
      </c>
      <c r="R1157" s="283">
        <f t="shared" si="1558"/>
        <v>1488</v>
      </c>
      <c r="S1157" s="267">
        <v>7</v>
      </c>
      <c r="T1157" s="267">
        <v>7</v>
      </c>
      <c r="U1157" s="304"/>
      <c r="V1157" s="304">
        <v>6</v>
      </c>
      <c r="W1157" s="267">
        <v>7</v>
      </c>
      <c r="X1157" s="304"/>
      <c r="Y1157" s="304">
        <v>33</v>
      </c>
      <c r="Z1157" s="304">
        <v>40</v>
      </c>
      <c r="AA1157" s="304"/>
      <c r="AB1157" s="267">
        <v>1</v>
      </c>
      <c r="AC1157" s="267">
        <v>2</v>
      </c>
      <c r="AD1157" s="304"/>
      <c r="AE1157" s="304">
        <v>5</v>
      </c>
      <c r="AF1157" s="267">
        <v>6</v>
      </c>
      <c r="AG1157" s="304"/>
      <c r="AH1157" s="304">
        <v>93</v>
      </c>
      <c r="AI1157" s="304">
        <v>67</v>
      </c>
      <c r="AJ1157" s="304"/>
      <c r="AK1157" s="304">
        <v>5</v>
      </c>
      <c r="AL1157" s="304">
        <v>5</v>
      </c>
      <c r="AM1157" s="304"/>
      <c r="AN1157" s="267">
        <v>162</v>
      </c>
      <c r="AO1157" s="267">
        <v>164</v>
      </c>
      <c r="AP1157" s="304"/>
      <c r="AQ1157" s="304">
        <v>47</v>
      </c>
      <c r="AR1157" s="304">
        <v>61</v>
      </c>
      <c r="AS1157" s="304"/>
      <c r="AT1157" s="267">
        <v>212</v>
      </c>
      <c r="AU1157" s="267">
        <v>163</v>
      </c>
      <c r="AV1157" s="304"/>
      <c r="AW1157" s="267">
        <v>60</v>
      </c>
      <c r="AX1157" s="267">
        <v>83</v>
      </c>
      <c r="AY1157" s="304"/>
      <c r="AZ1157" s="304">
        <v>64</v>
      </c>
      <c r="BA1157" s="304">
        <v>78</v>
      </c>
      <c r="BB1157" s="304"/>
      <c r="BC1157" s="267">
        <v>1</v>
      </c>
      <c r="BD1157" s="267">
        <v>1</v>
      </c>
      <c r="BE1157" s="304"/>
      <c r="BF1157" s="267">
        <v>19</v>
      </c>
      <c r="BG1157" s="267">
        <v>24</v>
      </c>
      <c r="BH1157" s="304"/>
      <c r="BI1157" s="267">
        <v>683</v>
      </c>
      <c r="BJ1157" s="267">
        <v>592</v>
      </c>
      <c r="BK1157" s="304"/>
      <c r="BL1157" s="304">
        <v>0</v>
      </c>
      <c r="BM1157" s="304">
        <v>0</v>
      </c>
      <c r="BN1157" s="304"/>
      <c r="BO1157" s="304">
        <v>6</v>
      </c>
      <c r="BP1157" s="267">
        <v>9</v>
      </c>
      <c r="BQ1157" s="304"/>
      <c r="BR1157" s="267">
        <v>7</v>
      </c>
      <c r="BS1157" s="267">
        <v>8</v>
      </c>
      <c r="BT1157" s="304"/>
      <c r="BU1157" s="304">
        <v>0</v>
      </c>
      <c r="BV1157" s="304">
        <v>0</v>
      </c>
      <c r="BW1157" s="304"/>
      <c r="BX1157" s="304">
        <v>1</v>
      </c>
      <c r="BY1157" s="304">
        <v>1</v>
      </c>
      <c r="BZ1157" s="304"/>
      <c r="CA1157" s="267">
        <v>56</v>
      </c>
      <c r="CB1157" s="267">
        <v>41</v>
      </c>
      <c r="CC1157" s="304"/>
      <c r="CD1157" s="304">
        <v>5</v>
      </c>
      <c r="CE1157" s="304">
        <v>9</v>
      </c>
      <c r="CF1157" s="304"/>
      <c r="CG1157" s="267">
        <v>100</v>
      </c>
      <c r="CH1157" s="267">
        <v>120</v>
      </c>
      <c r="CI1157" s="304"/>
      <c r="CJ1157" s="304">
        <v>0</v>
      </c>
      <c r="CK1157" s="304">
        <v>0</v>
      </c>
    </row>
    <row r="1158" spans="1:89" ht="30" x14ac:dyDescent="0.25">
      <c r="A1158" s="95"/>
      <c r="B1158" s="96" t="s">
        <v>1697</v>
      </c>
      <c r="C1158" s="312" t="s">
        <v>2422</v>
      </c>
      <c r="D1158" s="95" t="s">
        <v>950</v>
      </c>
      <c r="E1158" s="103"/>
      <c r="F1158" s="103"/>
      <c r="G1158" s="103"/>
      <c r="H1158" s="342"/>
      <c r="I1158" s="103">
        <v>166</v>
      </c>
      <c r="J1158" s="103">
        <v>221</v>
      </c>
      <c r="K1158" s="103">
        <v>244</v>
      </c>
      <c r="L1158" s="103">
        <v>22</v>
      </c>
      <c r="M1158" s="103">
        <v>27</v>
      </c>
      <c r="N1158" s="103">
        <v>20</v>
      </c>
      <c r="O1158" s="295"/>
      <c r="P1158" s="283"/>
      <c r="Q1158" s="283">
        <f t="shared" si="1557"/>
        <v>244</v>
      </c>
      <c r="R1158" s="283">
        <f t="shared" si="1558"/>
        <v>285</v>
      </c>
      <c r="S1158" s="267">
        <v>3</v>
      </c>
      <c r="T1158" s="267">
        <v>4</v>
      </c>
      <c r="U1158" s="304"/>
      <c r="V1158" s="304">
        <v>2</v>
      </c>
      <c r="W1158" s="267">
        <v>8</v>
      </c>
      <c r="X1158" s="304"/>
      <c r="Y1158" s="304">
        <v>3</v>
      </c>
      <c r="Z1158" s="304">
        <v>3</v>
      </c>
      <c r="AA1158" s="304"/>
      <c r="AB1158" s="267">
        <v>11</v>
      </c>
      <c r="AC1158" s="267">
        <v>9</v>
      </c>
      <c r="AD1158" s="304"/>
      <c r="AE1158" s="304">
        <v>5</v>
      </c>
      <c r="AF1158" s="267">
        <v>3</v>
      </c>
      <c r="AG1158" s="304"/>
      <c r="AH1158" s="304">
        <v>23</v>
      </c>
      <c r="AI1158" s="304">
        <v>22</v>
      </c>
      <c r="AJ1158" s="304"/>
      <c r="AK1158" s="304">
        <v>21</v>
      </c>
      <c r="AL1158" s="304">
        <v>19</v>
      </c>
      <c r="AM1158" s="304"/>
      <c r="AN1158" s="267">
        <v>6</v>
      </c>
      <c r="AO1158" s="267">
        <v>7</v>
      </c>
      <c r="AP1158" s="304"/>
      <c r="AQ1158" s="304">
        <v>0</v>
      </c>
      <c r="AR1158" s="304">
        <v>0</v>
      </c>
      <c r="AS1158" s="304"/>
      <c r="AT1158" s="267">
        <v>21</v>
      </c>
      <c r="AU1158" s="267">
        <v>27</v>
      </c>
      <c r="AV1158" s="304"/>
      <c r="AW1158" s="267">
        <v>4</v>
      </c>
      <c r="AX1158" s="267">
        <v>4</v>
      </c>
      <c r="AY1158" s="304"/>
      <c r="AZ1158" s="304">
        <v>2</v>
      </c>
      <c r="BA1158" s="304">
        <v>9</v>
      </c>
      <c r="BB1158" s="304"/>
      <c r="BC1158" s="267">
        <v>10</v>
      </c>
      <c r="BD1158" s="267">
        <v>4</v>
      </c>
      <c r="BE1158" s="304"/>
      <c r="BF1158" s="267">
        <v>39</v>
      </c>
      <c r="BG1158" s="267">
        <v>40</v>
      </c>
      <c r="BH1158" s="304"/>
      <c r="BI1158" s="267">
        <v>48</v>
      </c>
      <c r="BJ1158" s="267">
        <v>72</v>
      </c>
      <c r="BK1158" s="304"/>
      <c r="BL1158" s="304">
        <v>4</v>
      </c>
      <c r="BM1158" s="304">
        <v>3</v>
      </c>
      <c r="BN1158" s="304"/>
      <c r="BO1158" s="304">
        <v>3</v>
      </c>
      <c r="BP1158" s="267">
        <v>7</v>
      </c>
      <c r="BQ1158" s="304"/>
      <c r="BR1158" s="267">
        <v>9</v>
      </c>
      <c r="BS1158" s="267">
        <v>10</v>
      </c>
      <c r="BT1158" s="304"/>
      <c r="BU1158" s="304">
        <v>0</v>
      </c>
      <c r="BV1158" s="304">
        <v>0</v>
      </c>
      <c r="BW1158" s="304"/>
      <c r="BX1158" s="304">
        <v>3</v>
      </c>
      <c r="BY1158" s="304">
        <v>5</v>
      </c>
      <c r="BZ1158" s="304"/>
      <c r="CA1158" s="267">
        <v>14</v>
      </c>
      <c r="CB1158" s="267">
        <v>10</v>
      </c>
      <c r="CC1158" s="304"/>
      <c r="CD1158" s="304">
        <v>5</v>
      </c>
      <c r="CE1158" s="304">
        <v>11</v>
      </c>
      <c r="CF1158" s="304"/>
      <c r="CG1158" s="267">
        <v>8</v>
      </c>
      <c r="CH1158" s="267">
        <v>8</v>
      </c>
      <c r="CI1158" s="304"/>
      <c r="CJ1158" s="267">
        <v>0</v>
      </c>
      <c r="CK1158" s="267">
        <v>0</v>
      </c>
    </row>
    <row r="1159" spans="1:89" ht="30" x14ac:dyDescent="0.25">
      <c r="A1159" s="95"/>
      <c r="B1159" s="96" t="s">
        <v>1698</v>
      </c>
      <c r="C1159" s="312" t="s">
        <v>2423</v>
      </c>
      <c r="D1159" s="95" t="s">
        <v>950</v>
      </c>
      <c r="E1159" s="103"/>
      <c r="F1159" s="103"/>
      <c r="G1159" s="103"/>
      <c r="H1159" s="342"/>
      <c r="I1159" s="103">
        <v>3068</v>
      </c>
      <c r="J1159" s="103">
        <v>3950</v>
      </c>
      <c r="K1159" s="103">
        <v>4589</v>
      </c>
      <c r="L1159" s="103">
        <v>98</v>
      </c>
      <c r="M1159" s="103">
        <v>122</v>
      </c>
      <c r="N1159" s="103">
        <v>147</v>
      </c>
      <c r="O1159" s="295"/>
      <c r="P1159" s="283"/>
      <c r="Q1159" s="283">
        <f t="shared" si="1557"/>
        <v>4589</v>
      </c>
      <c r="R1159" s="283">
        <f t="shared" si="1558"/>
        <v>4745</v>
      </c>
      <c r="S1159" s="267">
        <v>54</v>
      </c>
      <c r="T1159" s="267">
        <v>62</v>
      </c>
      <c r="U1159" s="304"/>
      <c r="V1159" s="304">
        <v>21</v>
      </c>
      <c r="W1159" s="267">
        <v>25</v>
      </c>
      <c r="X1159" s="304"/>
      <c r="Y1159" s="304">
        <v>302</v>
      </c>
      <c r="Z1159" s="304">
        <v>299</v>
      </c>
      <c r="AA1159" s="304"/>
      <c r="AB1159" s="267">
        <v>164</v>
      </c>
      <c r="AC1159" s="267">
        <v>176</v>
      </c>
      <c r="AD1159" s="304"/>
      <c r="AE1159" s="304">
        <v>120</v>
      </c>
      <c r="AF1159" s="267">
        <v>137</v>
      </c>
      <c r="AG1159" s="304"/>
      <c r="AH1159" s="304">
        <v>82</v>
      </c>
      <c r="AI1159" s="304">
        <v>98</v>
      </c>
      <c r="AJ1159" s="304"/>
      <c r="AK1159" s="304">
        <v>290</v>
      </c>
      <c r="AL1159" s="304">
        <v>282</v>
      </c>
      <c r="AM1159" s="304"/>
      <c r="AN1159" s="267">
        <v>361</v>
      </c>
      <c r="AO1159" s="267">
        <v>349</v>
      </c>
      <c r="AP1159" s="304"/>
      <c r="AQ1159" s="304">
        <v>146</v>
      </c>
      <c r="AR1159" s="304">
        <v>161</v>
      </c>
      <c r="AS1159" s="304"/>
      <c r="AT1159" s="267">
        <v>554</v>
      </c>
      <c r="AU1159" s="267">
        <v>577</v>
      </c>
      <c r="AV1159" s="304"/>
      <c r="AW1159" s="267">
        <v>91</v>
      </c>
      <c r="AX1159" s="267">
        <v>112</v>
      </c>
      <c r="AY1159" s="304"/>
      <c r="AZ1159" s="304">
        <v>119</v>
      </c>
      <c r="BA1159" s="304">
        <v>136</v>
      </c>
      <c r="BB1159" s="304"/>
      <c r="BC1159" s="267">
        <v>259</v>
      </c>
      <c r="BD1159" s="267">
        <v>240</v>
      </c>
      <c r="BE1159" s="304"/>
      <c r="BF1159" s="267">
        <v>196</v>
      </c>
      <c r="BG1159" s="267">
        <v>225</v>
      </c>
      <c r="BH1159" s="304"/>
      <c r="BI1159" s="267">
        <v>1193</v>
      </c>
      <c r="BJ1159" s="267">
        <v>1151</v>
      </c>
      <c r="BK1159" s="304"/>
      <c r="BL1159" s="304">
        <v>4</v>
      </c>
      <c r="BM1159" s="304">
        <v>2</v>
      </c>
      <c r="BN1159" s="304"/>
      <c r="BO1159" s="304">
        <v>146</v>
      </c>
      <c r="BP1159" s="267">
        <v>210</v>
      </c>
      <c r="BQ1159" s="304"/>
      <c r="BR1159" s="267">
        <v>21</v>
      </c>
      <c r="BS1159" s="267">
        <v>16</v>
      </c>
      <c r="BT1159" s="304"/>
      <c r="BU1159" s="304">
        <v>104</v>
      </c>
      <c r="BV1159" s="304">
        <v>118</v>
      </c>
      <c r="BW1159" s="304"/>
      <c r="BX1159" s="304">
        <v>27</v>
      </c>
      <c r="BY1159" s="304">
        <v>30</v>
      </c>
      <c r="BZ1159" s="304"/>
      <c r="CA1159" s="267">
        <v>91</v>
      </c>
      <c r="CB1159" s="267">
        <v>82</v>
      </c>
      <c r="CC1159" s="304"/>
      <c r="CD1159" s="304">
        <v>37</v>
      </c>
      <c r="CE1159" s="304">
        <v>69</v>
      </c>
      <c r="CF1159" s="304"/>
      <c r="CG1159" s="267">
        <v>207</v>
      </c>
      <c r="CH1159" s="267">
        <v>188</v>
      </c>
      <c r="CI1159" s="304"/>
      <c r="CJ1159" s="267">
        <v>0</v>
      </c>
      <c r="CK1159" s="267">
        <v>0</v>
      </c>
    </row>
    <row r="1160" spans="1:89" ht="30" x14ac:dyDescent="0.25">
      <c r="A1160" s="95"/>
      <c r="B1160" s="96" t="s">
        <v>1699</v>
      </c>
      <c r="C1160" s="312" t="s">
        <v>2424</v>
      </c>
      <c r="D1160" s="95" t="s">
        <v>950</v>
      </c>
      <c r="E1160" s="103"/>
      <c r="F1160" s="103"/>
      <c r="G1160" s="103"/>
      <c r="H1160" s="342"/>
      <c r="I1160" s="103">
        <v>69</v>
      </c>
      <c r="J1160" s="103">
        <v>92</v>
      </c>
      <c r="K1160" s="103">
        <v>135</v>
      </c>
      <c r="L1160" s="103">
        <v>6</v>
      </c>
      <c r="M1160" s="103">
        <v>5</v>
      </c>
      <c r="N1160" s="103">
        <v>7</v>
      </c>
      <c r="O1160" s="295"/>
      <c r="P1160" s="283"/>
      <c r="Q1160" s="283">
        <f t="shared" si="1557"/>
        <v>135</v>
      </c>
      <c r="R1160" s="283">
        <f t="shared" si="1558"/>
        <v>150</v>
      </c>
      <c r="S1160" s="267">
        <v>3</v>
      </c>
      <c r="T1160" s="267">
        <v>5</v>
      </c>
      <c r="U1160" s="304"/>
      <c r="V1160" s="304">
        <v>2</v>
      </c>
      <c r="W1160" s="267">
        <v>7</v>
      </c>
      <c r="X1160" s="304"/>
      <c r="Y1160" s="304">
        <v>0</v>
      </c>
      <c r="Z1160" s="304">
        <v>1</v>
      </c>
      <c r="AA1160" s="304"/>
      <c r="AB1160" s="267">
        <v>4</v>
      </c>
      <c r="AC1160" s="267">
        <v>4</v>
      </c>
      <c r="AD1160" s="304"/>
      <c r="AE1160" s="304">
        <v>1</v>
      </c>
      <c r="AF1160" s="267">
        <v>5</v>
      </c>
      <c r="AG1160" s="304"/>
      <c r="AH1160" s="304">
        <v>6</v>
      </c>
      <c r="AI1160" s="304">
        <v>6</v>
      </c>
      <c r="AJ1160" s="304"/>
      <c r="AK1160" s="304">
        <v>6</v>
      </c>
      <c r="AL1160" s="304">
        <v>8</v>
      </c>
      <c r="AM1160" s="304"/>
      <c r="AN1160" s="267">
        <v>3</v>
      </c>
      <c r="AO1160" s="267">
        <v>2</v>
      </c>
      <c r="AP1160" s="304"/>
      <c r="AQ1160" s="304">
        <v>7</v>
      </c>
      <c r="AR1160" s="304">
        <v>8</v>
      </c>
      <c r="AS1160" s="304"/>
      <c r="AT1160" s="267">
        <v>19</v>
      </c>
      <c r="AU1160" s="267">
        <v>26</v>
      </c>
      <c r="AV1160" s="304"/>
      <c r="AW1160" s="267">
        <v>0</v>
      </c>
      <c r="AX1160" s="267">
        <v>1</v>
      </c>
      <c r="AY1160" s="304"/>
      <c r="AZ1160" s="304">
        <v>6</v>
      </c>
      <c r="BA1160" s="304">
        <v>5</v>
      </c>
      <c r="BB1160" s="304"/>
      <c r="BC1160" s="304">
        <v>2</v>
      </c>
      <c r="BD1160" s="267">
        <v>3</v>
      </c>
      <c r="BE1160" s="304"/>
      <c r="BF1160" s="267">
        <v>4</v>
      </c>
      <c r="BG1160" s="267">
        <v>2</v>
      </c>
      <c r="BH1160" s="304"/>
      <c r="BI1160" s="267">
        <v>1</v>
      </c>
      <c r="BJ1160" s="267">
        <v>1</v>
      </c>
      <c r="BK1160" s="304"/>
      <c r="BL1160" s="304">
        <v>4</v>
      </c>
      <c r="BM1160" s="304">
        <v>2</v>
      </c>
      <c r="BN1160" s="304"/>
      <c r="BO1160" s="304">
        <v>1</v>
      </c>
      <c r="BP1160" s="267">
        <v>1</v>
      </c>
      <c r="BQ1160" s="304"/>
      <c r="BR1160" s="267">
        <v>2</v>
      </c>
      <c r="BS1160" s="267">
        <v>2</v>
      </c>
      <c r="BT1160" s="304"/>
      <c r="BU1160" s="304">
        <v>3</v>
      </c>
      <c r="BV1160" s="304">
        <v>1</v>
      </c>
      <c r="BW1160" s="304"/>
      <c r="BX1160" s="304">
        <v>3</v>
      </c>
      <c r="BY1160" s="304">
        <v>4</v>
      </c>
      <c r="BZ1160" s="304"/>
      <c r="CA1160" s="267">
        <v>6</v>
      </c>
      <c r="CB1160" s="267">
        <v>6</v>
      </c>
      <c r="CC1160" s="304"/>
      <c r="CD1160" s="304">
        <v>9</v>
      </c>
      <c r="CE1160" s="304">
        <v>13</v>
      </c>
      <c r="CF1160" s="304"/>
      <c r="CG1160" s="267">
        <v>43</v>
      </c>
      <c r="CH1160" s="267">
        <v>37</v>
      </c>
      <c r="CI1160" s="304"/>
      <c r="CJ1160" s="267">
        <v>0</v>
      </c>
      <c r="CK1160" s="267">
        <v>0</v>
      </c>
    </row>
    <row r="1161" spans="1:89" ht="30" x14ac:dyDescent="0.25">
      <c r="A1161" s="95"/>
      <c r="B1161" s="96" t="s">
        <v>1700</v>
      </c>
      <c r="C1161" s="312" t="s">
        <v>2425</v>
      </c>
      <c r="D1161" s="95" t="s">
        <v>950</v>
      </c>
      <c r="E1161" s="103"/>
      <c r="F1161" s="103"/>
      <c r="G1161" s="103"/>
      <c r="H1161" s="342"/>
      <c r="I1161" s="103">
        <v>2553</v>
      </c>
      <c r="J1161" s="103">
        <v>2639</v>
      </c>
      <c r="K1161" s="103">
        <v>2888</v>
      </c>
      <c r="L1161" s="103">
        <v>20</v>
      </c>
      <c r="M1161" s="103">
        <v>11</v>
      </c>
      <c r="N1161" s="103">
        <v>26</v>
      </c>
      <c r="O1161" s="295"/>
      <c r="P1161" s="283"/>
      <c r="Q1161" s="283">
        <f t="shared" si="1557"/>
        <v>2888</v>
      </c>
      <c r="R1161" s="283">
        <f t="shared" si="1558"/>
        <v>2895</v>
      </c>
      <c r="S1161" s="267">
        <v>45</v>
      </c>
      <c r="T1161" s="267">
        <v>44</v>
      </c>
      <c r="U1161" s="304"/>
      <c r="V1161" s="267">
        <v>40</v>
      </c>
      <c r="W1161" s="267">
        <v>39</v>
      </c>
      <c r="X1161" s="304"/>
      <c r="Y1161" s="304">
        <v>54</v>
      </c>
      <c r="Z1161" s="304">
        <v>59</v>
      </c>
      <c r="AA1161" s="304"/>
      <c r="AB1161" s="267">
        <v>58</v>
      </c>
      <c r="AC1161" s="267">
        <v>43</v>
      </c>
      <c r="AD1161" s="304"/>
      <c r="AE1161" s="304">
        <v>83</v>
      </c>
      <c r="AF1161" s="267">
        <v>71</v>
      </c>
      <c r="AG1161" s="304"/>
      <c r="AH1161" s="304">
        <v>23</v>
      </c>
      <c r="AI1161" s="304">
        <v>20</v>
      </c>
      <c r="AJ1161" s="304"/>
      <c r="AK1161" s="304">
        <v>80</v>
      </c>
      <c r="AL1161" s="304">
        <v>78</v>
      </c>
      <c r="AM1161" s="304"/>
      <c r="AN1161" s="267">
        <v>193</v>
      </c>
      <c r="AO1161" s="267">
        <v>203</v>
      </c>
      <c r="AP1161" s="304"/>
      <c r="AQ1161" s="304">
        <v>61</v>
      </c>
      <c r="AR1161" s="304">
        <v>61</v>
      </c>
      <c r="AS1161" s="304"/>
      <c r="AT1161" s="267">
        <v>8</v>
      </c>
      <c r="AU1161" s="267">
        <v>11</v>
      </c>
      <c r="AV1161" s="304"/>
      <c r="AW1161" s="267">
        <v>30</v>
      </c>
      <c r="AX1161" s="267">
        <v>23</v>
      </c>
      <c r="AY1161" s="304"/>
      <c r="AZ1161" s="304">
        <v>2</v>
      </c>
      <c r="BA1161" s="304">
        <v>1</v>
      </c>
      <c r="BB1161" s="304"/>
      <c r="BC1161" s="267">
        <v>1</v>
      </c>
      <c r="BD1161" s="267">
        <v>3</v>
      </c>
      <c r="BE1161" s="304"/>
      <c r="BF1161" s="267">
        <v>0</v>
      </c>
      <c r="BG1161" s="267">
        <v>7</v>
      </c>
      <c r="BH1161" s="304"/>
      <c r="BI1161" s="267">
        <v>1</v>
      </c>
      <c r="BJ1161" s="267">
        <v>3</v>
      </c>
      <c r="BK1161" s="304"/>
      <c r="BL1161" s="304">
        <v>0</v>
      </c>
      <c r="BM1161" s="304">
        <v>0</v>
      </c>
      <c r="BN1161" s="304"/>
      <c r="BO1161" s="304">
        <v>0</v>
      </c>
      <c r="BP1161" s="267">
        <v>0</v>
      </c>
      <c r="BQ1161" s="304"/>
      <c r="BR1161" s="267">
        <v>0</v>
      </c>
      <c r="BS1161" s="267">
        <v>0</v>
      </c>
      <c r="BT1161" s="304"/>
      <c r="BU1161" s="304">
        <v>66</v>
      </c>
      <c r="BV1161" s="304">
        <v>66</v>
      </c>
      <c r="BW1161" s="304"/>
      <c r="BX1161" s="304">
        <v>9</v>
      </c>
      <c r="BY1161" s="304">
        <v>13</v>
      </c>
      <c r="BZ1161" s="304"/>
      <c r="CA1161" s="267">
        <v>28</v>
      </c>
      <c r="CB1161" s="267">
        <v>26</v>
      </c>
      <c r="CC1161" s="304"/>
      <c r="CD1161" s="304">
        <v>33</v>
      </c>
      <c r="CE1161" s="304">
        <v>39</v>
      </c>
      <c r="CF1161" s="304"/>
      <c r="CG1161" s="267">
        <v>2073</v>
      </c>
      <c r="CH1161" s="267">
        <v>2085</v>
      </c>
      <c r="CI1161" s="304"/>
      <c r="CJ1161" s="267">
        <v>0</v>
      </c>
      <c r="CK1161" s="267">
        <v>0</v>
      </c>
    </row>
    <row r="1162" spans="1:89" x14ac:dyDescent="0.25">
      <c r="A1162" s="95"/>
      <c r="B1162" s="96" t="s">
        <v>2540</v>
      </c>
      <c r="C1162" s="95"/>
      <c r="D1162" s="95" t="s">
        <v>950</v>
      </c>
      <c r="E1162" s="103"/>
      <c r="F1162" s="103"/>
      <c r="G1162" s="103"/>
      <c r="H1162" s="342"/>
      <c r="I1162" s="103"/>
      <c r="J1162" s="103"/>
      <c r="K1162" s="103"/>
      <c r="L1162" s="103"/>
      <c r="M1162" s="103"/>
      <c r="N1162" s="103"/>
      <c r="O1162" s="295"/>
      <c r="Q1162" s="349"/>
      <c r="R1162" s="349"/>
      <c r="S1162" s="349"/>
      <c r="T1162" s="349"/>
      <c r="V1162" s="349"/>
      <c r="W1162" s="349"/>
      <c r="Y1162" s="349"/>
      <c r="Z1162" s="349"/>
      <c r="AB1162" s="349"/>
      <c r="AC1162" s="349"/>
      <c r="AE1162" s="349"/>
      <c r="AF1162" s="349"/>
      <c r="AH1162" s="349"/>
      <c r="AI1162" s="349"/>
      <c r="AK1162" s="349"/>
      <c r="AL1162" s="349"/>
      <c r="AN1162" s="349"/>
      <c r="AO1162" s="349"/>
      <c r="AQ1162" s="349"/>
      <c r="AR1162" s="349"/>
      <c r="AT1162" s="349"/>
      <c r="AU1162" s="349"/>
      <c r="AW1162" s="349"/>
      <c r="AX1162" s="349"/>
      <c r="AZ1162" s="349"/>
      <c r="BA1162" s="349"/>
      <c r="BC1162" s="349"/>
      <c r="BD1162" s="349"/>
      <c r="BF1162" s="349"/>
      <c r="BG1162" s="349"/>
      <c r="BI1162" s="349"/>
      <c r="BJ1162" s="349"/>
      <c r="BL1162" s="349"/>
      <c r="BM1162" s="349"/>
      <c r="BO1162" s="349"/>
      <c r="BP1162" s="349"/>
      <c r="BR1162" s="349"/>
      <c r="BS1162" s="349"/>
      <c r="BU1162" s="349"/>
      <c r="BV1162" s="349"/>
      <c r="BX1162" s="349"/>
      <c r="BY1162" s="349"/>
      <c r="CA1162" s="349"/>
      <c r="CB1162" s="349"/>
      <c r="CD1162" s="349"/>
      <c r="CE1162" s="349"/>
      <c r="CG1162" s="349"/>
      <c r="CH1162" s="349"/>
      <c r="CJ1162" s="349"/>
      <c r="CK1162" s="349"/>
    </row>
    <row r="1163" spans="1:89" x14ac:dyDescent="0.25">
      <c r="A1163" s="95"/>
      <c r="B1163" s="96" t="s">
        <v>2538</v>
      </c>
      <c r="C1163" s="95"/>
      <c r="D1163" s="95" t="s">
        <v>950</v>
      </c>
      <c r="E1163" s="103"/>
      <c r="F1163" s="103"/>
      <c r="G1163" s="103"/>
      <c r="H1163" s="342"/>
      <c r="I1163" s="103"/>
      <c r="J1163" s="103"/>
      <c r="K1163" s="103"/>
      <c r="L1163" s="103"/>
      <c r="M1163" s="103"/>
      <c r="N1163" s="103"/>
      <c r="O1163" s="295"/>
      <c r="Q1163" s="349"/>
      <c r="R1163" s="349"/>
      <c r="S1163" s="349"/>
      <c r="T1163" s="349"/>
      <c r="V1163" s="349"/>
      <c r="W1163" s="349"/>
      <c r="Y1163" s="349"/>
      <c r="Z1163" s="349"/>
      <c r="AB1163" s="349"/>
      <c r="AC1163" s="349"/>
      <c r="AE1163" s="349"/>
      <c r="AF1163" s="349"/>
      <c r="AH1163" s="349"/>
      <c r="AI1163" s="349"/>
      <c r="AK1163" s="349"/>
      <c r="AL1163" s="349"/>
      <c r="AN1163" s="349"/>
      <c r="AO1163" s="349"/>
      <c r="AQ1163" s="349"/>
      <c r="AR1163" s="349"/>
      <c r="AT1163" s="349"/>
      <c r="AU1163" s="349"/>
      <c r="AW1163" s="349"/>
      <c r="AX1163" s="349"/>
      <c r="AZ1163" s="349"/>
      <c r="BA1163" s="349"/>
      <c r="BC1163" s="349"/>
      <c r="BD1163" s="349"/>
      <c r="BF1163" s="349"/>
      <c r="BG1163" s="349"/>
      <c r="BI1163" s="349"/>
      <c r="BJ1163" s="349"/>
      <c r="BL1163" s="349"/>
      <c r="BM1163" s="349"/>
      <c r="BO1163" s="349"/>
      <c r="BP1163" s="349"/>
      <c r="BR1163" s="349"/>
      <c r="BS1163" s="349"/>
      <c r="BU1163" s="349"/>
      <c r="BV1163" s="349"/>
      <c r="BX1163" s="349"/>
      <c r="BY1163" s="349"/>
      <c r="CA1163" s="349"/>
      <c r="CB1163" s="349"/>
      <c r="CD1163" s="349"/>
      <c r="CE1163" s="349"/>
      <c r="CG1163" s="349"/>
      <c r="CH1163" s="349"/>
      <c r="CJ1163" s="349"/>
      <c r="CK1163" s="349"/>
    </row>
    <row r="1164" spans="1:89" ht="30" x14ac:dyDescent="0.25">
      <c r="A1164" s="95"/>
      <c r="B1164" s="96" t="s">
        <v>2099</v>
      </c>
      <c r="C1164" s="95"/>
      <c r="D1164" s="95" t="s">
        <v>950</v>
      </c>
      <c r="E1164" s="103"/>
      <c r="F1164" s="103"/>
      <c r="G1164" s="103"/>
      <c r="H1164" s="342"/>
      <c r="I1164" s="103">
        <f t="shared" ref="I1164:N1164" si="1559">SUM(I1153:I1161)</f>
        <v>6869</v>
      </c>
      <c r="J1164" s="103">
        <f t="shared" si="1559"/>
        <v>8542</v>
      </c>
      <c r="K1164" s="103">
        <f t="shared" si="1559"/>
        <v>9852</v>
      </c>
      <c r="L1164" s="103">
        <f t="shared" si="1559"/>
        <v>227</v>
      </c>
      <c r="M1164" s="103">
        <f t="shared" si="1559"/>
        <v>257</v>
      </c>
      <c r="N1164" s="103">
        <f t="shared" si="1559"/>
        <v>307</v>
      </c>
      <c r="O1164" s="295"/>
      <c r="P1164" s="283"/>
      <c r="Q1164" s="103">
        <f>SUM(Q1153:Q1161)</f>
        <v>9852</v>
      </c>
      <c r="R1164" s="103">
        <f>SUM(R1153:R1161)</f>
        <v>9986</v>
      </c>
      <c r="S1164" s="103">
        <f>SUM(S1153:S1161)</f>
        <v>121</v>
      </c>
      <c r="T1164" s="103">
        <f>SUM(T1153:T1161)</f>
        <v>132</v>
      </c>
      <c r="V1164" s="103">
        <f>SUM(V1153:V1161)</f>
        <v>72</v>
      </c>
      <c r="W1164" s="103">
        <f>SUM(W1153:W1161)</f>
        <v>88</v>
      </c>
      <c r="Y1164" s="103">
        <f>SUM(Y1153:Y1161)</f>
        <v>403</v>
      </c>
      <c r="Z1164" s="103">
        <f>SUM(Z1153:Z1161)</f>
        <v>415</v>
      </c>
      <c r="AB1164" s="103">
        <f>SUM(AB1153:AB1161)</f>
        <v>245</v>
      </c>
      <c r="AC1164" s="103">
        <f>SUM(AC1153:AC1161)</f>
        <v>239</v>
      </c>
      <c r="AE1164" s="103">
        <f>SUM(AE1153:AE1161)</f>
        <v>217</v>
      </c>
      <c r="AF1164" s="103">
        <f>SUM(AF1153:AF1161)</f>
        <v>224</v>
      </c>
      <c r="AH1164" s="103">
        <f>SUM(AH1153:AH1161)</f>
        <v>240</v>
      </c>
      <c r="AI1164" s="103">
        <f>SUM(AI1153:AI1161)</f>
        <v>227</v>
      </c>
      <c r="AK1164" s="103">
        <f>SUM(AK1153:AK1161)</f>
        <v>411</v>
      </c>
      <c r="AL1164" s="103">
        <f>SUM(AL1153:AL1161)</f>
        <v>401</v>
      </c>
      <c r="AN1164" s="103">
        <f>SUM(AN1153:AN1161)</f>
        <v>748</v>
      </c>
      <c r="AO1164" s="103">
        <f>SUM(AO1153:AO1161)</f>
        <v>744</v>
      </c>
      <c r="AQ1164" s="103">
        <f>SUM(AQ1153:AQ1161)</f>
        <v>261</v>
      </c>
      <c r="AR1164" s="103">
        <f>SUM(AR1153:AR1161)</f>
        <v>294</v>
      </c>
      <c r="AT1164" s="103">
        <f>SUM(AT1153:AT1161)</f>
        <v>844</v>
      </c>
      <c r="AU1164" s="103">
        <f>SUM(AU1153:AU1161)</f>
        <v>834</v>
      </c>
      <c r="AW1164" s="103">
        <f>SUM(AW1153:AW1161)</f>
        <v>192</v>
      </c>
      <c r="AX1164" s="103">
        <f>SUM(AX1153:AX1161)</f>
        <v>230</v>
      </c>
      <c r="AZ1164" s="103">
        <f>SUM(AZ1153:AZ1161)</f>
        <v>200</v>
      </c>
      <c r="BA1164" s="103">
        <f>SUM(BA1153:BA1161)</f>
        <v>234</v>
      </c>
      <c r="BC1164" s="103">
        <f>SUM(BC1153:BC1161)</f>
        <v>302</v>
      </c>
      <c r="BD1164" s="103">
        <f>SUM(BD1153:BD1161)</f>
        <v>279</v>
      </c>
      <c r="BF1164" s="103">
        <f>SUM(BF1153:BF1161)</f>
        <v>285</v>
      </c>
      <c r="BG1164" s="103">
        <f>SUM(BG1153:BG1161)</f>
        <v>329</v>
      </c>
      <c r="BI1164" s="103">
        <f>SUM(BI1153:BI1161)</f>
        <v>2026</v>
      </c>
      <c r="BJ1164" s="103">
        <f>SUM(BJ1153:BJ1161)</f>
        <v>1920</v>
      </c>
      <c r="BL1164" s="103">
        <f>SUM(BL1153:BL1161)</f>
        <v>12</v>
      </c>
      <c r="BM1164" s="103">
        <f>SUM(BM1153:BM1161)</f>
        <v>8</v>
      </c>
      <c r="BO1164" s="103">
        <f>SUM(BO1153:BO1161)</f>
        <v>159</v>
      </c>
      <c r="BP1164" s="103">
        <f>SUM(BP1153:BP1161)</f>
        <v>229</v>
      </c>
      <c r="BR1164" s="103">
        <f>SUM(BR1153:BR1161)</f>
        <v>49</v>
      </c>
      <c r="BS1164" s="103">
        <f>SUM(BS1153:BS1161)</f>
        <v>47</v>
      </c>
      <c r="BU1164" s="103">
        <f>SUM(BU1153:BU1161)</f>
        <v>173</v>
      </c>
      <c r="BV1164" s="103">
        <f>SUM(BV1153:BV1161)</f>
        <v>185</v>
      </c>
      <c r="BX1164" s="103">
        <f>SUM(BX1153:BX1161)</f>
        <v>50</v>
      </c>
      <c r="BY1164" s="103">
        <f>SUM(BY1153:BY1161)</f>
        <v>60</v>
      </c>
      <c r="CA1164" s="103">
        <f>SUM(CA1153:CA1161)</f>
        <v>204</v>
      </c>
      <c r="CB1164" s="103">
        <f>SUM(CB1153:CB1161)</f>
        <v>174</v>
      </c>
      <c r="CD1164" s="103">
        <f>SUM(CD1153:CD1161)</f>
        <v>96</v>
      </c>
      <c r="CE1164" s="103">
        <f>SUM(CE1153:CE1161)</f>
        <v>150</v>
      </c>
      <c r="CG1164" s="103">
        <f>SUM(CG1153:CG1161)</f>
        <v>2542</v>
      </c>
      <c r="CH1164" s="103">
        <f>SUM(CH1153:CH1161)</f>
        <v>2543</v>
      </c>
      <c r="CJ1164" s="103">
        <f>SUM(CJ1153:CJ1161)</f>
        <v>0</v>
      </c>
      <c r="CK1164" s="103">
        <f>SUM(CK1153:CK1161)</f>
        <v>0</v>
      </c>
    </row>
    <row r="1165" spans="1:89" x14ac:dyDescent="0.25">
      <c r="A1165" s="95"/>
      <c r="B1165" s="96" t="s">
        <v>1184</v>
      </c>
      <c r="C1165" s="95"/>
      <c r="D1165" s="95"/>
      <c r="E1165" s="103"/>
      <c r="F1165" s="103"/>
      <c r="G1165" s="103"/>
      <c r="H1165" s="342"/>
      <c r="I1165" s="103"/>
      <c r="J1165" s="103"/>
      <c r="K1165" s="103"/>
      <c r="L1165" s="103"/>
      <c r="M1165" s="103"/>
      <c r="N1165" s="103"/>
      <c r="O1165" s="295"/>
    </row>
    <row r="1166" spans="1:89" ht="30" x14ac:dyDescent="0.25">
      <c r="A1166" s="95"/>
      <c r="B1166" s="96" t="s">
        <v>1692</v>
      </c>
      <c r="C1166" s="312" t="s">
        <v>2444</v>
      </c>
      <c r="D1166" s="95" t="s">
        <v>950</v>
      </c>
      <c r="E1166" s="103"/>
      <c r="F1166" s="103"/>
      <c r="G1166" s="103"/>
      <c r="H1166" s="342"/>
      <c r="I1166" s="103">
        <v>0</v>
      </c>
      <c r="J1166" s="103">
        <v>0</v>
      </c>
      <c r="K1166" s="103">
        <v>0</v>
      </c>
      <c r="L1166" s="103">
        <v>0</v>
      </c>
      <c r="M1166" s="103">
        <v>0</v>
      </c>
      <c r="N1166" s="103">
        <v>0</v>
      </c>
      <c r="O1166" s="295"/>
      <c r="P1166" s="283"/>
      <c r="Q1166" s="283">
        <f t="shared" ref="Q1166:Q1174" si="1560">S1166+V1166+Y1166+AB1166+AE1166+AH1166+AK1166+AN1166+AQ1166+AT1166+AW1166+AZ1166+BC1166+BF1166+BI1166+BL1166+BO1166+BR1166+BU1166+BX1166+CA1166+CD1166+CG1166+CJ1166</f>
        <v>0</v>
      </c>
      <c r="R1166" s="283">
        <f t="shared" ref="R1166:R1174" si="1561">T1166+W1166+Z1166+AC1166+AF1166+AI1166+AL1166+AO1166+AR1166+AU1166+AX1166+BA1166+BD1166+BG1166+BJ1166+BM1166+BP1166+BS1166+BV1166+BY1166+CB1166+CE1166+CH1166+CK1166</f>
        <v>0</v>
      </c>
      <c r="S1166" s="267">
        <v>0</v>
      </c>
      <c r="T1166" s="267">
        <v>0</v>
      </c>
      <c r="V1166" s="267">
        <v>0</v>
      </c>
      <c r="W1166" s="267">
        <v>0</v>
      </c>
      <c r="Y1166" s="267">
        <v>0</v>
      </c>
      <c r="Z1166" s="267">
        <v>0</v>
      </c>
      <c r="AB1166" s="267">
        <v>0</v>
      </c>
      <c r="AC1166" s="267">
        <v>0</v>
      </c>
      <c r="AE1166" s="267">
        <v>0</v>
      </c>
      <c r="AF1166" s="267">
        <v>0</v>
      </c>
      <c r="AH1166" s="267">
        <v>0</v>
      </c>
      <c r="AI1166" s="267">
        <v>0</v>
      </c>
      <c r="AK1166" s="267">
        <v>0</v>
      </c>
      <c r="AL1166" s="267">
        <v>0</v>
      </c>
      <c r="AN1166" s="267">
        <v>0</v>
      </c>
      <c r="AO1166" s="267">
        <v>0</v>
      </c>
      <c r="AQ1166" s="267">
        <v>0</v>
      </c>
      <c r="AR1166" s="267">
        <v>0</v>
      </c>
      <c r="AT1166" s="267">
        <v>0</v>
      </c>
      <c r="AU1166" s="267">
        <v>0</v>
      </c>
      <c r="AW1166" s="267">
        <v>0</v>
      </c>
      <c r="AX1166" s="267">
        <v>0</v>
      </c>
      <c r="AZ1166" s="267">
        <v>0</v>
      </c>
      <c r="BA1166" s="267">
        <v>0</v>
      </c>
      <c r="BC1166" s="267">
        <v>0</v>
      </c>
      <c r="BD1166" s="267">
        <v>0</v>
      </c>
      <c r="BF1166" s="267">
        <v>0</v>
      </c>
      <c r="BG1166" s="267">
        <v>0</v>
      </c>
      <c r="BI1166" s="267">
        <v>0</v>
      </c>
      <c r="BJ1166" s="267">
        <v>0</v>
      </c>
      <c r="BL1166" s="267">
        <v>0</v>
      </c>
      <c r="BM1166" s="267">
        <v>0</v>
      </c>
      <c r="BO1166" s="267">
        <v>0</v>
      </c>
      <c r="BP1166" s="267">
        <v>0</v>
      </c>
      <c r="BR1166" s="267">
        <v>0</v>
      </c>
      <c r="BS1166" s="267">
        <v>0</v>
      </c>
      <c r="BU1166" s="267">
        <v>0</v>
      </c>
      <c r="BV1166" s="267">
        <v>0</v>
      </c>
      <c r="BX1166" s="267">
        <v>0</v>
      </c>
      <c r="BY1166" s="267">
        <v>0</v>
      </c>
      <c r="CA1166" s="267">
        <v>0</v>
      </c>
      <c r="CB1166" s="267">
        <v>0</v>
      </c>
      <c r="CD1166" s="267">
        <v>0</v>
      </c>
      <c r="CE1166" s="267">
        <v>0</v>
      </c>
      <c r="CG1166" s="267">
        <v>0</v>
      </c>
      <c r="CH1166" s="267">
        <v>0</v>
      </c>
      <c r="CJ1166" s="267">
        <v>0</v>
      </c>
      <c r="CK1166" s="267">
        <v>0</v>
      </c>
    </row>
    <row r="1167" spans="1:89" ht="30" x14ac:dyDescent="0.25">
      <c r="A1167" s="95"/>
      <c r="B1167" s="96" t="s">
        <v>1693</v>
      </c>
      <c r="C1167" s="312" t="s">
        <v>2418</v>
      </c>
      <c r="D1167" s="95" t="s">
        <v>950</v>
      </c>
      <c r="E1167" s="103"/>
      <c r="F1167" s="103"/>
      <c r="G1167" s="103"/>
      <c r="H1167" s="342"/>
      <c r="I1167" s="103">
        <v>0</v>
      </c>
      <c r="J1167" s="103">
        <v>0</v>
      </c>
      <c r="K1167" s="103">
        <v>0</v>
      </c>
      <c r="L1167" s="103">
        <v>0</v>
      </c>
      <c r="M1167" s="103">
        <v>0</v>
      </c>
      <c r="N1167" s="103">
        <v>0</v>
      </c>
      <c r="O1167" s="295"/>
      <c r="P1167" s="283"/>
      <c r="Q1167" s="283">
        <f t="shared" si="1560"/>
        <v>0</v>
      </c>
      <c r="R1167" s="283">
        <f t="shared" si="1561"/>
        <v>0</v>
      </c>
      <c r="S1167" s="304">
        <v>0</v>
      </c>
      <c r="T1167" s="304">
        <v>0</v>
      </c>
      <c r="V1167" s="304">
        <v>0</v>
      </c>
      <c r="W1167" s="304">
        <v>0</v>
      </c>
      <c r="Y1167" s="304">
        <v>0</v>
      </c>
      <c r="Z1167" s="304">
        <v>0</v>
      </c>
      <c r="AB1167" s="304">
        <v>0</v>
      </c>
      <c r="AC1167" s="304">
        <v>0</v>
      </c>
      <c r="AE1167" s="304">
        <v>0</v>
      </c>
      <c r="AF1167" s="304">
        <v>0</v>
      </c>
      <c r="AH1167" s="304">
        <v>0</v>
      </c>
      <c r="AI1167" s="304">
        <v>0</v>
      </c>
      <c r="AK1167" s="304">
        <v>0</v>
      </c>
      <c r="AL1167" s="304">
        <v>0</v>
      </c>
      <c r="AN1167" s="304">
        <v>0</v>
      </c>
      <c r="AO1167" s="304">
        <v>0</v>
      </c>
      <c r="AQ1167" s="304">
        <v>0</v>
      </c>
      <c r="AR1167" s="304">
        <v>0</v>
      </c>
      <c r="AT1167" s="304">
        <v>0</v>
      </c>
      <c r="AU1167" s="304">
        <v>0</v>
      </c>
      <c r="AW1167" s="304">
        <v>0</v>
      </c>
      <c r="AX1167" s="304">
        <v>0</v>
      </c>
      <c r="AZ1167" s="304">
        <v>0</v>
      </c>
      <c r="BA1167" s="304">
        <v>0</v>
      </c>
      <c r="BC1167" s="304">
        <v>0</v>
      </c>
      <c r="BD1167" s="304">
        <v>0</v>
      </c>
      <c r="BF1167" s="304">
        <v>0</v>
      </c>
      <c r="BG1167" s="304">
        <v>0</v>
      </c>
      <c r="BI1167" s="304">
        <v>0</v>
      </c>
      <c r="BJ1167" s="304">
        <v>0</v>
      </c>
      <c r="BL1167" s="304">
        <v>0</v>
      </c>
      <c r="BM1167" s="304">
        <v>0</v>
      </c>
      <c r="BO1167" s="304">
        <v>0</v>
      </c>
      <c r="BP1167" s="304">
        <v>0</v>
      </c>
      <c r="BR1167" s="304">
        <v>0</v>
      </c>
      <c r="BS1167" s="304">
        <v>0</v>
      </c>
      <c r="BU1167" s="304">
        <v>0</v>
      </c>
      <c r="BV1167" s="304">
        <v>0</v>
      </c>
      <c r="BX1167" s="304">
        <v>0</v>
      </c>
      <c r="BY1167" s="304">
        <v>0</v>
      </c>
      <c r="CA1167" s="304">
        <v>0</v>
      </c>
      <c r="CB1167" s="304">
        <v>0</v>
      </c>
      <c r="CD1167" s="304">
        <v>0</v>
      </c>
      <c r="CE1167" s="304">
        <v>0</v>
      </c>
      <c r="CG1167" s="304">
        <v>0</v>
      </c>
      <c r="CH1167" s="304">
        <v>0</v>
      </c>
      <c r="CJ1167" s="304">
        <v>0</v>
      </c>
      <c r="CK1167" s="304">
        <v>0</v>
      </c>
    </row>
    <row r="1168" spans="1:89" ht="30" x14ac:dyDescent="0.25">
      <c r="A1168" s="95"/>
      <c r="B1168" s="96" t="s">
        <v>1694</v>
      </c>
      <c r="C1168" s="312" t="s">
        <v>2419</v>
      </c>
      <c r="D1168" s="95" t="s">
        <v>950</v>
      </c>
      <c r="E1168" s="103"/>
      <c r="F1168" s="103"/>
      <c r="G1168" s="103"/>
      <c r="H1168" s="342"/>
      <c r="I1168" s="103">
        <v>0</v>
      </c>
      <c r="J1168" s="103">
        <v>0</v>
      </c>
      <c r="K1168" s="103">
        <v>0</v>
      </c>
      <c r="L1168" s="103">
        <v>0</v>
      </c>
      <c r="M1168" s="103">
        <v>0</v>
      </c>
      <c r="N1168" s="103">
        <v>0</v>
      </c>
      <c r="O1168" s="295"/>
      <c r="P1168" s="283"/>
      <c r="Q1168" s="283">
        <f t="shared" si="1560"/>
        <v>0</v>
      </c>
      <c r="R1168" s="283">
        <f t="shared" si="1561"/>
        <v>0</v>
      </c>
      <c r="S1168" s="304">
        <v>0</v>
      </c>
      <c r="T1168" s="304">
        <v>0</v>
      </c>
      <c r="V1168" s="304">
        <v>0</v>
      </c>
      <c r="W1168" s="304">
        <v>0</v>
      </c>
      <c r="Y1168" s="304">
        <v>0</v>
      </c>
      <c r="Z1168" s="304">
        <v>0</v>
      </c>
      <c r="AB1168" s="304">
        <v>0</v>
      </c>
      <c r="AC1168" s="304">
        <v>0</v>
      </c>
      <c r="AE1168" s="304">
        <v>0</v>
      </c>
      <c r="AF1168" s="304">
        <v>0</v>
      </c>
      <c r="AH1168" s="304">
        <v>0</v>
      </c>
      <c r="AI1168" s="304">
        <v>0</v>
      </c>
      <c r="AK1168" s="304">
        <v>0</v>
      </c>
      <c r="AL1168" s="304">
        <v>0</v>
      </c>
      <c r="AN1168" s="304">
        <v>0</v>
      </c>
      <c r="AO1168" s="304">
        <v>0</v>
      </c>
      <c r="AQ1168" s="304">
        <v>0</v>
      </c>
      <c r="AR1168" s="304">
        <v>0</v>
      </c>
      <c r="AT1168" s="304">
        <v>0</v>
      </c>
      <c r="AU1168" s="304">
        <v>0</v>
      </c>
      <c r="AW1168" s="304">
        <v>0</v>
      </c>
      <c r="AX1168" s="304">
        <v>0</v>
      </c>
      <c r="AZ1168" s="304">
        <v>0</v>
      </c>
      <c r="BA1168" s="304">
        <v>0</v>
      </c>
      <c r="BC1168" s="304">
        <v>0</v>
      </c>
      <c r="BD1168" s="304">
        <v>0</v>
      </c>
      <c r="BF1168" s="304">
        <v>0</v>
      </c>
      <c r="BG1168" s="304">
        <v>0</v>
      </c>
      <c r="BI1168" s="304">
        <v>0</v>
      </c>
      <c r="BJ1168" s="304">
        <v>0</v>
      </c>
      <c r="BL1168" s="304">
        <v>0</v>
      </c>
      <c r="BM1168" s="304">
        <v>0</v>
      </c>
      <c r="BO1168" s="304">
        <v>0</v>
      </c>
      <c r="BP1168" s="304">
        <v>0</v>
      </c>
      <c r="BR1168" s="304">
        <v>0</v>
      </c>
      <c r="BS1168" s="304">
        <v>0</v>
      </c>
      <c r="BU1168" s="304">
        <v>0</v>
      </c>
      <c r="BV1168" s="304">
        <v>0</v>
      </c>
      <c r="BX1168" s="304">
        <v>0</v>
      </c>
      <c r="BY1168" s="304">
        <v>0</v>
      </c>
      <c r="CA1168" s="304">
        <v>0</v>
      </c>
      <c r="CB1168" s="304">
        <v>0</v>
      </c>
      <c r="CD1168" s="304">
        <v>0</v>
      </c>
      <c r="CE1168" s="304">
        <v>0</v>
      </c>
      <c r="CG1168" s="304">
        <v>0</v>
      </c>
      <c r="CH1168" s="304">
        <v>0</v>
      </c>
      <c r="CJ1168" s="304">
        <v>0</v>
      </c>
      <c r="CK1168" s="304">
        <v>0</v>
      </c>
    </row>
    <row r="1169" spans="1:89" ht="30" x14ac:dyDescent="0.25">
      <c r="A1169" s="95"/>
      <c r="B1169" s="96" t="s">
        <v>1695</v>
      </c>
      <c r="C1169" s="312" t="s">
        <v>2420</v>
      </c>
      <c r="D1169" s="95" t="s">
        <v>950</v>
      </c>
      <c r="E1169" s="103"/>
      <c r="F1169" s="103"/>
      <c r="G1169" s="103"/>
      <c r="H1169" s="342"/>
      <c r="I1169" s="103">
        <v>1</v>
      </c>
      <c r="J1169" s="103">
        <v>1</v>
      </c>
      <c r="K1169" s="103">
        <v>0</v>
      </c>
      <c r="L1169" s="103">
        <v>0</v>
      </c>
      <c r="M1169" s="103">
        <v>0</v>
      </c>
      <c r="N1169" s="103">
        <v>0</v>
      </c>
      <c r="O1169" s="295"/>
      <c r="P1169" s="283"/>
      <c r="Q1169" s="283">
        <f t="shared" si="1560"/>
        <v>0</v>
      </c>
      <c r="R1169" s="283">
        <f t="shared" si="1561"/>
        <v>0</v>
      </c>
      <c r="S1169" s="304">
        <v>0</v>
      </c>
      <c r="T1169" s="304">
        <v>0</v>
      </c>
      <c r="V1169" s="304">
        <v>0</v>
      </c>
      <c r="W1169" s="304">
        <v>0</v>
      </c>
      <c r="Y1169" s="304">
        <v>0</v>
      </c>
      <c r="Z1169" s="304">
        <v>0</v>
      </c>
      <c r="AB1169" s="304">
        <v>0</v>
      </c>
      <c r="AC1169" s="304">
        <v>0</v>
      </c>
      <c r="AE1169" s="304">
        <v>0</v>
      </c>
      <c r="AF1169" s="304">
        <v>0</v>
      </c>
      <c r="AH1169" s="304">
        <v>0</v>
      </c>
      <c r="AI1169" s="304">
        <v>0</v>
      </c>
      <c r="AK1169" s="304">
        <v>0</v>
      </c>
      <c r="AL1169" s="304">
        <v>0</v>
      </c>
      <c r="AN1169" s="304">
        <v>0</v>
      </c>
      <c r="AO1169" s="304">
        <v>0</v>
      </c>
      <c r="AQ1169" s="304">
        <v>0</v>
      </c>
      <c r="AR1169" s="304">
        <v>0</v>
      </c>
      <c r="AT1169" s="304">
        <v>0</v>
      </c>
      <c r="AU1169" s="304">
        <v>0</v>
      </c>
      <c r="AW1169" s="304">
        <v>0</v>
      </c>
      <c r="AX1169" s="304">
        <v>0</v>
      </c>
      <c r="AZ1169" s="304">
        <v>0</v>
      </c>
      <c r="BA1169" s="304">
        <v>0</v>
      </c>
      <c r="BC1169" s="304">
        <v>0</v>
      </c>
      <c r="BD1169" s="304">
        <v>0</v>
      </c>
      <c r="BF1169" s="304">
        <v>0</v>
      </c>
      <c r="BG1169" s="304">
        <v>0</v>
      </c>
      <c r="BI1169" s="304">
        <v>0</v>
      </c>
      <c r="BJ1169" s="304">
        <v>0</v>
      </c>
      <c r="BL1169" s="304">
        <v>0</v>
      </c>
      <c r="BM1169" s="304">
        <v>0</v>
      </c>
      <c r="BO1169" s="304">
        <v>0</v>
      </c>
      <c r="BP1169" s="304">
        <v>0</v>
      </c>
      <c r="BR1169" s="304">
        <v>0</v>
      </c>
      <c r="BS1169" s="304">
        <v>0</v>
      </c>
      <c r="BU1169" s="304">
        <v>0</v>
      </c>
      <c r="BV1169" s="304">
        <v>0</v>
      </c>
      <c r="BX1169" s="304">
        <v>0</v>
      </c>
      <c r="BY1169" s="304">
        <v>0</v>
      </c>
      <c r="CA1169" s="304">
        <v>0</v>
      </c>
      <c r="CB1169" s="304">
        <v>0</v>
      </c>
      <c r="CD1169" s="304">
        <v>0</v>
      </c>
      <c r="CE1169" s="304">
        <v>0</v>
      </c>
      <c r="CG1169" s="304">
        <v>0</v>
      </c>
      <c r="CH1169" s="304">
        <v>0</v>
      </c>
      <c r="CJ1169" s="304">
        <v>0</v>
      </c>
      <c r="CK1169" s="304">
        <v>0</v>
      </c>
    </row>
    <row r="1170" spans="1:89" ht="30" x14ac:dyDescent="0.25">
      <c r="A1170" s="95"/>
      <c r="B1170" s="96" t="s">
        <v>1696</v>
      </c>
      <c r="C1170" s="312" t="s">
        <v>2421</v>
      </c>
      <c r="D1170" s="95" t="s">
        <v>950</v>
      </c>
      <c r="E1170" s="103"/>
      <c r="F1170" s="103"/>
      <c r="G1170" s="103"/>
      <c r="H1170" s="342"/>
      <c r="I1170" s="103">
        <v>0</v>
      </c>
      <c r="J1170" s="103">
        <v>0</v>
      </c>
      <c r="K1170" s="103">
        <v>0</v>
      </c>
      <c r="L1170" s="103">
        <v>0</v>
      </c>
      <c r="M1170" s="103">
        <v>0</v>
      </c>
      <c r="N1170" s="103">
        <v>0</v>
      </c>
      <c r="O1170" s="295"/>
      <c r="P1170" s="283"/>
      <c r="Q1170" s="283">
        <f t="shared" si="1560"/>
        <v>0</v>
      </c>
      <c r="R1170" s="283">
        <f t="shared" si="1561"/>
        <v>0</v>
      </c>
      <c r="S1170" s="304">
        <v>0</v>
      </c>
      <c r="T1170" s="304">
        <v>0</v>
      </c>
      <c r="V1170" s="304">
        <v>0</v>
      </c>
      <c r="W1170" s="304">
        <v>0</v>
      </c>
      <c r="Y1170" s="304">
        <v>0</v>
      </c>
      <c r="Z1170" s="304">
        <v>0</v>
      </c>
      <c r="AB1170" s="304">
        <v>0</v>
      </c>
      <c r="AC1170" s="304">
        <v>0</v>
      </c>
      <c r="AE1170" s="304">
        <v>0</v>
      </c>
      <c r="AF1170" s="304">
        <v>0</v>
      </c>
      <c r="AH1170" s="304">
        <v>0</v>
      </c>
      <c r="AI1170" s="304">
        <v>0</v>
      </c>
      <c r="AK1170" s="304">
        <v>0</v>
      </c>
      <c r="AL1170" s="304">
        <v>0</v>
      </c>
      <c r="AN1170" s="304">
        <v>0</v>
      </c>
      <c r="AO1170" s="304">
        <v>0</v>
      </c>
      <c r="AQ1170" s="304">
        <v>0</v>
      </c>
      <c r="AR1170" s="304">
        <v>0</v>
      </c>
      <c r="AT1170" s="304">
        <v>0</v>
      </c>
      <c r="AU1170" s="304">
        <v>0</v>
      </c>
      <c r="AW1170" s="304">
        <v>0</v>
      </c>
      <c r="AX1170" s="304">
        <v>0</v>
      </c>
      <c r="AZ1170" s="304">
        <v>0</v>
      </c>
      <c r="BA1170" s="304">
        <v>0</v>
      </c>
      <c r="BC1170" s="304">
        <v>0</v>
      </c>
      <c r="BD1170" s="304">
        <v>0</v>
      </c>
      <c r="BF1170" s="304">
        <v>0</v>
      </c>
      <c r="BG1170" s="304">
        <v>0</v>
      </c>
      <c r="BI1170" s="304">
        <v>0</v>
      </c>
      <c r="BJ1170" s="304">
        <v>0</v>
      </c>
      <c r="BL1170" s="304">
        <v>0</v>
      </c>
      <c r="BM1170" s="304">
        <v>0</v>
      </c>
      <c r="BO1170" s="304">
        <v>0</v>
      </c>
      <c r="BP1170" s="304">
        <v>0</v>
      </c>
      <c r="BR1170" s="304">
        <v>0</v>
      </c>
      <c r="BS1170" s="304">
        <v>0</v>
      </c>
      <c r="BU1170" s="304">
        <v>0</v>
      </c>
      <c r="BV1170" s="304">
        <v>0</v>
      </c>
      <c r="BX1170" s="304">
        <v>0</v>
      </c>
      <c r="BY1170" s="304">
        <v>0</v>
      </c>
      <c r="CA1170" s="304">
        <v>0</v>
      </c>
      <c r="CB1170" s="304">
        <v>0</v>
      </c>
      <c r="CD1170" s="304">
        <v>0</v>
      </c>
      <c r="CE1170" s="304">
        <v>0</v>
      </c>
      <c r="CG1170" s="304">
        <v>0</v>
      </c>
      <c r="CH1170" s="304">
        <v>0</v>
      </c>
      <c r="CJ1170" s="304">
        <v>0</v>
      </c>
      <c r="CK1170" s="304">
        <v>0</v>
      </c>
    </row>
    <row r="1171" spans="1:89" ht="30" x14ac:dyDescent="0.25">
      <c r="A1171" s="95"/>
      <c r="B1171" s="96" t="s">
        <v>1697</v>
      </c>
      <c r="C1171" s="312" t="s">
        <v>2422</v>
      </c>
      <c r="D1171" s="95" t="s">
        <v>950</v>
      </c>
      <c r="E1171" s="103"/>
      <c r="F1171" s="103"/>
      <c r="G1171" s="103"/>
      <c r="H1171" s="342"/>
      <c r="I1171" s="103">
        <v>3</v>
      </c>
      <c r="J1171" s="103">
        <v>2</v>
      </c>
      <c r="K1171" s="103">
        <v>2</v>
      </c>
      <c r="L1171" s="103">
        <v>0</v>
      </c>
      <c r="M1171" s="103">
        <v>0</v>
      </c>
      <c r="N1171" s="103">
        <v>0</v>
      </c>
      <c r="O1171" s="295"/>
      <c r="P1171" s="283"/>
      <c r="Q1171" s="283">
        <f t="shared" si="1560"/>
        <v>2</v>
      </c>
      <c r="R1171" s="283">
        <f t="shared" si="1561"/>
        <v>3</v>
      </c>
      <c r="S1171" s="304">
        <v>0</v>
      </c>
      <c r="T1171" s="304">
        <v>0</v>
      </c>
      <c r="V1171" s="304">
        <v>0</v>
      </c>
      <c r="W1171" s="304">
        <v>0</v>
      </c>
      <c r="Y1171" s="304">
        <v>0</v>
      </c>
      <c r="Z1171" s="304">
        <v>0</v>
      </c>
      <c r="AB1171" s="304">
        <v>0</v>
      </c>
      <c r="AC1171" s="304">
        <v>0</v>
      </c>
      <c r="AE1171" s="304">
        <v>0</v>
      </c>
      <c r="AF1171" s="304">
        <v>0</v>
      </c>
      <c r="AH1171" s="304">
        <v>0</v>
      </c>
      <c r="AI1171" s="304">
        <v>0</v>
      </c>
      <c r="AK1171" s="304">
        <v>0</v>
      </c>
      <c r="AL1171" s="304">
        <v>0</v>
      </c>
      <c r="AN1171" s="304">
        <v>0</v>
      </c>
      <c r="AO1171" s="304">
        <v>0</v>
      </c>
      <c r="AQ1171" s="304">
        <v>0</v>
      </c>
      <c r="AR1171" s="304">
        <v>0</v>
      </c>
      <c r="AT1171" s="304">
        <v>0</v>
      </c>
      <c r="AU1171" s="304">
        <v>0</v>
      </c>
      <c r="AW1171" s="304">
        <v>0</v>
      </c>
      <c r="AX1171" s="304">
        <v>0</v>
      </c>
      <c r="AZ1171" s="304">
        <v>0</v>
      </c>
      <c r="BA1171" s="304">
        <v>0</v>
      </c>
      <c r="BC1171" s="304">
        <v>2</v>
      </c>
      <c r="BD1171" s="304">
        <v>3</v>
      </c>
      <c r="BF1171" s="304">
        <v>0</v>
      </c>
      <c r="BG1171" s="304">
        <v>0</v>
      </c>
      <c r="BI1171" s="304">
        <v>0</v>
      </c>
      <c r="BJ1171" s="304">
        <v>0</v>
      </c>
      <c r="BL1171" s="304">
        <v>0</v>
      </c>
      <c r="BM1171" s="304">
        <v>0</v>
      </c>
      <c r="BO1171" s="304">
        <v>0</v>
      </c>
      <c r="BP1171" s="304">
        <v>0</v>
      </c>
      <c r="BR1171" s="304">
        <v>0</v>
      </c>
      <c r="BS1171" s="304">
        <v>0</v>
      </c>
      <c r="BU1171" s="304">
        <v>0</v>
      </c>
      <c r="BV1171" s="304">
        <v>0</v>
      </c>
      <c r="BX1171" s="304">
        <v>0</v>
      </c>
      <c r="BY1171" s="304">
        <v>0</v>
      </c>
      <c r="CA1171" s="304">
        <v>0</v>
      </c>
      <c r="CB1171" s="304">
        <v>0</v>
      </c>
      <c r="CD1171" s="304">
        <v>0</v>
      </c>
      <c r="CE1171" s="304">
        <v>0</v>
      </c>
      <c r="CG1171" s="304">
        <v>0</v>
      </c>
      <c r="CH1171" s="304">
        <v>0</v>
      </c>
      <c r="CJ1171" s="304">
        <v>0</v>
      </c>
      <c r="CK1171" s="304">
        <v>0</v>
      </c>
    </row>
    <row r="1172" spans="1:89" ht="30" x14ac:dyDescent="0.25">
      <c r="A1172" s="95"/>
      <c r="B1172" s="96" t="s">
        <v>1698</v>
      </c>
      <c r="C1172" s="312" t="s">
        <v>2423</v>
      </c>
      <c r="D1172" s="95" t="s">
        <v>950</v>
      </c>
      <c r="E1172" s="103"/>
      <c r="F1172" s="103"/>
      <c r="G1172" s="103"/>
      <c r="H1172" s="342"/>
      <c r="I1172" s="103">
        <v>2</v>
      </c>
      <c r="J1172" s="103">
        <v>1</v>
      </c>
      <c r="K1172" s="103">
        <v>3</v>
      </c>
      <c r="L1172" s="103">
        <v>0</v>
      </c>
      <c r="M1172" s="103">
        <v>0</v>
      </c>
      <c r="N1172" s="103">
        <v>0</v>
      </c>
      <c r="O1172" s="295"/>
      <c r="P1172" s="283"/>
      <c r="Q1172" s="283">
        <f t="shared" si="1560"/>
        <v>3</v>
      </c>
      <c r="R1172" s="283">
        <f t="shared" si="1561"/>
        <v>3</v>
      </c>
      <c r="S1172" s="304">
        <v>0</v>
      </c>
      <c r="T1172" s="304">
        <v>0</v>
      </c>
      <c r="V1172" s="304">
        <v>0</v>
      </c>
      <c r="W1172" s="304">
        <v>0</v>
      </c>
      <c r="Y1172" s="304">
        <v>0</v>
      </c>
      <c r="Z1172" s="304">
        <v>0</v>
      </c>
      <c r="AB1172" s="304">
        <v>0</v>
      </c>
      <c r="AC1172" s="304">
        <v>0</v>
      </c>
      <c r="AE1172" s="304">
        <v>0</v>
      </c>
      <c r="AF1172" s="304">
        <v>0</v>
      </c>
      <c r="AH1172" s="304">
        <v>0</v>
      </c>
      <c r="AI1172" s="304">
        <v>0</v>
      </c>
      <c r="AK1172" s="304">
        <v>0</v>
      </c>
      <c r="AL1172" s="304">
        <v>0</v>
      </c>
      <c r="AN1172" s="304">
        <v>0</v>
      </c>
      <c r="AO1172" s="304">
        <v>0</v>
      </c>
      <c r="AQ1172" s="304">
        <v>0</v>
      </c>
      <c r="AR1172" s="304">
        <v>0</v>
      </c>
      <c r="AT1172" s="304">
        <v>0</v>
      </c>
      <c r="AU1172" s="304">
        <v>0</v>
      </c>
      <c r="AW1172" s="304">
        <v>0</v>
      </c>
      <c r="AX1172" s="304">
        <v>0</v>
      </c>
      <c r="AZ1172" s="304">
        <v>0</v>
      </c>
      <c r="BA1172" s="304">
        <v>0</v>
      </c>
      <c r="BC1172" s="304">
        <v>1</v>
      </c>
      <c r="BD1172" s="304">
        <v>1</v>
      </c>
      <c r="BF1172" s="304">
        <v>0</v>
      </c>
      <c r="BG1172" s="304">
        <v>0</v>
      </c>
      <c r="BI1172" s="304">
        <v>0</v>
      </c>
      <c r="BJ1172" s="304">
        <v>0</v>
      </c>
      <c r="BL1172" s="304">
        <v>0</v>
      </c>
      <c r="BM1172" s="304">
        <v>0</v>
      </c>
      <c r="BO1172" s="304">
        <v>0</v>
      </c>
      <c r="BP1172" s="304">
        <v>0</v>
      </c>
      <c r="BR1172" s="304">
        <v>0</v>
      </c>
      <c r="BS1172" s="304">
        <v>0</v>
      </c>
      <c r="BU1172" s="304">
        <v>0</v>
      </c>
      <c r="BV1172" s="304">
        <v>0</v>
      </c>
      <c r="BX1172" s="304">
        <v>0</v>
      </c>
      <c r="BY1172" s="304">
        <v>0</v>
      </c>
      <c r="CA1172" s="304">
        <v>0</v>
      </c>
      <c r="CB1172" s="304">
        <v>0</v>
      </c>
      <c r="CD1172" s="304">
        <v>2</v>
      </c>
      <c r="CE1172" s="304">
        <v>2</v>
      </c>
      <c r="CG1172" s="304">
        <v>0</v>
      </c>
      <c r="CH1172" s="304">
        <v>0</v>
      </c>
      <c r="CJ1172" s="304">
        <v>0</v>
      </c>
      <c r="CK1172" s="304">
        <v>0</v>
      </c>
    </row>
    <row r="1173" spans="1:89" ht="30" x14ac:dyDescent="0.25">
      <c r="A1173" s="95"/>
      <c r="B1173" s="96" t="s">
        <v>1699</v>
      </c>
      <c r="C1173" s="312" t="s">
        <v>2424</v>
      </c>
      <c r="D1173" s="95" t="s">
        <v>950</v>
      </c>
      <c r="E1173" s="103"/>
      <c r="F1173" s="103"/>
      <c r="G1173" s="103"/>
      <c r="H1173" s="342"/>
      <c r="I1173" s="103">
        <v>0</v>
      </c>
      <c r="J1173" s="103">
        <v>0</v>
      </c>
      <c r="K1173" s="103">
        <v>0</v>
      </c>
      <c r="L1173" s="103">
        <v>0</v>
      </c>
      <c r="M1173" s="103">
        <v>0</v>
      </c>
      <c r="N1173" s="103">
        <v>0</v>
      </c>
      <c r="O1173" s="295"/>
      <c r="P1173" s="283"/>
      <c r="Q1173" s="283">
        <f t="shared" si="1560"/>
        <v>0</v>
      </c>
      <c r="R1173" s="283">
        <f t="shared" si="1561"/>
        <v>0</v>
      </c>
      <c r="S1173" s="304">
        <v>0</v>
      </c>
      <c r="T1173" s="304">
        <v>0</v>
      </c>
      <c r="V1173" s="304">
        <v>0</v>
      </c>
      <c r="W1173" s="304">
        <v>0</v>
      </c>
      <c r="Y1173" s="304">
        <v>0</v>
      </c>
      <c r="Z1173" s="304">
        <v>0</v>
      </c>
      <c r="AB1173" s="304">
        <v>0</v>
      </c>
      <c r="AC1173" s="304">
        <v>0</v>
      </c>
      <c r="AE1173" s="304">
        <v>0</v>
      </c>
      <c r="AF1173" s="304">
        <v>0</v>
      </c>
      <c r="AH1173" s="304">
        <v>0</v>
      </c>
      <c r="AI1173" s="304">
        <v>0</v>
      </c>
      <c r="AK1173" s="304">
        <v>0</v>
      </c>
      <c r="AL1173" s="304">
        <v>0</v>
      </c>
      <c r="AN1173" s="304">
        <v>0</v>
      </c>
      <c r="AO1173" s="304">
        <v>0</v>
      </c>
      <c r="AQ1173" s="304">
        <v>0</v>
      </c>
      <c r="AR1173" s="304">
        <v>0</v>
      </c>
      <c r="AT1173" s="304">
        <v>0</v>
      </c>
      <c r="AU1173" s="304">
        <v>0</v>
      </c>
      <c r="AW1173" s="304">
        <v>0</v>
      </c>
      <c r="AX1173" s="304">
        <v>0</v>
      </c>
      <c r="AZ1173" s="304">
        <v>0</v>
      </c>
      <c r="BA1173" s="304">
        <v>0</v>
      </c>
      <c r="BC1173" s="304">
        <v>0</v>
      </c>
      <c r="BD1173" s="304">
        <v>0</v>
      </c>
      <c r="BF1173" s="304">
        <v>0</v>
      </c>
      <c r="BG1173" s="304">
        <v>0</v>
      </c>
      <c r="BI1173" s="304">
        <v>0</v>
      </c>
      <c r="BJ1173" s="304">
        <v>0</v>
      </c>
      <c r="BL1173" s="304">
        <v>0</v>
      </c>
      <c r="BM1173" s="304">
        <v>0</v>
      </c>
      <c r="BO1173" s="304">
        <v>0</v>
      </c>
      <c r="BP1173" s="304">
        <v>0</v>
      </c>
      <c r="BR1173" s="304">
        <v>0</v>
      </c>
      <c r="BS1173" s="304">
        <v>0</v>
      </c>
      <c r="BU1173" s="304">
        <v>0</v>
      </c>
      <c r="BV1173" s="304">
        <v>0</v>
      </c>
      <c r="BX1173" s="304">
        <v>0</v>
      </c>
      <c r="BY1173" s="304">
        <v>0</v>
      </c>
      <c r="CA1173" s="304">
        <v>0</v>
      </c>
      <c r="CB1173" s="304">
        <v>0</v>
      </c>
      <c r="CD1173" s="304">
        <v>0</v>
      </c>
      <c r="CE1173" s="304">
        <v>0</v>
      </c>
      <c r="CG1173" s="304">
        <v>0</v>
      </c>
      <c r="CH1173" s="304">
        <v>0</v>
      </c>
      <c r="CJ1173" s="304">
        <v>0</v>
      </c>
      <c r="CK1173" s="304">
        <v>0</v>
      </c>
    </row>
    <row r="1174" spans="1:89" ht="30" x14ac:dyDescent="0.25">
      <c r="A1174" s="95"/>
      <c r="B1174" s="96" t="s">
        <v>1700</v>
      </c>
      <c r="C1174" s="312" t="s">
        <v>2425</v>
      </c>
      <c r="D1174" s="95" t="s">
        <v>950</v>
      </c>
      <c r="E1174" s="103"/>
      <c r="F1174" s="103"/>
      <c r="G1174" s="103"/>
      <c r="H1174" s="342"/>
      <c r="I1174" s="103">
        <v>0</v>
      </c>
      <c r="J1174" s="103">
        <v>0</v>
      </c>
      <c r="K1174" s="103">
        <v>0</v>
      </c>
      <c r="L1174" s="103">
        <v>0</v>
      </c>
      <c r="M1174" s="103">
        <v>0</v>
      </c>
      <c r="N1174" s="103">
        <v>0</v>
      </c>
      <c r="O1174" s="295"/>
      <c r="P1174" s="283"/>
      <c r="Q1174" s="283">
        <f t="shared" si="1560"/>
        <v>0</v>
      </c>
      <c r="R1174" s="283">
        <f t="shared" si="1561"/>
        <v>1</v>
      </c>
      <c r="S1174" s="304">
        <v>0</v>
      </c>
      <c r="T1174" s="304">
        <v>0</v>
      </c>
      <c r="V1174" s="304">
        <v>0</v>
      </c>
      <c r="W1174" s="304">
        <v>0</v>
      </c>
      <c r="Y1174" s="304">
        <v>0</v>
      </c>
      <c r="Z1174" s="304">
        <v>0</v>
      </c>
      <c r="AB1174" s="304">
        <v>0</v>
      </c>
      <c r="AC1174" s="304">
        <v>0</v>
      </c>
      <c r="AE1174" s="304">
        <v>0</v>
      </c>
      <c r="AF1174" s="304">
        <v>0</v>
      </c>
      <c r="AH1174" s="304">
        <v>0</v>
      </c>
      <c r="AI1174" s="304">
        <v>0</v>
      </c>
      <c r="AK1174" s="304">
        <v>0</v>
      </c>
      <c r="AL1174" s="304">
        <v>0</v>
      </c>
      <c r="AN1174" s="304">
        <v>0</v>
      </c>
      <c r="AO1174" s="304">
        <v>0</v>
      </c>
      <c r="AQ1174" s="304">
        <v>0</v>
      </c>
      <c r="AR1174" s="304">
        <v>0</v>
      </c>
      <c r="AT1174" s="304">
        <v>0</v>
      </c>
      <c r="AU1174" s="304">
        <v>0</v>
      </c>
      <c r="AW1174" s="304">
        <v>0</v>
      </c>
      <c r="AX1174" s="304">
        <v>0</v>
      </c>
      <c r="AZ1174" s="304">
        <v>0</v>
      </c>
      <c r="BA1174" s="304">
        <v>0</v>
      </c>
      <c r="BC1174" s="304">
        <v>0</v>
      </c>
      <c r="BD1174" s="304">
        <v>0</v>
      </c>
      <c r="BF1174" s="304">
        <v>0</v>
      </c>
      <c r="BG1174" s="304">
        <v>0</v>
      </c>
      <c r="BI1174" s="304">
        <v>0</v>
      </c>
      <c r="BJ1174" s="304">
        <v>0</v>
      </c>
      <c r="BL1174" s="304">
        <v>0</v>
      </c>
      <c r="BM1174" s="304">
        <v>0</v>
      </c>
      <c r="BO1174" s="304">
        <v>0</v>
      </c>
      <c r="BP1174" s="304">
        <v>0</v>
      </c>
      <c r="BR1174" s="304">
        <v>0</v>
      </c>
      <c r="BS1174" s="304">
        <v>0</v>
      </c>
      <c r="BU1174" s="304">
        <v>0</v>
      </c>
      <c r="BV1174" s="304">
        <v>0</v>
      </c>
      <c r="BX1174" s="304">
        <v>0</v>
      </c>
      <c r="BY1174" s="304">
        <v>0</v>
      </c>
      <c r="CA1174" s="304">
        <v>0</v>
      </c>
      <c r="CB1174" s="304">
        <v>0</v>
      </c>
      <c r="CD1174" s="304">
        <v>0</v>
      </c>
      <c r="CE1174" s="304">
        <v>1</v>
      </c>
      <c r="CG1174" s="304">
        <v>0</v>
      </c>
      <c r="CH1174" s="304">
        <v>0</v>
      </c>
      <c r="CJ1174" s="304">
        <v>0</v>
      </c>
      <c r="CK1174" s="304">
        <v>0</v>
      </c>
    </row>
    <row r="1175" spans="1:89" x14ac:dyDescent="0.25">
      <c r="A1175" s="95"/>
      <c r="B1175" s="96" t="s">
        <v>2540</v>
      </c>
      <c r="C1175" s="95"/>
      <c r="D1175" s="95" t="s">
        <v>950</v>
      </c>
      <c r="E1175" s="103"/>
      <c r="F1175" s="103"/>
      <c r="G1175" s="103"/>
      <c r="H1175" s="342"/>
      <c r="I1175" s="103"/>
      <c r="J1175" s="103"/>
      <c r="K1175" s="103"/>
      <c r="L1175" s="103"/>
      <c r="M1175" s="103"/>
      <c r="N1175" s="103"/>
      <c r="O1175" s="295"/>
      <c r="Q1175" s="349"/>
      <c r="R1175" s="349"/>
      <c r="S1175" s="349"/>
      <c r="T1175" s="349"/>
      <c r="V1175" s="349"/>
      <c r="W1175" s="349"/>
      <c r="Y1175" s="349"/>
      <c r="Z1175" s="349"/>
      <c r="AB1175" s="349"/>
      <c r="AC1175" s="349"/>
      <c r="AE1175" s="349"/>
      <c r="AF1175" s="349"/>
      <c r="AH1175" s="349"/>
      <c r="AI1175" s="349"/>
      <c r="AK1175" s="349"/>
      <c r="AL1175" s="349"/>
      <c r="AN1175" s="349"/>
      <c r="AO1175" s="349"/>
      <c r="AQ1175" s="349"/>
      <c r="AR1175" s="349"/>
      <c r="AT1175" s="349"/>
      <c r="AU1175" s="349"/>
      <c r="AW1175" s="349"/>
      <c r="AX1175" s="349"/>
      <c r="AZ1175" s="349"/>
      <c r="BA1175" s="349"/>
      <c r="BC1175" s="349"/>
      <c r="BD1175" s="349"/>
      <c r="BF1175" s="349"/>
      <c r="BG1175" s="349"/>
      <c r="BI1175" s="349"/>
      <c r="BJ1175" s="349"/>
      <c r="BL1175" s="349"/>
      <c r="BM1175" s="349"/>
      <c r="BO1175" s="349"/>
      <c r="BP1175" s="349"/>
      <c r="BR1175" s="349"/>
      <c r="BS1175" s="349"/>
      <c r="BU1175" s="349"/>
      <c r="BV1175" s="349"/>
      <c r="BX1175" s="349"/>
      <c r="BY1175" s="349"/>
      <c r="CA1175" s="349"/>
      <c r="CB1175" s="349"/>
      <c r="CD1175" s="349"/>
      <c r="CE1175" s="349"/>
      <c r="CG1175" s="349"/>
      <c r="CH1175" s="349"/>
      <c r="CJ1175" s="349"/>
      <c r="CK1175" s="349"/>
    </row>
    <row r="1176" spans="1:89" x14ac:dyDescent="0.25">
      <c r="A1176" s="95"/>
      <c r="B1176" s="96" t="s">
        <v>2538</v>
      </c>
      <c r="C1176" s="95"/>
      <c r="D1176" s="95" t="s">
        <v>950</v>
      </c>
      <c r="E1176" s="103"/>
      <c r="F1176" s="103"/>
      <c r="G1176" s="103"/>
      <c r="H1176" s="342"/>
      <c r="I1176" s="103"/>
      <c r="J1176" s="103"/>
      <c r="K1176" s="103"/>
      <c r="L1176" s="103"/>
      <c r="M1176" s="103"/>
      <c r="N1176" s="103"/>
      <c r="O1176" s="295"/>
      <c r="Q1176" s="349"/>
      <c r="R1176" s="349"/>
      <c r="S1176" s="349"/>
      <c r="T1176" s="349"/>
      <c r="V1176" s="349"/>
      <c r="W1176" s="349"/>
      <c r="Y1176" s="349"/>
      <c r="Z1176" s="349"/>
      <c r="AB1176" s="349"/>
      <c r="AC1176" s="349"/>
      <c r="AE1176" s="349"/>
      <c r="AF1176" s="349"/>
      <c r="AH1176" s="349"/>
      <c r="AI1176" s="349"/>
      <c r="AK1176" s="349"/>
      <c r="AL1176" s="349"/>
      <c r="AN1176" s="349"/>
      <c r="AO1176" s="349"/>
      <c r="AQ1176" s="349"/>
      <c r="AR1176" s="349"/>
      <c r="AT1176" s="349"/>
      <c r="AU1176" s="349"/>
      <c r="AW1176" s="349"/>
      <c r="AX1176" s="349"/>
      <c r="AZ1176" s="349"/>
      <c r="BA1176" s="349"/>
      <c r="BC1176" s="349"/>
      <c r="BD1176" s="349"/>
      <c r="BF1176" s="349"/>
      <c r="BG1176" s="349"/>
      <c r="BI1176" s="349"/>
      <c r="BJ1176" s="349"/>
      <c r="BL1176" s="349"/>
      <c r="BM1176" s="349"/>
      <c r="BO1176" s="349"/>
      <c r="BP1176" s="349"/>
      <c r="BR1176" s="349"/>
      <c r="BS1176" s="349"/>
      <c r="BU1176" s="349"/>
      <c r="BV1176" s="349"/>
      <c r="BX1176" s="349"/>
      <c r="BY1176" s="349"/>
      <c r="CA1176" s="349"/>
      <c r="CB1176" s="349"/>
      <c r="CD1176" s="349"/>
      <c r="CE1176" s="349"/>
      <c r="CG1176" s="349"/>
      <c r="CH1176" s="349"/>
      <c r="CJ1176" s="349"/>
      <c r="CK1176" s="349"/>
    </row>
    <row r="1177" spans="1:89" ht="30" x14ac:dyDescent="0.25">
      <c r="A1177" s="95"/>
      <c r="B1177" s="96" t="s">
        <v>2099</v>
      </c>
      <c r="C1177" s="95"/>
      <c r="D1177" s="95" t="s">
        <v>950</v>
      </c>
      <c r="E1177" s="103"/>
      <c r="F1177" s="103"/>
      <c r="G1177" s="103"/>
      <c r="H1177" s="342"/>
      <c r="I1177" s="103">
        <f t="shared" ref="I1177:N1177" si="1562">SUM(I1166:I1174)</f>
        <v>6</v>
      </c>
      <c r="J1177" s="103">
        <f t="shared" si="1562"/>
        <v>4</v>
      </c>
      <c r="K1177" s="103">
        <f t="shared" si="1562"/>
        <v>5</v>
      </c>
      <c r="L1177" s="103">
        <f t="shared" si="1562"/>
        <v>0</v>
      </c>
      <c r="M1177" s="103">
        <f t="shared" si="1562"/>
        <v>0</v>
      </c>
      <c r="N1177" s="103">
        <f t="shared" si="1562"/>
        <v>0</v>
      </c>
      <c r="O1177" s="295"/>
      <c r="Q1177" s="103">
        <f>SUM(Q1166:Q1174)</f>
        <v>5</v>
      </c>
      <c r="R1177" s="103">
        <f>SUM(R1166:R1174)</f>
        <v>7</v>
      </c>
      <c r="S1177" s="103">
        <f>SUM(S1166:S1174)</f>
        <v>0</v>
      </c>
      <c r="T1177" s="103">
        <f>SUM(T1166:T1174)</f>
        <v>0</v>
      </c>
      <c r="V1177" s="103">
        <f>SUM(V1166:V1174)</f>
        <v>0</v>
      </c>
      <c r="W1177" s="103">
        <f>SUM(W1166:W1174)</f>
        <v>0</v>
      </c>
      <c r="Y1177" s="103">
        <f>SUM(Y1166:Y1174)</f>
        <v>0</v>
      </c>
      <c r="Z1177" s="103">
        <f>SUM(Z1166:Z1174)</f>
        <v>0</v>
      </c>
      <c r="AB1177" s="103">
        <f>SUM(AB1166:AB1174)</f>
        <v>0</v>
      </c>
      <c r="AC1177" s="103">
        <f>SUM(AC1166:AC1174)</f>
        <v>0</v>
      </c>
      <c r="AE1177" s="103">
        <f>SUM(AE1166:AE1174)</f>
        <v>0</v>
      </c>
      <c r="AF1177" s="103">
        <f>SUM(AF1166:AF1174)</f>
        <v>0</v>
      </c>
      <c r="AH1177" s="103">
        <f>SUM(AH1166:AH1174)</f>
        <v>0</v>
      </c>
      <c r="AI1177" s="103">
        <f>SUM(AI1166:AI1174)</f>
        <v>0</v>
      </c>
      <c r="AK1177" s="103">
        <f>SUM(AK1166:AK1174)</f>
        <v>0</v>
      </c>
      <c r="AL1177" s="103">
        <f>SUM(AL1166:AL1174)</f>
        <v>0</v>
      </c>
      <c r="AN1177" s="103">
        <f>SUM(AN1166:AN1174)</f>
        <v>0</v>
      </c>
      <c r="AO1177" s="103">
        <f>SUM(AO1166:AO1174)</f>
        <v>0</v>
      </c>
      <c r="AQ1177" s="103">
        <f>SUM(AQ1166:AQ1174)</f>
        <v>0</v>
      </c>
      <c r="AR1177" s="103">
        <f>SUM(AR1166:AR1174)</f>
        <v>0</v>
      </c>
      <c r="AT1177" s="103">
        <f>SUM(AT1166:AT1174)</f>
        <v>0</v>
      </c>
      <c r="AU1177" s="103">
        <f>SUM(AU1166:AU1174)</f>
        <v>0</v>
      </c>
      <c r="AW1177" s="103">
        <f>SUM(AW1166:AW1174)</f>
        <v>0</v>
      </c>
      <c r="AX1177" s="103">
        <f>SUM(AX1166:AX1174)</f>
        <v>0</v>
      </c>
      <c r="AZ1177" s="103">
        <f>SUM(AZ1166:AZ1174)</f>
        <v>0</v>
      </c>
      <c r="BA1177" s="103">
        <f>SUM(BA1166:BA1174)</f>
        <v>0</v>
      </c>
      <c r="BC1177" s="103">
        <f>SUM(BC1166:BC1174)</f>
        <v>3</v>
      </c>
      <c r="BD1177" s="103">
        <f>SUM(BD1166:BD1174)</f>
        <v>4</v>
      </c>
      <c r="BF1177" s="103">
        <f>SUM(BF1166:BF1174)</f>
        <v>0</v>
      </c>
      <c r="BG1177" s="103">
        <f>SUM(BG1166:BG1174)</f>
        <v>0</v>
      </c>
      <c r="BI1177" s="103">
        <f>SUM(BI1166:BI1174)</f>
        <v>0</v>
      </c>
      <c r="BJ1177" s="103">
        <f>SUM(BJ1166:BJ1174)</f>
        <v>0</v>
      </c>
      <c r="BL1177" s="103">
        <f>SUM(BL1166:BL1174)</f>
        <v>0</v>
      </c>
      <c r="BM1177" s="103">
        <f>SUM(BM1166:BM1174)</f>
        <v>0</v>
      </c>
      <c r="BO1177" s="103">
        <f>SUM(BO1166:BO1174)</f>
        <v>0</v>
      </c>
      <c r="BP1177" s="103">
        <f>SUM(BP1166:BP1174)</f>
        <v>0</v>
      </c>
      <c r="BR1177" s="103">
        <f>SUM(BR1166:BR1174)</f>
        <v>0</v>
      </c>
      <c r="BS1177" s="103">
        <f>SUM(BS1166:BS1174)</f>
        <v>0</v>
      </c>
      <c r="BU1177" s="103">
        <f>SUM(BU1166:BU1174)</f>
        <v>0</v>
      </c>
      <c r="BV1177" s="103">
        <f>SUM(BV1166:BV1174)</f>
        <v>0</v>
      </c>
      <c r="BX1177" s="103">
        <f>SUM(BX1166:BX1174)</f>
        <v>0</v>
      </c>
      <c r="BY1177" s="103">
        <f>SUM(BY1166:BY1174)</f>
        <v>0</v>
      </c>
      <c r="CA1177" s="103">
        <f>SUM(CA1166:CA1174)</f>
        <v>0</v>
      </c>
      <c r="CB1177" s="103">
        <f>SUM(CB1166:CB1174)</f>
        <v>0</v>
      </c>
      <c r="CD1177" s="103">
        <f>SUM(CD1166:CD1174)</f>
        <v>2</v>
      </c>
      <c r="CE1177" s="103">
        <f>SUM(CE1166:CE1174)</f>
        <v>3</v>
      </c>
      <c r="CG1177" s="103">
        <f>SUM(CG1166:CG1174)</f>
        <v>0</v>
      </c>
      <c r="CH1177" s="103">
        <f>SUM(CH1166:CH1174)</f>
        <v>0</v>
      </c>
      <c r="CJ1177" s="103">
        <f>SUM(CJ1166:CJ1174)</f>
        <v>0</v>
      </c>
      <c r="CK1177" s="103">
        <f>SUM(CK1166:CK1174)</f>
        <v>0</v>
      </c>
    </row>
    <row r="1178" spans="1:89" ht="45" hidden="1" x14ac:dyDescent="0.25">
      <c r="A1178" s="105" t="s">
        <v>234</v>
      </c>
      <c r="B1178" s="290" t="s">
        <v>235</v>
      </c>
      <c r="C1178" s="107"/>
      <c r="D1178" s="107"/>
      <c r="E1178" s="107"/>
      <c r="F1178" s="107"/>
      <c r="G1178" s="107"/>
      <c r="H1178" s="107"/>
      <c r="I1178" s="107"/>
      <c r="J1178" s="107"/>
      <c r="K1178" s="107"/>
      <c r="L1178" s="107"/>
      <c r="M1178" s="107"/>
      <c r="N1178" s="107"/>
    </row>
    <row r="1179" spans="1:89" ht="75" hidden="1" x14ac:dyDescent="0.25">
      <c r="A1179" s="95" t="s">
        <v>237</v>
      </c>
      <c r="B1179" s="16" t="s">
        <v>1707</v>
      </c>
      <c r="C1179" s="95" t="s">
        <v>236</v>
      </c>
      <c r="D1179" s="95" t="s">
        <v>8</v>
      </c>
      <c r="E1179" s="279"/>
      <c r="F1179" s="279"/>
      <c r="G1179" s="279"/>
      <c r="H1179" s="279"/>
      <c r="I1179" s="279"/>
      <c r="J1179" s="279"/>
      <c r="K1179" s="279"/>
      <c r="L1179" s="279"/>
      <c r="M1179" s="279"/>
      <c r="N1179" s="279"/>
      <c r="O1179" s="281" t="s">
        <v>140</v>
      </c>
    </row>
    <row r="1180" spans="1:89" hidden="1" x14ac:dyDescent="0.25">
      <c r="A1180" s="107"/>
      <c r="B1180" s="16" t="s">
        <v>1447</v>
      </c>
      <c r="C1180" s="95" t="s">
        <v>236</v>
      </c>
      <c r="D1180" s="95" t="s">
        <v>1116</v>
      </c>
      <c r="E1180" s="291"/>
      <c r="F1180" s="291"/>
      <c r="G1180" s="291"/>
      <c r="H1180" s="291"/>
      <c r="I1180" s="291"/>
      <c r="J1180" s="291"/>
      <c r="K1180" s="291"/>
      <c r="L1180" s="291"/>
      <c r="M1180" s="291"/>
      <c r="N1180" s="291"/>
      <c r="O1180" s="281"/>
    </row>
    <row r="1181" spans="1:89" ht="30" hidden="1" x14ac:dyDescent="0.25">
      <c r="A1181" s="107"/>
      <c r="B1181" s="16" t="s">
        <v>1448</v>
      </c>
      <c r="C1181" s="95" t="s">
        <v>236</v>
      </c>
      <c r="D1181" s="95" t="s">
        <v>1116</v>
      </c>
      <c r="E1181" s="291"/>
      <c r="F1181" s="291"/>
      <c r="G1181" s="291"/>
      <c r="H1181" s="291"/>
      <c r="I1181" s="291"/>
      <c r="J1181" s="291"/>
      <c r="K1181" s="291"/>
      <c r="L1181" s="291"/>
      <c r="M1181" s="291"/>
      <c r="N1181" s="291"/>
    </row>
    <row r="1182" spans="1:89" ht="30" hidden="1" x14ac:dyDescent="0.25">
      <c r="A1182" s="95" t="s">
        <v>238</v>
      </c>
      <c r="B1182" s="16" t="s">
        <v>1123</v>
      </c>
      <c r="C1182" s="95"/>
      <c r="D1182" s="107"/>
      <c r="E1182" s="291"/>
      <c r="F1182" s="291"/>
      <c r="G1182" s="291"/>
      <c r="H1182" s="291"/>
      <c r="I1182" s="291"/>
      <c r="J1182" s="291"/>
      <c r="K1182" s="291"/>
      <c r="L1182" s="291"/>
      <c r="M1182" s="291"/>
      <c r="N1182" s="291"/>
    </row>
    <row r="1183" spans="1:89" ht="75" hidden="1" x14ac:dyDescent="0.25">
      <c r="A1183" s="107"/>
      <c r="B1183" s="16" t="s">
        <v>239</v>
      </c>
      <c r="C1183" s="95" t="s">
        <v>236</v>
      </c>
      <c r="D1183" s="107"/>
      <c r="E1183" s="291"/>
      <c r="F1183" s="291"/>
      <c r="G1183" s="291"/>
      <c r="H1183" s="291"/>
      <c r="I1183" s="291"/>
      <c r="J1183" s="291"/>
      <c r="K1183" s="291"/>
      <c r="L1183" s="291"/>
      <c r="M1183" s="291"/>
      <c r="N1183" s="291"/>
      <c r="O1183" s="281" t="s">
        <v>140</v>
      </c>
    </row>
    <row r="1184" spans="1:89" hidden="1" x14ac:dyDescent="0.25">
      <c r="A1184" s="107"/>
      <c r="B1184" s="16" t="s">
        <v>1449</v>
      </c>
      <c r="C1184" s="95"/>
      <c r="D1184" s="95" t="s">
        <v>1116</v>
      </c>
      <c r="E1184" s="279">
        <v>42.39</v>
      </c>
      <c r="F1184" s="279"/>
      <c r="G1184" s="279"/>
      <c r="H1184" s="279"/>
      <c r="I1184" s="279"/>
      <c r="J1184" s="279"/>
      <c r="K1184" s="279"/>
      <c r="L1184" s="279"/>
      <c r="M1184" s="279"/>
      <c r="N1184" s="279"/>
    </row>
    <row r="1185" spans="1:15" hidden="1" x14ac:dyDescent="0.25">
      <c r="A1185" s="107"/>
      <c r="B1185" s="16" t="s">
        <v>1450</v>
      </c>
      <c r="C1185" s="95"/>
      <c r="D1185" s="95" t="s">
        <v>1116</v>
      </c>
      <c r="E1185" s="279">
        <v>63.44</v>
      </c>
      <c r="F1185" s="279"/>
      <c r="G1185" s="279"/>
      <c r="H1185" s="279"/>
      <c r="I1185" s="279"/>
      <c r="J1185" s="279"/>
      <c r="K1185" s="279"/>
      <c r="L1185" s="279"/>
      <c r="M1185" s="279"/>
      <c r="N1185" s="279"/>
    </row>
    <row r="1186" spans="1:15" ht="45" hidden="1" x14ac:dyDescent="0.25">
      <c r="A1186" s="95" t="s">
        <v>242</v>
      </c>
      <c r="B1186" s="96" t="s">
        <v>1708</v>
      </c>
      <c r="C1186" s="95"/>
      <c r="D1186" s="107"/>
      <c r="E1186" s="291"/>
      <c r="F1186" s="291"/>
      <c r="G1186" s="291"/>
      <c r="H1186" s="291"/>
      <c r="I1186" s="291"/>
      <c r="J1186" s="291"/>
      <c r="K1186" s="291"/>
      <c r="L1186" s="291"/>
      <c r="M1186" s="291"/>
      <c r="N1186" s="291"/>
      <c r="O1186" s="281"/>
    </row>
    <row r="1187" spans="1:15" ht="75" hidden="1" x14ac:dyDescent="0.25">
      <c r="A1187" s="107"/>
      <c r="B1187" s="16" t="s">
        <v>244</v>
      </c>
      <c r="C1187" s="95" t="s">
        <v>245</v>
      </c>
      <c r="D1187" s="107"/>
      <c r="E1187" s="291"/>
      <c r="F1187" s="291"/>
      <c r="G1187" s="291"/>
      <c r="H1187" s="291"/>
      <c r="I1187" s="291"/>
      <c r="J1187" s="291"/>
      <c r="K1187" s="291"/>
      <c r="L1187" s="291"/>
      <c r="M1187" s="291"/>
      <c r="N1187" s="291"/>
      <c r="O1187" s="281" t="s">
        <v>246</v>
      </c>
    </row>
    <row r="1188" spans="1:15" hidden="1" x14ac:dyDescent="0.25">
      <c r="A1188" s="107"/>
      <c r="B1188" s="16" t="s">
        <v>240</v>
      </c>
      <c r="C1188" s="95"/>
      <c r="D1188" s="95" t="s">
        <v>1116</v>
      </c>
      <c r="E1188" s="279">
        <v>30.22</v>
      </c>
      <c r="F1188" s="279"/>
      <c r="G1188" s="279"/>
      <c r="H1188" s="279">
        <v>4.22</v>
      </c>
      <c r="I1188" s="279"/>
      <c r="J1188" s="279"/>
      <c r="K1188" s="279"/>
      <c r="L1188" s="279"/>
      <c r="M1188" s="279"/>
      <c r="N1188" s="279"/>
    </row>
    <row r="1189" spans="1:15" hidden="1" x14ac:dyDescent="0.25">
      <c r="A1189" s="107"/>
      <c r="B1189" s="16" t="s">
        <v>241</v>
      </c>
      <c r="C1189" s="95"/>
      <c r="D1189" s="95" t="s">
        <v>1116</v>
      </c>
      <c r="E1189" s="279">
        <v>12.32</v>
      </c>
      <c r="F1189" s="279"/>
      <c r="G1189" s="279"/>
      <c r="H1189" s="279">
        <v>3.62</v>
      </c>
      <c r="I1189" s="279"/>
      <c r="J1189" s="279"/>
      <c r="K1189" s="279"/>
      <c r="L1189" s="279"/>
      <c r="M1189" s="279"/>
      <c r="N1189" s="279"/>
    </row>
    <row r="1190" spans="1:15" ht="75" hidden="1" x14ac:dyDescent="0.25">
      <c r="A1190" s="95" t="s">
        <v>243</v>
      </c>
      <c r="B1190" s="16" t="s">
        <v>1117</v>
      </c>
      <c r="C1190" s="95"/>
      <c r="D1190" s="107"/>
      <c r="E1190" s="291"/>
      <c r="F1190" s="291"/>
      <c r="G1190" s="291"/>
      <c r="H1190" s="291"/>
      <c r="I1190" s="291"/>
      <c r="J1190" s="291"/>
      <c r="K1190" s="291"/>
      <c r="L1190" s="291"/>
      <c r="M1190" s="291"/>
      <c r="N1190" s="291"/>
      <c r="O1190" s="281" t="s">
        <v>140</v>
      </c>
    </row>
    <row r="1191" spans="1:15" hidden="1" x14ac:dyDescent="0.25">
      <c r="A1191" s="95"/>
      <c r="B1191" s="16" t="s">
        <v>1449</v>
      </c>
      <c r="C1191" s="95"/>
      <c r="D1191" s="338" t="s">
        <v>8</v>
      </c>
      <c r="E1191" s="279">
        <v>0.17</v>
      </c>
      <c r="F1191" s="279"/>
      <c r="G1191" s="279"/>
      <c r="H1191" s="279"/>
      <c r="I1191" s="279"/>
      <c r="J1191" s="279"/>
      <c r="K1191" s="279"/>
      <c r="L1191" s="279"/>
      <c r="M1191" s="279"/>
      <c r="N1191" s="279"/>
    </row>
    <row r="1192" spans="1:15" hidden="1" x14ac:dyDescent="0.25">
      <c r="A1192" s="95"/>
      <c r="B1192" s="16" t="s">
        <v>1450</v>
      </c>
      <c r="C1192" s="95"/>
      <c r="D1192" s="338" t="s">
        <v>8</v>
      </c>
      <c r="E1192" s="279">
        <v>0.08</v>
      </c>
      <c r="F1192" s="279"/>
      <c r="G1192" s="279"/>
      <c r="H1192" s="279"/>
      <c r="I1192" s="279"/>
      <c r="J1192" s="279"/>
      <c r="K1192" s="279"/>
      <c r="L1192" s="279"/>
      <c r="M1192" s="279"/>
      <c r="N1192" s="279"/>
    </row>
    <row r="1193" spans="1:15" ht="30" hidden="1" x14ac:dyDescent="0.25">
      <c r="A1193" s="107"/>
      <c r="B1193" s="16" t="s">
        <v>1118</v>
      </c>
      <c r="C1193" s="95" t="s">
        <v>236</v>
      </c>
      <c r="D1193" s="107"/>
      <c r="E1193" s="291"/>
      <c r="F1193" s="291"/>
      <c r="G1193" s="291"/>
      <c r="H1193" s="291"/>
      <c r="I1193" s="291"/>
      <c r="J1193" s="291"/>
      <c r="K1193" s="291"/>
      <c r="L1193" s="291"/>
      <c r="M1193" s="291"/>
      <c r="N1193" s="291"/>
    </row>
    <row r="1194" spans="1:15" hidden="1" x14ac:dyDescent="0.25">
      <c r="A1194" s="107"/>
      <c r="B1194" s="96" t="s">
        <v>1121</v>
      </c>
      <c r="C1194" s="95"/>
      <c r="D1194" s="95" t="s">
        <v>950</v>
      </c>
      <c r="E1194" s="279"/>
      <c r="F1194" s="279"/>
      <c r="G1194" s="279"/>
      <c r="H1194" s="279"/>
      <c r="I1194" s="279"/>
      <c r="J1194" s="279"/>
      <c r="K1194" s="279"/>
      <c r="L1194" s="279"/>
      <c r="M1194" s="279"/>
      <c r="N1194" s="279"/>
    </row>
    <row r="1195" spans="1:15" hidden="1" x14ac:dyDescent="0.25">
      <c r="A1195" s="107"/>
      <c r="B1195" s="96" t="s">
        <v>1120</v>
      </c>
      <c r="C1195" s="95"/>
      <c r="D1195" s="95" t="s">
        <v>950</v>
      </c>
      <c r="E1195" s="279"/>
      <c r="F1195" s="279"/>
      <c r="G1195" s="279"/>
      <c r="H1195" s="279"/>
      <c r="I1195" s="279"/>
      <c r="J1195" s="279"/>
      <c r="K1195" s="279"/>
      <c r="L1195" s="279"/>
      <c r="M1195" s="279"/>
      <c r="N1195" s="279"/>
    </row>
    <row r="1196" spans="1:15" ht="30" hidden="1" x14ac:dyDescent="0.25">
      <c r="A1196" s="107"/>
      <c r="B1196" s="16" t="s">
        <v>1124</v>
      </c>
      <c r="C1196" s="95" t="s">
        <v>236</v>
      </c>
      <c r="D1196" s="95"/>
      <c r="E1196" s="291"/>
      <c r="F1196" s="291"/>
      <c r="G1196" s="291"/>
      <c r="H1196" s="291"/>
      <c r="I1196" s="291"/>
      <c r="J1196" s="291"/>
      <c r="K1196" s="291"/>
      <c r="L1196" s="291"/>
      <c r="M1196" s="291"/>
      <c r="N1196" s="291"/>
      <c r="O1196" s="281"/>
    </row>
    <row r="1197" spans="1:15" hidden="1" x14ac:dyDescent="0.25">
      <c r="A1197" s="107"/>
      <c r="B1197" s="96" t="s">
        <v>1121</v>
      </c>
      <c r="C1197" s="95"/>
      <c r="D1197" s="95" t="s">
        <v>950</v>
      </c>
      <c r="E1197" s="279"/>
      <c r="F1197" s="279"/>
      <c r="G1197" s="279"/>
      <c r="H1197" s="279"/>
      <c r="I1197" s="279"/>
      <c r="J1197" s="279"/>
      <c r="K1197" s="279"/>
      <c r="L1197" s="279"/>
      <c r="M1197" s="279"/>
      <c r="N1197" s="279"/>
      <c r="O1197" s="281"/>
    </row>
    <row r="1198" spans="1:15" hidden="1" x14ac:dyDescent="0.25">
      <c r="A1198" s="107"/>
      <c r="B1198" s="96" t="s">
        <v>1120</v>
      </c>
      <c r="C1198" s="95"/>
      <c r="D1198" s="95" t="s">
        <v>950</v>
      </c>
      <c r="E1198" s="279"/>
      <c r="F1198" s="279"/>
      <c r="G1198" s="279"/>
      <c r="H1198" s="279"/>
      <c r="I1198" s="279"/>
      <c r="J1198" s="279"/>
      <c r="K1198" s="279"/>
      <c r="L1198" s="279"/>
      <c r="M1198" s="279"/>
      <c r="N1198" s="279"/>
      <c r="O1198" s="281"/>
    </row>
    <row r="1199" spans="1:15" ht="60" hidden="1" x14ac:dyDescent="0.25">
      <c r="A1199" s="95" t="s">
        <v>243</v>
      </c>
      <c r="B1199" s="96" t="s">
        <v>1709</v>
      </c>
      <c r="C1199" s="95"/>
      <c r="D1199" s="95"/>
      <c r="E1199" s="279"/>
      <c r="F1199" s="279"/>
      <c r="G1199" s="279"/>
      <c r="H1199" s="279"/>
      <c r="I1199" s="279"/>
      <c r="J1199" s="279"/>
      <c r="K1199" s="279"/>
      <c r="L1199" s="279"/>
      <c r="M1199" s="279"/>
      <c r="N1199" s="279"/>
      <c r="O1199" s="281"/>
    </row>
    <row r="1200" spans="1:15" hidden="1" x14ac:dyDescent="0.25">
      <c r="A1200" s="95"/>
      <c r="B1200" s="96" t="s">
        <v>2409</v>
      </c>
      <c r="C1200" s="95"/>
      <c r="D1200" s="95"/>
      <c r="E1200" s="279"/>
      <c r="F1200" s="279"/>
      <c r="G1200" s="279"/>
      <c r="H1200" s="279"/>
      <c r="I1200" s="279"/>
      <c r="J1200" s="279"/>
      <c r="K1200" s="279"/>
      <c r="L1200" s="279"/>
      <c r="M1200" s="279"/>
      <c r="N1200" s="279"/>
    </row>
    <row r="1201" spans="1:89" hidden="1" x14ac:dyDescent="0.25">
      <c r="A1201" s="95"/>
      <c r="B1201" s="96" t="s">
        <v>2410</v>
      </c>
      <c r="C1201" s="95"/>
      <c r="D1201" s="95"/>
      <c r="E1201" s="279"/>
      <c r="F1201" s="279"/>
      <c r="G1201" s="279"/>
      <c r="H1201" s="279"/>
      <c r="I1201" s="279"/>
      <c r="J1201" s="279"/>
      <c r="K1201" s="279"/>
      <c r="L1201" s="279"/>
      <c r="M1201" s="279"/>
      <c r="N1201" s="279"/>
    </row>
    <row r="1202" spans="1:89" hidden="1" x14ac:dyDescent="0.25">
      <c r="A1202" s="95"/>
      <c r="B1202" s="96" t="s">
        <v>1710</v>
      </c>
      <c r="C1202" s="95"/>
      <c r="D1202" s="95" t="s">
        <v>8</v>
      </c>
      <c r="E1202" s="279"/>
      <c r="F1202" s="279"/>
      <c r="G1202" s="279"/>
      <c r="H1202" s="279"/>
      <c r="I1202" s="279">
        <f t="shared" ref="I1202:K1203" si="1563">(I1223+I1226)/(I1230+I1233)*100</f>
        <v>0.35215470932314669</v>
      </c>
      <c r="J1202" s="279">
        <f t="shared" si="1563"/>
        <v>9.9037138927097659E-2</v>
      </c>
      <c r="K1202" s="279">
        <f t="shared" si="1563"/>
        <v>9.9037138927097659E-2</v>
      </c>
      <c r="L1202" s="279">
        <f t="shared" ref="L1202:M1203" si="1564">(L1223+L1226)/(L1230+L1233)*100</f>
        <v>9.9037138927097659E-2</v>
      </c>
      <c r="M1202" s="279">
        <f t="shared" si="1564"/>
        <v>9.9037138927097659E-2</v>
      </c>
      <c r="N1202" s="279">
        <f t="shared" ref="N1202" si="1565">(N1223+N1226)/(N1230+N1233)*100</f>
        <v>9.9037138927097659E-2</v>
      </c>
      <c r="Q1202" s="279" t="e">
        <f t="shared" ref="Q1202:T1203" si="1566">(Q1223+Q1226)/(Q1230+Q1233)*100</f>
        <v>#DIV/0!</v>
      </c>
      <c r="R1202" s="279">
        <f t="shared" si="1566"/>
        <v>9.9037138927097659E-2</v>
      </c>
      <c r="S1202" s="279" t="e">
        <f t="shared" si="1566"/>
        <v>#DIV/0!</v>
      </c>
      <c r="T1202" s="279">
        <f t="shared" si="1566"/>
        <v>0</v>
      </c>
      <c r="V1202" s="279" t="e">
        <f>(V1223+V1226)/(V1230+V1233)*100</f>
        <v>#DIV/0!</v>
      </c>
      <c r="W1202" s="279">
        <f>(W1223+W1226)/(W1230+W1233)*100</f>
        <v>0</v>
      </c>
      <c r="Y1202" s="279" t="e">
        <f>(Y1223+Y1226)/(Y1230+Y1233)*100</f>
        <v>#DIV/0!</v>
      </c>
      <c r="Z1202" s="279">
        <f>(Z1223+Z1226)/(Z1230+Z1233)*100</f>
        <v>0</v>
      </c>
      <c r="AB1202" s="279" t="e">
        <f>(AB1223+AB1226)/(AB1230+AB1233)*100</f>
        <v>#DIV/0!</v>
      </c>
      <c r="AC1202" s="279">
        <f>(AC1223+AC1226)/(AC1230+AC1233)*100</f>
        <v>0</v>
      </c>
      <c r="AE1202" s="279" t="e">
        <f>(AE1223+AE1226)/(AE1230+AE1233)*100</f>
        <v>#DIV/0!</v>
      </c>
      <c r="AF1202" s="279">
        <f>(AF1223+AF1226)/(AF1230+AF1233)*100</f>
        <v>0</v>
      </c>
      <c r="AH1202" s="279" t="e">
        <f>(AH1223+AH1226)/(AH1230+AH1233)*100</f>
        <v>#DIV/0!</v>
      </c>
      <c r="AI1202" s="279">
        <f>(AI1223+AI1226)/(AI1230+AI1233)*100</f>
        <v>0.23696682464454977</v>
      </c>
      <c r="AK1202" s="279" t="e">
        <f>(AK1223+AK1226)/(AK1230+AK1233)*100</f>
        <v>#DIV/0!</v>
      </c>
      <c r="AL1202" s="279">
        <f>(AL1223+AL1226)/(AL1230+AL1233)*100</f>
        <v>1.4754098360655739</v>
      </c>
      <c r="AN1202" s="279" t="e">
        <f>(AN1223+AN1226)/(AN1230+AN1233)*100</f>
        <v>#DIV/0!</v>
      </c>
      <c r="AO1202" s="279">
        <f>(AO1223+AO1226)/(AO1230+AO1233)*100</f>
        <v>6.6137566137566134E-2</v>
      </c>
      <c r="AQ1202" s="279" t="e">
        <f>(AQ1223+AQ1226)/(AQ1230+AQ1233)*100</f>
        <v>#DIV/0!</v>
      </c>
      <c r="AR1202" s="279">
        <f>(AR1223+AR1226)/(AR1230+AR1233)*100</f>
        <v>0</v>
      </c>
      <c r="AT1202" s="279" t="e">
        <f>(AT1223+AT1226)/(AT1230+AT1233)*100</f>
        <v>#DIV/0!</v>
      </c>
      <c r="AU1202" s="279">
        <f>(AU1223+AU1226)/(AU1230+AU1233)*100</f>
        <v>9.6899224806201556E-2</v>
      </c>
      <c r="AW1202" s="279" t="e">
        <f>(AW1223+AW1226)/(AW1230+AW1233)*100</f>
        <v>#DIV/0!</v>
      </c>
      <c r="AX1202" s="279">
        <f>(AX1223+AX1226)/(AX1230+AX1233)*100</f>
        <v>0</v>
      </c>
      <c r="AZ1202" s="279" t="e">
        <f>(AZ1223+AZ1226)/(AZ1230+AZ1233)*100</f>
        <v>#DIV/0!</v>
      </c>
      <c r="BA1202" s="279">
        <f>(BA1223+BA1226)/(BA1230+BA1233)*100</f>
        <v>0.30303030303030304</v>
      </c>
      <c r="BC1202" s="279" t="e">
        <f>(BC1223+BC1226)/(BC1230+BC1233)*100</f>
        <v>#DIV/0!</v>
      </c>
      <c r="BD1202" s="279">
        <f>(BD1223+BD1226)/(BD1230+BD1233)*100</f>
        <v>0</v>
      </c>
      <c r="BF1202" s="279" t="e">
        <f>(BF1223+BF1226)/(BF1230+BF1233)*100</f>
        <v>#DIV/0!</v>
      </c>
      <c r="BG1202" s="279">
        <f>(BG1223+BG1226)/(BG1230+BG1233)*100</f>
        <v>3.6140224069389229E-2</v>
      </c>
      <c r="BI1202" s="279" t="e">
        <f>(BI1223+BI1226)/(BI1230+BI1233)*100</f>
        <v>#DIV/0!</v>
      </c>
      <c r="BJ1202" s="279">
        <f>(BJ1223+BJ1226)/(BJ1230+BJ1233)*100</f>
        <v>2.5873221216041398E-2</v>
      </c>
      <c r="BL1202" s="279" t="e">
        <f>(BL1223+BL1226)/(BL1230+BL1233)*100</f>
        <v>#DIV/0!</v>
      </c>
      <c r="BM1202" s="279">
        <f>(BM1223+BM1226)/(BM1230+BM1233)*100</f>
        <v>0.41666666666666669</v>
      </c>
      <c r="BO1202" s="279" t="e">
        <f>(BO1223+BO1226)/(BO1230+BO1233)*100</f>
        <v>#DIV/0!</v>
      </c>
      <c r="BP1202" s="279">
        <f>(BP1223+BP1226)/(BP1230+BP1233)*100</f>
        <v>0</v>
      </c>
      <c r="BR1202" s="279" t="e">
        <f>(BR1223+BR1226)/(BR1230+BR1233)*100</f>
        <v>#DIV/0!</v>
      </c>
      <c r="BS1202" s="279">
        <f>(BS1223+BS1226)/(BS1230+BS1233)*100</f>
        <v>0</v>
      </c>
      <c r="BU1202" s="279" t="e">
        <f>(BU1223+BU1226)/(BU1230+BU1233)*100</f>
        <v>#DIV/0!</v>
      </c>
      <c r="BV1202" s="279">
        <f>(BV1223+BV1226)/(BV1230+BV1233)*100</f>
        <v>0</v>
      </c>
      <c r="BX1202" s="279" t="e">
        <f>(BX1223+BX1226)/(BX1230+BX1233)*100</f>
        <v>#DIV/0!</v>
      </c>
      <c r="BY1202" s="279">
        <f>(BY1223+BY1226)/(BY1230+BY1233)*100</f>
        <v>0</v>
      </c>
      <c r="CA1202" s="279" t="e">
        <f>(CA1223+CA1226)/(CA1230+CA1233)*100</f>
        <v>#DIV/0!</v>
      </c>
      <c r="CB1202" s="279">
        <f>(CB1223+CB1226)/(CB1230+CB1233)*100</f>
        <v>0</v>
      </c>
      <c r="CD1202" s="279" t="e">
        <f>(CD1223+CD1226)/(CD1230+CD1233)*100</f>
        <v>#DIV/0!</v>
      </c>
      <c r="CE1202" s="279">
        <f>(CE1223+CE1226)/(CE1230+CE1233)*100</f>
        <v>0</v>
      </c>
      <c r="CG1202" s="279" t="e">
        <f>(CG1223+CG1226)/(CG1230+CG1233)*100</f>
        <v>#DIV/0!</v>
      </c>
      <c r="CH1202" s="279">
        <f>(CH1223+CH1226)/(CH1230+CH1233)*100</f>
        <v>0</v>
      </c>
      <c r="CJ1202" s="279" t="e">
        <f>(CJ1223+CJ1226)/(CJ1230+CJ1233)*100</f>
        <v>#DIV/0!</v>
      </c>
      <c r="CK1202" s="279">
        <f>(CK1223+CK1226)/(CK1230+CK1233)*100</f>
        <v>0</v>
      </c>
    </row>
    <row r="1203" spans="1:89" hidden="1" x14ac:dyDescent="0.25">
      <c r="A1203" s="95"/>
      <c r="B1203" s="96" t="s">
        <v>1711</v>
      </c>
      <c r="C1203" s="95"/>
      <c r="D1203" s="95" t="s">
        <v>8</v>
      </c>
      <c r="E1203" s="279"/>
      <c r="F1203" s="279"/>
      <c r="G1203" s="279"/>
      <c r="H1203" s="279"/>
      <c r="I1203" s="279">
        <f t="shared" si="1563"/>
        <v>0.58053500284575987</v>
      </c>
      <c r="J1203" s="279">
        <f t="shared" si="1563"/>
        <v>0.56434657519088194</v>
      </c>
      <c r="K1203" s="279">
        <f t="shared" si="1563"/>
        <v>0.56434657519088194</v>
      </c>
      <c r="L1203" s="279">
        <f t="shared" ref="L1203" si="1567">(L1224+L1227)/(L1231+L1234)*100</f>
        <v>0.56434657519088194</v>
      </c>
      <c r="M1203" s="279">
        <f t="shared" si="1564"/>
        <v>0.56434657519088194</v>
      </c>
      <c r="N1203" s="279">
        <f t="shared" ref="N1203" si="1568">(N1224+N1227)/(N1231+N1234)*100</f>
        <v>0.56434657519088194</v>
      </c>
      <c r="Q1203" s="279" t="e">
        <f t="shared" si="1566"/>
        <v>#DIV/0!</v>
      </c>
      <c r="R1203" s="279">
        <f t="shared" si="1566"/>
        <v>0.56434657519088194</v>
      </c>
      <c r="S1203" s="279" t="e">
        <f t="shared" si="1566"/>
        <v>#DIV/0!</v>
      </c>
      <c r="T1203" s="279">
        <f t="shared" si="1566"/>
        <v>0</v>
      </c>
      <c r="V1203" s="279" t="e">
        <f>(V1224+V1227)/(V1231+V1234)*100</f>
        <v>#DIV/0!</v>
      </c>
      <c r="W1203" s="279">
        <f>(W1224+W1227)/(W1231+W1234)*100</f>
        <v>4.5454545454545459</v>
      </c>
      <c r="Y1203" s="279" t="e">
        <f>(Y1224+Y1227)/(Y1231+Y1234)*100</f>
        <v>#DIV/0!</v>
      </c>
      <c r="Z1203" s="279">
        <f>(Z1224+Z1227)/(Z1231+Z1234)*100</f>
        <v>1.2048192771084338</v>
      </c>
      <c r="AB1203" s="279" t="e">
        <f>(AB1224+AB1227)/(AB1231+AB1234)*100</f>
        <v>#DIV/0!</v>
      </c>
      <c r="AC1203" s="279">
        <f>(AC1224+AC1227)/(AC1231+AC1234)*100</f>
        <v>0</v>
      </c>
      <c r="AE1203" s="279" t="e">
        <f>(AE1224+AE1227)/(AE1231+AE1234)*100</f>
        <v>#DIV/0!</v>
      </c>
      <c r="AF1203" s="279">
        <f>(AF1224+AF1227)/(AF1231+AF1234)*100</f>
        <v>0</v>
      </c>
      <c r="AH1203" s="279" t="e">
        <f>(AH1224+AH1227)/(AH1231+AH1234)*100</f>
        <v>#DIV/0!</v>
      </c>
      <c r="AI1203" s="279">
        <f>(AI1224+AI1227)/(AI1231+AI1234)*100</f>
        <v>0.99502487562189057</v>
      </c>
      <c r="AK1203" s="279" t="e">
        <f>(AK1224+AK1227)/(AK1231+AK1234)*100</f>
        <v>#DIV/0!</v>
      </c>
      <c r="AL1203" s="279">
        <f>(AL1224+AL1227)/(AL1231+AL1234)*100</f>
        <v>0</v>
      </c>
      <c r="AN1203" s="279" t="e">
        <f>(AN1224+AN1227)/(AN1231+AN1234)*100</f>
        <v>#DIV/0!</v>
      </c>
      <c r="AO1203" s="279">
        <f>(AO1224+AO1227)/(AO1231+AO1234)*100</f>
        <v>0.38412291933418691</v>
      </c>
      <c r="AQ1203" s="279" t="e">
        <f>(AQ1224+AQ1227)/(AQ1231+AQ1234)*100</f>
        <v>#DIV/0!</v>
      </c>
      <c r="AR1203" s="279">
        <f>(AR1224+AR1227)/(AR1231+AR1234)*100</f>
        <v>0</v>
      </c>
      <c r="AT1203" s="279" t="e">
        <f>(AT1224+AT1227)/(AT1231+AT1234)*100</f>
        <v>#DIV/0!</v>
      </c>
      <c r="AU1203" s="279">
        <f>(AU1224+AU1227)/(AU1231+AU1234)*100</f>
        <v>0.83160083160083165</v>
      </c>
      <c r="AW1203" s="279" t="e">
        <f>(AW1224+AW1227)/(AW1231+AW1234)*100</f>
        <v>#DIV/0!</v>
      </c>
      <c r="AX1203" s="279">
        <f>(AX1224+AX1227)/(AX1231+AX1234)*100</f>
        <v>0</v>
      </c>
      <c r="AZ1203" s="279" t="e">
        <f>(AZ1224+AZ1227)/(AZ1231+AZ1234)*100</f>
        <v>#DIV/0!</v>
      </c>
      <c r="BA1203" s="279">
        <f>(BA1224+BA1227)/(BA1231+BA1234)*100</f>
        <v>0</v>
      </c>
      <c r="BC1203" s="279" t="e">
        <f>(BC1224+BC1227)/(BC1231+BC1234)*100</f>
        <v>#DIV/0!</v>
      </c>
      <c r="BD1203" s="279">
        <f>(BD1224+BD1227)/(BD1231+BD1234)*100</f>
        <v>0</v>
      </c>
      <c r="BF1203" s="279" t="e">
        <f>(BF1224+BF1227)/(BF1231+BF1234)*100</f>
        <v>#DIV/0!</v>
      </c>
      <c r="BG1203" s="279">
        <f>(BG1224+BG1227)/(BG1231+BG1234)*100</f>
        <v>0.20833333333333334</v>
      </c>
      <c r="BI1203" s="279" t="e">
        <f>(BI1224+BI1227)/(BI1231+BI1234)*100</f>
        <v>#DIV/0!</v>
      </c>
      <c r="BJ1203" s="279">
        <f>(BJ1224+BJ1227)/(BJ1231+BJ1234)*100</f>
        <v>0.69478908188585609</v>
      </c>
      <c r="BL1203" s="279" t="e">
        <f>(BL1224+BL1227)/(BL1231+BL1234)*100</f>
        <v>#DIV/0!</v>
      </c>
      <c r="BM1203" s="279">
        <f>(BM1224+BM1227)/(BM1231+BM1234)*100</f>
        <v>0.37174721189591076</v>
      </c>
      <c r="BO1203" s="279" t="e">
        <f>(BO1224+BO1227)/(BO1231+BO1234)*100</f>
        <v>#DIV/0!</v>
      </c>
      <c r="BP1203" s="279">
        <f>(BP1224+BP1227)/(BP1231+BP1234)*100</f>
        <v>3.8626609442060089</v>
      </c>
      <c r="BR1203" s="279" t="e">
        <f>(BR1224+BR1227)/(BR1231+BR1234)*100</f>
        <v>#DIV/0!</v>
      </c>
      <c r="BS1203" s="279">
        <f>(BS1224+BS1227)/(BS1231+BS1234)*100</f>
        <v>0.52493438320209973</v>
      </c>
      <c r="BU1203" s="279" t="e">
        <f>(BU1224+BU1227)/(BU1231+BU1234)*100</f>
        <v>#DIV/0!</v>
      </c>
      <c r="BV1203" s="279">
        <f>(BV1224+BV1227)/(BV1231+BV1234)*100</f>
        <v>0.554016620498615</v>
      </c>
      <c r="BX1203" s="279" t="e">
        <f>(BX1224+BX1227)/(BX1231+BX1234)*100</f>
        <v>#DIV/0!</v>
      </c>
      <c r="BY1203" s="279">
        <f>(BY1224+BY1227)/(BY1231+BY1234)*100</f>
        <v>0</v>
      </c>
      <c r="CA1203" s="279" t="e">
        <f>(CA1224+CA1227)/(CA1231+CA1234)*100</f>
        <v>#DIV/0!</v>
      </c>
      <c r="CB1203" s="279">
        <f>(CB1224+CB1227)/(CB1231+CB1234)*100</f>
        <v>0.4329004329004329</v>
      </c>
      <c r="CD1203" s="279" t="e">
        <f>(CD1224+CD1227)/(CD1231+CD1234)*100</f>
        <v>#DIV/0!</v>
      </c>
      <c r="CE1203" s="279">
        <f>(CE1224+CE1227)/(CE1231+CE1234)*100</f>
        <v>0</v>
      </c>
      <c r="CG1203" s="279" t="e">
        <f>(CG1224+CG1227)/(CG1231+CG1234)*100</f>
        <v>#DIV/0!</v>
      </c>
      <c r="CH1203" s="279">
        <f>(CH1224+CH1227)/(CH1231+CH1234)*100</f>
        <v>0</v>
      </c>
      <c r="CJ1203" s="279" t="e">
        <f>(CJ1224+CJ1227)/(CJ1231+CJ1234)*100</f>
        <v>#DIV/0!</v>
      </c>
      <c r="CK1203" s="279">
        <f>(CK1224+CK1227)/(CK1231+CK1234)*100</f>
        <v>0</v>
      </c>
    </row>
    <row r="1204" spans="1:89" hidden="1" x14ac:dyDescent="0.25">
      <c r="A1204" s="95"/>
      <c r="B1204" s="96" t="s">
        <v>2411</v>
      </c>
      <c r="C1204" s="95"/>
      <c r="D1204" s="95"/>
      <c r="E1204" s="279"/>
      <c r="F1204" s="279"/>
      <c r="G1204" s="279"/>
      <c r="H1204" s="279"/>
      <c r="I1204" s="279"/>
      <c r="J1204" s="279"/>
      <c r="K1204" s="279"/>
      <c r="L1204" s="279"/>
      <c r="M1204" s="279"/>
      <c r="N1204" s="279"/>
      <c r="Q1204" s="279"/>
      <c r="R1204" s="279"/>
      <c r="S1204" s="279"/>
      <c r="T1204" s="279"/>
      <c r="V1204" s="279"/>
      <c r="W1204" s="279"/>
      <c r="Y1204" s="279"/>
      <c r="Z1204" s="279"/>
      <c r="AB1204" s="279"/>
      <c r="AC1204" s="279"/>
      <c r="AE1204" s="279"/>
      <c r="AF1204" s="279"/>
      <c r="AH1204" s="279"/>
      <c r="AI1204" s="279"/>
      <c r="AK1204" s="279"/>
      <c r="AL1204" s="279"/>
      <c r="AN1204" s="279"/>
      <c r="AO1204" s="279"/>
      <c r="AQ1204" s="279"/>
      <c r="AR1204" s="279"/>
      <c r="AT1204" s="279"/>
      <c r="AU1204" s="279"/>
      <c r="AW1204" s="279"/>
      <c r="AX1204" s="279"/>
      <c r="AZ1204" s="279"/>
      <c r="BA1204" s="279"/>
      <c r="BC1204" s="279"/>
      <c r="BD1204" s="279"/>
      <c r="BF1204" s="279"/>
      <c r="BG1204" s="279"/>
      <c r="BI1204" s="279"/>
      <c r="BJ1204" s="279"/>
      <c r="BL1204" s="279"/>
      <c r="BM1204" s="279"/>
      <c r="BO1204" s="279"/>
      <c r="BP1204" s="279"/>
      <c r="BR1204" s="279"/>
      <c r="BS1204" s="279"/>
      <c r="BU1204" s="279"/>
      <c r="BV1204" s="279"/>
      <c r="BX1204" s="279"/>
      <c r="BY1204" s="279"/>
      <c r="CA1204" s="279"/>
      <c r="CB1204" s="279"/>
      <c r="CD1204" s="279"/>
      <c r="CE1204" s="279"/>
      <c r="CG1204" s="279"/>
      <c r="CH1204" s="279"/>
      <c r="CJ1204" s="279"/>
      <c r="CK1204" s="279"/>
    </row>
    <row r="1205" spans="1:89" hidden="1" x14ac:dyDescent="0.25">
      <c r="A1205" s="95"/>
      <c r="B1205" s="96" t="s">
        <v>1710</v>
      </c>
      <c r="C1205" s="95"/>
      <c r="D1205" s="95" t="s">
        <v>8</v>
      </c>
      <c r="E1205" s="279"/>
      <c r="F1205" s="279"/>
      <c r="G1205" s="279"/>
      <c r="H1205" s="279"/>
      <c r="I1205" s="279">
        <f t="shared" ref="I1205:K1206" si="1569">I1223/I1230*100</f>
        <v>0.34145380524000263</v>
      </c>
      <c r="J1205" s="279">
        <f t="shared" si="1569"/>
        <v>0.10880077369439071</v>
      </c>
      <c r="K1205" s="279">
        <f t="shared" si="1569"/>
        <v>0.10880077369439071</v>
      </c>
      <c r="L1205" s="279">
        <f t="shared" ref="L1205:M1206" si="1570">L1223/L1230*100</f>
        <v>0.10880077369439071</v>
      </c>
      <c r="M1205" s="279">
        <f t="shared" si="1570"/>
        <v>0.10880077369439071</v>
      </c>
      <c r="N1205" s="279">
        <f t="shared" ref="N1205" si="1571">N1223/N1230*100</f>
        <v>0.10880077369439071</v>
      </c>
      <c r="Q1205" s="279" t="e">
        <f t="shared" ref="Q1205:T1206" si="1572">Q1223/Q1230*100</f>
        <v>#DIV/0!</v>
      </c>
      <c r="R1205" s="279">
        <f t="shared" si="1572"/>
        <v>0.10880077369439071</v>
      </c>
      <c r="S1205" s="279" t="e">
        <f t="shared" si="1572"/>
        <v>#DIV/0!</v>
      </c>
      <c r="T1205" s="279">
        <f t="shared" si="1572"/>
        <v>0</v>
      </c>
      <c r="V1205" s="279" t="e">
        <f>V1223/V1230*100</f>
        <v>#DIV/0!</v>
      </c>
      <c r="W1205" s="279">
        <f>W1223/W1230*100</f>
        <v>0</v>
      </c>
      <c r="Y1205" s="279" t="e">
        <f>Y1223/Y1230*100</f>
        <v>#DIV/0!</v>
      </c>
      <c r="Z1205" s="279">
        <f>Z1223/Z1230*100</f>
        <v>0</v>
      </c>
      <c r="AB1205" s="279" t="e">
        <f>AB1223/AB1230*100</f>
        <v>#DIV/0!</v>
      </c>
      <c r="AC1205" s="279">
        <f>AC1223/AC1230*100</f>
        <v>0</v>
      </c>
      <c r="AE1205" s="279" t="e">
        <f>AE1223/AE1230*100</f>
        <v>#DIV/0!</v>
      </c>
      <c r="AF1205" s="279">
        <f>AF1223/AF1230*100</f>
        <v>0</v>
      </c>
      <c r="AH1205" s="279" t="e">
        <f>AH1223/AH1230*100</f>
        <v>#DIV/0!</v>
      </c>
      <c r="AI1205" s="279">
        <f>AI1223/AI1230*100</f>
        <v>0.44052863436123352</v>
      </c>
      <c r="AK1205" s="279" t="e">
        <f>AK1223/AK1230*100</f>
        <v>#DIV/0!</v>
      </c>
      <c r="AL1205" s="279">
        <f>AL1223/AL1230*100</f>
        <v>1.5332197614991483</v>
      </c>
      <c r="AN1205" s="279" t="e">
        <f>AN1223/AN1230*100</f>
        <v>#DIV/0!</v>
      </c>
      <c r="AO1205" s="279">
        <f>AO1223/AO1230*100</f>
        <v>9.7560975609756101E-2</v>
      </c>
      <c r="AQ1205" s="279" t="e">
        <f>AQ1223/AQ1230*100</f>
        <v>#DIV/0!</v>
      </c>
      <c r="AR1205" s="279" t="e">
        <f>AR1223/AR1230*100</f>
        <v>#DIV/0!</v>
      </c>
      <c r="AT1205" s="279" t="e">
        <f>AT1223/AT1230*100</f>
        <v>#DIV/0!</v>
      </c>
      <c r="AU1205" s="279">
        <f>AU1223/AU1230*100</f>
        <v>9.6899224806201556E-2</v>
      </c>
      <c r="AW1205" s="279" t="e">
        <f>AW1223/AW1230*100</f>
        <v>#DIV/0!</v>
      </c>
      <c r="AX1205" s="279">
        <f>AX1223/AX1230*100</f>
        <v>0</v>
      </c>
      <c r="AZ1205" s="279" t="e">
        <f>AZ1223/AZ1230*100</f>
        <v>#DIV/0!</v>
      </c>
      <c r="BA1205" s="279">
        <f>BA1223/BA1230*100</f>
        <v>0.30303030303030304</v>
      </c>
      <c r="BC1205" s="279" t="e">
        <f>BC1223/BC1230*100</f>
        <v>#DIV/0!</v>
      </c>
      <c r="BD1205" s="279">
        <f>BD1223/BD1230*100</f>
        <v>0</v>
      </c>
      <c r="BF1205" s="279" t="e">
        <f>BF1223/BF1230*100</f>
        <v>#DIV/0!</v>
      </c>
      <c r="BG1205" s="279">
        <f>BG1223/BG1230*100</f>
        <v>3.6140224069389229E-2</v>
      </c>
      <c r="BI1205" s="279" t="e">
        <f>BI1223/BI1230*100</f>
        <v>#DIV/0!</v>
      </c>
      <c r="BJ1205" s="279">
        <f>BJ1223/BJ1230*100</f>
        <v>2.5873221216041398E-2</v>
      </c>
      <c r="BL1205" s="279" t="e">
        <f>BL1223/BL1230*100</f>
        <v>#DIV/0!</v>
      </c>
      <c r="BM1205" s="279">
        <f>BM1223/BM1230*100</f>
        <v>0.41666666666666669</v>
      </c>
      <c r="BO1205" s="279" t="e">
        <f>BO1223/BO1230*100</f>
        <v>#DIV/0!</v>
      </c>
      <c r="BP1205" s="279">
        <f>BP1223/BP1230*100</f>
        <v>0</v>
      </c>
      <c r="BR1205" s="279" t="e">
        <f>BR1223/BR1230*100</f>
        <v>#DIV/0!</v>
      </c>
      <c r="BS1205" s="279">
        <f>BS1223/BS1230*100</f>
        <v>0</v>
      </c>
      <c r="BU1205" s="279" t="e">
        <f>BU1223/BU1230*100</f>
        <v>#DIV/0!</v>
      </c>
      <c r="BV1205" s="279">
        <f>BV1223/BV1230*100</f>
        <v>0</v>
      </c>
      <c r="BX1205" s="279" t="e">
        <f>BX1223/BX1230*100</f>
        <v>#DIV/0!</v>
      </c>
      <c r="BY1205" s="279">
        <f>BY1223/BY1230*100</f>
        <v>0</v>
      </c>
      <c r="CA1205" s="279" t="e">
        <f>CA1223/CA1230*100</f>
        <v>#DIV/0!</v>
      </c>
      <c r="CB1205" s="279">
        <f>CB1223/CB1230*100</f>
        <v>0</v>
      </c>
      <c r="CD1205" s="279" t="e">
        <f>CD1223/CD1230*100</f>
        <v>#DIV/0!</v>
      </c>
      <c r="CE1205" s="279">
        <f>CE1223/CE1230*100</f>
        <v>0</v>
      </c>
      <c r="CG1205" s="279" t="e">
        <f>CG1223/CG1230*100</f>
        <v>#DIV/0!</v>
      </c>
      <c r="CH1205" s="279">
        <f>CH1223/CH1230*100</f>
        <v>0</v>
      </c>
      <c r="CJ1205" s="279" t="e">
        <f>CJ1223/CJ1230*100</f>
        <v>#DIV/0!</v>
      </c>
      <c r="CK1205" s="279">
        <f>CK1223/CK1230*100</f>
        <v>0</v>
      </c>
    </row>
    <row r="1206" spans="1:89" hidden="1" x14ac:dyDescent="0.25">
      <c r="A1206" s="95"/>
      <c r="B1206" s="96" t="s">
        <v>1711</v>
      </c>
      <c r="C1206" s="95"/>
      <c r="D1206" s="95" t="s">
        <v>8</v>
      </c>
      <c r="E1206" s="279"/>
      <c r="F1206" s="279"/>
      <c r="G1206" s="279"/>
      <c r="H1206" s="279"/>
      <c r="I1206" s="279">
        <f t="shared" si="1569"/>
        <v>0.58125154588177097</v>
      </c>
      <c r="J1206" s="279">
        <f t="shared" si="1569"/>
        <v>0.58563403848452245</v>
      </c>
      <c r="K1206" s="279">
        <f t="shared" si="1569"/>
        <v>0.58563403848452245</v>
      </c>
      <c r="L1206" s="279">
        <f t="shared" ref="L1206" si="1573">L1224/L1231*100</f>
        <v>0.58563403848452245</v>
      </c>
      <c r="M1206" s="279">
        <f t="shared" si="1570"/>
        <v>0.58563403848452245</v>
      </c>
      <c r="N1206" s="279">
        <f t="shared" ref="N1206" si="1574">N1224/N1231*100</f>
        <v>0.58563403848452245</v>
      </c>
      <c r="Q1206" s="279" t="e">
        <f t="shared" si="1572"/>
        <v>#DIV/0!</v>
      </c>
      <c r="R1206" s="279">
        <f t="shared" si="1572"/>
        <v>0.58563403848452245</v>
      </c>
      <c r="S1206" s="279" t="e">
        <f t="shared" si="1572"/>
        <v>#DIV/0!</v>
      </c>
      <c r="T1206" s="279">
        <f t="shared" si="1572"/>
        <v>0</v>
      </c>
      <c r="V1206" s="279" t="e">
        <f>V1224/V1231*100</f>
        <v>#DIV/0!</v>
      </c>
      <c r="W1206" s="279">
        <f>W1224/W1231*100</f>
        <v>7.2727272727272725</v>
      </c>
      <c r="Y1206" s="279" t="e">
        <f>Y1224/Y1231*100</f>
        <v>#DIV/0!</v>
      </c>
      <c r="Z1206" s="279">
        <f>Z1224/Z1231*100</f>
        <v>0.8771929824561403</v>
      </c>
      <c r="AB1206" s="279" t="e">
        <f>AB1224/AB1231*100</f>
        <v>#DIV/0!</v>
      </c>
      <c r="AC1206" s="279">
        <f>AC1224/AC1231*100</f>
        <v>0</v>
      </c>
      <c r="AE1206" s="279" t="e">
        <f>AE1224/AE1231*100</f>
        <v>#DIV/0!</v>
      </c>
      <c r="AF1206" s="279">
        <f>AF1224/AF1231*100</f>
        <v>0</v>
      </c>
      <c r="AH1206" s="279" t="e">
        <f>AH1224/AH1231*100</f>
        <v>#DIV/0!</v>
      </c>
      <c r="AI1206" s="279">
        <f>AI1224/AI1231*100</f>
        <v>0.92592592592592582</v>
      </c>
      <c r="AK1206" s="279" t="e">
        <f>AK1224/AK1231*100</f>
        <v>#DIV/0!</v>
      </c>
      <c r="AL1206" s="279">
        <f>AL1224/AL1231*100</f>
        <v>0</v>
      </c>
      <c r="AN1206" s="279" t="e">
        <f>AN1224/AN1231*100</f>
        <v>#DIV/0!</v>
      </c>
      <c r="AO1206" s="279">
        <f>AO1224/AO1231*100</f>
        <v>0.50167224080267558</v>
      </c>
      <c r="AQ1206" s="279" t="e">
        <f>AQ1224/AQ1231*100</f>
        <v>#DIV/0!</v>
      </c>
      <c r="AR1206" s="279" t="e">
        <f>AR1224/AR1231*100</f>
        <v>#DIV/0!</v>
      </c>
      <c r="AT1206" s="279" t="e">
        <f>AT1224/AT1231*100</f>
        <v>#DIV/0!</v>
      </c>
      <c r="AU1206" s="279">
        <f>AU1224/AU1231*100</f>
        <v>0.83160083160083165</v>
      </c>
      <c r="AW1206" s="279" t="e">
        <f>AW1224/AW1231*100</f>
        <v>#DIV/0!</v>
      </c>
      <c r="AX1206" s="279">
        <f>AX1224/AX1231*100</f>
        <v>0</v>
      </c>
      <c r="AZ1206" s="279" t="e">
        <f>AZ1224/AZ1231*100</f>
        <v>#DIV/0!</v>
      </c>
      <c r="BA1206" s="279">
        <f>BA1224/BA1231*100</f>
        <v>0</v>
      </c>
      <c r="BC1206" s="279" t="e">
        <f>BC1224/BC1231*100</f>
        <v>#DIV/0!</v>
      </c>
      <c r="BD1206" s="279">
        <f>BD1224/BD1231*100</f>
        <v>0</v>
      </c>
      <c r="BF1206" s="279" t="e">
        <f>BF1224/BF1231*100</f>
        <v>#DIV/0!</v>
      </c>
      <c r="BG1206" s="279">
        <f>BG1224/BG1231*100</f>
        <v>0.20833333333333334</v>
      </c>
      <c r="BI1206" s="279" t="e">
        <f>BI1224/BI1231*100</f>
        <v>#DIV/0!</v>
      </c>
      <c r="BJ1206" s="279">
        <f>BJ1224/BJ1231*100</f>
        <v>0.69478908188585609</v>
      </c>
      <c r="BL1206" s="279" t="e">
        <f>BL1224/BL1231*100</f>
        <v>#DIV/0!</v>
      </c>
      <c r="BM1206" s="279">
        <f>BM1224/BM1231*100</f>
        <v>0.37174721189591076</v>
      </c>
      <c r="BO1206" s="279" t="e">
        <f>BO1224/BO1231*100</f>
        <v>#DIV/0!</v>
      </c>
      <c r="BP1206" s="279">
        <f>BP1224/BP1231*100</f>
        <v>3.8626609442060089</v>
      </c>
      <c r="BR1206" s="279" t="e">
        <f>BR1224/BR1231*100</f>
        <v>#DIV/0!</v>
      </c>
      <c r="BS1206" s="279">
        <f>BS1224/BS1231*100</f>
        <v>0.52493438320209973</v>
      </c>
      <c r="BU1206" s="279" t="e">
        <f>BU1224/BU1231*100</f>
        <v>#DIV/0!</v>
      </c>
      <c r="BV1206" s="279">
        <f>BV1224/BV1231*100</f>
        <v>0.554016620498615</v>
      </c>
      <c r="BX1206" s="279" t="e">
        <f>BX1224/BX1231*100</f>
        <v>#DIV/0!</v>
      </c>
      <c r="BY1206" s="279">
        <f>BY1224/BY1231*100</f>
        <v>0</v>
      </c>
      <c r="CA1206" s="279" t="e">
        <f>CA1224/CA1231*100</f>
        <v>#DIV/0!</v>
      </c>
      <c r="CB1206" s="279">
        <f>CB1224/CB1231*100</f>
        <v>0.4329004329004329</v>
      </c>
      <c r="CD1206" s="279" t="e">
        <f>CD1224/CD1231*100</f>
        <v>#DIV/0!</v>
      </c>
      <c r="CE1206" s="279">
        <f>CE1224/CE1231*100</f>
        <v>0</v>
      </c>
      <c r="CG1206" s="279" t="e">
        <f>CG1224/CG1231*100</f>
        <v>#DIV/0!</v>
      </c>
      <c r="CH1206" s="279">
        <f>CH1224/CH1231*100</f>
        <v>0</v>
      </c>
      <c r="CJ1206" s="279" t="e">
        <f>CJ1224/CJ1231*100</f>
        <v>#DIV/0!</v>
      </c>
      <c r="CK1206" s="279">
        <f>CK1224/CK1231*100</f>
        <v>0</v>
      </c>
    </row>
    <row r="1207" spans="1:89" hidden="1" x14ac:dyDescent="0.25">
      <c r="A1207" s="95"/>
      <c r="B1207" s="96" t="s">
        <v>2412</v>
      </c>
      <c r="C1207" s="95"/>
      <c r="D1207" s="95"/>
      <c r="E1207" s="279"/>
      <c r="F1207" s="279"/>
      <c r="G1207" s="279"/>
      <c r="H1207" s="279"/>
      <c r="I1207" s="279"/>
      <c r="J1207" s="279"/>
      <c r="K1207" s="279"/>
      <c r="L1207" s="279"/>
      <c r="M1207" s="279"/>
      <c r="N1207" s="279"/>
      <c r="Q1207" s="279"/>
      <c r="R1207" s="279"/>
      <c r="S1207" s="279"/>
      <c r="T1207" s="279"/>
      <c r="V1207" s="279"/>
      <c r="W1207" s="279"/>
      <c r="Y1207" s="279"/>
      <c r="Z1207" s="279"/>
      <c r="AB1207" s="279"/>
      <c r="AC1207" s="279"/>
      <c r="AE1207" s="279"/>
      <c r="AF1207" s="279"/>
      <c r="AH1207" s="279"/>
      <c r="AI1207" s="279"/>
      <c r="AK1207" s="279"/>
      <c r="AL1207" s="279"/>
      <c r="AN1207" s="279"/>
      <c r="AO1207" s="279"/>
      <c r="AQ1207" s="279"/>
      <c r="AR1207" s="279"/>
      <c r="AT1207" s="279"/>
      <c r="AU1207" s="279"/>
      <c r="AW1207" s="279"/>
      <c r="AX1207" s="279"/>
      <c r="AZ1207" s="279"/>
      <c r="BA1207" s="279"/>
      <c r="BC1207" s="279"/>
      <c r="BD1207" s="279"/>
      <c r="BF1207" s="279"/>
      <c r="BG1207" s="279"/>
      <c r="BI1207" s="279"/>
      <c r="BJ1207" s="279"/>
      <c r="BL1207" s="279"/>
      <c r="BM1207" s="279"/>
      <c r="BO1207" s="279"/>
      <c r="BP1207" s="279"/>
      <c r="BR1207" s="279"/>
      <c r="BS1207" s="279"/>
      <c r="BU1207" s="279"/>
      <c r="BV1207" s="279"/>
      <c r="BX1207" s="279"/>
      <c r="BY1207" s="279"/>
      <c r="CA1207" s="279"/>
      <c r="CB1207" s="279"/>
      <c r="CD1207" s="279"/>
      <c r="CE1207" s="279"/>
      <c r="CG1207" s="279"/>
      <c r="CH1207" s="279"/>
      <c r="CJ1207" s="279"/>
      <c r="CK1207" s="279"/>
    </row>
    <row r="1208" spans="1:89" hidden="1" x14ac:dyDescent="0.25">
      <c r="A1208" s="95"/>
      <c r="B1208" s="96" t="s">
        <v>1710</v>
      </c>
      <c r="C1208" s="95"/>
      <c r="D1208" s="95" t="s">
        <v>8</v>
      </c>
      <c r="E1208" s="279"/>
      <c r="F1208" s="279"/>
      <c r="G1208" s="279"/>
      <c r="H1208" s="279"/>
      <c r="I1208" s="279">
        <f t="shared" ref="I1208:K1209" si="1575">I1226/I1233*100</f>
        <v>0.45901639344262296</v>
      </c>
      <c r="J1208" s="279">
        <f t="shared" si="1575"/>
        <v>0</v>
      </c>
      <c r="K1208" s="279">
        <f t="shared" si="1575"/>
        <v>0</v>
      </c>
      <c r="L1208" s="279">
        <f t="shared" ref="L1208:M1209" si="1576">L1226/L1233*100</f>
        <v>0</v>
      </c>
      <c r="M1208" s="279">
        <f t="shared" si="1576"/>
        <v>0</v>
      </c>
      <c r="N1208" s="279">
        <f t="shared" ref="N1208" si="1577">N1226/N1233*100</f>
        <v>0</v>
      </c>
      <c r="Q1208" s="279" t="e">
        <f t="shared" ref="Q1208:T1209" si="1578">Q1226/Q1233*100</f>
        <v>#DIV/0!</v>
      </c>
      <c r="R1208" s="279">
        <f t="shared" si="1578"/>
        <v>0</v>
      </c>
      <c r="S1208" s="279" t="e">
        <f t="shared" si="1578"/>
        <v>#DIV/0!</v>
      </c>
      <c r="T1208" s="279">
        <f t="shared" si="1578"/>
        <v>0</v>
      </c>
      <c r="V1208" s="279" t="e">
        <f>V1226/V1233*100</f>
        <v>#DIV/0!</v>
      </c>
      <c r="W1208" s="279">
        <f>W1226/W1233*100</f>
        <v>0</v>
      </c>
      <c r="Y1208" s="279" t="e">
        <f>Y1226/Y1233*100</f>
        <v>#DIV/0!</v>
      </c>
      <c r="Z1208" s="279">
        <f>Z1226/Z1233*100</f>
        <v>0</v>
      </c>
      <c r="AB1208" s="279" t="e">
        <f>AB1226/AB1233*100</f>
        <v>#DIV/0!</v>
      </c>
      <c r="AC1208" s="279">
        <f>AC1226/AC1233*100</f>
        <v>0</v>
      </c>
      <c r="AE1208" s="279" t="e">
        <f>AE1226/AE1233*100</f>
        <v>#DIV/0!</v>
      </c>
      <c r="AF1208" s="279">
        <f>AF1226/AF1233*100</f>
        <v>0</v>
      </c>
      <c r="AH1208" s="279" t="e">
        <f>AH1226/AH1233*100</f>
        <v>#DIV/0!</v>
      </c>
      <c r="AI1208" s="279">
        <f>AI1226/AI1233*100</f>
        <v>0</v>
      </c>
      <c r="AK1208" s="279" t="e">
        <f>AK1226/AK1233*100</f>
        <v>#DIV/0!</v>
      </c>
      <c r="AL1208" s="279">
        <f>AL1226/AL1233*100</f>
        <v>0</v>
      </c>
      <c r="AN1208" s="279" t="e">
        <f>AN1226/AN1233*100</f>
        <v>#DIV/0!</v>
      </c>
      <c r="AO1208" s="279">
        <f>AO1226/AO1233*100</f>
        <v>0</v>
      </c>
      <c r="AQ1208" s="279" t="e">
        <f>AQ1226/AQ1233*100</f>
        <v>#DIV/0!</v>
      </c>
      <c r="AR1208" s="279">
        <f>AR1226/AR1233*100</f>
        <v>0</v>
      </c>
      <c r="AT1208" s="279" t="e">
        <f>AT1226/AT1233*100</f>
        <v>#DIV/0!</v>
      </c>
      <c r="AU1208" s="279" t="e">
        <f>AU1226/AU1233*100</f>
        <v>#DIV/0!</v>
      </c>
      <c r="AW1208" s="279" t="e">
        <f>AW1226/AW1233*100</f>
        <v>#DIV/0!</v>
      </c>
      <c r="AX1208" s="279" t="e">
        <f>AX1226/AX1233*100</f>
        <v>#DIV/0!</v>
      </c>
      <c r="AZ1208" s="279" t="e">
        <f>AZ1226/AZ1233*100</f>
        <v>#DIV/0!</v>
      </c>
      <c r="BA1208" s="279" t="e">
        <f>BA1226/BA1233*100</f>
        <v>#DIV/0!</v>
      </c>
      <c r="BC1208" s="279" t="e">
        <f>BC1226/BC1233*100</f>
        <v>#DIV/0!</v>
      </c>
      <c r="BD1208" s="279" t="e">
        <f>BD1226/BD1233*100</f>
        <v>#DIV/0!</v>
      </c>
      <c r="BF1208" s="279" t="e">
        <f>BF1226/BF1233*100</f>
        <v>#DIV/0!</v>
      </c>
      <c r="BG1208" s="279" t="e">
        <f>BG1226/BG1233*100</f>
        <v>#DIV/0!</v>
      </c>
      <c r="BI1208" s="279" t="e">
        <f>BI1226/BI1233*100</f>
        <v>#DIV/0!</v>
      </c>
      <c r="BJ1208" s="279" t="e">
        <f>BJ1226/BJ1233*100</f>
        <v>#DIV/0!</v>
      </c>
      <c r="BL1208" s="279" t="e">
        <f>BL1226/BL1233*100</f>
        <v>#DIV/0!</v>
      </c>
      <c r="BM1208" s="279" t="e">
        <f>BM1226/BM1233*100</f>
        <v>#DIV/0!</v>
      </c>
      <c r="BO1208" s="279" t="e">
        <f>BO1226/BO1233*100</f>
        <v>#DIV/0!</v>
      </c>
      <c r="BP1208" s="279" t="e">
        <f>BP1226/BP1233*100</f>
        <v>#DIV/0!</v>
      </c>
      <c r="BR1208" s="279" t="e">
        <f>BR1226/BR1233*100</f>
        <v>#DIV/0!</v>
      </c>
      <c r="BS1208" s="279" t="e">
        <f>BS1226/BS1233*100</f>
        <v>#DIV/0!</v>
      </c>
      <c r="BU1208" s="279" t="e">
        <f>BU1226/BU1233*100</f>
        <v>#DIV/0!</v>
      </c>
      <c r="BV1208" s="279" t="e">
        <f>BV1226/BV1233*100</f>
        <v>#DIV/0!</v>
      </c>
      <c r="BX1208" s="279" t="e">
        <f>BX1226/BX1233*100</f>
        <v>#DIV/0!</v>
      </c>
      <c r="BY1208" s="279" t="e">
        <f>BY1226/BY1233*100</f>
        <v>#DIV/0!</v>
      </c>
      <c r="CA1208" s="279" t="e">
        <f>CA1226/CA1233*100</f>
        <v>#DIV/0!</v>
      </c>
      <c r="CB1208" s="279" t="e">
        <f>CB1226/CB1233*100</f>
        <v>#DIV/0!</v>
      </c>
      <c r="CD1208" s="279" t="e">
        <f>CD1226/CD1233*100</f>
        <v>#DIV/0!</v>
      </c>
      <c r="CE1208" s="279" t="e">
        <f>CE1226/CE1233*100</f>
        <v>#DIV/0!</v>
      </c>
      <c r="CG1208" s="279" t="e">
        <f>CG1226/CG1233*100</f>
        <v>#DIV/0!</v>
      </c>
      <c r="CH1208" s="279">
        <f>CH1226/CH1233*100</f>
        <v>0</v>
      </c>
      <c r="CJ1208" s="279" t="e">
        <f>CJ1226/CJ1233*100</f>
        <v>#DIV/0!</v>
      </c>
      <c r="CK1208" s="279" t="e">
        <f>CK1226/CK1233*100</f>
        <v>#DIV/0!</v>
      </c>
    </row>
    <row r="1209" spans="1:89" hidden="1" x14ac:dyDescent="0.25">
      <c r="A1209" s="95"/>
      <c r="B1209" s="96" t="s">
        <v>1711</v>
      </c>
      <c r="C1209" s="95"/>
      <c r="D1209" s="95" t="s">
        <v>8</v>
      </c>
      <c r="E1209" s="279"/>
      <c r="F1209" s="279"/>
      <c r="G1209" s="279"/>
      <c r="H1209" s="279"/>
      <c r="I1209" s="279">
        <f t="shared" si="1575"/>
        <v>0.57224606580829751</v>
      </c>
      <c r="J1209" s="279">
        <f t="shared" si="1575"/>
        <v>0.29850746268656719</v>
      </c>
      <c r="K1209" s="279">
        <f t="shared" si="1575"/>
        <v>0.29850746268656719</v>
      </c>
      <c r="L1209" s="279">
        <f t="shared" ref="L1209" si="1579">L1227/L1234*100</f>
        <v>0.29850746268656719</v>
      </c>
      <c r="M1209" s="279">
        <f t="shared" si="1576"/>
        <v>0.29850746268656719</v>
      </c>
      <c r="N1209" s="279">
        <f t="shared" ref="N1209" si="1580">N1227/N1234*100</f>
        <v>0.29850746268656719</v>
      </c>
      <c r="Q1209" s="279" t="e">
        <f t="shared" si="1578"/>
        <v>#DIV/0!</v>
      </c>
      <c r="R1209" s="279">
        <f t="shared" si="1578"/>
        <v>0.29850746268656719</v>
      </c>
      <c r="S1209" s="279" t="e">
        <f t="shared" si="1578"/>
        <v>#DIV/0!</v>
      </c>
      <c r="T1209" s="279">
        <f t="shared" si="1578"/>
        <v>0</v>
      </c>
      <c r="V1209" s="279" t="e">
        <f>V1227/V1234*100</f>
        <v>#DIV/0!</v>
      </c>
      <c r="W1209" s="279">
        <f>W1227/W1234*100</f>
        <v>0</v>
      </c>
      <c r="Y1209" s="279" t="e">
        <f>Y1227/Y1234*100</f>
        <v>#DIV/0!</v>
      </c>
      <c r="Z1209" s="279">
        <f>Z1227/Z1234*100</f>
        <v>1.9230769230769231</v>
      </c>
      <c r="AB1209" s="279" t="e">
        <f>AB1227/AB1234*100</f>
        <v>#DIV/0!</v>
      </c>
      <c r="AC1209" s="279">
        <f>AC1227/AC1234*100</f>
        <v>0</v>
      </c>
      <c r="AE1209" s="279" t="e">
        <f>AE1227/AE1234*100</f>
        <v>#DIV/0!</v>
      </c>
      <c r="AF1209" s="279">
        <f>AF1227/AF1234*100</f>
        <v>0</v>
      </c>
      <c r="AH1209" s="279" t="e">
        <f>AH1227/AH1234*100</f>
        <v>#DIV/0!</v>
      </c>
      <c r="AI1209" s="279">
        <f>AI1227/AI1234*100</f>
        <v>1.0752688172043012</v>
      </c>
      <c r="AK1209" s="279" t="e">
        <f>AK1227/AK1234*100</f>
        <v>#DIV/0!</v>
      </c>
      <c r="AL1209" s="279">
        <f>AL1227/AL1234*100</f>
        <v>0</v>
      </c>
      <c r="AN1209" s="279" t="e">
        <f>AN1227/AN1234*100</f>
        <v>#DIV/0!</v>
      </c>
      <c r="AO1209" s="279">
        <f>AO1227/AO1234*100</f>
        <v>0</v>
      </c>
      <c r="AQ1209" s="279" t="e">
        <f>AQ1227/AQ1234*100</f>
        <v>#DIV/0!</v>
      </c>
      <c r="AR1209" s="279">
        <f>AR1227/AR1234*100</f>
        <v>0</v>
      </c>
      <c r="AT1209" s="279" t="e">
        <f>AT1227/AT1234*100</f>
        <v>#DIV/0!</v>
      </c>
      <c r="AU1209" s="279" t="e">
        <f>AU1227/AU1234*100</f>
        <v>#DIV/0!</v>
      </c>
      <c r="AW1209" s="279" t="e">
        <f>AW1227/AW1234*100</f>
        <v>#DIV/0!</v>
      </c>
      <c r="AX1209" s="279" t="e">
        <f>AX1227/AX1234*100</f>
        <v>#DIV/0!</v>
      </c>
      <c r="AZ1209" s="279" t="e">
        <f>AZ1227/AZ1234*100</f>
        <v>#DIV/0!</v>
      </c>
      <c r="BA1209" s="279" t="e">
        <f>BA1227/BA1234*100</f>
        <v>#DIV/0!</v>
      </c>
      <c r="BC1209" s="279" t="e">
        <f>BC1227/BC1234*100</f>
        <v>#DIV/0!</v>
      </c>
      <c r="BD1209" s="279" t="e">
        <f>BD1227/BD1234*100</f>
        <v>#DIV/0!</v>
      </c>
      <c r="BF1209" s="279" t="e">
        <f>BF1227/BF1234*100</f>
        <v>#DIV/0!</v>
      </c>
      <c r="BG1209" s="279" t="e">
        <f>BG1227/BG1234*100</f>
        <v>#DIV/0!</v>
      </c>
      <c r="BI1209" s="279" t="e">
        <f>BI1227/BI1234*100</f>
        <v>#DIV/0!</v>
      </c>
      <c r="BJ1209" s="279" t="e">
        <f>BJ1227/BJ1234*100</f>
        <v>#DIV/0!</v>
      </c>
      <c r="BL1209" s="279" t="e">
        <f>BL1227/BL1234*100</f>
        <v>#DIV/0!</v>
      </c>
      <c r="BM1209" s="279" t="e">
        <f>BM1227/BM1234*100</f>
        <v>#DIV/0!</v>
      </c>
      <c r="BO1209" s="279" t="e">
        <f>BO1227/BO1234*100</f>
        <v>#DIV/0!</v>
      </c>
      <c r="BP1209" s="279" t="e">
        <f>BP1227/BP1234*100</f>
        <v>#DIV/0!</v>
      </c>
      <c r="BR1209" s="279" t="e">
        <f>BR1227/BR1234*100</f>
        <v>#DIV/0!</v>
      </c>
      <c r="BS1209" s="279" t="e">
        <f>BS1227/BS1234*100</f>
        <v>#DIV/0!</v>
      </c>
      <c r="BU1209" s="279" t="e">
        <f>BU1227/BU1234*100</f>
        <v>#DIV/0!</v>
      </c>
      <c r="BV1209" s="279" t="e">
        <f>BV1227/BV1234*100</f>
        <v>#DIV/0!</v>
      </c>
      <c r="BX1209" s="279" t="e">
        <f>BX1227/BX1234*100</f>
        <v>#DIV/0!</v>
      </c>
      <c r="BY1209" s="279" t="e">
        <f>BY1227/BY1234*100</f>
        <v>#DIV/0!</v>
      </c>
      <c r="CA1209" s="279" t="e">
        <f>CA1227/CA1234*100</f>
        <v>#DIV/0!</v>
      </c>
      <c r="CB1209" s="279" t="e">
        <f>CB1227/CB1234*100</f>
        <v>#DIV/0!</v>
      </c>
      <c r="CD1209" s="279" t="e">
        <f>CD1227/CD1234*100</f>
        <v>#DIV/0!</v>
      </c>
      <c r="CE1209" s="279" t="e">
        <f>CE1227/CE1234*100</f>
        <v>#DIV/0!</v>
      </c>
      <c r="CG1209" s="279" t="e">
        <f>CG1227/CG1234*100</f>
        <v>#DIV/0!</v>
      </c>
      <c r="CH1209" s="279" t="e">
        <f>CH1227/CH1234*100</f>
        <v>#DIV/0!</v>
      </c>
      <c r="CJ1209" s="279" t="e">
        <f>CJ1227/CJ1234*100</f>
        <v>#DIV/0!</v>
      </c>
      <c r="CK1209" s="279" t="e">
        <f>CK1227/CK1234*100</f>
        <v>#DIV/0!</v>
      </c>
    </row>
    <row r="1210" spans="1:89" hidden="1" x14ac:dyDescent="0.25">
      <c r="A1210" s="95"/>
      <c r="B1210" s="96" t="s">
        <v>2413</v>
      </c>
      <c r="C1210" s="95"/>
      <c r="D1210" s="95"/>
      <c r="E1210" s="279"/>
      <c r="F1210" s="279"/>
      <c r="G1210" s="279"/>
      <c r="H1210" s="279"/>
      <c r="I1210" s="279"/>
      <c r="J1210" s="279"/>
      <c r="K1210" s="279"/>
      <c r="L1210" s="279"/>
      <c r="M1210" s="279"/>
      <c r="N1210" s="279"/>
      <c r="Q1210" s="279"/>
      <c r="R1210" s="279"/>
      <c r="S1210" s="279"/>
      <c r="T1210" s="279"/>
      <c r="V1210" s="279"/>
      <c r="W1210" s="279"/>
      <c r="Y1210" s="279"/>
      <c r="Z1210" s="279"/>
      <c r="AB1210" s="279"/>
      <c r="AC1210" s="279"/>
      <c r="AE1210" s="279"/>
      <c r="AF1210" s="279"/>
      <c r="AH1210" s="279"/>
      <c r="AI1210" s="279"/>
      <c r="AK1210" s="279"/>
      <c r="AL1210" s="279"/>
      <c r="AN1210" s="279"/>
      <c r="AO1210" s="279"/>
      <c r="AQ1210" s="279"/>
      <c r="AR1210" s="279"/>
      <c r="AT1210" s="279"/>
      <c r="AU1210" s="279"/>
      <c r="AW1210" s="279"/>
      <c r="AX1210" s="279"/>
      <c r="AZ1210" s="279"/>
      <c r="BA1210" s="279"/>
      <c r="BC1210" s="279"/>
      <c r="BD1210" s="279"/>
      <c r="BF1210" s="279"/>
      <c r="BG1210" s="279"/>
      <c r="BI1210" s="279"/>
      <c r="BJ1210" s="279"/>
      <c r="BL1210" s="279"/>
      <c r="BM1210" s="279"/>
      <c r="BO1210" s="279"/>
      <c r="BP1210" s="279"/>
      <c r="BR1210" s="279"/>
      <c r="BS1210" s="279"/>
      <c r="BU1210" s="279"/>
      <c r="BV1210" s="279"/>
      <c r="BX1210" s="279"/>
      <c r="BY1210" s="279"/>
      <c r="CA1210" s="279"/>
      <c r="CB1210" s="279"/>
      <c r="CD1210" s="279"/>
      <c r="CE1210" s="279"/>
      <c r="CG1210" s="279"/>
      <c r="CH1210" s="279"/>
      <c r="CJ1210" s="279"/>
      <c r="CK1210" s="279"/>
    </row>
    <row r="1211" spans="1:89" hidden="1" x14ac:dyDescent="0.25">
      <c r="A1211" s="95"/>
      <c r="B1211" s="96" t="s">
        <v>2410</v>
      </c>
      <c r="C1211" s="95"/>
      <c r="D1211" s="95"/>
      <c r="E1211" s="279"/>
      <c r="F1211" s="279"/>
      <c r="G1211" s="279"/>
      <c r="H1211" s="279"/>
      <c r="I1211" s="279"/>
      <c r="J1211" s="279"/>
      <c r="K1211" s="279"/>
      <c r="L1211" s="279"/>
      <c r="M1211" s="279"/>
      <c r="N1211" s="279"/>
      <c r="Q1211" s="279"/>
      <c r="R1211" s="279"/>
      <c r="S1211" s="279"/>
      <c r="T1211" s="279"/>
      <c r="V1211" s="279"/>
      <c r="W1211" s="279"/>
      <c r="Y1211" s="279"/>
      <c r="Z1211" s="279"/>
      <c r="AB1211" s="279"/>
      <c r="AC1211" s="279"/>
      <c r="AE1211" s="279"/>
      <c r="AF1211" s="279"/>
      <c r="AH1211" s="279"/>
      <c r="AI1211" s="279"/>
      <c r="AK1211" s="279"/>
      <c r="AL1211" s="279"/>
      <c r="AN1211" s="279"/>
      <c r="AO1211" s="279"/>
      <c r="AQ1211" s="279"/>
      <c r="AR1211" s="279"/>
      <c r="AT1211" s="279"/>
      <c r="AU1211" s="279"/>
      <c r="AW1211" s="279"/>
      <c r="AX1211" s="279"/>
      <c r="AZ1211" s="279"/>
      <c r="BA1211" s="279"/>
      <c r="BC1211" s="279"/>
      <c r="BD1211" s="279"/>
      <c r="BF1211" s="279"/>
      <c r="BG1211" s="279"/>
      <c r="BI1211" s="279"/>
      <c r="BJ1211" s="279"/>
      <c r="BL1211" s="279"/>
      <c r="BM1211" s="279"/>
      <c r="BO1211" s="279"/>
      <c r="BP1211" s="279"/>
      <c r="BR1211" s="279"/>
      <c r="BS1211" s="279"/>
      <c r="BU1211" s="279"/>
      <c r="BV1211" s="279"/>
      <c r="BX1211" s="279"/>
      <c r="BY1211" s="279"/>
      <c r="CA1211" s="279"/>
      <c r="CB1211" s="279"/>
      <c r="CD1211" s="279"/>
      <c r="CE1211" s="279"/>
      <c r="CG1211" s="279"/>
      <c r="CH1211" s="279"/>
      <c r="CJ1211" s="279"/>
      <c r="CK1211" s="279"/>
    </row>
    <row r="1212" spans="1:89" hidden="1" x14ac:dyDescent="0.25">
      <c r="A1212" s="95"/>
      <c r="B1212" s="96" t="s">
        <v>1710</v>
      </c>
      <c r="C1212" s="95"/>
      <c r="D1212" s="95" t="s">
        <v>8</v>
      </c>
      <c r="E1212" s="279"/>
      <c r="F1212" s="279"/>
      <c r="G1212" s="279"/>
      <c r="H1212" s="279"/>
      <c r="I1212" s="279">
        <f t="shared" ref="I1212:K1213" si="1581">(I1238+I1241)/(I1245+I1248)*100</f>
        <v>0</v>
      </c>
      <c r="J1212" s="279">
        <f t="shared" si="1581"/>
        <v>0</v>
      </c>
      <c r="K1212" s="279">
        <f t="shared" si="1581"/>
        <v>0</v>
      </c>
      <c r="L1212" s="279">
        <f t="shared" ref="L1212:M1213" si="1582">(L1238+L1241)/(L1245+L1248)*100</f>
        <v>0</v>
      </c>
      <c r="M1212" s="279">
        <f t="shared" si="1582"/>
        <v>0</v>
      </c>
      <c r="N1212" s="279">
        <f t="shared" ref="N1212" si="1583">(N1238+N1241)/(N1245+N1248)*100</f>
        <v>0</v>
      </c>
      <c r="Q1212" s="279" t="e">
        <f t="shared" ref="Q1212:T1213" si="1584">(Q1238+Q1241)/(Q1245+Q1248)*100</f>
        <v>#DIV/0!</v>
      </c>
      <c r="R1212" s="279">
        <f t="shared" si="1584"/>
        <v>0</v>
      </c>
      <c r="S1212" s="279" t="e">
        <f t="shared" si="1584"/>
        <v>#DIV/0!</v>
      </c>
      <c r="T1212" s="279" t="e">
        <f t="shared" si="1584"/>
        <v>#DIV/0!</v>
      </c>
      <c r="V1212" s="279" t="e">
        <f>(V1238+V1241)/(V1245+V1248)*100</f>
        <v>#DIV/0!</v>
      </c>
      <c r="W1212" s="279" t="e">
        <f>(W1238+W1241)/(W1245+W1248)*100</f>
        <v>#DIV/0!</v>
      </c>
      <c r="Y1212" s="279" t="e">
        <f>(Y1238+Y1241)/(Y1245+Y1248)*100</f>
        <v>#DIV/0!</v>
      </c>
      <c r="Z1212" s="279" t="e">
        <f>(Z1238+Z1241)/(Z1245+Z1248)*100</f>
        <v>#DIV/0!</v>
      </c>
      <c r="AB1212" s="279" t="e">
        <f>(AB1238+AB1241)/(AB1245+AB1248)*100</f>
        <v>#DIV/0!</v>
      </c>
      <c r="AC1212" s="279" t="e">
        <f>(AC1238+AC1241)/(AC1245+AC1248)*100</f>
        <v>#DIV/0!</v>
      </c>
      <c r="AE1212" s="279" t="e">
        <f>(AE1238+AE1241)/(AE1245+AE1248)*100</f>
        <v>#DIV/0!</v>
      </c>
      <c r="AF1212" s="279" t="e">
        <f>(AF1238+AF1241)/(AF1245+AF1248)*100</f>
        <v>#DIV/0!</v>
      </c>
      <c r="AH1212" s="279" t="e">
        <f>(AH1238+AH1241)/(AH1245+AH1248)*100</f>
        <v>#DIV/0!</v>
      </c>
      <c r="AI1212" s="279" t="e">
        <f>(AI1238+AI1241)/(AI1245+AI1248)*100</f>
        <v>#DIV/0!</v>
      </c>
      <c r="AK1212" s="279" t="e">
        <f>(AK1238+AK1241)/(AK1245+AK1248)*100</f>
        <v>#DIV/0!</v>
      </c>
      <c r="AL1212" s="279" t="e">
        <f>(AL1238+AL1241)/(AL1245+AL1248)*100</f>
        <v>#DIV/0!</v>
      </c>
      <c r="AN1212" s="279" t="e">
        <f>(AN1238+AN1241)/(AN1245+AN1248)*100</f>
        <v>#DIV/0!</v>
      </c>
      <c r="AO1212" s="279" t="e">
        <f>(AO1238+AO1241)/(AO1245+AO1248)*100</f>
        <v>#DIV/0!</v>
      </c>
      <c r="AQ1212" s="279" t="e">
        <f>(AQ1238+AQ1241)/(AQ1245+AQ1248)*100</f>
        <v>#DIV/0!</v>
      </c>
      <c r="AR1212" s="279" t="e">
        <f>(AR1238+AR1241)/(AR1245+AR1248)*100</f>
        <v>#DIV/0!</v>
      </c>
      <c r="AT1212" s="279" t="e">
        <f>(AT1238+AT1241)/(AT1245+AT1248)*100</f>
        <v>#DIV/0!</v>
      </c>
      <c r="AU1212" s="279" t="e">
        <f>(AU1238+AU1241)/(AU1245+AU1248)*100</f>
        <v>#DIV/0!</v>
      </c>
      <c r="AW1212" s="279" t="e">
        <f>(AW1238+AW1241)/(AW1245+AW1248)*100</f>
        <v>#DIV/0!</v>
      </c>
      <c r="AX1212" s="279" t="e">
        <f>(AX1238+AX1241)/(AX1245+AX1248)*100</f>
        <v>#DIV/0!</v>
      </c>
      <c r="AZ1212" s="279" t="e">
        <f>(AZ1238+AZ1241)/(AZ1245+AZ1248)*100</f>
        <v>#DIV/0!</v>
      </c>
      <c r="BA1212" s="279" t="e">
        <f>(BA1238+BA1241)/(BA1245+BA1248)*100</f>
        <v>#DIV/0!</v>
      </c>
      <c r="BC1212" s="279" t="e">
        <f>(BC1238+BC1241)/(BC1245+BC1248)*100</f>
        <v>#DIV/0!</v>
      </c>
      <c r="BD1212" s="279">
        <f>(BD1238+BD1241)/(BD1245+BD1248)*100</f>
        <v>0</v>
      </c>
      <c r="BF1212" s="279" t="e">
        <f>(BF1238+BF1241)/(BF1245+BF1248)*100</f>
        <v>#DIV/0!</v>
      </c>
      <c r="BG1212" s="279">
        <f>(BG1238+BG1241)/(BG1245+BG1248)*100</f>
        <v>0</v>
      </c>
      <c r="BI1212" s="279" t="e">
        <f>(BI1238+BI1241)/(BI1245+BI1248)*100</f>
        <v>#DIV/0!</v>
      </c>
      <c r="BJ1212" s="279">
        <f>(BJ1238+BJ1241)/(BJ1245+BJ1248)*100</f>
        <v>0</v>
      </c>
      <c r="BL1212" s="279" t="e">
        <f>(BL1238+BL1241)/(BL1245+BL1248)*100</f>
        <v>#DIV/0!</v>
      </c>
      <c r="BM1212" s="279" t="e">
        <f>(BM1238+BM1241)/(BM1245+BM1248)*100</f>
        <v>#DIV/0!</v>
      </c>
      <c r="BO1212" s="279" t="e">
        <f>(BO1238+BO1241)/(BO1245+BO1248)*100</f>
        <v>#DIV/0!</v>
      </c>
      <c r="BP1212" s="279" t="e">
        <f>(BP1238+BP1241)/(BP1245+BP1248)*100</f>
        <v>#DIV/0!</v>
      </c>
      <c r="BR1212" s="279" t="e">
        <f>(BR1238+BR1241)/(BR1245+BR1248)*100</f>
        <v>#DIV/0!</v>
      </c>
      <c r="BS1212" s="279" t="e">
        <f>(BS1238+BS1241)/(BS1245+BS1248)*100</f>
        <v>#DIV/0!</v>
      </c>
      <c r="BU1212" s="279" t="e">
        <f>(BU1238+BU1241)/(BU1245+BU1248)*100</f>
        <v>#DIV/0!</v>
      </c>
      <c r="BV1212" s="279" t="e">
        <f>(BV1238+BV1241)/(BV1245+BV1248)*100</f>
        <v>#DIV/0!</v>
      </c>
      <c r="BX1212" s="279" t="e">
        <f>(BX1238+BX1241)/(BX1245+BX1248)*100</f>
        <v>#DIV/0!</v>
      </c>
      <c r="BY1212" s="279" t="e">
        <f>(BY1238+BY1241)/(BY1245+BY1248)*100</f>
        <v>#DIV/0!</v>
      </c>
      <c r="CA1212" s="279" t="e">
        <f>(CA1238+CA1241)/(CA1245+CA1248)*100</f>
        <v>#DIV/0!</v>
      </c>
      <c r="CB1212" s="279" t="e">
        <f>(CB1238+CB1241)/(CB1245+CB1248)*100</f>
        <v>#DIV/0!</v>
      </c>
      <c r="CD1212" s="279" t="e">
        <f>(CD1238+CD1241)/(CD1245+CD1248)*100</f>
        <v>#DIV/0!</v>
      </c>
      <c r="CE1212" s="279" t="e">
        <f>(CE1238+CE1241)/(CE1245+CE1248)*100</f>
        <v>#DIV/0!</v>
      </c>
      <c r="CG1212" s="279" t="e">
        <f>(CG1238+CG1241)/(CG1245+CG1248)*100</f>
        <v>#DIV/0!</v>
      </c>
      <c r="CH1212" s="279" t="e">
        <f>(CH1238+CH1241)/(CH1245+CH1248)*100</f>
        <v>#DIV/0!</v>
      </c>
      <c r="CJ1212" s="279" t="e">
        <f>(CJ1238+CJ1241)/(CJ1245+CJ1248)*100</f>
        <v>#DIV/0!</v>
      </c>
      <c r="CK1212" s="279" t="e">
        <f>(CK1238+CK1241)/(CK1245+CK1248)*100</f>
        <v>#DIV/0!</v>
      </c>
    </row>
    <row r="1213" spans="1:89" hidden="1" x14ac:dyDescent="0.25">
      <c r="A1213" s="95"/>
      <c r="B1213" s="96" t="s">
        <v>1711</v>
      </c>
      <c r="C1213" s="95"/>
      <c r="D1213" s="95" t="s">
        <v>8</v>
      </c>
      <c r="E1213" s="279"/>
      <c r="F1213" s="279"/>
      <c r="G1213" s="279"/>
      <c r="H1213" s="279"/>
      <c r="I1213" s="279">
        <f t="shared" si="1581"/>
        <v>0</v>
      </c>
      <c r="J1213" s="279">
        <f t="shared" si="1581"/>
        <v>0</v>
      </c>
      <c r="K1213" s="279">
        <f t="shared" si="1581"/>
        <v>0</v>
      </c>
      <c r="L1213" s="279">
        <f t="shared" ref="L1213" si="1585">(L1239+L1242)/(L1246+L1249)*100</f>
        <v>0</v>
      </c>
      <c r="M1213" s="279">
        <f t="shared" si="1582"/>
        <v>0</v>
      </c>
      <c r="N1213" s="279">
        <f t="shared" ref="N1213" si="1586">(N1239+N1242)/(N1246+N1249)*100</f>
        <v>0</v>
      </c>
      <c r="Q1213" s="279" t="e">
        <f t="shared" si="1584"/>
        <v>#DIV/0!</v>
      </c>
      <c r="R1213" s="279">
        <f t="shared" si="1584"/>
        <v>0</v>
      </c>
      <c r="S1213" s="279" t="e">
        <f t="shared" si="1584"/>
        <v>#DIV/0!</v>
      </c>
      <c r="T1213" s="279" t="e">
        <f t="shared" si="1584"/>
        <v>#DIV/0!</v>
      </c>
      <c r="V1213" s="279" t="e">
        <f>(V1239+V1242)/(V1246+V1249)*100</f>
        <v>#DIV/0!</v>
      </c>
      <c r="W1213" s="279" t="e">
        <f>(W1239+W1242)/(W1246+W1249)*100</f>
        <v>#DIV/0!</v>
      </c>
      <c r="Y1213" s="279" t="e">
        <f>(Y1239+Y1242)/(Y1246+Y1249)*100</f>
        <v>#DIV/0!</v>
      </c>
      <c r="Z1213" s="279" t="e">
        <f>(Z1239+Z1242)/(Z1246+Z1249)*100</f>
        <v>#DIV/0!</v>
      </c>
      <c r="AB1213" s="279" t="e">
        <f>(AB1239+AB1242)/(AB1246+AB1249)*100</f>
        <v>#DIV/0!</v>
      </c>
      <c r="AC1213" s="279" t="e">
        <f>(AC1239+AC1242)/(AC1246+AC1249)*100</f>
        <v>#DIV/0!</v>
      </c>
      <c r="AE1213" s="279" t="e">
        <f>(AE1239+AE1242)/(AE1246+AE1249)*100</f>
        <v>#DIV/0!</v>
      </c>
      <c r="AF1213" s="279" t="e">
        <f>(AF1239+AF1242)/(AF1246+AF1249)*100</f>
        <v>#DIV/0!</v>
      </c>
      <c r="AH1213" s="279" t="e">
        <f>(AH1239+AH1242)/(AH1246+AH1249)*100</f>
        <v>#DIV/0!</v>
      </c>
      <c r="AI1213" s="279" t="e">
        <f>(AI1239+AI1242)/(AI1246+AI1249)*100</f>
        <v>#DIV/0!</v>
      </c>
      <c r="AK1213" s="279" t="e">
        <f>(AK1239+AK1242)/(AK1246+AK1249)*100</f>
        <v>#DIV/0!</v>
      </c>
      <c r="AL1213" s="279" t="e">
        <f>(AL1239+AL1242)/(AL1246+AL1249)*100</f>
        <v>#DIV/0!</v>
      </c>
      <c r="AN1213" s="279" t="e">
        <f>(AN1239+AN1242)/(AN1246+AN1249)*100</f>
        <v>#DIV/0!</v>
      </c>
      <c r="AO1213" s="279" t="e">
        <f>(AO1239+AO1242)/(AO1246+AO1249)*100</f>
        <v>#DIV/0!</v>
      </c>
      <c r="AQ1213" s="279" t="e">
        <f>(AQ1239+AQ1242)/(AQ1246+AQ1249)*100</f>
        <v>#DIV/0!</v>
      </c>
      <c r="AR1213" s="279" t="e">
        <f>(AR1239+AR1242)/(AR1246+AR1249)*100</f>
        <v>#DIV/0!</v>
      </c>
      <c r="AT1213" s="279" t="e">
        <f>(AT1239+AT1242)/(AT1246+AT1249)*100</f>
        <v>#DIV/0!</v>
      </c>
      <c r="AU1213" s="279" t="e">
        <f>(AU1239+AU1242)/(AU1246+AU1249)*100</f>
        <v>#DIV/0!</v>
      </c>
      <c r="AW1213" s="279" t="e">
        <f>(AW1239+AW1242)/(AW1246+AW1249)*100</f>
        <v>#DIV/0!</v>
      </c>
      <c r="AX1213" s="279" t="e">
        <f>(AX1239+AX1242)/(AX1246+AX1249)*100</f>
        <v>#DIV/0!</v>
      </c>
      <c r="AZ1213" s="279" t="e">
        <f>(AZ1239+AZ1242)/(AZ1246+AZ1249)*100</f>
        <v>#DIV/0!</v>
      </c>
      <c r="BA1213" s="279" t="e">
        <f>(BA1239+BA1242)/(BA1246+BA1249)*100</f>
        <v>#DIV/0!</v>
      </c>
      <c r="BC1213" s="279" t="e">
        <f>(BC1239+BC1242)/(BC1246+BC1249)*100</f>
        <v>#DIV/0!</v>
      </c>
      <c r="BD1213" s="279">
        <f>(BD1239+BD1242)/(BD1246+BD1249)*100</f>
        <v>0</v>
      </c>
      <c r="BF1213" s="279" t="e">
        <f>(BF1239+BF1242)/(BF1246+BF1249)*100</f>
        <v>#DIV/0!</v>
      </c>
      <c r="BG1213" s="279" t="e">
        <f>(BG1239+BG1242)/(BG1246+BG1249)*100</f>
        <v>#DIV/0!</v>
      </c>
      <c r="BI1213" s="279" t="e">
        <f>(BI1239+BI1242)/(BI1246+BI1249)*100</f>
        <v>#DIV/0!</v>
      </c>
      <c r="BJ1213" s="279">
        <f>(BJ1239+BJ1242)/(BJ1246+BJ1249)*100</f>
        <v>0</v>
      </c>
      <c r="BL1213" s="279" t="e">
        <f>(BL1239+BL1242)/(BL1246+BL1249)*100</f>
        <v>#DIV/0!</v>
      </c>
      <c r="BM1213" s="279" t="e">
        <f>(BM1239+BM1242)/(BM1246+BM1249)*100</f>
        <v>#DIV/0!</v>
      </c>
      <c r="BO1213" s="279" t="e">
        <f>(BO1239+BO1242)/(BO1246+BO1249)*100</f>
        <v>#DIV/0!</v>
      </c>
      <c r="BP1213" s="279" t="e">
        <f>(BP1239+BP1242)/(BP1246+BP1249)*100</f>
        <v>#DIV/0!</v>
      </c>
      <c r="BR1213" s="279" t="e">
        <f>(BR1239+BR1242)/(BR1246+BR1249)*100</f>
        <v>#DIV/0!</v>
      </c>
      <c r="BS1213" s="279" t="e">
        <f>(BS1239+BS1242)/(BS1246+BS1249)*100</f>
        <v>#DIV/0!</v>
      </c>
      <c r="BU1213" s="279" t="e">
        <f>(BU1239+BU1242)/(BU1246+BU1249)*100</f>
        <v>#DIV/0!</v>
      </c>
      <c r="BV1213" s="279" t="e">
        <f>(BV1239+BV1242)/(BV1246+BV1249)*100</f>
        <v>#DIV/0!</v>
      </c>
      <c r="BX1213" s="279" t="e">
        <f>(BX1239+BX1242)/(BX1246+BX1249)*100</f>
        <v>#DIV/0!</v>
      </c>
      <c r="BY1213" s="279" t="e">
        <f>(BY1239+BY1242)/(BY1246+BY1249)*100</f>
        <v>#DIV/0!</v>
      </c>
      <c r="CA1213" s="279" t="e">
        <f>(CA1239+CA1242)/(CA1246+CA1249)*100</f>
        <v>#DIV/0!</v>
      </c>
      <c r="CB1213" s="279" t="e">
        <f>(CB1239+CB1242)/(CB1246+CB1249)*100</f>
        <v>#DIV/0!</v>
      </c>
      <c r="CD1213" s="279" t="e">
        <f>(CD1239+CD1242)/(CD1246+CD1249)*100</f>
        <v>#DIV/0!</v>
      </c>
      <c r="CE1213" s="279" t="e">
        <f>(CE1239+CE1242)/(CE1246+CE1249)*100</f>
        <v>#DIV/0!</v>
      </c>
      <c r="CG1213" s="279" t="e">
        <f>(CG1239+CG1242)/(CG1246+CG1249)*100</f>
        <v>#DIV/0!</v>
      </c>
      <c r="CH1213" s="279" t="e">
        <f>(CH1239+CH1242)/(CH1246+CH1249)*100</f>
        <v>#DIV/0!</v>
      </c>
      <c r="CJ1213" s="279" t="e">
        <f>(CJ1239+CJ1242)/(CJ1246+CJ1249)*100</f>
        <v>#DIV/0!</v>
      </c>
      <c r="CK1213" s="279" t="e">
        <f>(CK1239+CK1242)/(CK1246+CK1249)*100</f>
        <v>#DIV/0!</v>
      </c>
    </row>
    <row r="1214" spans="1:89" hidden="1" x14ac:dyDescent="0.25">
      <c r="A1214" s="95"/>
      <c r="B1214" s="96" t="s">
        <v>2411</v>
      </c>
      <c r="C1214" s="95"/>
      <c r="D1214" s="95"/>
      <c r="E1214" s="279"/>
      <c r="F1214" s="279"/>
      <c r="G1214" s="279"/>
      <c r="H1214" s="279"/>
      <c r="I1214" s="279"/>
      <c r="J1214" s="279"/>
      <c r="K1214" s="279"/>
      <c r="L1214" s="279"/>
      <c r="M1214" s="279"/>
      <c r="N1214" s="279"/>
      <c r="Q1214" s="279"/>
      <c r="R1214" s="279"/>
      <c r="S1214" s="279"/>
      <c r="T1214" s="279"/>
      <c r="V1214" s="279"/>
      <c r="W1214" s="279"/>
      <c r="Y1214" s="279"/>
      <c r="Z1214" s="279"/>
      <c r="AB1214" s="279"/>
      <c r="AC1214" s="279"/>
      <c r="AE1214" s="279"/>
      <c r="AF1214" s="279"/>
      <c r="AH1214" s="279"/>
      <c r="AI1214" s="279"/>
      <c r="AK1214" s="279"/>
      <c r="AL1214" s="279"/>
      <c r="AN1214" s="279"/>
      <c r="AO1214" s="279"/>
      <c r="AQ1214" s="279"/>
      <c r="AR1214" s="279"/>
      <c r="AT1214" s="279"/>
      <c r="AU1214" s="279"/>
      <c r="AW1214" s="279"/>
      <c r="AX1214" s="279"/>
      <c r="AZ1214" s="279"/>
      <c r="BA1214" s="279"/>
      <c r="BC1214" s="279"/>
      <c r="BD1214" s="279"/>
      <c r="BF1214" s="279"/>
      <c r="BG1214" s="279"/>
      <c r="BI1214" s="279"/>
      <c r="BJ1214" s="279"/>
      <c r="BL1214" s="279"/>
      <c r="BM1214" s="279"/>
      <c r="BO1214" s="279"/>
      <c r="BP1214" s="279"/>
      <c r="BR1214" s="279"/>
      <c r="BS1214" s="279"/>
      <c r="BU1214" s="279"/>
      <c r="BV1214" s="279"/>
      <c r="BX1214" s="279"/>
      <c r="BY1214" s="279"/>
      <c r="CA1214" s="279"/>
      <c r="CB1214" s="279"/>
      <c r="CD1214" s="279"/>
      <c r="CE1214" s="279"/>
      <c r="CG1214" s="279"/>
      <c r="CH1214" s="279"/>
      <c r="CJ1214" s="279"/>
      <c r="CK1214" s="279"/>
    </row>
    <row r="1215" spans="1:89" hidden="1" x14ac:dyDescent="0.25">
      <c r="A1215" s="95"/>
      <c r="B1215" s="96" t="s">
        <v>1710</v>
      </c>
      <c r="C1215" s="95"/>
      <c r="D1215" s="95" t="s">
        <v>8</v>
      </c>
      <c r="E1215" s="279"/>
      <c r="F1215" s="279"/>
      <c r="G1215" s="279"/>
      <c r="H1215" s="279"/>
      <c r="I1215" s="279">
        <f t="shared" ref="I1215:K1216" si="1587">I1238/I1245*100</f>
        <v>0</v>
      </c>
      <c r="J1215" s="279">
        <f t="shared" si="1587"/>
        <v>0</v>
      </c>
      <c r="K1215" s="279">
        <f t="shared" si="1587"/>
        <v>0</v>
      </c>
      <c r="L1215" s="279">
        <f t="shared" ref="L1215:M1216" si="1588">L1238/L1245*100</f>
        <v>0</v>
      </c>
      <c r="M1215" s="279">
        <f t="shared" si="1588"/>
        <v>0</v>
      </c>
      <c r="N1215" s="279">
        <f t="shared" ref="N1215" si="1589">N1238/N1245*100</f>
        <v>0</v>
      </c>
      <c r="Q1215" s="279" t="e">
        <f t="shared" ref="Q1215:T1216" si="1590">Q1238/Q1245*100</f>
        <v>#DIV/0!</v>
      </c>
      <c r="R1215" s="279">
        <f t="shared" si="1590"/>
        <v>0</v>
      </c>
      <c r="S1215" s="279" t="e">
        <f t="shared" si="1590"/>
        <v>#DIV/0!</v>
      </c>
      <c r="T1215" s="279" t="e">
        <f t="shared" si="1590"/>
        <v>#DIV/0!</v>
      </c>
      <c r="V1215" s="279" t="e">
        <f>V1238/V1245*100</f>
        <v>#DIV/0!</v>
      </c>
      <c r="W1215" s="279" t="e">
        <f>W1238/W1245*100</f>
        <v>#DIV/0!</v>
      </c>
      <c r="Y1215" s="279" t="e">
        <f>Y1238/Y1245*100</f>
        <v>#DIV/0!</v>
      </c>
      <c r="Z1215" s="279" t="e">
        <f>Z1238/Z1245*100</f>
        <v>#DIV/0!</v>
      </c>
      <c r="AB1215" s="279" t="e">
        <f>AB1238/AB1245*100</f>
        <v>#DIV/0!</v>
      </c>
      <c r="AC1215" s="279" t="e">
        <f>AC1238/AC1245*100</f>
        <v>#DIV/0!</v>
      </c>
      <c r="AE1215" s="279" t="e">
        <f>AE1238/AE1245*100</f>
        <v>#DIV/0!</v>
      </c>
      <c r="AF1215" s="279" t="e">
        <f>AF1238/AF1245*100</f>
        <v>#DIV/0!</v>
      </c>
      <c r="AH1215" s="279" t="e">
        <f>AH1238/AH1245*100</f>
        <v>#DIV/0!</v>
      </c>
      <c r="AI1215" s="279" t="e">
        <f>AI1238/AI1245*100</f>
        <v>#DIV/0!</v>
      </c>
      <c r="AK1215" s="279" t="e">
        <f>AK1238/AK1245*100</f>
        <v>#DIV/0!</v>
      </c>
      <c r="AL1215" s="279" t="e">
        <f>AL1238/AL1245*100</f>
        <v>#DIV/0!</v>
      </c>
      <c r="AN1215" s="279" t="e">
        <f>AN1238/AN1245*100</f>
        <v>#DIV/0!</v>
      </c>
      <c r="AO1215" s="279" t="e">
        <f>AO1238/AO1245*100</f>
        <v>#DIV/0!</v>
      </c>
      <c r="AQ1215" s="279" t="e">
        <f>AQ1238/AQ1245*100</f>
        <v>#DIV/0!</v>
      </c>
      <c r="AR1215" s="279" t="e">
        <f>AR1238/AR1245*100</f>
        <v>#DIV/0!</v>
      </c>
      <c r="AT1215" s="279" t="e">
        <f>AT1238/AT1245*100</f>
        <v>#DIV/0!</v>
      </c>
      <c r="AU1215" s="279" t="e">
        <f>AU1238/AU1245*100</f>
        <v>#DIV/0!</v>
      </c>
      <c r="AW1215" s="279" t="e">
        <f>AW1238/AW1245*100</f>
        <v>#DIV/0!</v>
      </c>
      <c r="AX1215" s="279" t="e">
        <f>AX1238/AX1245*100</f>
        <v>#DIV/0!</v>
      </c>
      <c r="AZ1215" s="279" t="e">
        <f>AZ1238/AZ1245*100</f>
        <v>#DIV/0!</v>
      </c>
      <c r="BA1215" s="279" t="e">
        <f>BA1238/BA1245*100</f>
        <v>#DIV/0!</v>
      </c>
      <c r="BC1215" s="279" t="e">
        <f>BC1238/BC1245*100</f>
        <v>#DIV/0!</v>
      </c>
      <c r="BD1215" s="279">
        <f>BD1238/BD1245*100</f>
        <v>0</v>
      </c>
      <c r="BF1215" s="279" t="e">
        <f>BF1238/BF1245*100</f>
        <v>#DIV/0!</v>
      </c>
      <c r="BG1215" s="279">
        <f>BG1238/BG1245*100</f>
        <v>0</v>
      </c>
      <c r="BI1215" s="279" t="e">
        <f>BI1238/BI1245*100</f>
        <v>#DIV/0!</v>
      </c>
      <c r="BJ1215" s="279">
        <f>BJ1238/BJ1245*100</f>
        <v>0</v>
      </c>
      <c r="BL1215" s="279" t="e">
        <f>BL1238/BL1245*100</f>
        <v>#DIV/0!</v>
      </c>
      <c r="BM1215" s="279" t="e">
        <f>BM1238/BM1245*100</f>
        <v>#DIV/0!</v>
      </c>
      <c r="BO1215" s="279" t="e">
        <f>BO1238/BO1245*100</f>
        <v>#DIV/0!</v>
      </c>
      <c r="BP1215" s="279" t="e">
        <f>BP1238/BP1245*100</f>
        <v>#DIV/0!</v>
      </c>
      <c r="BR1215" s="279" t="e">
        <f>BR1238/BR1245*100</f>
        <v>#DIV/0!</v>
      </c>
      <c r="BS1215" s="279" t="e">
        <f>BS1238/BS1245*100</f>
        <v>#DIV/0!</v>
      </c>
      <c r="BU1215" s="279" t="e">
        <f>BU1238/BU1245*100</f>
        <v>#DIV/0!</v>
      </c>
      <c r="BV1215" s="279" t="e">
        <f>BV1238/BV1245*100</f>
        <v>#DIV/0!</v>
      </c>
      <c r="BX1215" s="279" t="e">
        <f>BX1238/BX1245*100</f>
        <v>#DIV/0!</v>
      </c>
      <c r="BY1215" s="279" t="e">
        <f>BY1238/BY1245*100</f>
        <v>#DIV/0!</v>
      </c>
      <c r="CA1215" s="279" t="e">
        <f>CA1238/CA1245*100</f>
        <v>#DIV/0!</v>
      </c>
      <c r="CB1215" s="279" t="e">
        <f>CB1238/CB1245*100</f>
        <v>#DIV/0!</v>
      </c>
      <c r="CD1215" s="279" t="e">
        <f>CD1238/CD1245*100</f>
        <v>#DIV/0!</v>
      </c>
      <c r="CE1215" s="279" t="e">
        <f>CE1238/CE1245*100</f>
        <v>#DIV/0!</v>
      </c>
      <c r="CG1215" s="279" t="e">
        <f>CG1238/CG1245*100</f>
        <v>#DIV/0!</v>
      </c>
      <c r="CH1215" s="279" t="e">
        <f>CH1238/CH1245*100</f>
        <v>#DIV/0!</v>
      </c>
      <c r="CJ1215" s="279" t="e">
        <f>CJ1238/CJ1245*100</f>
        <v>#DIV/0!</v>
      </c>
      <c r="CK1215" s="279" t="e">
        <f>CK1238/CK1245*100</f>
        <v>#DIV/0!</v>
      </c>
    </row>
    <row r="1216" spans="1:89" hidden="1" x14ac:dyDescent="0.25">
      <c r="A1216" s="95"/>
      <c r="B1216" s="96" t="s">
        <v>1711</v>
      </c>
      <c r="C1216" s="95"/>
      <c r="D1216" s="95" t="s">
        <v>8</v>
      </c>
      <c r="E1216" s="279"/>
      <c r="F1216" s="279"/>
      <c r="G1216" s="279"/>
      <c r="H1216" s="279"/>
      <c r="I1216" s="279">
        <f t="shared" si="1587"/>
        <v>0</v>
      </c>
      <c r="J1216" s="279">
        <f t="shared" si="1587"/>
        <v>0</v>
      </c>
      <c r="K1216" s="279">
        <f t="shared" si="1587"/>
        <v>0</v>
      </c>
      <c r="L1216" s="279">
        <f t="shared" ref="L1216" si="1591">L1239/L1246*100</f>
        <v>0</v>
      </c>
      <c r="M1216" s="279">
        <f t="shared" si="1588"/>
        <v>0</v>
      </c>
      <c r="N1216" s="279">
        <f t="shared" ref="N1216" si="1592">N1239/N1246*100</f>
        <v>0</v>
      </c>
      <c r="Q1216" s="279" t="e">
        <f t="shared" si="1590"/>
        <v>#DIV/0!</v>
      </c>
      <c r="R1216" s="279">
        <f t="shared" si="1590"/>
        <v>0</v>
      </c>
      <c r="S1216" s="279" t="e">
        <f t="shared" si="1590"/>
        <v>#DIV/0!</v>
      </c>
      <c r="T1216" s="279" t="e">
        <f t="shared" si="1590"/>
        <v>#DIV/0!</v>
      </c>
      <c r="V1216" s="279" t="e">
        <f>V1239/V1246*100</f>
        <v>#DIV/0!</v>
      </c>
      <c r="W1216" s="279" t="e">
        <f>W1239/W1246*100</f>
        <v>#DIV/0!</v>
      </c>
      <c r="Y1216" s="279" t="e">
        <f>Y1239/Y1246*100</f>
        <v>#DIV/0!</v>
      </c>
      <c r="Z1216" s="279" t="e">
        <f>Z1239/Z1246*100</f>
        <v>#DIV/0!</v>
      </c>
      <c r="AB1216" s="279" t="e">
        <f>AB1239/AB1246*100</f>
        <v>#DIV/0!</v>
      </c>
      <c r="AC1216" s="279" t="e">
        <f>AC1239/AC1246*100</f>
        <v>#DIV/0!</v>
      </c>
      <c r="AE1216" s="279" t="e">
        <f>AE1239/AE1246*100</f>
        <v>#DIV/0!</v>
      </c>
      <c r="AF1216" s="279" t="e">
        <f>AF1239/AF1246*100</f>
        <v>#DIV/0!</v>
      </c>
      <c r="AH1216" s="279" t="e">
        <f>AH1239/AH1246*100</f>
        <v>#DIV/0!</v>
      </c>
      <c r="AI1216" s="279" t="e">
        <f>AI1239/AI1246*100</f>
        <v>#DIV/0!</v>
      </c>
      <c r="AK1216" s="279" t="e">
        <f>AK1239/AK1246*100</f>
        <v>#DIV/0!</v>
      </c>
      <c r="AL1216" s="279" t="e">
        <f>AL1239/AL1246*100</f>
        <v>#DIV/0!</v>
      </c>
      <c r="AN1216" s="279" t="e">
        <f>AN1239/AN1246*100</f>
        <v>#DIV/0!</v>
      </c>
      <c r="AO1216" s="279" t="e">
        <f>AO1239/AO1246*100</f>
        <v>#DIV/0!</v>
      </c>
      <c r="AQ1216" s="279" t="e">
        <f>AQ1239/AQ1246*100</f>
        <v>#DIV/0!</v>
      </c>
      <c r="AR1216" s="279" t="e">
        <f>AR1239/AR1246*100</f>
        <v>#DIV/0!</v>
      </c>
      <c r="AT1216" s="279" t="e">
        <f>AT1239/AT1246*100</f>
        <v>#DIV/0!</v>
      </c>
      <c r="AU1216" s="279" t="e">
        <f>AU1239/AU1246*100</f>
        <v>#DIV/0!</v>
      </c>
      <c r="AW1216" s="279" t="e">
        <f>AW1239/AW1246*100</f>
        <v>#DIV/0!</v>
      </c>
      <c r="AX1216" s="279" t="e">
        <f>AX1239/AX1246*100</f>
        <v>#DIV/0!</v>
      </c>
      <c r="AZ1216" s="279" t="e">
        <f>AZ1239/AZ1246*100</f>
        <v>#DIV/0!</v>
      </c>
      <c r="BA1216" s="279" t="e">
        <f>BA1239/BA1246*100</f>
        <v>#DIV/0!</v>
      </c>
      <c r="BC1216" s="279" t="e">
        <f>BC1239/BC1246*100</f>
        <v>#DIV/0!</v>
      </c>
      <c r="BD1216" s="279">
        <f>BD1239/BD1246*100</f>
        <v>0</v>
      </c>
      <c r="BF1216" s="279" t="e">
        <f>BF1239/BF1246*100</f>
        <v>#DIV/0!</v>
      </c>
      <c r="BG1216" s="279" t="e">
        <f>BG1239/BG1246*100</f>
        <v>#DIV/0!</v>
      </c>
      <c r="BI1216" s="279" t="e">
        <f>BI1239/BI1246*100</f>
        <v>#DIV/0!</v>
      </c>
      <c r="BJ1216" s="279">
        <f>BJ1239/BJ1246*100</f>
        <v>0</v>
      </c>
      <c r="BL1216" s="279" t="e">
        <f>BL1239/BL1246*100</f>
        <v>#DIV/0!</v>
      </c>
      <c r="BM1216" s="279" t="e">
        <f>BM1239/BM1246*100</f>
        <v>#DIV/0!</v>
      </c>
      <c r="BO1216" s="279" t="e">
        <f>BO1239/BO1246*100</f>
        <v>#DIV/0!</v>
      </c>
      <c r="BP1216" s="279" t="e">
        <f>BP1239/BP1246*100</f>
        <v>#DIV/0!</v>
      </c>
      <c r="BR1216" s="279" t="e">
        <f>BR1239/BR1246*100</f>
        <v>#DIV/0!</v>
      </c>
      <c r="BS1216" s="279" t="e">
        <f>BS1239/BS1246*100</f>
        <v>#DIV/0!</v>
      </c>
      <c r="BU1216" s="279" t="e">
        <f>BU1239/BU1246*100</f>
        <v>#DIV/0!</v>
      </c>
      <c r="BV1216" s="279" t="e">
        <f>BV1239/BV1246*100</f>
        <v>#DIV/0!</v>
      </c>
      <c r="BX1216" s="279" t="e">
        <f>BX1239/BX1246*100</f>
        <v>#DIV/0!</v>
      </c>
      <c r="BY1216" s="279" t="e">
        <f>BY1239/BY1246*100</f>
        <v>#DIV/0!</v>
      </c>
      <c r="CA1216" s="279" t="e">
        <f>CA1239/CA1246*100</f>
        <v>#DIV/0!</v>
      </c>
      <c r="CB1216" s="279" t="e">
        <f>CB1239/CB1246*100</f>
        <v>#DIV/0!</v>
      </c>
      <c r="CD1216" s="279" t="e">
        <f>CD1239/CD1246*100</f>
        <v>#DIV/0!</v>
      </c>
      <c r="CE1216" s="279" t="e">
        <f>CE1239/CE1246*100</f>
        <v>#DIV/0!</v>
      </c>
      <c r="CG1216" s="279" t="e">
        <f>CG1239/CG1246*100</f>
        <v>#DIV/0!</v>
      </c>
      <c r="CH1216" s="279" t="e">
        <f>CH1239/CH1246*100</f>
        <v>#DIV/0!</v>
      </c>
      <c r="CJ1216" s="279" t="e">
        <f>CJ1239/CJ1246*100</f>
        <v>#DIV/0!</v>
      </c>
      <c r="CK1216" s="279" t="e">
        <f>CK1239/CK1246*100</f>
        <v>#DIV/0!</v>
      </c>
    </row>
    <row r="1217" spans="1:89" hidden="1" x14ac:dyDescent="0.25">
      <c r="A1217" s="95"/>
      <c r="B1217" s="96" t="s">
        <v>2412</v>
      </c>
      <c r="C1217" s="95"/>
      <c r="D1217" s="95"/>
      <c r="E1217" s="279"/>
      <c r="F1217" s="279"/>
      <c r="G1217" s="279"/>
      <c r="H1217" s="279"/>
      <c r="I1217" s="279"/>
      <c r="J1217" s="279"/>
      <c r="K1217" s="279"/>
      <c r="L1217" s="279"/>
      <c r="M1217" s="279"/>
      <c r="N1217" s="279"/>
      <c r="Q1217" s="279"/>
      <c r="R1217" s="279"/>
      <c r="S1217" s="279"/>
      <c r="T1217" s="279"/>
      <c r="V1217" s="279"/>
      <c r="W1217" s="279"/>
      <c r="Y1217" s="279"/>
      <c r="Z1217" s="279"/>
      <c r="AB1217" s="279"/>
      <c r="AC1217" s="279"/>
      <c r="AE1217" s="279"/>
      <c r="AF1217" s="279"/>
      <c r="AH1217" s="279"/>
      <c r="AI1217" s="279"/>
      <c r="AK1217" s="279"/>
      <c r="AL1217" s="279"/>
      <c r="AN1217" s="279"/>
      <c r="AO1217" s="279"/>
      <c r="AQ1217" s="279"/>
      <c r="AR1217" s="279"/>
      <c r="AT1217" s="279"/>
      <c r="AU1217" s="279"/>
      <c r="AW1217" s="279"/>
      <c r="AX1217" s="279"/>
      <c r="AZ1217" s="279"/>
      <c r="BA1217" s="279"/>
      <c r="BC1217" s="279"/>
      <c r="BD1217" s="279"/>
      <c r="BF1217" s="279"/>
      <c r="BG1217" s="279"/>
      <c r="BI1217" s="279"/>
      <c r="BJ1217" s="279"/>
      <c r="BL1217" s="279"/>
      <c r="BM1217" s="279"/>
      <c r="BO1217" s="279"/>
      <c r="BP1217" s="279"/>
      <c r="BR1217" s="279"/>
      <c r="BS1217" s="279"/>
      <c r="BU1217" s="279"/>
      <c r="BV1217" s="279"/>
      <c r="BX1217" s="279"/>
      <c r="BY1217" s="279"/>
      <c r="CA1217" s="279"/>
      <c r="CB1217" s="279"/>
      <c r="CD1217" s="279"/>
      <c r="CE1217" s="279"/>
      <c r="CG1217" s="279"/>
      <c r="CH1217" s="279"/>
      <c r="CJ1217" s="279"/>
      <c r="CK1217" s="279"/>
    </row>
    <row r="1218" spans="1:89" hidden="1" x14ac:dyDescent="0.25">
      <c r="A1218" s="95"/>
      <c r="B1218" s="96" t="s">
        <v>1710</v>
      </c>
      <c r="C1218" s="95"/>
      <c r="D1218" s="95" t="s">
        <v>8</v>
      </c>
      <c r="E1218" s="279"/>
      <c r="F1218" s="279"/>
      <c r="G1218" s="279"/>
      <c r="H1218" s="279"/>
      <c r="I1218" s="279" t="e">
        <f t="shared" ref="I1218:K1219" si="1593">I1241/I1248*100</f>
        <v>#DIV/0!</v>
      </c>
      <c r="J1218" s="279" t="e">
        <f t="shared" si="1593"/>
        <v>#DIV/0!</v>
      </c>
      <c r="K1218" s="279" t="e">
        <f t="shared" si="1593"/>
        <v>#DIV/0!</v>
      </c>
      <c r="L1218" s="279" t="e">
        <f t="shared" ref="L1218:M1219" si="1594">L1241/L1248*100</f>
        <v>#DIV/0!</v>
      </c>
      <c r="M1218" s="279" t="e">
        <f t="shared" si="1594"/>
        <v>#DIV/0!</v>
      </c>
      <c r="N1218" s="279" t="e">
        <f t="shared" ref="N1218" si="1595">N1241/N1248*100</f>
        <v>#DIV/0!</v>
      </c>
      <c r="Q1218" s="279" t="e">
        <f t="shared" ref="Q1218:T1219" si="1596">Q1241/Q1248*100</f>
        <v>#DIV/0!</v>
      </c>
      <c r="R1218" s="279" t="e">
        <f t="shared" si="1596"/>
        <v>#DIV/0!</v>
      </c>
      <c r="S1218" s="279" t="e">
        <f t="shared" si="1596"/>
        <v>#DIV/0!</v>
      </c>
      <c r="T1218" s="279" t="e">
        <f t="shared" si="1596"/>
        <v>#DIV/0!</v>
      </c>
      <c r="V1218" s="279" t="e">
        <f>V1241/V1248*100</f>
        <v>#DIV/0!</v>
      </c>
      <c r="W1218" s="279" t="e">
        <f>W1241/W1248*100</f>
        <v>#DIV/0!</v>
      </c>
      <c r="Y1218" s="279" t="e">
        <f>Y1241/Y1248*100</f>
        <v>#DIV/0!</v>
      </c>
      <c r="Z1218" s="279" t="e">
        <f>Z1241/Z1248*100</f>
        <v>#DIV/0!</v>
      </c>
      <c r="AB1218" s="279" t="e">
        <f>AB1241/AB1248*100</f>
        <v>#DIV/0!</v>
      </c>
      <c r="AC1218" s="279" t="e">
        <f>AC1241/AC1248*100</f>
        <v>#DIV/0!</v>
      </c>
      <c r="AE1218" s="279" t="e">
        <f>AE1241/AE1248*100</f>
        <v>#DIV/0!</v>
      </c>
      <c r="AF1218" s="279" t="e">
        <f>AF1241/AF1248*100</f>
        <v>#DIV/0!</v>
      </c>
      <c r="AH1218" s="279" t="e">
        <f>AH1241/AH1248*100</f>
        <v>#DIV/0!</v>
      </c>
      <c r="AI1218" s="279" t="e">
        <f>AI1241/AI1248*100</f>
        <v>#DIV/0!</v>
      </c>
      <c r="AK1218" s="279" t="e">
        <f>AK1241/AK1248*100</f>
        <v>#DIV/0!</v>
      </c>
      <c r="AL1218" s="279" t="e">
        <f>AL1241/AL1248*100</f>
        <v>#DIV/0!</v>
      </c>
      <c r="AN1218" s="279" t="e">
        <f>AN1241/AN1248*100</f>
        <v>#DIV/0!</v>
      </c>
      <c r="AO1218" s="279" t="e">
        <f>AO1241/AO1248*100</f>
        <v>#DIV/0!</v>
      </c>
      <c r="AQ1218" s="279" t="e">
        <f>AQ1241/AQ1248*100</f>
        <v>#DIV/0!</v>
      </c>
      <c r="AR1218" s="279" t="e">
        <f>AR1241/AR1248*100</f>
        <v>#DIV/0!</v>
      </c>
      <c r="AT1218" s="279" t="e">
        <f>AT1241/AT1248*100</f>
        <v>#DIV/0!</v>
      </c>
      <c r="AU1218" s="279" t="e">
        <f>AU1241/AU1248*100</f>
        <v>#DIV/0!</v>
      </c>
      <c r="AW1218" s="279" t="e">
        <f>AW1241/AW1248*100</f>
        <v>#DIV/0!</v>
      </c>
      <c r="AX1218" s="279" t="e">
        <f>AX1241/AX1248*100</f>
        <v>#DIV/0!</v>
      </c>
      <c r="AZ1218" s="279" t="e">
        <f>AZ1241/AZ1248*100</f>
        <v>#DIV/0!</v>
      </c>
      <c r="BA1218" s="279" t="e">
        <f>BA1241/BA1248*100</f>
        <v>#DIV/0!</v>
      </c>
      <c r="BC1218" s="279" t="e">
        <f>BC1241/BC1248*100</f>
        <v>#DIV/0!</v>
      </c>
      <c r="BD1218" s="279" t="e">
        <f>BD1241/BD1248*100</f>
        <v>#DIV/0!</v>
      </c>
      <c r="BF1218" s="279" t="e">
        <f>BF1241/BF1248*100</f>
        <v>#DIV/0!</v>
      </c>
      <c r="BG1218" s="279" t="e">
        <f>BG1241/BG1248*100</f>
        <v>#DIV/0!</v>
      </c>
      <c r="BI1218" s="279" t="e">
        <f>BI1241/BI1248*100</f>
        <v>#DIV/0!</v>
      </c>
      <c r="BJ1218" s="279" t="e">
        <f>BJ1241/BJ1248*100</f>
        <v>#DIV/0!</v>
      </c>
      <c r="BL1218" s="279" t="e">
        <f>BL1241/BL1248*100</f>
        <v>#DIV/0!</v>
      </c>
      <c r="BM1218" s="279" t="e">
        <f>BM1241/BM1248*100</f>
        <v>#DIV/0!</v>
      </c>
      <c r="BO1218" s="279" t="e">
        <f>BO1241/BO1248*100</f>
        <v>#DIV/0!</v>
      </c>
      <c r="BP1218" s="279" t="e">
        <f>BP1241/BP1248*100</f>
        <v>#DIV/0!</v>
      </c>
      <c r="BR1218" s="279" t="e">
        <f>BR1241/BR1248*100</f>
        <v>#DIV/0!</v>
      </c>
      <c r="BS1218" s="279" t="e">
        <f>BS1241/BS1248*100</f>
        <v>#DIV/0!</v>
      </c>
      <c r="BU1218" s="279" t="e">
        <f>BU1241/BU1248*100</f>
        <v>#DIV/0!</v>
      </c>
      <c r="BV1218" s="279" t="e">
        <f>BV1241/BV1248*100</f>
        <v>#DIV/0!</v>
      </c>
      <c r="BX1218" s="279" t="e">
        <f>BX1241/BX1248*100</f>
        <v>#DIV/0!</v>
      </c>
      <c r="BY1218" s="279" t="e">
        <f>BY1241/BY1248*100</f>
        <v>#DIV/0!</v>
      </c>
      <c r="CA1218" s="279" t="e">
        <f>CA1241/CA1248*100</f>
        <v>#DIV/0!</v>
      </c>
      <c r="CB1218" s="279" t="e">
        <f>CB1241/CB1248*100</f>
        <v>#DIV/0!</v>
      </c>
      <c r="CD1218" s="279" t="e">
        <f>CD1241/CD1248*100</f>
        <v>#DIV/0!</v>
      </c>
      <c r="CE1218" s="279" t="e">
        <f>CE1241/CE1248*100</f>
        <v>#DIV/0!</v>
      </c>
      <c r="CG1218" s="279" t="e">
        <f>CG1241/CG1248*100</f>
        <v>#DIV/0!</v>
      </c>
      <c r="CH1218" s="279" t="e">
        <f>CH1241/CH1248*100</f>
        <v>#DIV/0!</v>
      </c>
      <c r="CJ1218" s="279" t="e">
        <f>CJ1241/CJ1248*100</f>
        <v>#DIV/0!</v>
      </c>
      <c r="CK1218" s="279" t="e">
        <f>CK1241/CK1248*100</f>
        <v>#DIV/0!</v>
      </c>
    </row>
    <row r="1219" spans="1:89" hidden="1" x14ac:dyDescent="0.25">
      <c r="A1219" s="95"/>
      <c r="B1219" s="96" t="s">
        <v>1711</v>
      </c>
      <c r="C1219" s="95"/>
      <c r="D1219" s="95" t="s">
        <v>8</v>
      </c>
      <c r="E1219" s="279"/>
      <c r="F1219" s="279"/>
      <c r="G1219" s="279"/>
      <c r="H1219" s="279"/>
      <c r="I1219" s="279" t="e">
        <f t="shared" si="1593"/>
        <v>#DIV/0!</v>
      </c>
      <c r="J1219" s="279" t="e">
        <f t="shared" si="1593"/>
        <v>#DIV/0!</v>
      </c>
      <c r="K1219" s="279" t="e">
        <f t="shared" si="1593"/>
        <v>#DIV/0!</v>
      </c>
      <c r="L1219" s="279" t="e">
        <f t="shared" ref="L1219" si="1597">L1242/L1249*100</f>
        <v>#DIV/0!</v>
      </c>
      <c r="M1219" s="279" t="e">
        <f t="shared" si="1594"/>
        <v>#DIV/0!</v>
      </c>
      <c r="N1219" s="279" t="e">
        <f t="shared" ref="N1219" si="1598">N1242/N1249*100</f>
        <v>#DIV/0!</v>
      </c>
      <c r="Q1219" s="279" t="e">
        <f t="shared" si="1596"/>
        <v>#DIV/0!</v>
      </c>
      <c r="R1219" s="279" t="e">
        <f t="shared" si="1596"/>
        <v>#DIV/0!</v>
      </c>
      <c r="S1219" s="279" t="e">
        <f t="shared" si="1596"/>
        <v>#DIV/0!</v>
      </c>
      <c r="T1219" s="279" t="e">
        <f t="shared" si="1596"/>
        <v>#DIV/0!</v>
      </c>
      <c r="V1219" s="279" t="e">
        <f>V1242/V1249*100</f>
        <v>#DIV/0!</v>
      </c>
      <c r="W1219" s="279" t="e">
        <f>W1242/W1249*100</f>
        <v>#DIV/0!</v>
      </c>
      <c r="Y1219" s="279" t="e">
        <f>Y1242/Y1249*100</f>
        <v>#DIV/0!</v>
      </c>
      <c r="Z1219" s="279" t="e">
        <f>Z1242/Z1249*100</f>
        <v>#DIV/0!</v>
      </c>
      <c r="AB1219" s="279" t="e">
        <f>AB1242/AB1249*100</f>
        <v>#DIV/0!</v>
      </c>
      <c r="AC1219" s="279" t="e">
        <f>AC1242/AC1249*100</f>
        <v>#DIV/0!</v>
      </c>
      <c r="AE1219" s="279" t="e">
        <f>AE1242/AE1249*100</f>
        <v>#DIV/0!</v>
      </c>
      <c r="AF1219" s="279" t="e">
        <f>AF1242/AF1249*100</f>
        <v>#DIV/0!</v>
      </c>
      <c r="AH1219" s="279" t="e">
        <f>AH1242/AH1249*100</f>
        <v>#DIV/0!</v>
      </c>
      <c r="AI1219" s="279" t="e">
        <f>AI1242/AI1249*100</f>
        <v>#DIV/0!</v>
      </c>
      <c r="AK1219" s="279" t="e">
        <f>AK1242/AK1249*100</f>
        <v>#DIV/0!</v>
      </c>
      <c r="AL1219" s="279" t="e">
        <f>AL1242/AL1249*100</f>
        <v>#DIV/0!</v>
      </c>
      <c r="AN1219" s="279" t="e">
        <f>AN1242/AN1249*100</f>
        <v>#DIV/0!</v>
      </c>
      <c r="AO1219" s="279" t="e">
        <f>AO1242/AO1249*100</f>
        <v>#DIV/0!</v>
      </c>
      <c r="AQ1219" s="279" t="e">
        <f>AQ1242/AQ1249*100</f>
        <v>#DIV/0!</v>
      </c>
      <c r="AR1219" s="279" t="e">
        <f>AR1242/AR1249*100</f>
        <v>#DIV/0!</v>
      </c>
      <c r="AT1219" s="279" t="e">
        <f>AT1242/AT1249*100</f>
        <v>#DIV/0!</v>
      </c>
      <c r="AU1219" s="279" t="e">
        <f>AU1242/AU1249*100</f>
        <v>#DIV/0!</v>
      </c>
      <c r="AW1219" s="279" t="e">
        <f>AW1242/AW1249*100</f>
        <v>#DIV/0!</v>
      </c>
      <c r="AX1219" s="279" t="e">
        <f>AX1242/AX1249*100</f>
        <v>#DIV/0!</v>
      </c>
      <c r="AZ1219" s="279" t="e">
        <f>AZ1242/AZ1249*100</f>
        <v>#DIV/0!</v>
      </c>
      <c r="BA1219" s="279" t="e">
        <f>BA1242/BA1249*100</f>
        <v>#DIV/0!</v>
      </c>
      <c r="BC1219" s="279" t="e">
        <f>BC1242/BC1249*100</f>
        <v>#DIV/0!</v>
      </c>
      <c r="BD1219" s="279" t="e">
        <f>BD1242/BD1249*100</f>
        <v>#DIV/0!</v>
      </c>
      <c r="BF1219" s="279" t="e">
        <f>BF1242/BF1249*100</f>
        <v>#DIV/0!</v>
      </c>
      <c r="BG1219" s="279" t="e">
        <f>BG1242/BG1249*100</f>
        <v>#DIV/0!</v>
      </c>
      <c r="BI1219" s="279" t="e">
        <f>BI1242/BI1249*100</f>
        <v>#DIV/0!</v>
      </c>
      <c r="BJ1219" s="279" t="e">
        <f>BJ1242/BJ1249*100</f>
        <v>#DIV/0!</v>
      </c>
      <c r="BL1219" s="279" t="e">
        <f>BL1242/BL1249*100</f>
        <v>#DIV/0!</v>
      </c>
      <c r="BM1219" s="279" t="e">
        <f>BM1242/BM1249*100</f>
        <v>#DIV/0!</v>
      </c>
      <c r="BO1219" s="279" t="e">
        <f>BO1242/BO1249*100</f>
        <v>#DIV/0!</v>
      </c>
      <c r="BP1219" s="279" t="e">
        <f>BP1242/BP1249*100</f>
        <v>#DIV/0!</v>
      </c>
      <c r="BR1219" s="279" t="e">
        <f>BR1242/BR1249*100</f>
        <v>#DIV/0!</v>
      </c>
      <c r="BS1219" s="279" t="e">
        <f>BS1242/BS1249*100</f>
        <v>#DIV/0!</v>
      </c>
      <c r="BU1219" s="279" t="e">
        <f>BU1242/BU1249*100</f>
        <v>#DIV/0!</v>
      </c>
      <c r="BV1219" s="279" t="e">
        <f>BV1242/BV1249*100</f>
        <v>#DIV/0!</v>
      </c>
      <c r="BX1219" s="279" t="e">
        <f>BX1242/BX1249*100</f>
        <v>#DIV/0!</v>
      </c>
      <c r="BY1219" s="279" t="e">
        <f>BY1242/BY1249*100</f>
        <v>#DIV/0!</v>
      </c>
      <c r="CA1219" s="279" t="e">
        <f>CA1242/CA1249*100</f>
        <v>#DIV/0!</v>
      </c>
      <c r="CB1219" s="279" t="e">
        <f>CB1242/CB1249*100</f>
        <v>#DIV/0!</v>
      </c>
      <c r="CD1219" s="279" t="e">
        <f>CD1242/CD1249*100</f>
        <v>#DIV/0!</v>
      </c>
      <c r="CE1219" s="279" t="e">
        <f>CE1242/CE1249*100</f>
        <v>#DIV/0!</v>
      </c>
      <c r="CG1219" s="279" t="e">
        <f>CG1242/CG1249*100</f>
        <v>#DIV/0!</v>
      </c>
      <c r="CH1219" s="279" t="e">
        <f>CH1242/CH1249*100</f>
        <v>#DIV/0!</v>
      </c>
      <c r="CJ1219" s="279" t="e">
        <f>CJ1242/CJ1249*100</f>
        <v>#DIV/0!</v>
      </c>
      <c r="CK1219" s="279" t="e">
        <f>CK1242/CK1249*100</f>
        <v>#DIV/0!</v>
      </c>
    </row>
    <row r="1220" spans="1:89" hidden="1" x14ac:dyDescent="0.25">
      <c r="A1220" s="95"/>
      <c r="B1220" s="96" t="s">
        <v>2409</v>
      </c>
      <c r="C1220" s="95"/>
      <c r="D1220" s="95"/>
      <c r="E1220" s="279"/>
      <c r="F1220" s="279"/>
      <c r="G1220" s="279"/>
      <c r="H1220" s="279"/>
      <c r="I1220" s="279"/>
      <c r="J1220" s="279"/>
      <c r="K1220" s="279"/>
      <c r="L1220" s="279"/>
      <c r="M1220" s="279"/>
      <c r="N1220" s="279"/>
    </row>
    <row r="1221" spans="1:89" ht="30" hidden="1" x14ac:dyDescent="0.25">
      <c r="A1221" s="95"/>
      <c r="B1221" s="96" t="s">
        <v>2403</v>
      </c>
      <c r="C1221" s="95"/>
      <c r="D1221" s="95"/>
      <c r="E1221" s="279"/>
      <c r="F1221" s="279"/>
      <c r="G1221" s="279"/>
      <c r="H1221" s="279"/>
      <c r="I1221" s="279"/>
      <c r="J1221" s="279"/>
      <c r="K1221" s="279"/>
      <c r="L1221" s="279"/>
      <c r="M1221" s="279"/>
      <c r="N1221" s="279"/>
    </row>
    <row r="1222" spans="1:89" hidden="1" x14ac:dyDescent="0.25">
      <c r="A1222" s="95"/>
      <c r="B1222" s="96" t="s">
        <v>2411</v>
      </c>
      <c r="C1222" s="95"/>
      <c r="D1222" s="95"/>
      <c r="E1222" s="279"/>
      <c r="F1222" s="279"/>
      <c r="G1222" s="279"/>
      <c r="H1222" s="279"/>
      <c r="I1222" s="279"/>
      <c r="J1222" s="279"/>
      <c r="K1222" s="279"/>
      <c r="L1222" s="279"/>
      <c r="M1222" s="279"/>
      <c r="N1222" s="279"/>
    </row>
    <row r="1223" spans="1:89" ht="30" hidden="1" x14ac:dyDescent="0.25">
      <c r="A1223" s="95"/>
      <c r="B1223" s="96" t="s">
        <v>1710</v>
      </c>
      <c r="C1223" s="95" t="s">
        <v>2404</v>
      </c>
      <c r="D1223" s="95" t="s">
        <v>8</v>
      </c>
      <c r="E1223" s="279"/>
      <c r="F1223" s="279"/>
      <c r="G1223" s="279"/>
      <c r="H1223" s="279"/>
      <c r="I1223" s="291">
        <v>52</v>
      </c>
      <c r="J1223" s="291">
        <v>18</v>
      </c>
      <c r="K1223" s="291">
        <v>18</v>
      </c>
      <c r="L1223" s="291">
        <v>18</v>
      </c>
      <c r="M1223" s="291">
        <v>18</v>
      </c>
      <c r="N1223" s="291">
        <v>18</v>
      </c>
      <c r="Q1223" s="296">
        <f>S1223+V1223+Y1223+AB1223+AE1223+AH1223+AK1223+AN1223+AQ1223+AT1223+AW1223+AZ1223+BC1223+BF1223+BI1223+BL1223+BO1223+BR1223+BU1223+BX1223+CA1223+CD1223+CG1223+CJ1223</f>
        <v>0</v>
      </c>
      <c r="R1223" s="296">
        <f>T1223+W1223+Z1223+AC1223+AF1223+AI1223+AL1223+AO1223+AR1223+AU1223+AX1223+BA1223+BD1223+BG1223+BJ1223+BM1223+BP1223+BS1223+BV1223+BY1223+CB1223+CE1223+CH1223+CK1223</f>
        <v>18</v>
      </c>
      <c r="T1223" s="267">
        <v>0</v>
      </c>
      <c r="W1223" s="267">
        <v>0</v>
      </c>
      <c r="Z1223" s="267">
        <v>0</v>
      </c>
      <c r="AC1223" s="267">
        <v>0</v>
      </c>
      <c r="AF1223" s="267">
        <v>0</v>
      </c>
      <c r="AI1223" s="267">
        <v>1</v>
      </c>
      <c r="AL1223" s="267">
        <v>9</v>
      </c>
      <c r="AO1223" s="267">
        <v>1</v>
      </c>
      <c r="AR1223" s="267">
        <v>0</v>
      </c>
      <c r="AU1223" s="267">
        <v>1</v>
      </c>
      <c r="AX1223" s="267">
        <v>0</v>
      </c>
      <c r="BA1223" s="267">
        <v>2</v>
      </c>
      <c r="BD1223" s="267">
        <v>0</v>
      </c>
      <c r="BG1223" s="267">
        <v>1</v>
      </c>
      <c r="BJ1223" s="267">
        <v>1</v>
      </c>
      <c r="BM1223" s="267">
        <v>2</v>
      </c>
      <c r="BP1223" s="267">
        <v>0</v>
      </c>
      <c r="BS1223" s="267">
        <v>0</v>
      </c>
      <c r="BV1223" s="267">
        <v>0</v>
      </c>
      <c r="BY1223" s="267">
        <v>0</v>
      </c>
      <c r="CB1223" s="267">
        <v>0</v>
      </c>
      <c r="CE1223" s="267">
        <v>0</v>
      </c>
      <c r="CH1223" s="267">
        <v>0</v>
      </c>
      <c r="CK1223" s="267">
        <v>0</v>
      </c>
    </row>
    <row r="1224" spans="1:89" ht="30" hidden="1" x14ac:dyDescent="0.25">
      <c r="A1224" s="95"/>
      <c r="B1224" s="96" t="s">
        <v>1711</v>
      </c>
      <c r="C1224" s="95" t="s">
        <v>2406</v>
      </c>
      <c r="D1224" s="95" t="s">
        <v>8</v>
      </c>
      <c r="E1224" s="279"/>
      <c r="F1224" s="279"/>
      <c r="G1224" s="279"/>
      <c r="H1224" s="279"/>
      <c r="I1224" s="291">
        <v>47</v>
      </c>
      <c r="J1224" s="291">
        <v>49</v>
      </c>
      <c r="K1224" s="291">
        <v>49</v>
      </c>
      <c r="L1224" s="291">
        <v>49</v>
      </c>
      <c r="M1224" s="291">
        <v>49</v>
      </c>
      <c r="N1224" s="291">
        <v>49</v>
      </c>
      <c r="Q1224" s="296">
        <f>S1224+V1224+Y1224+AB1224+AE1224+AH1224+AK1224+AN1224+AQ1224+AT1224+AW1224+AZ1224+BC1224+BF1224+BI1224+BL1224+BO1224+BR1224+BU1224+BX1224+CA1224+CD1224+CG1224+CJ1224</f>
        <v>0</v>
      </c>
      <c r="R1224" s="296">
        <f>T1224+W1224+Z1224+AC1224+AF1224+AI1224+AL1224+AO1224+AR1224+AU1224+AX1224+BA1224+BD1224+BG1224+BJ1224+BM1224+BP1224+BS1224+BV1224+BY1224+CB1224+CE1224+CH1224+CK1224</f>
        <v>49</v>
      </c>
      <c r="T1224" s="267">
        <v>0</v>
      </c>
      <c r="W1224" s="267">
        <v>8</v>
      </c>
      <c r="Z1224" s="267">
        <v>1</v>
      </c>
      <c r="AC1224" s="267">
        <v>0</v>
      </c>
      <c r="AF1224" s="267">
        <v>0</v>
      </c>
      <c r="AI1224" s="267">
        <v>1</v>
      </c>
      <c r="AL1224" s="267">
        <v>0</v>
      </c>
      <c r="AO1224" s="267">
        <v>3</v>
      </c>
      <c r="AR1224" s="267">
        <v>0</v>
      </c>
      <c r="AU1224" s="267">
        <v>4</v>
      </c>
      <c r="AX1224" s="267">
        <v>0</v>
      </c>
      <c r="BA1224" s="267">
        <v>0</v>
      </c>
      <c r="BD1224" s="267">
        <v>0</v>
      </c>
      <c r="BG1224" s="267">
        <v>3</v>
      </c>
      <c r="BJ1224" s="267">
        <v>14</v>
      </c>
      <c r="BM1224" s="267">
        <v>1</v>
      </c>
      <c r="BP1224" s="267">
        <v>9</v>
      </c>
      <c r="BS1224" s="267">
        <v>2</v>
      </c>
      <c r="BV1224" s="267">
        <v>2</v>
      </c>
      <c r="BY1224" s="267">
        <v>0</v>
      </c>
      <c r="CB1224" s="267">
        <v>1</v>
      </c>
      <c r="CE1224" s="267">
        <v>0</v>
      </c>
      <c r="CH1224" s="267">
        <v>0</v>
      </c>
      <c r="CK1224" s="267">
        <v>0</v>
      </c>
    </row>
    <row r="1225" spans="1:89" hidden="1" x14ac:dyDescent="0.25">
      <c r="A1225" s="95"/>
      <c r="B1225" s="96" t="s">
        <v>2412</v>
      </c>
      <c r="C1225" s="95"/>
      <c r="D1225" s="95"/>
      <c r="E1225" s="279"/>
      <c r="F1225" s="279"/>
      <c r="G1225" s="279"/>
      <c r="H1225" s="279"/>
      <c r="I1225" s="279"/>
      <c r="J1225" s="279"/>
      <c r="K1225" s="279"/>
      <c r="L1225" s="279"/>
      <c r="M1225" s="279"/>
      <c r="N1225" s="279"/>
    </row>
    <row r="1226" spans="1:89" ht="30" hidden="1" x14ac:dyDescent="0.25">
      <c r="A1226" s="95"/>
      <c r="B1226" s="96" t="s">
        <v>1710</v>
      </c>
      <c r="C1226" s="95" t="s">
        <v>2404</v>
      </c>
      <c r="D1226" s="95" t="s">
        <v>8</v>
      </c>
      <c r="E1226" s="279"/>
      <c r="F1226" s="279"/>
      <c r="G1226" s="279"/>
      <c r="H1226" s="279"/>
      <c r="I1226" s="291">
        <v>7</v>
      </c>
      <c r="J1226" s="291">
        <v>0</v>
      </c>
      <c r="K1226" s="291">
        <v>0</v>
      </c>
      <c r="L1226" s="291">
        <v>0</v>
      </c>
      <c r="M1226" s="291">
        <v>0</v>
      </c>
      <c r="N1226" s="291">
        <v>0</v>
      </c>
      <c r="Q1226" s="296">
        <f>S1226+V1226+Y1226+AB1226+AE1226+AH1226+AK1226+AN1226+AQ1226+AT1226+AW1226+AZ1226+BC1226+BF1226+BI1226+BL1226+BO1226+BR1226+BU1226+BX1226+CA1226+CD1226+CG1226+CJ1226</f>
        <v>0</v>
      </c>
      <c r="R1226" s="296">
        <f>T1226+W1226+Z1226+AC1226+AF1226+AI1226+AL1226+AO1226+AR1226+AU1226+AX1226+BA1226+BD1226+BG1226+BJ1226+BM1226+BP1226+BS1226+BV1226+BY1226+CB1226+CE1226+CH1226+CK1226</f>
        <v>0</v>
      </c>
      <c r="T1226" s="267">
        <v>0</v>
      </c>
      <c r="W1226" s="267">
        <v>0</v>
      </c>
      <c r="Z1226" s="267">
        <v>0</v>
      </c>
      <c r="AC1226" s="267">
        <v>0</v>
      </c>
      <c r="AF1226" s="267">
        <v>0</v>
      </c>
      <c r="AI1226" s="267">
        <v>0</v>
      </c>
      <c r="AL1226" s="267">
        <v>0</v>
      </c>
      <c r="AO1226" s="267">
        <v>0</v>
      </c>
      <c r="AR1226" s="267">
        <v>0</v>
      </c>
      <c r="AU1226" s="267">
        <v>0</v>
      </c>
      <c r="AX1226" s="267">
        <v>0</v>
      </c>
      <c r="BA1226" s="267">
        <v>0</v>
      </c>
      <c r="BD1226" s="267">
        <v>0</v>
      </c>
      <c r="BG1226" s="267">
        <v>0</v>
      </c>
      <c r="BJ1226" s="267">
        <v>0</v>
      </c>
      <c r="BM1226" s="267">
        <v>0</v>
      </c>
      <c r="BP1226" s="267">
        <v>0</v>
      </c>
      <c r="BS1226" s="267">
        <v>0</v>
      </c>
      <c r="BV1226" s="267">
        <v>0</v>
      </c>
      <c r="BY1226" s="267">
        <v>0</v>
      </c>
      <c r="CB1226" s="267">
        <v>0</v>
      </c>
      <c r="CE1226" s="267">
        <v>0</v>
      </c>
      <c r="CH1226" s="267">
        <v>0</v>
      </c>
      <c r="CK1226" s="267">
        <v>0</v>
      </c>
    </row>
    <row r="1227" spans="1:89" ht="30" hidden="1" x14ac:dyDescent="0.25">
      <c r="A1227" s="95"/>
      <c r="B1227" s="96" t="s">
        <v>1711</v>
      </c>
      <c r="C1227" s="95" t="s">
        <v>2406</v>
      </c>
      <c r="D1227" s="95" t="s">
        <v>8</v>
      </c>
      <c r="E1227" s="279"/>
      <c r="F1227" s="279"/>
      <c r="G1227" s="279"/>
      <c r="H1227" s="279"/>
      <c r="I1227" s="291">
        <v>4</v>
      </c>
      <c r="J1227" s="291">
        <v>2</v>
      </c>
      <c r="K1227" s="291">
        <v>2</v>
      </c>
      <c r="L1227" s="291">
        <v>2</v>
      </c>
      <c r="M1227" s="291">
        <v>2</v>
      </c>
      <c r="N1227" s="291">
        <v>2</v>
      </c>
      <c r="Q1227" s="296">
        <f>S1227+V1227+Y1227+AB1227+AE1227+AH1227+AK1227+AN1227+AQ1227+AT1227+AW1227+AZ1227+BC1227+BF1227+BI1227+BL1227+BO1227+BR1227+BU1227+BX1227+CA1227+CD1227+CG1227+CJ1227</f>
        <v>0</v>
      </c>
      <c r="R1227" s="296">
        <f>T1227+W1227+Z1227+AC1227+AF1227+AI1227+AL1227+AO1227+AR1227+AU1227+AX1227+BA1227+BD1227+BG1227+BJ1227+BM1227+BP1227+BS1227+BV1227+BY1227+CB1227+CE1227+CH1227+CK1227</f>
        <v>2</v>
      </c>
      <c r="T1227" s="267">
        <v>0</v>
      </c>
      <c r="W1227" s="267">
        <v>0</v>
      </c>
      <c r="Z1227" s="267">
        <v>1</v>
      </c>
      <c r="AC1227" s="267">
        <v>0</v>
      </c>
      <c r="AF1227" s="267">
        <v>0</v>
      </c>
      <c r="AI1227" s="267">
        <v>1</v>
      </c>
      <c r="AL1227" s="267">
        <v>0</v>
      </c>
      <c r="AO1227" s="267">
        <v>0</v>
      </c>
      <c r="AR1227" s="267">
        <v>0</v>
      </c>
      <c r="AU1227" s="267">
        <v>0</v>
      </c>
      <c r="AX1227" s="267">
        <v>0</v>
      </c>
      <c r="BA1227" s="267">
        <v>0</v>
      </c>
      <c r="BD1227" s="267">
        <v>0</v>
      </c>
      <c r="BG1227" s="267">
        <v>0</v>
      </c>
      <c r="BJ1227" s="267">
        <v>0</v>
      </c>
      <c r="BM1227" s="267">
        <v>0</v>
      </c>
      <c r="BP1227" s="267">
        <v>0</v>
      </c>
      <c r="BS1227" s="267">
        <v>0</v>
      </c>
      <c r="BV1227" s="267">
        <v>0</v>
      </c>
      <c r="BY1227" s="267">
        <v>0</v>
      </c>
      <c r="CB1227" s="267">
        <v>0</v>
      </c>
      <c r="CE1227" s="267">
        <v>0</v>
      </c>
      <c r="CH1227" s="267">
        <v>0</v>
      </c>
      <c r="CK1227" s="267">
        <v>0</v>
      </c>
    </row>
    <row r="1228" spans="1:89" ht="30" hidden="1" x14ac:dyDescent="0.25">
      <c r="A1228" s="95"/>
      <c r="B1228" s="96" t="s">
        <v>2405</v>
      </c>
      <c r="C1228" s="95"/>
      <c r="D1228" s="95"/>
      <c r="E1228" s="279"/>
      <c r="F1228" s="279"/>
      <c r="G1228" s="279"/>
      <c r="H1228" s="279"/>
      <c r="I1228" s="279"/>
      <c r="J1228" s="279"/>
      <c r="K1228" s="279"/>
      <c r="L1228" s="279"/>
      <c r="M1228" s="279"/>
      <c r="N1228" s="279"/>
    </row>
    <row r="1229" spans="1:89" hidden="1" x14ac:dyDescent="0.25">
      <c r="A1229" s="95"/>
      <c r="B1229" s="96" t="s">
        <v>2411</v>
      </c>
      <c r="C1229" s="95"/>
      <c r="D1229" s="95"/>
      <c r="E1229" s="279"/>
      <c r="F1229" s="279"/>
      <c r="G1229" s="279"/>
      <c r="H1229" s="279"/>
      <c r="I1229" s="279"/>
      <c r="J1229" s="279"/>
      <c r="K1229" s="279"/>
      <c r="L1229" s="279"/>
      <c r="M1229" s="279"/>
      <c r="N1229" s="279"/>
    </row>
    <row r="1230" spans="1:89" ht="30" hidden="1" x14ac:dyDescent="0.25">
      <c r="A1230" s="95"/>
      <c r="B1230" s="96" t="s">
        <v>1710</v>
      </c>
      <c r="C1230" s="95" t="s">
        <v>2407</v>
      </c>
      <c r="D1230" s="95" t="s">
        <v>8</v>
      </c>
      <c r="E1230" s="279"/>
      <c r="F1230" s="279"/>
      <c r="G1230" s="279"/>
      <c r="H1230" s="279"/>
      <c r="I1230" s="291">
        <v>15229</v>
      </c>
      <c r="J1230" s="291">
        <v>16544</v>
      </c>
      <c r="K1230" s="291">
        <v>16544</v>
      </c>
      <c r="L1230" s="291">
        <v>16544</v>
      </c>
      <c r="M1230" s="291">
        <v>16544</v>
      </c>
      <c r="N1230" s="291">
        <v>16544</v>
      </c>
      <c r="Q1230" s="296">
        <f>S1230+V1230+Y1230+AB1230+AE1230+AH1230+AK1230+AN1230+AQ1230+AT1230+AW1230+AZ1230+BC1230+BF1230+BI1230+BL1230+BO1230+BR1230+BU1230+BX1230+CA1230+CD1230+CG1230+CJ1230</f>
        <v>0</v>
      </c>
      <c r="R1230" s="296">
        <f>T1230+W1230+Z1230+AC1230+AF1230+AI1230+AL1230+AO1230+AR1230+AU1230+AX1230+BA1230+BD1230+BG1230+BJ1230+BM1230+BP1230+BS1230+BV1230+BY1230+CB1230+CE1230+CH1230+CK1230</f>
        <v>16544</v>
      </c>
      <c r="T1230" s="267">
        <v>218</v>
      </c>
      <c r="W1230" s="267">
        <v>199</v>
      </c>
      <c r="Z1230" s="267">
        <v>267</v>
      </c>
      <c r="AC1230" s="267">
        <v>243</v>
      </c>
      <c r="AF1230" s="267">
        <v>231</v>
      </c>
      <c r="AI1230" s="267">
        <v>227</v>
      </c>
      <c r="AL1230" s="267">
        <v>587</v>
      </c>
      <c r="AO1230" s="267">
        <v>1025</v>
      </c>
      <c r="AR1230" s="267">
        <v>0</v>
      </c>
      <c r="AU1230" s="267">
        <v>1032</v>
      </c>
      <c r="AX1230" s="267">
        <v>458</v>
      </c>
      <c r="BA1230" s="267">
        <v>660</v>
      </c>
      <c r="BD1230" s="267">
        <v>1169</v>
      </c>
      <c r="BG1230" s="267">
        <v>2767</v>
      </c>
      <c r="BJ1230" s="267">
        <v>3865</v>
      </c>
      <c r="BM1230" s="267">
        <v>480</v>
      </c>
      <c r="BP1230" s="267">
        <v>469</v>
      </c>
      <c r="BS1230" s="267">
        <v>725</v>
      </c>
      <c r="BV1230" s="267">
        <v>624</v>
      </c>
      <c r="BY1230" s="267">
        <v>189</v>
      </c>
      <c r="CB1230" s="267">
        <v>514</v>
      </c>
      <c r="CE1230" s="267">
        <v>431</v>
      </c>
      <c r="CH1230" s="267">
        <v>70</v>
      </c>
      <c r="CK1230" s="267">
        <v>94</v>
      </c>
    </row>
    <row r="1231" spans="1:89" ht="30" hidden="1" x14ac:dyDescent="0.25">
      <c r="A1231" s="95"/>
      <c r="B1231" s="96" t="s">
        <v>1711</v>
      </c>
      <c r="C1231" s="95" t="s">
        <v>2408</v>
      </c>
      <c r="D1231" s="95" t="s">
        <v>8</v>
      </c>
      <c r="E1231" s="279"/>
      <c r="F1231" s="279"/>
      <c r="G1231" s="279"/>
      <c r="H1231" s="279"/>
      <c r="I1231" s="291">
        <v>8086</v>
      </c>
      <c r="J1231" s="291">
        <v>8367</v>
      </c>
      <c r="K1231" s="291">
        <v>8367</v>
      </c>
      <c r="L1231" s="291">
        <v>8367</v>
      </c>
      <c r="M1231" s="291">
        <v>8367</v>
      </c>
      <c r="N1231" s="291">
        <v>8367</v>
      </c>
      <c r="Q1231" s="296">
        <f>S1231+V1231+Y1231+AB1231+AE1231+AH1231+AK1231+AN1231+AQ1231+AT1231+AW1231+AZ1231+BC1231+BF1231+BI1231+BL1231+BO1231+BR1231+BU1231+BX1231+CA1231+CD1231+CG1231+CJ1231</f>
        <v>0</v>
      </c>
      <c r="R1231" s="296">
        <f>T1231+W1231+Z1231+AC1231+AF1231+AI1231+AL1231+AO1231+AR1231+AU1231+AX1231+BA1231+BD1231+BG1231+BJ1231+BM1231+BP1231+BS1231+BV1231+BY1231+CB1231+CE1231+CH1231+CK1231</f>
        <v>8367</v>
      </c>
      <c r="T1231" s="267">
        <v>119</v>
      </c>
      <c r="W1231" s="267">
        <v>110</v>
      </c>
      <c r="Z1231" s="267">
        <v>114</v>
      </c>
      <c r="AC1231" s="267">
        <v>107</v>
      </c>
      <c r="AF1231" s="267">
        <v>97</v>
      </c>
      <c r="AI1231" s="267">
        <v>108</v>
      </c>
      <c r="AL1231" s="267">
        <v>194</v>
      </c>
      <c r="AO1231" s="267">
        <v>598</v>
      </c>
      <c r="AR1231" s="267">
        <v>0</v>
      </c>
      <c r="AU1231" s="267">
        <v>481</v>
      </c>
      <c r="AX1231" s="267">
        <v>216</v>
      </c>
      <c r="BA1231" s="267">
        <v>311</v>
      </c>
      <c r="BD1231" s="267">
        <v>581</v>
      </c>
      <c r="BG1231" s="267">
        <v>1440</v>
      </c>
      <c r="BJ1231" s="267">
        <v>2015</v>
      </c>
      <c r="BM1231" s="267">
        <v>269</v>
      </c>
      <c r="BP1231" s="267">
        <v>233</v>
      </c>
      <c r="BS1231" s="267">
        <v>381</v>
      </c>
      <c r="BV1231" s="267">
        <v>361</v>
      </c>
      <c r="BY1231" s="267">
        <v>79</v>
      </c>
      <c r="CB1231" s="267">
        <v>231</v>
      </c>
      <c r="CE1231" s="267">
        <v>193</v>
      </c>
      <c r="CH1231" s="267">
        <v>91</v>
      </c>
      <c r="CK1231" s="267">
        <v>38</v>
      </c>
    </row>
    <row r="1232" spans="1:89" hidden="1" x14ac:dyDescent="0.25">
      <c r="A1232" s="95"/>
      <c r="B1232" s="96" t="s">
        <v>2412</v>
      </c>
      <c r="C1232" s="95"/>
      <c r="D1232" s="95"/>
      <c r="E1232" s="279"/>
      <c r="F1232" s="279"/>
      <c r="G1232" s="279"/>
      <c r="H1232" s="279"/>
      <c r="I1232" s="279"/>
      <c r="J1232" s="279"/>
      <c r="K1232" s="279"/>
      <c r="L1232" s="279"/>
      <c r="M1232" s="279"/>
      <c r="N1232" s="279"/>
    </row>
    <row r="1233" spans="1:89" ht="30" hidden="1" x14ac:dyDescent="0.25">
      <c r="A1233" s="95"/>
      <c r="B1233" s="96" t="s">
        <v>1710</v>
      </c>
      <c r="C1233" s="95" t="s">
        <v>2407</v>
      </c>
      <c r="D1233" s="95" t="s">
        <v>8</v>
      </c>
      <c r="E1233" s="279"/>
      <c r="F1233" s="279"/>
      <c r="G1233" s="279"/>
      <c r="H1233" s="279"/>
      <c r="I1233" s="291">
        <v>1525</v>
      </c>
      <c r="J1233" s="291">
        <v>1631</v>
      </c>
      <c r="K1233" s="291">
        <v>1631</v>
      </c>
      <c r="L1233" s="291">
        <v>1631</v>
      </c>
      <c r="M1233" s="291">
        <v>1631</v>
      </c>
      <c r="N1233" s="291">
        <v>1631</v>
      </c>
      <c r="Q1233" s="296">
        <f>S1233+V1233+Y1233+AB1233+AE1233+AH1233+AK1233+AN1233+AQ1233+AT1233+AW1233+AZ1233+BC1233+BF1233+BI1233+BL1233+BO1233+BR1233+BU1233+BX1233+CA1233+CD1233+CG1233+CJ1233</f>
        <v>0</v>
      </c>
      <c r="R1233" s="296">
        <f>T1233+W1233+Z1233+AC1233+AF1233+AI1233+AL1233+AO1233+AR1233+AU1233+AX1233+BA1233+BD1233+BG1233+BJ1233+BM1233+BP1233+BS1233+BV1233+BY1233+CB1233+CE1233+CH1233+CK1233</f>
        <v>1631</v>
      </c>
      <c r="T1233" s="267">
        <v>108</v>
      </c>
      <c r="W1233" s="267">
        <v>128</v>
      </c>
      <c r="Z1233" s="267">
        <v>157</v>
      </c>
      <c r="AC1233" s="267">
        <v>190</v>
      </c>
      <c r="AF1233" s="267">
        <v>118</v>
      </c>
      <c r="AI1233" s="267">
        <v>195</v>
      </c>
      <c r="AL1233" s="267">
        <v>23</v>
      </c>
      <c r="AO1233" s="267">
        <v>487</v>
      </c>
      <c r="AR1233" s="267">
        <v>184</v>
      </c>
      <c r="AU1233" s="267">
        <v>0</v>
      </c>
      <c r="AX1233" s="267">
        <v>0</v>
      </c>
      <c r="BA1233" s="267">
        <v>0</v>
      </c>
      <c r="BD1233" s="267">
        <v>0</v>
      </c>
      <c r="BG1233" s="267">
        <v>0</v>
      </c>
      <c r="BJ1233" s="267">
        <v>0</v>
      </c>
      <c r="BM1233" s="267">
        <v>0</v>
      </c>
      <c r="BP1233" s="267">
        <v>0</v>
      </c>
      <c r="BS1233" s="267">
        <v>0</v>
      </c>
      <c r="BV1233" s="267">
        <v>0</v>
      </c>
      <c r="BY1233" s="267">
        <v>0</v>
      </c>
      <c r="CB1233" s="267">
        <v>0</v>
      </c>
      <c r="CE1233" s="267">
        <v>0</v>
      </c>
      <c r="CH1233" s="267">
        <v>41</v>
      </c>
      <c r="CK1233" s="267">
        <v>0</v>
      </c>
    </row>
    <row r="1234" spans="1:89" ht="30" hidden="1" x14ac:dyDescent="0.25">
      <c r="A1234" s="95"/>
      <c r="B1234" s="96" t="s">
        <v>1711</v>
      </c>
      <c r="C1234" s="95" t="s">
        <v>2408</v>
      </c>
      <c r="D1234" s="95" t="s">
        <v>8</v>
      </c>
      <c r="E1234" s="279"/>
      <c r="F1234" s="279"/>
      <c r="G1234" s="279"/>
      <c r="H1234" s="279"/>
      <c r="I1234" s="291">
        <v>699</v>
      </c>
      <c r="J1234" s="291">
        <v>670</v>
      </c>
      <c r="K1234" s="291">
        <v>670</v>
      </c>
      <c r="L1234" s="291">
        <v>670</v>
      </c>
      <c r="M1234" s="291">
        <v>670</v>
      </c>
      <c r="N1234" s="291">
        <v>670</v>
      </c>
      <c r="Q1234" s="296">
        <f>S1234+V1234+Y1234+AB1234+AE1234+AH1234+AK1234+AN1234+AQ1234+AT1234+AW1234+AZ1234+BC1234+BF1234+BI1234+BL1234+BO1234+BR1234+BU1234+BX1234+CA1234+CD1234+CG1234+CJ1234</f>
        <v>0</v>
      </c>
      <c r="R1234" s="296">
        <f>T1234+W1234+Z1234+AC1234+AF1234+AI1234+AL1234+AO1234+AR1234+AU1234+AX1234+BA1234+BD1234+BG1234+BJ1234+BM1234+BP1234+BS1234+BV1234+BY1234+CB1234+CE1234+CH1234+CK1234</f>
        <v>670</v>
      </c>
      <c r="T1234" s="267">
        <v>52</v>
      </c>
      <c r="W1234" s="267">
        <v>66</v>
      </c>
      <c r="Z1234" s="267">
        <v>52</v>
      </c>
      <c r="AC1234" s="267">
        <v>97</v>
      </c>
      <c r="AF1234" s="267">
        <v>46</v>
      </c>
      <c r="AI1234" s="267">
        <v>93</v>
      </c>
      <c r="AL1234" s="267">
        <v>12</v>
      </c>
      <c r="AO1234" s="267">
        <v>183</v>
      </c>
      <c r="AR1234" s="267">
        <v>69</v>
      </c>
      <c r="AU1234" s="267">
        <v>0</v>
      </c>
      <c r="AX1234" s="267">
        <v>0</v>
      </c>
      <c r="BA1234" s="267">
        <v>0</v>
      </c>
      <c r="BD1234" s="267">
        <v>0</v>
      </c>
      <c r="BG1234" s="267">
        <v>0</v>
      </c>
      <c r="BJ1234" s="267">
        <v>0</v>
      </c>
      <c r="BM1234" s="267">
        <v>0</v>
      </c>
      <c r="BP1234" s="267">
        <v>0</v>
      </c>
      <c r="BS1234" s="267">
        <v>0</v>
      </c>
      <c r="BV1234" s="267">
        <v>0</v>
      </c>
      <c r="BY1234" s="267">
        <v>0</v>
      </c>
      <c r="CB1234" s="267">
        <v>0</v>
      </c>
      <c r="CE1234" s="267">
        <v>0</v>
      </c>
      <c r="CH1234" s="267">
        <v>0</v>
      </c>
      <c r="CK1234" s="267">
        <v>0</v>
      </c>
    </row>
    <row r="1235" spans="1:89" hidden="1" x14ac:dyDescent="0.25">
      <c r="A1235" s="95"/>
      <c r="B1235" s="96" t="s">
        <v>2413</v>
      </c>
      <c r="C1235" s="95"/>
      <c r="D1235" s="95"/>
      <c r="E1235" s="279"/>
      <c r="F1235" s="279"/>
      <c r="G1235" s="279"/>
      <c r="H1235" s="279"/>
      <c r="I1235" s="279"/>
      <c r="J1235" s="279"/>
      <c r="K1235" s="279"/>
      <c r="L1235" s="279"/>
      <c r="M1235" s="279"/>
      <c r="N1235" s="279"/>
    </row>
    <row r="1236" spans="1:89" ht="30" hidden="1" x14ac:dyDescent="0.25">
      <c r="A1236" s="95"/>
      <c r="B1236" s="96" t="s">
        <v>2403</v>
      </c>
      <c r="C1236" s="95"/>
      <c r="D1236" s="95"/>
      <c r="E1236" s="279"/>
      <c r="F1236" s="279"/>
      <c r="G1236" s="279"/>
      <c r="H1236" s="279"/>
      <c r="I1236" s="279"/>
      <c r="J1236" s="279"/>
      <c r="K1236" s="279"/>
      <c r="L1236" s="279"/>
      <c r="M1236" s="279"/>
      <c r="N1236" s="279"/>
    </row>
    <row r="1237" spans="1:89" hidden="1" x14ac:dyDescent="0.25">
      <c r="A1237" s="95"/>
      <c r="B1237" s="96" t="s">
        <v>2411</v>
      </c>
      <c r="C1237" s="95"/>
      <c r="D1237" s="95"/>
      <c r="E1237" s="279"/>
      <c r="F1237" s="279"/>
      <c r="G1237" s="279"/>
      <c r="H1237" s="279"/>
      <c r="I1237" s="279"/>
      <c r="J1237" s="279"/>
      <c r="K1237" s="279"/>
      <c r="L1237" s="279"/>
      <c r="M1237" s="279"/>
      <c r="N1237" s="279"/>
    </row>
    <row r="1238" spans="1:89" ht="30" hidden="1" x14ac:dyDescent="0.25">
      <c r="A1238" s="95"/>
      <c r="B1238" s="96" t="s">
        <v>1710</v>
      </c>
      <c r="C1238" s="95" t="s">
        <v>2404</v>
      </c>
      <c r="D1238" s="95" t="s">
        <v>8</v>
      </c>
      <c r="E1238" s="279"/>
      <c r="F1238" s="279"/>
      <c r="G1238" s="279"/>
      <c r="H1238" s="279"/>
      <c r="I1238" s="291">
        <v>0</v>
      </c>
      <c r="J1238" s="291">
        <v>0</v>
      </c>
      <c r="K1238" s="291">
        <v>0</v>
      </c>
      <c r="L1238" s="291">
        <v>0</v>
      </c>
      <c r="M1238" s="291">
        <v>0</v>
      </c>
      <c r="N1238" s="291">
        <v>0</v>
      </c>
      <c r="Q1238" s="296">
        <f>S1238+V1238+Y1238+AB1238+AE1238+AH1238+AK1238+AN1238+AQ1238+AT1238+AW1238+AZ1238+BC1238+BF1238+BI1238+BL1238+BO1238+BR1238+BU1238+BX1238+CA1238+CD1238+CG1238+CJ1238</f>
        <v>0</v>
      </c>
      <c r="R1238" s="296">
        <f>T1238+W1238+Z1238+AC1238+AF1238+AI1238+AL1238+AO1238+AR1238+AU1238+AX1238+BA1238+BD1238+BG1238+BJ1238+BM1238+BP1238+BS1238+BV1238+BY1238+CB1238+CE1238+CH1238+CK1238</f>
        <v>0</v>
      </c>
      <c r="T1238" s="267">
        <v>0</v>
      </c>
      <c r="W1238" s="267">
        <v>0</v>
      </c>
      <c r="Z1238" s="267">
        <v>0</v>
      </c>
      <c r="AC1238" s="267">
        <v>0</v>
      </c>
      <c r="AF1238" s="267">
        <v>0</v>
      </c>
      <c r="AI1238" s="267">
        <v>0</v>
      </c>
      <c r="AL1238" s="267">
        <v>0</v>
      </c>
      <c r="AO1238" s="267">
        <v>0</v>
      </c>
      <c r="AR1238" s="267">
        <v>0</v>
      </c>
      <c r="AU1238" s="267">
        <v>0</v>
      </c>
      <c r="AX1238" s="267">
        <v>0</v>
      </c>
      <c r="BA1238" s="267">
        <v>0</v>
      </c>
      <c r="BD1238" s="267">
        <v>0</v>
      </c>
      <c r="BG1238" s="267">
        <v>0</v>
      </c>
      <c r="BJ1238" s="267">
        <v>0</v>
      </c>
      <c r="BM1238" s="267">
        <v>0</v>
      </c>
      <c r="BP1238" s="267">
        <v>0</v>
      </c>
      <c r="BS1238" s="267">
        <v>0</v>
      </c>
      <c r="BV1238" s="267">
        <v>0</v>
      </c>
      <c r="BY1238" s="267">
        <v>0</v>
      </c>
      <c r="CB1238" s="267">
        <v>0</v>
      </c>
      <c r="CE1238" s="267">
        <v>0</v>
      </c>
      <c r="CH1238" s="267">
        <v>0</v>
      </c>
      <c r="CK1238" s="267">
        <v>0</v>
      </c>
    </row>
    <row r="1239" spans="1:89" ht="30" hidden="1" x14ac:dyDescent="0.25">
      <c r="A1239" s="95"/>
      <c r="B1239" s="96" t="s">
        <v>1711</v>
      </c>
      <c r="C1239" s="95" t="s">
        <v>2406</v>
      </c>
      <c r="D1239" s="95" t="s">
        <v>8</v>
      </c>
      <c r="E1239" s="279"/>
      <c r="F1239" s="279"/>
      <c r="G1239" s="279"/>
      <c r="H1239" s="279"/>
      <c r="I1239" s="291">
        <v>0</v>
      </c>
      <c r="J1239" s="291">
        <v>0</v>
      </c>
      <c r="K1239" s="291">
        <v>0</v>
      </c>
      <c r="L1239" s="291">
        <v>0</v>
      </c>
      <c r="M1239" s="291">
        <v>0</v>
      </c>
      <c r="N1239" s="291">
        <v>0</v>
      </c>
      <c r="Q1239" s="296">
        <f>S1239+V1239+Y1239+AB1239+AE1239+AH1239+AK1239+AN1239+AQ1239+AT1239+AW1239+AZ1239+BC1239+BF1239+BI1239+BL1239+BO1239+BR1239+BU1239+BX1239+CA1239+CD1239+CG1239+CJ1239</f>
        <v>0</v>
      </c>
      <c r="R1239" s="296">
        <f>T1239+W1239+Z1239+AC1239+AF1239+AI1239+AL1239+AO1239+AR1239+AU1239+AX1239+BA1239+BD1239+BG1239+BJ1239+BM1239+BP1239+BS1239+BV1239+BY1239+CB1239+CE1239+CH1239+CK1239</f>
        <v>0</v>
      </c>
      <c r="T1239" s="267">
        <v>0</v>
      </c>
      <c r="W1239" s="267">
        <v>0</v>
      </c>
      <c r="Z1239" s="267">
        <v>0</v>
      </c>
      <c r="AC1239" s="267">
        <v>0</v>
      </c>
      <c r="AF1239" s="267">
        <v>0</v>
      </c>
      <c r="AI1239" s="267">
        <v>0</v>
      </c>
      <c r="AL1239" s="267">
        <v>0</v>
      </c>
      <c r="AO1239" s="267">
        <v>0</v>
      </c>
      <c r="AR1239" s="267">
        <v>0</v>
      </c>
      <c r="AU1239" s="267">
        <v>0</v>
      </c>
      <c r="AX1239" s="267">
        <v>0</v>
      </c>
      <c r="BA1239" s="267">
        <v>0</v>
      </c>
      <c r="BD1239" s="267">
        <v>0</v>
      </c>
      <c r="BG1239" s="267">
        <v>0</v>
      </c>
      <c r="BJ1239" s="267">
        <v>0</v>
      </c>
      <c r="BM1239" s="267">
        <v>0</v>
      </c>
      <c r="BP1239" s="267">
        <v>0</v>
      </c>
      <c r="BS1239" s="267">
        <v>0</v>
      </c>
      <c r="BV1239" s="267">
        <v>0</v>
      </c>
      <c r="BY1239" s="267">
        <v>0</v>
      </c>
      <c r="CB1239" s="267">
        <v>0</v>
      </c>
      <c r="CE1239" s="267">
        <v>0</v>
      </c>
      <c r="CH1239" s="267">
        <v>0</v>
      </c>
      <c r="CK1239" s="267">
        <v>0</v>
      </c>
    </row>
    <row r="1240" spans="1:89" hidden="1" x14ac:dyDescent="0.25">
      <c r="A1240" s="95"/>
      <c r="B1240" s="96" t="s">
        <v>2412</v>
      </c>
      <c r="C1240" s="95"/>
      <c r="D1240" s="95"/>
      <c r="E1240" s="279"/>
      <c r="F1240" s="279"/>
      <c r="G1240" s="279"/>
      <c r="H1240" s="279"/>
      <c r="I1240" s="279"/>
      <c r="J1240" s="279"/>
      <c r="K1240" s="279"/>
      <c r="L1240" s="279"/>
      <c r="M1240" s="279"/>
      <c r="N1240" s="279"/>
    </row>
    <row r="1241" spans="1:89" ht="30" hidden="1" x14ac:dyDescent="0.25">
      <c r="A1241" s="95"/>
      <c r="B1241" s="96" t="s">
        <v>1710</v>
      </c>
      <c r="C1241" s="95" t="s">
        <v>2404</v>
      </c>
      <c r="D1241" s="95" t="s">
        <v>8</v>
      </c>
      <c r="E1241" s="279"/>
      <c r="F1241" s="279"/>
      <c r="G1241" s="279"/>
      <c r="H1241" s="279"/>
      <c r="I1241" s="291">
        <v>0</v>
      </c>
      <c r="J1241" s="291">
        <v>0</v>
      </c>
      <c r="K1241" s="291">
        <v>0</v>
      </c>
      <c r="L1241" s="291">
        <v>0</v>
      </c>
      <c r="M1241" s="291">
        <v>0</v>
      </c>
      <c r="N1241" s="291">
        <v>0</v>
      </c>
      <c r="Q1241" s="296">
        <f>S1241+V1241+Y1241+AB1241+AE1241+AH1241+AK1241+AN1241+AQ1241+AT1241+AW1241+AZ1241+BC1241+BF1241+BI1241+BL1241+BO1241+BR1241+BU1241+BX1241+CA1241+CD1241+CG1241+CJ1241</f>
        <v>0</v>
      </c>
      <c r="R1241" s="296">
        <f>T1241+W1241+Z1241+AC1241+AF1241+AI1241+AL1241+AO1241+AR1241+AU1241+AX1241+BA1241+BD1241+BG1241+BJ1241+BM1241+BP1241+BS1241+BV1241+BY1241+CB1241+CE1241+CH1241+CK1241</f>
        <v>0</v>
      </c>
      <c r="T1241" s="267">
        <v>0</v>
      </c>
      <c r="W1241" s="267">
        <v>0</v>
      </c>
      <c r="Z1241" s="267">
        <v>0</v>
      </c>
      <c r="AC1241" s="267">
        <v>0</v>
      </c>
      <c r="AF1241" s="267">
        <v>0</v>
      </c>
      <c r="AI1241" s="267">
        <v>0</v>
      </c>
      <c r="AL1241" s="267">
        <v>0</v>
      </c>
      <c r="AO1241" s="267">
        <v>0</v>
      </c>
      <c r="AR1241" s="267">
        <v>0</v>
      </c>
      <c r="AU1241" s="267">
        <v>0</v>
      </c>
      <c r="AX1241" s="267">
        <v>0</v>
      </c>
      <c r="BA1241" s="267">
        <v>0</v>
      </c>
      <c r="BD1241" s="267">
        <v>0</v>
      </c>
      <c r="BG1241" s="267">
        <v>0</v>
      </c>
      <c r="BJ1241" s="267">
        <v>0</v>
      </c>
      <c r="BM1241" s="267">
        <v>0</v>
      </c>
      <c r="BP1241" s="267">
        <v>0</v>
      </c>
      <c r="BS1241" s="267">
        <v>0</v>
      </c>
      <c r="BV1241" s="267">
        <v>0</v>
      </c>
      <c r="BY1241" s="267">
        <v>0</v>
      </c>
      <c r="CB1241" s="267">
        <v>0</v>
      </c>
      <c r="CE1241" s="267">
        <v>0</v>
      </c>
      <c r="CH1241" s="267">
        <v>0</v>
      </c>
      <c r="CK1241" s="267">
        <v>0</v>
      </c>
    </row>
    <row r="1242" spans="1:89" ht="30" hidden="1" x14ac:dyDescent="0.25">
      <c r="A1242" s="95"/>
      <c r="B1242" s="96" t="s">
        <v>1711</v>
      </c>
      <c r="C1242" s="95" t="s">
        <v>2406</v>
      </c>
      <c r="D1242" s="95" t="s">
        <v>8</v>
      </c>
      <c r="E1242" s="279"/>
      <c r="F1242" s="279"/>
      <c r="G1242" s="279"/>
      <c r="H1242" s="279"/>
      <c r="I1242" s="291">
        <v>0</v>
      </c>
      <c r="J1242" s="291">
        <v>0</v>
      </c>
      <c r="K1242" s="291">
        <v>0</v>
      </c>
      <c r="L1242" s="291">
        <v>0</v>
      </c>
      <c r="M1242" s="291">
        <v>0</v>
      </c>
      <c r="N1242" s="291">
        <v>0</v>
      </c>
      <c r="Q1242" s="296">
        <f>S1242+V1242+Y1242+AB1242+AE1242+AH1242+AK1242+AN1242+AQ1242+AT1242+AW1242+AZ1242+BC1242+BF1242+BI1242+BL1242+BO1242+BR1242+BU1242+BX1242+CA1242+CD1242+CG1242+CJ1242</f>
        <v>0</v>
      </c>
      <c r="R1242" s="296">
        <f>T1242+W1242+Z1242+AC1242+AF1242+AI1242+AL1242+AO1242+AR1242+AU1242+AX1242+BA1242+BD1242+BG1242+BJ1242+BM1242+BP1242+BS1242+BV1242+BY1242+CB1242+CE1242+CH1242+CK1242</f>
        <v>0</v>
      </c>
      <c r="T1242" s="267">
        <v>0</v>
      </c>
      <c r="W1242" s="267">
        <v>0</v>
      </c>
      <c r="Z1242" s="267">
        <v>0</v>
      </c>
      <c r="AC1242" s="267">
        <v>0</v>
      </c>
      <c r="AF1242" s="267">
        <v>0</v>
      </c>
      <c r="AI1242" s="267">
        <v>0</v>
      </c>
      <c r="AL1242" s="267">
        <v>0</v>
      </c>
      <c r="AO1242" s="267">
        <v>0</v>
      </c>
      <c r="AR1242" s="267">
        <v>0</v>
      </c>
      <c r="AU1242" s="267">
        <v>0</v>
      </c>
      <c r="AX1242" s="267">
        <v>0</v>
      </c>
      <c r="BA1242" s="267">
        <v>0</v>
      </c>
      <c r="BD1242" s="267">
        <v>0</v>
      </c>
      <c r="BG1242" s="267">
        <v>0</v>
      </c>
      <c r="BJ1242" s="267">
        <v>0</v>
      </c>
      <c r="BM1242" s="267">
        <v>0</v>
      </c>
      <c r="BP1242" s="267">
        <v>0</v>
      </c>
      <c r="BS1242" s="267">
        <v>0</v>
      </c>
      <c r="BV1242" s="267">
        <v>0</v>
      </c>
      <c r="BY1242" s="267">
        <v>0</v>
      </c>
      <c r="CB1242" s="267">
        <v>0</v>
      </c>
      <c r="CE1242" s="267">
        <v>0</v>
      </c>
      <c r="CH1242" s="267">
        <v>0</v>
      </c>
      <c r="CK1242" s="267">
        <v>0</v>
      </c>
    </row>
    <row r="1243" spans="1:89" ht="30" hidden="1" x14ac:dyDescent="0.25">
      <c r="A1243" s="95"/>
      <c r="B1243" s="96" t="s">
        <v>2405</v>
      </c>
      <c r="C1243" s="95"/>
      <c r="D1243" s="95"/>
      <c r="E1243" s="279"/>
      <c r="F1243" s="279"/>
      <c r="G1243" s="279"/>
      <c r="H1243" s="279"/>
      <c r="I1243" s="279"/>
      <c r="J1243" s="279"/>
      <c r="K1243" s="279"/>
      <c r="L1243" s="279"/>
      <c r="M1243" s="279"/>
      <c r="N1243" s="279"/>
    </row>
    <row r="1244" spans="1:89" hidden="1" x14ac:dyDescent="0.25">
      <c r="A1244" s="95"/>
      <c r="B1244" s="96" t="s">
        <v>2411</v>
      </c>
      <c r="C1244" s="95"/>
      <c r="D1244" s="95"/>
      <c r="E1244" s="279"/>
      <c r="F1244" s="279"/>
      <c r="G1244" s="279"/>
      <c r="H1244" s="279"/>
      <c r="I1244" s="279"/>
      <c r="J1244" s="279"/>
      <c r="K1244" s="279"/>
      <c r="L1244" s="279"/>
      <c r="M1244" s="279"/>
      <c r="N1244" s="279"/>
    </row>
    <row r="1245" spans="1:89" ht="30" hidden="1" x14ac:dyDescent="0.25">
      <c r="A1245" s="95"/>
      <c r="B1245" s="96" t="s">
        <v>1710</v>
      </c>
      <c r="C1245" s="95" t="s">
        <v>2407</v>
      </c>
      <c r="D1245" s="95" t="s">
        <v>8</v>
      </c>
      <c r="E1245" s="279"/>
      <c r="F1245" s="279"/>
      <c r="G1245" s="279"/>
      <c r="H1245" s="279"/>
      <c r="I1245" s="291">
        <v>54</v>
      </c>
      <c r="J1245" s="291">
        <v>58</v>
      </c>
      <c r="K1245" s="291">
        <v>58</v>
      </c>
      <c r="L1245" s="291">
        <v>58</v>
      </c>
      <c r="M1245" s="291">
        <v>58</v>
      </c>
      <c r="N1245" s="291">
        <v>58</v>
      </c>
      <c r="Q1245" s="296">
        <f>S1245+V1245+Y1245+AB1245+AE1245+AH1245+AK1245+AN1245+AQ1245+AT1245+AW1245+AZ1245+BC1245+BF1245+BI1245+BL1245+BO1245+BR1245+BU1245+BX1245+CA1245+CD1245+CG1245+CJ1245</f>
        <v>0</v>
      </c>
      <c r="R1245" s="296">
        <f>T1245+W1245+Z1245+AC1245+AF1245+AI1245+AL1245+AO1245+AR1245+AU1245+AX1245+BA1245+BD1245+BG1245+BJ1245+BM1245+BP1245+BS1245+BV1245+BY1245+CB1245+CE1245+CH1245+CK1245</f>
        <v>58</v>
      </c>
      <c r="T1245" s="267">
        <v>0</v>
      </c>
      <c r="W1245" s="267">
        <v>0</v>
      </c>
      <c r="Z1245" s="267">
        <v>0</v>
      </c>
      <c r="AC1245" s="267">
        <v>0</v>
      </c>
      <c r="AF1245" s="267">
        <v>0</v>
      </c>
      <c r="AI1245" s="267">
        <v>0</v>
      </c>
      <c r="AL1245" s="267">
        <v>0</v>
      </c>
      <c r="AO1245" s="267">
        <v>0</v>
      </c>
      <c r="AR1245" s="267">
        <v>0</v>
      </c>
      <c r="AU1245" s="267">
        <v>0</v>
      </c>
      <c r="AX1245" s="267">
        <v>0</v>
      </c>
      <c r="BA1245" s="267">
        <v>0</v>
      </c>
      <c r="BD1245" s="267">
        <v>14</v>
      </c>
      <c r="BG1245" s="267">
        <v>14</v>
      </c>
      <c r="BJ1245" s="267">
        <v>30</v>
      </c>
      <c r="BM1245" s="267">
        <v>0</v>
      </c>
      <c r="BP1245" s="267">
        <v>0</v>
      </c>
      <c r="BS1245" s="267">
        <v>0</v>
      </c>
      <c r="BV1245" s="267">
        <v>0</v>
      </c>
      <c r="BY1245" s="267">
        <v>0</v>
      </c>
      <c r="CB1245" s="267">
        <v>0</v>
      </c>
      <c r="CE1245" s="267">
        <v>0</v>
      </c>
      <c r="CH1245" s="267">
        <v>0</v>
      </c>
      <c r="CK1245" s="267">
        <v>0</v>
      </c>
    </row>
    <row r="1246" spans="1:89" ht="30" hidden="1" x14ac:dyDescent="0.25">
      <c r="A1246" s="95"/>
      <c r="B1246" s="96" t="s">
        <v>1711</v>
      </c>
      <c r="C1246" s="95" t="s">
        <v>2408</v>
      </c>
      <c r="D1246" s="95" t="s">
        <v>8</v>
      </c>
      <c r="E1246" s="279"/>
      <c r="F1246" s="279"/>
      <c r="G1246" s="279"/>
      <c r="H1246" s="279"/>
      <c r="I1246" s="291">
        <v>24</v>
      </c>
      <c r="J1246" s="291">
        <v>27</v>
      </c>
      <c r="K1246" s="291">
        <v>27</v>
      </c>
      <c r="L1246" s="291">
        <v>27</v>
      </c>
      <c r="M1246" s="291">
        <v>27</v>
      </c>
      <c r="N1246" s="291">
        <v>27</v>
      </c>
      <c r="Q1246" s="296">
        <f>S1246+V1246+Y1246+AB1246+AE1246+AH1246+AK1246+AN1246+AQ1246+AT1246+AW1246+AZ1246+BC1246+BF1246+BI1246+BL1246+BO1246+BR1246+BU1246+BX1246+CA1246+CD1246+CG1246+CJ1246</f>
        <v>0</v>
      </c>
      <c r="R1246" s="296">
        <f>T1246+W1246+Z1246+AC1246+AF1246+AI1246+AL1246+AO1246+AR1246+AU1246+AX1246+BA1246+BD1246+BG1246+BJ1246+BM1246+BP1246+BS1246+BV1246+BY1246+CB1246+CE1246+CH1246+CK1246</f>
        <v>27</v>
      </c>
      <c r="T1246" s="267">
        <v>0</v>
      </c>
      <c r="W1246" s="267">
        <v>0</v>
      </c>
      <c r="Z1246" s="267">
        <v>0</v>
      </c>
      <c r="AC1246" s="267">
        <v>0</v>
      </c>
      <c r="AF1246" s="267">
        <v>0</v>
      </c>
      <c r="AI1246" s="267">
        <v>0</v>
      </c>
      <c r="AL1246" s="267">
        <v>0</v>
      </c>
      <c r="AO1246" s="267">
        <v>0</v>
      </c>
      <c r="AR1246" s="267">
        <v>0</v>
      </c>
      <c r="AU1246" s="267">
        <v>0</v>
      </c>
      <c r="AX1246" s="267">
        <v>0</v>
      </c>
      <c r="BA1246" s="267">
        <v>0</v>
      </c>
      <c r="BD1246" s="267">
        <v>19</v>
      </c>
      <c r="BG1246" s="267">
        <v>0</v>
      </c>
      <c r="BJ1246" s="267">
        <v>8</v>
      </c>
      <c r="BM1246" s="267">
        <v>0</v>
      </c>
      <c r="BP1246" s="267">
        <v>0</v>
      </c>
      <c r="BS1246" s="267">
        <v>0</v>
      </c>
      <c r="BV1246" s="267">
        <v>0</v>
      </c>
      <c r="BY1246" s="267">
        <v>0</v>
      </c>
      <c r="CB1246" s="267">
        <v>0</v>
      </c>
      <c r="CE1246" s="267">
        <v>0</v>
      </c>
      <c r="CH1246" s="267">
        <v>0</v>
      </c>
      <c r="CK1246" s="267">
        <v>0</v>
      </c>
    </row>
    <row r="1247" spans="1:89" hidden="1" x14ac:dyDescent="0.25">
      <c r="A1247" s="95"/>
      <c r="B1247" s="96" t="s">
        <v>2412</v>
      </c>
      <c r="C1247" s="95"/>
      <c r="D1247" s="95"/>
      <c r="E1247" s="279"/>
      <c r="F1247" s="279"/>
      <c r="G1247" s="279"/>
      <c r="H1247" s="279"/>
      <c r="I1247" s="279"/>
      <c r="J1247" s="279"/>
      <c r="K1247" s="279"/>
      <c r="L1247" s="279"/>
      <c r="M1247" s="279"/>
      <c r="N1247" s="279"/>
    </row>
    <row r="1248" spans="1:89" ht="30" hidden="1" x14ac:dyDescent="0.25">
      <c r="A1248" s="95"/>
      <c r="B1248" s="96" t="s">
        <v>1710</v>
      </c>
      <c r="C1248" s="95" t="s">
        <v>2407</v>
      </c>
      <c r="D1248" s="95" t="s">
        <v>8</v>
      </c>
      <c r="E1248" s="279"/>
      <c r="F1248" s="279"/>
      <c r="G1248" s="279"/>
      <c r="H1248" s="279"/>
      <c r="I1248" s="291">
        <v>0</v>
      </c>
      <c r="J1248" s="291">
        <v>0</v>
      </c>
      <c r="K1248" s="291">
        <v>0</v>
      </c>
      <c r="L1248" s="291">
        <v>0</v>
      </c>
      <c r="M1248" s="291">
        <v>0</v>
      </c>
      <c r="N1248" s="291">
        <v>0</v>
      </c>
      <c r="Q1248" s="296">
        <f>S1248+V1248+Y1248+AB1248+AE1248+AH1248+AK1248+AN1248+AQ1248+AT1248+AW1248+AZ1248+BC1248+BF1248+BI1248+BL1248+BO1248+BR1248+BU1248+BX1248+CA1248+CD1248+CG1248+CJ1248</f>
        <v>0</v>
      </c>
      <c r="R1248" s="296">
        <f>T1248+W1248+Z1248+AC1248+AF1248+AI1248+AL1248+AO1248+AR1248+AU1248+AX1248+BA1248+BD1248+BG1248+BJ1248+BM1248+BP1248+BS1248+BV1248+BY1248+CB1248+CE1248+CH1248+CK1248</f>
        <v>0</v>
      </c>
      <c r="T1248" s="267">
        <v>0</v>
      </c>
      <c r="W1248" s="267">
        <v>0</v>
      </c>
      <c r="Z1248" s="267">
        <v>0</v>
      </c>
      <c r="AC1248" s="267">
        <v>0</v>
      </c>
      <c r="AF1248" s="267">
        <v>0</v>
      </c>
      <c r="AI1248" s="267">
        <v>0</v>
      </c>
      <c r="AL1248" s="267">
        <v>0</v>
      </c>
      <c r="AO1248" s="267">
        <v>0</v>
      </c>
      <c r="AR1248" s="267">
        <v>0</v>
      </c>
      <c r="AU1248" s="267">
        <v>0</v>
      </c>
      <c r="AX1248" s="267">
        <v>0</v>
      </c>
      <c r="BA1248" s="267">
        <v>0</v>
      </c>
      <c r="BD1248" s="267">
        <v>0</v>
      </c>
      <c r="BG1248" s="267">
        <v>0</v>
      </c>
      <c r="BJ1248" s="267">
        <v>0</v>
      </c>
      <c r="BM1248" s="267">
        <v>0</v>
      </c>
      <c r="BP1248" s="267">
        <v>0</v>
      </c>
      <c r="BS1248" s="267">
        <v>0</v>
      </c>
      <c r="BV1248" s="267">
        <v>0</v>
      </c>
      <c r="BY1248" s="267">
        <v>0</v>
      </c>
      <c r="CB1248" s="267">
        <v>0</v>
      </c>
      <c r="CE1248" s="267">
        <v>0</v>
      </c>
      <c r="CH1248" s="267">
        <v>0</v>
      </c>
      <c r="CK1248" s="267">
        <v>0</v>
      </c>
    </row>
    <row r="1249" spans="1:89" ht="30" hidden="1" x14ac:dyDescent="0.25">
      <c r="A1249" s="95"/>
      <c r="B1249" s="96" t="s">
        <v>1711</v>
      </c>
      <c r="C1249" s="95" t="s">
        <v>2408</v>
      </c>
      <c r="D1249" s="95" t="s">
        <v>8</v>
      </c>
      <c r="E1249" s="279"/>
      <c r="F1249" s="279"/>
      <c r="G1249" s="279"/>
      <c r="H1249" s="279"/>
      <c r="I1249" s="291">
        <v>0</v>
      </c>
      <c r="J1249" s="291">
        <v>0</v>
      </c>
      <c r="K1249" s="291">
        <v>0</v>
      </c>
      <c r="L1249" s="291">
        <v>0</v>
      </c>
      <c r="M1249" s="291">
        <v>0</v>
      </c>
      <c r="N1249" s="291">
        <v>0</v>
      </c>
      <c r="Q1249" s="296">
        <f>S1249+V1249+Y1249+AB1249+AE1249+AH1249+AK1249+AN1249+AQ1249+AT1249+AW1249+AZ1249+BC1249+BF1249+BI1249+BL1249+BO1249+BR1249+BU1249+BX1249+CA1249+CD1249+CG1249+CJ1249</f>
        <v>0</v>
      </c>
      <c r="R1249" s="296">
        <f>T1249+W1249+Z1249+AC1249+AF1249+AI1249+AL1249+AO1249+AR1249+AU1249+AX1249+BA1249+BD1249+BG1249+BJ1249+BM1249+BP1249+BS1249+BV1249+BY1249+CB1249+CE1249+CH1249+CK1249</f>
        <v>0</v>
      </c>
      <c r="T1249" s="267">
        <v>0</v>
      </c>
      <c r="W1249" s="267">
        <v>0</v>
      </c>
      <c r="Z1249" s="267">
        <v>0</v>
      </c>
      <c r="AC1249" s="267">
        <v>0</v>
      </c>
      <c r="AF1249" s="267">
        <v>0</v>
      </c>
      <c r="AI1249" s="267">
        <v>0</v>
      </c>
      <c r="AL1249" s="267">
        <v>0</v>
      </c>
      <c r="AO1249" s="267">
        <v>0</v>
      </c>
      <c r="AR1249" s="267">
        <v>0</v>
      </c>
      <c r="AU1249" s="267">
        <v>0</v>
      </c>
      <c r="AX1249" s="267">
        <v>0</v>
      </c>
      <c r="BA1249" s="267">
        <v>0</v>
      </c>
      <c r="BD1249" s="267">
        <v>0</v>
      </c>
      <c r="BG1249" s="267">
        <v>0</v>
      </c>
      <c r="BJ1249" s="267">
        <v>0</v>
      </c>
      <c r="BM1249" s="267">
        <v>0</v>
      </c>
      <c r="BP1249" s="267">
        <v>0</v>
      </c>
      <c r="BS1249" s="267">
        <v>0</v>
      </c>
      <c r="BV1249" s="267">
        <v>0</v>
      </c>
      <c r="BY1249" s="267">
        <v>0</v>
      </c>
      <c r="CB1249" s="267">
        <v>0</v>
      </c>
      <c r="CE1249" s="267">
        <v>0</v>
      </c>
      <c r="CH1249" s="267">
        <v>0</v>
      </c>
      <c r="CK1249" s="267">
        <v>0</v>
      </c>
    </row>
    <row r="1250" spans="1:89" ht="75" hidden="1" x14ac:dyDescent="0.25">
      <c r="A1250" s="95" t="s">
        <v>247</v>
      </c>
      <c r="B1250" s="16" t="s">
        <v>1119</v>
      </c>
      <c r="C1250" s="95"/>
      <c r="D1250" s="107"/>
      <c r="E1250" s="291"/>
      <c r="F1250" s="291"/>
      <c r="G1250" s="291"/>
      <c r="H1250" s="291"/>
      <c r="I1250" s="291"/>
      <c r="J1250" s="291"/>
      <c r="K1250" s="291"/>
      <c r="L1250" s="291"/>
      <c r="M1250" s="291"/>
      <c r="N1250" s="291"/>
      <c r="O1250" s="281" t="s">
        <v>140</v>
      </c>
    </row>
    <row r="1251" spans="1:89" hidden="1" x14ac:dyDescent="0.25">
      <c r="A1251" s="95"/>
      <c r="B1251" s="96" t="s">
        <v>1121</v>
      </c>
      <c r="C1251" s="95"/>
      <c r="D1251" s="338" t="s">
        <v>8</v>
      </c>
      <c r="E1251" s="279">
        <v>0.06</v>
      </c>
      <c r="F1251" s="279"/>
      <c r="G1251" s="279"/>
      <c r="H1251" s="279">
        <v>0.02</v>
      </c>
      <c r="I1251" s="279"/>
      <c r="J1251" s="279"/>
      <c r="K1251" s="279"/>
      <c r="L1251" s="279"/>
      <c r="M1251" s="279"/>
      <c r="N1251" s="279"/>
    </row>
    <row r="1252" spans="1:89" hidden="1" x14ac:dyDescent="0.25">
      <c r="A1252" s="95"/>
      <c r="B1252" s="96" t="s">
        <v>1120</v>
      </c>
      <c r="C1252" s="95"/>
      <c r="D1252" s="338" t="s">
        <v>8</v>
      </c>
      <c r="E1252" s="279">
        <v>0.08</v>
      </c>
      <c r="F1252" s="279"/>
      <c r="G1252" s="279"/>
      <c r="H1252" s="279">
        <v>0.01</v>
      </c>
      <c r="I1252" s="279"/>
      <c r="J1252" s="279"/>
      <c r="K1252" s="279"/>
      <c r="L1252" s="279"/>
      <c r="M1252" s="279"/>
      <c r="N1252" s="279"/>
    </row>
    <row r="1253" spans="1:89" ht="30" hidden="1" x14ac:dyDescent="0.25">
      <c r="A1253" s="107"/>
      <c r="B1253" s="16" t="s">
        <v>1122</v>
      </c>
      <c r="C1253" s="95" t="s">
        <v>245</v>
      </c>
      <c r="D1253" s="107"/>
      <c r="E1253" s="291"/>
      <c r="F1253" s="291"/>
      <c r="G1253" s="291"/>
      <c r="H1253" s="291"/>
      <c r="I1253" s="291"/>
      <c r="J1253" s="291"/>
      <c r="K1253" s="291"/>
      <c r="L1253" s="291"/>
      <c r="M1253" s="291"/>
      <c r="N1253" s="291"/>
    </row>
    <row r="1254" spans="1:89" hidden="1" x14ac:dyDescent="0.25">
      <c r="A1254" s="107"/>
      <c r="B1254" s="96" t="s">
        <v>1121</v>
      </c>
      <c r="C1254" s="95"/>
      <c r="D1254" s="95" t="s">
        <v>950</v>
      </c>
      <c r="E1254" s="291"/>
      <c r="F1254" s="291"/>
      <c r="G1254" s="291"/>
      <c r="H1254" s="291"/>
      <c r="I1254" s="291"/>
      <c r="J1254" s="291"/>
      <c r="K1254" s="291"/>
      <c r="L1254" s="291"/>
      <c r="M1254" s="291"/>
      <c r="N1254" s="291"/>
    </row>
    <row r="1255" spans="1:89" hidden="1" x14ac:dyDescent="0.25">
      <c r="A1255" s="107"/>
      <c r="B1255" s="96" t="s">
        <v>1120</v>
      </c>
      <c r="C1255" s="95"/>
      <c r="D1255" s="95" t="s">
        <v>950</v>
      </c>
      <c r="E1255" s="291"/>
      <c r="F1255" s="291"/>
      <c r="G1255" s="291"/>
      <c r="H1255" s="291"/>
      <c r="I1255" s="291"/>
      <c r="J1255" s="291"/>
      <c r="K1255" s="291"/>
      <c r="L1255" s="291"/>
      <c r="M1255" s="291"/>
      <c r="N1255" s="291"/>
    </row>
    <row r="1256" spans="1:89" ht="30" hidden="1" x14ac:dyDescent="0.25">
      <c r="A1256" s="107"/>
      <c r="B1256" s="16" t="s">
        <v>1125</v>
      </c>
      <c r="C1256" s="95" t="s">
        <v>245</v>
      </c>
      <c r="D1256" s="95"/>
      <c r="E1256" s="291"/>
      <c r="F1256" s="291"/>
      <c r="G1256" s="291"/>
      <c r="H1256" s="291"/>
      <c r="I1256" s="291"/>
      <c r="J1256" s="291"/>
      <c r="K1256" s="291"/>
      <c r="L1256" s="291"/>
      <c r="M1256" s="291"/>
      <c r="N1256" s="291"/>
    </row>
    <row r="1257" spans="1:89" hidden="1" x14ac:dyDescent="0.25">
      <c r="A1257" s="107"/>
      <c r="B1257" s="96" t="s">
        <v>1121</v>
      </c>
      <c r="C1257" s="95"/>
      <c r="D1257" s="95" t="s">
        <v>950</v>
      </c>
      <c r="E1257" s="291"/>
      <c r="F1257" s="291"/>
      <c r="G1257" s="291"/>
      <c r="H1257" s="291"/>
      <c r="I1257" s="291"/>
      <c r="J1257" s="291"/>
      <c r="K1257" s="291"/>
      <c r="L1257" s="291"/>
      <c r="M1257" s="291"/>
      <c r="N1257" s="291"/>
      <c r="O1257" s="281"/>
    </row>
    <row r="1258" spans="1:89" hidden="1" x14ac:dyDescent="0.25">
      <c r="A1258" s="107"/>
      <c r="B1258" s="96" t="s">
        <v>1120</v>
      </c>
      <c r="C1258" s="95"/>
      <c r="D1258" s="95" t="s">
        <v>950</v>
      </c>
      <c r="E1258" s="291"/>
      <c r="F1258" s="291"/>
      <c r="G1258" s="291"/>
      <c r="H1258" s="291"/>
      <c r="I1258" s="291"/>
      <c r="J1258" s="291"/>
      <c r="K1258" s="291"/>
      <c r="L1258" s="291"/>
      <c r="M1258" s="291"/>
      <c r="N1258" s="291"/>
      <c r="O1258" s="281"/>
    </row>
    <row r="1259" spans="1:89" ht="90" x14ac:dyDescent="0.25">
      <c r="A1259" s="105" t="s">
        <v>234</v>
      </c>
      <c r="B1259" s="290" t="s">
        <v>248</v>
      </c>
      <c r="C1259" s="107"/>
      <c r="D1259" s="107"/>
      <c r="E1259" s="107"/>
      <c r="F1259" s="107"/>
      <c r="G1259" s="107"/>
      <c r="H1259" s="107"/>
      <c r="I1259" s="107"/>
      <c r="J1259" s="107"/>
      <c r="K1259" s="107"/>
      <c r="L1259" s="107"/>
      <c r="M1259" s="107"/>
      <c r="N1259" s="107"/>
      <c r="O1259" s="281"/>
    </row>
    <row r="1260" spans="1:89" ht="75" x14ac:dyDescent="0.25">
      <c r="A1260" s="95" t="s">
        <v>237</v>
      </c>
      <c r="B1260" s="96" t="s">
        <v>1712</v>
      </c>
      <c r="C1260" s="107"/>
      <c r="D1260" s="95"/>
      <c r="E1260" s="280"/>
      <c r="F1260" s="280"/>
      <c r="G1260" s="280"/>
      <c r="H1260" s="280"/>
      <c r="I1260" s="280"/>
      <c r="J1260" s="280"/>
      <c r="K1260" s="280"/>
      <c r="L1260" s="280"/>
      <c r="M1260" s="280"/>
      <c r="N1260" s="280"/>
      <c r="O1260" s="281" t="s">
        <v>140</v>
      </c>
    </row>
    <row r="1261" spans="1:89" x14ac:dyDescent="0.25">
      <c r="A1261" s="263"/>
      <c r="B1261" s="96" t="s">
        <v>1182</v>
      </c>
      <c r="C1261" s="107"/>
      <c r="D1261" s="95" t="s">
        <v>8</v>
      </c>
      <c r="E1261" s="279">
        <f t="shared" ref="E1261:K1261" si="1599">(E1267+E1268+E1271)/(E1278+E1280)*100</f>
        <v>98.58930724909554</v>
      </c>
      <c r="F1261" s="279">
        <f t="shared" si="1599"/>
        <v>98.779547588203513</v>
      </c>
      <c r="G1261" s="279">
        <f t="shared" si="1599"/>
        <v>99.106013670924966</v>
      </c>
      <c r="H1261" s="279">
        <f t="shared" si="1599"/>
        <v>99.153262473725789</v>
      </c>
      <c r="I1261" s="279">
        <f t="shared" si="1599"/>
        <v>99.37461273542084</v>
      </c>
      <c r="J1261" s="279">
        <f t="shared" si="1599"/>
        <v>99.370093414401197</v>
      </c>
      <c r="K1261" s="279">
        <f t="shared" si="1599"/>
        <v>95.604957257225564</v>
      </c>
      <c r="L1261" s="279">
        <f t="shared" ref="L1261:M1261" si="1600">(L1267+L1268+L1271)/(L1278+L1280)*100</f>
        <v>99.414941494149417</v>
      </c>
      <c r="M1261" s="279">
        <f t="shared" si="1600"/>
        <v>99.634619776204616</v>
      </c>
      <c r="N1261" s="279">
        <f t="shared" ref="N1261" si="1601">(N1267+N1268+N1271)/(N1278+N1280)*100</f>
        <v>99.378309924015667</v>
      </c>
      <c r="Q1261" s="279">
        <f>(Q1267+Q1268+Q1271)/(Q1278+Q1280)*100</f>
        <v>95.604957257225564</v>
      </c>
      <c r="R1261" s="279">
        <f>(R1267+R1268+R1271)/(R1278+R1280)*100</f>
        <v>96.303293993462574</v>
      </c>
      <c r="S1261" s="279">
        <f>(S1267+S1268+S1271)/(S1278+S1280)*100</f>
        <v>99.770875763747455</v>
      </c>
      <c r="T1261" s="279">
        <f>(T1267+T1268+T1271)/(T1278+T1280)*100</f>
        <v>99.629995066600884</v>
      </c>
      <c r="V1261" s="279">
        <f>(V1267+V1268+V1271)/(V1278+V1280)*100</f>
        <v>99.638788552375658</v>
      </c>
      <c r="W1261" s="279">
        <f>(W1267+W1268+W1271)/(W1278+W1280)*100</f>
        <v>97.289745739033251</v>
      </c>
      <c r="Y1261" s="279">
        <f>(Y1267+Y1268+Y1271)/(Y1278+Y1280)*100</f>
        <v>99.773653236758719</v>
      </c>
      <c r="Z1261" s="279">
        <f>(Z1267+Z1268+Z1271)/(Z1278+Z1280)*100</f>
        <v>99.654696132596683</v>
      </c>
      <c r="AB1261" s="279">
        <f>(AB1267+AB1268+AB1271)/(AB1278+AB1280)*100</f>
        <v>99.023055881203589</v>
      </c>
      <c r="AC1261" s="279">
        <f>(AC1267+AC1268+AC1271)/(AC1278+AC1280)*100</f>
        <v>98.977585528902864</v>
      </c>
      <c r="AE1261" s="279">
        <f>(AE1267+AE1268+AE1271)/(AE1278+AE1280)*100</f>
        <v>98.069498069498067</v>
      </c>
      <c r="AF1261" s="279">
        <f>(AF1267+AF1268+AF1271)/(AF1278+AF1280)*100</f>
        <v>98.608558676818063</v>
      </c>
      <c r="AH1261" s="279">
        <f>(AH1267+AH1268+AH1271)/(AH1278+AH1280)*100</f>
        <v>99.663978494623649</v>
      </c>
      <c r="AI1261" s="279">
        <f>(AI1267+AI1268+AI1271)/(AI1278+AI1280)*100</f>
        <v>99.414941494149417</v>
      </c>
      <c r="AK1261" s="279">
        <f>(AK1267+AK1268+AK1271)/(AK1278+AK1280)*100</f>
        <v>96.522016592214428</v>
      </c>
      <c r="AL1261" s="279">
        <f>(AL1267+AL1268+AL1271)/(AL1278+AL1280)*100</f>
        <v>96.579445145018923</v>
      </c>
      <c r="AN1261" s="279">
        <f>(AN1267+AN1268+AN1271)/(AN1278+AN1280)*100</f>
        <v>99.942426161552191</v>
      </c>
      <c r="AO1261" s="279">
        <f>(AO1267+AO1268+AO1271)/(AO1278+AO1280)*100</f>
        <v>99.948290721057163</v>
      </c>
      <c r="AQ1261" s="279">
        <f>(AQ1267+AQ1268+AQ1271)/(AQ1278+AQ1280)*100</f>
        <v>100</v>
      </c>
      <c r="AR1261" s="279">
        <f>(AR1267+AR1268+AR1271)/(AR1278+AR1280)*100</f>
        <v>100</v>
      </c>
      <c r="AT1261" s="279">
        <f>(AT1267+AT1268+AT1271)/(AT1278+AT1280)*100</f>
        <v>75.065784794822548</v>
      </c>
      <c r="AU1261" s="279">
        <f>(AU1267+AU1268+AU1271)/(AU1278+AU1280)*100</f>
        <v>79.576544992094583</v>
      </c>
      <c r="AW1261" s="279">
        <f>(AW1267+AW1268+AW1271)/(AW1278+AW1280)*100</f>
        <v>99.715045592705167</v>
      </c>
      <c r="AX1261" s="279">
        <f>(AX1267+AX1268+AX1271)/(AX1278+AX1280)*100</f>
        <v>99.568723045190325</v>
      </c>
      <c r="AZ1261" s="279">
        <f>(AZ1267+AZ1268+AZ1271)/(AZ1278+AZ1280)*100</f>
        <v>100</v>
      </c>
      <c r="BA1261" s="279">
        <f>(BA1267+BA1268+BA1271)/(BA1278+BA1280)*100</f>
        <v>100</v>
      </c>
      <c r="BC1261" s="279">
        <f>(BC1267+BC1268+BC1271)/(BC1278+BC1280)*100</f>
        <v>99.98624484181569</v>
      </c>
      <c r="BD1261" s="279">
        <f>(BD1267+BD1268+BD1271)/(BD1278+BD1280)*100</f>
        <v>100</v>
      </c>
      <c r="BF1261" s="279">
        <f>(BF1267+BF1268+BF1271)/(BF1278+BF1280)*100</f>
        <v>99.518694605857831</v>
      </c>
      <c r="BG1261" s="279">
        <f>(BG1267+BG1268+BG1271)/(BG1278+BG1280)*100</f>
        <v>97.753002206872836</v>
      </c>
      <c r="BI1261" s="279">
        <f>(BI1267+BI1268+BI1271)/(BI1278+BI1280)*100</f>
        <v>99.140256564519575</v>
      </c>
      <c r="BJ1261" s="279">
        <f>(BJ1267+BJ1268+BJ1271)/(BJ1278+BJ1280)*100</f>
        <v>99.177894072671933</v>
      </c>
      <c r="BL1261" s="279">
        <f>(BL1267+BL1268+BL1271)/(BL1278+BL1280)*100</f>
        <v>65.011650833482705</v>
      </c>
      <c r="BM1261" s="279">
        <f>(BM1267+BM1268+BM1271)/(BM1278+BM1280)*100</f>
        <v>70.606224141032556</v>
      </c>
      <c r="BO1261" s="279">
        <f>(BO1267+BO1268+BO1271)/(BO1278+BO1280)*100</f>
        <v>73.547776726584672</v>
      </c>
      <c r="BP1261" s="279">
        <f>(BP1267+BP1268+BP1271)/(BP1278+BP1280)*100</f>
        <v>87.084038353073893</v>
      </c>
      <c r="BR1261" s="279">
        <f>(BR1267+BR1268+BR1271)/(BR1278+BR1280)*100</f>
        <v>100</v>
      </c>
      <c r="BS1261" s="279">
        <f>(BS1267+BS1268+BS1271)/(BS1278+BS1280)*100</f>
        <v>99.815020347761745</v>
      </c>
      <c r="BU1261" s="279">
        <f>(BU1267+BU1268+BU1271)/(BU1278+BU1280)*100</f>
        <v>99.363057324840767</v>
      </c>
      <c r="BV1261" s="279">
        <f>(BV1267+BV1268+BV1271)/(BV1278+BV1280)*100</f>
        <v>100.64364401534844</v>
      </c>
      <c r="BX1261" s="279">
        <f>(BX1267+BX1268+BX1271)/(BX1278+BX1280)*100</f>
        <v>93.808630393996253</v>
      </c>
      <c r="BY1261" s="279">
        <f>(BY1267+BY1268+BY1271)/(BY1278+BY1280)*100</f>
        <v>92.122040072859747</v>
      </c>
      <c r="CA1261" s="279">
        <f>(CA1267+CA1268+CA1271)/(CA1278+CA1280)*100</f>
        <v>99.842684845306763</v>
      </c>
      <c r="CB1261" s="279">
        <f>(CB1267+CB1268+CB1271)/(CB1278+CB1280)*100</f>
        <v>100</v>
      </c>
      <c r="CD1261" s="279">
        <f>(CD1267+CD1268+CD1271)/(CD1278+CD1280)*100</f>
        <v>77.495291902071557</v>
      </c>
      <c r="CE1261" s="279">
        <f>(CE1267+CE1268+CE1271)/(CE1278+CE1280)*100</f>
        <v>86.189069423929098</v>
      </c>
      <c r="CG1261" s="279">
        <f>(CG1267+CG1268+CG1271)/(CG1278+CG1280)*100</f>
        <v>85.380116959064324</v>
      </c>
      <c r="CH1261" s="279">
        <f>(CH1267+CH1268+CH1271)/(CH1278+CH1280)*100</f>
        <v>86.178861788617894</v>
      </c>
      <c r="CJ1261" s="279" t="e">
        <f>(CJ1267+CJ1268+CJ1271)/(CJ1278+CJ1280)*100</f>
        <v>#DIV/0!</v>
      </c>
      <c r="CK1261" s="279" t="e">
        <f>(CK1267+CK1268+CK1271)/(CK1278+CK1280)*100</f>
        <v>#DIV/0!</v>
      </c>
    </row>
    <row r="1262" spans="1:89" x14ac:dyDescent="0.25">
      <c r="A1262" s="263"/>
      <c r="B1262" s="96" t="s">
        <v>1183</v>
      </c>
      <c r="C1262" s="107"/>
      <c r="D1262" s="95"/>
      <c r="E1262" s="279"/>
      <c r="F1262" s="279"/>
      <c r="G1262" s="279"/>
      <c r="H1262" s="279">
        <f>(H1267+H1271)/(H1280+H1282+H1283)*100</f>
        <v>99.163291235462111</v>
      </c>
      <c r="I1262" s="279">
        <f>(I1267+I1271)/(I1280+I1282+I1283)*100</f>
        <v>99.349672740230673</v>
      </c>
      <c r="J1262" s="279">
        <f>(J1267+J1271)/(J1280+J1282+J1283)*100</f>
        <v>99.357353881765292</v>
      </c>
      <c r="K1262" s="279">
        <f>(K1267+K1271)/(K1280+K1282+K1283)*100</f>
        <v>95.269247404844293</v>
      </c>
      <c r="L1262" s="279">
        <f>(L1267+L1271)/(L1280+L1282+L1283)*100</f>
        <v>99.312575818843513</v>
      </c>
      <c r="M1262" s="279">
        <f t="shared" ref="M1262:N1262" si="1602">(M1267+M1271)/(M1280+M1282+M1283)*100</f>
        <v>99.713701431492836</v>
      </c>
      <c r="N1262" s="279">
        <f t="shared" si="1602"/>
        <v>99.432048681541588</v>
      </c>
      <c r="Q1262" s="279">
        <f>(Q1267+Q1271)/(Q1280+Q1282+Q1283)*100</f>
        <v>95.269247404844293</v>
      </c>
      <c r="R1262" s="279">
        <f>(R1267+R1271)/(R1280+R1282+R1283)*100</f>
        <v>96.059456679021423</v>
      </c>
      <c r="S1262" s="279">
        <f>(S1267+S1271)/(S1280+S1282+S1283)*100</f>
        <v>99.699586932031551</v>
      </c>
      <c r="T1262" s="279">
        <f>(T1267+T1271)/(T1280+T1282+T1283)*100</f>
        <v>99.46275071633238</v>
      </c>
      <c r="V1262" s="279">
        <f>(V1267+V1271)/(V1280+V1282+V1283)*100</f>
        <v>100</v>
      </c>
      <c r="W1262" s="279">
        <f>(W1267+W1271)/(W1280+W1282+W1283)*100</f>
        <v>99.250234301780694</v>
      </c>
      <c r="Y1262" s="279">
        <f>(Y1267+Y1271)/(Y1280+Y1282+Y1283)*100</f>
        <v>99.662162162162161</v>
      </c>
      <c r="Z1262" s="279">
        <f>(Z1267+Z1271)/(Z1280+Z1282+Z1283)*100</f>
        <v>99.590303857972003</v>
      </c>
      <c r="AB1262" s="279">
        <f>(AB1267+AB1271)/(AB1280+AB1282+AB1283)*100</f>
        <v>98.860890576458402</v>
      </c>
      <c r="AC1262" s="279">
        <f>(AC1267+AC1271)/(AC1280+AC1282+AC1283)*100</f>
        <v>97.979452054794521</v>
      </c>
      <c r="AE1262" s="279">
        <f>(AE1267+AE1271)/(AE1280+AE1282+AE1283)*100</f>
        <v>97.412008281573506</v>
      </c>
      <c r="AF1262" s="279">
        <f>(AF1267+AF1271)/(AF1280+AF1282+AF1283)*100</f>
        <v>98.17493112947659</v>
      </c>
      <c r="AH1262" s="279">
        <f>(AH1267+AH1271)/(AH1280+AH1282+AH1283)*100</f>
        <v>99.758648431214809</v>
      </c>
      <c r="AI1262" s="279">
        <f>(AI1267+AI1271)/(AI1280+AI1282+AI1283)*100</f>
        <v>99.312575818843513</v>
      </c>
      <c r="AK1262" s="279">
        <f>(AK1267+AK1271)/(AK1280+AK1282+AK1283)*100</f>
        <v>96.721311475409834</v>
      </c>
      <c r="AL1262" s="279">
        <f>(AL1267+AL1271)/(AL1280+AL1282+AL1283)*100</f>
        <v>96.680977542932638</v>
      </c>
      <c r="AN1262" s="279">
        <f>(AN1267+AN1271)/(AN1280+AN1282+AN1283)*100</f>
        <v>100</v>
      </c>
      <c r="AO1262" s="279">
        <f>(AO1267+AO1271)/(AO1280+AO1282+AO1283)*100</f>
        <v>99.983283182881976</v>
      </c>
      <c r="AQ1262" s="279" t="e">
        <f>(AQ1267+AQ1271)/(AQ1280+AQ1282+AQ1283)*100</f>
        <v>#DIV/0!</v>
      </c>
      <c r="AR1262" s="279" t="e">
        <f>(AR1267+AR1271)/(AR1280+AR1282+AR1283)*100</f>
        <v>#DIV/0!</v>
      </c>
      <c r="AT1262" s="279">
        <f>(AT1267+AT1271)/(AT1280+AT1282+AT1283)*100</f>
        <v>75.065784794822548</v>
      </c>
      <c r="AU1262" s="279">
        <f>(AU1267+AU1271)/(AU1280+AU1282+AU1283)*100</f>
        <v>79.576544992094583</v>
      </c>
      <c r="AW1262" s="279">
        <f>(AW1267+AW1271)/(AW1280+AW1282+AW1283)*100</f>
        <v>99.715045592705167</v>
      </c>
      <c r="AX1262" s="279">
        <f>(AX1267+AX1271)/(AX1280+AX1282+AX1283)*100</f>
        <v>99.568723045190325</v>
      </c>
      <c r="AZ1262" s="279">
        <f>(AZ1267+AZ1271)/(AZ1280+AZ1282+AZ1283)*100</f>
        <v>100</v>
      </c>
      <c r="BA1262" s="279">
        <f>(BA1267+BA1271)/(BA1280+BA1282+BA1283)*100</f>
        <v>100</v>
      </c>
      <c r="BC1262" s="279">
        <f>(BC1267+BC1271)/(BC1280+BC1282+BC1283)*100</f>
        <v>99.98624484181569</v>
      </c>
      <c r="BD1262" s="279">
        <f>(BD1267+BD1271)/(BD1280+BD1282+BD1283)*100</f>
        <v>100</v>
      </c>
      <c r="BF1262" s="279">
        <f>(BF1267+BF1271)/(BF1280+BF1282+BF1283)*100</f>
        <v>99.518694605857831</v>
      </c>
      <c r="BG1262" s="279">
        <f>(BG1267+BG1271)/(BG1280+BG1282+BG1283)*100</f>
        <v>97.753002206872836</v>
      </c>
      <c r="BI1262" s="279">
        <f>(BI1267+BI1271)/(BI1280+BI1282+BI1283)*100</f>
        <v>99.140256564519575</v>
      </c>
      <c r="BJ1262" s="279">
        <f>(BJ1267+BJ1271)/(BJ1280+BJ1282+BJ1283)*100</f>
        <v>99.177894072671933</v>
      </c>
      <c r="BL1262" s="279">
        <f>(BL1267+BL1271)/(BL1280+BL1282+BL1283)*100</f>
        <v>65.011650833482705</v>
      </c>
      <c r="BM1262" s="279">
        <f>(BM1267+BM1271)/(BM1280+BM1282+BM1283)*100</f>
        <v>70.606224141032556</v>
      </c>
      <c r="BO1262" s="279">
        <f>(BO1267+BO1271)/(BO1280+BO1282+BO1283)*100</f>
        <v>73.547776726584672</v>
      </c>
      <c r="BP1262" s="279">
        <f>(BP1267+BP1271)/(BP1280+BP1282+BP1283)*100</f>
        <v>87.084038353073893</v>
      </c>
      <c r="BR1262" s="279">
        <f>(BR1267+BR1271)/(BR1280+BR1282+BR1283)*100</f>
        <v>100</v>
      </c>
      <c r="BS1262" s="279">
        <f>(BS1267+BS1271)/(BS1280+BS1282+BS1283)*100</f>
        <v>99.815020347761745</v>
      </c>
      <c r="BU1262" s="279">
        <f>(BU1267+BU1271)/(BU1280+BU1282+BU1283)*100</f>
        <v>99.363057324840767</v>
      </c>
      <c r="BV1262" s="279">
        <f>(BV1267+BV1271)/(BV1280+BV1282+BV1283)*100</f>
        <v>100.64364401534844</v>
      </c>
      <c r="BX1262" s="279">
        <f>(BX1267+BX1271)/(BX1280+BX1282+BX1283)*100</f>
        <v>93.808630393996253</v>
      </c>
      <c r="BY1262" s="279">
        <f>(BY1267+BY1271)/(BY1280+BY1282+BY1283)*100</f>
        <v>92.122040072859747</v>
      </c>
      <c r="CA1262" s="279">
        <f>(CA1267+CA1271)/(CA1280+CA1282+CA1283)*100</f>
        <v>99.842684845306763</v>
      </c>
      <c r="CB1262" s="279">
        <f>(CB1267+CB1271)/(CB1280+CB1282+CB1283)*100</f>
        <v>100</v>
      </c>
      <c r="CD1262" s="279">
        <f>(CD1267+CD1271)/(CD1280+CD1282+CD1283)*100</f>
        <v>77.495291902071557</v>
      </c>
      <c r="CE1262" s="279">
        <f>(CE1267+CE1271)/(CE1280+CE1282+CE1283)*100</f>
        <v>86.189069423929098</v>
      </c>
      <c r="CG1262" s="279">
        <f>(CG1267+CG1271)/(CG1280+CG1282+CG1283)*100</f>
        <v>84.020810107766636</v>
      </c>
      <c r="CH1262" s="279">
        <f>(CH1267+CH1271)/(CH1280+CH1282+CH1283)*100</f>
        <v>85.190725504861632</v>
      </c>
      <c r="CJ1262" s="279" t="e">
        <f>(CJ1267+CJ1271)/(CJ1280+CJ1282+CJ1283)*100</f>
        <v>#DIV/0!</v>
      </c>
      <c r="CK1262" s="279" t="e">
        <f>(CK1267+CK1271)/(CK1280+CK1282+CK1283)*100</f>
        <v>#DIV/0!</v>
      </c>
    </row>
    <row r="1263" spans="1:89" x14ac:dyDescent="0.25">
      <c r="A1263" s="263"/>
      <c r="B1263" s="16" t="s">
        <v>1185</v>
      </c>
      <c r="C1263" s="107"/>
      <c r="D1263" s="95"/>
      <c r="E1263" s="279"/>
      <c r="F1263" s="279"/>
      <c r="G1263" s="279"/>
      <c r="H1263" s="279">
        <f>(H1268+H1271)/(H1280+H1284+H1285)*100</f>
        <v>99.045052434237505</v>
      </c>
      <c r="I1263" s="279">
        <f>(I1268+I1271)/(I1280+I1284+I1285)*100</f>
        <v>99.648698456576824</v>
      </c>
      <c r="J1263" s="279">
        <f>(J1268+J1271)/(J1280+J1284+J1285)*100</f>
        <v>99.51238872824176</v>
      </c>
      <c r="K1263" s="279">
        <f>(K1268+K1271)/(K1280+K1284+K1285)*100</f>
        <v>99.478280594306455</v>
      </c>
      <c r="L1263" s="279">
        <f>(L1268+L1271)/(L1280+L1284+L1285)*100</f>
        <v>99.543378995433784</v>
      </c>
      <c r="M1263" s="279">
        <f t="shared" ref="M1263:N1263" si="1603">(M1268+M1271)/(M1280+M1284+M1285)*100</f>
        <v>99.534643226473634</v>
      </c>
      <c r="N1263" s="279">
        <f t="shared" si="1603"/>
        <v>99.30777422790203</v>
      </c>
      <c r="Q1263" s="279">
        <f>(Q1268+Q1271)/(Q1280+Q1284+Q1285)*100</f>
        <v>99.478280594306455</v>
      </c>
      <c r="R1263" s="279">
        <f>(R1268+R1271)/(R1280+R1284+R1285)*100</f>
        <v>99.209350292196632</v>
      </c>
      <c r="S1263" s="279">
        <f>(S1268+S1271)/(S1280+S1284+S1285)*100</f>
        <v>99.920948616600796</v>
      </c>
      <c r="T1263" s="279">
        <f>(T1268+T1271)/(T1280+T1284+T1285)*100</f>
        <v>100</v>
      </c>
      <c r="V1263" s="279">
        <f>(V1268+V1271)/(V1280+V1284+V1285)*100</f>
        <v>99.09972299168976</v>
      </c>
      <c r="W1263" s="279">
        <f>(W1268+W1271)/(W1280+W1284+W1285)*100</f>
        <v>94.394463667820077</v>
      </c>
      <c r="Y1263" s="279">
        <f>(Y1268+Y1271)/(Y1280+Y1284+Y1285)*100</f>
        <v>100</v>
      </c>
      <c r="Z1263" s="279">
        <f>(Z1268+Z1271)/(Z1280+Z1284+Z1285)*100</f>
        <v>99.78798586572438</v>
      </c>
      <c r="AB1263" s="279">
        <f>(AB1268+AB1271)/(AB1280+AB1284+AB1285)*100</f>
        <v>99.234579018460153</v>
      </c>
      <c r="AC1263" s="279">
        <f>(AC1268+AC1271)/(AC1280+AC1284+AC1285)*100</f>
        <v>100.32317636195754</v>
      </c>
      <c r="AE1263" s="279">
        <f>(AE1268+AE1271)/(AE1280+AE1284+AE1285)*100</f>
        <v>100</v>
      </c>
      <c r="AF1263" s="279">
        <f>(AF1268+AF1271)/(AF1280+AF1284+AF1285)*100</f>
        <v>100</v>
      </c>
      <c r="AH1263" s="279">
        <f>(AH1268+AH1271)/(AH1280+AH1284+AH1285)*100</f>
        <v>99.544994944388279</v>
      </c>
      <c r="AI1263" s="279">
        <f>(AI1268+AI1271)/(AI1280+AI1284+AI1285)*100</f>
        <v>99.543378995433784</v>
      </c>
      <c r="AK1263" s="279">
        <f>(AK1268+AK1271)/(AK1280+AK1284+AK1285)*100</f>
        <v>92.41379310344827</v>
      </c>
      <c r="AL1263" s="279">
        <f>(AL1268+AL1271)/(AL1280+AL1284+AL1285)*100</f>
        <v>94.444444444444443</v>
      </c>
      <c r="AN1263" s="279">
        <f>(AN1268+AN1271)/(AN1280+AN1284+AN1285)*100</f>
        <v>99.816749129558374</v>
      </c>
      <c r="AO1263" s="279">
        <f>(AO1268+AO1271)/(AO1280+AO1284+AO1285)*100</f>
        <v>99.871347178827421</v>
      </c>
      <c r="AQ1263" s="279">
        <f>(AQ1268+AQ1271)/(AQ1280+AQ1284+AQ1285)*100</f>
        <v>100</v>
      </c>
      <c r="AR1263" s="279">
        <f>(AR1268+AR1271)/(AR1280+AR1284+AR1285)*100</f>
        <v>100</v>
      </c>
      <c r="AT1263" s="279" t="e">
        <f>(AT1268+AT1271)/(AT1280+AT1284+AT1285)*100</f>
        <v>#DIV/0!</v>
      </c>
      <c r="AU1263" s="279" t="e">
        <f>(AU1268+AU1271)/(AU1280+AU1284+AU1285)*100</f>
        <v>#DIV/0!</v>
      </c>
      <c r="AW1263" s="279" t="e">
        <f>(AW1268+AW1271)/(AW1280+AW1284+AW1285)*100</f>
        <v>#DIV/0!</v>
      </c>
      <c r="AX1263" s="279" t="e">
        <f>(AX1268+AX1271)/(AX1280+AX1284+AX1285)*100</f>
        <v>#DIV/0!</v>
      </c>
      <c r="AZ1263" s="279" t="e">
        <f>(AZ1268+AZ1271)/(AZ1280+AZ1284+AZ1285)*100</f>
        <v>#DIV/0!</v>
      </c>
      <c r="BA1263" s="279" t="e">
        <f>(BA1268+BA1271)/(BA1280+BA1284+BA1285)*100</f>
        <v>#DIV/0!</v>
      </c>
      <c r="BC1263" s="279" t="e">
        <f>(BC1268+BC1271)/(BC1280+BC1284+BC1285)*100</f>
        <v>#DIV/0!</v>
      </c>
      <c r="BD1263" s="279" t="e">
        <f>(BD1268+BD1271)/(BD1280+BD1284+BD1285)*100</f>
        <v>#DIV/0!</v>
      </c>
      <c r="BF1263" s="279" t="e">
        <f>(BF1268+BF1271)/(BF1280+BF1284+BF1285)*100</f>
        <v>#DIV/0!</v>
      </c>
      <c r="BG1263" s="279" t="e">
        <f>(BG1268+BG1271)/(BG1280+BG1284+BG1285)*100</f>
        <v>#DIV/0!</v>
      </c>
      <c r="BI1263" s="279" t="e">
        <f>(BI1268+BI1271)/(BI1280+BI1284+BI1285)*100</f>
        <v>#DIV/0!</v>
      </c>
      <c r="BJ1263" s="279" t="e">
        <f>(BJ1268+BJ1271)/(BJ1280+BJ1284+BJ1285)*100</f>
        <v>#DIV/0!</v>
      </c>
      <c r="BL1263" s="279" t="e">
        <f>(BL1268+BL1271)/(BL1280+BL1284+BL1285)*100</f>
        <v>#DIV/0!</v>
      </c>
      <c r="BM1263" s="279" t="e">
        <f>(BM1268+BM1271)/(BM1280+BM1284+BM1285)*100</f>
        <v>#DIV/0!</v>
      </c>
      <c r="BO1263" s="279" t="e">
        <f>(BO1268+BO1271)/(BO1280+BO1284+BO1285)*100</f>
        <v>#DIV/0!</v>
      </c>
      <c r="BP1263" s="279" t="e">
        <f>(BP1268+BP1271)/(BP1280+BP1284+BP1285)*100</f>
        <v>#DIV/0!</v>
      </c>
      <c r="BR1263" s="279" t="e">
        <f>(BR1268+BR1271)/(BR1280+BR1284+BR1285)*100</f>
        <v>#DIV/0!</v>
      </c>
      <c r="BS1263" s="279" t="e">
        <f>(BS1268+BS1271)/(BS1280+BS1284+BS1285)*100</f>
        <v>#DIV/0!</v>
      </c>
      <c r="BU1263" s="279" t="e">
        <f>(BU1268+BU1271)/(BU1280+BU1284+BU1285)*100</f>
        <v>#DIV/0!</v>
      </c>
      <c r="BV1263" s="279" t="e">
        <f>(BV1268+BV1271)/(BV1280+BV1284+BV1285)*100</f>
        <v>#DIV/0!</v>
      </c>
      <c r="BX1263" s="279" t="e">
        <f>(BX1268+BX1271)/(BX1280+BX1284+BX1285)*100</f>
        <v>#DIV/0!</v>
      </c>
      <c r="BY1263" s="279" t="e">
        <f>(BY1268+BY1271)/(BY1280+BY1284+BY1285)*100</f>
        <v>#DIV/0!</v>
      </c>
      <c r="CA1263" s="279" t="e">
        <f>(CA1268+CA1271)/(CA1280+CA1284+CA1285)*100</f>
        <v>#DIV/0!</v>
      </c>
      <c r="CB1263" s="279" t="e">
        <f>(CB1268+CB1271)/(CB1280+CB1284+CB1285)*100</f>
        <v>#DIV/0!</v>
      </c>
      <c r="CD1263" s="279" t="e">
        <f>(CD1268+CD1271)/(CD1280+CD1284+CD1285)*100</f>
        <v>#DIV/0!</v>
      </c>
      <c r="CE1263" s="279" t="e">
        <f>(CE1268+CE1271)/(CE1280+CE1284+CE1285)*100</f>
        <v>#DIV/0!</v>
      </c>
      <c r="CG1263" s="279">
        <f>(CG1268+CG1271)/(CG1280+CG1284+CG1285)*100</f>
        <v>94.832041343669246</v>
      </c>
      <c r="CH1263" s="279">
        <f>(CH1268+CH1271)/(CH1280+CH1284+CH1285)*100</f>
        <v>92.768079800498754</v>
      </c>
      <c r="CJ1263" s="279" t="e">
        <f>(CJ1268+CJ1271)/(CJ1280+CJ1284+CJ1285)*100</f>
        <v>#DIV/0!</v>
      </c>
      <c r="CK1263" s="279" t="e">
        <f>(CK1268+CK1271)/(CK1280+CK1284+CK1285)*100</f>
        <v>#DIV/0!</v>
      </c>
    </row>
    <row r="1264" spans="1:89" x14ac:dyDescent="0.25">
      <c r="A1264" s="263"/>
      <c r="B1264" s="96" t="s">
        <v>1184</v>
      </c>
      <c r="C1264" s="107"/>
      <c r="D1264" s="95" t="s">
        <v>8</v>
      </c>
      <c r="E1264" s="279">
        <f t="shared" ref="E1264:K1264" si="1604">(E1269+E1270)/(E1279)*100</f>
        <v>99.639855942376954</v>
      </c>
      <c r="F1264" s="279">
        <f t="shared" si="1604"/>
        <v>100</v>
      </c>
      <c r="G1264" s="279">
        <f t="shared" si="1604"/>
        <v>99.578059071729967</v>
      </c>
      <c r="H1264" s="279">
        <f t="shared" si="1604"/>
        <v>100</v>
      </c>
      <c r="I1264" s="279">
        <f t="shared" si="1604"/>
        <v>99.890109890109898</v>
      </c>
      <c r="J1264" s="279">
        <f t="shared" si="1604"/>
        <v>100</v>
      </c>
      <c r="K1264" s="279">
        <f t="shared" si="1604"/>
        <v>100</v>
      </c>
      <c r="L1264" s="279" t="e">
        <f t="shared" ref="L1264:M1264" si="1605">(L1269+L1270)/(L1279)*100</f>
        <v>#DIV/0!</v>
      </c>
      <c r="M1264" s="279" t="e">
        <f t="shared" si="1605"/>
        <v>#DIV/0!</v>
      </c>
      <c r="N1264" s="279" t="e">
        <f t="shared" ref="N1264" si="1606">(N1269+N1270)/(N1279)*100</f>
        <v>#DIV/0!</v>
      </c>
      <c r="P1264" s="304"/>
      <c r="Q1264" s="279">
        <f>(Q1269+Q1270)/(Q1279)*100</f>
        <v>100</v>
      </c>
      <c r="R1264" s="279">
        <f>(R1269+R1270)/(R1279)*100</f>
        <v>98.257080610021788</v>
      </c>
      <c r="S1264" s="279" t="e">
        <f>(S1269+S1270)/(S1279)*100</f>
        <v>#DIV/0!</v>
      </c>
      <c r="T1264" s="279" t="e">
        <f>(T1269+T1270)/(T1279)*100</f>
        <v>#DIV/0!</v>
      </c>
      <c r="V1264" s="279" t="e">
        <f>(V1269+V1270)/(V1279)*100</f>
        <v>#DIV/0!</v>
      </c>
      <c r="W1264" s="279" t="e">
        <f>(W1269+W1270)/(W1279)*100</f>
        <v>#DIV/0!</v>
      </c>
      <c r="Y1264" s="279" t="e">
        <f>(Y1269+Y1270)/(Y1279)*100</f>
        <v>#DIV/0!</v>
      </c>
      <c r="Z1264" s="279" t="e">
        <f>(Z1269+Z1270)/(Z1279)*100</f>
        <v>#DIV/0!</v>
      </c>
      <c r="AB1264" s="279" t="e">
        <f>(AB1269+AB1270)/(AB1279)*100</f>
        <v>#DIV/0!</v>
      </c>
      <c r="AC1264" s="279" t="e">
        <f>(AC1269+AC1270)/(AC1279)*100</f>
        <v>#DIV/0!</v>
      </c>
      <c r="AE1264" s="279" t="e">
        <f>(AE1269+AE1270)/(AE1279)*100</f>
        <v>#DIV/0!</v>
      </c>
      <c r="AF1264" s="279" t="e">
        <f>(AF1269+AF1270)/(AF1279)*100</f>
        <v>#DIV/0!</v>
      </c>
      <c r="AH1264" s="279" t="e">
        <f>(AH1269+AH1270)/(AH1279)*100</f>
        <v>#DIV/0!</v>
      </c>
      <c r="AI1264" s="279" t="e">
        <f>(AI1269+AI1270)/(AI1279)*100</f>
        <v>#DIV/0!</v>
      </c>
      <c r="AK1264" s="279" t="e">
        <f>(AK1269+AK1270)/(AK1279)*100</f>
        <v>#DIV/0!</v>
      </c>
      <c r="AL1264" s="279" t="e">
        <f>(AL1269+AL1270)/(AL1279)*100</f>
        <v>#DIV/0!</v>
      </c>
      <c r="AN1264" s="279" t="e">
        <f>(AN1269+AN1270)/(AN1279)*100</f>
        <v>#DIV/0!</v>
      </c>
      <c r="AO1264" s="279" t="e">
        <f>(AO1269+AO1270)/(AO1279)*100</f>
        <v>#DIV/0!</v>
      </c>
      <c r="AQ1264" s="279" t="e">
        <f>(AQ1269+AQ1270)/(AQ1279)*100</f>
        <v>#DIV/0!</v>
      </c>
      <c r="AR1264" s="279" t="e">
        <f>(AR1269+AR1270)/(AR1279)*100</f>
        <v>#DIV/0!</v>
      </c>
      <c r="AT1264" s="279" t="e">
        <f>(AT1269+AT1270)/(AT1279)*100</f>
        <v>#DIV/0!</v>
      </c>
      <c r="AU1264" s="279" t="e">
        <f>(AU1269+AU1270)/(AU1279)*100</f>
        <v>#DIV/0!</v>
      </c>
      <c r="AW1264" s="279" t="e">
        <f>(AW1269+AW1270)/(AW1279)*100</f>
        <v>#DIV/0!</v>
      </c>
      <c r="AX1264" s="279" t="e">
        <f>(AX1269+AX1270)/(AX1279)*100</f>
        <v>#DIV/0!</v>
      </c>
      <c r="AZ1264" s="279" t="e">
        <f>(AZ1269+AZ1270)/(AZ1279)*100</f>
        <v>#DIV/0!</v>
      </c>
      <c r="BA1264" s="279" t="e">
        <f>(BA1269+BA1270)/(BA1279)*100</f>
        <v>#DIV/0!</v>
      </c>
      <c r="BC1264" s="279">
        <f>(BC1269+BC1270)/(BC1279)*100</f>
        <v>100</v>
      </c>
      <c r="BD1264" s="279">
        <f>(BD1269+BD1270)/(BD1279)*100</f>
        <v>100</v>
      </c>
      <c r="BF1264" s="279">
        <f>(BF1269+BF1270)/(BF1279)*100</f>
        <v>100</v>
      </c>
      <c r="BG1264" s="279">
        <f>(BG1269+BG1270)/(BG1279)*100</f>
        <v>100</v>
      </c>
      <c r="BI1264" s="279">
        <f>(BI1269+BI1270)/(BI1279)*100</f>
        <v>100</v>
      </c>
      <c r="BJ1264" s="279">
        <f>(BJ1269+BJ1270)/(BJ1279)*100</f>
        <v>100</v>
      </c>
      <c r="BL1264" s="279" t="e">
        <f>(BL1269+BL1270)/(BL1279)*100</f>
        <v>#DIV/0!</v>
      </c>
      <c r="BM1264" s="279" t="e">
        <f>(BM1269+BM1270)/(BM1279)*100</f>
        <v>#DIV/0!</v>
      </c>
      <c r="BO1264" s="279" t="e">
        <f>(BO1269+BO1270)/(BO1279)*100</f>
        <v>#DIV/0!</v>
      </c>
      <c r="BP1264" s="279" t="e">
        <f>(BP1269+BP1270)/(BP1279)*100</f>
        <v>#DIV/0!</v>
      </c>
      <c r="BR1264" s="279" t="e">
        <f>(BR1269+BR1270)/(BR1279)*100</f>
        <v>#DIV/0!</v>
      </c>
      <c r="BS1264" s="279" t="e">
        <f>(BS1269+BS1270)/(BS1279)*100</f>
        <v>#DIV/0!</v>
      </c>
      <c r="BU1264" s="279" t="e">
        <f>(BU1269+BU1270)/(BU1279)*100</f>
        <v>#DIV/0!</v>
      </c>
      <c r="BV1264" s="279" t="e">
        <f>(BV1269+BV1270)/(BV1279)*100</f>
        <v>#DIV/0!</v>
      </c>
      <c r="BX1264" s="279" t="e">
        <f>(BX1269+BX1270)/(BX1279)*100</f>
        <v>#DIV/0!</v>
      </c>
      <c r="BY1264" s="279" t="e">
        <f>(BY1269+BY1270)/(BY1279)*100</f>
        <v>#DIV/0!</v>
      </c>
      <c r="CA1264" s="279" t="e">
        <f>(CA1269+CA1270)/(CA1279)*100</f>
        <v>#DIV/0!</v>
      </c>
      <c r="CB1264" s="279" t="e">
        <f>(CB1269+CB1270)/(CB1279)*100</f>
        <v>#DIV/0!</v>
      </c>
      <c r="CD1264" s="279">
        <f>(CD1269+CD1270)/(CD1279)*100</f>
        <v>100</v>
      </c>
      <c r="CE1264" s="279">
        <f>(CE1269+CE1270)/(CE1279)*100</f>
        <v>87.4015748031496</v>
      </c>
      <c r="CG1264" s="279" t="e">
        <f>(CG1269+CG1270)/(CG1279)*100</f>
        <v>#DIV/0!</v>
      </c>
      <c r="CH1264" s="279" t="e">
        <f>(CH1269+CH1270)/(CH1279)*100</f>
        <v>#DIV/0!</v>
      </c>
      <c r="CJ1264" s="279" t="e">
        <f>(CJ1269+CJ1270)/(CJ1279)*100</f>
        <v>#DIV/0!</v>
      </c>
      <c r="CK1264" s="279" t="e">
        <f>(CK1269+CK1270)/(CK1279)*100</f>
        <v>#DIV/0!</v>
      </c>
    </row>
    <row r="1265" spans="1:89" x14ac:dyDescent="0.25">
      <c r="A1265" s="263"/>
      <c r="B1265" s="96" t="s">
        <v>1183</v>
      </c>
      <c r="C1265" s="107"/>
      <c r="D1265" s="95"/>
      <c r="E1265" s="279"/>
      <c r="F1265" s="279"/>
      <c r="G1265" s="279"/>
      <c r="H1265" s="279">
        <f t="shared" ref="H1265:K1266" si="1607">(H1269)/(H1287)*100</f>
        <v>100</v>
      </c>
      <c r="I1265" s="279">
        <f t="shared" si="1607"/>
        <v>99.890109890109898</v>
      </c>
      <c r="J1265" s="279">
        <f t="shared" si="1607"/>
        <v>100</v>
      </c>
      <c r="K1265" s="279">
        <f t="shared" si="1607"/>
        <v>100</v>
      </c>
      <c r="L1265" s="279" t="e">
        <f t="shared" ref="L1265:M1266" si="1608">(L1269)/(L1287)*100</f>
        <v>#DIV/0!</v>
      </c>
      <c r="M1265" s="279" t="e">
        <f t="shared" si="1608"/>
        <v>#DIV/0!</v>
      </c>
      <c r="N1265" s="279" t="e">
        <f t="shared" ref="N1265" si="1609">(N1269)/(N1287)*100</f>
        <v>#DIV/0!</v>
      </c>
      <c r="P1265" s="304"/>
      <c r="Q1265" s="279">
        <f t="shared" ref="Q1265:T1266" si="1610">(Q1269)/(Q1287)*100</f>
        <v>100</v>
      </c>
      <c r="R1265" s="279">
        <f t="shared" si="1610"/>
        <v>98.257080610021788</v>
      </c>
      <c r="S1265" s="279" t="e">
        <f t="shared" si="1610"/>
        <v>#DIV/0!</v>
      </c>
      <c r="T1265" s="279" t="e">
        <f t="shared" si="1610"/>
        <v>#DIV/0!</v>
      </c>
      <c r="V1265" s="279" t="e">
        <f>(V1269)/(V1287)*100</f>
        <v>#DIV/0!</v>
      </c>
      <c r="W1265" s="279" t="e">
        <f>(W1269)/(W1287)*100</f>
        <v>#DIV/0!</v>
      </c>
      <c r="Y1265" s="279" t="e">
        <f>(Y1269)/(Y1287)*100</f>
        <v>#DIV/0!</v>
      </c>
      <c r="Z1265" s="279" t="e">
        <f>(Z1269)/(Z1287)*100</f>
        <v>#DIV/0!</v>
      </c>
      <c r="AB1265" s="279" t="e">
        <f>(AB1269)/(AB1287)*100</f>
        <v>#DIV/0!</v>
      </c>
      <c r="AC1265" s="279" t="e">
        <f>(AC1269)/(AC1287)*100</f>
        <v>#DIV/0!</v>
      </c>
      <c r="AE1265" s="279" t="e">
        <f>(AE1269)/(AE1287)*100</f>
        <v>#DIV/0!</v>
      </c>
      <c r="AF1265" s="279" t="e">
        <f>(AF1269)/(AF1287)*100</f>
        <v>#DIV/0!</v>
      </c>
      <c r="AH1265" s="279" t="e">
        <f>(AH1269)/(AH1287)*100</f>
        <v>#DIV/0!</v>
      </c>
      <c r="AI1265" s="279" t="e">
        <f>(AI1269)/(AI1287)*100</f>
        <v>#DIV/0!</v>
      </c>
      <c r="AK1265" s="279" t="e">
        <f>(AK1269)/(AK1287)*100</f>
        <v>#DIV/0!</v>
      </c>
      <c r="AL1265" s="279" t="e">
        <f>(AL1269)/(AL1287)*100</f>
        <v>#DIV/0!</v>
      </c>
      <c r="AN1265" s="279" t="e">
        <f>(AN1269)/(AN1287)*100</f>
        <v>#DIV/0!</v>
      </c>
      <c r="AO1265" s="279" t="e">
        <f>(AO1269)/(AO1287)*100</f>
        <v>#DIV/0!</v>
      </c>
      <c r="AQ1265" s="279" t="e">
        <f>(AQ1269)/(AQ1287)*100</f>
        <v>#DIV/0!</v>
      </c>
      <c r="AR1265" s="279" t="e">
        <f>(AR1269)/(AR1287)*100</f>
        <v>#DIV/0!</v>
      </c>
      <c r="AT1265" s="279" t="e">
        <f>(AT1269)/(AT1287)*100</f>
        <v>#DIV/0!</v>
      </c>
      <c r="AU1265" s="279" t="e">
        <f>(AU1269)/(AU1287)*100</f>
        <v>#DIV/0!</v>
      </c>
      <c r="AW1265" s="279" t="e">
        <f>(AW1269)/(AW1287)*100</f>
        <v>#DIV/0!</v>
      </c>
      <c r="AX1265" s="279" t="e">
        <f>(AX1269)/(AX1287)*100</f>
        <v>#DIV/0!</v>
      </c>
      <c r="AZ1265" s="279" t="e">
        <f>(AZ1269)/(AZ1287)*100</f>
        <v>#DIV/0!</v>
      </c>
      <c r="BA1265" s="279" t="e">
        <f>(BA1269)/(BA1287)*100</f>
        <v>#DIV/0!</v>
      </c>
      <c r="BC1265" s="279">
        <f>(BC1269)/(BC1287)*100</f>
        <v>100</v>
      </c>
      <c r="BD1265" s="279">
        <f>(BD1269)/(BD1287)*100</f>
        <v>100</v>
      </c>
      <c r="BF1265" s="279">
        <f>(BF1269)/(BF1287)*100</f>
        <v>100</v>
      </c>
      <c r="BG1265" s="279">
        <f>(BG1269)/(BG1287)*100</f>
        <v>100</v>
      </c>
      <c r="BI1265" s="279">
        <f>(BI1269)/(BI1287)*100</f>
        <v>100</v>
      </c>
      <c r="BJ1265" s="279">
        <f>(BJ1269)/(BJ1287)*100</f>
        <v>100</v>
      </c>
      <c r="BL1265" s="279" t="e">
        <f>(BL1269)/(BL1287)*100</f>
        <v>#DIV/0!</v>
      </c>
      <c r="BM1265" s="279" t="e">
        <f>(BM1269)/(BM1287)*100</f>
        <v>#DIV/0!</v>
      </c>
      <c r="BO1265" s="279" t="e">
        <f>(BO1269)/(BO1287)*100</f>
        <v>#DIV/0!</v>
      </c>
      <c r="BP1265" s="279" t="e">
        <f>(BP1269)/(BP1287)*100</f>
        <v>#DIV/0!</v>
      </c>
      <c r="BR1265" s="279" t="e">
        <f>(BR1269)/(BR1287)*100</f>
        <v>#DIV/0!</v>
      </c>
      <c r="BS1265" s="279" t="e">
        <f>(BS1269)/(BS1287)*100</f>
        <v>#DIV/0!</v>
      </c>
      <c r="BU1265" s="279" t="e">
        <f>(BU1269)/(BU1287)*100</f>
        <v>#DIV/0!</v>
      </c>
      <c r="BV1265" s="279" t="e">
        <f>(BV1269)/(BV1287)*100</f>
        <v>#DIV/0!</v>
      </c>
      <c r="BX1265" s="279" t="e">
        <f>(BX1269)/(BX1287)*100</f>
        <v>#DIV/0!</v>
      </c>
      <c r="BY1265" s="279" t="e">
        <f>(BY1269)/(BY1287)*100</f>
        <v>#DIV/0!</v>
      </c>
      <c r="CA1265" s="279" t="e">
        <f>(CA1269)/(CA1287)*100</f>
        <v>#DIV/0!</v>
      </c>
      <c r="CB1265" s="279" t="e">
        <f>(CB1269)/(CB1287)*100</f>
        <v>#DIV/0!</v>
      </c>
      <c r="CD1265" s="279">
        <f>(CD1269)/(CD1287)*100</f>
        <v>100</v>
      </c>
      <c r="CE1265" s="279">
        <f>(CE1269)/(CE1287)*100</f>
        <v>87.4015748031496</v>
      </c>
      <c r="CG1265" s="279" t="e">
        <f>(CG1269)/(CG1287)*100</f>
        <v>#DIV/0!</v>
      </c>
      <c r="CH1265" s="279" t="e">
        <f>(CH1269)/(CH1287)*100</f>
        <v>#DIV/0!</v>
      </c>
      <c r="CJ1265" s="279" t="e">
        <f>(CJ1269)/(CJ1287)*100</f>
        <v>#DIV/0!</v>
      </c>
      <c r="CK1265" s="279" t="e">
        <f>(CK1269)/(CK1287)*100</f>
        <v>#DIV/0!</v>
      </c>
    </row>
    <row r="1266" spans="1:89" x14ac:dyDescent="0.25">
      <c r="A1266" s="263"/>
      <c r="B1266" s="16" t="s">
        <v>1185</v>
      </c>
      <c r="C1266" s="107"/>
      <c r="D1266" s="95"/>
      <c r="E1266" s="279"/>
      <c r="F1266" s="279"/>
      <c r="G1266" s="279"/>
      <c r="H1266" s="279" t="e">
        <f t="shared" si="1607"/>
        <v>#DIV/0!</v>
      </c>
      <c r="I1266" s="279" t="e">
        <f t="shared" si="1607"/>
        <v>#DIV/0!</v>
      </c>
      <c r="J1266" s="279" t="e">
        <f t="shared" si="1607"/>
        <v>#DIV/0!</v>
      </c>
      <c r="K1266" s="279" t="e">
        <f t="shared" si="1607"/>
        <v>#DIV/0!</v>
      </c>
      <c r="L1266" s="279" t="e">
        <f t="shared" ref="L1266" si="1611">(L1270)/(L1288)*100</f>
        <v>#DIV/0!</v>
      </c>
      <c r="M1266" s="279" t="e">
        <f t="shared" si="1608"/>
        <v>#DIV/0!</v>
      </c>
      <c r="N1266" s="279" t="e">
        <f t="shared" ref="N1266" si="1612">(N1270)/(N1288)*100</f>
        <v>#DIV/0!</v>
      </c>
      <c r="P1266" s="304"/>
      <c r="Q1266" s="279" t="e">
        <f t="shared" si="1610"/>
        <v>#DIV/0!</v>
      </c>
      <c r="R1266" s="279" t="e">
        <f t="shared" si="1610"/>
        <v>#DIV/0!</v>
      </c>
      <c r="S1266" s="279" t="e">
        <f t="shared" si="1610"/>
        <v>#DIV/0!</v>
      </c>
      <c r="T1266" s="279" t="e">
        <f t="shared" si="1610"/>
        <v>#DIV/0!</v>
      </c>
      <c r="V1266" s="279" t="e">
        <f>(V1270)/(V1288)*100</f>
        <v>#DIV/0!</v>
      </c>
      <c r="W1266" s="279" t="e">
        <f>(W1270)/(W1288)*100</f>
        <v>#DIV/0!</v>
      </c>
      <c r="Y1266" s="279" t="e">
        <f>(Y1270)/(Y1288)*100</f>
        <v>#DIV/0!</v>
      </c>
      <c r="Z1266" s="279" t="e">
        <f>(Z1270)/(Z1288)*100</f>
        <v>#DIV/0!</v>
      </c>
      <c r="AB1266" s="279" t="e">
        <f>(AB1270)/(AB1288)*100</f>
        <v>#DIV/0!</v>
      </c>
      <c r="AC1266" s="279" t="e">
        <f>(AC1270)/(AC1288)*100</f>
        <v>#DIV/0!</v>
      </c>
      <c r="AE1266" s="279" t="e">
        <f>(AE1270)/(AE1288)*100</f>
        <v>#DIV/0!</v>
      </c>
      <c r="AF1266" s="279" t="e">
        <f>(AF1270)/(AF1288)*100</f>
        <v>#DIV/0!</v>
      </c>
      <c r="AH1266" s="279" t="e">
        <f>(AH1270)/(AH1288)*100</f>
        <v>#DIV/0!</v>
      </c>
      <c r="AI1266" s="279" t="e">
        <f>(AI1270)/(AI1288)*100</f>
        <v>#DIV/0!</v>
      </c>
      <c r="AK1266" s="279" t="e">
        <f>(AK1270)/(AK1288)*100</f>
        <v>#DIV/0!</v>
      </c>
      <c r="AL1266" s="279" t="e">
        <f>(AL1270)/(AL1288)*100</f>
        <v>#DIV/0!</v>
      </c>
      <c r="AN1266" s="279" t="e">
        <f>(AN1270)/(AN1288)*100</f>
        <v>#DIV/0!</v>
      </c>
      <c r="AO1266" s="279" t="e">
        <f>(AO1270)/(AO1288)*100</f>
        <v>#DIV/0!</v>
      </c>
      <c r="AQ1266" s="279" t="e">
        <f>(AQ1270)/(AQ1288)*100</f>
        <v>#DIV/0!</v>
      </c>
      <c r="AR1266" s="279" t="e">
        <f>(AR1270)/(AR1288)*100</f>
        <v>#DIV/0!</v>
      </c>
      <c r="AT1266" s="279" t="e">
        <f>(AT1270)/(AT1288)*100</f>
        <v>#DIV/0!</v>
      </c>
      <c r="AU1266" s="279" t="e">
        <f>(AU1270)/(AU1288)*100</f>
        <v>#DIV/0!</v>
      </c>
      <c r="AW1266" s="279" t="e">
        <f>(AW1270)/(AW1288)*100</f>
        <v>#DIV/0!</v>
      </c>
      <c r="AX1266" s="279" t="e">
        <f>(AX1270)/(AX1288)*100</f>
        <v>#DIV/0!</v>
      </c>
      <c r="AZ1266" s="279" t="e">
        <f>(AZ1270)/(AZ1288)*100</f>
        <v>#DIV/0!</v>
      </c>
      <c r="BA1266" s="279" t="e">
        <f>(BA1270)/(BA1288)*100</f>
        <v>#DIV/0!</v>
      </c>
      <c r="BC1266" s="279" t="e">
        <f>(BC1270)/(BC1288)*100</f>
        <v>#DIV/0!</v>
      </c>
      <c r="BD1266" s="279" t="e">
        <f>(BD1270)/(BD1288)*100</f>
        <v>#DIV/0!</v>
      </c>
      <c r="BF1266" s="279" t="e">
        <f>(BF1270)/(BF1288)*100</f>
        <v>#DIV/0!</v>
      </c>
      <c r="BG1266" s="279" t="e">
        <f>(BG1270)/(BG1288)*100</f>
        <v>#DIV/0!</v>
      </c>
      <c r="BI1266" s="279" t="e">
        <f>(BI1270)/(BI1288)*100</f>
        <v>#DIV/0!</v>
      </c>
      <c r="BJ1266" s="279" t="e">
        <f>(BJ1270)/(BJ1288)*100</f>
        <v>#DIV/0!</v>
      </c>
      <c r="BL1266" s="279" t="e">
        <f>(BL1270)/(BL1288)*100</f>
        <v>#DIV/0!</v>
      </c>
      <c r="BM1266" s="279" t="e">
        <f>(BM1270)/(BM1288)*100</f>
        <v>#DIV/0!</v>
      </c>
      <c r="BO1266" s="279" t="e">
        <f>(BO1270)/(BO1288)*100</f>
        <v>#DIV/0!</v>
      </c>
      <c r="BP1266" s="279" t="e">
        <f>(BP1270)/(BP1288)*100</f>
        <v>#DIV/0!</v>
      </c>
      <c r="BR1266" s="279" t="e">
        <f>(BR1270)/(BR1288)*100</f>
        <v>#DIV/0!</v>
      </c>
      <c r="BS1266" s="279" t="e">
        <f>(BS1270)/(BS1288)*100</f>
        <v>#DIV/0!</v>
      </c>
      <c r="BU1266" s="279" t="e">
        <f>(BU1270)/(BU1288)*100</f>
        <v>#DIV/0!</v>
      </c>
      <c r="BV1266" s="279" t="e">
        <f>(BV1270)/(BV1288)*100</f>
        <v>#DIV/0!</v>
      </c>
      <c r="BX1266" s="279" t="e">
        <f>(BX1270)/(BX1288)*100</f>
        <v>#DIV/0!</v>
      </c>
      <c r="BY1266" s="279" t="e">
        <f>(BY1270)/(BY1288)*100</f>
        <v>#DIV/0!</v>
      </c>
      <c r="CA1266" s="279" t="e">
        <f>(CA1270)/(CA1288)*100</f>
        <v>#DIV/0!</v>
      </c>
      <c r="CB1266" s="279" t="e">
        <f>(CB1270)/(CB1288)*100</f>
        <v>#DIV/0!</v>
      </c>
      <c r="CD1266" s="279" t="e">
        <f>(CD1270)/(CD1288)*100</f>
        <v>#DIV/0!</v>
      </c>
      <c r="CE1266" s="279" t="e">
        <f>(CE1270)/(CE1288)*100</f>
        <v>#DIV/0!</v>
      </c>
      <c r="CG1266" s="279" t="e">
        <f>(CG1270)/(CG1288)*100</f>
        <v>#DIV/0!</v>
      </c>
      <c r="CH1266" s="279" t="e">
        <f>(CH1270)/(CH1288)*100</f>
        <v>#DIV/0!</v>
      </c>
      <c r="CJ1266" s="279" t="e">
        <f>(CJ1270)/(CJ1288)*100</f>
        <v>#DIV/0!</v>
      </c>
      <c r="CK1266" s="279" t="e">
        <f>(CK1270)/(CK1288)*100</f>
        <v>#DIV/0!</v>
      </c>
    </row>
    <row r="1267" spans="1:89" ht="30" x14ac:dyDescent="0.25">
      <c r="A1267" s="416"/>
      <c r="B1267" s="419" t="s">
        <v>251</v>
      </c>
      <c r="C1267" s="95" t="s">
        <v>1244</v>
      </c>
      <c r="D1267" s="95" t="s">
        <v>950</v>
      </c>
      <c r="E1267" s="282">
        <v>167211</v>
      </c>
      <c r="F1267" s="282">
        <v>171871</v>
      </c>
      <c r="G1267" s="282">
        <v>176773</v>
      </c>
      <c r="H1267" s="282">
        <f t="shared" ref="H1267:K1268" si="1613">H1273</f>
        <v>182633</v>
      </c>
      <c r="I1267" s="282">
        <f t="shared" si="1613"/>
        <v>189586</v>
      </c>
      <c r="J1267" s="282">
        <f t="shared" si="1613"/>
        <v>195732</v>
      </c>
      <c r="K1267" s="282">
        <f t="shared" si="1613"/>
        <v>193831</v>
      </c>
      <c r="L1267" s="282">
        <f t="shared" ref="L1267:M1268" si="1614">L1273</f>
        <v>2456</v>
      </c>
      <c r="M1267" s="282">
        <f t="shared" si="1614"/>
        <v>2438</v>
      </c>
      <c r="N1267" s="282">
        <f t="shared" ref="N1267" si="1615">N1273</f>
        <v>2451</v>
      </c>
      <c r="P1267" s="304"/>
      <c r="Q1267" s="282">
        <f t="shared" ref="Q1267:T1268" si="1616">Q1273</f>
        <v>193831</v>
      </c>
      <c r="R1267" s="282">
        <f t="shared" si="1616"/>
        <v>199820</v>
      </c>
      <c r="S1267" s="282">
        <f t="shared" si="1616"/>
        <v>2655</v>
      </c>
      <c r="T1267" s="282">
        <f t="shared" si="1616"/>
        <v>2777</v>
      </c>
      <c r="V1267" s="282">
        <f>V1273</f>
        <v>2155</v>
      </c>
      <c r="W1267" s="282">
        <f>W1273</f>
        <v>2118</v>
      </c>
      <c r="Y1267" s="282">
        <f>Y1273</f>
        <v>2950</v>
      </c>
      <c r="Z1267" s="282">
        <f>Z1273</f>
        <v>2917</v>
      </c>
      <c r="AB1267" s="282">
        <f>AB1273</f>
        <v>2864</v>
      </c>
      <c r="AC1267" s="282">
        <f>AC1273</f>
        <v>2861</v>
      </c>
      <c r="AE1267" s="282">
        <f>AE1273</f>
        <v>2823</v>
      </c>
      <c r="AF1267" s="282">
        <f>AF1273</f>
        <v>2851</v>
      </c>
      <c r="AH1267" s="282">
        <f>AH1273</f>
        <v>2480</v>
      </c>
      <c r="AI1267" s="282">
        <f>AI1273</f>
        <v>2456</v>
      </c>
      <c r="AK1267" s="282">
        <f>AK1273</f>
        <v>5782</v>
      </c>
      <c r="AL1267" s="282">
        <f>AL1273</f>
        <v>5855</v>
      </c>
      <c r="AN1267" s="282">
        <f>AN1273</f>
        <v>11912</v>
      </c>
      <c r="AO1267" s="282">
        <f>AO1273</f>
        <v>11962</v>
      </c>
      <c r="AQ1267" s="282">
        <f>AQ1273</f>
        <v>0</v>
      </c>
      <c r="AR1267" s="282">
        <f>AR1273</f>
        <v>0</v>
      </c>
      <c r="AT1267" s="282">
        <f>AT1273</f>
        <v>10555</v>
      </c>
      <c r="AU1267" s="282">
        <f>AU1273</f>
        <v>11576</v>
      </c>
      <c r="AW1267" s="282">
        <f>AW1273</f>
        <v>5249</v>
      </c>
      <c r="AX1267" s="282">
        <f>AX1273</f>
        <v>5310</v>
      </c>
      <c r="AZ1267" s="282">
        <f>AZ1273</f>
        <v>7294</v>
      </c>
      <c r="BA1267" s="282">
        <f>BA1273</f>
        <v>7206</v>
      </c>
      <c r="BC1267" s="282">
        <f>BC1273</f>
        <v>14538</v>
      </c>
      <c r="BD1267" s="282">
        <f>BD1273</f>
        <v>14814</v>
      </c>
      <c r="BF1267" s="282">
        <f>BF1273</f>
        <v>33910</v>
      </c>
      <c r="BG1267" s="282">
        <f>BG1273</f>
        <v>34107</v>
      </c>
      <c r="BI1267" s="282">
        <f>BI1273</f>
        <v>51084</v>
      </c>
      <c r="BJ1267" s="282">
        <f>BJ1273</f>
        <v>53443</v>
      </c>
      <c r="BL1267" s="282">
        <f>BL1273</f>
        <v>3627</v>
      </c>
      <c r="BM1267" s="282">
        <f>BM1273</f>
        <v>3925</v>
      </c>
      <c r="BO1267" s="282">
        <f>BO1273</f>
        <v>3887</v>
      </c>
      <c r="BP1267" s="282">
        <f>BP1273</f>
        <v>4632</v>
      </c>
      <c r="BR1267" s="282">
        <f>BR1273</f>
        <v>8022</v>
      </c>
      <c r="BS1267" s="282">
        <f>BS1273</f>
        <v>8094</v>
      </c>
      <c r="BU1267" s="282">
        <f>BU1273</f>
        <v>7956</v>
      </c>
      <c r="BV1267" s="282">
        <f>BV1273</f>
        <v>8131</v>
      </c>
      <c r="BX1267" s="282">
        <f>BX1273</f>
        <v>2000</v>
      </c>
      <c r="BY1267" s="282">
        <f>BY1273</f>
        <v>2023</v>
      </c>
      <c r="CA1267" s="282">
        <f>CA1273</f>
        <v>5712</v>
      </c>
      <c r="CB1267" s="282">
        <f>CB1273</f>
        <v>5816</v>
      </c>
      <c r="CD1267" s="282">
        <f>CD1273</f>
        <v>4115</v>
      </c>
      <c r="CE1267" s="282">
        <f>CE1273</f>
        <v>4668</v>
      </c>
      <c r="CG1267" s="282">
        <f>CG1273</f>
        <v>2261</v>
      </c>
      <c r="CH1267" s="282">
        <f>CH1273</f>
        <v>2278</v>
      </c>
      <c r="CJ1267" s="282">
        <f>CJ1273</f>
        <v>0</v>
      </c>
      <c r="CK1267" s="282">
        <f>CK1273</f>
        <v>0</v>
      </c>
    </row>
    <row r="1268" spans="1:89" ht="30" x14ac:dyDescent="0.25">
      <c r="A1268" s="417"/>
      <c r="B1268" s="420"/>
      <c r="C1268" s="95" t="s">
        <v>1245</v>
      </c>
      <c r="D1268" s="95" t="s">
        <v>950</v>
      </c>
      <c r="E1268" s="282">
        <v>16269</v>
      </c>
      <c r="F1268" s="282">
        <v>16399</v>
      </c>
      <c r="G1268" s="282">
        <v>16716</v>
      </c>
      <c r="H1268" s="282">
        <f t="shared" si="1613"/>
        <v>16906</v>
      </c>
      <c r="I1268" s="282">
        <f t="shared" si="1613"/>
        <v>17303</v>
      </c>
      <c r="J1268" s="282">
        <f t="shared" si="1613"/>
        <v>17551</v>
      </c>
      <c r="K1268" s="282">
        <f t="shared" si="1613"/>
        <v>17542</v>
      </c>
      <c r="L1268" s="282">
        <f t="shared" ref="L1268" si="1617">L1274</f>
        <v>1962</v>
      </c>
      <c r="M1268" s="282">
        <f t="shared" si="1614"/>
        <v>1925</v>
      </c>
      <c r="N1268" s="282">
        <f t="shared" ref="N1268" si="1618">N1274</f>
        <v>1865</v>
      </c>
      <c r="P1268" s="304"/>
      <c r="Q1268" s="282">
        <f t="shared" si="1616"/>
        <v>17542</v>
      </c>
      <c r="R1268" s="282">
        <f t="shared" si="1616"/>
        <v>17316</v>
      </c>
      <c r="S1268" s="282">
        <f t="shared" si="1616"/>
        <v>1264</v>
      </c>
      <c r="T1268" s="282">
        <f t="shared" si="1616"/>
        <v>1262</v>
      </c>
      <c r="V1268" s="282">
        <f>V1274</f>
        <v>1431</v>
      </c>
      <c r="W1268" s="282">
        <f>W1274</f>
        <v>1364</v>
      </c>
      <c r="Y1268" s="282">
        <f>Y1274</f>
        <v>1458</v>
      </c>
      <c r="Z1268" s="282">
        <f>Z1274</f>
        <v>1412</v>
      </c>
      <c r="AB1268" s="282">
        <f>AB1274</f>
        <v>2204</v>
      </c>
      <c r="AC1268" s="282">
        <f>AC1274</f>
        <v>2173</v>
      </c>
      <c r="AE1268" s="282">
        <f>AE1274</f>
        <v>987</v>
      </c>
      <c r="AF1268" s="282">
        <f>AF1274</f>
        <v>905</v>
      </c>
      <c r="AH1268" s="282">
        <f>AH1274</f>
        <v>1969</v>
      </c>
      <c r="AI1268" s="282">
        <f>AI1274</f>
        <v>1962</v>
      </c>
      <c r="AK1268" s="282">
        <f>AK1274</f>
        <v>268</v>
      </c>
      <c r="AL1268" s="282">
        <f>AL1274</f>
        <v>272</v>
      </c>
      <c r="AN1268" s="282">
        <f>AN1274</f>
        <v>5447</v>
      </c>
      <c r="AO1268" s="282">
        <f>AO1274</f>
        <v>5434</v>
      </c>
      <c r="AQ1268" s="282">
        <f>AQ1274</f>
        <v>2147</v>
      </c>
      <c r="AR1268" s="282">
        <f>AR1274</f>
        <v>2160</v>
      </c>
      <c r="AT1268" s="282">
        <f>AT1274</f>
        <v>0</v>
      </c>
      <c r="AU1268" s="282">
        <f>AU1274</f>
        <v>0</v>
      </c>
      <c r="AW1268" s="282">
        <f>AW1274</f>
        <v>0</v>
      </c>
      <c r="AX1268" s="282">
        <f>AX1274</f>
        <v>0</v>
      </c>
      <c r="AZ1268" s="282">
        <f>AZ1274</f>
        <v>0</v>
      </c>
      <c r="BA1268" s="282">
        <f>BA1274</f>
        <v>0</v>
      </c>
      <c r="BC1268" s="282">
        <f>BC1274</f>
        <v>0</v>
      </c>
      <c r="BD1268" s="282">
        <f>BD1274</f>
        <v>0</v>
      </c>
      <c r="BF1268" s="282">
        <f>BF1274</f>
        <v>0</v>
      </c>
      <c r="BG1268" s="282">
        <f>BG1274</f>
        <v>0</v>
      </c>
      <c r="BI1268" s="282">
        <f>BI1274</f>
        <v>0</v>
      </c>
      <c r="BJ1268" s="282">
        <f>BJ1274</f>
        <v>0</v>
      </c>
      <c r="BL1268" s="282">
        <f>BL1274</f>
        <v>0</v>
      </c>
      <c r="BM1268" s="282">
        <f>BM1274</f>
        <v>0</v>
      </c>
      <c r="BO1268" s="282">
        <f>BO1274</f>
        <v>0</v>
      </c>
      <c r="BP1268" s="282">
        <f>BP1274</f>
        <v>0</v>
      </c>
      <c r="BR1268" s="282">
        <f>BR1274</f>
        <v>0</v>
      </c>
      <c r="BS1268" s="282">
        <f>BS1274</f>
        <v>0</v>
      </c>
      <c r="BU1268" s="282">
        <f>BU1274</f>
        <v>0</v>
      </c>
      <c r="BV1268" s="282">
        <f>BV1274</f>
        <v>0</v>
      </c>
      <c r="BX1268" s="282">
        <f>BX1274</f>
        <v>0</v>
      </c>
      <c r="BY1268" s="282">
        <f>BY1274</f>
        <v>0</v>
      </c>
      <c r="CA1268" s="282">
        <f>CA1274</f>
        <v>0</v>
      </c>
      <c r="CB1268" s="282">
        <f>CB1274</f>
        <v>0</v>
      </c>
      <c r="CD1268" s="282">
        <f>CD1274</f>
        <v>0</v>
      </c>
      <c r="CE1268" s="282">
        <f>CE1274</f>
        <v>0</v>
      </c>
      <c r="CG1268" s="282">
        <f>CG1274</f>
        <v>367</v>
      </c>
      <c r="CH1268" s="282">
        <f>CH1274</f>
        <v>372</v>
      </c>
      <c r="CJ1268" s="282">
        <f>CJ1274</f>
        <v>0</v>
      </c>
      <c r="CK1268" s="282">
        <f>CK1274</f>
        <v>0</v>
      </c>
    </row>
    <row r="1269" spans="1:89" ht="30" x14ac:dyDescent="0.25">
      <c r="A1269" s="417"/>
      <c r="B1269" s="420"/>
      <c r="C1269" s="95" t="s">
        <v>1246</v>
      </c>
      <c r="D1269" s="95" t="s">
        <v>950</v>
      </c>
      <c r="E1269" s="282">
        <v>830</v>
      </c>
      <c r="F1269" s="282">
        <v>883</v>
      </c>
      <c r="G1269" s="282">
        <v>944</v>
      </c>
      <c r="H1269" s="282">
        <f t="shared" ref="H1269:J1270" si="1619">H1276</f>
        <v>826</v>
      </c>
      <c r="I1269" s="282">
        <f t="shared" si="1619"/>
        <v>909</v>
      </c>
      <c r="J1269" s="282">
        <f t="shared" si="1619"/>
        <v>923</v>
      </c>
      <c r="K1269" s="282">
        <f>K1276</f>
        <v>928</v>
      </c>
      <c r="L1269" s="282">
        <f>L1276</f>
        <v>0</v>
      </c>
      <c r="M1269" s="282">
        <f t="shared" ref="M1269:N1270" si="1620">M1276</f>
        <v>0</v>
      </c>
      <c r="N1269" s="282">
        <f t="shared" si="1620"/>
        <v>0</v>
      </c>
      <c r="P1269" s="304"/>
      <c r="Q1269" s="282">
        <f t="shared" ref="Q1269:T1270" si="1621">Q1276</f>
        <v>928</v>
      </c>
      <c r="R1269" s="282">
        <f t="shared" si="1621"/>
        <v>902</v>
      </c>
      <c r="S1269" s="282">
        <f t="shared" si="1621"/>
        <v>0</v>
      </c>
      <c r="T1269" s="282">
        <f t="shared" si="1621"/>
        <v>0</v>
      </c>
      <c r="V1269" s="282">
        <f>V1276</f>
        <v>0</v>
      </c>
      <c r="W1269" s="282">
        <f>W1276</f>
        <v>0</v>
      </c>
      <c r="Y1269" s="282">
        <f>Y1276</f>
        <v>0</v>
      </c>
      <c r="Z1269" s="282">
        <f>Z1276</f>
        <v>0</v>
      </c>
      <c r="AB1269" s="282">
        <f>AB1276</f>
        <v>0</v>
      </c>
      <c r="AC1269" s="282">
        <f>AC1276</f>
        <v>0</v>
      </c>
      <c r="AE1269" s="282">
        <f>AE1276</f>
        <v>0</v>
      </c>
      <c r="AF1269" s="282">
        <f>AF1276</f>
        <v>0</v>
      </c>
      <c r="AH1269" s="282">
        <f>AH1276</f>
        <v>0</v>
      </c>
      <c r="AI1269" s="282">
        <f>AI1276</f>
        <v>0</v>
      </c>
      <c r="AK1269" s="282">
        <f>AK1276</f>
        <v>0</v>
      </c>
      <c r="AL1269" s="282">
        <f>AL1276</f>
        <v>0</v>
      </c>
      <c r="AN1269" s="282">
        <f>AN1276</f>
        <v>0</v>
      </c>
      <c r="AO1269" s="282">
        <f>AO1276</f>
        <v>0</v>
      </c>
      <c r="AQ1269" s="282">
        <f>AQ1276</f>
        <v>0</v>
      </c>
      <c r="AR1269" s="282">
        <f>AR1276</f>
        <v>0</v>
      </c>
      <c r="AT1269" s="282">
        <f>AT1276</f>
        <v>0</v>
      </c>
      <c r="AU1269" s="282">
        <f>AU1276</f>
        <v>0</v>
      </c>
      <c r="AW1269" s="282">
        <f>AW1276</f>
        <v>0</v>
      </c>
      <c r="AX1269" s="282">
        <f>AX1276</f>
        <v>0</v>
      </c>
      <c r="AZ1269" s="282">
        <f>AZ1276</f>
        <v>0</v>
      </c>
      <c r="BA1269" s="282">
        <f>BA1276</f>
        <v>0</v>
      </c>
      <c r="BC1269" s="282">
        <f>BC1276</f>
        <v>187</v>
      </c>
      <c r="BD1269" s="282">
        <f>BD1276</f>
        <v>188</v>
      </c>
      <c r="BF1269" s="282">
        <f>BF1276</f>
        <v>187</v>
      </c>
      <c r="BG1269" s="282">
        <f>BG1276</f>
        <v>179</v>
      </c>
      <c r="BI1269" s="282">
        <f>BI1276</f>
        <v>436</v>
      </c>
      <c r="BJ1269" s="282">
        <f>BJ1276</f>
        <v>424</v>
      </c>
      <c r="BL1269" s="282">
        <f>BL1276</f>
        <v>0</v>
      </c>
      <c r="BM1269" s="282">
        <f>BM1276</f>
        <v>0</v>
      </c>
      <c r="BO1269" s="282">
        <f>BO1276</f>
        <v>0</v>
      </c>
      <c r="BP1269" s="282">
        <f>BP1276</f>
        <v>0</v>
      </c>
      <c r="BR1269" s="282">
        <f>BR1276</f>
        <v>0</v>
      </c>
      <c r="BS1269" s="282">
        <f>BS1276</f>
        <v>0</v>
      </c>
      <c r="BU1269" s="282">
        <f>BU1276</f>
        <v>0</v>
      </c>
      <c r="BV1269" s="282">
        <f>BV1276</f>
        <v>0</v>
      </c>
      <c r="BX1269" s="282">
        <f>BX1276</f>
        <v>0</v>
      </c>
      <c r="BY1269" s="282">
        <f>BY1276</f>
        <v>0</v>
      </c>
      <c r="CA1269" s="282">
        <f>CA1276</f>
        <v>0</v>
      </c>
      <c r="CB1269" s="282">
        <f>CB1276</f>
        <v>0</v>
      </c>
      <c r="CD1269" s="282">
        <f>CD1276</f>
        <v>118</v>
      </c>
      <c r="CE1269" s="282">
        <f>CE1276</f>
        <v>111</v>
      </c>
      <c r="CG1269" s="282">
        <f>CG1276</f>
        <v>0</v>
      </c>
      <c r="CH1269" s="282">
        <f>CH1276</f>
        <v>0</v>
      </c>
      <c r="CJ1269" s="282">
        <f>CJ1276</f>
        <v>0</v>
      </c>
      <c r="CK1269" s="282">
        <f>CK1276</f>
        <v>0</v>
      </c>
    </row>
    <row r="1270" spans="1:89" ht="30" x14ac:dyDescent="0.25">
      <c r="A1270" s="418"/>
      <c r="B1270" s="421"/>
      <c r="C1270" s="95" t="s">
        <v>1247</v>
      </c>
      <c r="D1270" s="95" t="s">
        <v>950</v>
      </c>
      <c r="E1270" s="282">
        <v>0</v>
      </c>
      <c r="F1270" s="282">
        <v>0</v>
      </c>
      <c r="G1270" s="282">
        <v>0</v>
      </c>
      <c r="H1270" s="282">
        <f t="shared" si="1619"/>
        <v>0</v>
      </c>
      <c r="I1270" s="282">
        <f t="shared" si="1619"/>
        <v>0</v>
      </c>
      <c r="J1270" s="282">
        <f t="shared" si="1619"/>
        <v>0</v>
      </c>
      <c r="K1270" s="282">
        <f>K1277</f>
        <v>0</v>
      </c>
      <c r="L1270" s="282">
        <f>L1277</f>
        <v>0</v>
      </c>
      <c r="M1270" s="282">
        <f t="shared" si="1620"/>
        <v>0</v>
      </c>
      <c r="N1270" s="282">
        <f t="shared" si="1620"/>
        <v>0</v>
      </c>
      <c r="P1270" s="320"/>
      <c r="Q1270" s="282">
        <f t="shared" si="1621"/>
        <v>0</v>
      </c>
      <c r="R1270" s="282">
        <f t="shared" si="1621"/>
        <v>0</v>
      </c>
      <c r="S1270" s="282">
        <f t="shared" si="1621"/>
        <v>0</v>
      </c>
      <c r="T1270" s="282">
        <f t="shared" si="1621"/>
        <v>0</v>
      </c>
      <c r="V1270" s="282">
        <f>V1277</f>
        <v>0</v>
      </c>
      <c r="W1270" s="282">
        <f>W1277</f>
        <v>0</v>
      </c>
      <c r="Y1270" s="282">
        <f>Y1277</f>
        <v>0</v>
      </c>
      <c r="Z1270" s="282">
        <f>Z1277</f>
        <v>0</v>
      </c>
      <c r="AB1270" s="282">
        <f>AB1277</f>
        <v>0</v>
      </c>
      <c r="AC1270" s="282">
        <f>AC1277</f>
        <v>0</v>
      </c>
      <c r="AE1270" s="282">
        <f>AE1277</f>
        <v>0</v>
      </c>
      <c r="AF1270" s="282">
        <f>AF1277</f>
        <v>0</v>
      </c>
      <c r="AH1270" s="282">
        <f>AH1277</f>
        <v>0</v>
      </c>
      <c r="AI1270" s="282">
        <f>AI1277</f>
        <v>0</v>
      </c>
      <c r="AK1270" s="282">
        <f>AK1277</f>
        <v>0</v>
      </c>
      <c r="AL1270" s="282">
        <f>AL1277</f>
        <v>0</v>
      </c>
      <c r="AN1270" s="282">
        <f>AN1277</f>
        <v>0</v>
      </c>
      <c r="AO1270" s="282">
        <f>AO1277</f>
        <v>0</v>
      </c>
      <c r="AQ1270" s="282">
        <f>AQ1277</f>
        <v>0</v>
      </c>
      <c r="AR1270" s="282">
        <f>AR1277</f>
        <v>0</v>
      </c>
      <c r="AT1270" s="282">
        <f>AT1277</f>
        <v>0</v>
      </c>
      <c r="AU1270" s="282">
        <f>AU1277</f>
        <v>0</v>
      </c>
      <c r="AW1270" s="282">
        <f>AW1277</f>
        <v>0</v>
      </c>
      <c r="AX1270" s="282">
        <f>AX1277</f>
        <v>0</v>
      </c>
      <c r="AZ1270" s="282">
        <f>AZ1277</f>
        <v>0</v>
      </c>
      <c r="BA1270" s="282">
        <f>BA1277</f>
        <v>0</v>
      </c>
      <c r="BC1270" s="282">
        <f>BC1277</f>
        <v>0</v>
      </c>
      <c r="BD1270" s="282">
        <f>BD1277</f>
        <v>0</v>
      </c>
      <c r="BF1270" s="282">
        <f>BF1277</f>
        <v>0</v>
      </c>
      <c r="BG1270" s="282">
        <f>BG1277</f>
        <v>0</v>
      </c>
      <c r="BI1270" s="282">
        <f>BI1277</f>
        <v>0</v>
      </c>
      <c r="BJ1270" s="282">
        <f>BJ1277</f>
        <v>0</v>
      </c>
      <c r="BL1270" s="282">
        <f>BL1277</f>
        <v>0</v>
      </c>
      <c r="BM1270" s="282">
        <f>BM1277</f>
        <v>0</v>
      </c>
      <c r="BO1270" s="282">
        <f>BO1277</f>
        <v>0</v>
      </c>
      <c r="BP1270" s="282">
        <f>BP1277</f>
        <v>0</v>
      </c>
      <c r="BR1270" s="282">
        <f>BR1277</f>
        <v>0</v>
      </c>
      <c r="BS1270" s="282">
        <f>BS1277</f>
        <v>0</v>
      </c>
      <c r="BU1270" s="282">
        <f>BU1277</f>
        <v>0</v>
      </c>
      <c r="BV1270" s="282">
        <f>BV1277</f>
        <v>0</v>
      </c>
      <c r="BX1270" s="282">
        <f>BX1277</f>
        <v>0</v>
      </c>
      <c r="BY1270" s="282">
        <f>BY1277</f>
        <v>0</v>
      </c>
      <c r="CA1270" s="282">
        <f>CA1277</f>
        <v>0</v>
      </c>
      <c r="CB1270" s="282">
        <f>CB1277</f>
        <v>0</v>
      </c>
      <c r="CD1270" s="282">
        <f>CD1277</f>
        <v>0</v>
      </c>
      <c r="CE1270" s="282">
        <f>CE1277</f>
        <v>0</v>
      </c>
      <c r="CG1270" s="282">
        <f>CG1277</f>
        <v>0</v>
      </c>
      <c r="CH1270" s="282">
        <f>CH1277</f>
        <v>0</v>
      </c>
      <c r="CJ1270" s="282">
        <f>CJ1277</f>
        <v>0</v>
      </c>
      <c r="CK1270" s="282">
        <f>CK1277</f>
        <v>0</v>
      </c>
    </row>
    <row r="1271" spans="1:89" ht="30" x14ac:dyDescent="0.25">
      <c r="A1271" s="107"/>
      <c r="B1271" s="16" t="s">
        <v>252</v>
      </c>
      <c r="C1271" s="95" t="s">
        <v>253</v>
      </c>
      <c r="D1271" s="95" t="s">
        <v>950</v>
      </c>
      <c r="E1271" s="282">
        <v>463</v>
      </c>
      <c r="F1271" s="282">
        <v>70</v>
      </c>
      <c r="G1271" s="282">
        <v>70</v>
      </c>
      <c r="H1271" s="282">
        <v>0</v>
      </c>
      <c r="I1271" s="282">
        <v>0</v>
      </c>
      <c r="J1271" s="282">
        <v>0</v>
      </c>
      <c r="K1271" s="282">
        <v>0</v>
      </c>
      <c r="L1271" s="282">
        <v>0</v>
      </c>
      <c r="M1271" s="282">
        <v>0</v>
      </c>
      <c r="N1271" s="282">
        <v>0</v>
      </c>
      <c r="O1271" s="281"/>
      <c r="P1271" s="350"/>
      <c r="Q1271" s="282">
        <v>0</v>
      </c>
      <c r="R1271" s="282">
        <v>0</v>
      </c>
      <c r="S1271" s="282">
        <v>0</v>
      </c>
      <c r="T1271" s="282">
        <v>0</v>
      </c>
      <c r="V1271" s="282">
        <v>0</v>
      </c>
      <c r="W1271" s="282">
        <v>0</v>
      </c>
      <c r="Y1271" s="282">
        <v>0</v>
      </c>
      <c r="Z1271" s="282">
        <v>0</v>
      </c>
      <c r="AB1271" s="282">
        <v>0</v>
      </c>
      <c r="AC1271" s="282">
        <v>0</v>
      </c>
      <c r="AE1271" s="282">
        <v>0</v>
      </c>
      <c r="AF1271" s="282">
        <v>0</v>
      </c>
      <c r="AH1271" s="282">
        <v>0</v>
      </c>
      <c r="AI1271" s="282">
        <v>0</v>
      </c>
      <c r="AK1271" s="282">
        <v>0</v>
      </c>
      <c r="AL1271" s="282">
        <v>0</v>
      </c>
      <c r="AN1271" s="282">
        <v>0</v>
      </c>
      <c r="AO1271" s="282">
        <v>0</v>
      </c>
      <c r="AQ1271" s="282">
        <v>0</v>
      </c>
      <c r="AR1271" s="282">
        <v>0</v>
      </c>
      <c r="AT1271" s="282">
        <v>0</v>
      </c>
      <c r="AU1271" s="282">
        <v>0</v>
      </c>
      <c r="AW1271" s="282">
        <v>0</v>
      </c>
      <c r="AX1271" s="282">
        <v>0</v>
      </c>
      <c r="AZ1271" s="282">
        <v>0</v>
      </c>
      <c r="BA1271" s="282">
        <v>0</v>
      </c>
      <c r="BC1271" s="282">
        <v>0</v>
      </c>
      <c r="BD1271" s="282">
        <v>0</v>
      </c>
      <c r="BF1271" s="282">
        <v>0</v>
      </c>
      <c r="BG1271" s="282">
        <v>0</v>
      </c>
      <c r="BI1271" s="282">
        <v>0</v>
      </c>
      <c r="BJ1271" s="282">
        <v>0</v>
      </c>
      <c r="BL1271" s="282">
        <v>0</v>
      </c>
      <c r="BM1271" s="282">
        <v>0</v>
      </c>
      <c r="BO1271" s="282">
        <v>0</v>
      </c>
      <c r="BP1271" s="282">
        <v>0</v>
      </c>
      <c r="BR1271" s="282">
        <v>0</v>
      </c>
      <c r="BS1271" s="282">
        <v>0</v>
      </c>
      <c r="BU1271" s="282">
        <v>0</v>
      </c>
      <c r="BV1271" s="282">
        <v>0</v>
      </c>
      <c r="BX1271" s="282">
        <v>0</v>
      </c>
      <c r="BY1271" s="282">
        <v>0</v>
      </c>
      <c r="CA1271" s="282">
        <v>0</v>
      </c>
      <c r="CB1271" s="282">
        <v>0</v>
      </c>
      <c r="CD1271" s="282">
        <v>0</v>
      </c>
      <c r="CE1271" s="282">
        <v>0</v>
      </c>
      <c r="CG1271" s="282">
        <v>0</v>
      </c>
      <c r="CH1271" s="282">
        <v>0</v>
      </c>
      <c r="CJ1271" s="282">
        <v>0</v>
      </c>
      <c r="CK1271" s="282">
        <v>0</v>
      </c>
    </row>
    <row r="1272" spans="1:89" x14ac:dyDescent="0.25">
      <c r="A1272" s="265"/>
      <c r="B1272" s="262" t="s">
        <v>1182</v>
      </c>
      <c r="C1272" s="95"/>
      <c r="D1272" s="95"/>
      <c r="E1272" s="291"/>
      <c r="F1272" s="291"/>
      <c r="G1272" s="291"/>
      <c r="H1272" s="282">
        <f>H1273+H1274</f>
        <v>199539</v>
      </c>
      <c r="I1272" s="282">
        <f>I1273+I1274</f>
        <v>206889</v>
      </c>
      <c r="J1272" s="282">
        <f>J1273+J1274</f>
        <v>213283</v>
      </c>
      <c r="K1272" s="282">
        <f>K1273+K1274</f>
        <v>211373</v>
      </c>
      <c r="L1272" s="282">
        <f>L1273+L1274</f>
        <v>4418</v>
      </c>
      <c r="M1272" s="282">
        <f t="shared" ref="M1272:N1272" si="1622">M1273+M1274</f>
        <v>4363</v>
      </c>
      <c r="N1272" s="282">
        <f t="shared" si="1622"/>
        <v>4316</v>
      </c>
    </row>
    <row r="1273" spans="1:89" ht="30" x14ac:dyDescent="0.25">
      <c r="A1273" s="265"/>
      <c r="B1273" s="265"/>
      <c r="C1273" s="265" t="s">
        <v>1524</v>
      </c>
      <c r="D1273" s="95"/>
      <c r="E1273" s="291"/>
      <c r="F1273" s="291"/>
      <c r="G1273" s="291"/>
      <c r="H1273" s="282">
        <v>182633</v>
      </c>
      <c r="I1273" s="282">
        <v>189586</v>
      </c>
      <c r="J1273" s="282">
        <v>195732</v>
      </c>
      <c r="K1273" s="282">
        <v>193831</v>
      </c>
      <c r="L1273" s="282">
        <v>2456</v>
      </c>
      <c r="M1273" s="282">
        <v>2438</v>
      </c>
      <c r="N1273" s="282">
        <v>2451</v>
      </c>
      <c r="O1273" s="283"/>
      <c r="Q1273" s="286">
        <f>S1273+V1273+Y1273+AB1273+AE1273+AH1273+AK1273+AN1273+AQ1273+AT1273+AW1273+AZ1273+BC1273+BF1273+BI1273+BL1273+BO1273+BR1273+BU1273+BX1273+CA1273+CD1273+CG1273+CJ1273</f>
        <v>193831</v>
      </c>
      <c r="R1273" s="286">
        <f>T1273+W1273+Z1273+AC1273+AF1273+AI1273+AL1273+AO1273+AR1273+AU1273+AX1273+BA1273+BD1273+BG1273+BJ1273+BM1273+BP1273+BS1273+BV1273+BY1273+CB1273+CE1273+CH1273+CK1273</f>
        <v>199820</v>
      </c>
      <c r="S1273" s="286">
        <v>2655</v>
      </c>
      <c r="T1273" s="286">
        <v>2777</v>
      </c>
      <c r="U1273" s="286"/>
      <c r="V1273" s="286">
        <v>2155</v>
      </c>
      <c r="W1273" s="286">
        <v>2118</v>
      </c>
      <c r="X1273" s="286"/>
      <c r="Y1273" s="286">
        <v>2950</v>
      </c>
      <c r="Z1273" s="286">
        <v>2917</v>
      </c>
      <c r="AA1273" s="286"/>
      <c r="AB1273" s="286">
        <v>2864</v>
      </c>
      <c r="AC1273" s="286">
        <v>2861</v>
      </c>
      <c r="AD1273" s="286"/>
      <c r="AE1273" s="286">
        <v>2823</v>
      </c>
      <c r="AF1273" s="286">
        <v>2851</v>
      </c>
      <c r="AG1273" s="286"/>
      <c r="AH1273" s="286">
        <v>2480</v>
      </c>
      <c r="AI1273" s="286">
        <v>2456</v>
      </c>
      <c r="AJ1273" s="286"/>
      <c r="AK1273" s="286">
        <v>5782</v>
      </c>
      <c r="AL1273" s="286">
        <v>5855</v>
      </c>
      <c r="AM1273" s="286"/>
      <c r="AN1273" s="286">
        <v>11912</v>
      </c>
      <c r="AO1273" s="286">
        <v>11962</v>
      </c>
      <c r="AP1273" s="286"/>
      <c r="AQ1273" s="286">
        <v>0</v>
      </c>
      <c r="AR1273" s="286">
        <v>0</v>
      </c>
      <c r="AS1273" s="286"/>
      <c r="AT1273" s="286">
        <v>10555</v>
      </c>
      <c r="AU1273" s="286">
        <v>11576</v>
      </c>
      <c r="AV1273" s="286"/>
      <c r="AW1273" s="286">
        <v>5249</v>
      </c>
      <c r="AX1273" s="286">
        <v>5310</v>
      </c>
      <c r="AY1273" s="286"/>
      <c r="AZ1273" s="286">
        <v>7294</v>
      </c>
      <c r="BA1273" s="286">
        <v>7206</v>
      </c>
      <c r="BB1273" s="286"/>
      <c r="BC1273" s="286">
        <v>14538</v>
      </c>
      <c r="BD1273" s="286">
        <v>14814</v>
      </c>
      <c r="BE1273" s="286"/>
      <c r="BF1273" s="286">
        <v>33910</v>
      </c>
      <c r="BG1273" s="286">
        <v>34107</v>
      </c>
      <c r="BH1273" s="286"/>
      <c r="BI1273" s="286">
        <v>51084</v>
      </c>
      <c r="BJ1273" s="286">
        <v>53443</v>
      </c>
      <c r="BK1273" s="286"/>
      <c r="BL1273" s="286">
        <v>3627</v>
      </c>
      <c r="BM1273" s="286">
        <v>3925</v>
      </c>
      <c r="BN1273" s="286"/>
      <c r="BO1273" s="286">
        <v>3887</v>
      </c>
      <c r="BP1273" s="286">
        <v>4632</v>
      </c>
      <c r="BQ1273" s="286"/>
      <c r="BR1273" s="286">
        <v>8022</v>
      </c>
      <c r="BS1273" s="286">
        <v>8094</v>
      </c>
      <c r="BT1273" s="286"/>
      <c r="BU1273" s="286">
        <v>7956</v>
      </c>
      <c r="BV1273" s="286">
        <v>8131</v>
      </c>
      <c r="BW1273" s="286"/>
      <c r="BX1273" s="286">
        <v>2000</v>
      </c>
      <c r="BY1273" s="286">
        <v>2023</v>
      </c>
      <c r="BZ1273" s="286"/>
      <c r="CA1273" s="286">
        <v>5712</v>
      </c>
      <c r="CB1273" s="286">
        <v>5816</v>
      </c>
      <c r="CC1273" s="286"/>
      <c r="CD1273" s="286">
        <v>4115</v>
      </c>
      <c r="CE1273" s="286">
        <v>4668</v>
      </c>
      <c r="CF1273" s="286"/>
      <c r="CG1273" s="286">
        <v>2261</v>
      </c>
      <c r="CH1273" s="286">
        <v>2278</v>
      </c>
      <c r="CI1273" s="286"/>
      <c r="CJ1273" s="286">
        <v>0</v>
      </c>
      <c r="CK1273" s="286">
        <v>0</v>
      </c>
    </row>
    <row r="1274" spans="1:89" ht="30" x14ac:dyDescent="0.25">
      <c r="A1274" s="265"/>
      <c r="B1274" s="265"/>
      <c r="C1274" s="265" t="s">
        <v>1524</v>
      </c>
      <c r="D1274" s="95"/>
      <c r="E1274" s="291"/>
      <c r="F1274" s="291"/>
      <c r="G1274" s="291"/>
      <c r="H1274" s="282">
        <v>16906</v>
      </c>
      <c r="I1274" s="282">
        <v>17303</v>
      </c>
      <c r="J1274" s="282">
        <v>17551</v>
      </c>
      <c r="K1274" s="282">
        <v>17542</v>
      </c>
      <c r="L1274" s="282">
        <v>1962</v>
      </c>
      <c r="M1274" s="282">
        <v>1925</v>
      </c>
      <c r="N1274" s="282">
        <v>1865</v>
      </c>
      <c r="Q1274" s="286">
        <f>S1274+V1274+Y1274+AB1274+AE1274+AH1274+AK1274+AN1274+AQ1274+AT1274+AW1274+AZ1274+BC1274+BF1274+BI1274+BL1274+BO1274+BR1274+BU1274+BX1274+CA1274+CD1274+CG1274+CJ1274</f>
        <v>17542</v>
      </c>
      <c r="R1274" s="286">
        <f>T1274+W1274+Z1274+AC1274+AF1274+AI1274+AL1274+AO1274+AR1274+AU1274+AX1274+BA1274+BD1274+BG1274+BJ1274+BM1274+BP1274+BS1274+BV1274+BY1274+CB1274+CE1274+CH1274+CK1274</f>
        <v>17316</v>
      </c>
      <c r="S1274" s="286">
        <v>1264</v>
      </c>
      <c r="T1274" s="286">
        <v>1262</v>
      </c>
      <c r="U1274" s="286"/>
      <c r="V1274" s="286">
        <v>1431</v>
      </c>
      <c r="W1274" s="286">
        <v>1364</v>
      </c>
      <c r="X1274" s="286"/>
      <c r="Y1274" s="286">
        <v>1458</v>
      </c>
      <c r="Z1274" s="286">
        <v>1412</v>
      </c>
      <c r="AA1274" s="286"/>
      <c r="AB1274" s="286">
        <v>2204</v>
      </c>
      <c r="AC1274" s="286">
        <v>2173</v>
      </c>
      <c r="AD1274" s="286"/>
      <c r="AE1274" s="286">
        <v>987</v>
      </c>
      <c r="AF1274" s="286">
        <v>905</v>
      </c>
      <c r="AG1274" s="286"/>
      <c r="AH1274" s="286">
        <v>1969</v>
      </c>
      <c r="AI1274" s="286">
        <v>1962</v>
      </c>
      <c r="AJ1274" s="286"/>
      <c r="AK1274" s="286">
        <v>268</v>
      </c>
      <c r="AL1274" s="286">
        <v>272</v>
      </c>
      <c r="AM1274" s="286"/>
      <c r="AN1274" s="286">
        <v>5447</v>
      </c>
      <c r="AO1274" s="286">
        <v>5434</v>
      </c>
      <c r="AP1274" s="286"/>
      <c r="AQ1274" s="286">
        <v>2147</v>
      </c>
      <c r="AR1274" s="286">
        <v>2160</v>
      </c>
      <c r="AS1274" s="286"/>
      <c r="AT1274" s="286">
        <v>0</v>
      </c>
      <c r="AU1274" s="286">
        <v>0</v>
      </c>
      <c r="AV1274" s="286"/>
      <c r="AW1274" s="286">
        <v>0</v>
      </c>
      <c r="AX1274" s="286">
        <v>0</v>
      </c>
      <c r="AY1274" s="286"/>
      <c r="AZ1274" s="286">
        <v>0</v>
      </c>
      <c r="BA1274" s="286">
        <v>0</v>
      </c>
      <c r="BB1274" s="286"/>
      <c r="BC1274" s="286">
        <v>0</v>
      </c>
      <c r="BD1274" s="286">
        <v>0</v>
      </c>
      <c r="BE1274" s="286"/>
      <c r="BF1274" s="286">
        <v>0</v>
      </c>
      <c r="BG1274" s="286">
        <v>0</v>
      </c>
      <c r="BH1274" s="286"/>
      <c r="BI1274" s="286">
        <v>0</v>
      </c>
      <c r="BJ1274" s="286">
        <v>0</v>
      </c>
      <c r="BK1274" s="286"/>
      <c r="BL1274" s="286">
        <v>0</v>
      </c>
      <c r="BM1274" s="286">
        <v>0</v>
      </c>
      <c r="BN1274" s="286"/>
      <c r="BO1274" s="286">
        <v>0</v>
      </c>
      <c r="BP1274" s="286">
        <v>0</v>
      </c>
      <c r="BQ1274" s="286"/>
      <c r="BR1274" s="286">
        <v>0</v>
      </c>
      <c r="BS1274" s="286">
        <v>0</v>
      </c>
      <c r="BT1274" s="286"/>
      <c r="BU1274" s="286">
        <v>0</v>
      </c>
      <c r="BV1274" s="286">
        <v>0</v>
      </c>
      <c r="BW1274" s="286"/>
      <c r="BX1274" s="286">
        <v>0</v>
      </c>
      <c r="BY1274" s="286">
        <v>0</v>
      </c>
      <c r="BZ1274" s="286"/>
      <c r="CA1274" s="286">
        <v>0</v>
      </c>
      <c r="CB1274" s="286">
        <v>0</v>
      </c>
      <c r="CC1274" s="286"/>
      <c r="CD1274" s="286">
        <v>0</v>
      </c>
      <c r="CE1274" s="286">
        <v>0</v>
      </c>
      <c r="CF1274" s="286"/>
      <c r="CG1274" s="286">
        <v>367</v>
      </c>
      <c r="CH1274" s="286">
        <v>372</v>
      </c>
      <c r="CI1274" s="286"/>
      <c r="CJ1274" s="286">
        <v>0</v>
      </c>
      <c r="CK1274" s="286">
        <v>0</v>
      </c>
    </row>
    <row r="1275" spans="1:89" x14ac:dyDescent="0.25">
      <c r="A1275" s="265"/>
      <c r="B1275" s="262" t="s">
        <v>1184</v>
      </c>
      <c r="C1275" s="95"/>
      <c r="D1275" s="95"/>
      <c r="E1275" s="291"/>
      <c r="F1275" s="291"/>
      <c r="G1275" s="291"/>
      <c r="H1275" s="291">
        <f>H1276+H1277</f>
        <v>826</v>
      </c>
      <c r="I1275" s="291">
        <f>I1276+I1277</f>
        <v>909</v>
      </c>
      <c r="J1275" s="291">
        <f>J1276+J1277</f>
        <v>923</v>
      </c>
      <c r="K1275" s="291">
        <f>K1276+K1277</f>
        <v>928</v>
      </c>
      <c r="L1275" s="291">
        <f>L1276+L1277</f>
        <v>0</v>
      </c>
      <c r="M1275" s="291">
        <f t="shared" ref="M1275:N1275" si="1623">M1276+M1277</f>
        <v>0</v>
      </c>
      <c r="N1275" s="291">
        <f t="shared" si="1623"/>
        <v>0</v>
      </c>
      <c r="Q1275" s="286"/>
      <c r="R1275" s="286"/>
      <c r="S1275" s="286"/>
      <c r="T1275" s="286"/>
      <c r="U1275" s="286"/>
      <c r="V1275" s="286"/>
      <c r="W1275" s="286"/>
      <c r="X1275" s="286"/>
      <c r="Y1275" s="286"/>
      <c r="Z1275" s="286"/>
      <c r="AA1275" s="286"/>
      <c r="AB1275" s="286"/>
      <c r="AC1275" s="286"/>
      <c r="AD1275" s="286"/>
      <c r="AE1275" s="286"/>
      <c r="AF1275" s="286"/>
      <c r="AG1275" s="286"/>
      <c r="AH1275" s="286"/>
      <c r="AI1275" s="286"/>
      <c r="AJ1275" s="286"/>
      <c r="AK1275" s="286"/>
      <c r="AL1275" s="286"/>
      <c r="AM1275" s="286"/>
      <c r="AN1275" s="286"/>
      <c r="AO1275" s="286"/>
      <c r="AP1275" s="286"/>
      <c r="AQ1275" s="286"/>
      <c r="AR1275" s="286"/>
      <c r="AS1275" s="286"/>
      <c r="AT1275" s="286"/>
      <c r="AU1275" s="286"/>
      <c r="AV1275" s="286"/>
      <c r="AW1275" s="286"/>
      <c r="AX1275" s="286"/>
      <c r="AY1275" s="286"/>
      <c r="AZ1275" s="286"/>
      <c r="BA1275" s="286"/>
      <c r="BB1275" s="286"/>
      <c r="BC1275" s="286"/>
      <c r="BD1275" s="286"/>
      <c r="BE1275" s="286"/>
      <c r="BF1275" s="286"/>
      <c r="BG1275" s="286"/>
      <c r="BH1275" s="286"/>
      <c r="BI1275" s="286"/>
      <c r="BJ1275" s="286"/>
      <c r="BK1275" s="286"/>
      <c r="BL1275" s="286"/>
      <c r="BM1275" s="286"/>
      <c r="BN1275" s="286"/>
      <c r="BO1275" s="286"/>
      <c r="BP1275" s="286"/>
      <c r="BQ1275" s="286"/>
      <c r="BR1275" s="286"/>
      <c r="BS1275" s="286"/>
      <c r="BT1275" s="286"/>
      <c r="BU1275" s="286"/>
      <c r="BV1275" s="286"/>
      <c r="BW1275" s="286"/>
      <c r="BX1275" s="286"/>
      <c r="BY1275" s="286"/>
      <c r="BZ1275" s="286"/>
      <c r="CA1275" s="286"/>
      <c r="CB1275" s="286"/>
      <c r="CC1275" s="286"/>
      <c r="CD1275" s="286"/>
      <c r="CE1275" s="286"/>
      <c r="CF1275" s="286"/>
      <c r="CG1275" s="286"/>
      <c r="CH1275" s="286"/>
      <c r="CI1275" s="286"/>
      <c r="CJ1275" s="286"/>
      <c r="CK1275" s="286"/>
    </row>
    <row r="1276" spans="1:89" ht="30" x14ac:dyDescent="0.25">
      <c r="A1276" s="265"/>
      <c r="B1276" s="265"/>
      <c r="C1276" s="265" t="s">
        <v>1524</v>
      </c>
      <c r="D1276" s="95"/>
      <c r="E1276" s="291"/>
      <c r="F1276" s="291"/>
      <c r="G1276" s="291"/>
      <c r="H1276" s="291">
        <v>826</v>
      </c>
      <c r="I1276" s="291">
        <v>909</v>
      </c>
      <c r="J1276" s="291">
        <v>923</v>
      </c>
      <c r="K1276" s="291">
        <v>928</v>
      </c>
      <c r="L1276" s="291">
        <v>0</v>
      </c>
      <c r="M1276" s="291">
        <v>0</v>
      </c>
      <c r="N1276" s="291">
        <v>0</v>
      </c>
      <c r="Q1276" s="286">
        <f>S1276+V1276+Y1276+AB1276+AE1276+AH1276+AK1276+AN1276+AQ1276+AT1276+AW1276+AZ1276+BC1276+BF1276+BI1276+BL1276+BO1276+BR1276+BU1276+BX1276+CA1276+CD1276+CG1276+CJ1276</f>
        <v>928</v>
      </c>
      <c r="R1276" s="286">
        <f>T1276+W1276+Z1276+AC1276+AF1276+AI1276+AL1276+AO1276+AR1276+AU1276+AX1276+BA1276+BD1276+BG1276+BJ1276+BM1276+BP1276+BS1276+BV1276+BY1276+CB1276+CE1276+CH1276+CK1276</f>
        <v>902</v>
      </c>
      <c r="S1276" s="286">
        <v>0</v>
      </c>
      <c r="T1276" s="286">
        <v>0</v>
      </c>
      <c r="U1276" s="286"/>
      <c r="V1276" s="286">
        <v>0</v>
      </c>
      <c r="W1276" s="286">
        <v>0</v>
      </c>
      <c r="X1276" s="286"/>
      <c r="Y1276" s="286">
        <v>0</v>
      </c>
      <c r="Z1276" s="286">
        <v>0</v>
      </c>
      <c r="AA1276" s="286"/>
      <c r="AB1276" s="286">
        <v>0</v>
      </c>
      <c r="AC1276" s="286">
        <v>0</v>
      </c>
      <c r="AD1276" s="286"/>
      <c r="AE1276" s="286">
        <v>0</v>
      </c>
      <c r="AF1276" s="286">
        <v>0</v>
      </c>
      <c r="AG1276" s="286"/>
      <c r="AH1276" s="286">
        <v>0</v>
      </c>
      <c r="AI1276" s="286">
        <v>0</v>
      </c>
      <c r="AJ1276" s="286"/>
      <c r="AK1276" s="286">
        <v>0</v>
      </c>
      <c r="AL1276" s="286">
        <v>0</v>
      </c>
      <c r="AM1276" s="286"/>
      <c r="AN1276" s="286">
        <v>0</v>
      </c>
      <c r="AO1276" s="286">
        <v>0</v>
      </c>
      <c r="AP1276" s="286"/>
      <c r="AQ1276" s="286">
        <v>0</v>
      </c>
      <c r="AR1276" s="286">
        <v>0</v>
      </c>
      <c r="AS1276" s="286"/>
      <c r="AT1276" s="302">
        <v>0</v>
      </c>
      <c r="AU1276" s="286">
        <v>0</v>
      </c>
      <c r="AV1276" s="286"/>
      <c r="AW1276" s="302">
        <v>0</v>
      </c>
      <c r="AX1276" s="286">
        <v>0</v>
      </c>
      <c r="AY1276" s="286"/>
      <c r="AZ1276" s="302">
        <v>0</v>
      </c>
      <c r="BA1276" s="286">
        <v>0</v>
      </c>
      <c r="BB1276" s="286"/>
      <c r="BC1276" s="302">
        <v>187</v>
      </c>
      <c r="BD1276" s="286">
        <v>188</v>
      </c>
      <c r="BE1276" s="286"/>
      <c r="BF1276" s="302">
        <v>187</v>
      </c>
      <c r="BG1276" s="286">
        <v>179</v>
      </c>
      <c r="BH1276" s="286"/>
      <c r="BI1276" s="302">
        <v>436</v>
      </c>
      <c r="BJ1276" s="286">
        <v>424</v>
      </c>
      <c r="BK1276" s="286"/>
      <c r="BL1276" s="302">
        <v>0</v>
      </c>
      <c r="BM1276" s="286">
        <v>0</v>
      </c>
      <c r="BN1276" s="286"/>
      <c r="BO1276" s="302">
        <v>0</v>
      </c>
      <c r="BP1276" s="286">
        <v>0</v>
      </c>
      <c r="BQ1276" s="286"/>
      <c r="BR1276" s="302">
        <v>0</v>
      </c>
      <c r="BS1276" s="286">
        <v>0</v>
      </c>
      <c r="BT1276" s="286"/>
      <c r="BU1276" s="302">
        <v>0</v>
      </c>
      <c r="BV1276" s="286">
        <v>0</v>
      </c>
      <c r="BW1276" s="286"/>
      <c r="BX1276" s="302">
        <v>0</v>
      </c>
      <c r="BY1276" s="286">
        <v>0</v>
      </c>
      <c r="BZ1276" s="286"/>
      <c r="CA1276" s="302">
        <v>0</v>
      </c>
      <c r="CB1276" s="286">
        <v>0</v>
      </c>
      <c r="CC1276" s="286"/>
      <c r="CD1276" s="302">
        <v>118</v>
      </c>
      <c r="CE1276" s="286">
        <v>111</v>
      </c>
      <c r="CF1276" s="286"/>
      <c r="CG1276" s="286">
        <v>0</v>
      </c>
      <c r="CH1276" s="286">
        <v>0</v>
      </c>
      <c r="CI1276" s="286"/>
      <c r="CJ1276" s="302">
        <v>0</v>
      </c>
      <c r="CK1276" s="302">
        <v>0</v>
      </c>
    </row>
    <row r="1277" spans="1:89" ht="30" x14ac:dyDescent="0.25">
      <c r="A1277" s="264"/>
      <c r="B1277" s="265"/>
      <c r="C1277" s="265" t="s">
        <v>1524</v>
      </c>
      <c r="D1277" s="95"/>
      <c r="E1277" s="291"/>
      <c r="F1277" s="291"/>
      <c r="G1277" s="291"/>
      <c r="H1277" s="291">
        <v>0</v>
      </c>
      <c r="I1277" s="291">
        <v>0</v>
      </c>
      <c r="J1277" s="291">
        <v>0</v>
      </c>
      <c r="K1277" s="291">
        <v>0</v>
      </c>
      <c r="L1277" s="291">
        <v>0</v>
      </c>
      <c r="M1277" s="291">
        <v>0</v>
      </c>
      <c r="N1277" s="291">
        <v>0</v>
      </c>
      <c r="Q1277" s="286">
        <f>S1277+V1277+Y1277+AB1277+AE1277+AH1277+AK1277+AN1277+AQ1277+AT1277+AW1277+AZ1277+BC1277+BF1277+BI1277+BL1277+BO1277+BR1277+BU1277+BX1277+CA1277+CD1277+CG1277+CJ1277</f>
        <v>0</v>
      </c>
      <c r="R1277" s="286">
        <f>T1277+W1277+Z1277+AC1277+AF1277+AI1277+AL1277+AO1277+AR1277+AU1277+AX1277+BA1277+BD1277+BG1277+BJ1277+BM1277+BP1277+BS1277+BV1277+BY1277+CB1277+CE1277+CH1277+CK1277</f>
        <v>0</v>
      </c>
      <c r="S1277" s="286">
        <v>0</v>
      </c>
      <c r="T1277" s="286">
        <v>0</v>
      </c>
      <c r="U1277" s="286"/>
      <c r="V1277" s="286">
        <v>0</v>
      </c>
      <c r="W1277" s="286">
        <v>0</v>
      </c>
      <c r="X1277" s="286"/>
      <c r="Y1277" s="286">
        <v>0</v>
      </c>
      <c r="Z1277" s="286">
        <v>0</v>
      </c>
      <c r="AA1277" s="286"/>
      <c r="AB1277" s="286">
        <v>0</v>
      </c>
      <c r="AC1277" s="286">
        <v>0</v>
      </c>
      <c r="AD1277" s="286"/>
      <c r="AE1277" s="286">
        <v>0</v>
      </c>
      <c r="AF1277" s="286">
        <v>0</v>
      </c>
      <c r="AG1277" s="286"/>
      <c r="AH1277" s="286">
        <v>0</v>
      </c>
      <c r="AI1277" s="286">
        <v>0</v>
      </c>
      <c r="AJ1277" s="286"/>
      <c r="AK1277" s="286">
        <v>0</v>
      </c>
      <c r="AL1277" s="286">
        <v>0</v>
      </c>
      <c r="AM1277" s="286"/>
      <c r="AN1277" s="286">
        <v>0</v>
      </c>
      <c r="AO1277" s="286">
        <v>0</v>
      </c>
      <c r="AP1277" s="286"/>
      <c r="AQ1277" s="286">
        <v>0</v>
      </c>
      <c r="AR1277" s="286">
        <v>0</v>
      </c>
      <c r="AS1277" s="286"/>
      <c r="AT1277" s="302">
        <v>0</v>
      </c>
      <c r="AU1277" s="286">
        <v>0</v>
      </c>
      <c r="AV1277" s="286"/>
      <c r="AW1277" s="302">
        <v>0</v>
      </c>
      <c r="AX1277" s="286">
        <v>0</v>
      </c>
      <c r="AY1277" s="286"/>
      <c r="AZ1277" s="302">
        <v>0</v>
      </c>
      <c r="BA1277" s="286">
        <v>0</v>
      </c>
      <c r="BB1277" s="286"/>
      <c r="BC1277" s="286">
        <v>0</v>
      </c>
      <c r="BD1277" s="286">
        <v>0</v>
      </c>
      <c r="BE1277" s="286"/>
      <c r="BF1277" s="286">
        <v>0</v>
      </c>
      <c r="BG1277" s="286">
        <v>0</v>
      </c>
      <c r="BH1277" s="286"/>
      <c r="BI1277" s="286">
        <v>0</v>
      </c>
      <c r="BJ1277" s="286">
        <v>0</v>
      </c>
      <c r="BK1277" s="286"/>
      <c r="BL1277" s="302">
        <v>0</v>
      </c>
      <c r="BM1277" s="286">
        <v>0</v>
      </c>
      <c r="BN1277" s="286"/>
      <c r="BO1277" s="302">
        <v>0</v>
      </c>
      <c r="BP1277" s="286">
        <v>0</v>
      </c>
      <c r="BQ1277" s="286"/>
      <c r="BR1277" s="302">
        <v>0</v>
      </c>
      <c r="BS1277" s="286">
        <v>0</v>
      </c>
      <c r="BT1277" s="286"/>
      <c r="BU1277" s="302">
        <v>0</v>
      </c>
      <c r="BV1277" s="286">
        <v>0</v>
      </c>
      <c r="BW1277" s="286"/>
      <c r="BX1277" s="302">
        <v>0</v>
      </c>
      <c r="BY1277" s="286">
        <v>0</v>
      </c>
      <c r="BZ1277" s="286"/>
      <c r="CA1277" s="302">
        <v>0</v>
      </c>
      <c r="CB1277" s="286">
        <v>0</v>
      </c>
      <c r="CC1277" s="286"/>
      <c r="CD1277" s="286">
        <v>0</v>
      </c>
      <c r="CE1277" s="286">
        <v>0</v>
      </c>
      <c r="CF1277" s="286"/>
      <c r="CG1277" s="286">
        <v>0</v>
      </c>
      <c r="CH1277" s="286">
        <v>0</v>
      </c>
      <c r="CI1277" s="286"/>
      <c r="CJ1277" s="302">
        <v>0</v>
      </c>
      <c r="CK1277" s="302">
        <v>0</v>
      </c>
    </row>
    <row r="1278" spans="1:89" ht="30" x14ac:dyDescent="0.25">
      <c r="A1278" s="422"/>
      <c r="B1278" s="419" t="s">
        <v>254</v>
      </c>
      <c r="C1278" s="95" t="s">
        <v>1248</v>
      </c>
      <c r="D1278" s="95" t="s">
        <v>950</v>
      </c>
      <c r="E1278" s="282">
        <v>184018</v>
      </c>
      <c r="F1278" s="282">
        <v>189010</v>
      </c>
      <c r="G1278" s="282">
        <v>193980</v>
      </c>
      <c r="H1278" s="282">
        <f>H1281</f>
        <v>201243</v>
      </c>
      <c r="I1278" s="282">
        <f>I1281</f>
        <v>208191</v>
      </c>
      <c r="J1278" s="282">
        <f>J1281</f>
        <v>214635</v>
      </c>
      <c r="K1278" s="282">
        <f>K1281</f>
        <v>221090</v>
      </c>
      <c r="L1278" s="282">
        <f>L1281</f>
        <v>4444</v>
      </c>
      <c r="M1278" s="282">
        <f t="shared" ref="M1278:N1278" si="1624">M1281</f>
        <v>4379</v>
      </c>
      <c r="N1278" s="282">
        <f t="shared" si="1624"/>
        <v>4343</v>
      </c>
      <c r="P1278" s="350"/>
      <c r="Q1278" s="282">
        <f>Q1281</f>
        <v>221090</v>
      </c>
      <c r="R1278" s="282">
        <f>R1281</f>
        <v>225471</v>
      </c>
      <c r="S1278" s="282">
        <f>S1281</f>
        <v>3928</v>
      </c>
      <c r="T1278" s="282">
        <f>T1281</f>
        <v>4054</v>
      </c>
      <c r="V1278" s="282">
        <f>V1281</f>
        <v>3599</v>
      </c>
      <c r="W1278" s="282">
        <f>W1281</f>
        <v>3579</v>
      </c>
      <c r="Y1278" s="282">
        <f>Y1281</f>
        <v>4418</v>
      </c>
      <c r="Z1278" s="282">
        <f>Z1281</f>
        <v>4344</v>
      </c>
      <c r="AB1278" s="282">
        <f>AB1281</f>
        <v>5118</v>
      </c>
      <c r="AC1278" s="282">
        <f>AC1281</f>
        <v>5086</v>
      </c>
      <c r="AE1278" s="282">
        <f>AE1281</f>
        <v>3885</v>
      </c>
      <c r="AF1278" s="282">
        <f>AF1281</f>
        <v>3809</v>
      </c>
      <c r="AH1278" s="282">
        <f>AH1281</f>
        <v>4464</v>
      </c>
      <c r="AI1278" s="282">
        <f>AI1281</f>
        <v>4444</v>
      </c>
      <c r="AK1278" s="282">
        <f>AK1281</f>
        <v>6268</v>
      </c>
      <c r="AL1278" s="282">
        <f>AL1281</f>
        <v>6344</v>
      </c>
      <c r="AN1278" s="282">
        <f>AN1281</f>
        <v>17369</v>
      </c>
      <c r="AO1278" s="282">
        <f>AO1281</f>
        <v>17405</v>
      </c>
      <c r="AQ1278" s="282">
        <f>AQ1281</f>
        <v>2147</v>
      </c>
      <c r="AR1278" s="282">
        <f>AR1281</f>
        <v>2160</v>
      </c>
      <c r="AT1278" s="282">
        <f>AT1281</f>
        <v>14061</v>
      </c>
      <c r="AU1278" s="282">
        <f>AU1281</f>
        <v>14547</v>
      </c>
      <c r="AW1278" s="282">
        <f>AW1281</f>
        <v>5264</v>
      </c>
      <c r="AX1278" s="282">
        <f>AX1281</f>
        <v>5333</v>
      </c>
      <c r="AZ1278" s="282">
        <f>AZ1281</f>
        <v>7294</v>
      </c>
      <c r="BA1278" s="282">
        <f>BA1281</f>
        <v>7206</v>
      </c>
      <c r="BC1278" s="282">
        <f>BC1281</f>
        <v>14540</v>
      </c>
      <c r="BD1278" s="282">
        <f>BD1281</f>
        <v>14814</v>
      </c>
      <c r="BF1278" s="282">
        <f>BF1281</f>
        <v>34074</v>
      </c>
      <c r="BG1278" s="282">
        <f>BG1281</f>
        <v>34891</v>
      </c>
      <c r="BI1278" s="282">
        <f>BI1281</f>
        <v>51527</v>
      </c>
      <c r="BJ1278" s="282">
        <f>BJ1281</f>
        <v>53886</v>
      </c>
      <c r="BL1278" s="282">
        <f>BL1281</f>
        <v>5579</v>
      </c>
      <c r="BM1278" s="282">
        <f>BM1281</f>
        <v>5559</v>
      </c>
      <c r="BO1278" s="282">
        <f>BO1281</f>
        <v>5285</v>
      </c>
      <c r="BP1278" s="282">
        <f>BP1281</f>
        <v>5319</v>
      </c>
      <c r="BR1278" s="282">
        <f>BR1281</f>
        <v>8022</v>
      </c>
      <c r="BS1278" s="282">
        <f>BS1281</f>
        <v>8109</v>
      </c>
      <c r="BU1278" s="282">
        <f>BU1281</f>
        <v>8007</v>
      </c>
      <c r="BV1278" s="282">
        <f>BV1281</f>
        <v>8079</v>
      </c>
      <c r="BX1278" s="282">
        <f>BX1281</f>
        <v>2132</v>
      </c>
      <c r="BY1278" s="282">
        <f>BY1281</f>
        <v>2196</v>
      </c>
      <c r="CA1278" s="282">
        <f>CA1281</f>
        <v>5721</v>
      </c>
      <c r="CB1278" s="282">
        <f>CB1281</f>
        <v>5816</v>
      </c>
      <c r="CD1278" s="282">
        <f>CD1281</f>
        <v>5310</v>
      </c>
      <c r="CE1278" s="282">
        <f>CE1281</f>
        <v>5416</v>
      </c>
      <c r="CG1278" s="282">
        <f>CG1281</f>
        <v>3078</v>
      </c>
      <c r="CH1278" s="282">
        <f>CH1281</f>
        <v>3075</v>
      </c>
      <c r="CJ1278" s="282">
        <f>CJ1281</f>
        <v>0</v>
      </c>
      <c r="CK1278" s="282">
        <f>CK1281</f>
        <v>0</v>
      </c>
    </row>
    <row r="1279" spans="1:89" ht="30" x14ac:dyDescent="0.25">
      <c r="A1279" s="423"/>
      <c r="B1279" s="421"/>
      <c r="C1279" s="95" t="s">
        <v>1249</v>
      </c>
      <c r="D1279" s="95" t="s">
        <v>950</v>
      </c>
      <c r="E1279" s="282">
        <v>833</v>
      </c>
      <c r="F1279" s="282">
        <v>883</v>
      </c>
      <c r="G1279" s="282">
        <v>948</v>
      </c>
      <c r="H1279" s="282">
        <f>H1286</f>
        <v>826</v>
      </c>
      <c r="I1279" s="282">
        <f>I1286</f>
        <v>910</v>
      </c>
      <c r="J1279" s="282">
        <f>J1286</f>
        <v>923</v>
      </c>
      <c r="K1279" s="282">
        <f>K1286</f>
        <v>928</v>
      </c>
      <c r="L1279" s="282">
        <f>L1286</f>
        <v>0</v>
      </c>
      <c r="M1279" s="282">
        <f t="shared" ref="M1279:N1279" si="1625">M1286</f>
        <v>0</v>
      </c>
      <c r="N1279" s="282">
        <f t="shared" si="1625"/>
        <v>0</v>
      </c>
      <c r="P1279" s="350"/>
      <c r="Q1279" s="282">
        <f>Q1286</f>
        <v>928</v>
      </c>
      <c r="R1279" s="282">
        <f>R1286</f>
        <v>918</v>
      </c>
      <c r="S1279" s="282">
        <f>S1286</f>
        <v>0</v>
      </c>
      <c r="T1279" s="282">
        <f>T1286</f>
        <v>0</v>
      </c>
      <c r="V1279" s="282">
        <f>V1286</f>
        <v>0</v>
      </c>
      <c r="W1279" s="282">
        <f>W1286</f>
        <v>0</v>
      </c>
      <c r="Y1279" s="282">
        <f>Y1286</f>
        <v>0</v>
      </c>
      <c r="Z1279" s="282">
        <f>Z1286</f>
        <v>0</v>
      </c>
      <c r="AB1279" s="282">
        <f>AB1286</f>
        <v>0</v>
      </c>
      <c r="AC1279" s="282">
        <f>AC1286</f>
        <v>0</v>
      </c>
      <c r="AE1279" s="282">
        <f>AE1286</f>
        <v>0</v>
      </c>
      <c r="AF1279" s="282">
        <f>AF1286</f>
        <v>0</v>
      </c>
      <c r="AH1279" s="282">
        <f>AH1286</f>
        <v>0</v>
      </c>
      <c r="AI1279" s="282">
        <f>AI1286</f>
        <v>0</v>
      </c>
      <c r="AK1279" s="282">
        <f>AK1286</f>
        <v>0</v>
      </c>
      <c r="AL1279" s="282">
        <f>AL1286</f>
        <v>0</v>
      </c>
      <c r="AN1279" s="282">
        <f>AN1286</f>
        <v>0</v>
      </c>
      <c r="AO1279" s="282">
        <f>AO1286</f>
        <v>0</v>
      </c>
      <c r="AQ1279" s="282">
        <f>AQ1286</f>
        <v>0</v>
      </c>
      <c r="AR1279" s="282">
        <f>AR1286</f>
        <v>0</v>
      </c>
      <c r="AT1279" s="282">
        <f>AT1286</f>
        <v>0</v>
      </c>
      <c r="AU1279" s="282">
        <f>AU1286</f>
        <v>0</v>
      </c>
      <c r="AW1279" s="282">
        <f>AW1286</f>
        <v>0</v>
      </c>
      <c r="AX1279" s="282">
        <f>AX1286</f>
        <v>0</v>
      </c>
      <c r="AZ1279" s="282">
        <f>AZ1286</f>
        <v>0</v>
      </c>
      <c r="BA1279" s="282">
        <f>BA1286</f>
        <v>0</v>
      </c>
      <c r="BC1279" s="282">
        <f>BC1286</f>
        <v>187</v>
      </c>
      <c r="BD1279" s="282">
        <f>BD1286</f>
        <v>188</v>
      </c>
      <c r="BF1279" s="282">
        <f>BF1286</f>
        <v>187</v>
      </c>
      <c r="BG1279" s="282">
        <f>BG1286</f>
        <v>179</v>
      </c>
      <c r="BI1279" s="282">
        <f>BI1286</f>
        <v>436</v>
      </c>
      <c r="BJ1279" s="282">
        <f>BJ1286</f>
        <v>424</v>
      </c>
      <c r="BL1279" s="282">
        <f>BL1286</f>
        <v>0</v>
      </c>
      <c r="BM1279" s="282">
        <f>BM1286</f>
        <v>0</v>
      </c>
      <c r="BO1279" s="282">
        <f>BO1286</f>
        <v>0</v>
      </c>
      <c r="BP1279" s="282">
        <f>BP1286</f>
        <v>0</v>
      </c>
      <c r="BR1279" s="282">
        <f>BR1286</f>
        <v>0</v>
      </c>
      <c r="BS1279" s="282">
        <f>BS1286</f>
        <v>0</v>
      </c>
      <c r="BU1279" s="282">
        <f>BU1286</f>
        <v>0</v>
      </c>
      <c r="BV1279" s="282">
        <f>BV1286</f>
        <v>0</v>
      </c>
      <c r="BX1279" s="282">
        <f>BX1286</f>
        <v>0</v>
      </c>
      <c r="BY1279" s="282">
        <f>BY1286</f>
        <v>0</v>
      </c>
      <c r="CA1279" s="282">
        <f>CA1286</f>
        <v>0</v>
      </c>
      <c r="CB1279" s="282">
        <f>CB1286</f>
        <v>0</v>
      </c>
      <c r="CD1279" s="282">
        <f>CD1286</f>
        <v>118</v>
      </c>
      <c r="CE1279" s="282">
        <f>CE1286</f>
        <v>127</v>
      </c>
      <c r="CG1279" s="282">
        <f>CG1286</f>
        <v>0</v>
      </c>
      <c r="CH1279" s="282">
        <f>CH1286</f>
        <v>0</v>
      </c>
      <c r="CJ1279" s="282">
        <f>CJ1286</f>
        <v>0</v>
      </c>
      <c r="CK1279" s="282">
        <f>CK1286</f>
        <v>0</v>
      </c>
    </row>
    <row r="1280" spans="1:89" ht="30" x14ac:dyDescent="0.25">
      <c r="A1280" s="107"/>
      <c r="B1280" s="16" t="s">
        <v>127</v>
      </c>
      <c r="C1280" s="95" t="s">
        <v>216</v>
      </c>
      <c r="D1280" s="95" t="s">
        <v>950</v>
      </c>
      <c r="E1280" s="282">
        <v>2557</v>
      </c>
      <c r="F1280" s="282">
        <v>1657</v>
      </c>
      <c r="G1280" s="282">
        <v>1325</v>
      </c>
      <c r="H1280" s="282">
        <v>0</v>
      </c>
      <c r="I1280" s="282">
        <v>0</v>
      </c>
      <c r="J1280" s="282">
        <v>0</v>
      </c>
      <c r="K1280" s="282">
        <v>0</v>
      </c>
      <c r="L1280" s="282">
        <v>0</v>
      </c>
      <c r="M1280" s="282">
        <v>0</v>
      </c>
      <c r="N1280" s="282">
        <v>0</v>
      </c>
      <c r="P1280" s="305"/>
      <c r="Q1280" s="282">
        <v>0</v>
      </c>
      <c r="R1280" s="282">
        <v>0</v>
      </c>
      <c r="S1280" s="282">
        <v>0</v>
      </c>
      <c r="T1280" s="282">
        <v>0</v>
      </c>
      <c r="V1280" s="282">
        <v>0</v>
      </c>
      <c r="W1280" s="282">
        <v>0</v>
      </c>
      <c r="Y1280" s="282">
        <v>0</v>
      </c>
      <c r="Z1280" s="282">
        <v>0</v>
      </c>
      <c r="AB1280" s="282">
        <v>0</v>
      </c>
      <c r="AC1280" s="282">
        <v>0</v>
      </c>
      <c r="AE1280" s="282">
        <v>0</v>
      </c>
      <c r="AF1280" s="282">
        <v>0</v>
      </c>
      <c r="AH1280" s="282">
        <v>0</v>
      </c>
      <c r="AI1280" s="282">
        <v>0</v>
      </c>
      <c r="AK1280" s="282">
        <v>0</v>
      </c>
      <c r="AL1280" s="282">
        <v>0</v>
      </c>
      <c r="AN1280" s="282">
        <v>0</v>
      </c>
      <c r="AO1280" s="282">
        <v>0</v>
      </c>
      <c r="AQ1280" s="282">
        <v>0</v>
      </c>
      <c r="AR1280" s="282">
        <v>0</v>
      </c>
      <c r="AT1280" s="282">
        <v>0</v>
      </c>
      <c r="AU1280" s="282">
        <v>0</v>
      </c>
      <c r="AW1280" s="282">
        <v>0</v>
      </c>
      <c r="AX1280" s="282">
        <v>0</v>
      </c>
      <c r="AZ1280" s="282">
        <v>0</v>
      </c>
      <c r="BA1280" s="282">
        <v>0</v>
      </c>
      <c r="BC1280" s="282">
        <v>0</v>
      </c>
      <c r="BD1280" s="282">
        <v>0</v>
      </c>
      <c r="BF1280" s="282">
        <v>0</v>
      </c>
      <c r="BG1280" s="282">
        <v>0</v>
      </c>
      <c r="BI1280" s="282">
        <v>0</v>
      </c>
      <c r="BJ1280" s="282">
        <v>0</v>
      </c>
      <c r="BL1280" s="282">
        <v>0</v>
      </c>
      <c r="BM1280" s="282">
        <v>0</v>
      </c>
      <c r="BO1280" s="282">
        <v>0</v>
      </c>
      <c r="BP1280" s="282">
        <v>0</v>
      </c>
      <c r="BR1280" s="282">
        <v>0</v>
      </c>
      <c r="BS1280" s="282">
        <v>0</v>
      </c>
      <c r="BU1280" s="282">
        <v>0</v>
      </c>
      <c r="BV1280" s="282">
        <v>0</v>
      </c>
      <c r="BX1280" s="282">
        <v>0</v>
      </c>
      <c r="BY1280" s="282">
        <v>0</v>
      </c>
      <c r="CA1280" s="282">
        <v>0</v>
      </c>
      <c r="CB1280" s="282">
        <v>0</v>
      </c>
      <c r="CD1280" s="282">
        <v>0</v>
      </c>
      <c r="CE1280" s="282">
        <v>0</v>
      </c>
      <c r="CG1280" s="282">
        <v>0</v>
      </c>
      <c r="CH1280" s="282">
        <v>0</v>
      </c>
      <c r="CJ1280" s="282">
        <v>0</v>
      </c>
      <c r="CK1280" s="282">
        <v>0</v>
      </c>
    </row>
    <row r="1281" spans="1:89" x14ac:dyDescent="0.25">
      <c r="A1281" s="95"/>
      <c r="B1281" s="311" t="s">
        <v>1182</v>
      </c>
      <c r="C1281" s="95"/>
      <c r="D1281" s="95"/>
      <c r="E1281" s="291"/>
      <c r="F1281" s="291"/>
      <c r="G1281" s="291"/>
      <c r="H1281" s="282">
        <f>H1282+H1283+H1284+H1285</f>
        <v>201243</v>
      </c>
      <c r="I1281" s="282">
        <f>I1282+I1283+I1284+I1285</f>
        <v>208191</v>
      </c>
      <c r="J1281" s="282">
        <f>J1282+J1283+J1284+J1285</f>
        <v>214635</v>
      </c>
      <c r="K1281" s="282">
        <f>K1282+K1283+K1284+K1285</f>
        <v>221090</v>
      </c>
      <c r="L1281" s="282">
        <f>L1282+L1283+L1284+L1285</f>
        <v>4444</v>
      </c>
      <c r="M1281" s="282">
        <f t="shared" ref="M1281:N1281" si="1626">M1282+M1283+M1284+M1285</f>
        <v>4379</v>
      </c>
      <c r="N1281" s="282">
        <f t="shared" si="1626"/>
        <v>4343</v>
      </c>
      <c r="Q1281" s="291">
        <f>Q1282+Q1283+Q1284+Q1285</f>
        <v>221090</v>
      </c>
      <c r="R1281" s="291">
        <f>R1282+R1283+R1284+R1285</f>
        <v>225471</v>
      </c>
      <c r="S1281" s="291">
        <f>S1282+S1283+S1284+S1285</f>
        <v>3928</v>
      </c>
      <c r="T1281" s="291">
        <f>T1282+T1283+T1284+T1285</f>
        <v>4054</v>
      </c>
      <c r="V1281" s="291">
        <f>V1282+V1283+V1284+V1285</f>
        <v>3599</v>
      </c>
      <c r="W1281" s="291">
        <f>W1282+W1283+W1284+W1285</f>
        <v>3579</v>
      </c>
      <c r="Y1281" s="291">
        <f>Y1282+Y1283+Y1284+Y1285</f>
        <v>4418</v>
      </c>
      <c r="Z1281" s="291">
        <f>Z1282+Z1283+Z1284+Z1285</f>
        <v>4344</v>
      </c>
      <c r="AB1281" s="291">
        <f>AB1282+AB1283+AB1284+AB1285</f>
        <v>5118</v>
      </c>
      <c r="AC1281" s="291">
        <f>AC1282+AC1283+AC1284+AC1285</f>
        <v>5086</v>
      </c>
      <c r="AE1281" s="291">
        <f>AE1282+AE1283+AE1284+AE1285</f>
        <v>3885</v>
      </c>
      <c r="AF1281" s="291">
        <f>AF1282+AF1283+AF1284+AF1285</f>
        <v>3809</v>
      </c>
      <c r="AH1281" s="291">
        <f>AH1282+AH1283+AH1284+AH1285</f>
        <v>4464</v>
      </c>
      <c r="AI1281" s="291">
        <f>AI1282+AI1283+AI1284+AI1285</f>
        <v>4444</v>
      </c>
      <c r="AK1281" s="291">
        <f>AK1282+AK1283+AK1284+AK1285</f>
        <v>6268</v>
      </c>
      <c r="AL1281" s="291">
        <f>AL1282+AL1283+AL1284+AL1285</f>
        <v>6344</v>
      </c>
      <c r="AN1281" s="291">
        <f>AN1282+AN1283+AN1284+AN1285</f>
        <v>17369</v>
      </c>
      <c r="AO1281" s="291">
        <f>AO1282+AO1283+AO1284+AO1285</f>
        <v>17405</v>
      </c>
      <c r="AQ1281" s="291">
        <f>AQ1282+AQ1283+AQ1284+AQ1285</f>
        <v>2147</v>
      </c>
      <c r="AR1281" s="291">
        <f>AR1282+AR1283+AR1284+AR1285</f>
        <v>2160</v>
      </c>
      <c r="AT1281" s="291">
        <f>AT1282+AT1283+AT1284+AT1285</f>
        <v>14061</v>
      </c>
      <c r="AU1281" s="291">
        <f>AU1282+AU1283+AU1284+AU1285</f>
        <v>14547</v>
      </c>
      <c r="AW1281" s="291">
        <f>AW1282+AW1283+AW1284+AW1285</f>
        <v>5264</v>
      </c>
      <c r="AX1281" s="291">
        <f>AX1282+AX1283+AX1284+AX1285</f>
        <v>5333</v>
      </c>
      <c r="AZ1281" s="291">
        <f>AZ1282+AZ1283+AZ1284+AZ1285</f>
        <v>7294</v>
      </c>
      <c r="BA1281" s="291">
        <f>BA1282+BA1283+BA1284+BA1285</f>
        <v>7206</v>
      </c>
      <c r="BC1281" s="291">
        <f>BC1282+BC1283+BC1284+BC1285</f>
        <v>14540</v>
      </c>
      <c r="BD1281" s="291">
        <f>BD1282+BD1283+BD1284+BD1285</f>
        <v>14814</v>
      </c>
      <c r="BF1281" s="291">
        <f>BF1282+BF1283+BF1284+BF1285</f>
        <v>34074</v>
      </c>
      <c r="BG1281" s="291">
        <f>BG1282+BG1283+BG1284+BG1285</f>
        <v>34891</v>
      </c>
      <c r="BI1281" s="291">
        <f>BI1282+BI1283+BI1284+BI1285</f>
        <v>51527</v>
      </c>
      <c r="BJ1281" s="291">
        <f>BJ1282+BJ1283+BJ1284+BJ1285</f>
        <v>53886</v>
      </c>
      <c r="BL1281" s="291">
        <f>BL1282+BL1283+BL1284+BL1285</f>
        <v>5579</v>
      </c>
      <c r="BM1281" s="291">
        <f>BM1282+BM1283+BM1284+BM1285</f>
        <v>5559</v>
      </c>
      <c r="BO1281" s="291">
        <f>BO1282+BO1283+BO1284+BO1285</f>
        <v>5285</v>
      </c>
      <c r="BP1281" s="291">
        <f>BP1282+BP1283+BP1284+BP1285</f>
        <v>5319</v>
      </c>
      <c r="BR1281" s="291">
        <f>BR1282+BR1283+BR1284+BR1285</f>
        <v>8022</v>
      </c>
      <c r="BS1281" s="291">
        <f>BS1282+BS1283+BS1284+BS1285</f>
        <v>8109</v>
      </c>
      <c r="BU1281" s="291">
        <f>BU1282+BU1283+BU1284+BU1285</f>
        <v>8007</v>
      </c>
      <c r="BV1281" s="291">
        <f>BV1282+BV1283+BV1284+BV1285</f>
        <v>8079</v>
      </c>
      <c r="BX1281" s="291">
        <f>BX1282+BX1283+BX1284+BX1285</f>
        <v>2132</v>
      </c>
      <c r="BY1281" s="291">
        <f>BY1282+BY1283+BY1284+BY1285</f>
        <v>2196</v>
      </c>
      <c r="CA1281" s="291">
        <f>CA1282+CA1283+CA1284+CA1285</f>
        <v>5721</v>
      </c>
      <c r="CB1281" s="291">
        <f>CB1282+CB1283+CB1284+CB1285</f>
        <v>5816</v>
      </c>
      <c r="CD1281" s="291">
        <f>CD1282+CD1283+CD1284+CD1285</f>
        <v>5310</v>
      </c>
      <c r="CE1281" s="291">
        <f>CE1282+CE1283+CE1284+CE1285</f>
        <v>5416</v>
      </c>
      <c r="CG1281" s="291">
        <f>CG1282+CG1283+CG1284+CG1285</f>
        <v>3078</v>
      </c>
      <c r="CH1281" s="291">
        <f>CH1282+CH1283+CH1284+CH1285</f>
        <v>3075</v>
      </c>
      <c r="CJ1281" s="291">
        <f>CJ1282+CJ1283+CJ1284+CJ1285</f>
        <v>0</v>
      </c>
      <c r="CK1281" s="291">
        <f>CK1282+CK1283+CK1284+CK1285</f>
        <v>0</v>
      </c>
    </row>
    <row r="1282" spans="1:89" ht="30" x14ac:dyDescent="0.25">
      <c r="A1282" s="95"/>
      <c r="B1282" s="263"/>
      <c r="C1282" s="263" t="s">
        <v>1525</v>
      </c>
      <c r="D1282" s="95"/>
      <c r="E1282" s="291"/>
      <c r="F1282" s="291"/>
      <c r="G1282" s="291"/>
      <c r="H1282" s="282">
        <v>183749</v>
      </c>
      <c r="I1282" s="282">
        <v>190827</v>
      </c>
      <c r="J1282" s="282">
        <f>J501</f>
        <v>196998</v>
      </c>
      <c r="K1282" s="282">
        <f>K501</f>
        <v>203456</v>
      </c>
      <c r="L1282" s="282">
        <f>L501</f>
        <v>2473</v>
      </c>
      <c r="M1282" s="282">
        <v>2445</v>
      </c>
      <c r="N1282" s="282">
        <v>2465</v>
      </c>
      <c r="O1282" s="283"/>
      <c r="Q1282" s="286">
        <f t="shared" ref="Q1282:R1285" si="1627">S1282+V1282+Y1282+AB1282+AE1282+AH1282+AK1282+AN1282+AQ1282+AT1282+AW1282+AZ1282+BC1282+BF1282+BI1282+BL1282+BO1282+BR1282+BU1282+BX1282+CA1282+CD1282+CG1282+CJ1282</f>
        <v>203456</v>
      </c>
      <c r="R1282" s="286">
        <f t="shared" si="1627"/>
        <v>208017</v>
      </c>
      <c r="S1282" s="286">
        <f>S501</f>
        <v>2663</v>
      </c>
      <c r="T1282" s="286">
        <f>T501</f>
        <v>2792</v>
      </c>
      <c r="U1282" s="286"/>
      <c r="V1282" s="286">
        <f>V501</f>
        <v>2155</v>
      </c>
      <c r="W1282" s="286">
        <f>W501</f>
        <v>2134</v>
      </c>
      <c r="X1282" s="286"/>
      <c r="Y1282" s="286">
        <f>Y501</f>
        <v>2960</v>
      </c>
      <c r="Z1282" s="286">
        <f>Z501</f>
        <v>2929</v>
      </c>
      <c r="AA1282" s="286"/>
      <c r="AB1282" s="286">
        <f>AB501</f>
        <v>2897</v>
      </c>
      <c r="AC1282" s="286">
        <f>AC501</f>
        <v>2920</v>
      </c>
      <c r="AD1282" s="286"/>
      <c r="AE1282" s="286">
        <f>AE501</f>
        <v>2898</v>
      </c>
      <c r="AF1282" s="286">
        <f>AF501</f>
        <v>2904</v>
      </c>
      <c r="AG1282" s="286"/>
      <c r="AH1282" s="286">
        <f>AH501</f>
        <v>2486</v>
      </c>
      <c r="AI1282" s="286">
        <f>AI501</f>
        <v>2473</v>
      </c>
      <c r="AJ1282" s="286"/>
      <c r="AK1282" s="286">
        <f>AK501</f>
        <v>5978</v>
      </c>
      <c r="AL1282" s="286">
        <f>AL501</f>
        <v>6056</v>
      </c>
      <c r="AM1282" s="286"/>
      <c r="AN1282" s="286">
        <f>AN501</f>
        <v>11912</v>
      </c>
      <c r="AO1282" s="286">
        <f>AO501</f>
        <v>11964</v>
      </c>
      <c r="AP1282" s="286"/>
      <c r="AQ1282" s="286">
        <f>AQ501</f>
        <v>0</v>
      </c>
      <c r="AR1282" s="286">
        <f>AR501</f>
        <v>0</v>
      </c>
      <c r="AS1282" s="286"/>
      <c r="AT1282" s="286">
        <f>AT501</f>
        <v>14061</v>
      </c>
      <c r="AU1282" s="286">
        <f>AU501</f>
        <v>14547</v>
      </c>
      <c r="AV1282" s="286"/>
      <c r="AW1282" s="286">
        <f>AW501</f>
        <v>5264</v>
      </c>
      <c r="AX1282" s="286">
        <f>AX501</f>
        <v>5333</v>
      </c>
      <c r="AY1282" s="286"/>
      <c r="AZ1282" s="286">
        <f>AZ501</f>
        <v>7294</v>
      </c>
      <c r="BA1282" s="286">
        <f>BA501</f>
        <v>7206</v>
      </c>
      <c r="BB1282" s="286"/>
      <c r="BC1282" s="286">
        <f>BC501</f>
        <v>14540</v>
      </c>
      <c r="BD1282" s="286">
        <f>BD501</f>
        <v>14814</v>
      </c>
      <c r="BE1282" s="286"/>
      <c r="BF1282" s="286">
        <f>BF501</f>
        <v>34074</v>
      </c>
      <c r="BG1282" s="286">
        <f>BG501</f>
        <v>34891</v>
      </c>
      <c r="BH1282" s="286"/>
      <c r="BI1282" s="286">
        <f>BI501</f>
        <v>51527</v>
      </c>
      <c r="BJ1282" s="286">
        <f>BJ501</f>
        <v>53886</v>
      </c>
      <c r="BK1282" s="286"/>
      <c r="BL1282" s="286">
        <f>BL501</f>
        <v>5579</v>
      </c>
      <c r="BM1282" s="286">
        <f>BM501</f>
        <v>5559</v>
      </c>
      <c r="BN1282" s="286"/>
      <c r="BO1282" s="286">
        <f>BO501</f>
        <v>5285</v>
      </c>
      <c r="BP1282" s="286">
        <f>BP501</f>
        <v>5319</v>
      </c>
      <c r="BQ1282" s="286"/>
      <c r="BR1282" s="286">
        <f>BR501</f>
        <v>8022</v>
      </c>
      <c r="BS1282" s="286">
        <f>BS501</f>
        <v>8109</v>
      </c>
      <c r="BT1282" s="286"/>
      <c r="BU1282" s="286">
        <f>BU501</f>
        <v>8007</v>
      </c>
      <c r="BV1282" s="286">
        <f>BV501</f>
        <v>8079</v>
      </c>
      <c r="BW1282" s="286"/>
      <c r="BX1282" s="286">
        <f>BX501</f>
        <v>2132</v>
      </c>
      <c r="BY1282" s="286">
        <f>BY501</f>
        <v>2196</v>
      </c>
      <c r="BZ1282" s="286"/>
      <c r="CA1282" s="286">
        <f>CA501</f>
        <v>5721</v>
      </c>
      <c r="CB1282" s="286">
        <f>CB501</f>
        <v>5816</v>
      </c>
      <c r="CC1282" s="286"/>
      <c r="CD1282" s="286">
        <f>CD501</f>
        <v>5310</v>
      </c>
      <c r="CE1282" s="286">
        <f>CE501</f>
        <v>5416</v>
      </c>
      <c r="CF1282" s="286"/>
      <c r="CG1282" s="286">
        <f>CG501</f>
        <v>2691</v>
      </c>
      <c r="CH1282" s="286">
        <f>CH501</f>
        <v>2674</v>
      </c>
      <c r="CI1282" s="286"/>
      <c r="CJ1282" s="286">
        <f>CJ501</f>
        <v>0</v>
      </c>
      <c r="CK1282" s="286">
        <f>CK501</f>
        <v>0</v>
      </c>
    </row>
    <row r="1283" spans="1:89" ht="30" x14ac:dyDescent="0.25">
      <c r="A1283" s="95"/>
      <c r="B1283" s="263"/>
      <c r="C1283" s="263" t="s">
        <v>1526</v>
      </c>
      <c r="D1283" s="95"/>
      <c r="E1283" s="291"/>
      <c r="F1283" s="291"/>
      <c r="G1283" s="291"/>
      <c r="H1283" s="282">
        <v>425</v>
      </c>
      <c r="I1283" s="282">
        <v>0</v>
      </c>
      <c r="J1283" s="282">
        <f>J503</f>
        <v>0</v>
      </c>
      <c r="K1283" s="282">
        <f>K503</f>
        <v>0</v>
      </c>
      <c r="L1283" s="282">
        <f>L503</f>
        <v>0</v>
      </c>
      <c r="M1283" s="282">
        <f>M503</f>
        <v>0</v>
      </c>
      <c r="N1283" s="282">
        <f>N503</f>
        <v>0</v>
      </c>
      <c r="Q1283" s="286">
        <f t="shared" si="1627"/>
        <v>0</v>
      </c>
      <c r="R1283" s="286">
        <f t="shared" si="1627"/>
        <v>0</v>
      </c>
      <c r="S1283" s="286">
        <f>S503</f>
        <v>0</v>
      </c>
      <c r="T1283" s="286">
        <f>T503</f>
        <v>0</v>
      </c>
      <c r="U1283" s="286"/>
      <c r="V1283" s="286">
        <f>V503</f>
        <v>0</v>
      </c>
      <c r="W1283" s="286">
        <f>W503</f>
        <v>0</v>
      </c>
      <c r="X1283" s="286"/>
      <c r="Y1283" s="286">
        <f>Y503</f>
        <v>0</v>
      </c>
      <c r="Z1283" s="286">
        <f>Z503</f>
        <v>0</v>
      </c>
      <c r="AA1283" s="286"/>
      <c r="AB1283" s="286">
        <f>AB503</f>
        <v>0</v>
      </c>
      <c r="AC1283" s="286">
        <f>AC503</f>
        <v>0</v>
      </c>
      <c r="AD1283" s="286"/>
      <c r="AE1283" s="286">
        <f>AE503</f>
        <v>0</v>
      </c>
      <c r="AF1283" s="286">
        <f>AF503</f>
        <v>0</v>
      </c>
      <c r="AG1283" s="286"/>
      <c r="AH1283" s="286">
        <f>AH503</f>
        <v>0</v>
      </c>
      <c r="AI1283" s="286">
        <f>AI503</f>
        <v>0</v>
      </c>
      <c r="AJ1283" s="286"/>
      <c r="AK1283" s="286">
        <f>AK503</f>
        <v>0</v>
      </c>
      <c r="AL1283" s="286">
        <f>AL503</f>
        <v>0</v>
      </c>
      <c r="AM1283" s="286"/>
      <c r="AN1283" s="286">
        <f>AN503</f>
        <v>0</v>
      </c>
      <c r="AO1283" s="286">
        <f>AO503</f>
        <v>0</v>
      </c>
      <c r="AP1283" s="286"/>
      <c r="AQ1283" s="286">
        <f>AQ503</f>
        <v>0</v>
      </c>
      <c r="AR1283" s="286">
        <f>AR503</f>
        <v>0</v>
      </c>
      <c r="AS1283" s="286"/>
      <c r="AT1283" s="286">
        <f>AT503</f>
        <v>0</v>
      </c>
      <c r="AU1283" s="286">
        <f>AU503</f>
        <v>0</v>
      </c>
      <c r="AV1283" s="286"/>
      <c r="AW1283" s="286">
        <f>AW503</f>
        <v>0</v>
      </c>
      <c r="AX1283" s="286">
        <f>AX503</f>
        <v>0</v>
      </c>
      <c r="AY1283" s="286"/>
      <c r="AZ1283" s="286">
        <f>AZ503</f>
        <v>0</v>
      </c>
      <c r="BA1283" s="286">
        <f>BA503</f>
        <v>0</v>
      </c>
      <c r="BB1283" s="286"/>
      <c r="BC1283" s="286">
        <f>BC503</f>
        <v>0</v>
      </c>
      <c r="BD1283" s="286">
        <f>BD503</f>
        <v>0</v>
      </c>
      <c r="BE1283" s="286"/>
      <c r="BF1283" s="286">
        <f>BF503</f>
        <v>0</v>
      </c>
      <c r="BG1283" s="286">
        <f>BG503</f>
        <v>0</v>
      </c>
      <c r="BH1283" s="286"/>
      <c r="BI1283" s="286">
        <f>BI503</f>
        <v>0</v>
      </c>
      <c r="BJ1283" s="286">
        <f>BJ503</f>
        <v>0</v>
      </c>
      <c r="BK1283" s="286"/>
      <c r="BL1283" s="286">
        <f>BL503</f>
        <v>0</v>
      </c>
      <c r="BM1283" s="286">
        <f>BM503</f>
        <v>0</v>
      </c>
      <c r="BN1283" s="286"/>
      <c r="BO1283" s="286">
        <f>BO503</f>
        <v>0</v>
      </c>
      <c r="BP1283" s="286">
        <f>BP503</f>
        <v>0</v>
      </c>
      <c r="BQ1283" s="286"/>
      <c r="BR1283" s="286">
        <f>BR503</f>
        <v>0</v>
      </c>
      <c r="BS1283" s="286">
        <f>BS503</f>
        <v>0</v>
      </c>
      <c r="BT1283" s="286"/>
      <c r="BU1283" s="286">
        <f>BU503</f>
        <v>0</v>
      </c>
      <c r="BV1283" s="286">
        <f>BV503</f>
        <v>0</v>
      </c>
      <c r="BW1283" s="286"/>
      <c r="BX1283" s="286">
        <f>BX503</f>
        <v>0</v>
      </c>
      <c r="BY1283" s="286">
        <f>BY503</f>
        <v>0</v>
      </c>
      <c r="BZ1283" s="286"/>
      <c r="CA1283" s="286">
        <f>CA503</f>
        <v>0</v>
      </c>
      <c r="CB1283" s="286">
        <f>CB503</f>
        <v>0</v>
      </c>
      <c r="CC1283" s="286"/>
      <c r="CD1283" s="286">
        <f>CD503</f>
        <v>0</v>
      </c>
      <c r="CE1283" s="286">
        <f>CE503</f>
        <v>0</v>
      </c>
      <c r="CF1283" s="286"/>
      <c r="CG1283" s="286">
        <f>CG503</f>
        <v>0</v>
      </c>
      <c r="CH1283" s="286">
        <f>CH503</f>
        <v>0</v>
      </c>
      <c r="CI1283" s="286"/>
      <c r="CJ1283" s="286">
        <f>CJ503</f>
        <v>0</v>
      </c>
      <c r="CK1283" s="286">
        <f>CK503</f>
        <v>0</v>
      </c>
    </row>
    <row r="1284" spans="1:89" ht="30" x14ac:dyDescent="0.25">
      <c r="A1284" s="95"/>
      <c r="B1284" s="263"/>
      <c r="C1284" s="263" t="s">
        <v>1525</v>
      </c>
      <c r="D1284" s="95"/>
      <c r="E1284" s="291"/>
      <c r="F1284" s="291"/>
      <c r="G1284" s="291"/>
      <c r="H1284" s="282">
        <v>17069</v>
      </c>
      <c r="I1284" s="282">
        <v>17364</v>
      </c>
      <c r="J1284" s="282">
        <f>J502</f>
        <v>17637</v>
      </c>
      <c r="K1284" s="282">
        <f>K502</f>
        <v>17634</v>
      </c>
      <c r="L1284" s="282">
        <f>L502</f>
        <v>1971</v>
      </c>
      <c r="M1284" s="282">
        <v>1934</v>
      </c>
      <c r="N1284" s="282">
        <v>1878</v>
      </c>
      <c r="Q1284" s="286">
        <f t="shared" si="1627"/>
        <v>17634</v>
      </c>
      <c r="R1284" s="286">
        <f t="shared" si="1627"/>
        <v>17454</v>
      </c>
      <c r="S1284" s="286">
        <f>S502</f>
        <v>1265</v>
      </c>
      <c r="T1284" s="286">
        <f>T502</f>
        <v>1262</v>
      </c>
      <c r="U1284" s="286"/>
      <c r="V1284" s="286">
        <f>V502</f>
        <v>1444</v>
      </c>
      <c r="W1284" s="286">
        <f>W502</f>
        <v>1445</v>
      </c>
      <c r="X1284" s="286"/>
      <c r="Y1284" s="286">
        <f>Y502</f>
        <v>1458</v>
      </c>
      <c r="Z1284" s="286">
        <f>Z502</f>
        <v>1415</v>
      </c>
      <c r="AA1284" s="286"/>
      <c r="AB1284" s="286">
        <f>AB502</f>
        <v>2221</v>
      </c>
      <c r="AC1284" s="286">
        <f>AC502</f>
        <v>2166</v>
      </c>
      <c r="AD1284" s="286"/>
      <c r="AE1284" s="286">
        <f>AE502</f>
        <v>987</v>
      </c>
      <c r="AF1284" s="286">
        <f>AF502</f>
        <v>905</v>
      </c>
      <c r="AG1284" s="286"/>
      <c r="AH1284" s="286">
        <f>AH502</f>
        <v>1978</v>
      </c>
      <c r="AI1284" s="286">
        <f>AI502</f>
        <v>1971</v>
      </c>
      <c r="AJ1284" s="286"/>
      <c r="AK1284" s="286">
        <f>AK502</f>
        <v>290</v>
      </c>
      <c r="AL1284" s="286">
        <f>AL502</f>
        <v>288</v>
      </c>
      <c r="AM1284" s="286"/>
      <c r="AN1284" s="286">
        <f>AN502</f>
        <v>5457</v>
      </c>
      <c r="AO1284" s="286">
        <f>AO502</f>
        <v>5441</v>
      </c>
      <c r="AP1284" s="286"/>
      <c r="AQ1284" s="286">
        <f>AQ502</f>
        <v>2147</v>
      </c>
      <c r="AR1284" s="286">
        <f>AR502</f>
        <v>2160</v>
      </c>
      <c r="AS1284" s="286"/>
      <c r="AT1284" s="286">
        <f>AT502</f>
        <v>0</v>
      </c>
      <c r="AU1284" s="286">
        <f>AU502</f>
        <v>0</v>
      </c>
      <c r="AV1284" s="286"/>
      <c r="AW1284" s="286">
        <f>AW502</f>
        <v>0</v>
      </c>
      <c r="AX1284" s="286">
        <f>AX502</f>
        <v>0</v>
      </c>
      <c r="AY1284" s="286"/>
      <c r="AZ1284" s="286">
        <f>AZ502</f>
        <v>0</v>
      </c>
      <c r="BA1284" s="286">
        <f>BA502</f>
        <v>0</v>
      </c>
      <c r="BB1284" s="286"/>
      <c r="BC1284" s="286">
        <f>BC502</f>
        <v>0</v>
      </c>
      <c r="BD1284" s="286">
        <f>BD502</f>
        <v>0</v>
      </c>
      <c r="BE1284" s="286"/>
      <c r="BF1284" s="286">
        <f>BF502</f>
        <v>0</v>
      </c>
      <c r="BG1284" s="286">
        <f>BG502</f>
        <v>0</v>
      </c>
      <c r="BH1284" s="286"/>
      <c r="BI1284" s="286">
        <f>BI502</f>
        <v>0</v>
      </c>
      <c r="BJ1284" s="286">
        <f>BJ502</f>
        <v>0</v>
      </c>
      <c r="BK1284" s="286"/>
      <c r="BL1284" s="286">
        <f>BL502</f>
        <v>0</v>
      </c>
      <c r="BM1284" s="286">
        <f>BM502</f>
        <v>0</v>
      </c>
      <c r="BN1284" s="286"/>
      <c r="BO1284" s="286">
        <f>BO502</f>
        <v>0</v>
      </c>
      <c r="BP1284" s="286">
        <f>BP502</f>
        <v>0</v>
      </c>
      <c r="BQ1284" s="286"/>
      <c r="BR1284" s="286">
        <f>BR502</f>
        <v>0</v>
      </c>
      <c r="BS1284" s="286">
        <f>BS502</f>
        <v>0</v>
      </c>
      <c r="BT1284" s="286"/>
      <c r="BU1284" s="286">
        <f>BU502</f>
        <v>0</v>
      </c>
      <c r="BV1284" s="286">
        <f>BV502</f>
        <v>0</v>
      </c>
      <c r="BW1284" s="286"/>
      <c r="BX1284" s="286">
        <f>BX502</f>
        <v>0</v>
      </c>
      <c r="BY1284" s="286">
        <f>BY502</f>
        <v>0</v>
      </c>
      <c r="BZ1284" s="286"/>
      <c r="CA1284" s="286">
        <f>CA502</f>
        <v>0</v>
      </c>
      <c r="CB1284" s="286">
        <f>CB502</f>
        <v>0</v>
      </c>
      <c r="CC1284" s="286"/>
      <c r="CD1284" s="286">
        <f>CD502</f>
        <v>0</v>
      </c>
      <c r="CE1284" s="286">
        <f>CE502</f>
        <v>0</v>
      </c>
      <c r="CF1284" s="286"/>
      <c r="CG1284" s="286">
        <f>CG502</f>
        <v>387</v>
      </c>
      <c r="CH1284" s="286">
        <f>CH502</f>
        <v>401</v>
      </c>
      <c r="CI1284" s="286"/>
      <c r="CJ1284" s="286">
        <f>CJ502</f>
        <v>0</v>
      </c>
      <c r="CK1284" s="286">
        <f>CK502</f>
        <v>0</v>
      </c>
    </row>
    <row r="1285" spans="1:89" ht="30" x14ac:dyDescent="0.25">
      <c r="A1285" s="95"/>
      <c r="B1285" s="263"/>
      <c r="C1285" s="263" t="s">
        <v>1526</v>
      </c>
      <c r="D1285" s="95"/>
      <c r="E1285" s="291"/>
      <c r="F1285" s="291"/>
      <c r="G1285" s="291"/>
      <c r="H1285" s="282">
        <v>0</v>
      </c>
      <c r="I1285" s="282">
        <v>0</v>
      </c>
      <c r="J1285" s="282">
        <f>J504</f>
        <v>0</v>
      </c>
      <c r="K1285" s="282">
        <f>K504</f>
        <v>0</v>
      </c>
      <c r="L1285" s="282">
        <f>L504</f>
        <v>0</v>
      </c>
      <c r="M1285" s="282">
        <f>M504</f>
        <v>0</v>
      </c>
      <c r="N1285" s="282">
        <f>N504</f>
        <v>0</v>
      </c>
      <c r="Q1285" s="286">
        <f t="shared" si="1627"/>
        <v>0</v>
      </c>
      <c r="R1285" s="286">
        <f t="shared" si="1627"/>
        <v>0</v>
      </c>
      <c r="S1285" s="286">
        <f>S504</f>
        <v>0</v>
      </c>
      <c r="T1285" s="286">
        <f>T504</f>
        <v>0</v>
      </c>
      <c r="U1285" s="286"/>
      <c r="V1285" s="286">
        <f>V504</f>
        <v>0</v>
      </c>
      <c r="W1285" s="286">
        <f>W504</f>
        <v>0</v>
      </c>
      <c r="X1285" s="286"/>
      <c r="Y1285" s="286">
        <f>Y504</f>
        <v>0</v>
      </c>
      <c r="Z1285" s="286">
        <f>Z504</f>
        <v>0</v>
      </c>
      <c r="AA1285" s="286"/>
      <c r="AB1285" s="286">
        <f>AB504</f>
        <v>0</v>
      </c>
      <c r="AC1285" s="286">
        <f>AC504</f>
        <v>0</v>
      </c>
      <c r="AD1285" s="286"/>
      <c r="AE1285" s="286">
        <f>AE504</f>
        <v>0</v>
      </c>
      <c r="AF1285" s="286">
        <f>AF504</f>
        <v>0</v>
      </c>
      <c r="AG1285" s="286"/>
      <c r="AH1285" s="286">
        <f>AH504</f>
        <v>0</v>
      </c>
      <c r="AI1285" s="286">
        <f>AI504</f>
        <v>0</v>
      </c>
      <c r="AJ1285" s="286"/>
      <c r="AK1285" s="286">
        <f>AK504</f>
        <v>0</v>
      </c>
      <c r="AL1285" s="286">
        <f>AL504</f>
        <v>0</v>
      </c>
      <c r="AM1285" s="286"/>
      <c r="AN1285" s="286">
        <f>AN504</f>
        <v>0</v>
      </c>
      <c r="AO1285" s="286">
        <f>AO504</f>
        <v>0</v>
      </c>
      <c r="AP1285" s="286"/>
      <c r="AQ1285" s="286">
        <f>AQ504</f>
        <v>0</v>
      </c>
      <c r="AR1285" s="286">
        <f>AR504</f>
        <v>0</v>
      </c>
      <c r="AS1285" s="286"/>
      <c r="AT1285" s="286">
        <f>AT504</f>
        <v>0</v>
      </c>
      <c r="AU1285" s="286">
        <f>AU504</f>
        <v>0</v>
      </c>
      <c r="AV1285" s="286"/>
      <c r="AW1285" s="286">
        <f>AW504</f>
        <v>0</v>
      </c>
      <c r="AX1285" s="286">
        <f>AX504</f>
        <v>0</v>
      </c>
      <c r="AY1285" s="286"/>
      <c r="AZ1285" s="286">
        <f>AZ504</f>
        <v>0</v>
      </c>
      <c r="BA1285" s="286">
        <f>BA504</f>
        <v>0</v>
      </c>
      <c r="BB1285" s="286"/>
      <c r="BC1285" s="286">
        <f>BC504</f>
        <v>0</v>
      </c>
      <c r="BD1285" s="286">
        <f>BD504</f>
        <v>0</v>
      </c>
      <c r="BE1285" s="286"/>
      <c r="BF1285" s="286">
        <f>BF504</f>
        <v>0</v>
      </c>
      <c r="BG1285" s="286">
        <f>BG504</f>
        <v>0</v>
      </c>
      <c r="BH1285" s="286"/>
      <c r="BI1285" s="286">
        <f>BI504</f>
        <v>0</v>
      </c>
      <c r="BJ1285" s="286">
        <f>BJ504</f>
        <v>0</v>
      </c>
      <c r="BK1285" s="286"/>
      <c r="BL1285" s="286">
        <f>BL504</f>
        <v>0</v>
      </c>
      <c r="BM1285" s="286">
        <f>BM504</f>
        <v>0</v>
      </c>
      <c r="BN1285" s="286"/>
      <c r="BO1285" s="286">
        <f>BO504</f>
        <v>0</v>
      </c>
      <c r="BP1285" s="286">
        <f>BP504</f>
        <v>0</v>
      </c>
      <c r="BQ1285" s="286"/>
      <c r="BR1285" s="286">
        <f>BR504</f>
        <v>0</v>
      </c>
      <c r="BS1285" s="286">
        <f>BS504</f>
        <v>0</v>
      </c>
      <c r="BT1285" s="286"/>
      <c r="BU1285" s="286">
        <f>BU504</f>
        <v>0</v>
      </c>
      <c r="BV1285" s="286">
        <f>BV504</f>
        <v>0</v>
      </c>
      <c r="BW1285" s="286"/>
      <c r="BX1285" s="286">
        <f>BX504</f>
        <v>0</v>
      </c>
      <c r="BY1285" s="286">
        <f>BY504</f>
        <v>0</v>
      </c>
      <c r="BZ1285" s="286"/>
      <c r="CA1285" s="286">
        <f>CA504</f>
        <v>0</v>
      </c>
      <c r="CB1285" s="286">
        <f>CB504</f>
        <v>0</v>
      </c>
      <c r="CC1285" s="286"/>
      <c r="CD1285" s="286">
        <f>CD504</f>
        <v>0</v>
      </c>
      <c r="CE1285" s="286">
        <f>CE504</f>
        <v>0</v>
      </c>
      <c r="CF1285" s="286"/>
      <c r="CG1285" s="286">
        <f>CG504</f>
        <v>0</v>
      </c>
      <c r="CH1285" s="286">
        <f>CH504</f>
        <v>0</v>
      </c>
      <c r="CI1285" s="286"/>
      <c r="CJ1285" s="286">
        <f>CJ504</f>
        <v>0</v>
      </c>
      <c r="CK1285" s="286">
        <f>CK504</f>
        <v>0</v>
      </c>
    </row>
    <row r="1286" spans="1:89" x14ac:dyDescent="0.25">
      <c r="A1286" s="95"/>
      <c r="B1286" s="261" t="s">
        <v>1184</v>
      </c>
      <c r="C1286" s="95"/>
      <c r="D1286" s="95"/>
      <c r="E1286" s="291"/>
      <c r="F1286" s="291"/>
      <c r="G1286" s="291"/>
      <c r="H1286" s="282">
        <f>H1287+H1288</f>
        <v>826</v>
      </c>
      <c r="I1286" s="282">
        <f>I1287+I1288</f>
        <v>910</v>
      </c>
      <c r="J1286" s="282">
        <f>J1287+J1288</f>
        <v>923</v>
      </c>
      <c r="K1286" s="282">
        <f>K1287+K1288</f>
        <v>928</v>
      </c>
      <c r="L1286" s="282">
        <f>L1287+L1288</f>
        <v>0</v>
      </c>
      <c r="M1286" s="282">
        <f t="shared" ref="M1286:N1286" si="1628">M1287+M1288</f>
        <v>0</v>
      </c>
      <c r="N1286" s="282">
        <f t="shared" si="1628"/>
        <v>0</v>
      </c>
      <c r="Q1286" s="291">
        <f>Q1287+Q1288</f>
        <v>928</v>
      </c>
      <c r="R1286" s="291">
        <f>R1287+R1288</f>
        <v>918</v>
      </c>
      <c r="S1286" s="291">
        <f>S1287+S1288</f>
        <v>0</v>
      </c>
      <c r="T1286" s="291">
        <f>T1287+T1288</f>
        <v>0</v>
      </c>
      <c r="V1286" s="291">
        <f>V1287+V1288</f>
        <v>0</v>
      </c>
      <c r="W1286" s="291">
        <f>W1287+W1288</f>
        <v>0</v>
      </c>
      <c r="Y1286" s="291">
        <f>Y1287+Y1288</f>
        <v>0</v>
      </c>
      <c r="Z1286" s="291">
        <f>Z1287+Z1288</f>
        <v>0</v>
      </c>
      <c r="AB1286" s="291">
        <f>AB1287+AB1288</f>
        <v>0</v>
      </c>
      <c r="AC1286" s="291">
        <f>AC1287+AC1288</f>
        <v>0</v>
      </c>
      <c r="AE1286" s="291">
        <f>AE1287+AE1288</f>
        <v>0</v>
      </c>
      <c r="AF1286" s="291">
        <f>AF1287+AF1288</f>
        <v>0</v>
      </c>
      <c r="AH1286" s="291">
        <f>AH1287+AH1288</f>
        <v>0</v>
      </c>
      <c r="AI1286" s="291">
        <f>AI1287+AI1288</f>
        <v>0</v>
      </c>
      <c r="AK1286" s="291">
        <f>AK1287+AK1288</f>
        <v>0</v>
      </c>
      <c r="AL1286" s="291">
        <f>AL1287+AL1288</f>
        <v>0</v>
      </c>
      <c r="AN1286" s="291">
        <f>AN1287+AN1288</f>
        <v>0</v>
      </c>
      <c r="AO1286" s="291">
        <f>AO1287+AO1288</f>
        <v>0</v>
      </c>
      <c r="AQ1286" s="291">
        <f>AQ1287+AQ1288</f>
        <v>0</v>
      </c>
      <c r="AR1286" s="291">
        <f>AR1287+AR1288</f>
        <v>0</v>
      </c>
      <c r="AT1286" s="291">
        <f>AT1287+AT1288</f>
        <v>0</v>
      </c>
      <c r="AU1286" s="291">
        <f>AU1287+AU1288</f>
        <v>0</v>
      </c>
      <c r="AW1286" s="291">
        <f>AW1287+AW1288</f>
        <v>0</v>
      </c>
      <c r="AX1286" s="291">
        <f>AX1287+AX1288</f>
        <v>0</v>
      </c>
      <c r="AZ1286" s="291">
        <f>AZ1287+AZ1288</f>
        <v>0</v>
      </c>
      <c r="BA1286" s="291">
        <f>BA1287+BA1288</f>
        <v>0</v>
      </c>
      <c r="BC1286" s="291">
        <f>BC1287+BC1288</f>
        <v>187</v>
      </c>
      <c r="BD1286" s="291">
        <f>BD1287+BD1288</f>
        <v>188</v>
      </c>
      <c r="BF1286" s="291">
        <f>BF1287+BF1288</f>
        <v>187</v>
      </c>
      <c r="BG1286" s="291">
        <f>BG1287+BG1288</f>
        <v>179</v>
      </c>
      <c r="BI1286" s="291">
        <f>BI1287+BI1288</f>
        <v>436</v>
      </c>
      <c r="BJ1286" s="291">
        <f>BJ1287+BJ1288</f>
        <v>424</v>
      </c>
      <c r="BL1286" s="291">
        <f>BL1287+BL1288</f>
        <v>0</v>
      </c>
      <c r="BM1286" s="291">
        <f>BM1287+BM1288</f>
        <v>0</v>
      </c>
      <c r="BO1286" s="291">
        <f>BO1287+BO1288</f>
        <v>0</v>
      </c>
      <c r="BP1286" s="291">
        <f>BP1287+BP1288</f>
        <v>0</v>
      </c>
      <c r="BR1286" s="291">
        <f>BR1287+BR1288</f>
        <v>0</v>
      </c>
      <c r="BS1286" s="291">
        <f>BS1287+BS1288</f>
        <v>0</v>
      </c>
      <c r="BU1286" s="291">
        <f>BU1287+BU1288</f>
        <v>0</v>
      </c>
      <c r="BV1286" s="291">
        <f>BV1287+BV1288</f>
        <v>0</v>
      </c>
      <c r="BX1286" s="291">
        <f>BX1287+BX1288</f>
        <v>0</v>
      </c>
      <c r="BY1286" s="291">
        <f>BY1287+BY1288</f>
        <v>0</v>
      </c>
      <c r="CA1286" s="291">
        <f>CA1287+CA1288</f>
        <v>0</v>
      </c>
      <c r="CB1286" s="291">
        <f>CB1287+CB1288</f>
        <v>0</v>
      </c>
      <c r="CD1286" s="291">
        <f>CD1287+CD1288</f>
        <v>118</v>
      </c>
      <c r="CE1286" s="291">
        <f>CE1287+CE1288</f>
        <v>127</v>
      </c>
      <c r="CG1286" s="291">
        <f>CG1287+CG1288</f>
        <v>0</v>
      </c>
      <c r="CH1286" s="291">
        <f>CH1287+CH1288</f>
        <v>0</v>
      </c>
      <c r="CJ1286" s="291">
        <f>CJ1287+CJ1288</f>
        <v>0</v>
      </c>
      <c r="CK1286" s="291">
        <f>CK1287+CK1288</f>
        <v>0</v>
      </c>
    </row>
    <row r="1287" spans="1:89" ht="30" x14ac:dyDescent="0.25">
      <c r="A1287" s="95"/>
      <c r="B1287" s="263"/>
      <c r="C1287" s="263" t="s">
        <v>1525</v>
      </c>
      <c r="D1287" s="95"/>
      <c r="E1287" s="291"/>
      <c r="F1287" s="291"/>
      <c r="G1287" s="291"/>
      <c r="H1287" s="282">
        <v>826</v>
      </c>
      <c r="I1287" s="282">
        <v>910</v>
      </c>
      <c r="J1287" s="282">
        <f>J508</f>
        <v>923</v>
      </c>
      <c r="K1287" s="282">
        <f>K508</f>
        <v>928</v>
      </c>
      <c r="L1287" s="282">
        <f>L508</f>
        <v>0</v>
      </c>
      <c r="M1287" s="282">
        <f>M508</f>
        <v>0</v>
      </c>
      <c r="N1287" s="282">
        <f>N508</f>
        <v>0</v>
      </c>
      <c r="Q1287" s="283">
        <f t="shared" ref="Q1287:R1290" si="1629">S1287+V1287+Y1287+AB1287+AE1287+AH1287+AK1287+AN1287+AQ1287+AT1287+AW1287+AZ1287+BC1287+BF1287+BI1287+BL1287+BO1287+BR1287+BU1287+BX1287+CA1287+CD1287+CG1287+CJ1287</f>
        <v>928</v>
      </c>
      <c r="R1287" s="283">
        <f t="shared" si="1629"/>
        <v>918</v>
      </c>
      <c r="S1287" s="267">
        <f>S508</f>
        <v>0</v>
      </c>
      <c r="T1287" s="267">
        <f>T508</f>
        <v>0</v>
      </c>
      <c r="V1287" s="267">
        <f>V508</f>
        <v>0</v>
      </c>
      <c r="W1287" s="267">
        <f>W508</f>
        <v>0</v>
      </c>
      <c r="Y1287" s="267">
        <f>Y508</f>
        <v>0</v>
      </c>
      <c r="Z1287" s="267">
        <f>Z508</f>
        <v>0</v>
      </c>
      <c r="AB1287" s="267">
        <f>AB508</f>
        <v>0</v>
      </c>
      <c r="AC1287" s="267">
        <f>AC508</f>
        <v>0</v>
      </c>
      <c r="AE1287" s="267">
        <f>AE508</f>
        <v>0</v>
      </c>
      <c r="AF1287" s="267">
        <f>AF508</f>
        <v>0</v>
      </c>
      <c r="AH1287" s="267">
        <f>AH508</f>
        <v>0</v>
      </c>
      <c r="AI1287" s="267">
        <f>AI508</f>
        <v>0</v>
      </c>
      <c r="AK1287" s="267">
        <f>AK508</f>
        <v>0</v>
      </c>
      <c r="AL1287" s="267">
        <f>AL508</f>
        <v>0</v>
      </c>
      <c r="AN1287" s="267">
        <f>AN508</f>
        <v>0</v>
      </c>
      <c r="AO1287" s="267">
        <f>AO508</f>
        <v>0</v>
      </c>
      <c r="AQ1287" s="267">
        <f>AQ508</f>
        <v>0</v>
      </c>
      <c r="AR1287" s="267">
        <f>AR508</f>
        <v>0</v>
      </c>
      <c r="AT1287" s="267">
        <f>AT508</f>
        <v>0</v>
      </c>
      <c r="AU1287" s="267">
        <f>AU508</f>
        <v>0</v>
      </c>
      <c r="AW1287" s="267">
        <f>AW508</f>
        <v>0</v>
      </c>
      <c r="AX1287" s="267">
        <f>AX508</f>
        <v>0</v>
      </c>
      <c r="AZ1287" s="267">
        <f>AZ508</f>
        <v>0</v>
      </c>
      <c r="BA1287" s="267">
        <f>BA508</f>
        <v>0</v>
      </c>
      <c r="BC1287" s="267">
        <f>BC508</f>
        <v>187</v>
      </c>
      <c r="BD1287" s="267">
        <f>BD508</f>
        <v>188</v>
      </c>
      <c r="BF1287" s="267">
        <f>BF508</f>
        <v>187</v>
      </c>
      <c r="BG1287" s="267">
        <f>BG508</f>
        <v>179</v>
      </c>
      <c r="BI1287" s="267">
        <f>BI508</f>
        <v>436</v>
      </c>
      <c r="BJ1287" s="267">
        <f>BJ508</f>
        <v>424</v>
      </c>
      <c r="BL1287" s="267">
        <f>BL508</f>
        <v>0</v>
      </c>
      <c r="BM1287" s="267">
        <f>BM508</f>
        <v>0</v>
      </c>
      <c r="BO1287" s="267">
        <f>BO508</f>
        <v>0</v>
      </c>
      <c r="BP1287" s="267">
        <f>BP508</f>
        <v>0</v>
      </c>
      <c r="BR1287" s="267">
        <f>BR508</f>
        <v>0</v>
      </c>
      <c r="BS1287" s="267">
        <f>BS508</f>
        <v>0</v>
      </c>
      <c r="BU1287" s="267">
        <f>BU508</f>
        <v>0</v>
      </c>
      <c r="BV1287" s="267">
        <f>BV508</f>
        <v>0</v>
      </c>
      <c r="BX1287" s="267">
        <f>BX508</f>
        <v>0</v>
      </c>
      <c r="BY1287" s="267">
        <f>BY508</f>
        <v>0</v>
      </c>
      <c r="CA1287" s="267">
        <f>CA508</f>
        <v>0</v>
      </c>
      <c r="CB1287" s="267">
        <f>CB508</f>
        <v>0</v>
      </c>
      <c r="CD1287" s="267">
        <f>CD508</f>
        <v>118</v>
      </c>
      <c r="CE1287" s="267">
        <f>CE508</f>
        <v>127</v>
      </c>
      <c r="CG1287" s="267">
        <f>CG508</f>
        <v>0</v>
      </c>
      <c r="CH1287" s="267">
        <f>CH508</f>
        <v>0</v>
      </c>
      <c r="CJ1287" s="267">
        <f>CJ508</f>
        <v>0</v>
      </c>
      <c r="CK1287" s="267">
        <f>CK508</f>
        <v>0</v>
      </c>
    </row>
    <row r="1288" spans="1:89" ht="30" x14ac:dyDescent="0.25">
      <c r="A1288" s="95"/>
      <c r="B1288" s="263"/>
      <c r="C1288" s="263" t="s">
        <v>1526</v>
      </c>
      <c r="D1288" s="95"/>
      <c r="E1288" s="291"/>
      <c r="F1288" s="291"/>
      <c r="G1288" s="291"/>
      <c r="H1288" s="282">
        <v>0</v>
      </c>
      <c r="I1288" s="282">
        <v>0</v>
      </c>
      <c r="J1288" s="282">
        <f>J510</f>
        <v>0</v>
      </c>
      <c r="K1288" s="282">
        <f>K510</f>
        <v>0</v>
      </c>
      <c r="L1288" s="282">
        <f>L510</f>
        <v>0</v>
      </c>
      <c r="M1288" s="282">
        <f>M510</f>
        <v>0</v>
      </c>
      <c r="N1288" s="282">
        <f>N510</f>
        <v>0</v>
      </c>
      <c r="Q1288" s="283">
        <f t="shared" si="1629"/>
        <v>0</v>
      </c>
      <c r="R1288" s="283">
        <f t="shared" si="1629"/>
        <v>0</v>
      </c>
      <c r="S1288" s="267">
        <f>S510</f>
        <v>0</v>
      </c>
      <c r="T1288" s="267">
        <f>T510</f>
        <v>0</v>
      </c>
      <c r="V1288" s="267">
        <f>V510</f>
        <v>0</v>
      </c>
      <c r="W1288" s="267">
        <f>W510</f>
        <v>0</v>
      </c>
      <c r="Y1288" s="267">
        <f>Y510</f>
        <v>0</v>
      </c>
      <c r="Z1288" s="267">
        <f>Z510</f>
        <v>0</v>
      </c>
      <c r="AB1288" s="267">
        <f>AB510</f>
        <v>0</v>
      </c>
      <c r="AC1288" s="267">
        <f>AC510</f>
        <v>0</v>
      </c>
      <c r="AE1288" s="267">
        <f>AE510</f>
        <v>0</v>
      </c>
      <c r="AF1288" s="267">
        <f>AF510</f>
        <v>0</v>
      </c>
      <c r="AH1288" s="267">
        <f>AH510</f>
        <v>0</v>
      </c>
      <c r="AI1288" s="267">
        <f>AI510</f>
        <v>0</v>
      </c>
      <c r="AK1288" s="267">
        <f>AK510</f>
        <v>0</v>
      </c>
      <c r="AL1288" s="267">
        <f>AL510</f>
        <v>0</v>
      </c>
      <c r="AN1288" s="267">
        <f>AN510</f>
        <v>0</v>
      </c>
      <c r="AO1288" s="267">
        <f>AO510</f>
        <v>0</v>
      </c>
      <c r="AQ1288" s="267">
        <f>AQ510</f>
        <v>0</v>
      </c>
      <c r="AR1288" s="267">
        <f>AR510</f>
        <v>0</v>
      </c>
      <c r="AT1288" s="267">
        <f>AT510</f>
        <v>0</v>
      </c>
      <c r="AU1288" s="267">
        <f>AU510</f>
        <v>0</v>
      </c>
      <c r="AW1288" s="267">
        <f>AW510</f>
        <v>0</v>
      </c>
      <c r="AX1288" s="267">
        <f>AX510</f>
        <v>0</v>
      </c>
      <c r="AZ1288" s="267">
        <f>AZ510</f>
        <v>0</v>
      </c>
      <c r="BA1288" s="267">
        <f>BA510</f>
        <v>0</v>
      </c>
      <c r="BC1288" s="267">
        <f>BC510</f>
        <v>0</v>
      </c>
      <c r="BD1288" s="267">
        <f>BD510</f>
        <v>0</v>
      </c>
      <c r="BF1288" s="267">
        <f>BF510</f>
        <v>0</v>
      </c>
      <c r="BG1288" s="267">
        <f>BG510</f>
        <v>0</v>
      </c>
      <c r="BI1288" s="267">
        <f>BI510</f>
        <v>0</v>
      </c>
      <c r="BJ1288" s="267">
        <f>BJ510</f>
        <v>0</v>
      </c>
      <c r="BL1288" s="267">
        <f>BL510</f>
        <v>0</v>
      </c>
      <c r="BM1288" s="267">
        <f>BM510</f>
        <v>0</v>
      </c>
      <c r="BO1288" s="267">
        <f>BO510</f>
        <v>0</v>
      </c>
      <c r="BP1288" s="267">
        <f>BP510</f>
        <v>0</v>
      </c>
      <c r="BR1288" s="267">
        <f>BR510</f>
        <v>0</v>
      </c>
      <c r="BS1288" s="267">
        <f>BS510</f>
        <v>0</v>
      </c>
      <c r="BU1288" s="267">
        <f>BU510</f>
        <v>0</v>
      </c>
      <c r="BV1288" s="267">
        <f>BV510</f>
        <v>0</v>
      </c>
      <c r="BX1288" s="267">
        <f>BX510</f>
        <v>0</v>
      </c>
      <c r="BY1288" s="267">
        <f>BY510</f>
        <v>0</v>
      </c>
      <c r="CA1288" s="267">
        <f>CA510</f>
        <v>0</v>
      </c>
      <c r="CB1288" s="267">
        <f>CB510</f>
        <v>0</v>
      </c>
      <c r="CD1288" s="267">
        <f>CD510</f>
        <v>0</v>
      </c>
      <c r="CE1288" s="267">
        <f>CE510</f>
        <v>0</v>
      </c>
      <c r="CG1288" s="267">
        <f>CG510</f>
        <v>0</v>
      </c>
      <c r="CH1288" s="267">
        <f>CH510</f>
        <v>0</v>
      </c>
      <c r="CJ1288" s="267">
        <f>CJ510</f>
        <v>0</v>
      </c>
      <c r="CK1288" s="267">
        <f>CK510</f>
        <v>0</v>
      </c>
    </row>
    <row r="1289" spans="1:89" ht="30" x14ac:dyDescent="0.25">
      <c r="A1289" s="95"/>
      <c r="B1289" s="263"/>
      <c r="C1289" s="263" t="s">
        <v>1525</v>
      </c>
      <c r="D1289" s="95"/>
      <c r="E1289" s="291"/>
      <c r="F1289" s="291"/>
      <c r="G1289" s="291"/>
      <c r="H1289" s="282">
        <v>0</v>
      </c>
      <c r="I1289" s="282">
        <v>0</v>
      </c>
      <c r="J1289" s="282">
        <f>J509</f>
        <v>0</v>
      </c>
      <c r="K1289" s="282">
        <f>K509</f>
        <v>0</v>
      </c>
      <c r="L1289" s="282">
        <f>L509</f>
        <v>0</v>
      </c>
      <c r="M1289" s="282">
        <f>M509</f>
        <v>0</v>
      </c>
      <c r="N1289" s="282">
        <f>N509</f>
        <v>0</v>
      </c>
      <c r="Q1289" s="283">
        <f t="shared" si="1629"/>
        <v>0</v>
      </c>
      <c r="R1289" s="283">
        <f t="shared" si="1629"/>
        <v>0</v>
      </c>
      <c r="S1289" s="267">
        <f>S509</f>
        <v>0</v>
      </c>
      <c r="T1289" s="267">
        <f>T509</f>
        <v>0</v>
      </c>
      <c r="V1289" s="267">
        <f>V509</f>
        <v>0</v>
      </c>
      <c r="W1289" s="267">
        <f>W509</f>
        <v>0</v>
      </c>
      <c r="Y1289" s="267">
        <f>Y509</f>
        <v>0</v>
      </c>
      <c r="Z1289" s="267">
        <f>Z509</f>
        <v>0</v>
      </c>
      <c r="AB1289" s="267">
        <f>AB509</f>
        <v>0</v>
      </c>
      <c r="AC1289" s="267">
        <f>AC509</f>
        <v>0</v>
      </c>
      <c r="AE1289" s="267">
        <f>AE509</f>
        <v>0</v>
      </c>
      <c r="AF1289" s="267">
        <f>AF509</f>
        <v>0</v>
      </c>
      <c r="AH1289" s="267">
        <f>AH509</f>
        <v>0</v>
      </c>
      <c r="AI1289" s="267">
        <f>AI509</f>
        <v>0</v>
      </c>
      <c r="AK1289" s="267">
        <f>AK509</f>
        <v>0</v>
      </c>
      <c r="AL1289" s="267">
        <f>AL509</f>
        <v>0</v>
      </c>
      <c r="AN1289" s="267">
        <f>AN509</f>
        <v>0</v>
      </c>
      <c r="AO1289" s="267">
        <f>AO509</f>
        <v>0</v>
      </c>
      <c r="AQ1289" s="267">
        <f>AQ509</f>
        <v>0</v>
      </c>
      <c r="AR1289" s="267">
        <f>AR509</f>
        <v>0</v>
      </c>
      <c r="AT1289" s="267">
        <f>AT509</f>
        <v>0</v>
      </c>
      <c r="AU1289" s="267">
        <f>AU509</f>
        <v>0</v>
      </c>
      <c r="AW1289" s="267">
        <f>AW509</f>
        <v>0</v>
      </c>
      <c r="AX1289" s="267">
        <f>AX509</f>
        <v>0</v>
      </c>
      <c r="AZ1289" s="267">
        <f>AZ509</f>
        <v>0</v>
      </c>
      <c r="BA1289" s="267">
        <f>BA509</f>
        <v>0</v>
      </c>
      <c r="BC1289" s="267">
        <f>BC509</f>
        <v>0</v>
      </c>
      <c r="BD1289" s="267">
        <f>BD509</f>
        <v>0</v>
      </c>
      <c r="BF1289" s="267">
        <f>BF509</f>
        <v>0</v>
      </c>
      <c r="BG1289" s="267">
        <f>BG509</f>
        <v>0</v>
      </c>
      <c r="BI1289" s="267">
        <f>BI509</f>
        <v>0</v>
      </c>
      <c r="BJ1289" s="267">
        <f>BJ509</f>
        <v>0</v>
      </c>
      <c r="BL1289" s="267">
        <f>BL509</f>
        <v>0</v>
      </c>
      <c r="BM1289" s="267">
        <f>BM509</f>
        <v>0</v>
      </c>
      <c r="BO1289" s="267">
        <f>BO509</f>
        <v>0</v>
      </c>
      <c r="BP1289" s="267">
        <f>BP509</f>
        <v>0</v>
      </c>
      <c r="BR1289" s="267">
        <f>BR509</f>
        <v>0</v>
      </c>
      <c r="BS1289" s="267">
        <f>BS509</f>
        <v>0</v>
      </c>
      <c r="BU1289" s="267">
        <f>BU509</f>
        <v>0</v>
      </c>
      <c r="BV1289" s="267">
        <f>BV509</f>
        <v>0</v>
      </c>
      <c r="BX1289" s="267">
        <f>BX509</f>
        <v>0</v>
      </c>
      <c r="BY1289" s="267">
        <f>BY509</f>
        <v>0</v>
      </c>
      <c r="CA1289" s="267">
        <f>CA509</f>
        <v>0</v>
      </c>
      <c r="CB1289" s="267">
        <f>CB509</f>
        <v>0</v>
      </c>
      <c r="CD1289" s="267">
        <f>CD509</f>
        <v>0</v>
      </c>
      <c r="CE1289" s="267">
        <f>CE509</f>
        <v>0</v>
      </c>
      <c r="CG1289" s="267">
        <f>CG509</f>
        <v>0</v>
      </c>
      <c r="CH1289" s="267">
        <f>CH509</f>
        <v>0</v>
      </c>
      <c r="CJ1289" s="267">
        <f>CJ509</f>
        <v>0</v>
      </c>
      <c r="CK1289" s="267">
        <f>CK509</f>
        <v>0</v>
      </c>
    </row>
    <row r="1290" spans="1:89" ht="30" x14ac:dyDescent="0.25">
      <c r="A1290" s="95"/>
      <c r="B1290" s="263"/>
      <c r="C1290" s="263" t="s">
        <v>1526</v>
      </c>
      <c r="D1290" s="95"/>
      <c r="E1290" s="291"/>
      <c r="F1290" s="291"/>
      <c r="G1290" s="291"/>
      <c r="H1290" s="282">
        <v>0</v>
      </c>
      <c r="I1290" s="282">
        <v>0</v>
      </c>
      <c r="J1290" s="282">
        <f>J511</f>
        <v>0</v>
      </c>
      <c r="K1290" s="282">
        <f>K511</f>
        <v>0</v>
      </c>
      <c r="L1290" s="282">
        <f>L511</f>
        <v>0</v>
      </c>
      <c r="M1290" s="282">
        <f>M511</f>
        <v>0</v>
      </c>
      <c r="N1290" s="282">
        <f>N511</f>
        <v>0</v>
      </c>
      <c r="Q1290" s="283">
        <f t="shared" si="1629"/>
        <v>0</v>
      </c>
      <c r="R1290" s="283">
        <f t="shared" si="1629"/>
        <v>0</v>
      </c>
      <c r="S1290" s="267">
        <f>S511</f>
        <v>0</v>
      </c>
      <c r="T1290" s="267">
        <f>T511</f>
        <v>0</v>
      </c>
      <c r="V1290" s="267">
        <f>V511</f>
        <v>0</v>
      </c>
      <c r="W1290" s="267">
        <f>W511</f>
        <v>0</v>
      </c>
      <c r="Y1290" s="267">
        <f>Y511</f>
        <v>0</v>
      </c>
      <c r="Z1290" s="267">
        <f>Z511</f>
        <v>0</v>
      </c>
      <c r="AB1290" s="267">
        <f>AB511</f>
        <v>0</v>
      </c>
      <c r="AC1290" s="267">
        <f>AC511</f>
        <v>0</v>
      </c>
      <c r="AE1290" s="267">
        <f>AE511</f>
        <v>0</v>
      </c>
      <c r="AF1290" s="267">
        <f>AF511</f>
        <v>0</v>
      </c>
      <c r="AH1290" s="267">
        <f>AH511</f>
        <v>0</v>
      </c>
      <c r="AI1290" s="267">
        <f>AI511</f>
        <v>0</v>
      </c>
      <c r="AK1290" s="267">
        <f>AK511</f>
        <v>0</v>
      </c>
      <c r="AL1290" s="267">
        <f>AL511</f>
        <v>0</v>
      </c>
      <c r="AN1290" s="267">
        <f>AN511</f>
        <v>0</v>
      </c>
      <c r="AO1290" s="267">
        <f>AO511</f>
        <v>0</v>
      </c>
      <c r="AQ1290" s="267">
        <f>AQ511</f>
        <v>0</v>
      </c>
      <c r="AR1290" s="267">
        <f>AR511</f>
        <v>0</v>
      </c>
      <c r="AT1290" s="267">
        <f>AT511</f>
        <v>0</v>
      </c>
      <c r="AU1290" s="267">
        <f>AU511</f>
        <v>0</v>
      </c>
      <c r="AW1290" s="267">
        <f>AW511</f>
        <v>0</v>
      </c>
      <c r="AX1290" s="267">
        <f>AX511</f>
        <v>0</v>
      </c>
      <c r="AZ1290" s="267">
        <f>AZ511</f>
        <v>0</v>
      </c>
      <c r="BA1290" s="267">
        <f>BA511</f>
        <v>0</v>
      </c>
      <c r="BC1290" s="267">
        <f>BC511</f>
        <v>0</v>
      </c>
      <c r="BD1290" s="267">
        <f>BD511</f>
        <v>0</v>
      </c>
      <c r="BF1290" s="267">
        <f>BF511</f>
        <v>0</v>
      </c>
      <c r="BG1290" s="267">
        <f>BG511</f>
        <v>0</v>
      </c>
      <c r="BI1290" s="267">
        <f>BI511</f>
        <v>0</v>
      </c>
      <c r="BJ1290" s="267">
        <f>BJ511</f>
        <v>0</v>
      </c>
      <c r="BL1290" s="267">
        <f>BL511</f>
        <v>0</v>
      </c>
      <c r="BM1290" s="267">
        <f>BM511</f>
        <v>0</v>
      </c>
      <c r="BO1290" s="267">
        <f>BO511</f>
        <v>0</v>
      </c>
      <c r="BP1290" s="267">
        <f>BP511</f>
        <v>0</v>
      </c>
      <c r="BR1290" s="267">
        <f>BR511</f>
        <v>0</v>
      </c>
      <c r="BS1290" s="267">
        <f>BS511</f>
        <v>0</v>
      </c>
      <c r="BU1290" s="267">
        <f>BU511</f>
        <v>0</v>
      </c>
      <c r="BV1290" s="267">
        <f>BV511</f>
        <v>0</v>
      </c>
      <c r="BX1290" s="267">
        <f>BX511</f>
        <v>0</v>
      </c>
      <c r="BY1290" s="267">
        <f>BY511</f>
        <v>0</v>
      </c>
      <c r="CA1290" s="267">
        <f>CA511</f>
        <v>0</v>
      </c>
      <c r="CB1290" s="267">
        <f>CB511</f>
        <v>0</v>
      </c>
      <c r="CD1290" s="267">
        <f>CD511</f>
        <v>0</v>
      </c>
      <c r="CE1290" s="267">
        <f>CE511</f>
        <v>0</v>
      </c>
      <c r="CG1290" s="267">
        <f>CG511</f>
        <v>0</v>
      </c>
      <c r="CH1290" s="267">
        <f>CH511</f>
        <v>0</v>
      </c>
      <c r="CJ1290" s="267">
        <f>CJ511</f>
        <v>0</v>
      </c>
      <c r="CK1290" s="267">
        <f>CK511</f>
        <v>0</v>
      </c>
    </row>
    <row r="1291" spans="1:89" ht="75" x14ac:dyDescent="0.25">
      <c r="A1291" s="95" t="s">
        <v>238</v>
      </c>
      <c r="B1291" s="96" t="s">
        <v>1713</v>
      </c>
      <c r="C1291" s="95"/>
      <c r="D1291" s="95"/>
      <c r="E1291" s="279"/>
      <c r="F1291" s="279"/>
      <c r="G1291" s="279"/>
      <c r="H1291" s="279"/>
      <c r="I1291" s="279"/>
      <c r="J1291" s="279"/>
      <c r="K1291" s="279"/>
      <c r="L1291" s="279"/>
      <c r="M1291" s="279"/>
      <c r="N1291" s="279"/>
      <c r="O1291" s="281" t="s">
        <v>140</v>
      </c>
      <c r="P1291" s="305"/>
      <c r="Q1291" s="305"/>
      <c r="R1291" s="304"/>
    </row>
    <row r="1292" spans="1:89" x14ac:dyDescent="0.25">
      <c r="A1292" s="263"/>
      <c r="B1292" s="96" t="s">
        <v>1182</v>
      </c>
      <c r="C1292" s="95"/>
      <c r="D1292" s="95" t="s">
        <v>8</v>
      </c>
      <c r="E1292" s="279">
        <f t="shared" ref="E1292:J1292" si="1630">(E1298+E1299)/(E1308+E1309)*100</f>
        <v>63.988095238095234</v>
      </c>
      <c r="F1292" s="279">
        <f t="shared" si="1630"/>
        <v>65.269461077844312</v>
      </c>
      <c r="G1292" s="279">
        <f t="shared" si="1630"/>
        <v>70.245398773006144</v>
      </c>
      <c r="H1292" s="279">
        <f t="shared" si="1630"/>
        <v>68.338557993730404</v>
      </c>
      <c r="I1292" s="279">
        <f t="shared" si="1630"/>
        <v>69.496855345911939</v>
      </c>
      <c r="J1292" s="279">
        <f t="shared" si="1630"/>
        <v>70.967741935483872</v>
      </c>
      <c r="K1292" s="279">
        <f>(K1298+K1299)/(K1308+K1309)*100</f>
        <v>73.289902280130292</v>
      </c>
      <c r="L1292" s="279">
        <f>(L1298+L1299)/(L1308+L1309)*100</f>
        <v>44.444444444444443</v>
      </c>
      <c r="M1292" s="279">
        <f>(M1298+M1299)/(M1308+M1309)*100</f>
        <v>44.444444444444443</v>
      </c>
      <c r="N1292" s="279">
        <f>(N1298+N1299)/(N1308+N1309)*100</f>
        <v>44.444444444444443</v>
      </c>
      <c r="P1292" s="305"/>
      <c r="Q1292" s="279">
        <f>(Q1298+Q1299)/(Q1308+Q1309)*100</f>
        <v>73.289902280130292</v>
      </c>
      <c r="R1292" s="279">
        <f>(R1298+R1299)/(R1308+R1309)*100</f>
        <v>74.433656957928804</v>
      </c>
      <c r="S1292" s="279">
        <f>(S1298+S1299)/(S1308+S1309)*100</f>
        <v>90</v>
      </c>
      <c r="T1292" s="279">
        <f>(T1298+T1299)/(T1308+T1309)*100</f>
        <v>90.909090909090907</v>
      </c>
      <c r="V1292" s="279">
        <f>(V1298+V1299)/(V1308+V1309)*100</f>
        <v>33.333333333333329</v>
      </c>
      <c r="W1292" s="279">
        <f>(W1298+W1299)/(W1308+W1309)*100</f>
        <v>33.333333333333329</v>
      </c>
      <c r="Y1292" s="279">
        <f>(Y1298+Y1299)/(Y1308+Y1309)*100</f>
        <v>100</v>
      </c>
      <c r="Z1292" s="279">
        <f>(Z1298+Z1299)/(Z1308+Z1309)*100</f>
        <v>93.333333333333329</v>
      </c>
      <c r="AB1292" s="279">
        <f>(AB1298+AB1299)/(AB1308+AB1309)*100</f>
        <v>61.53846153846154</v>
      </c>
      <c r="AC1292" s="279">
        <f>(AC1298+AC1299)/(AC1308+AC1309)*100</f>
        <v>69.230769230769226</v>
      </c>
      <c r="AE1292" s="279">
        <f>(AE1298+AE1299)/(AE1308+AE1309)*100</f>
        <v>47.058823529411761</v>
      </c>
      <c r="AF1292" s="279">
        <f>(AF1298+AF1299)/(AF1308+AF1309)*100</f>
        <v>50</v>
      </c>
      <c r="AH1292" s="279">
        <f>(AH1298+AH1299)/(AH1308+AH1309)*100</f>
        <v>44.444444444444443</v>
      </c>
      <c r="AI1292" s="279">
        <f>(AI1298+AI1299)/(AI1308+AI1309)*100</f>
        <v>44.444444444444443</v>
      </c>
      <c r="AK1292" s="279">
        <f>(AK1298+AK1299)/(AK1308+AK1309)*100</f>
        <v>100</v>
      </c>
      <c r="AL1292" s="279">
        <f>(AL1298+AL1299)/(AL1308+AL1309)*100</f>
        <v>100</v>
      </c>
      <c r="AN1292" s="279">
        <f>(AN1298+AN1299)/(AN1308+AN1309)*100</f>
        <v>94.444444444444443</v>
      </c>
      <c r="AO1292" s="279">
        <f>(AO1298+AO1299)/(AO1308+AO1309)*100</f>
        <v>94.444444444444443</v>
      </c>
      <c r="AQ1292" s="279">
        <f>(AQ1298+AQ1299)/(AQ1308+AQ1309)*100</f>
        <v>43.478260869565219</v>
      </c>
      <c r="AR1292" s="279">
        <f>(AR1298+AR1299)/(AR1308+AR1309)*100</f>
        <v>50</v>
      </c>
      <c r="AT1292" s="279">
        <f>(AT1298+AT1299)/(AT1308+AT1309)*100</f>
        <v>100</v>
      </c>
      <c r="AU1292" s="279">
        <f>(AU1298+AU1299)/(AU1308+AU1309)*100</f>
        <v>100</v>
      </c>
      <c r="AW1292" s="279">
        <f>(AW1298+AW1299)/(AW1308+AW1309)*100</f>
        <v>83.333333333333343</v>
      </c>
      <c r="AX1292" s="279">
        <f>(AX1298+AX1299)/(AX1308+AX1309)*100</f>
        <v>83.333333333333343</v>
      </c>
      <c r="AZ1292" s="279">
        <f>(AZ1298+AZ1299)/(AZ1308+AZ1309)*100</f>
        <v>100</v>
      </c>
      <c r="BA1292" s="279">
        <f>(BA1298+BA1299)/(BA1308+BA1309)*100</f>
        <v>100</v>
      </c>
      <c r="BC1292" s="279">
        <f>(BC1298+BC1299)/(BC1308+BC1309)*100</f>
        <v>73.333333333333329</v>
      </c>
      <c r="BD1292" s="279">
        <f>(BD1298+BD1299)/(BD1308+BD1309)*100</f>
        <v>73.333333333333329</v>
      </c>
      <c r="BF1292" s="279">
        <f>(BF1298+BF1299)/(BF1308+BF1309)*100</f>
        <v>45.454545454545453</v>
      </c>
      <c r="BG1292" s="279">
        <f>(BG1298+BG1299)/(BG1308+BG1309)*100</f>
        <v>47.058823529411761</v>
      </c>
      <c r="BI1292" s="279">
        <f>(BI1298+BI1299)/(BI1308+BI1309)*100</f>
        <v>86.486486486486484</v>
      </c>
      <c r="BJ1292" s="279">
        <f>(BJ1298+BJ1299)/(BJ1308+BJ1309)*100</f>
        <v>86.486486486486484</v>
      </c>
      <c r="BL1292" s="279">
        <f>(BL1298+BL1299)/(BL1308+BL1309)*100</f>
        <v>100</v>
      </c>
      <c r="BM1292" s="279">
        <f>(BM1298+BM1299)/(BM1308+BM1309)*100</f>
        <v>100</v>
      </c>
      <c r="BO1292" s="279">
        <f>(BO1298+BO1299)/(BO1308+BO1309)*100</f>
        <v>66.666666666666657</v>
      </c>
      <c r="BP1292" s="279">
        <f>(BP1298+BP1299)/(BP1308+BP1309)*100</f>
        <v>66.666666666666657</v>
      </c>
      <c r="BR1292" s="279">
        <f>(BR1298+BR1299)/(BR1308+BR1309)*100</f>
        <v>87.5</v>
      </c>
      <c r="BS1292" s="279">
        <f>(BS1298+BS1299)/(BS1308+BS1309)*100</f>
        <v>100</v>
      </c>
      <c r="BU1292" s="279">
        <f>(BU1298+BU1299)/(BU1308+BU1309)*100</f>
        <v>100</v>
      </c>
      <c r="BV1292" s="279">
        <f>(BV1298+BV1299)/(BV1308+BV1309)*100</f>
        <v>100</v>
      </c>
      <c r="BX1292" s="279">
        <f>(BX1298+BX1299)/(BX1308+BX1309)*100</f>
        <v>100</v>
      </c>
      <c r="BY1292" s="279">
        <f>(BY1298+BY1299)/(BY1308+BY1309)*100</f>
        <v>100</v>
      </c>
      <c r="CA1292" s="279">
        <f>(CA1298+CA1299)/(CA1308+CA1309)*100</f>
        <v>100</v>
      </c>
      <c r="CB1292" s="279">
        <f>(CB1298+CB1299)/(CB1308+CB1309)*100</f>
        <v>100</v>
      </c>
      <c r="CD1292" s="279">
        <f>(CD1298+CD1299)/(CD1308+CD1309)*100</f>
        <v>100</v>
      </c>
      <c r="CE1292" s="279">
        <f>(CE1298+CE1299)/(CE1308+CE1309)*100</f>
        <v>100</v>
      </c>
      <c r="CG1292" s="279">
        <f>(CG1298+CG1299)/(CG1308+CG1309)*100</f>
        <v>81.818181818181827</v>
      </c>
      <c r="CH1292" s="279">
        <f>(CH1298+CH1299)/(CH1308+CH1309)*100</f>
        <v>86.36363636363636</v>
      </c>
      <c r="CJ1292" s="279" t="e">
        <f>(CJ1298+CJ1299)/(CJ1308+CJ1309)*100</f>
        <v>#DIV/0!</v>
      </c>
      <c r="CK1292" s="279" t="e">
        <f>(CK1298+CK1299)/(CK1308+CK1309)*100</f>
        <v>#DIV/0!</v>
      </c>
    </row>
    <row r="1293" spans="1:89" x14ac:dyDescent="0.25">
      <c r="A1293" s="263"/>
      <c r="B1293" s="96" t="s">
        <v>1183</v>
      </c>
      <c r="C1293" s="95"/>
      <c r="D1293" s="95"/>
      <c r="E1293" s="279"/>
      <c r="F1293" s="279"/>
      <c r="G1293" s="279"/>
      <c r="H1293" s="279">
        <f t="shared" ref="H1293:K1294" si="1631">(H1298)/(H1308)*100</f>
        <v>80.365296803652967</v>
      </c>
      <c r="I1293" s="279">
        <f t="shared" si="1631"/>
        <v>80.454545454545453</v>
      </c>
      <c r="J1293" s="279">
        <f t="shared" si="1631"/>
        <v>78.604651162790702</v>
      </c>
      <c r="K1293" s="279">
        <f t="shared" si="1631"/>
        <v>81.690140845070431</v>
      </c>
      <c r="L1293" s="279">
        <f t="shared" ref="L1293:M1294" si="1632">(L1298)/(L1308)*100</f>
        <v>80</v>
      </c>
      <c r="M1293" s="279">
        <f t="shared" si="1632"/>
        <v>80</v>
      </c>
      <c r="N1293" s="279">
        <f t="shared" ref="N1293" si="1633">(N1298)/(N1308)*100</f>
        <v>80</v>
      </c>
      <c r="P1293" s="305"/>
      <c r="Q1293" s="279">
        <f t="shared" ref="Q1293:T1294" si="1634">(Q1298)/(Q1308)*100</f>
        <v>81.690140845070431</v>
      </c>
      <c r="R1293" s="279">
        <f t="shared" si="1634"/>
        <v>82.325581395348834</v>
      </c>
      <c r="S1293" s="279">
        <f t="shared" si="1634"/>
        <v>100</v>
      </c>
      <c r="T1293" s="279">
        <f t="shared" si="1634"/>
        <v>100</v>
      </c>
      <c r="V1293" s="279">
        <f>(V1298)/(V1308)*100</f>
        <v>50</v>
      </c>
      <c r="W1293" s="279">
        <f>(W1298)/(W1308)*100</f>
        <v>50</v>
      </c>
      <c r="Y1293" s="279">
        <f>(Y1298)/(Y1308)*100</f>
        <v>100</v>
      </c>
      <c r="Z1293" s="279">
        <f>(Z1298)/(Z1308)*100</f>
        <v>100</v>
      </c>
      <c r="AB1293" s="279">
        <f>(AB1298)/(AB1308)*100</f>
        <v>100</v>
      </c>
      <c r="AC1293" s="279">
        <f>(AC1298)/(AC1308)*100</f>
        <v>100</v>
      </c>
      <c r="AE1293" s="279">
        <f>(AE1298)/(AE1308)*100</f>
        <v>83.333333333333343</v>
      </c>
      <c r="AF1293" s="279">
        <f>(AF1298)/(AF1308)*100</f>
        <v>83.333333333333343</v>
      </c>
      <c r="AH1293" s="279">
        <f>(AH1298)/(AH1308)*100</f>
        <v>80</v>
      </c>
      <c r="AI1293" s="279">
        <f>(AI1298)/(AI1308)*100</f>
        <v>80</v>
      </c>
      <c r="AK1293" s="279">
        <f>(AK1298)/(AK1308)*100</f>
        <v>100</v>
      </c>
      <c r="AL1293" s="279">
        <f>(AL1298)/(AL1308)*100</f>
        <v>100</v>
      </c>
      <c r="AN1293" s="279">
        <f>(AN1298)/(AN1308)*100</f>
        <v>90.909090909090907</v>
      </c>
      <c r="AO1293" s="279">
        <f>(AO1298)/(AO1308)*100</f>
        <v>90.909090909090907</v>
      </c>
      <c r="AQ1293" s="279" t="e">
        <f>(AQ1298)/(AQ1308)*100</f>
        <v>#DIV/0!</v>
      </c>
      <c r="AR1293" s="279" t="e">
        <f>(AR1298)/(AR1308)*100</f>
        <v>#DIV/0!</v>
      </c>
      <c r="AT1293" s="279">
        <f>(AT1298)/(AT1308)*100</f>
        <v>100</v>
      </c>
      <c r="AU1293" s="279">
        <f>(AU1298)/(AU1308)*100</f>
        <v>100</v>
      </c>
      <c r="AW1293" s="279">
        <f>(AW1298)/(AW1308)*100</f>
        <v>83.333333333333343</v>
      </c>
      <c r="AX1293" s="279">
        <f>(AX1298)/(AX1308)*100</f>
        <v>83.333333333333343</v>
      </c>
      <c r="AZ1293" s="279">
        <f>(AZ1298)/(AZ1308)*100</f>
        <v>100</v>
      </c>
      <c r="BA1293" s="279">
        <f>(BA1298)/(BA1308)*100</f>
        <v>100</v>
      </c>
      <c r="BC1293" s="279">
        <f>(BC1298)/(BC1308)*100</f>
        <v>73.333333333333329</v>
      </c>
      <c r="BD1293" s="279">
        <f>(BD1298)/(BD1308)*100</f>
        <v>73.333333333333329</v>
      </c>
      <c r="BF1293" s="279">
        <f>(BF1298)/(BF1308)*100</f>
        <v>45.454545454545453</v>
      </c>
      <c r="BG1293" s="279">
        <f>(BG1298)/(BG1308)*100</f>
        <v>47.058823529411761</v>
      </c>
      <c r="BI1293" s="279">
        <f>(BI1298)/(BI1308)*100</f>
        <v>86.486486486486484</v>
      </c>
      <c r="BJ1293" s="279">
        <f>(BJ1298)/(BJ1308)*100</f>
        <v>86.486486486486484</v>
      </c>
      <c r="BL1293" s="279">
        <f>(BL1298)/(BL1308)*100</f>
        <v>100</v>
      </c>
      <c r="BM1293" s="279">
        <f>(BM1298)/(BM1308)*100</f>
        <v>100</v>
      </c>
      <c r="BO1293" s="279">
        <f>(BO1298)/(BO1308)*100</f>
        <v>66.666666666666657</v>
      </c>
      <c r="BP1293" s="279">
        <f>(BP1298)/(BP1308)*100</f>
        <v>66.666666666666657</v>
      </c>
      <c r="BR1293" s="279">
        <f>(BR1298)/(BR1308)*100</f>
        <v>87.5</v>
      </c>
      <c r="BS1293" s="279">
        <f>(BS1298)/(BS1308)*100</f>
        <v>100</v>
      </c>
      <c r="BU1293" s="279">
        <f>(BU1298)/(BU1308)*100</f>
        <v>100</v>
      </c>
      <c r="BV1293" s="279">
        <f>(BV1298)/(BV1308)*100</f>
        <v>100</v>
      </c>
      <c r="BX1293" s="279">
        <f>(BX1298)/(BX1308)*100</f>
        <v>100</v>
      </c>
      <c r="BY1293" s="279">
        <f>(BY1298)/(BY1308)*100</f>
        <v>100</v>
      </c>
      <c r="CA1293" s="279">
        <f>(CA1298)/(CA1308)*100</f>
        <v>100</v>
      </c>
      <c r="CB1293" s="279">
        <f>(CB1298)/(CB1308)*100</f>
        <v>100</v>
      </c>
      <c r="CD1293" s="279">
        <f>(CD1298)/(CD1308)*100</f>
        <v>100</v>
      </c>
      <c r="CE1293" s="279">
        <f>(CE1298)/(CE1308)*100</f>
        <v>100</v>
      </c>
      <c r="CG1293" s="279">
        <f>(CG1298)/(CG1308)*100</f>
        <v>83.333333333333343</v>
      </c>
      <c r="CH1293" s="279">
        <f>(CH1298)/(CH1308)*100</f>
        <v>83.333333333333343</v>
      </c>
      <c r="CJ1293" s="279" t="e">
        <f>(CJ1298)/(CJ1308)*100</f>
        <v>#DIV/0!</v>
      </c>
      <c r="CK1293" s="279" t="e">
        <f>(CK1298)/(CK1308)*100</f>
        <v>#DIV/0!</v>
      </c>
    </row>
    <row r="1294" spans="1:89" x14ac:dyDescent="0.25">
      <c r="A1294" s="263"/>
      <c r="B1294" s="16" t="s">
        <v>1185</v>
      </c>
      <c r="C1294" s="95"/>
      <c r="D1294" s="95"/>
      <c r="E1294" s="279"/>
      <c r="F1294" s="279"/>
      <c r="G1294" s="279"/>
      <c r="H1294" s="279">
        <f t="shared" si="1631"/>
        <v>42</v>
      </c>
      <c r="I1294" s="279">
        <f t="shared" si="1631"/>
        <v>44.897959183673471</v>
      </c>
      <c r="J1294" s="279">
        <f t="shared" si="1631"/>
        <v>53.684210526315788</v>
      </c>
      <c r="K1294" s="279">
        <f t="shared" si="1631"/>
        <v>54.255319148936167</v>
      </c>
      <c r="L1294" s="279">
        <f t="shared" ref="L1294" si="1635">(L1299)/(L1309)*100</f>
        <v>30.76923076923077</v>
      </c>
      <c r="M1294" s="279">
        <f t="shared" si="1632"/>
        <v>30.76923076923077</v>
      </c>
      <c r="N1294" s="279">
        <f t="shared" ref="N1294" si="1636">(N1299)/(N1309)*100</f>
        <v>30.76923076923077</v>
      </c>
      <c r="P1294" s="305"/>
      <c r="Q1294" s="279">
        <f t="shared" si="1634"/>
        <v>54.255319148936167</v>
      </c>
      <c r="R1294" s="279">
        <f t="shared" si="1634"/>
        <v>56.38297872340425</v>
      </c>
      <c r="S1294" s="279">
        <f t="shared" si="1634"/>
        <v>85.714285714285708</v>
      </c>
      <c r="T1294" s="279">
        <f t="shared" si="1634"/>
        <v>85.714285714285708</v>
      </c>
      <c r="V1294" s="279">
        <f>(V1299)/(V1309)*100</f>
        <v>25</v>
      </c>
      <c r="W1294" s="279">
        <f>(W1299)/(W1309)*100</f>
        <v>25</v>
      </c>
      <c r="Y1294" s="279">
        <f>(Y1299)/(Y1309)*100</f>
        <v>100</v>
      </c>
      <c r="Z1294" s="279">
        <f>(Z1299)/(Z1309)*100</f>
        <v>90</v>
      </c>
      <c r="AB1294" s="279">
        <f>(AB1299)/(AB1309)*100</f>
        <v>50</v>
      </c>
      <c r="AC1294" s="279">
        <f>(AC1299)/(AC1309)*100</f>
        <v>60</v>
      </c>
      <c r="AE1294" s="279">
        <f>(AE1299)/(AE1309)*100</f>
        <v>27.27272727272727</v>
      </c>
      <c r="AF1294" s="279">
        <f>(AF1299)/(AF1309)*100</f>
        <v>30</v>
      </c>
      <c r="AH1294" s="279">
        <f>(AH1299)/(AH1309)*100</f>
        <v>30.76923076923077</v>
      </c>
      <c r="AI1294" s="279">
        <f>(AI1299)/(AI1309)*100</f>
        <v>30.76923076923077</v>
      </c>
      <c r="AK1294" s="279">
        <f>(AK1299)/(AK1309)*100</f>
        <v>100</v>
      </c>
      <c r="AL1294" s="279">
        <f>(AL1299)/(AL1309)*100</f>
        <v>100</v>
      </c>
      <c r="AN1294" s="279">
        <f>(AN1299)/(AN1309)*100</f>
        <v>100</v>
      </c>
      <c r="AO1294" s="279">
        <f>(AO1299)/(AO1309)*100</f>
        <v>100</v>
      </c>
      <c r="AQ1294" s="279">
        <f>(AQ1299)/(AQ1309)*100</f>
        <v>43.478260869565219</v>
      </c>
      <c r="AR1294" s="279">
        <f>(AR1299)/(AR1309)*100</f>
        <v>50</v>
      </c>
      <c r="AT1294" s="279" t="e">
        <f>(AT1299)/(AT1309)*100</f>
        <v>#DIV/0!</v>
      </c>
      <c r="AU1294" s="279" t="e">
        <f>(AU1299)/(AU1309)*100</f>
        <v>#DIV/0!</v>
      </c>
      <c r="AW1294" s="279" t="e">
        <f>(AW1299)/(AW1309)*100</f>
        <v>#DIV/0!</v>
      </c>
      <c r="AX1294" s="279" t="e">
        <f>(AX1299)/(AX1309)*100</f>
        <v>#DIV/0!</v>
      </c>
      <c r="AZ1294" s="279" t="e">
        <f>(AZ1299)/(AZ1309)*100</f>
        <v>#DIV/0!</v>
      </c>
      <c r="BA1294" s="279" t="e">
        <f>(BA1299)/(BA1309)*100</f>
        <v>#DIV/0!</v>
      </c>
      <c r="BC1294" s="279" t="e">
        <f>(BC1299)/(BC1309)*100</f>
        <v>#DIV/0!</v>
      </c>
      <c r="BD1294" s="279" t="e">
        <f>(BD1299)/(BD1309)*100</f>
        <v>#DIV/0!</v>
      </c>
      <c r="BF1294" s="279" t="e">
        <f>(BF1299)/(BF1309)*100</f>
        <v>#DIV/0!</v>
      </c>
      <c r="BG1294" s="279" t="e">
        <f>(BG1299)/(BG1309)*100</f>
        <v>#DIV/0!</v>
      </c>
      <c r="BI1294" s="279" t="e">
        <f>(BI1299)/(BI1309)*100</f>
        <v>#DIV/0!</v>
      </c>
      <c r="BJ1294" s="279" t="e">
        <f>(BJ1299)/(BJ1309)*100</f>
        <v>#DIV/0!</v>
      </c>
      <c r="BL1294" s="279" t="e">
        <f>(BL1299)/(BL1309)*100</f>
        <v>#DIV/0!</v>
      </c>
      <c r="BM1294" s="279" t="e">
        <f>(BM1299)/(BM1309)*100</f>
        <v>#DIV/0!</v>
      </c>
      <c r="BO1294" s="279" t="e">
        <f>(BO1299)/(BO1309)*100</f>
        <v>#DIV/0!</v>
      </c>
      <c r="BP1294" s="279" t="e">
        <f>(BP1299)/(BP1309)*100</f>
        <v>#DIV/0!</v>
      </c>
      <c r="BR1294" s="279" t="e">
        <f>(BR1299)/(BR1309)*100</f>
        <v>#DIV/0!</v>
      </c>
      <c r="BS1294" s="279" t="e">
        <f>(BS1299)/(BS1309)*100</f>
        <v>#DIV/0!</v>
      </c>
      <c r="BU1294" s="279" t="e">
        <f>(BU1299)/(BU1309)*100</f>
        <v>#DIV/0!</v>
      </c>
      <c r="BV1294" s="279" t="e">
        <f>(BV1299)/(BV1309)*100</f>
        <v>#DIV/0!</v>
      </c>
      <c r="BX1294" s="279" t="e">
        <f>(BX1299)/(BX1309)*100</f>
        <v>#DIV/0!</v>
      </c>
      <c r="BY1294" s="279" t="e">
        <f>(BY1299)/(BY1309)*100</f>
        <v>#DIV/0!</v>
      </c>
      <c r="CA1294" s="279" t="e">
        <f>(CA1299)/(CA1309)*100</f>
        <v>#DIV/0!</v>
      </c>
      <c r="CB1294" s="279" t="e">
        <f>(CB1299)/(CB1309)*100</f>
        <v>#DIV/0!</v>
      </c>
      <c r="CD1294" s="279" t="e">
        <f>(CD1299)/(CD1309)*100</f>
        <v>#DIV/0!</v>
      </c>
      <c r="CE1294" s="279" t="e">
        <f>(CE1299)/(CE1309)*100</f>
        <v>#DIV/0!</v>
      </c>
      <c r="CG1294" s="279">
        <f>(CG1299)/(CG1309)*100</f>
        <v>75</v>
      </c>
      <c r="CH1294" s="279">
        <f>(CH1299)/(CH1309)*100</f>
        <v>100</v>
      </c>
      <c r="CJ1294" s="279" t="e">
        <f>(CJ1299)/(CJ1309)*100</f>
        <v>#DIV/0!</v>
      </c>
      <c r="CK1294" s="279" t="e">
        <f>(CK1299)/(CK1309)*100</f>
        <v>#DIV/0!</v>
      </c>
    </row>
    <row r="1295" spans="1:89" x14ac:dyDescent="0.25">
      <c r="A1295" s="263"/>
      <c r="B1295" s="96" t="s">
        <v>1184</v>
      </c>
      <c r="C1295" s="95"/>
      <c r="D1295" s="95" t="s">
        <v>8</v>
      </c>
      <c r="E1295" s="279">
        <f t="shared" ref="E1295:J1295" si="1637">(E1300+E1301)/(E1310+E1311)*100</f>
        <v>40</v>
      </c>
      <c r="F1295" s="279">
        <f t="shared" si="1637"/>
        <v>20</v>
      </c>
      <c r="G1295" s="279">
        <f t="shared" si="1637"/>
        <v>20</v>
      </c>
      <c r="H1295" s="279">
        <f t="shared" si="1637"/>
        <v>0</v>
      </c>
      <c r="I1295" s="279">
        <f t="shared" si="1637"/>
        <v>0</v>
      </c>
      <c r="J1295" s="279">
        <f t="shared" si="1637"/>
        <v>0</v>
      </c>
      <c r="K1295" s="279">
        <f>(K1300+K1301)/(K1310+K1311)*100</f>
        <v>0</v>
      </c>
      <c r="L1295" s="279" t="e">
        <f>(L1300+L1301)/(L1310+L1311)*100</f>
        <v>#DIV/0!</v>
      </c>
      <c r="M1295" s="279" t="e">
        <f>(M1300+M1301)/(M1310+M1311)*100</f>
        <v>#DIV/0!</v>
      </c>
      <c r="N1295" s="279" t="e">
        <f>(N1300+N1301)/(N1310+N1311)*100</f>
        <v>#DIV/0!</v>
      </c>
      <c r="P1295" s="305"/>
      <c r="Q1295" s="279">
        <f>(Q1300+Q1301)/(Q1310+Q1311)*100</f>
        <v>0</v>
      </c>
      <c r="R1295" s="279">
        <f>(R1300+R1301)/(R1310+R1311)*100</f>
        <v>0</v>
      </c>
      <c r="S1295" s="279" t="e">
        <f>(S1300+S1301)/(S1310+S1311)*100</f>
        <v>#DIV/0!</v>
      </c>
      <c r="T1295" s="279" t="e">
        <f>(T1300+T1301)/(T1310+T1311)*100</f>
        <v>#DIV/0!</v>
      </c>
      <c r="V1295" s="279" t="e">
        <f>(V1300+V1301)/(V1310+V1311)*100</f>
        <v>#DIV/0!</v>
      </c>
      <c r="W1295" s="279" t="e">
        <f>(W1300+W1301)/(W1310+W1311)*100</f>
        <v>#DIV/0!</v>
      </c>
      <c r="Y1295" s="279" t="e">
        <f>(Y1300+Y1301)/(Y1310+Y1311)*100</f>
        <v>#DIV/0!</v>
      </c>
      <c r="Z1295" s="279" t="e">
        <f>(Z1300+Z1301)/(Z1310+Z1311)*100</f>
        <v>#DIV/0!</v>
      </c>
      <c r="AB1295" s="279" t="e">
        <f>(AB1300+AB1301)/(AB1310+AB1311)*100</f>
        <v>#DIV/0!</v>
      </c>
      <c r="AC1295" s="279" t="e">
        <f>(AC1300+AC1301)/(AC1310+AC1311)*100</f>
        <v>#DIV/0!</v>
      </c>
      <c r="AE1295" s="279" t="e">
        <f>(AE1300+AE1301)/(AE1310+AE1311)*100</f>
        <v>#DIV/0!</v>
      </c>
      <c r="AF1295" s="279" t="e">
        <f>(AF1300+AF1301)/(AF1310+AF1311)*100</f>
        <v>#DIV/0!</v>
      </c>
      <c r="AH1295" s="279" t="e">
        <f>(AH1300+AH1301)/(AH1310+AH1311)*100</f>
        <v>#DIV/0!</v>
      </c>
      <c r="AI1295" s="279" t="e">
        <f>(AI1300+AI1301)/(AI1310+AI1311)*100</f>
        <v>#DIV/0!</v>
      </c>
      <c r="AK1295" s="279" t="e">
        <f>(AK1300+AK1301)/(AK1310+AK1311)*100</f>
        <v>#DIV/0!</v>
      </c>
      <c r="AL1295" s="279" t="e">
        <f>(AL1300+AL1301)/(AL1310+AL1311)*100</f>
        <v>#DIV/0!</v>
      </c>
      <c r="AN1295" s="279" t="e">
        <f>(AN1300+AN1301)/(AN1310+AN1311)*100</f>
        <v>#DIV/0!</v>
      </c>
      <c r="AO1295" s="279" t="e">
        <f>(AO1300+AO1301)/(AO1310+AO1311)*100</f>
        <v>#DIV/0!</v>
      </c>
      <c r="AQ1295" s="279" t="e">
        <f>(AQ1300+AQ1301)/(AQ1310+AQ1311)*100</f>
        <v>#DIV/0!</v>
      </c>
      <c r="AR1295" s="279" t="e">
        <f>(AR1300+AR1301)/(AR1310+AR1311)*100</f>
        <v>#DIV/0!</v>
      </c>
      <c r="AT1295" s="279" t="e">
        <f>(AT1300+AT1301)/(AT1310+AT1311)*100</f>
        <v>#DIV/0!</v>
      </c>
      <c r="AU1295" s="279" t="e">
        <f>(AU1300+AU1301)/(AU1310+AU1311)*100</f>
        <v>#DIV/0!</v>
      </c>
      <c r="AW1295" s="279" t="e">
        <f>(AW1300+AW1301)/(AW1310+AW1311)*100</f>
        <v>#DIV/0!</v>
      </c>
      <c r="AX1295" s="279" t="e">
        <f>(AX1300+AX1301)/(AX1310+AX1311)*100</f>
        <v>#DIV/0!</v>
      </c>
      <c r="AZ1295" s="279" t="e">
        <f>(AZ1300+AZ1301)/(AZ1310+AZ1311)*100</f>
        <v>#DIV/0!</v>
      </c>
      <c r="BA1295" s="279" t="e">
        <f>(BA1300+BA1301)/(BA1310+BA1311)*100</f>
        <v>#DIV/0!</v>
      </c>
      <c r="BC1295" s="279">
        <f>(BC1300+BC1301)/(BC1310+BC1311)*100</f>
        <v>0</v>
      </c>
      <c r="BD1295" s="279">
        <f>(BD1300+BD1301)/(BD1310+BD1311)*100</f>
        <v>0</v>
      </c>
      <c r="BF1295" s="279">
        <f>(BF1300+BF1301)/(BF1310+BF1311)*100</f>
        <v>0</v>
      </c>
      <c r="BG1295" s="279">
        <f>(BG1300+BG1301)/(BG1310+BG1311)*100</f>
        <v>0</v>
      </c>
      <c r="BI1295" s="279">
        <f>(BI1300+BI1301)/(BI1310+BI1311)*100</f>
        <v>0</v>
      </c>
      <c r="BJ1295" s="279">
        <f>(BJ1300+BJ1301)/(BJ1310+BJ1311)*100</f>
        <v>0</v>
      </c>
      <c r="BL1295" s="279" t="e">
        <f>(BL1300+BL1301)/(BL1310+BL1311)*100</f>
        <v>#DIV/0!</v>
      </c>
      <c r="BM1295" s="279" t="e">
        <f>(BM1300+BM1301)/(BM1310+BM1311)*100</f>
        <v>#DIV/0!</v>
      </c>
      <c r="BO1295" s="279" t="e">
        <f>(BO1300+BO1301)/(BO1310+BO1311)*100</f>
        <v>#DIV/0!</v>
      </c>
      <c r="BP1295" s="279" t="e">
        <f>(BP1300+BP1301)/(BP1310+BP1311)*100</f>
        <v>#DIV/0!</v>
      </c>
      <c r="BR1295" s="279" t="e">
        <f>(BR1300+BR1301)/(BR1310+BR1311)*100</f>
        <v>#DIV/0!</v>
      </c>
      <c r="BS1295" s="279" t="e">
        <f>(BS1300+BS1301)/(BS1310+BS1311)*100</f>
        <v>#DIV/0!</v>
      </c>
      <c r="BU1295" s="279" t="e">
        <f>(BU1300+BU1301)/(BU1310+BU1311)*100</f>
        <v>#DIV/0!</v>
      </c>
      <c r="BV1295" s="279" t="e">
        <f>(BV1300+BV1301)/(BV1310+BV1311)*100</f>
        <v>#DIV/0!</v>
      </c>
      <c r="BX1295" s="279" t="e">
        <f>(BX1300+BX1301)/(BX1310+BX1311)*100</f>
        <v>#DIV/0!</v>
      </c>
      <c r="BY1295" s="279" t="e">
        <f>(BY1300+BY1301)/(BY1310+BY1311)*100</f>
        <v>#DIV/0!</v>
      </c>
      <c r="CA1295" s="279" t="e">
        <f>(CA1300+CA1301)/(CA1310+CA1311)*100</f>
        <v>#DIV/0!</v>
      </c>
      <c r="CB1295" s="279" t="e">
        <f>(CB1300+CB1301)/(CB1310+CB1311)*100</f>
        <v>#DIV/0!</v>
      </c>
      <c r="CD1295" s="279">
        <f>(CD1300+CD1301)/(CD1310+CD1311)*100</f>
        <v>0</v>
      </c>
      <c r="CE1295" s="279">
        <f>(CE1300+CE1301)/(CE1310+CE1311)*100</f>
        <v>0</v>
      </c>
      <c r="CG1295" s="279" t="e">
        <f>(CG1300+CG1301)/(CG1310+CG1311)*100</f>
        <v>#DIV/0!</v>
      </c>
      <c r="CH1295" s="279" t="e">
        <f>(CH1300+CH1301)/(CH1310+CH1311)*100</f>
        <v>#DIV/0!</v>
      </c>
      <c r="CJ1295" s="279" t="e">
        <f>(CJ1300+CJ1301)/(CJ1310+CJ1311)*100</f>
        <v>#DIV/0!</v>
      </c>
      <c r="CK1295" s="279" t="e">
        <f>(CK1300+CK1301)/(CK1310+CK1311)*100</f>
        <v>#DIV/0!</v>
      </c>
    </row>
    <row r="1296" spans="1:89" x14ac:dyDescent="0.25">
      <c r="A1296" s="263"/>
      <c r="B1296" s="96" t="s">
        <v>1183</v>
      </c>
      <c r="C1296" s="95"/>
      <c r="D1296" s="95"/>
      <c r="E1296" s="279"/>
      <c r="F1296" s="279"/>
      <c r="G1296" s="279"/>
      <c r="H1296" s="279">
        <f t="shared" ref="H1296:J1297" si="1638">(H1300)/(H1310)*100</f>
        <v>0</v>
      </c>
      <c r="I1296" s="279">
        <f t="shared" si="1638"/>
        <v>0</v>
      </c>
      <c r="J1296" s="279">
        <f t="shared" si="1638"/>
        <v>0</v>
      </c>
      <c r="K1296" s="279">
        <f>(K1300)/(K1310)*100</f>
        <v>0</v>
      </c>
      <c r="L1296" s="279" t="e">
        <f>(L1300)/(L1310)*100</f>
        <v>#DIV/0!</v>
      </c>
      <c r="M1296" s="279" t="e">
        <f t="shared" ref="M1296:N1297" si="1639">(M1300)/(M1310)*100</f>
        <v>#DIV/0!</v>
      </c>
      <c r="N1296" s="279" t="e">
        <f t="shared" si="1639"/>
        <v>#DIV/0!</v>
      </c>
      <c r="P1296" s="305"/>
      <c r="Q1296" s="279">
        <f t="shared" ref="Q1296:T1297" si="1640">(Q1300)/(Q1310)*100</f>
        <v>0</v>
      </c>
      <c r="R1296" s="279">
        <f t="shared" si="1640"/>
        <v>0</v>
      </c>
      <c r="S1296" s="279" t="e">
        <f t="shared" si="1640"/>
        <v>#DIV/0!</v>
      </c>
      <c r="T1296" s="279" t="e">
        <f t="shared" si="1640"/>
        <v>#DIV/0!</v>
      </c>
      <c r="V1296" s="279" t="e">
        <f>(V1300)/(V1310)*100</f>
        <v>#DIV/0!</v>
      </c>
      <c r="W1296" s="279" t="e">
        <f>(W1300)/(W1310)*100</f>
        <v>#DIV/0!</v>
      </c>
      <c r="Y1296" s="279" t="e">
        <f>(Y1300)/(Y1310)*100</f>
        <v>#DIV/0!</v>
      </c>
      <c r="Z1296" s="279" t="e">
        <f>(Z1300)/(Z1310)*100</f>
        <v>#DIV/0!</v>
      </c>
      <c r="AB1296" s="279" t="e">
        <f>(AB1300)/(AB1310)*100</f>
        <v>#DIV/0!</v>
      </c>
      <c r="AC1296" s="279" t="e">
        <f>(AC1300)/(AC1310)*100</f>
        <v>#DIV/0!</v>
      </c>
      <c r="AE1296" s="279" t="e">
        <f>(AE1300)/(AE1310)*100</f>
        <v>#DIV/0!</v>
      </c>
      <c r="AF1296" s="279" t="e">
        <f>(AF1300)/(AF1310)*100</f>
        <v>#DIV/0!</v>
      </c>
      <c r="AH1296" s="279" t="e">
        <f>(AH1300)/(AH1310)*100</f>
        <v>#DIV/0!</v>
      </c>
      <c r="AI1296" s="279" t="e">
        <f>(AI1300)/(AI1310)*100</f>
        <v>#DIV/0!</v>
      </c>
      <c r="AK1296" s="279" t="e">
        <f>(AK1300)/(AK1310)*100</f>
        <v>#DIV/0!</v>
      </c>
      <c r="AL1296" s="279" t="e">
        <f>(AL1300)/(AL1310)*100</f>
        <v>#DIV/0!</v>
      </c>
      <c r="AN1296" s="279" t="e">
        <f>(AN1300)/(AN1310)*100</f>
        <v>#DIV/0!</v>
      </c>
      <c r="AO1296" s="279" t="e">
        <f>(AO1300)/(AO1310)*100</f>
        <v>#DIV/0!</v>
      </c>
      <c r="AQ1296" s="279" t="e">
        <f>(AQ1300)/(AQ1310)*100</f>
        <v>#DIV/0!</v>
      </c>
      <c r="AR1296" s="279" t="e">
        <f>(AR1300)/(AR1310)*100</f>
        <v>#DIV/0!</v>
      </c>
      <c r="AT1296" s="279" t="e">
        <f>(AT1300)/(AT1310)*100</f>
        <v>#DIV/0!</v>
      </c>
      <c r="AU1296" s="279" t="e">
        <f>(AU1300)/(AU1310)*100</f>
        <v>#DIV/0!</v>
      </c>
      <c r="AW1296" s="279" t="e">
        <f>(AW1300)/(AW1310)*100</f>
        <v>#DIV/0!</v>
      </c>
      <c r="AX1296" s="279" t="e">
        <f>(AX1300)/(AX1310)*100</f>
        <v>#DIV/0!</v>
      </c>
      <c r="AZ1296" s="279" t="e">
        <f>(AZ1300)/(AZ1310)*100</f>
        <v>#DIV/0!</v>
      </c>
      <c r="BA1296" s="279" t="e">
        <f>(BA1300)/(BA1310)*100</f>
        <v>#DIV/0!</v>
      </c>
      <c r="BC1296" s="279">
        <f>(BC1300)/(BC1310)*100</f>
        <v>0</v>
      </c>
      <c r="BD1296" s="279">
        <f>(BD1300)/(BD1310)*100</f>
        <v>0</v>
      </c>
      <c r="BF1296" s="279">
        <f>(BF1300)/(BF1310)*100</f>
        <v>0</v>
      </c>
      <c r="BG1296" s="279">
        <f>(BG1300)/(BG1310)*100</f>
        <v>0</v>
      </c>
      <c r="BI1296" s="279">
        <f>(BI1300)/(BI1310)*100</f>
        <v>0</v>
      </c>
      <c r="BJ1296" s="279">
        <f>(BJ1300)/(BJ1310)*100</f>
        <v>0</v>
      </c>
      <c r="BL1296" s="279" t="e">
        <f>(BL1300)/(BL1310)*100</f>
        <v>#DIV/0!</v>
      </c>
      <c r="BM1296" s="279" t="e">
        <f>(BM1300)/(BM1310)*100</f>
        <v>#DIV/0!</v>
      </c>
      <c r="BO1296" s="279" t="e">
        <f>(BO1300)/(BO1310)*100</f>
        <v>#DIV/0!</v>
      </c>
      <c r="BP1296" s="279" t="e">
        <f>(BP1300)/(BP1310)*100</f>
        <v>#DIV/0!</v>
      </c>
      <c r="BR1296" s="279" t="e">
        <f>(BR1300)/(BR1310)*100</f>
        <v>#DIV/0!</v>
      </c>
      <c r="BS1296" s="279" t="e">
        <f>(BS1300)/(BS1310)*100</f>
        <v>#DIV/0!</v>
      </c>
      <c r="BU1296" s="279" t="e">
        <f>(BU1300)/(BU1310)*100</f>
        <v>#DIV/0!</v>
      </c>
      <c r="BV1296" s="279" t="e">
        <f>(BV1300)/(BV1310)*100</f>
        <v>#DIV/0!</v>
      </c>
      <c r="BX1296" s="279" t="e">
        <f>(BX1300)/(BX1310)*100</f>
        <v>#DIV/0!</v>
      </c>
      <c r="BY1296" s="279" t="e">
        <f>(BY1300)/(BY1310)*100</f>
        <v>#DIV/0!</v>
      </c>
      <c r="CA1296" s="279" t="e">
        <f>(CA1300)/(CA1310)*100</f>
        <v>#DIV/0!</v>
      </c>
      <c r="CB1296" s="279" t="e">
        <f>(CB1300)/(CB1310)*100</f>
        <v>#DIV/0!</v>
      </c>
      <c r="CD1296" s="279">
        <f>(CD1300)/(CD1310)*100</f>
        <v>0</v>
      </c>
      <c r="CE1296" s="279">
        <f>(CE1300)/(CE1310)*100</f>
        <v>0</v>
      </c>
      <c r="CG1296" s="279" t="e">
        <f>(CG1300)/(CG1310)*100</f>
        <v>#DIV/0!</v>
      </c>
      <c r="CH1296" s="279" t="e">
        <f>(CH1300)/(CH1310)*100</f>
        <v>#DIV/0!</v>
      </c>
      <c r="CJ1296" s="279" t="e">
        <f>(CJ1300)/(CJ1310)*100</f>
        <v>#DIV/0!</v>
      </c>
      <c r="CK1296" s="279" t="e">
        <f>(CK1300)/(CK1310)*100</f>
        <v>#DIV/0!</v>
      </c>
    </row>
    <row r="1297" spans="1:89" x14ac:dyDescent="0.25">
      <c r="A1297" s="263"/>
      <c r="B1297" s="16" t="s">
        <v>1185</v>
      </c>
      <c r="C1297" s="95"/>
      <c r="D1297" s="95"/>
      <c r="E1297" s="279"/>
      <c r="F1297" s="279"/>
      <c r="G1297" s="279"/>
      <c r="H1297" s="279" t="e">
        <f t="shared" si="1638"/>
        <v>#DIV/0!</v>
      </c>
      <c r="I1297" s="279" t="e">
        <f t="shared" si="1638"/>
        <v>#DIV/0!</v>
      </c>
      <c r="J1297" s="279" t="e">
        <f t="shared" si="1638"/>
        <v>#DIV/0!</v>
      </c>
      <c r="K1297" s="279" t="e">
        <f>(K1301)/(K1311)*100</f>
        <v>#DIV/0!</v>
      </c>
      <c r="L1297" s="279" t="e">
        <f>(L1301)/(L1311)*100</f>
        <v>#DIV/0!</v>
      </c>
      <c r="M1297" s="279" t="e">
        <f t="shared" si="1639"/>
        <v>#DIV/0!</v>
      </c>
      <c r="N1297" s="279" t="e">
        <f t="shared" si="1639"/>
        <v>#DIV/0!</v>
      </c>
      <c r="P1297" s="305"/>
      <c r="Q1297" s="279" t="e">
        <f t="shared" si="1640"/>
        <v>#DIV/0!</v>
      </c>
      <c r="R1297" s="279" t="e">
        <f t="shared" si="1640"/>
        <v>#DIV/0!</v>
      </c>
      <c r="S1297" s="279" t="e">
        <f t="shared" si="1640"/>
        <v>#DIV/0!</v>
      </c>
      <c r="T1297" s="279" t="e">
        <f t="shared" si="1640"/>
        <v>#DIV/0!</v>
      </c>
      <c r="V1297" s="279" t="e">
        <f>(V1301)/(V1311)*100</f>
        <v>#DIV/0!</v>
      </c>
      <c r="W1297" s="279" t="e">
        <f>(W1301)/(W1311)*100</f>
        <v>#DIV/0!</v>
      </c>
      <c r="Y1297" s="279" t="e">
        <f>(Y1301)/(Y1311)*100</f>
        <v>#DIV/0!</v>
      </c>
      <c r="Z1297" s="279" t="e">
        <f>(Z1301)/(Z1311)*100</f>
        <v>#DIV/0!</v>
      </c>
      <c r="AB1297" s="279" t="e">
        <f>(AB1301)/(AB1311)*100</f>
        <v>#DIV/0!</v>
      </c>
      <c r="AC1297" s="279" t="e">
        <f>(AC1301)/(AC1311)*100</f>
        <v>#DIV/0!</v>
      </c>
      <c r="AE1297" s="279" t="e">
        <f>(AE1301)/(AE1311)*100</f>
        <v>#DIV/0!</v>
      </c>
      <c r="AF1297" s="279" t="e">
        <f>(AF1301)/(AF1311)*100</f>
        <v>#DIV/0!</v>
      </c>
      <c r="AH1297" s="279" t="e">
        <f>(AH1301)/(AH1311)*100</f>
        <v>#DIV/0!</v>
      </c>
      <c r="AI1297" s="279" t="e">
        <f>(AI1301)/(AI1311)*100</f>
        <v>#DIV/0!</v>
      </c>
      <c r="AK1297" s="279" t="e">
        <f>(AK1301)/(AK1311)*100</f>
        <v>#DIV/0!</v>
      </c>
      <c r="AL1297" s="279" t="e">
        <f>(AL1301)/(AL1311)*100</f>
        <v>#DIV/0!</v>
      </c>
      <c r="AN1297" s="279" t="e">
        <f>(AN1301)/(AN1311)*100</f>
        <v>#DIV/0!</v>
      </c>
      <c r="AO1297" s="279" t="e">
        <f>(AO1301)/(AO1311)*100</f>
        <v>#DIV/0!</v>
      </c>
      <c r="AQ1297" s="279" t="e">
        <f>(AQ1301)/(AQ1311)*100</f>
        <v>#DIV/0!</v>
      </c>
      <c r="AR1297" s="279" t="e">
        <f>(AR1301)/(AR1311)*100</f>
        <v>#DIV/0!</v>
      </c>
      <c r="AT1297" s="279" t="e">
        <f>(AT1301)/(AT1311)*100</f>
        <v>#DIV/0!</v>
      </c>
      <c r="AU1297" s="279" t="e">
        <f>(AU1301)/(AU1311)*100</f>
        <v>#DIV/0!</v>
      </c>
      <c r="AW1297" s="279" t="e">
        <f>(AW1301)/(AW1311)*100</f>
        <v>#DIV/0!</v>
      </c>
      <c r="AX1297" s="279" t="e">
        <f>(AX1301)/(AX1311)*100</f>
        <v>#DIV/0!</v>
      </c>
      <c r="AZ1297" s="279" t="e">
        <f>(AZ1301)/(AZ1311)*100</f>
        <v>#DIV/0!</v>
      </c>
      <c r="BA1297" s="279" t="e">
        <f>(BA1301)/(BA1311)*100</f>
        <v>#DIV/0!</v>
      </c>
      <c r="BC1297" s="279" t="e">
        <f>(BC1301)/(BC1311)*100</f>
        <v>#DIV/0!</v>
      </c>
      <c r="BD1297" s="279" t="e">
        <f>(BD1301)/(BD1311)*100</f>
        <v>#DIV/0!</v>
      </c>
      <c r="BF1297" s="279" t="e">
        <f>(BF1301)/(BF1311)*100</f>
        <v>#DIV/0!</v>
      </c>
      <c r="BG1297" s="279" t="e">
        <f>(BG1301)/(BG1311)*100</f>
        <v>#DIV/0!</v>
      </c>
      <c r="BI1297" s="279" t="e">
        <f>(BI1301)/(BI1311)*100</f>
        <v>#DIV/0!</v>
      </c>
      <c r="BJ1297" s="279" t="e">
        <f>(BJ1301)/(BJ1311)*100</f>
        <v>#DIV/0!</v>
      </c>
      <c r="BL1297" s="279" t="e">
        <f>(BL1301)/(BL1311)*100</f>
        <v>#DIV/0!</v>
      </c>
      <c r="BM1297" s="279" t="e">
        <f>(BM1301)/(BM1311)*100</f>
        <v>#DIV/0!</v>
      </c>
      <c r="BO1297" s="279" t="e">
        <f>(BO1301)/(BO1311)*100</f>
        <v>#DIV/0!</v>
      </c>
      <c r="BP1297" s="279" t="e">
        <f>(BP1301)/(BP1311)*100</f>
        <v>#DIV/0!</v>
      </c>
      <c r="BR1297" s="279" t="e">
        <f>(BR1301)/(BR1311)*100</f>
        <v>#DIV/0!</v>
      </c>
      <c r="BS1297" s="279" t="e">
        <f>(BS1301)/(BS1311)*100</f>
        <v>#DIV/0!</v>
      </c>
      <c r="BU1297" s="279" t="e">
        <f>(BU1301)/(BU1311)*100</f>
        <v>#DIV/0!</v>
      </c>
      <c r="BV1297" s="279" t="e">
        <f>(BV1301)/(BV1311)*100</f>
        <v>#DIV/0!</v>
      </c>
      <c r="BX1297" s="279" t="e">
        <f>(BX1301)/(BX1311)*100</f>
        <v>#DIV/0!</v>
      </c>
      <c r="BY1297" s="279" t="e">
        <f>(BY1301)/(BY1311)*100</f>
        <v>#DIV/0!</v>
      </c>
      <c r="CA1297" s="279" t="e">
        <f>(CA1301)/(CA1311)*100</f>
        <v>#DIV/0!</v>
      </c>
      <c r="CB1297" s="279" t="e">
        <f>(CB1301)/(CB1311)*100</f>
        <v>#DIV/0!</v>
      </c>
      <c r="CD1297" s="279" t="e">
        <f>(CD1301)/(CD1311)*100</f>
        <v>#DIV/0!</v>
      </c>
      <c r="CE1297" s="279" t="e">
        <f>(CE1301)/(CE1311)*100</f>
        <v>#DIV/0!</v>
      </c>
      <c r="CG1297" s="279" t="e">
        <f>(CG1301)/(CG1311)*100</f>
        <v>#DIV/0!</v>
      </c>
      <c r="CH1297" s="279" t="e">
        <f>(CH1301)/(CH1311)*100</f>
        <v>#DIV/0!</v>
      </c>
      <c r="CJ1297" s="279" t="e">
        <f>(CJ1301)/(CJ1311)*100</f>
        <v>#DIV/0!</v>
      </c>
      <c r="CK1297" s="279" t="e">
        <f>(CK1301)/(CK1311)*100</f>
        <v>#DIV/0!</v>
      </c>
    </row>
    <row r="1298" spans="1:89" ht="30" x14ac:dyDescent="0.25">
      <c r="A1298" s="416"/>
      <c r="B1298" s="419" t="s">
        <v>255</v>
      </c>
      <c r="C1298" s="95" t="s">
        <v>1250</v>
      </c>
      <c r="D1298" s="95" t="s">
        <v>1112</v>
      </c>
      <c r="E1298" s="103">
        <v>138</v>
      </c>
      <c r="F1298" s="103">
        <v>145</v>
      </c>
      <c r="G1298" s="103">
        <v>151</v>
      </c>
      <c r="H1298" s="103">
        <f t="shared" ref="H1298:J1299" si="1641">H1303</f>
        <v>176</v>
      </c>
      <c r="I1298" s="103">
        <f t="shared" si="1641"/>
        <v>177</v>
      </c>
      <c r="J1298" s="103">
        <f t="shared" si="1641"/>
        <v>169</v>
      </c>
      <c r="K1298" s="103">
        <f>K1303</f>
        <v>174</v>
      </c>
      <c r="L1298" s="103">
        <f>L1303</f>
        <v>4</v>
      </c>
      <c r="M1298" s="103">
        <f t="shared" ref="M1298:N1299" si="1642">M1303</f>
        <v>4</v>
      </c>
      <c r="N1298" s="103">
        <f t="shared" si="1642"/>
        <v>4</v>
      </c>
      <c r="P1298" s="304"/>
      <c r="Q1298" s="103">
        <f t="shared" ref="Q1298:T1299" si="1643">Q1303</f>
        <v>174</v>
      </c>
      <c r="R1298" s="103">
        <f t="shared" si="1643"/>
        <v>177</v>
      </c>
      <c r="S1298" s="103">
        <f t="shared" si="1643"/>
        <v>3</v>
      </c>
      <c r="T1298" s="103">
        <f t="shared" si="1643"/>
        <v>4</v>
      </c>
      <c r="V1298" s="103">
        <f>V1303</f>
        <v>2</v>
      </c>
      <c r="W1298" s="103">
        <f>W1303</f>
        <v>2</v>
      </c>
      <c r="Y1298" s="103">
        <f>Y1303</f>
        <v>5</v>
      </c>
      <c r="Z1298" s="103">
        <f>Z1303</f>
        <v>5</v>
      </c>
      <c r="AB1298" s="103">
        <f>AB1303</f>
        <v>3</v>
      </c>
      <c r="AC1298" s="103">
        <f>AC1303</f>
        <v>3</v>
      </c>
      <c r="AE1298" s="103">
        <f>AE1303</f>
        <v>5</v>
      </c>
      <c r="AF1298" s="103">
        <f>AF1303</f>
        <v>5</v>
      </c>
      <c r="AH1298" s="103">
        <f>AH1303</f>
        <v>4</v>
      </c>
      <c r="AI1298" s="103">
        <f>AI1303</f>
        <v>4</v>
      </c>
      <c r="AK1298" s="103">
        <f>AK1303</f>
        <v>10</v>
      </c>
      <c r="AL1298" s="103">
        <f>AL1303</f>
        <v>10</v>
      </c>
      <c r="AN1298" s="103">
        <f>AN1303</f>
        <v>10</v>
      </c>
      <c r="AO1298" s="103">
        <f>AO1303</f>
        <v>10</v>
      </c>
      <c r="AQ1298" s="103">
        <f>AQ1303</f>
        <v>0</v>
      </c>
      <c r="AR1298" s="103">
        <f>AR1303</f>
        <v>0</v>
      </c>
      <c r="AT1298" s="103">
        <f>AT1303</f>
        <v>9</v>
      </c>
      <c r="AU1298" s="103">
        <f>AU1303</f>
        <v>9</v>
      </c>
      <c r="AW1298" s="103">
        <f>AW1303</f>
        <v>5</v>
      </c>
      <c r="AX1298" s="103">
        <f>AX1303</f>
        <v>5</v>
      </c>
      <c r="AZ1298" s="103">
        <f>AZ1303</f>
        <v>7</v>
      </c>
      <c r="BA1298" s="103">
        <f>BA1303</f>
        <v>7</v>
      </c>
      <c r="BC1298" s="103">
        <f>BC1303</f>
        <v>11</v>
      </c>
      <c r="BD1298" s="103">
        <f>BD1303</f>
        <v>11</v>
      </c>
      <c r="BF1298" s="103">
        <f>BF1303</f>
        <v>15</v>
      </c>
      <c r="BG1298" s="103">
        <f>BG1303</f>
        <v>16</v>
      </c>
      <c r="BI1298" s="103">
        <f>BI1303</f>
        <v>32</v>
      </c>
      <c r="BJ1298" s="103">
        <f>BJ1303</f>
        <v>32</v>
      </c>
      <c r="BL1298" s="103">
        <f>BL1303</f>
        <v>6</v>
      </c>
      <c r="BM1298" s="103">
        <f>BM1303</f>
        <v>6</v>
      </c>
      <c r="BO1298" s="103">
        <f>BO1303</f>
        <v>4</v>
      </c>
      <c r="BP1298" s="103">
        <f>BP1303</f>
        <v>4</v>
      </c>
      <c r="BR1298" s="103">
        <f>BR1303</f>
        <v>7</v>
      </c>
      <c r="BS1298" s="103">
        <f>BS1303</f>
        <v>7</v>
      </c>
      <c r="BU1298" s="103">
        <f>BU1303</f>
        <v>7</v>
      </c>
      <c r="BV1298" s="103">
        <f>BV1303</f>
        <v>7</v>
      </c>
      <c r="BX1298" s="103">
        <f>BX1303</f>
        <v>3</v>
      </c>
      <c r="BY1298" s="103">
        <f>BY1303</f>
        <v>3</v>
      </c>
      <c r="CA1298" s="103">
        <f>CA1303</f>
        <v>6</v>
      </c>
      <c r="CB1298" s="103">
        <f>CB1303</f>
        <v>7</v>
      </c>
      <c r="CD1298" s="103">
        <f>CD1303</f>
        <v>5</v>
      </c>
      <c r="CE1298" s="103">
        <f>CE1303</f>
        <v>5</v>
      </c>
      <c r="CG1298" s="103">
        <f>CG1303</f>
        <v>15</v>
      </c>
      <c r="CH1298" s="103">
        <f>CH1303</f>
        <v>15</v>
      </c>
      <c r="CJ1298" s="103">
        <f>CJ1303</f>
        <v>0</v>
      </c>
      <c r="CK1298" s="103">
        <f>CK1303</f>
        <v>0</v>
      </c>
    </row>
    <row r="1299" spans="1:89" ht="30" x14ac:dyDescent="0.25">
      <c r="A1299" s="417"/>
      <c r="B1299" s="420"/>
      <c r="C1299" s="95" t="s">
        <v>1251</v>
      </c>
      <c r="D1299" s="95" t="s">
        <v>1112</v>
      </c>
      <c r="E1299" s="103">
        <v>77</v>
      </c>
      <c r="F1299" s="103">
        <v>73</v>
      </c>
      <c r="G1299" s="103">
        <v>78</v>
      </c>
      <c r="H1299" s="103">
        <f t="shared" si="1641"/>
        <v>42</v>
      </c>
      <c r="I1299" s="103">
        <f t="shared" si="1641"/>
        <v>44</v>
      </c>
      <c r="J1299" s="103">
        <f t="shared" si="1641"/>
        <v>51</v>
      </c>
      <c r="K1299" s="103">
        <f>K1304</f>
        <v>51</v>
      </c>
      <c r="L1299" s="103">
        <f>L1304</f>
        <v>4</v>
      </c>
      <c r="M1299" s="103">
        <f t="shared" si="1642"/>
        <v>4</v>
      </c>
      <c r="N1299" s="103">
        <f t="shared" si="1642"/>
        <v>4</v>
      </c>
      <c r="O1299" s="281"/>
      <c r="P1299" s="304"/>
      <c r="Q1299" s="103">
        <f t="shared" si="1643"/>
        <v>51</v>
      </c>
      <c r="R1299" s="103">
        <f t="shared" si="1643"/>
        <v>53</v>
      </c>
      <c r="S1299" s="103">
        <f t="shared" si="1643"/>
        <v>6</v>
      </c>
      <c r="T1299" s="103">
        <f t="shared" si="1643"/>
        <v>6</v>
      </c>
      <c r="V1299" s="103">
        <f>V1304</f>
        <v>2</v>
      </c>
      <c r="W1299" s="103">
        <f>W1304</f>
        <v>2</v>
      </c>
      <c r="Y1299" s="103">
        <f>Y1304</f>
        <v>10</v>
      </c>
      <c r="Z1299" s="103">
        <f>Z1304</f>
        <v>9</v>
      </c>
      <c r="AB1299" s="103">
        <f>AB1304</f>
        <v>5</v>
      </c>
      <c r="AC1299" s="103">
        <f>AC1304</f>
        <v>6</v>
      </c>
      <c r="AE1299" s="103">
        <f>AE1304</f>
        <v>3</v>
      </c>
      <c r="AF1299" s="103">
        <f>AF1304</f>
        <v>3</v>
      </c>
      <c r="AH1299" s="103">
        <f>AH1304</f>
        <v>4</v>
      </c>
      <c r="AI1299" s="103">
        <f>AI1304</f>
        <v>4</v>
      </c>
      <c r="AK1299" s="103">
        <f>AK1304</f>
        <v>1</v>
      </c>
      <c r="AL1299" s="103">
        <f>AL1304</f>
        <v>1</v>
      </c>
      <c r="AN1299" s="103">
        <f>AN1304</f>
        <v>7</v>
      </c>
      <c r="AO1299" s="103">
        <f>AO1304</f>
        <v>7</v>
      </c>
      <c r="AQ1299" s="103">
        <f>AQ1304</f>
        <v>10</v>
      </c>
      <c r="AR1299" s="103">
        <f>AR1304</f>
        <v>12</v>
      </c>
      <c r="AT1299" s="103">
        <f>AT1304</f>
        <v>0</v>
      </c>
      <c r="AU1299" s="103">
        <f>AU1304</f>
        <v>0</v>
      </c>
      <c r="AW1299" s="103">
        <f>AW1304</f>
        <v>0</v>
      </c>
      <c r="AX1299" s="103">
        <f>AX1304</f>
        <v>0</v>
      </c>
      <c r="AZ1299" s="103">
        <f>AZ1304</f>
        <v>0</v>
      </c>
      <c r="BA1299" s="103">
        <f>BA1304</f>
        <v>0</v>
      </c>
      <c r="BC1299" s="103">
        <f>BC1304</f>
        <v>0</v>
      </c>
      <c r="BD1299" s="103">
        <f>BD1304</f>
        <v>0</v>
      </c>
      <c r="BF1299" s="103">
        <f>BF1304</f>
        <v>0</v>
      </c>
      <c r="BG1299" s="103">
        <f>BG1304</f>
        <v>0</v>
      </c>
      <c r="BI1299" s="103">
        <f>BI1304</f>
        <v>0</v>
      </c>
      <c r="BJ1299" s="103">
        <f>BJ1304</f>
        <v>0</v>
      </c>
      <c r="BL1299" s="103">
        <f>BL1304</f>
        <v>0</v>
      </c>
      <c r="BM1299" s="103">
        <f>BM1304</f>
        <v>0</v>
      </c>
      <c r="BO1299" s="103">
        <f>BO1304</f>
        <v>0</v>
      </c>
      <c r="BP1299" s="103">
        <f>BP1304</f>
        <v>0</v>
      </c>
      <c r="BR1299" s="103">
        <f>BR1304</f>
        <v>0</v>
      </c>
      <c r="BS1299" s="103">
        <f>BS1304</f>
        <v>0</v>
      </c>
      <c r="BU1299" s="103">
        <f>BU1304</f>
        <v>0</v>
      </c>
      <c r="BV1299" s="103">
        <f>BV1304</f>
        <v>0</v>
      </c>
      <c r="BX1299" s="103">
        <f>BX1304</f>
        <v>0</v>
      </c>
      <c r="BY1299" s="103">
        <f>BY1304</f>
        <v>0</v>
      </c>
      <c r="CA1299" s="103">
        <f>CA1304</f>
        <v>0</v>
      </c>
      <c r="CB1299" s="103">
        <f>CB1304</f>
        <v>0</v>
      </c>
      <c r="CD1299" s="103">
        <f>CD1304</f>
        <v>0</v>
      </c>
      <c r="CE1299" s="103">
        <f>CE1304</f>
        <v>0</v>
      </c>
      <c r="CG1299" s="103">
        <f>CG1304</f>
        <v>3</v>
      </c>
      <c r="CH1299" s="103">
        <v>4</v>
      </c>
      <c r="CJ1299" s="103">
        <f>CJ1304</f>
        <v>0</v>
      </c>
      <c r="CK1299" s="103">
        <f>CK1304</f>
        <v>0</v>
      </c>
    </row>
    <row r="1300" spans="1:89" ht="30" x14ac:dyDescent="0.25">
      <c r="A1300" s="417"/>
      <c r="B1300" s="420"/>
      <c r="C1300" s="95" t="s">
        <v>1252</v>
      </c>
      <c r="D1300" s="95" t="s">
        <v>1112</v>
      </c>
      <c r="E1300" s="103">
        <v>2</v>
      </c>
      <c r="F1300" s="103">
        <v>1</v>
      </c>
      <c r="G1300" s="103">
        <v>1</v>
      </c>
      <c r="H1300" s="103">
        <f t="shared" ref="H1300:J1301" si="1644">H1306</f>
        <v>0</v>
      </c>
      <c r="I1300" s="103">
        <f t="shared" si="1644"/>
        <v>0</v>
      </c>
      <c r="J1300" s="103">
        <f t="shared" si="1644"/>
        <v>0</v>
      </c>
      <c r="K1300" s="103">
        <f>K1306</f>
        <v>0</v>
      </c>
      <c r="L1300" s="103">
        <f>L1306</f>
        <v>0</v>
      </c>
      <c r="M1300" s="103">
        <f t="shared" ref="M1300:N1301" si="1645">M1306</f>
        <v>0</v>
      </c>
      <c r="N1300" s="103">
        <f t="shared" si="1645"/>
        <v>0</v>
      </c>
      <c r="O1300" s="281"/>
      <c r="P1300" s="304"/>
      <c r="Q1300" s="103">
        <f t="shared" ref="Q1300:T1301" si="1646">Q1306</f>
        <v>0</v>
      </c>
      <c r="R1300" s="103">
        <f t="shared" si="1646"/>
        <v>0</v>
      </c>
      <c r="S1300" s="103">
        <f t="shared" si="1646"/>
        <v>0</v>
      </c>
      <c r="T1300" s="103">
        <f t="shared" si="1646"/>
        <v>0</v>
      </c>
      <c r="V1300" s="103">
        <f>V1306</f>
        <v>0</v>
      </c>
      <c r="W1300" s="103">
        <f>W1306</f>
        <v>0</v>
      </c>
      <c r="Y1300" s="103">
        <f>Y1306</f>
        <v>0</v>
      </c>
      <c r="Z1300" s="103">
        <f>Z1306</f>
        <v>0</v>
      </c>
      <c r="AB1300" s="103">
        <f>AB1306</f>
        <v>0</v>
      </c>
      <c r="AC1300" s="103">
        <f>AC1306</f>
        <v>0</v>
      </c>
      <c r="AE1300" s="103">
        <f>AE1306</f>
        <v>0</v>
      </c>
      <c r="AF1300" s="103">
        <f>AF1306</f>
        <v>0</v>
      </c>
      <c r="AH1300" s="103">
        <f>AH1306</f>
        <v>0</v>
      </c>
      <c r="AI1300" s="103">
        <f>AI1306</f>
        <v>0</v>
      </c>
      <c r="AK1300" s="103">
        <f>AK1306</f>
        <v>0</v>
      </c>
      <c r="AL1300" s="103">
        <f>AL1306</f>
        <v>0</v>
      </c>
      <c r="AN1300" s="103">
        <f>AN1306</f>
        <v>0</v>
      </c>
      <c r="AO1300" s="103">
        <f>AO1306</f>
        <v>0</v>
      </c>
      <c r="AQ1300" s="103">
        <f>AQ1306</f>
        <v>0</v>
      </c>
      <c r="AR1300" s="103">
        <f>AR1306</f>
        <v>0</v>
      </c>
      <c r="AT1300" s="103">
        <f>AT1306</f>
        <v>0</v>
      </c>
      <c r="AU1300" s="103">
        <f>AU1306</f>
        <v>0</v>
      </c>
      <c r="AW1300" s="103">
        <f>AW1306</f>
        <v>0</v>
      </c>
      <c r="AX1300" s="103">
        <f>AX1306</f>
        <v>0</v>
      </c>
      <c r="AZ1300" s="103">
        <f>AZ1306</f>
        <v>0</v>
      </c>
      <c r="BA1300" s="103">
        <f>BA1306</f>
        <v>0</v>
      </c>
      <c r="BC1300" s="103">
        <f>BC1306</f>
        <v>0</v>
      </c>
      <c r="BD1300" s="103">
        <f>BD1306</f>
        <v>0</v>
      </c>
      <c r="BF1300" s="103">
        <f>BF1306</f>
        <v>0</v>
      </c>
      <c r="BG1300" s="103">
        <f>BG1306</f>
        <v>0</v>
      </c>
      <c r="BI1300" s="103">
        <f>BI1306</f>
        <v>0</v>
      </c>
      <c r="BJ1300" s="103">
        <f>BJ1306</f>
        <v>0</v>
      </c>
      <c r="BL1300" s="103">
        <f>BL1306</f>
        <v>0</v>
      </c>
      <c r="BM1300" s="103">
        <f>BM1306</f>
        <v>0</v>
      </c>
      <c r="BO1300" s="103">
        <f>BO1306</f>
        <v>0</v>
      </c>
      <c r="BP1300" s="103">
        <f>BP1306</f>
        <v>0</v>
      </c>
      <c r="BR1300" s="103">
        <f>BR1306</f>
        <v>0</v>
      </c>
      <c r="BS1300" s="103">
        <f>BS1306</f>
        <v>0</v>
      </c>
      <c r="BU1300" s="103">
        <f>BU1306</f>
        <v>0</v>
      </c>
      <c r="BV1300" s="103">
        <f>BV1306</f>
        <v>0</v>
      </c>
      <c r="BX1300" s="103">
        <f>BX1306</f>
        <v>0</v>
      </c>
      <c r="BY1300" s="103">
        <f>BY1306</f>
        <v>0</v>
      </c>
      <c r="CA1300" s="103">
        <f>CA1306</f>
        <v>0</v>
      </c>
      <c r="CB1300" s="103">
        <f>CB1306</f>
        <v>0</v>
      </c>
      <c r="CD1300" s="103">
        <f>CD1306</f>
        <v>0</v>
      </c>
      <c r="CE1300" s="103">
        <f>CE1306</f>
        <v>0</v>
      </c>
      <c r="CG1300" s="103">
        <f>CG1306</f>
        <v>0</v>
      </c>
      <c r="CH1300" s="103">
        <f>CH1306</f>
        <v>0</v>
      </c>
      <c r="CJ1300" s="103">
        <f>CJ1306</f>
        <v>0</v>
      </c>
      <c r="CK1300" s="103">
        <f>CK1306</f>
        <v>0</v>
      </c>
    </row>
    <row r="1301" spans="1:89" ht="30" x14ac:dyDescent="0.25">
      <c r="A1301" s="418"/>
      <c r="B1301" s="421"/>
      <c r="C1301" s="95" t="s">
        <v>1253</v>
      </c>
      <c r="D1301" s="95" t="s">
        <v>1112</v>
      </c>
      <c r="E1301" s="103">
        <v>0</v>
      </c>
      <c r="F1301" s="103">
        <v>0</v>
      </c>
      <c r="G1301" s="103">
        <v>0</v>
      </c>
      <c r="H1301" s="103">
        <f t="shared" si="1644"/>
        <v>0</v>
      </c>
      <c r="I1301" s="103">
        <f t="shared" si="1644"/>
        <v>0</v>
      </c>
      <c r="J1301" s="103">
        <f t="shared" si="1644"/>
        <v>0</v>
      </c>
      <c r="K1301" s="103">
        <f>K1307</f>
        <v>0</v>
      </c>
      <c r="L1301" s="103">
        <f>L1307</f>
        <v>0</v>
      </c>
      <c r="M1301" s="103">
        <f t="shared" si="1645"/>
        <v>0</v>
      </c>
      <c r="N1301" s="103">
        <f t="shared" si="1645"/>
        <v>0</v>
      </c>
      <c r="O1301" s="281"/>
      <c r="P1301" s="304"/>
      <c r="Q1301" s="103">
        <f t="shared" si="1646"/>
        <v>0</v>
      </c>
      <c r="R1301" s="103">
        <f t="shared" si="1646"/>
        <v>0</v>
      </c>
      <c r="S1301" s="103">
        <f t="shared" si="1646"/>
        <v>0</v>
      </c>
      <c r="T1301" s="103">
        <f t="shared" si="1646"/>
        <v>0</v>
      </c>
      <c r="V1301" s="103">
        <f>V1307</f>
        <v>0</v>
      </c>
      <c r="W1301" s="103">
        <f>W1307</f>
        <v>0</v>
      </c>
      <c r="Y1301" s="103">
        <f>Y1307</f>
        <v>0</v>
      </c>
      <c r="Z1301" s="103">
        <f>Z1307</f>
        <v>0</v>
      </c>
      <c r="AB1301" s="103">
        <f>AB1307</f>
        <v>0</v>
      </c>
      <c r="AC1301" s="103">
        <f>AC1307</f>
        <v>0</v>
      </c>
      <c r="AE1301" s="103">
        <f>AE1307</f>
        <v>0</v>
      </c>
      <c r="AF1301" s="103">
        <f>AF1307</f>
        <v>0</v>
      </c>
      <c r="AH1301" s="103">
        <f>AH1307</f>
        <v>0</v>
      </c>
      <c r="AI1301" s="103">
        <f>AI1307</f>
        <v>0</v>
      </c>
      <c r="AK1301" s="103">
        <f>AK1307</f>
        <v>0</v>
      </c>
      <c r="AL1301" s="103">
        <f>AL1307</f>
        <v>0</v>
      </c>
      <c r="AN1301" s="103">
        <f>AN1307</f>
        <v>0</v>
      </c>
      <c r="AO1301" s="103">
        <f>AO1307</f>
        <v>0</v>
      </c>
      <c r="AQ1301" s="103">
        <f>AQ1307</f>
        <v>0</v>
      </c>
      <c r="AR1301" s="103">
        <f>AR1307</f>
        <v>0</v>
      </c>
      <c r="AT1301" s="103">
        <f>AT1307</f>
        <v>0</v>
      </c>
      <c r="AU1301" s="103">
        <f>AU1307</f>
        <v>0</v>
      </c>
      <c r="AW1301" s="103">
        <f>AW1307</f>
        <v>0</v>
      </c>
      <c r="AX1301" s="103">
        <f>AX1307</f>
        <v>0</v>
      </c>
      <c r="AZ1301" s="103">
        <f>AZ1307</f>
        <v>0</v>
      </c>
      <c r="BA1301" s="103">
        <f>BA1307</f>
        <v>0</v>
      </c>
      <c r="BC1301" s="103">
        <f>BC1307</f>
        <v>0</v>
      </c>
      <c r="BD1301" s="103">
        <f>BD1307</f>
        <v>0</v>
      </c>
      <c r="BF1301" s="103">
        <f>BF1307</f>
        <v>0</v>
      </c>
      <c r="BG1301" s="103">
        <f>BG1307</f>
        <v>0</v>
      </c>
      <c r="BI1301" s="103">
        <f>BI1307</f>
        <v>0</v>
      </c>
      <c r="BJ1301" s="103">
        <f>BJ1307</f>
        <v>0</v>
      </c>
      <c r="BL1301" s="103">
        <f>BL1307</f>
        <v>0</v>
      </c>
      <c r="BM1301" s="103">
        <f>BM1307</f>
        <v>0</v>
      </c>
      <c r="BO1301" s="103">
        <f>BO1307</f>
        <v>0</v>
      </c>
      <c r="BP1301" s="103">
        <f>BP1307</f>
        <v>0</v>
      </c>
      <c r="BR1301" s="103">
        <f>BR1307</f>
        <v>0</v>
      </c>
      <c r="BS1301" s="103">
        <f>BS1307</f>
        <v>0</v>
      </c>
      <c r="BU1301" s="103">
        <f>BU1307</f>
        <v>0</v>
      </c>
      <c r="BV1301" s="103">
        <f>BV1307</f>
        <v>0</v>
      </c>
      <c r="BX1301" s="103">
        <f>BX1307</f>
        <v>0</v>
      </c>
      <c r="BY1301" s="103">
        <f>BY1307</f>
        <v>0</v>
      </c>
      <c r="CA1301" s="103">
        <f>CA1307</f>
        <v>0</v>
      </c>
      <c r="CB1301" s="103">
        <f>CB1307</f>
        <v>0</v>
      </c>
      <c r="CD1301" s="103">
        <f>CD1307</f>
        <v>0</v>
      </c>
      <c r="CE1301" s="103">
        <f>CE1307</f>
        <v>0</v>
      </c>
      <c r="CG1301" s="103">
        <f>CG1307</f>
        <v>0</v>
      </c>
      <c r="CH1301" s="103">
        <f>CH1307</f>
        <v>0</v>
      </c>
      <c r="CJ1301" s="103">
        <f>CJ1307</f>
        <v>0</v>
      </c>
      <c r="CK1301" s="103">
        <f>CK1307</f>
        <v>0</v>
      </c>
    </row>
    <row r="1302" spans="1:89" x14ac:dyDescent="0.25">
      <c r="A1302" s="265"/>
      <c r="B1302" s="262" t="s">
        <v>1182</v>
      </c>
      <c r="C1302" s="95"/>
      <c r="D1302" s="95"/>
      <c r="E1302" s="291"/>
      <c r="F1302" s="291"/>
      <c r="G1302" s="291"/>
      <c r="H1302" s="291">
        <f>H1303+H1304</f>
        <v>218</v>
      </c>
      <c r="I1302" s="291">
        <f>I1303+I1304</f>
        <v>221</v>
      </c>
      <c r="J1302" s="291">
        <f>J1303+J1304</f>
        <v>220</v>
      </c>
      <c r="K1302" s="291">
        <f>K1303+K1304</f>
        <v>225</v>
      </c>
      <c r="L1302" s="291">
        <f>L1303+L1304</f>
        <v>8</v>
      </c>
      <c r="M1302" s="291">
        <f t="shared" ref="M1302:N1302" si="1647">M1303+M1304</f>
        <v>8</v>
      </c>
      <c r="N1302" s="291">
        <f t="shared" si="1647"/>
        <v>8</v>
      </c>
      <c r="Q1302" s="291">
        <f>Q1303+Q1304</f>
        <v>225</v>
      </c>
      <c r="R1302" s="291">
        <f>R1303+R1304</f>
        <v>230</v>
      </c>
      <c r="S1302" s="291">
        <f>S1303+S1304</f>
        <v>9</v>
      </c>
      <c r="T1302" s="291">
        <f>T1303+T1304</f>
        <v>10</v>
      </c>
      <c r="V1302" s="291">
        <f>V1303+V1304</f>
        <v>4</v>
      </c>
      <c r="W1302" s="291">
        <f>W1303+W1304</f>
        <v>4</v>
      </c>
      <c r="Y1302" s="291">
        <f>Y1303+Y1304</f>
        <v>15</v>
      </c>
      <c r="Z1302" s="291">
        <f>Z1303+Z1304</f>
        <v>14</v>
      </c>
      <c r="AB1302" s="291">
        <f>AB1303+AB1304</f>
        <v>8</v>
      </c>
      <c r="AC1302" s="291">
        <f>AC1303+AC1304</f>
        <v>9</v>
      </c>
      <c r="AE1302" s="291">
        <f>AE1303+AE1304</f>
        <v>8</v>
      </c>
      <c r="AF1302" s="291">
        <f>AF1303+AF1304</f>
        <v>8</v>
      </c>
      <c r="AH1302" s="291">
        <f>AH1303+AH1304</f>
        <v>8</v>
      </c>
      <c r="AI1302" s="291">
        <f>AI1303+AI1304</f>
        <v>8</v>
      </c>
      <c r="AK1302" s="291">
        <f>AK1303+AK1304</f>
        <v>11</v>
      </c>
      <c r="AL1302" s="291">
        <f>AL1303+AL1304</f>
        <v>11</v>
      </c>
      <c r="AN1302" s="291">
        <f>AN1303+AN1304</f>
        <v>17</v>
      </c>
      <c r="AO1302" s="291">
        <f>AO1303+AO1304</f>
        <v>17</v>
      </c>
      <c r="AQ1302" s="291">
        <f>AQ1303+AQ1304</f>
        <v>10</v>
      </c>
      <c r="AR1302" s="291">
        <f>AR1303+AR1304</f>
        <v>12</v>
      </c>
      <c r="AT1302" s="291">
        <f>AT1303+AT1304</f>
        <v>9</v>
      </c>
      <c r="AU1302" s="291">
        <f>AU1303+AU1304</f>
        <v>9</v>
      </c>
      <c r="AW1302" s="291">
        <f>AW1303+AW1304</f>
        <v>5</v>
      </c>
      <c r="AX1302" s="291">
        <f>AX1303+AX1304</f>
        <v>5</v>
      </c>
      <c r="AZ1302" s="291">
        <f>AZ1303+AZ1304</f>
        <v>7</v>
      </c>
      <c r="BA1302" s="291">
        <f>BA1303+BA1304</f>
        <v>7</v>
      </c>
      <c r="BC1302" s="291">
        <f>BC1303+BC1304</f>
        <v>11</v>
      </c>
      <c r="BD1302" s="291">
        <f>BD1303+BD1304</f>
        <v>11</v>
      </c>
      <c r="BF1302" s="291">
        <f>BF1303+BF1304</f>
        <v>15</v>
      </c>
      <c r="BG1302" s="291">
        <f>BG1303+BG1304</f>
        <v>16</v>
      </c>
      <c r="BI1302" s="291">
        <f>BI1303+BI1304</f>
        <v>32</v>
      </c>
      <c r="BJ1302" s="291">
        <f>BJ1303+BJ1304</f>
        <v>32</v>
      </c>
      <c r="BL1302" s="291">
        <f>BL1303+BL1304</f>
        <v>6</v>
      </c>
      <c r="BM1302" s="291">
        <f>BM1303+BM1304</f>
        <v>6</v>
      </c>
      <c r="BO1302" s="291">
        <f>BO1303+BO1304</f>
        <v>4</v>
      </c>
      <c r="BP1302" s="291">
        <f>BP1303+BP1304</f>
        <v>4</v>
      </c>
      <c r="BR1302" s="291">
        <f>BR1303+BR1304</f>
        <v>7</v>
      </c>
      <c r="BS1302" s="291">
        <f>BS1303+BS1304</f>
        <v>7</v>
      </c>
      <c r="BU1302" s="291">
        <f>BU1303+BU1304</f>
        <v>7</v>
      </c>
      <c r="BV1302" s="291">
        <f>BV1303+BV1304</f>
        <v>7</v>
      </c>
      <c r="BX1302" s="291">
        <f>BX1303+BX1304</f>
        <v>3</v>
      </c>
      <c r="BY1302" s="291">
        <f>BY1303+BY1304</f>
        <v>3</v>
      </c>
      <c r="CA1302" s="291">
        <f>CA1303+CA1304</f>
        <v>6</v>
      </c>
      <c r="CB1302" s="291">
        <f>CB1303+CB1304</f>
        <v>7</v>
      </c>
      <c r="CD1302" s="291">
        <f>CD1303+CD1304</f>
        <v>5</v>
      </c>
      <c r="CE1302" s="291">
        <f>CE1303+CE1304</f>
        <v>5</v>
      </c>
      <c r="CG1302" s="291">
        <f>CG1303+CG1304</f>
        <v>18</v>
      </c>
      <c r="CH1302" s="291">
        <f>CH1303+CH1304</f>
        <v>18</v>
      </c>
      <c r="CJ1302" s="291">
        <f>CJ1303+CJ1304</f>
        <v>0</v>
      </c>
      <c r="CK1302" s="291">
        <f>CK1303+CK1304</f>
        <v>0</v>
      </c>
    </row>
    <row r="1303" spans="1:89" ht="75" x14ac:dyDescent="0.25">
      <c r="A1303" s="265"/>
      <c r="B1303" s="265"/>
      <c r="C1303" s="265" t="s">
        <v>2757</v>
      </c>
      <c r="D1303" s="95" t="s">
        <v>1112</v>
      </c>
      <c r="E1303" s="291"/>
      <c r="F1303" s="291"/>
      <c r="G1303" s="291"/>
      <c r="H1303" s="291">
        <v>176</v>
      </c>
      <c r="I1303" s="291">
        <v>177</v>
      </c>
      <c r="J1303" s="291">
        <v>169</v>
      </c>
      <c r="K1303" s="291">
        <v>174</v>
      </c>
      <c r="L1303" s="291">
        <v>4</v>
      </c>
      <c r="M1303" s="291">
        <v>4</v>
      </c>
      <c r="N1303" s="291">
        <v>4</v>
      </c>
      <c r="Q1303" s="283">
        <f>S1303+V1303+Y1303+AB1303+AE1303+AH1303+AK1303+AN1303+AQ1303+AT1303+AW1303+AZ1303+BC1303+BF1303+BI1303+BL1303+BO1303+BR1303+BU1303+BX1303+CA1303+CD1303+CG1303+CJ1303</f>
        <v>174</v>
      </c>
      <c r="R1303" s="283">
        <f>T1303+W1303+Z1303+AC1303+AF1303+AI1303+AL1303+AO1303+AR1303+AU1303+AX1303+BA1303+BD1303+BG1303+BJ1303+BM1303+BP1303+BS1303+BV1303+BY1303+CB1303+CE1303+CH1303+CK1303</f>
        <v>177</v>
      </c>
      <c r="S1303" s="267">
        <v>3</v>
      </c>
      <c r="T1303" s="267">
        <v>4</v>
      </c>
      <c r="V1303" s="267">
        <v>2</v>
      </c>
      <c r="W1303" s="267">
        <v>2</v>
      </c>
      <c r="Y1303" s="267">
        <v>5</v>
      </c>
      <c r="Z1303" s="267">
        <v>5</v>
      </c>
      <c r="AB1303" s="267">
        <v>3</v>
      </c>
      <c r="AC1303" s="267">
        <v>3</v>
      </c>
      <c r="AE1303" s="267">
        <v>5</v>
      </c>
      <c r="AF1303" s="267">
        <v>5</v>
      </c>
      <c r="AH1303" s="267">
        <v>4</v>
      </c>
      <c r="AI1303" s="267">
        <v>4</v>
      </c>
      <c r="AK1303" s="267">
        <v>10</v>
      </c>
      <c r="AL1303" s="267">
        <v>10</v>
      </c>
      <c r="AN1303" s="267">
        <v>10</v>
      </c>
      <c r="AO1303" s="267">
        <v>10</v>
      </c>
      <c r="AQ1303" s="267">
        <v>0</v>
      </c>
      <c r="AR1303" s="267">
        <v>0</v>
      </c>
      <c r="AT1303" s="267">
        <v>9</v>
      </c>
      <c r="AU1303" s="267">
        <v>9</v>
      </c>
      <c r="AW1303" s="267">
        <v>5</v>
      </c>
      <c r="AX1303" s="267">
        <v>5</v>
      </c>
      <c r="AZ1303" s="267">
        <v>7</v>
      </c>
      <c r="BA1303" s="267">
        <v>7</v>
      </c>
      <c r="BC1303" s="267">
        <v>11</v>
      </c>
      <c r="BD1303" s="267">
        <v>11</v>
      </c>
      <c r="BF1303" s="267">
        <v>15</v>
      </c>
      <c r="BG1303" s="267">
        <v>16</v>
      </c>
      <c r="BI1303" s="267">
        <v>32</v>
      </c>
      <c r="BJ1303" s="267">
        <v>32</v>
      </c>
      <c r="BL1303" s="267">
        <v>6</v>
      </c>
      <c r="BM1303" s="267">
        <v>6</v>
      </c>
      <c r="BO1303" s="267">
        <v>4</v>
      </c>
      <c r="BP1303" s="267">
        <v>4</v>
      </c>
      <c r="BR1303" s="267">
        <v>7</v>
      </c>
      <c r="BS1303" s="267">
        <v>7</v>
      </c>
      <c r="BU1303" s="267">
        <v>7</v>
      </c>
      <c r="BV1303" s="267">
        <v>7</v>
      </c>
      <c r="BX1303" s="267">
        <v>3</v>
      </c>
      <c r="BY1303" s="267">
        <v>3</v>
      </c>
      <c r="CA1303" s="267">
        <v>6</v>
      </c>
      <c r="CB1303" s="267">
        <v>7</v>
      </c>
      <c r="CD1303" s="267">
        <v>5</v>
      </c>
      <c r="CE1303" s="267">
        <v>5</v>
      </c>
      <c r="CG1303" s="267">
        <v>15</v>
      </c>
      <c r="CH1303" s="267">
        <v>15</v>
      </c>
      <c r="CJ1303" s="267">
        <v>0</v>
      </c>
      <c r="CK1303" s="267">
        <v>0</v>
      </c>
    </row>
    <row r="1304" spans="1:89" ht="75" x14ac:dyDescent="0.25">
      <c r="A1304" s="265"/>
      <c r="B1304" s="265"/>
      <c r="C1304" s="265" t="s">
        <v>2757</v>
      </c>
      <c r="D1304" s="95" t="s">
        <v>1112</v>
      </c>
      <c r="E1304" s="291"/>
      <c r="F1304" s="291"/>
      <c r="G1304" s="291"/>
      <c r="H1304" s="291">
        <v>42</v>
      </c>
      <c r="I1304" s="291">
        <v>44</v>
      </c>
      <c r="J1304" s="291">
        <v>51</v>
      </c>
      <c r="K1304" s="291">
        <v>51</v>
      </c>
      <c r="L1304" s="291">
        <v>4</v>
      </c>
      <c r="M1304" s="291">
        <v>4</v>
      </c>
      <c r="N1304" s="291">
        <v>4</v>
      </c>
      <c r="Q1304" s="283">
        <f>S1304+V1304+Y1304+AB1304+AE1304+AH1304+AK1304+AN1304+AQ1304+AT1304+AW1304+AZ1304+BC1304+BF1304+BI1304+BL1304+BO1304+BR1304+BU1304+BX1304+CA1304+CD1304+CG1304+CJ1304</f>
        <v>51</v>
      </c>
      <c r="R1304" s="283">
        <f>T1304+W1304+Z1304+AC1304+AF1304+AI1304+AL1304+AO1304+AR1304+AU1304+AX1304+BA1304+BD1304+BG1304+BJ1304+BM1304+BP1304+BS1304+BV1304+BY1304+CB1304+CE1304+CH1304+CK1304</f>
        <v>53</v>
      </c>
      <c r="S1304" s="267">
        <v>6</v>
      </c>
      <c r="T1304" s="267">
        <v>6</v>
      </c>
      <c r="V1304" s="267">
        <v>2</v>
      </c>
      <c r="W1304" s="267">
        <v>2</v>
      </c>
      <c r="Y1304" s="267">
        <v>10</v>
      </c>
      <c r="Z1304" s="267">
        <v>9</v>
      </c>
      <c r="AB1304" s="267">
        <v>5</v>
      </c>
      <c r="AC1304" s="267">
        <v>6</v>
      </c>
      <c r="AE1304" s="267">
        <v>3</v>
      </c>
      <c r="AF1304" s="267">
        <v>3</v>
      </c>
      <c r="AH1304" s="267">
        <v>4</v>
      </c>
      <c r="AI1304" s="267">
        <v>4</v>
      </c>
      <c r="AK1304" s="267">
        <v>1</v>
      </c>
      <c r="AL1304" s="267">
        <v>1</v>
      </c>
      <c r="AN1304" s="267">
        <v>7</v>
      </c>
      <c r="AO1304" s="267">
        <v>7</v>
      </c>
      <c r="AQ1304" s="267">
        <v>10</v>
      </c>
      <c r="AR1304" s="267">
        <v>12</v>
      </c>
      <c r="AT1304" s="267">
        <v>0</v>
      </c>
      <c r="AU1304" s="267">
        <v>0</v>
      </c>
      <c r="AW1304" s="267">
        <v>0</v>
      </c>
      <c r="AX1304" s="267">
        <v>0</v>
      </c>
      <c r="AZ1304" s="267">
        <v>0</v>
      </c>
      <c r="BA1304" s="267">
        <v>0</v>
      </c>
      <c r="BC1304" s="267">
        <v>0</v>
      </c>
      <c r="BD1304" s="267">
        <v>0</v>
      </c>
      <c r="BF1304" s="267">
        <v>0</v>
      </c>
      <c r="BG1304" s="267">
        <v>0</v>
      </c>
      <c r="BI1304" s="267">
        <v>0</v>
      </c>
      <c r="BJ1304" s="267">
        <v>0</v>
      </c>
      <c r="BL1304" s="267">
        <v>0</v>
      </c>
      <c r="BM1304" s="267">
        <v>0</v>
      </c>
      <c r="BO1304" s="267">
        <v>0</v>
      </c>
      <c r="BP1304" s="267">
        <v>0</v>
      </c>
      <c r="BR1304" s="267">
        <v>0</v>
      </c>
      <c r="BS1304" s="267">
        <v>0</v>
      </c>
      <c r="BU1304" s="267">
        <v>0</v>
      </c>
      <c r="BV1304" s="267">
        <v>0</v>
      </c>
      <c r="BX1304" s="267">
        <v>0</v>
      </c>
      <c r="BY1304" s="267">
        <v>0</v>
      </c>
      <c r="CA1304" s="267">
        <v>0</v>
      </c>
      <c r="CB1304" s="267">
        <v>0</v>
      </c>
      <c r="CD1304" s="267">
        <v>0</v>
      </c>
      <c r="CE1304" s="267">
        <v>0</v>
      </c>
      <c r="CG1304" s="267">
        <v>3</v>
      </c>
      <c r="CH1304" s="267">
        <v>3</v>
      </c>
      <c r="CJ1304" s="267">
        <v>0</v>
      </c>
      <c r="CK1304" s="267">
        <v>0</v>
      </c>
    </row>
    <row r="1305" spans="1:89" x14ac:dyDescent="0.25">
      <c r="A1305" s="265"/>
      <c r="B1305" s="262" t="s">
        <v>1184</v>
      </c>
      <c r="C1305" s="95"/>
      <c r="D1305" s="95"/>
      <c r="E1305" s="291"/>
      <c r="F1305" s="291"/>
      <c r="G1305" s="291"/>
      <c r="H1305" s="291">
        <f>H1306+H1307</f>
        <v>0</v>
      </c>
      <c r="I1305" s="291">
        <f>I1306+I1307</f>
        <v>0</v>
      </c>
      <c r="J1305" s="291">
        <f>J1306+J1307</f>
        <v>0</v>
      </c>
      <c r="K1305" s="291">
        <f>K1306+K1307</f>
        <v>0</v>
      </c>
      <c r="L1305" s="291">
        <f>L1306+L1307</f>
        <v>0</v>
      </c>
      <c r="M1305" s="291">
        <f t="shared" ref="M1305:N1305" si="1648">M1306+M1307</f>
        <v>0</v>
      </c>
      <c r="N1305" s="291">
        <f t="shared" si="1648"/>
        <v>0</v>
      </c>
      <c r="Q1305" s="291">
        <f>Q1306+Q1307</f>
        <v>0</v>
      </c>
      <c r="R1305" s="291">
        <f>R1306+R1307</f>
        <v>0</v>
      </c>
      <c r="S1305" s="291">
        <f>S1306+S1307</f>
        <v>0</v>
      </c>
      <c r="T1305" s="291">
        <f>T1306+T1307</f>
        <v>0</v>
      </c>
      <c r="V1305" s="291">
        <f>V1306+V1307</f>
        <v>0</v>
      </c>
      <c r="W1305" s="291">
        <f>W1306+W1307</f>
        <v>0</v>
      </c>
      <c r="Y1305" s="291">
        <f>Y1306+Y1307</f>
        <v>0</v>
      </c>
      <c r="Z1305" s="291">
        <f>Z1306+Z1307</f>
        <v>0</v>
      </c>
      <c r="AB1305" s="291">
        <f>AB1306+AB1307</f>
        <v>0</v>
      </c>
      <c r="AC1305" s="291">
        <f>AC1306+AC1307</f>
        <v>0</v>
      </c>
      <c r="AE1305" s="291">
        <f>AE1306+AE1307</f>
        <v>0</v>
      </c>
      <c r="AF1305" s="291">
        <f>AF1306+AF1307</f>
        <v>0</v>
      </c>
      <c r="AH1305" s="291">
        <f>AH1306+AH1307</f>
        <v>0</v>
      </c>
      <c r="AI1305" s="291">
        <f>AI1306+AI1307</f>
        <v>0</v>
      </c>
      <c r="AK1305" s="291">
        <f>AK1306+AK1307</f>
        <v>0</v>
      </c>
      <c r="AL1305" s="291">
        <f>AL1306+AL1307</f>
        <v>0</v>
      </c>
      <c r="AN1305" s="291">
        <f>AN1306+AN1307</f>
        <v>0</v>
      </c>
      <c r="AO1305" s="291">
        <f>AO1306+AO1307</f>
        <v>0</v>
      </c>
      <c r="AQ1305" s="291">
        <f>AQ1306+AQ1307</f>
        <v>0</v>
      </c>
      <c r="AR1305" s="291">
        <f>AR1306+AR1307</f>
        <v>0</v>
      </c>
      <c r="AT1305" s="291">
        <f>AT1306+AT1307</f>
        <v>0</v>
      </c>
      <c r="AU1305" s="291">
        <f>AU1306+AU1307</f>
        <v>0</v>
      </c>
      <c r="AW1305" s="291">
        <f>AW1306+AW1307</f>
        <v>0</v>
      </c>
      <c r="AX1305" s="291">
        <f>AX1306+AX1307</f>
        <v>0</v>
      </c>
      <c r="AZ1305" s="291">
        <f>AZ1306+AZ1307</f>
        <v>0</v>
      </c>
      <c r="BA1305" s="291">
        <f>BA1306+BA1307</f>
        <v>0</v>
      </c>
      <c r="BC1305" s="291">
        <f>BC1306+BC1307</f>
        <v>0</v>
      </c>
      <c r="BD1305" s="291">
        <f>BD1306+BD1307</f>
        <v>0</v>
      </c>
      <c r="BF1305" s="291">
        <f>BF1306+BF1307</f>
        <v>0</v>
      </c>
      <c r="BG1305" s="291">
        <f>BG1306+BG1307</f>
        <v>0</v>
      </c>
      <c r="BI1305" s="291">
        <f>BI1306+BI1307</f>
        <v>0</v>
      </c>
      <c r="BJ1305" s="291">
        <f>BJ1306+BJ1307</f>
        <v>0</v>
      </c>
      <c r="BL1305" s="291">
        <f>BL1306+BL1307</f>
        <v>0</v>
      </c>
      <c r="BM1305" s="291">
        <f>BM1306+BM1307</f>
        <v>0</v>
      </c>
      <c r="BO1305" s="291">
        <f>BO1306+BO1307</f>
        <v>0</v>
      </c>
      <c r="BP1305" s="291">
        <f>BP1306+BP1307</f>
        <v>0</v>
      </c>
      <c r="BR1305" s="291">
        <f>BR1306+BR1307</f>
        <v>0</v>
      </c>
      <c r="BS1305" s="291">
        <f>BS1306+BS1307</f>
        <v>0</v>
      </c>
      <c r="BU1305" s="291">
        <f>BU1306+BU1307</f>
        <v>0</v>
      </c>
      <c r="BV1305" s="291">
        <f>BV1306+BV1307</f>
        <v>0</v>
      </c>
      <c r="BX1305" s="291">
        <f>BX1306+BX1307</f>
        <v>0</v>
      </c>
      <c r="BY1305" s="291">
        <f>BY1306+BY1307</f>
        <v>0</v>
      </c>
      <c r="CA1305" s="291">
        <f>CA1306+CA1307</f>
        <v>0</v>
      </c>
      <c r="CB1305" s="291">
        <f>CB1306+CB1307</f>
        <v>0</v>
      </c>
      <c r="CD1305" s="291">
        <f>CD1306+CD1307</f>
        <v>0</v>
      </c>
      <c r="CE1305" s="291">
        <f>CE1306+CE1307</f>
        <v>0</v>
      </c>
      <c r="CG1305" s="291">
        <f>CG1306+CG1307</f>
        <v>0</v>
      </c>
      <c r="CH1305" s="291">
        <f>CH1306+CH1307</f>
        <v>0</v>
      </c>
      <c r="CJ1305" s="291">
        <f>CJ1306+CJ1307</f>
        <v>0</v>
      </c>
      <c r="CK1305" s="291">
        <f>CK1306+CK1307</f>
        <v>0</v>
      </c>
    </row>
    <row r="1306" spans="1:89" ht="75" x14ac:dyDescent="0.25">
      <c r="A1306" s="265"/>
      <c r="B1306" s="265"/>
      <c r="C1306" s="265" t="s">
        <v>2757</v>
      </c>
      <c r="D1306" s="95" t="s">
        <v>1112</v>
      </c>
      <c r="E1306" s="291"/>
      <c r="F1306" s="291"/>
      <c r="G1306" s="291"/>
      <c r="H1306" s="291">
        <v>0</v>
      </c>
      <c r="I1306" s="291">
        <v>0</v>
      </c>
      <c r="J1306" s="291">
        <v>0</v>
      </c>
      <c r="K1306" s="291">
        <v>0</v>
      </c>
      <c r="L1306" s="291">
        <v>0</v>
      </c>
      <c r="M1306" s="291">
        <v>0</v>
      </c>
      <c r="N1306" s="291">
        <v>0</v>
      </c>
      <c r="Q1306" s="283">
        <f>S1306+V1306+Y1306+AB1306+AE1306+AH1306+AK1306+AN1306+AQ1306+AT1306+AW1306+AZ1306+BC1306+BF1306+BI1306+BL1306+BO1306+BR1306+BU1306+BX1306+CA1306+CD1306+CG1306+CJ1306</f>
        <v>0</v>
      </c>
      <c r="R1306" s="283">
        <f>T1306+W1306+Z1306+AC1306+AF1306+AI1306+AL1306+AO1306+AR1306+AU1306+AX1306+BA1306+BD1306+BG1306+BJ1306+BM1306+BP1306+BS1306+BV1306+BY1306+CB1306+CE1306+CH1306+CK1306</f>
        <v>0</v>
      </c>
      <c r="S1306" s="267">
        <v>0</v>
      </c>
      <c r="T1306" s="267">
        <v>0</v>
      </c>
      <c r="V1306" s="267">
        <v>0</v>
      </c>
      <c r="W1306" s="267">
        <v>0</v>
      </c>
      <c r="Y1306" s="267">
        <v>0</v>
      </c>
      <c r="Z1306" s="267">
        <v>0</v>
      </c>
      <c r="AB1306" s="267">
        <v>0</v>
      </c>
      <c r="AC1306" s="267">
        <v>0</v>
      </c>
      <c r="AE1306" s="267">
        <v>0</v>
      </c>
      <c r="AF1306" s="267">
        <v>0</v>
      </c>
      <c r="AH1306" s="267">
        <v>0</v>
      </c>
      <c r="AI1306" s="267">
        <v>0</v>
      </c>
      <c r="AK1306" s="267">
        <v>0</v>
      </c>
      <c r="AL1306" s="267">
        <v>0</v>
      </c>
      <c r="AN1306" s="267">
        <v>0</v>
      </c>
      <c r="AO1306" s="267">
        <v>0</v>
      </c>
      <c r="AQ1306" s="267">
        <v>0</v>
      </c>
      <c r="AR1306" s="267">
        <v>0</v>
      </c>
      <c r="AT1306" s="267">
        <v>0</v>
      </c>
      <c r="AU1306" s="267">
        <v>0</v>
      </c>
      <c r="AW1306" s="267">
        <v>0</v>
      </c>
      <c r="AX1306" s="267">
        <v>0</v>
      </c>
      <c r="AZ1306" s="267">
        <v>0</v>
      </c>
      <c r="BA1306" s="267">
        <v>0</v>
      </c>
      <c r="BC1306" s="267">
        <v>0</v>
      </c>
      <c r="BD1306" s="267">
        <v>0</v>
      </c>
      <c r="BF1306" s="267">
        <v>0</v>
      </c>
      <c r="BG1306" s="267">
        <v>0</v>
      </c>
      <c r="BI1306" s="267">
        <v>0</v>
      </c>
      <c r="BJ1306" s="267">
        <v>0</v>
      </c>
      <c r="BL1306" s="267">
        <v>0</v>
      </c>
      <c r="BM1306" s="267">
        <v>0</v>
      </c>
      <c r="BO1306" s="267">
        <v>0</v>
      </c>
      <c r="BP1306" s="267">
        <v>0</v>
      </c>
      <c r="BR1306" s="267">
        <v>0</v>
      </c>
      <c r="BS1306" s="267">
        <v>0</v>
      </c>
      <c r="BU1306" s="267">
        <v>0</v>
      </c>
      <c r="BV1306" s="267">
        <v>0</v>
      </c>
      <c r="BX1306" s="267">
        <v>0</v>
      </c>
      <c r="BY1306" s="267">
        <v>0</v>
      </c>
      <c r="CA1306" s="267">
        <v>0</v>
      </c>
      <c r="CB1306" s="267">
        <v>0</v>
      </c>
      <c r="CD1306" s="267">
        <v>0</v>
      </c>
      <c r="CE1306" s="267">
        <v>0</v>
      </c>
      <c r="CG1306" s="267">
        <v>0</v>
      </c>
      <c r="CH1306" s="267">
        <v>0</v>
      </c>
      <c r="CJ1306" s="267">
        <v>0</v>
      </c>
      <c r="CK1306" s="267">
        <v>0</v>
      </c>
    </row>
    <row r="1307" spans="1:89" ht="75" x14ac:dyDescent="0.25">
      <c r="A1307" s="264"/>
      <c r="B1307" s="265"/>
      <c r="C1307" s="265" t="s">
        <v>2757</v>
      </c>
      <c r="D1307" s="95" t="s">
        <v>1112</v>
      </c>
      <c r="E1307" s="291"/>
      <c r="F1307" s="291"/>
      <c r="G1307" s="291"/>
      <c r="H1307" s="291">
        <v>0</v>
      </c>
      <c r="I1307" s="291">
        <v>0</v>
      </c>
      <c r="J1307" s="291">
        <v>0</v>
      </c>
      <c r="K1307" s="291">
        <v>0</v>
      </c>
      <c r="L1307" s="291">
        <v>0</v>
      </c>
      <c r="M1307" s="291">
        <v>0</v>
      </c>
      <c r="N1307" s="291">
        <v>0</v>
      </c>
      <c r="Q1307" s="283">
        <f>S1307+V1307+Y1307+AB1307+AE1307+AH1307+AK1307+AN1307+AQ1307+AT1307+AW1307+AZ1307+BC1307+BF1307+BI1307+BL1307+BO1307+BR1307+BU1307+BX1307+CA1307+CD1307+CG1307+CJ1307</f>
        <v>0</v>
      </c>
      <c r="R1307" s="283">
        <f>T1307+W1307+Z1307+AC1307+AF1307+AI1307+AL1307+AO1307+AR1307+AU1307+AX1307+BA1307+BD1307+BG1307+BJ1307+BM1307+BP1307+BS1307+BV1307+BY1307+CB1307+CE1307+CH1307+CK1307</f>
        <v>0</v>
      </c>
      <c r="S1307" s="267">
        <v>0</v>
      </c>
      <c r="T1307" s="267">
        <v>0</v>
      </c>
      <c r="V1307" s="267">
        <v>0</v>
      </c>
      <c r="W1307" s="267">
        <v>0</v>
      </c>
      <c r="Y1307" s="267">
        <v>0</v>
      </c>
      <c r="Z1307" s="267">
        <v>0</v>
      </c>
      <c r="AB1307" s="267">
        <v>0</v>
      </c>
      <c r="AC1307" s="267">
        <v>0</v>
      </c>
      <c r="AE1307" s="267">
        <v>0</v>
      </c>
      <c r="AF1307" s="267">
        <v>0</v>
      </c>
      <c r="AH1307" s="267">
        <v>0</v>
      </c>
      <c r="AI1307" s="267">
        <v>0</v>
      </c>
      <c r="AK1307" s="267">
        <v>0</v>
      </c>
      <c r="AL1307" s="267">
        <v>0</v>
      </c>
      <c r="AN1307" s="267">
        <v>0</v>
      </c>
      <c r="AO1307" s="267">
        <v>0</v>
      </c>
      <c r="AQ1307" s="267">
        <v>0</v>
      </c>
      <c r="AR1307" s="267">
        <v>0</v>
      </c>
      <c r="AT1307" s="267">
        <v>0</v>
      </c>
      <c r="AU1307" s="267">
        <v>0</v>
      </c>
      <c r="AW1307" s="267">
        <v>0</v>
      </c>
      <c r="AX1307" s="267">
        <v>0</v>
      </c>
      <c r="AZ1307" s="267">
        <v>0</v>
      </c>
      <c r="BA1307" s="267">
        <v>0</v>
      </c>
      <c r="BC1307" s="267">
        <v>0</v>
      </c>
      <c r="BD1307" s="267">
        <v>0</v>
      </c>
      <c r="BF1307" s="267">
        <v>0</v>
      </c>
      <c r="BG1307" s="267">
        <v>0</v>
      </c>
      <c r="BI1307" s="267">
        <v>0</v>
      </c>
      <c r="BJ1307" s="267">
        <v>0</v>
      </c>
      <c r="BL1307" s="267">
        <v>0</v>
      </c>
      <c r="BM1307" s="267">
        <v>0</v>
      </c>
      <c r="BO1307" s="267">
        <v>0</v>
      </c>
      <c r="BP1307" s="267">
        <v>0</v>
      </c>
      <c r="BR1307" s="267">
        <v>0</v>
      </c>
      <c r="BS1307" s="267">
        <v>0</v>
      </c>
      <c r="BU1307" s="267">
        <v>0</v>
      </c>
      <c r="BV1307" s="267">
        <v>0</v>
      </c>
      <c r="BX1307" s="267">
        <v>0</v>
      </c>
      <c r="BY1307" s="267">
        <v>0</v>
      </c>
      <c r="CA1307" s="267">
        <v>0</v>
      </c>
      <c r="CB1307" s="267">
        <v>0</v>
      </c>
      <c r="CD1307" s="267">
        <v>0</v>
      </c>
      <c r="CE1307" s="267">
        <v>0</v>
      </c>
      <c r="CG1307" s="267">
        <v>0</v>
      </c>
      <c r="CH1307" s="267">
        <v>0</v>
      </c>
      <c r="CJ1307" s="267">
        <v>0</v>
      </c>
      <c r="CK1307" s="267">
        <v>0</v>
      </c>
    </row>
    <row r="1308" spans="1:89" ht="30" x14ac:dyDescent="0.25">
      <c r="A1308" s="416"/>
      <c r="B1308" s="419" t="s">
        <v>203</v>
      </c>
      <c r="C1308" s="95" t="s">
        <v>1254</v>
      </c>
      <c r="D1308" s="95" t="s">
        <v>1112</v>
      </c>
      <c r="E1308" s="282">
        <v>328</v>
      </c>
      <c r="F1308" s="282">
        <v>327</v>
      </c>
      <c r="G1308" s="282">
        <v>318</v>
      </c>
      <c r="H1308" s="282">
        <f t="shared" ref="H1308:J1309" si="1649">H1313</f>
        <v>219</v>
      </c>
      <c r="I1308" s="282">
        <f t="shared" si="1649"/>
        <v>220</v>
      </c>
      <c r="J1308" s="282">
        <f t="shared" si="1649"/>
        <v>215</v>
      </c>
      <c r="K1308" s="282">
        <f>K1313</f>
        <v>213</v>
      </c>
      <c r="L1308" s="282">
        <f>L1313</f>
        <v>5</v>
      </c>
      <c r="M1308" s="282">
        <f t="shared" ref="M1308:N1309" si="1650">M1313</f>
        <v>5</v>
      </c>
      <c r="N1308" s="282">
        <f t="shared" si="1650"/>
        <v>5</v>
      </c>
      <c r="P1308" s="304"/>
      <c r="Q1308" s="282">
        <f t="shared" ref="Q1308:T1309" si="1651">Q1313</f>
        <v>213</v>
      </c>
      <c r="R1308" s="282">
        <f t="shared" si="1651"/>
        <v>215</v>
      </c>
      <c r="S1308" s="282">
        <f t="shared" si="1651"/>
        <v>3</v>
      </c>
      <c r="T1308" s="282">
        <f t="shared" si="1651"/>
        <v>4</v>
      </c>
      <c r="V1308" s="282">
        <f>V1313</f>
        <v>4</v>
      </c>
      <c r="W1308" s="282">
        <f>W1313</f>
        <v>4</v>
      </c>
      <c r="Y1308" s="282">
        <f>Y1313</f>
        <v>5</v>
      </c>
      <c r="Z1308" s="282">
        <f>Z1313</f>
        <v>5</v>
      </c>
      <c r="AB1308" s="282">
        <f>AB1313</f>
        <v>3</v>
      </c>
      <c r="AC1308" s="282">
        <f>AC1313</f>
        <v>3</v>
      </c>
      <c r="AE1308" s="282">
        <f>AE1313</f>
        <v>6</v>
      </c>
      <c r="AF1308" s="282">
        <f>AF1313</f>
        <v>6</v>
      </c>
      <c r="AH1308" s="282">
        <f>AH1313</f>
        <v>5</v>
      </c>
      <c r="AI1308" s="282">
        <f>AI1313</f>
        <v>5</v>
      </c>
      <c r="AK1308" s="282">
        <f>AK1313</f>
        <v>10</v>
      </c>
      <c r="AL1308" s="282">
        <f>AL1313</f>
        <v>10</v>
      </c>
      <c r="AN1308" s="282">
        <f>AN1313</f>
        <v>11</v>
      </c>
      <c r="AO1308" s="282">
        <f>AO1313</f>
        <v>11</v>
      </c>
      <c r="AQ1308" s="282">
        <f>AQ1313</f>
        <v>0</v>
      </c>
      <c r="AR1308" s="282">
        <f>AR1313</f>
        <v>0</v>
      </c>
      <c r="AT1308" s="282">
        <f>AT1313</f>
        <v>9</v>
      </c>
      <c r="AU1308" s="282">
        <f>AU1313</f>
        <v>9</v>
      </c>
      <c r="AW1308" s="282">
        <f>AW1313</f>
        <v>6</v>
      </c>
      <c r="AX1308" s="282">
        <f>AX1313</f>
        <v>6</v>
      </c>
      <c r="AZ1308" s="282">
        <f>AZ1313</f>
        <v>7</v>
      </c>
      <c r="BA1308" s="282">
        <f>BA1313</f>
        <v>7</v>
      </c>
      <c r="BC1308" s="282">
        <f>BC1313</f>
        <v>15</v>
      </c>
      <c r="BD1308" s="282">
        <f>BD1313</f>
        <v>15</v>
      </c>
      <c r="BF1308" s="282">
        <f>BF1313</f>
        <v>33</v>
      </c>
      <c r="BG1308" s="282">
        <f>BG1313</f>
        <v>34</v>
      </c>
      <c r="BI1308" s="282">
        <f>BI1313</f>
        <v>37</v>
      </c>
      <c r="BJ1308" s="282">
        <f>BJ1313</f>
        <v>37</v>
      </c>
      <c r="BL1308" s="282">
        <f>BL1313</f>
        <v>6</v>
      </c>
      <c r="BM1308" s="282">
        <f>BM1313</f>
        <v>6</v>
      </c>
      <c r="BO1308" s="282">
        <f>BO1313</f>
        <v>6</v>
      </c>
      <c r="BP1308" s="282">
        <f>BP1313</f>
        <v>6</v>
      </c>
      <c r="BR1308" s="282">
        <f>BR1313</f>
        <v>8</v>
      </c>
      <c r="BS1308" s="282">
        <f>BS1313</f>
        <v>7</v>
      </c>
      <c r="BU1308" s="282">
        <f>BU1313</f>
        <v>7</v>
      </c>
      <c r="BV1308" s="282">
        <f>BV1313</f>
        <v>7</v>
      </c>
      <c r="BX1308" s="282">
        <f>BX1313</f>
        <v>3</v>
      </c>
      <c r="BY1308" s="282">
        <f>BY1313</f>
        <v>3</v>
      </c>
      <c r="CA1308" s="282">
        <f>CA1313</f>
        <v>6</v>
      </c>
      <c r="CB1308" s="282">
        <f>CB1313</f>
        <v>7</v>
      </c>
      <c r="CD1308" s="282">
        <f>CD1313</f>
        <v>5</v>
      </c>
      <c r="CE1308" s="282">
        <f>CE1313</f>
        <v>5</v>
      </c>
      <c r="CG1308" s="282">
        <f>CG1313</f>
        <v>18</v>
      </c>
      <c r="CH1308" s="282">
        <f>CH1313</f>
        <v>18</v>
      </c>
      <c r="CJ1308" s="282">
        <f>CJ1313</f>
        <v>0</v>
      </c>
      <c r="CK1308" s="282">
        <f>CK1313</f>
        <v>0</v>
      </c>
    </row>
    <row r="1309" spans="1:89" ht="30" x14ac:dyDescent="0.25">
      <c r="A1309" s="417"/>
      <c r="B1309" s="420"/>
      <c r="C1309" s="95" t="s">
        <v>1255</v>
      </c>
      <c r="D1309" s="95" t="s">
        <v>1112</v>
      </c>
      <c r="E1309" s="282">
        <v>8</v>
      </c>
      <c r="F1309" s="282">
        <v>7</v>
      </c>
      <c r="G1309" s="282">
        <v>8</v>
      </c>
      <c r="H1309" s="282">
        <f t="shared" si="1649"/>
        <v>100</v>
      </c>
      <c r="I1309" s="282">
        <f t="shared" si="1649"/>
        <v>98</v>
      </c>
      <c r="J1309" s="282">
        <f>J1314</f>
        <v>95</v>
      </c>
      <c r="K1309" s="282">
        <f>K1314</f>
        <v>94</v>
      </c>
      <c r="L1309" s="282">
        <f>L1314</f>
        <v>13</v>
      </c>
      <c r="M1309" s="282">
        <f t="shared" si="1650"/>
        <v>13</v>
      </c>
      <c r="N1309" s="282">
        <f t="shared" si="1650"/>
        <v>13</v>
      </c>
      <c r="P1309" s="304"/>
      <c r="Q1309" s="282">
        <f t="shared" si="1651"/>
        <v>94</v>
      </c>
      <c r="R1309" s="282">
        <f t="shared" si="1651"/>
        <v>94</v>
      </c>
      <c r="S1309" s="282">
        <f t="shared" si="1651"/>
        <v>7</v>
      </c>
      <c r="T1309" s="282">
        <f t="shared" si="1651"/>
        <v>7</v>
      </c>
      <c r="V1309" s="282">
        <f>V1314</f>
        <v>8</v>
      </c>
      <c r="W1309" s="282">
        <f>W1314</f>
        <v>8</v>
      </c>
      <c r="Y1309" s="282">
        <f>Y1314</f>
        <v>10</v>
      </c>
      <c r="Z1309" s="282">
        <f>Z1314</f>
        <v>10</v>
      </c>
      <c r="AB1309" s="282">
        <f>AB1314</f>
        <v>10</v>
      </c>
      <c r="AC1309" s="282">
        <f>AC1314</f>
        <v>10</v>
      </c>
      <c r="AE1309" s="282">
        <f>AE1314</f>
        <v>11</v>
      </c>
      <c r="AF1309" s="282">
        <f>AF1314</f>
        <v>10</v>
      </c>
      <c r="AH1309" s="282">
        <f>AH1314</f>
        <v>13</v>
      </c>
      <c r="AI1309" s="282">
        <f>AI1314</f>
        <v>13</v>
      </c>
      <c r="AK1309" s="282">
        <f>AK1314</f>
        <v>1</v>
      </c>
      <c r="AL1309" s="282">
        <f>AL1314</f>
        <v>1</v>
      </c>
      <c r="AN1309" s="282">
        <f>AN1314</f>
        <v>7</v>
      </c>
      <c r="AO1309" s="282">
        <f>AO1314</f>
        <v>7</v>
      </c>
      <c r="AQ1309" s="282">
        <f>AQ1314</f>
        <v>23</v>
      </c>
      <c r="AR1309" s="282">
        <f>AR1314</f>
        <v>24</v>
      </c>
      <c r="AT1309" s="282">
        <f>AT1314</f>
        <v>0</v>
      </c>
      <c r="AU1309" s="282">
        <f>AU1314</f>
        <v>0</v>
      </c>
      <c r="AW1309" s="282">
        <f>AW1314</f>
        <v>0</v>
      </c>
      <c r="AX1309" s="282">
        <f>AX1314</f>
        <v>0</v>
      </c>
      <c r="AZ1309" s="282">
        <f>AZ1314</f>
        <v>0</v>
      </c>
      <c r="BA1309" s="282">
        <f>BA1314</f>
        <v>0</v>
      </c>
      <c r="BC1309" s="282">
        <f>BC1314</f>
        <v>0</v>
      </c>
      <c r="BD1309" s="282">
        <f>BD1314</f>
        <v>0</v>
      </c>
      <c r="BF1309" s="282">
        <f>BF1314</f>
        <v>0</v>
      </c>
      <c r="BG1309" s="282">
        <f>BG1314</f>
        <v>0</v>
      </c>
      <c r="BI1309" s="282">
        <f>BI1314</f>
        <v>0</v>
      </c>
      <c r="BJ1309" s="282">
        <f>BJ1314</f>
        <v>0</v>
      </c>
      <c r="BL1309" s="282">
        <f>BL1314</f>
        <v>0</v>
      </c>
      <c r="BM1309" s="282">
        <f>BM1314</f>
        <v>0</v>
      </c>
      <c r="BO1309" s="282">
        <f>BO1314</f>
        <v>0</v>
      </c>
      <c r="BP1309" s="282">
        <f>BP1314</f>
        <v>0</v>
      </c>
      <c r="BR1309" s="282">
        <f>BR1314</f>
        <v>0</v>
      </c>
      <c r="BS1309" s="282">
        <f>BS1314</f>
        <v>0</v>
      </c>
      <c r="BU1309" s="282">
        <f>BU1314</f>
        <v>0</v>
      </c>
      <c r="BV1309" s="282">
        <f>BV1314</f>
        <v>0</v>
      </c>
      <c r="BX1309" s="282">
        <f>BX1314</f>
        <v>0</v>
      </c>
      <c r="BY1309" s="282">
        <f>BY1314</f>
        <v>0</v>
      </c>
      <c r="CA1309" s="282">
        <f>CA1314</f>
        <v>0</v>
      </c>
      <c r="CB1309" s="282">
        <f>CB1314</f>
        <v>0</v>
      </c>
      <c r="CD1309" s="282">
        <f>CD1314</f>
        <v>0</v>
      </c>
      <c r="CE1309" s="282">
        <f>CE1314</f>
        <v>0</v>
      </c>
      <c r="CG1309" s="282">
        <f>CG1314</f>
        <v>4</v>
      </c>
      <c r="CH1309" s="282">
        <f>CH1314</f>
        <v>4</v>
      </c>
      <c r="CJ1309" s="282">
        <f>CJ1314</f>
        <v>0</v>
      </c>
      <c r="CK1309" s="282">
        <f>CK1314</f>
        <v>0</v>
      </c>
    </row>
    <row r="1310" spans="1:89" ht="30" x14ac:dyDescent="0.25">
      <c r="A1310" s="417"/>
      <c r="B1310" s="420"/>
      <c r="C1310" s="95" t="s">
        <v>1256</v>
      </c>
      <c r="D1310" s="95" t="s">
        <v>1112</v>
      </c>
      <c r="E1310" s="282">
        <v>5</v>
      </c>
      <c r="F1310" s="282">
        <v>5</v>
      </c>
      <c r="G1310" s="282">
        <v>5</v>
      </c>
      <c r="H1310" s="282">
        <f t="shared" ref="H1310:J1311" si="1652">H1316</f>
        <v>4</v>
      </c>
      <c r="I1310" s="282">
        <f t="shared" si="1652"/>
        <v>4</v>
      </c>
      <c r="J1310" s="282">
        <f t="shared" si="1652"/>
        <v>4</v>
      </c>
      <c r="K1310" s="282">
        <f>K1316</f>
        <v>4</v>
      </c>
      <c r="L1310" s="282">
        <f>L1316</f>
        <v>0</v>
      </c>
      <c r="M1310" s="282">
        <f t="shared" ref="M1310:N1311" si="1653">M1316</f>
        <v>0</v>
      </c>
      <c r="N1310" s="282">
        <f t="shared" si="1653"/>
        <v>0</v>
      </c>
      <c r="P1310" s="304"/>
      <c r="Q1310" s="282">
        <f t="shared" ref="Q1310:T1311" si="1654">Q1316</f>
        <v>4</v>
      </c>
      <c r="R1310" s="282">
        <f t="shared" si="1654"/>
        <v>4</v>
      </c>
      <c r="S1310" s="282">
        <f t="shared" si="1654"/>
        <v>0</v>
      </c>
      <c r="T1310" s="282">
        <f t="shared" si="1654"/>
        <v>0</v>
      </c>
      <c r="V1310" s="282">
        <f>V1316</f>
        <v>0</v>
      </c>
      <c r="W1310" s="282">
        <f>W1316</f>
        <v>0</v>
      </c>
      <c r="Y1310" s="282">
        <f>Y1316</f>
        <v>0</v>
      </c>
      <c r="Z1310" s="282">
        <f>Z1316</f>
        <v>0</v>
      </c>
      <c r="AB1310" s="282">
        <f>AB1316</f>
        <v>0</v>
      </c>
      <c r="AC1310" s="282">
        <f>AC1316</f>
        <v>0</v>
      </c>
      <c r="AE1310" s="282">
        <f>AE1316</f>
        <v>0</v>
      </c>
      <c r="AF1310" s="282">
        <f>AF1316</f>
        <v>0</v>
      </c>
      <c r="AH1310" s="282">
        <f>AH1316</f>
        <v>0</v>
      </c>
      <c r="AI1310" s="282">
        <f>AI1316</f>
        <v>0</v>
      </c>
      <c r="AK1310" s="282">
        <f>AK1316</f>
        <v>0</v>
      </c>
      <c r="AL1310" s="282">
        <f>AL1316</f>
        <v>0</v>
      </c>
      <c r="AN1310" s="282">
        <f>AN1316</f>
        <v>0</v>
      </c>
      <c r="AO1310" s="282">
        <f>AO1316</f>
        <v>0</v>
      </c>
      <c r="AQ1310" s="282">
        <f>AQ1316</f>
        <v>0</v>
      </c>
      <c r="AR1310" s="282">
        <f>AR1316</f>
        <v>0</v>
      </c>
      <c r="AT1310" s="282">
        <f>AT1316</f>
        <v>0</v>
      </c>
      <c r="AU1310" s="282">
        <f>AU1316</f>
        <v>0</v>
      </c>
      <c r="AW1310" s="282">
        <f>AW1316</f>
        <v>0</v>
      </c>
      <c r="AX1310" s="282">
        <f>AX1316</f>
        <v>0</v>
      </c>
      <c r="AZ1310" s="282">
        <f>AZ1316</f>
        <v>0</v>
      </c>
      <c r="BA1310" s="282">
        <f>BA1316</f>
        <v>0</v>
      </c>
      <c r="BC1310" s="282">
        <f>BC1316</f>
        <v>1</v>
      </c>
      <c r="BD1310" s="282">
        <f>BD1316</f>
        <v>1</v>
      </c>
      <c r="BF1310" s="282">
        <f>BF1316</f>
        <v>1</v>
      </c>
      <c r="BG1310" s="282">
        <f>BG1316</f>
        <v>1</v>
      </c>
      <c r="BI1310" s="282">
        <f>BI1316</f>
        <v>1</v>
      </c>
      <c r="BJ1310" s="282">
        <f>BJ1316</f>
        <v>1</v>
      </c>
      <c r="BL1310" s="282">
        <f>BL1316</f>
        <v>0</v>
      </c>
      <c r="BM1310" s="282">
        <f>BM1316</f>
        <v>0</v>
      </c>
      <c r="BO1310" s="282">
        <f>BO1316</f>
        <v>0</v>
      </c>
      <c r="BP1310" s="282">
        <f>BP1316</f>
        <v>0</v>
      </c>
      <c r="BR1310" s="282">
        <f>BR1316</f>
        <v>0</v>
      </c>
      <c r="BS1310" s="282">
        <f>BS1316</f>
        <v>0</v>
      </c>
      <c r="BU1310" s="282">
        <f>BU1316</f>
        <v>0</v>
      </c>
      <c r="BV1310" s="282">
        <f>BV1316</f>
        <v>0</v>
      </c>
      <c r="BX1310" s="282">
        <f>BX1316</f>
        <v>0</v>
      </c>
      <c r="BY1310" s="282">
        <f>BY1316</f>
        <v>0</v>
      </c>
      <c r="CA1310" s="282">
        <f>CA1316</f>
        <v>0</v>
      </c>
      <c r="CB1310" s="282">
        <f>CB1316</f>
        <v>0</v>
      </c>
      <c r="CD1310" s="282">
        <f>CD1316</f>
        <v>1</v>
      </c>
      <c r="CE1310" s="282">
        <f>CE1316</f>
        <v>1</v>
      </c>
      <c r="CG1310" s="282">
        <f>CG1316</f>
        <v>0</v>
      </c>
      <c r="CH1310" s="282">
        <f>CH1316</f>
        <v>0</v>
      </c>
      <c r="CJ1310" s="282">
        <f>CJ1316</f>
        <v>0</v>
      </c>
      <c r="CK1310" s="282">
        <f>CK1316</f>
        <v>0</v>
      </c>
    </row>
    <row r="1311" spans="1:89" ht="30" x14ac:dyDescent="0.25">
      <c r="A1311" s="418"/>
      <c r="B1311" s="421"/>
      <c r="C1311" s="95" t="s">
        <v>1257</v>
      </c>
      <c r="D1311" s="95" t="s">
        <v>1112</v>
      </c>
      <c r="E1311" s="282">
        <v>0</v>
      </c>
      <c r="F1311" s="282">
        <v>0</v>
      </c>
      <c r="G1311" s="282">
        <v>0</v>
      </c>
      <c r="H1311" s="282">
        <f t="shared" si="1652"/>
        <v>0</v>
      </c>
      <c r="I1311" s="282">
        <f t="shared" si="1652"/>
        <v>0</v>
      </c>
      <c r="J1311" s="282">
        <f t="shared" si="1652"/>
        <v>0</v>
      </c>
      <c r="K1311" s="282">
        <f>K1317</f>
        <v>0</v>
      </c>
      <c r="L1311" s="282">
        <f>L1317</f>
        <v>0</v>
      </c>
      <c r="M1311" s="282">
        <f t="shared" si="1653"/>
        <v>0</v>
      </c>
      <c r="N1311" s="282">
        <f t="shared" si="1653"/>
        <v>0</v>
      </c>
      <c r="Q1311" s="282">
        <f t="shared" si="1654"/>
        <v>0</v>
      </c>
      <c r="R1311" s="282">
        <f t="shared" si="1654"/>
        <v>0</v>
      </c>
      <c r="S1311" s="282">
        <f t="shared" si="1654"/>
        <v>0</v>
      </c>
      <c r="T1311" s="282">
        <f t="shared" si="1654"/>
        <v>0</v>
      </c>
      <c r="V1311" s="282">
        <f>V1317</f>
        <v>0</v>
      </c>
      <c r="W1311" s="282">
        <f>W1317</f>
        <v>0</v>
      </c>
      <c r="Y1311" s="282">
        <f>Y1317</f>
        <v>0</v>
      </c>
      <c r="Z1311" s="282">
        <f>Z1317</f>
        <v>0</v>
      </c>
      <c r="AB1311" s="282">
        <f>AB1317</f>
        <v>0</v>
      </c>
      <c r="AC1311" s="282">
        <f>AC1317</f>
        <v>0</v>
      </c>
      <c r="AE1311" s="282">
        <f>AE1317</f>
        <v>0</v>
      </c>
      <c r="AF1311" s="282">
        <f>AF1317</f>
        <v>0</v>
      </c>
      <c r="AH1311" s="282">
        <f>AH1317</f>
        <v>0</v>
      </c>
      <c r="AI1311" s="282">
        <f>AI1317</f>
        <v>0</v>
      </c>
      <c r="AK1311" s="282">
        <f>AK1317</f>
        <v>0</v>
      </c>
      <c r="AL1311" s="282">
        <f>AL1317</f>
        <v>0</v>
      </c>
      <c r="AN1311" s="282">
        <f>AN1317</f>
        <v>0</v>
      </c>
      <c r="AO1311" s="282">
        <f>AO1317</f>
        <v>0</v>
      </c>
      <c r="AQ1311" s="282">
        <f>AQ1317</f>
        <v>0</v>
      </c>
      <c r="AR1311" s="282">
        <f>AR1317</f>
        <v>0</v>
      </c>
      <c r="AT1311" s="282">
        <f>AT1317</f>
        <v>0</v>
      </c>
      <c r="AU1311" s="282">
        <f>AU1317</f>
        <v>0</v>
      </c>
      <c r="AW1311" s="282">
        <f>AW1317</f>
        <v>0</v>
      </c>
      <c r="AX1311" s="282">
        <f>AX1317</f>
        <v>0</v>
      </c>
      <c r="AZ1311" s="282">
        <f>AZ1317</f>
        <v>0</v>
      </c>
      <c r="BA1311" s="282">
        <f>BA1317</f>
        <v>0</v>
      </c>
      <c r="BC1311" s="282">
        <f>BC1317</f>
        <v>0</v>
      </c>
      <c r="BD1311" s="282">
        <f>BD1317</f>
        <v>0</v>
      </c>
      <c r="BF1311" s="282">
        <f>BF1317</f>
        <v>0</v>
      </c>
      <c r="BG1311" s="282">
        <f>BG1317</f>
        <v>0</v>
      </c>
      <c r="BI1311" s="282">
        <f>BI1317</f>
        <v>0</v>
      </c>
      <c r="BJ1311" s="282">
        <f>BJ1317</f>
        <v>0</v>
      </c>
      <c r="BL1311" s="282">
        <f>BL1317</f>
        <v>0</v>
      </c>
      <c r="BM1311" s="282">
        <f>BM1317</f>
        <v>0</v>
      </c>
      <c r="BO1311" s="282">
        <f>BO1317</f>
        <v>0</v>
      </c>
      <c r="BP1311" s="282">
        <f>BP1317</f>
        <v>0</v>
      </c>
      <c r="BR1311" s="282">
        <f>BR1317</f>
        <v>0</v>
      </c>
      <c r="BS1311" s="282">
        <f>BS1317</f>
        <v>0</v>
      </c>
      <c r="BU1311" s="282">
        <f>BU1317</f>
        <v>0</v>
      </c>
      <c r="BV1311" s="282">
        <f>BV1317</f>
        <v>0</v>
      </c>
      <c r="BX1311" s="282">
        <f>BX1317</f>
        <v>0</v>
      </c>
      <c r="BY1311" s="282">
        <f>BY1317</f>
        <v>0</v>
      </c>
      <c r="CA1311" s="282">
        <f>CA1317</f>
        <v>0</v>
      </c>
      <c r="CB1311" s="282">
        <f>CB1317</f>
        <v>0</v>
      </c>
      <c r="CD1311" s="282">
        <f>CD1317</f>
        <v>0</v>
      </c>
      <c r="CE1311" s="282">
        <f>CE1317</f>
        <v>0</v>
      </c>
      <c r="CG1311" s="282">
        <f>CG1317</f>
        <v>0</v>
      </c>
      <c r="CH1311" s="282">
        <f>CH1317</f>
        <v>0</v>
      </c>
      <c r="CJ1311" s="282">
        <f>CJ1317</f>
        <v>0</v>
      </c>
      <c r="CK1311" s="282">
        <f>CK1317</f>
        <v>0</v>
      </c>
    </row>
    <row r="1312" spans="1:89" x14ac:dyDescent="0.25">
      <c r="A1312" s="95"/>
      <c r="B1312" s="311" t="s">
        <v>1182</v>
      </c>
      <c r="C1312" s="95"/>
      <c r="D1312" s="95"/>
      <c r="E1312" s="291"/>
      <c r="F1312" s="291"/>
      <c r="G1312" s="291"/>
      <c r="H1312" s="291">
        <f>H1313+H1314</f>
        <v>319</v>
      </c>
      <c r="I1312" s="291">
        <f>I1313+I1314</f>
        <v>318</v>
      </c>
      <c r="J1312" s="291">
        <f>J1313+J1314</f>
        <v>310</v>
      </c>
      <c r="K1312" s="291">
        <f>K1313+K1314</f>
        <v>307</v>
      </c>
      <c r="L1312" s="291">
        <f>L1313+L1314</f>
        <v>18</v>
      </c>
      <c r="M1312" s="291">
        <f t="shared" ref="M1312:N1312" si="1655">M1313+M1314</f>
        <v>18</v>
      </c>
      <c r="N1312" s="291">
        <f t="shared" si="1655"/>
        <v>18</v>
      </c>
      <c r="Q1312" s="291">
        <f>Q1313+Q1314</f>
        <v>307</v>
      </c>
      <c r="R1312" s="291">
        <f>R1313+R1314</f>
        <v>309</v>
      </c>
      <c r="S1312" s="291">
        <f>S1313+S1314</f>
        <v>10</v>
      </c>
      <c r="T1312" s="291">
        <f>T1313+T1314</f>
        <v>11</v>
      </c>
      <c r="V1312" s="291">
        <f>V1313+V1314</f>
        <v>12</v>
      </c>
      <c r="W1312" s="291">
        <f>W1313+W1314</f>
        <v>12</v>
      </c>
      <c r="Y1312" s="291">
        <f>Y1313+Y1314</f>
        <v>15</v>
      </c>
      <c r="Z1312" s="291">
        <f>Z1313+Z1314</f>
        <v>15</v>
      </c>
      <c r="AB1312" s="291">
        <f>AB1313+AB1314</f>
        <v>13</v>
      </c>
      <c r="AC1312" s="291">
        <f>AC1313+AC1314</f>
        <v>13</v>
      </c>
      <c r="AE1312" s="291">
        <f>AE1313+AE1314</f>
        <v>17</v>
      </c>
      <c r="AF1312" s="291">
        <f>AF1313+AF1314</f>
        <v>16</v>
      </c>
      <c r="AH1312" s="291">
        <f>AH1313+AH1314</f>
        <v>18</v>
      </c>
      <c r="AI1312" s="291">
        <f>AI1313+AI1314</f>
        <v>18</v>
      </c>
      <c r="AK1312" s="291">
        <f>AK1313+AK1314</f>
        <v>11</v>
      </c>
      <c r="AL1312" s="291">
        <f>AL1313+AL1314</f>
        <v>11</v>
      </c>
      <c r="AN1312" s="291">
        <f>AN1313+AN1314</f>
        <v>18</v>
      </c>
      <c r="AO1312" s="291">
        <f>AO1313+AO1314</f>
        <v>18</v>
      </c>
      <c r="AQ1312" s="291">
        <f>AQ1313+AQ1314</f>
        <v>23</v>
      </c>
      <c r="AR1312" s="291">
        <f>AR1313+AR1314</f>
        <v>24</v>
      </c>
      <c r="AT1312" s="291">
        <f>AT1313+AT1314</f>
        <v>9</v>
      </c>
      <c r="AU1312" s="291">
        <f>AU1313+AU1314</f>
        <v>9</v>
      </c>
      <c r="AW1312" s="291">
        <f>AW1313+AW1314</f>
        <v>6</v>
      </c>
      <c r="AX1312" s="291">
        <f>AX1313+AX1314</f>
        <v>6</v>
      </c>
      <c r="AZ1312" s="291">
        <f>AZ1313+AZ1314</f>
        <v>7</v>
      </c>
      <c r="BA1312" s="291">
        <f>BA1313+BA1314</f>
        <v>7</v>
      </c>
      <c r="BC1312" s="291">
        <f>BC1313+BC1314</f>
        <v>15</v>
      </c>
      <c r="BD1312" s="291">
        <f>BD1313+BD1314</f>
        <v>15</v>
      </c>
      <c r="BF1312" s="291">
        <f>BF1313+BF1314</f>
        <v>33</v>
      </c>
      <c r="BG1312" s="291">
        <f>BG1313+BG1314</f>
        <v>34</v>
      </c>
      <c r="BI1312" s="291">
        <f>BI1313+BI1314</f>
        <v>37</v>
      </c>
      <c r="BJ1312" s="291">
        <f>BJ1313+BJ1314</f>
        <v>37</v>
      </c>
      <c r="BL1312" s="291">
        <f>BL1313+BL1314</f>
        <v>6</v>
      </c>
      <c r="BM1312" s="291">
        <f>BM1313+BM1314</f>
        <v>6</v>
      </c>
      <c r="BO1312" s="291">
        <f>BO1313+BO1314</f>
        <v>6</v>
      </c>
      <c r="BP1312" s="291">
        <f>BP1313+BP1314</f>
        <v>6</v>
      </c>
      <c r="BR1312" s="291">
        <f>BR1313+BR1314</f>
        <v>8</v>
      </c>
      <c r="BS1312" s="291">
        <f>BS1313+BS1314</f>
        <v>7</v>
      </c>
      <c r="BU1312" s="291">
        <f>BU1313+BU1314</f>
        <v>7</v>
      </c>
      <c r="BV1312" s="291">
        <f>BV1313+BV1314</f>
        <v>7</v>
      </c>
      <c r="BX1312" s="291">
        <f>BX1313+BX1314</f>
        <v>3</v>
      </c>
      <c r="BY1312" s="291">
        <f>BY1313+BY1314</f>
        <v>3</v>
      </c>
      <c r="CA1312" s="291">
        <f>CA1313+CA1314</f>
        <v>6</v>
      </c>
      <c r="CB1312" s="291">
        <f>CB1313+CB1314</f>
        <v>7</v>
      </c>
      <c r="CD1312" s="291">
        <f>CD1313+CD1314</f>
        <v>5</v>
      </c>
      <c r="CE1312" s="291">
        <f>CE1313+CE1314</f>
        <v>5</v>
      </c>
      <c r="CG1312" s="291">
        <f>CG1313+CG1314</f>
        <v>22</v>
      </c>
      <c r="CH1312" s="291">
        <f>CH1313+CH1314</f>
        <v>22</v>
      </c>
      <c r="CJ1312" s="291">
        <f>CJ1313+CJ1314</f>
        <v>0</v>
      </c>
      <c r="CK1312" s="291">
        <f>CK1313+CK1314</f>
        <v>0</v>
      </c>
    </row>
    <row r="1313" spans="1:89" ht="30" x14ac:dyDescent="0.25">
      <c r="A1313" s="95"/>
      <c r="B1313" s="263"/>
      <c r="C1313" s="263" t="s">
        <v>2753</v>
      </c>
      <c r="D1313" s="95" t="s">
        <v>1112</v>
      </c>
      <c r="E1313" s="291"/>
      <c r="F1313" s="291"/>
      <c r="G1313" s="291"/>
      <c r="H1313" s="291">
        <v>219</v>
      </c>
      <c r="I1313" s="291">
        <v>220</v>
      </c>
      <c r="J1313" s="291">
        <f t="shared" ref="J1313:M1314" si="1656">J753</f>
        <v>215</v>
      </c>
      <c r="K1313" s="291">
        <f t="shared" si="1656"/>
        <v>213</v>
      </c>
      <c r="L1313" s="291">
        <f t="shared" si="1656"/>
        <v>5</v>
      </c>
      <c r="M1313" s="291">
        <f t="shared" si="1656"/>
        <v>5</v>
      </c>
      <c r="N1313" s="291">
        <f t="shared" ref="N1313" si="1657">N753</f>
        <v>5</v>
      </c>
      <c r="Q1313" s="283">
        <f>S1313+V1313+Y1313+AB1313+AE1313+AH1313+AK1313+AN1313+AQ1313+AT1313+AW1313+AZ1313+BC1313+BF1313+BI1313+BL1313+BO1313+BR1313+BU1313+BX1313+CA1313+CD1313+CG1313+CJ1313</f>
        <v>213</v>
      </c>
      <c r="R1313" s="283">
        <f>T1313+W1313+Z1313+AC1313+AF1313+AI1313+AL1313+AO1313+AR1313+AU1313+AX1313+BA1313+BD1313+BG1313+BJ1313+BM1313+BP1313+BS1313+BV1313+BY1313+CB1313+CE1313+CH1313+CK1313</f>
        <v>215</v>
      </c>
      <c r="S1313" s="283">
        <f>S753</f>
        <v>3</v>
      </c>
      <c r="T1313" s="283">
        <f>T753</f>
        <v>4</v>
      </c>
      <c r="U1313" s="283"/>
      <c r="V1313" s="283">
        <f>V753</f>
        <v>4</v>
      </c>
      <c r="W1313" s="283">
        <f>W753</f>
        <v>4</v>
      </c>
      <c r="X1313" s="283"/>
      <c r="Y1313" s="283">
        <f>Y753</f>
        <v>5</v>
      </c>
      <c r="Z1313" s="283">
        <f>Z753</f>
        <v>5</v>
      </c>
      <c r="AA1313" s="283"/>
      <c r="AB1313" s="283">
        <f>AB753</f>
        <v>3</v>
      </c>
      <c r="AC1313" s="283">
        <f>AC753</f>
        <v>3</v>
      </c>
      <c r="AD1313" s="283"/>
      <c r="AE1313" s="283">
        <f>AE753</f>
        <v>6</v>
      </c>
      <c r="AF1313" s="283">
        <f>AF753</f>
        <v>6</v>
      </c>
      <c r="AG1313" s="283"/>
      <c r="AH1313" s="283">
        <f>AH753</f>
        <v>5</v>
      </c>
      <c r="AI1313" s="283">
        <f>AI753</f>
        <v>5</v>
      </c>
      <c r="AJ1313" s="283"/>
      <c r="AK1313" s="283">
        <f>AK753</f>
        <v>10</v>
      </c>
      <c r="AL1313" s="283">
        <f>AL753</f>
        <v>10</v>
      </c>
      <c r="AM1313" s="283"/>
      <c r="AN1313" s="283">
        <f>AN753</f>
        <v>11</v>
      </c>
      <c r="AO1313" s="283">
        <f>AO753</f>
        <v>11</v>
      </c>
      <c r="AP1313" s="283"/>
      <c r="AQ1313" s="283">
        <f>AQ753</f>
        <v>0</v>
      </c>
      <c r="AR1313" s="283">
        <f>AR753</f>
        <v>0</v>
      </c>
      <c r="AS1313" s="283"/>
      <c r="AT1313" s="283">
        <f>AT753</f>
        <v>9</v>
      </c>
      <c r="AU1313" s="283">
        <f>AU753</f>
        <v>9</v>
      </c>
      <c r="AV1313" s="283"/>
      <c r="AW1313" s="283">
        <f>AW753</f>
        <v>6</v>
      </c>
      <c r="AX1313" s="283">
        <f>AX753</f>
        <v>6</v>
      </c>
      <c r="AY1313" s="283"/>
      <c r="AZ1313" s="283">
        <f>AZ753</f>
        <v>7</v>
      </c>
      <c r="BA1313" s="283">
        <f>BA753</f>
        <v>7</v>
      </c>
      <c r="BB1313" s="283"/>
      <c r="BC1313" s="283">
        <f>BC753</f>
        <v>15</v>
      </c>
      <c r="BD1313" s="283">
        <f>BD753</f>
        <v>15</v>
      </c>
      <c r="BE1313" s="283"/>
      <c r="BF1313" s="283">
        <f>BF753</f>
        <v>33</v>
      </c>
      <c r="BG1313" s="283">
        <f>BG753</f>
        <v>34</v>
      </c>
      <c r="BH1313" s="283"/>
      <c r="BI1313" s="283">
        <f>BI753</f>
        <v>37</v>
      </c>
      <c r="BJ1313" s="283">
        <f>BJ753</f>
        <v>37</v>
      </c>
      <c r="BK1313" s="283"/>
      <c r="BL1313" s="283">
        <f>BL753</f>
        <v>6</v>
      </c>
      <c r="BM1313" s="283">
        <f>BM753</f>
        <v>6</v>
      </c>
      <c r="BN1313" s="283"/>
      <c r="BO1313" s="283">
        <f>BO753</f>
        <v>6</v>
      </c>
      <c r="BP1313" s="283">
        <f>BP753</f>
        <v>6</v>
      </c>
      <c r="BQ1313" s="283"/>
      <c r="BR1313" s="283">
        <f>BR753</f>
        <v>8</v>
      </c>
      <c r="BS1313" s="283">
        <f>BS753</f>
        <v>7</v>
      </c>
      <c r="BT1313" s="283"/>
      <c r="BU1313" s="283">
        <f>BU753</f>
        <v>7</v>
      </c>
      <c r="BV1313" s="283">
        <f>BV753</f>
        <v>7</v>
      </c>
      <c r="BW1313" s="283"/>
      <c r="BX1313" s="283">
        <f>BX753</f>
        <v>3</v>
      </c>
      <c r="BY1313" s="283">
        <f>BY753</f>
        <v>3</v>
      </c>
      <c r="BZ1313" s="283"/>
      <c r="CA1313" s="283">
        <f>CA753</f>
        <v>6</v>
      </c>
      <c r="CB1313" s="283">
        <f>CB753</f>
        <v>7</v>
      </c>
      <c r="CC1313" s="283"/>
      <c r="CD1313" s="283">
        <f>CD753</f>
        <v>5</v>
      </c>
      <c r="CE1313" s="283">
        <f>CE753</f>
        <v>5</v>
      </c>
      <c r="CF1313" s="283"/>
      <c r="CG1313" s="283">
        <f>CG753</f>
        <v>18</v>
      </c>
      <c r="CH1313" s="283">
        <f>CH753</f>
        <v>18</v>
      </c>
      <c r="CI1313" s="283"/>
      <c r="CJ1313" s="283">
        <f>CJ753</f>
        <v>0</v>
      </c>
      <c r="CK1313" s="283">
        <f>CK753</f>
        <v>0</v>
      </c>
    </row>
    <row r="1314" spans="1:89" ht="30" x14ac:dyDescent="0.25">
      <c r="A1314" s="95"/>
      <c r="B1314" s="263"/>
      <c r="C1314" s="263" t="s">
        <v>2753</v>
      </c>
      <c r="D1314" s="95" t="s">
        <v>1112</v>
      </c>
      <c r="E1314" s="291"/>
      <c r="F1314" s="291"/>
      <c r="G1314" s="291"/>
      <c r="H1314" s="291">
        <v>100</v>
      </c>
      <c r="I1314" s="291">
        <v>98</v>
      </c>
      <c r="J1314" s="291">
        <f t="shared" si="1656"/>
        <v>95</v>
      </c>
      <c r="K1314" s="291">
        <f t="shared" si="1656"/>
        <v>94</v>
      </c>
      <c r="L1314" s="291">
        <f t="shared" si="1656"/>
        <v>13</v>
      </c>
      <c r="M1314" s="291">
        <f t="shared" si="1656"/>
        <v>13</v>
      </c>
      <c r="N1314" s="291">
        <f t="shared" ref="N1314" si="1658">N754</f>
        <v>13</v>
      </c>
      <c r="Q1314" s="283">
        <f>S1314+V1314+Y1314+AB1314+AE1314+AH1314+AK1314+AN1314+AQ1314+AT1314+AW1314+AZ1314+BC1314+BF1314+BI1314+BL1314+BO1314+BR1314+BU1314+BX1314+CA1314+CD1314+CG1314+CJ1314</f>
        <v>94</v>
      </c>
      <c r="R1314" s="283">
        <f>T1314+W1314+Z1314+AC1314+AF1314+AI1314+AL1314+AO1314+AR1314+AU1314+AX1314+BA1314+BD1314+BG1314+BJ1314+BM1314+BP1314+BS1314+BV1314+BY1314+CB1314+CE1314+CH1314+CK1314</f>
        <v>94</v>
      </c>
      <c r="S1314" s="283">
        <f>S754</f>
        <v>7</v>
      </c>
      <c r="T1314" s="283">
        <f>T754</f>
        <v>7</v>
      </c>
      <c r="U1314" s="283"/>
      <c r="V1314" s="283">
        <f>V754</f>
        <v>8</v>
      </c>
      <c r="W1314" s="283">
        <f>W754</f>
        <v>8</v>
      </c>
      <c r="X1314" s="283"/>
      <c r="Y1314" s="283">
        <f>Y754</f>
        <v>10</v>
      </c>
      <c r="Z1314" s="283">
        <f>Z754</f>
        <v>10</v>
      </c>
      <c r="AA1314" s="283"/>
      <c r="AB1314" s="283">
        <f>AB754</f>
        <v>10</v>
      </c>
      <c r="AC1314" s="283">
        <f>AC754</f>
        <v>10</v>
      </c>
      <c r="AD1314" s="283"/>
      <c r="AE1314" s="283">
        <f>AE754</f>
        <v>11</v>
      </c>
      <c r="AF1314" s="283">
        <f>AF754</f>
        <v>10</v>
      </c>
      <c r="AG1314" s="283"/>
      <c r="AH1314" s="283">
        <f>AH754</f>
        <v>13</v>
      </c>
      <c r="AI1314" s="283">
        <f>AI754</f>
        <v>13</v>
      </c>
      <c r="AJ1314" s="283"/>
      <c r="AK1314" s="283">
        <f>AK754</f>
        <v>1</v>
      </c>
      <c r="AL1314" s="283">
        <f>AL754</f>
        <v>1</v>
      </c>
      <c r="AM1314" s="283"/>
      <c r="AN1314" s="283">
        <f>AN754</f>
        <v>7</v>
      </c>
      <c r="AO1314" s="283">
        <f>AO754</f>
        <v>7</v>
      </c>
      <c r="AP1314" s="283"/>
      <c r="AQ1314" s="283">
        <f>AQ754</f>
        <v>23</v>
      </c>
      <c r="AR1314" s="283">
        <f>AR754</f>
        <v>24</v>
      </c>
      <c r="AS1314" s="283"/>
      <c r="AT1314" s="283">
        <f>AT754</f>
        <v>0</v>
      </c>
      <c r="AU1314" s="283">
        <f>AU754</f>
        <v>0</v>
      </c>
      <c r="AV1314" s="283"/>
      <c r="AW1314" s="283">
        <f>AW754</f>
        <v>0</v>
      </c>
      <c r="AX1314" s="283">
        <f>AX754</f>
        <v>0</v>
      </c>
      <c r="AY1314" s="283"/>
      <c r="AZ1314" s="283">
        <f>AZ754</f>
        <v>0</v>
      </c>
      <c r="BA1314" s="283">
        <f>BA754</f>
        <v>0</v>
      </c>
      <c r="BB1314" s="283"/>
      <c r="BC1314" s="283">
        <f>BC754</f>
        <v>0</v>
      </c>
      <c r="BD1314" s="283">
        <f>BD754</f>
        <v>0</v>
      </c>
      <c r="BE1314" s="283"/>
      <c r="BF1314" s="283">
        <f>BF754</f>
        <v>0</v>
      </c>
      <c r="BG1314" s="283">
        <f>BG754</f>
        <v>0</v>
      </c>
      <c r="BH1314" s="283"/>
      <c r="BI1314" s="283">
        <f>BI754</f>
        <v>0</v>
      </c>
      <c r="BJ1314" s="283">
        <f>BJ754</f>
        <v>0</v>
      </c>
      <c r="BK1314" s="283"/>
      <c r="BL1314" s="283">
        <f>BL754</f>
        <v>0</v>
      </c>
      <c r="BM1314" s="283">
        <f>BM754</f>
        <v>0</v>
      </c>
      <c r="BN1314" s="283"/>
      <c r="BO1314" s="283">
        <f>BO754</f>
        <v>0</v>
      </c>
      <c r="BP1314" s="283">
        <f>BP754</f>
        <v>0</v>
      </c>
      <c r="BQ1314" s="283"/>
      <c r="BR1314" s="283">
        <f>BR754</f>
        <v>0</v>
      </c>
      <c r="BS1314" s="283">
        <f>BS754</f>
        <v>0</v>
      </c>
      <c r="BT1314" s="283"/>
      <c r="BU1314" s="283">
        <f>BU754</f>
        <v>0</v>
      </c>
      <c r="BV1314" s="283">
        <f>BV754</f>
        <v>0</v>
      </c>
      <c r="BW1314" s="283"/>
      <c r="BX1314" s="283">
        <f>BX754</f>
        <v>0</v>
      </c>
      <c r="BY1314" s="283">
        <f>BY754</f>
        <v>0</v>
      </c>
      <c r="BZ1314" s="283"/>
      <c r="CA1314" s="283">
        <f>CA754</f>
        <v>0</v>
      </c>
      <c r="CB1314" s="283">
        <f>CB754</f>
        <v>0</v>
      </c>
      <c r="CC1314" s="283"/>
      <c r="CD1314" s="283">
        <f>CD754</f>
        <v>0</v>
      </c>
      <c r="CE1314" s="283">
        <f>CE754</f>
        <v>0</v>
      </c>
      <c r="CF1314" s="283"/>
      <c r="CG1314" s="283">
        <f>CG754</f>
        <v>4</v>
      </c>
      <c r="CH1314" s="283">
        <f>CH754</f>
        <v>4</v>
      </c>
      <c r="CI1314" s="283"/>
      <c r="CJ1314" s="283">
        <f>CJ754</f>
        <v>0</v>
      </c>
      <c r="CK1314" s="283">
        <f>CK754</f>
        <v>0</v>
      </c>
    </row>
    <row r="1315" spans="1:89" x14ac:dyDescent="0.25">
      <c r="A1315" s="95"/>
      <c r="B1315" s="261" t="s">
        <v>1184</v>
      </c>
      <c r="C1315" s="95"/>
      <c r="D1315" s="95"/>
      <c r="E1315" s="291"/>
      <c r="F1315" s="291"/>
      <c r="G1315" s="291"/>
      <c r="H1315" s="291">
        <f>H1316+H1317</f>
        <v>4</v>
      </c>
      <c r="I1315" s="291">
        <f>I1316+I1317</f>
        <v>4</v>
      </c>
      <c r="J1315" s="291">
        <f>J1316+J1317</f>
        <v>4</v>
      </c>
      <c r="K1315" s="291">
        <f>K1316+K1317</f>
        <v>4</v>
      </c>
      <c r="L1315" s="291">
        <f>L1316+L1317</f>
        <v>0</v>
      </c>
      <c r="M1315" s="291">
        <f t="shared" ref="M1315:N1315" si="1659">M1316+M1317</f>
        <v>0</v>
      </c>
      <c r="N1315" s="291">
        <f t="shared" si="1659"/>
        <v>0</v>
      </c>
      <c r="Q1315" s="291">
        <f>Q1316+Q1317</f>
        <v>4</v>
      </c>
      <c r="R1315" s="291">
        <f>R1316+R1317</f>
        <v>4</v>
      </c>
      <c r="S1315" s="291">
        <f>S1316+S1317</f>
        <v>0</v>
      </c>
      <c r="T1315" s="291">
        <f>T1316+T1317</f>
        <v>0</v>
      </c>
      <c r="V1315" s="291">
        <f>V1316+V1317</f>
        <v>0</v>
      </c>
      <c r="W1315" s="291">
        <f>W1316+W1317</f>
        <v>0</v>
      </c>
      <c r="Y1315" s="291">
        <f>Y1316+Y1317</f>
        <v>0</v>
      </c>
      <c r="Z1315" s="291">
        <f>Z1316+Z1317</f>
        <v>0</v>
      </c>
      <c r="AB1315" s="291">
        <f>AB1316+AB1317</f>
        <v>0</v>
      </c>
      <c r="AC1315" s="291">
        <f>AC1316+AC1317</f>
        <v>0</v>
      </c>
      <c r="AE1315" s="291">
        <f>AE1316+AE1317</f>
        <v>0</v>
      </c>
      <c r="AF1315" s="291">
        <f>AF1316+AF1317</f>
        <v>0</v>
      </c>
      <c r="AH1315" s="291">
        <f>AH1316+AH1317</f>
        <v>0</v>
      </c>
      <c r="AI1315" s="291">
        <f>AI1316+AI1317</f>
        <v>0</v>
      </c>
      <c r="AK1315" s="291">
        <f>AK1316+AK1317</f>
        <v>0</v>
      </c>
      <c r="AL1315" s="291">
        <f>AL1316+AL1317</f>
        <v>0</v>
      </c>
      <c r="AN1315" s="291">
        <f>AN1316+AN1317</f>
        <v>0</v>
      </c>
      <c r="AO1315" s="291">
        <f>AO1316+AO1317</f>
        <v>0</v>
      </c>
      <c r="AQ1315" s="291">
        <f>AQ1316+AQ1317</f>
        <v>0</v>
      </c>
      <c r="AR1315" s="291">
        <f>AR1316+AR1317</f>
        <v>0</v>
      </c>
      <c r="AT1315" s="291">
        <f>AT1316+AT1317</f>
        <v>0</v>
      </c>
      <c r="AU1315" s="291">
        <f>AU1316+AU1317</f>
        <v>0</v>
      </c>
      <c r="AW1315" s="291">
        <f>AW1316+AW1317</f>
        <v>0</v>
      </c>
      <c r="AX1315" s="291">
        <f>AX1316+AX1317</f>
        <v>0</v>
      </c>
      <c r="AZ1315" s="291">
        <f>AZ1316+AZ1317</f>
        <v>0</v>
      </c>
      <c r="BA1315" s="291">
        <f>BA1316+BA1317</f>
        <v>0</v>
      </c>
      <c r="BC1315" s="291">
        <f>BC1316+BC1317</f>
        <v>1</v>
      </c>
      <c r="BD1315" s="291">
        <f>BD1316+BD1317</f>
        <v>1</v>
      </c>
      <c r="BF1315" s="291">
        <f>BF1316+BF1317</f>
        <v>1</v>
      </c>
      <c r="BG1315" s="291">
        <f>BG1316+BG1317</f>
        <v>1</v>
      </c>
      <c r="BI1315" s="291">
        <f>BI1316+BI1317</f>
        <v>1</v>
      </c>
      <c r="BJ1315" s="291">
        <f>BJ1316+BJ1317</f>
        <v>1</v>
      </c>
      <c r="BL1315" s="291">
        <f>BL1316+BL1317</f>
        <v>0</v>
      </c>
      <c r="BM1315" s="291">
        <f>BM1316+BM1317</f>
        <v>0</v>
      </c>
      <c r="BO1315" s="291">
        <f>BO1316+BO1317</f>
        <v>0</v>
      </c>
      <c r="BP1315" s="291">
        <f>BP1316+BP1317</f>
        <v>0</v>
      </c>
      <c r="BR1315" s="291">
        <f>BR1316+BR1317</f>
        <v>0</v>
      </c>
      <c r="BS1315" s="291">
        <f>BS1316+BS1317</f>
        <v>0</v>
      </c>
      <c r="BU1315" s="291">
        <f>BU1316+BU1317</f>
        <v>0</v>
      </c>
      <c r="BV1315" s="291">
        <f>BV1316+BV1317</f>
        <v>0</v>
      </c>
      <c r="BX1315" s="291">
        <f>BX1316+BX1317</f>
        <v>0</v>
      </c>
      <c r="BY1315" s="291">
        <f>BY1316+BY1317</f>
        <v>0</v>
      </c>
      <c r="CA1315" s="291">
        <f>CA1316+CA1317</f>
        <v>0</v>
      </c>
      <c r="CB1315" s="291">
        <f>CB1316+CB1317</f>
        <v>0</v>
      </c>
      <c r="CD1315" s="291">
        <f>CD1316+CD1317</f>
        <v>1</v>
      </c>
      <c r="CE1315" s="291">
        <f>CE1316+CE1317</f>
        <v>1</v>
      </c>
      <c r="CG1315" s="291">
        <f>CG1316+CG1317</f>
        <v>0</v>
      </c>
      <c r="CH1315" s="291">
        <f>CH1316+CH1317</f>
        <v>0</v>
      </c>
      <c r="CJ1315" s="291">
        <f>CJ1316+CJ1317</f>
        <v>0</v>
      </c>
      <c r="CK1315" s="291">
        <f>CK1316+CK1317</f>
        <v>0</v>
      </c>
    </row>
    <row r="1316" spans="1:89" ht="30" x14ac:dyDescent="0.25">
      <c r="A1316" s="95"/>
      <c r="B1316" s="263"/>
      <c r="C1316" s="263" t="s">
        <v>2753</v>
      </c>
      <c r="D1316" s="95" t="s">
        <v>1112</v>
      </c>
      <c r="E1316" s="291"/>
      <c r="F1316" s="291"/>
      <c r="G1316" s="291"/>
      <c r="H1316" s="291">
        <v>4</v>
      </c>
      <c r="I1316" s="291">
        <v>4</v>
      </c>
      <c r="J1316" s="291">
        <f t="shared" ref="J1316:M1317" si="1660">J762</f>
        <v>4</v>
      </c>
      <c r="K1316" s="291">
        <f t="shared" si="1660"/>
        <v>4</v>
      </c>
      <c r="L1316" s="291">
        <f t="shared" si="1660"/>
        <v>0</v>
      </c>
      <c r="M1316" s="291">
        <f t="shared" si="1660"/>
        <v>0</v>
      </c>
      <c r="N1316" s="291">
        <f t="shared" ref="N1316" si="1661">N762</f>
        <v>0</v>
      </c>
      <c r="Q1316" s="283">
        <f>S1316+V1316+Y1316+AB1316+AE1316+AH1316+AK1316+AN1316+AQ1316+AT1316+AW1316+AZ1316+BC1316+BF1316+BI1316+BL1316+BO1316+BR1316+BU1316+BX1316+CA1316+CD1316+CG1316+CJ1316</f>
        <v>4</v>
      </c>
      <c r="R1316" s="283">
        <f>T1316+W1316+Z1316+AC1316+AF1316+AI1316+AL1316+AO1316+AR1316+AU1316+AX1316+BA1316+BD1316+BG1316+BJ1316+BM1316+BP1316+BS1316+BV1316+BY1316+CB1316+CE1316+CH1316+CK1316</f>
        <v>4</v>
      </c>
      <c r="S1316" s="267">
        <f>S762</f>
        <v>0</v>
      </c>
      <c r="T1316" s="267">
        <f>T762</f>
        <v>0</v>
      </c>
      <c r="V1316" s="267">
        <f>V762</f>
        <v>0</v>
      </c>
      <c r="W1316" s="267">
        <f>W762</f>
        <v>0</v>
      </c>
      <c r="Y1316" s="267">
        <f>Y762</f>
        <v>0</v>
      </c>
      <c r="Z1316" s="267">
        <f>Z762</f>
        <v>0</v>
      </c>
      <c r="AB1316" s="267">
        <f>AB762</f>
        <v>0</v>
      </c>
      <c r="AC1316" s="267">
        <f>AC762</f>
        <v>0</v>
      </c>
      <c r="AE1316" s="267">
        <f>AE762</f>
        <v>0</v>
      </c>
      <c r="AF1316" s="267">
        <f>AF762</f>
        <v>0</v>
      </c>
      <c r="AH1316" s="267">
        <f>AH762</f>
        <v>0</v>
      </c>
      <c r="AI1316" s="267">
        <f>AI762</f>
        <v>0</v>
      </c>
      <c r="AK1316" s="267">
        <f>AK762</f>
        <v>0</v>
      </c>
      <c r="AL1316" s="267">
        <f>AL762</f>
        <v>0</v>
      </c>
      <c r="AN1316" s="267">
        <f>AN762</f>
        <v>0</v>
      </c>
      <c r="AO1316" s="267">
        <f>AO762</f>
        <v>0</v>
      </c>
      <c r="AQ1316" s="267">
        <f>AQ762</f>
        <v>0</v>
      </c>
      <c r="AR1316" s="267">
        <f>AR762</f>
        <v>0</v>
      </c>
      <c r="AT1316" s="267">
        <f>AT762</f>
        <v>0</v>
      </c>
      <c r="AU1316" s="267">
        <f>AU762</f>
        <v>0</v>
      </c>
      <c r="AW1316" s="267">
        <f>AW762</f>
        <v>0</v>
      </c>
      <c r="AX1316" s="267">
        <f>AX762</f>
        <v>0</v>
      </c>
      <c r="AZ1316" s="267">
        <f>AZ762</f>
        <v>0</v>
      </c>
      <c r="BA1316" s="267">
        <f>BA762</f>
        <v>0</v>
      </c>
      <c r="BC1316" s="267">
        <f>BC762</f>
        <v>1</v>
      </c>
      <c r="BD1316" s="267">
        <f>BD762</f>
        <v>1</v>
      </c>
      <c r="BF1316" s="267">
        <f>BF762</f>
        <v>1</v>
      </c>
      <c r="BG1316" s="267">
        <f>BG762</f>
        <v>1</v>
      </c>
      <c r="BI1316" s="267">
        <f>BI762</f>
        <v>1</v>
      </c>
      <c r="BJ1316" s="267">
        <f>BJ762</f>
        <v>1</v>
      </c>
      <c r="BL1316" s="267">
        <f>BL762</f>
        <v>0</v>
      </c>
      <c r="BM1316" s="267">
        <f>BM762</f>
        <v>0</v>
      </c>
      <c r="BO1316" s="267">
        <f>BO762</f>
        <v>0</v>
      </c>
      <c r="BP1316" s="267">
        <f>BP762</f>
        <v>0</v>
      </c>
      <c r="BR1316" s="267">
        <f>BR762</f>
        <v>0</v>
      </c>
      <c r="BS1316" s="267">
        <f>BS762</f>
        <v>0</v>
      </c>
      <c r="BU1316" s="267">
        <f>BU762</f>
        <v>0</v>
      </c>
      <c r="BV1316" s="267">
        <f>BV762</f>
        <v>0</v>
      </c>
      <c r="BX1316" s="267">
        <f>BX762</f>
        <v>0</v>
      </c>
      <c r="BY1316" s="267">
        <f>BY762</f>
        <v>0</v>
      </c>
      <c r="CA1316" s="267">
        <f>CA762</f>
        <v>0</v>
      </c>
      <c r="CB1316" s="267">
        <f>CB762</f>
        <v>0</v>
      </c>
      <c r="CD1316" s="267">
        <f>CD762</f>
        <v>1</v>
      </c>
      <c r="CE1316" s="267">
        <f>CE762</f>
        <v>1</v>
      </c>
      <c r="CG1316" s="267">
        <f>CG762</f>
        <v>0</v>
      </c>
      <c r="CH1316" s="267">
        <f>CH762</f>
        <v>0</v>
      </c>
      <c r="CJ1316" s="267">
        <f>CJ762</f>
        <v>0</v>
      </c>
      <c r="CK1316" s="267">
        <f>CK762</f>
        <v>0</v>
      </c>
    </row>
    <row r="1317" spans="1:89" ht="30" x14ac:dyDescent="0.25">
      <c r="A1317" s="95"/>
      <c r="B1317" s="263"/>
      <c r="C1317" s="263" t="s">
        <v>2753</v>
      </c>
      <c r="D1317" s="95" t="s">
        <v>1112</v>
      </c>
      <c r="E1317" s="291"/>
      <c r="F1317" s="291"/>
      <c r="G1317" s="291"/>
      <c r="H1317" s="291">
        <v>0</v>
      </c>
      <c r="I1317" s="291">
        <v>0</v>
      </c>
      <c r="J1317" s="291">
        <f t="shared" si="1660"/>
        <v>0</v>
      </c>
      <c r="K1317" s="291">
        <f t="shared" si="1660"/>
        <v>0</v>
      </c>
      <c r="L1317" s="291">
        <f t="shared" si="1660"/>
        <v>0</v>
      </c>
      <c r="M1317" s="291">
        <f t="shared" si="1660"/>
        <v>0</v>
      </c>
      <c r="N1317" s="291">
        <f t="shared" ref="N1317" si="1662">N763</f>
        <v>0</v>
      </c>
      <c r="Q1317" s="283">
        <f>S1317+V1317+Y1317+AB1317+AE1317+AH1317+AK1317+AN1317+AQ1317+AT1317+AW1317+AZ1317+BC1317+BF1317+BI1317+BL1317+BO1317+BR1317+BU1317+BX1317+CA1317+CD1317+CG1317+CJ1317</f>
        <v>0</v>
      </c>
      <c r="R1317" s="283">
        <f>T1317+W1317+Z1317+AC1317+AF1317+AI1317+AL1317+AO1317+AR1317+AU1317+AX1317+BA1317+BD1317+BG1317+BJ1317+BM1317+BP1317+BS1317+BV1317+BY1317+CB1317+CE1317+CH1317+CK1317</f>
        <v>0</v>
      </c>
      <c r="S1317" s="267">
        <f>S763</f>
        <v>0</v>
      </c>
      <c r="T1317" s="267">
        <f>T763</f>
        <v>0</v>
      </c>
      <c r="V1317" s="267">
        <f>V763</f>
        <v>0</v>
      </c>
      <c r="W1317" s="267">
        <f>W763</f>
        <v>0</v>
      </c>
      <c r="Y1317" s="267">
        <f>Y763</f>
        <v>0</v>
      </c>
      <c r="Z1317" s="267">
        <f>Z763</f>
        <v>0</v>
      </c>
      <c r="AB1317" s="267">
        <f>AB763</f>
        <v>0</v>
      </c>
      <c r="AC1317" s="267">
        <f>AC763</f>
        <v>0</v>
      </c>
      <c r="AE1317" s="267">
        <f>AE763</f>
        <v>0</v>
      </c>
      <c r="AF1317" s="267">
        <f>AF763</f>
        <v>0</v>
      </c>
      <c r="AH1317" s="267">
        <f>AH763</f>
        <v>0</v>
      </c>
      <c r="AI1317" s="267">
        <f>AI763</f>
        <v>0</v>
      </c>
      <c r="AK1317" s="267">
        <f>AK763</f>
        <v>0</v>
      </c>
      <c r="AL1317" s="267">
        <f>AL763</f>
        <v>0</v>
      </c>
      <c r="AN1317" s="267">
        <f>AN763</f>
        <v>0</v>
      </c>
      <c r="AO1317" s="267">
        <f>AO763</f>
        <v>0</v>
      </c>
      <c r="AQ1317" s="267">
        <f>AQ763</f>
        <v>0</v>
      </c>
      <c r="AR1317" s="267">
        <f>AR763</f>
        <v>0</v>
      </c>
      <c r="AT1317" s="267">
        <f>AT763</f>
        <v>0</v>
      </c>
      <c r="AU1317" s="267">
        <f>AU763</f>
        <v>0</v>
      </c>
      <c r="AW1317" s="267">
        <f>AW763</f>
        <v>0</v>
      </c>
      <c r="AX1317" s="267">
        <f>AX763</f>
        <v>0</v>
      </c>
      <c r="AZ1317" s="267">
        <f>AZ763</f>
        <v>0</v>
      </c>
      <c r="BA1317" s="267">
        <f>BA763</f>
        <v>0</v>
      </c>
      <c r="BC1317" s="267">
        <f>BC763</f>
        <v>0</v>
      </c>
      <c r="BD1317" s="267">
        <f>BD763</f>
        <v>0</v>
      </c>
      <c r="BF1317" s="267">
        <f>BF763</f>
        <v>0</v>
      </c>
      <c r="BG1317" s="267">
        <f>BG763</f>
        <v>0</v>
      </c>
      <c r="BI1317" s="267">
        <f>BI763</f>
        <v>0</v>
      </c>
      <c r="BJ1317" s="267">
        <f>BJ763</f>
        <v>0</v>
      </c>
      <c r="BL1317" s="267">
        <f>BL763</f>
        <v>0</v>
      </c>
      <c r="BM1317" s="267">
        <f>BM763</f>
        <v>0</v>
      </c>
      <c r="BO1317" s="267">
        <f>BO763</f>
        <v>0</v>
      </c>
      <c r="BP1317" s="267">
        <f>BP763</f>
        <v>0</v>
      </c>
      <c r="BR1317" s="267">
        <f>BR763</f>
        <v>0</v>
      </c>
      <c r="BS1317" s="267">
        <f>BS763</f>
        <v>0</v>
      </c>
      <c r="BU1317" s="267">
        <f>BU763</f>
        <v>0</v>
      </c>
      <c r="BV1317" s="267">
        <f>BV763</f>
        <v>0</v>
      </c>
      <c r="BX1317" s="267">
        <f>BX763</f>
        <v>0</v>
      </c>
      <c r="BY1317" s="267">
        <f>BY763</f>
        <v>0</v>
      </c>
      <c r="CA1317" s="267">
        <f>CA763</f>
        <v>0</v>
      </c>
      <c r="CB1317" s="267">
        <f>CB763</f>
        <v>0</v>
      </c>
      <c r="CD1317" s="267">
        <f>CD763</f>
        <v>0</v>
      </c>
      <c r="CE1317" s="267">
        <f>CE763</f>
        <v>0</v>
      </c>
      <c r="CG1317" s="267">
        <f>CG763</f>
        <v>0</v>
      </c>
      <c r="CH1317" s="267">
        <f>CH763</f>
        <v>0</v>
      </c>
      <c r="CJ1317" s="267">
        <f>CJ763</f>
        <v>0</v>
      </c>
      <c r="CK1317" s="267">
        <f>CK763</f>
        <v>0</v>
      </c>
    </row>
    <row r="1318" spans="1:89" ht="75" x14ac:dyDescent="0.25">
      <c r="A1318" s="95" t="s">
        <v>242</v>
      </c>
      <c r="B1318" s="96" t="s">
        <v>1714</v>
      </c>
      <c r="C1318" s="95"/>
      <c r="D1318" s="95"/>
      <c r="E1318" s="280"/>
      <c r="F1318" s="280"/>
      <c r="G1318" s="280"/>
      <c r="H1318" s="280"/>
      <c r="I1318" s="280"/>
      <c r="J1318" s="280"/>
      <c r="K1318" s="280"/>
      <c r="L1318" s="280"/>
      <c r="M1318" s="280"/>
      <c r="N1318" s="280"/>
      <c r="O1318" s="281" t="s">
        <v>140</v>
      </c>
    </row>
    <row r="1319" spans="1:89" x14ac:dyDescent="0.25">
      <c r="A1319" s="263"/>
      <c r="B1319" s="96" t="s">
        <v>1182</v>
      </c>
      <c r="C1319" s="95"/>
      <c r="D1319" s="95" t="s">
        <v>8</v>
      </c>
      <c r="E1319" s="279">
        <f>(E1325+E1326+E1329)/(E1336+E1340+E1337)*100</f>
        <v>95.043731778425652</v>
      </c>
      <c r="F1319" s="279">
        <f>(F1325+F1326+F1329)/(F1336+F1340+F1337)*100</f>
        <v>95.575221238938056</v>
      </c>
      <c r="G1319" s="279">
        <f>(G1325+G1326+G1329)/(G1336+G1340+G1337)*100</f>
        <v>96.060606060606062</v>
      </c>
      <c r="H1319" s="279">
        <f>((H1325+H1326+H1329)/(H1336+H1337+H1340))*100</f>
        <v>98.447204968944106</v>
      </c>
      <c r="I1319" s="279">
        <f>((I1325+I1326+I1329)/(I1336+I1337+I1340))*100</f>
        <v>98.742138364779876</v>
      </c>
      <c r="J1319" s="279">
        <f>((J1325+J1326+J1329)/(J1336+J1337+J1340))*100</f>
        <v>99.032258064516128</v>
      </c>
      <c r="K1319" s="279">
        <f>((K1325+K1326+K1329)/(K1336+K1337+K1340))*100</f>
        <v>99.348534201954394</v>
      </c>
      <c r="L1319" s="279" t="e">
        <f>((L1325+L1326+L1329)/(L1336+L1337+L1340))*100</f>
        <v>#DIV/0!</v>
      </c>
      <c r="M1319" s="279" t="e">
        <f t="shared" ref="M1319:N1319" si="1663">((M1325+M1326+M1329)/(M1336+M1337+M1340))*100</f>
        <v>#DIV/0!</v>
      </c>
      <c r="N1319" s="279" t="e">
        <f t="shared" si="1663"/>
        <v>#DIV/0!</v>
      </c>
      <c r="Q1319" s="279">
        <f>((Q1325+Q1326+Q1329)/(Q1336+Q1337+Q1340))*100</f>
        <v>99.348534201954394</v>
      </c>
      <c r="R1319" s="279">
        <f>((R1325+R1326+R1329)/(R1336+R1337+R1340))*100</f>
        <v>99.35275080906149</v>
      </c>
      <c r="S1319" s="279">
        <f>((S1325+S1326+S1329)/(S1336+S1337+S1340))*100</f>
        <v>100</v>
      </c>
      <c r="T1319" s="279">
        <f>((T1325+T1326+T1329)/(T1336+T1337+T1340))*100</f>
        <v>100</v>
      </c>
      <c r="V1319" s="279">
        <f>((V1325+V1326+V1329)/(V1336+V1337+V1340))*100</f>
        <v>100</v>
      </c>
      <c r="W1319" s="279">
        <f>((W1325+W1326+W1329)/(W1336+W1337+W1340))*100</f>
        <v>100</v>
      </c>
      <c r="Y1319" s="279">
        <f>((Y1325+Y1326+Y1329)/(Y1336+Y1337+Y1340))*100</f>
        <v>100</v>
      </c>
      <c r="Z1319" s="279">
        <f>((Z1325+Z1326+Z1329)/(Z1336+Z1337+Z1340))*100</f>
        <v>100</v>
      </c>
      <c r="AB1319" s="279">
        <f>((AB1325+AB1326+AB1329)/(AB1336+AB1337+AB1340))*100</f>
        <v>100</v>
      </c>
      <c r="AC1319" s="279">
        <f>((AC1325+AC1326+AC1329)/(AC1336+AC1337+AC1340))*100</f>
        <v>100</v>
      </c>
      <c r="AE1319" s="279">
        <f>((AE1325+AE1326+AE1329)/(AE1336+AE1337+AE1340))*100</f>
        <v>100</v>
      </c>
      <c r="AF1319" s="279">
        <f>((AF1325+AF1326+AF1329)/(AF1336+AF1337+AF1340))*100</f>
        <v>100</v>
      </c>
      <c r="AH1319" s="279">
        <f>((AH1325+AH1326+AH1329)/(AH1336+AH1337+AH1340))*100</f>
        <v>100</v>
      </c>
      <c r="AI1319" s="279">
        <f>((AI1325+AI1326+AI1329)/(AI1336+AI1337+AI1340))*100</f>
        <v>100</v>
      </c>
      <c r="AK1319" s="279">
        <f>((AK1325+AK1326+AK1329)/(AK1336+AK1337+AK1340))*100</f>
        <v>100</v>
      </c>
      <c r="AL1319" s="279">
        <f>((AL1325+AL1326+AL1329)/(AL1336+AL1337+AL1340))*100</f>
        <v>100</v>
      </c>
      <c r="AN1319" s="279">
        <f>((AN1325+AN1326+AN1329)/(AN1336+AN1337+AN1340))*100</f>
        <v>100</v>
      </c>
      <c r="AO1319" s="279">
        <f>((AO1325+AO1326+AO1329)/(AO1336+AO1337+AO1340))*100</f>
        <v>100</v>
      </c>
      <c r="AQ1319" s="279">
        <f>((AQ1325+AQ1326+AQ1329)/(AQ1336+AQ1337+AQ1340))*100</f>
        <v>95.652173913043484</v>
      </c>
      <c r="AR1319" s="279">
        <f>((AR1325+AR1326+AR1329)/(AR1336+AR1337+AR1340))*100</f>
        <v>95.833333333333343</v>
      </c>
      <c r="AT1319" s="279">
        <f>((AT1325+AT1326+AT1329)/(AT1336+AT1337+AT1340))*100</f>
        <v>100</v>
      </c>
      <c r="AU1319" s="279">
        <f>((AU1325+AU1326+AU1329)/(AU1336+AU1337+AU1340))*100</f>
        <v>100</v>
      </c>
      <c r="AW1319" s="279">
        <f>((AW1325+AW1326+AW1329)/(AW1336+AW1337+AW1340))*100</f>
        <v>100</v>
      </c>
      <c r="AX1319" s="279">
        <f>((AX1325+AX1326+AX1329)/(AX1336+AX1337+AX1340))*100</f>
        <v>100</v>
      </c>
      <c r="AZ1319" s="279">
        <f>((AZ1325+AZ1326+AZ1329)/(AZ1336+AZ1337+AZ1340))*100</f>
        <v>100</v>
      </c>
      <c r="BA1319" s="279">
        <f>((BA1325+BA1326+BA1329)/(BA1336+BA1337+BA1340))*100</f>
        <v>100</v>
      </c>
      <c r="BC1319" s="279">
        <f>((BC1325+BC1326+BC1329)/(BC1336+BC1337+BC1340))*100</f>
        <v>100</v>
      </c>
      <c r="BD1319" s="279">
        <f>((BD1325+BD1326+BD1329)/(BD1336+BD1337+BD1340))*100</f>
        <v>100</v>
      </c>
      <c r="BF1319" s="279">
        <f>((BF1325+BF1326+BF1329)/(BF1336+BF1337+BF1340))*100</f>
        <v>100</v>
      </c>
      <c r="BG1319" s="279">
        <f>((BG1325+BG1326+BG1329)/(BG1336+BG1337+BG1340))*100</f>
        <v>100</v>
      </c>
      <c r="BI1319" s="279">
        <f>((BI1325+BI1326+BI1329)/(BI1336+BI1337+BI1340))*100</f>
        <v>100</v>
      </c>
      <c r="BJ1319" s="279">
        <f>((BJ1325+BJ1326+BJ1329)/(BJ1336+BJ1337+BJ1340))*100</f>
        <v>100</v>
      </c>
      <c r="BL1319" s="279">
        <f>((BL1325+BL1326+BL1329)/(BL1336+BL1337+BL1340))*100</f>
        <v>100</v>
      </c>
      <c r="BM1319" s="279">
        <f>((BM1325+BM1326+BM1329)/(BM1336+BM1337+BM1340))*100</f>
        <v>100</v>
      </c>
      <c r="BO1319" s="279">
        <f>((BO1325+BO1326+BO1329)/(BO1336+BO1337+BO1340))*100</f>
        <v>100</v>
      </c>
      <c r="BP1319" s="279">
        <f>((BP1325+BP1326+BP1329)/(BP1336+BP1337+BP1340))*100</f>
        <v>100</v>
      </c>
      <c r="BR1319" s="279">
        <f>((BR1325+BR1326+BR1329)/(BR1336+BR1337+BR1340))*100</f>
        <v>100</v>
      </c>
      <c r="BS1319" s="279">
        <f>((BS1325+BS1326+BS1329)/(BS1336+BS1337+BS1340))*100</f>
        <v>100</v>
      </c>
      <c r="BU1319" s="279">
        <f>((BU1325+BU1326+BU1329)/(BU1336+BU1337+BU1340))*100</f>
        <v>100</v>
      </c>
      <c r="BV1319" s="279">
        <f>((BV1325+BV1326+BV1329)/(BV1336+BV1337+BV1340))*100</f>
        <v>100</v>
      </c>
      <c r="BX1319" s="279">
        <f>((BX1325+BX1326+BX1329)/(BX1336+BX1337+BX1340))*100</f>
        <v>100</v>
      </c>
      <c r="BY1319" s="279">
        <f>((BY1325+BY1326+BY1329)/(BY1336+BY1337+BY1340))*100</f>
        <v>100</v>
      </c>
      <c r="CA1319" s="279">
        <f>((CA1325+CA1326+CA1329)/(CA1336+CA1337+CA1340))*100</f>
        <v>100</v>
      </c>
      <c r="CB1319" s="279">
        <f>((CB1325+CB1326+CB1329)/(CB1336+CB1337+CB1340))*100</f>
        <v>100</v>
      </c>
      <c r="CD1319" s="279">
        <f>((CD1325+CD1326+CD1329)/(CD1336+CD1337+CD1340))*100</f>
        <v>100</v>
      </c>
      <c r="CE1319" s="279">
        <f>((CE1325+CE1326+CE1329)/(CE1336+CE1337+CE1340))*100</f>
        <v>100</v>
      </c>
      <c r="CG1319" s="279">
        <f>((CG1325+CG1326+CG1329)/(CG1336+CG1337+CG1340))*100</f>
        <v>95.454545454545453</v>
      </c>
      <c r="CH1319" s="279">
        <f>((CH1325+CH1326+CH1329)/(CH1336+CH1337+CH1340))*100</f>
        <v>95.454545454545453</v>
      </c>
      <c r="CJ1319" s="279" t="e">
        <f>((CJ1325+CJ1326+CJ1329)/(CJ1336+CJ1337+CJ1340))*100</f>
        <v>#DIV/0!</v>
      </c>
      <c r="CK1319" s="279" t="e">
        <f>((CK1325+CK1326+CK1329)/(CK1336+CK1337+CK1340))*100</f>
        <v>#DIV/0!</v>
      </c>
    </row>
    <row r="1320" spans="1:89" x14ac:dyDescent="0.25">
      <c r="A1320" s="263"/>
      <c r="B1320" s="96" t="s">
        <v>1183</v>
      </c>
      <c r="C1320" s="95"/>
      <c r="D1320" s="95"/>
      <c r="E1320" s="279"/>
      <c r="F1320" s="279"/>
      <c r="G1320" s="279"/>
      <c r="H1320" s="279">
        <f>((H1325+H1329)/(H1336+H1340))*100</f>
        <v>98.198198198198199</v>
      </c>
      <c r="I1320" s="279">
        <f>((I1325+I1329)/(I1336+I1340))*100</f>
        <v>98.636363636363626</v>
      </c>
      <c r="J1320" s="279">
        <f>((J1325+J1329)/(J1336+J1340))*100</f>
        <v>99.069767441860463</v>
      </c>
      <c r="K1320" s="279">
        <f>((K1325+K1329)/(K1336+K1340))*100</f>
        <v>99.53051643192488</v>
      </c>
      <c r="L1320" s="279" t="e">
        <f>((L1325+L1329)/(L1336+L1340))*100</f>
        <v>#DIV/0!</v>
      </c>
      <c r="M1320" s="279" t="e">
        <f t="shared" ref="M1320:N1320" si="1664">((M1325+M1329)/(M1336+M1340))*100</f>
        <v>#DIV/0!</v>
      </c>
      <c r="N1320" s="279" t="e">
        <f t="shared" si="1664"/>
        <v>#DIV/0!</v>
      </c>
      <c r="Q1320" s="279">
        <f>((Q1325+Q1329)/(Q1336+Q1340))*100</f>
        <v>99.53051643192488</v>
      </c>
      <c r="R1320" s="279">
        <f>((R1325+R1329)/(R1336+R1340))*100</f>
        <v>99.534883720930239</v>
      </c>
      <c r="S1320" s="279">
        <f>((S1325+S1329)/(S1336+S1340))*100</f>
        <v>100</v>
      </c>
      <c r="T1320" s="279">
        <f>((T1325+T1329)/(T1336+T1340))*100</f>
        <v>100</v>
      </c>
      <c r="V1320" s="279">
        <f>((V1325+V1329)/(V1336+V1340))*100</f>
        <v>100</v>
      </c>
      <c r="W1320" s="279">
        <f>((W1325+W1329)/(W1336+W1340))*100</f>
        <v>100</v>
      </c>
      <c r="Y1320" s="279">
        <f>((Y1325+Y1329)/(Y1336+Y1340))*100</f>
        <v>100</v>
      </c>
      <c r="Z1320" s="279">
        <f>((Z1325+Z1329)/(Z1336+Z1340))*100</f>
        <v>100</v>
      </c>
      <c r="AB1320" s="279">
        <f>((AB1325+AB1329)/(AB1336+AB1340))*100</f>
        <v>100</v>
      </c>
      <c r="AC1320" s="279">
        <f>((AC1325+AC1329)/(AC1336+AC1340))*100</f>
        <v>100</v>
      </c>
      <c r="AE1320" s="279">
        <f>((AE1325+AE1329)/(AE1336+AE1340))*100</f>
        <v>100</v>
      </c>
      <c r="AF1320" s="279">
        <f>((AF1325+AF1329)/(AF1336+AF1340))*100</f>
        <v>100</v>
      </c>
      <c r="AH1320" s="279">
        <f>((AH1325+AH1329)/(AH1336+AH1340))*100</f>
        <v>100</v>
      </c>
      <c r="AI1320" s="279">
        <f>((AI1325+AI1329)/(AI1336+AI1340))*100</f>
        <v>100</v>
      </c>
      <c r="AK1320" s="279">
        <f>((AK1325+AK1329)/(AK1336+AK1340))*100</f>
        <v>100</v>
      </c>
      <c r="AL1320" s="279">
        <f>((AL1325+AL1329)/(AL1336+AL1340))*100</f>
        <v>100</v>
      </c>
      <c r="AN1320" s="279">
        <f>((AN1325+AN1329)/(AN1336+AN1340))*100</f>
        <v>100</v>
      </c>
      <c r="AO1320" s="279">
        <f>((AO1325+AO1329)/(AO1336+AO1340))*100</f>
        <v>100</v>
      </c>
      <c r="AQ1320" s="279" t="e">
        <f>((AQ1325+AQ1329)/(AQ1336+AQ1340))*100</f>
        <v>#DIV/0!</v>
      </c>
      <c r="AR1320" s="279" t="e">
        <f>((AR1325+AR1329)/(AR1336+AR1340))*100</f>
        <v>#DIV/0!</v>
      </c>
      <c r="AT1320" s="279">
        <f>((AT1325+AT1329)/(AT1336+AT1340))*100</f>
        <v>100</v>
      </c>
      <c r="AU1320" s="279">
        <f>((AU1325+AU1329)/(AU1336+AU1340))*100</f>
        <v>100</v>
      </c>
      <c r="AW1320" s="279">
        <f>((AW1325+AW1329)/(AW1336+AW1340))*100</f>
        <v>100</v>
      </c>
      <c r="AX1320" s="279">
        <f>((AX1325+AX1329)/(AX1336+AX1340))*100</f>
        <v>100</v>
      </c>
      <c r="AZ1320" s="279">
        <f>((AZ1325+AZ1329)/(AZ1336+AZ1340))*100</f>
        <v>100</v>
      </c>
      <c r="BA1320" s="279">
        <f>((BA1325+BA1329)/(BA1336+BA1340))*100</f>
        <v>100</v>
      </c>
      <c r="BC1320" s="279">
        <f>((BC1325+BC1329)/(BC1336+BC1340))*100</f>
        <v>100</v>
      </c>
      <c r="BD1320" s="279">
        <f>((BD1325+BD1329)/(BD1336+BD1340))*100</f>
        <v>100</v>
      </c>
      <c r="BF1320" s="279">
        <f>((BF1325+BF1329)/(BF1336+BF1340))*100</f>
        <v>100</v>
      </c>
      <c r="BG1320" s="279">
        <f>((BG1325+BG1329)/(BG1336+BG1340))*100</f>
        <v>100</v>
      </c>
      <c r="BI1320" s="279">
        <f>((BI1325+BI1329)/(BI1336+BI1340))*100</f>
        <v>100</v>
      </c>
      <c r="BJ1320" s="279">
        <f>((BJ1325+BJ1329)/(BJ1336+BJ1340))*100</f>
        <v>100</v>
      </c>
      <c r="BL1320" s="279">
        <f>((BL1325+BL1329)/(BL1336+BL1340))*100</f>
        <v>100</v>
      </c>
      <c r="BM1320" s="279">
        <f>((BM1325+BM1329)/(BM1336+BM1340))*100</f>
        <v>100</v>
      </c>
      <c r="BO1320" s="279">
        <f>((BO1325+BO1329)/(BO1336+BO1340))*100</f>
        <v>100</v>
      </c>
      <c r="BP1320" s="279">
        <f>((BP1325+BP1329)/(BP1336+BP1340))*100</f>
        <v>100</v>
      </c>
      <c r="BR1320" s="279">
        <f>((BR1325+BR1329)/(BR1336+BR1340))*100</f>
        <v>100</v>
      </c>
      <c r="BS1320" s="279">
        <f>((BS1325+BS1329)/(BS1336+BS1340))*100</f>
        <v>100</v>
      </c>
      <c r="BU1320" s="279">
        <f>((BU1325+BU1329)/(BU1336+BU1340))*100</f>
        <v>100</v>
      </c>
      <c r="BV1320" s="279">
        <f>((BV1325+BV1329)/(BV1336+BV1340))*100</f>
        <v>100</v>
      </c>
      <c r="BX1320" s="279">
        <f>((BX1325+BX1329)/(BX1336+BX1340))*100</f>
        <v>100</v>
      </c>
      <c r="BY1320" s="279">
        <f>((BY1325+BY1329)/(BY1336+BY1340))*100</f>
        <v>100</v>
      </c>
      <c r="CA1320" s="279">
        <f>((CA1325+CA1329)/(CA1336+CA1340))*100</f>
        <v>100</v>
      </c>
      <c r="CB1320" s="279">
        <f>((CB1325+CB1329)/(CB1336+CB1340))*100</f>
        <v>100</v>
      </c>
      <c r="CD1320" s="279">
        <f>((CD1325+CD1329)/(CD1336+CD1340))*100</f>
        <v>100</v>
      </c>
      <c r="CE1320" s="279">
        <f>((CE1325+CE1329)/(CE1336+CE1340))*100</f>
        <v>100</v>
      </c>
      <c r="CG1320" s="279">
        <f>((CG1325+CG1329)/(CG1336+CG1340))*100</f>
        <v>94.444444444444443</v>
      </c>
      <c r="CH1320" s="279">
        <f>((CH1325+CH1329)/(CH1336+CH1340))*100</f>
        <v>94.444444444444443</v>
      </c>
      <c r="CJ1320" s="279" t="e">
        <f>((CJ1325+CJ1329)/(CJ1336+CJ1340))*100</f>
        <v>#DIV/0!</v>
      </c>
      <c r="CK1320" s="279" t="e">
        <f>((CK1325+CK1329)/(CK1336+CK1340))*100</f>
        <v>#DIV/0!</v>
      </c>
    </row>
    <row r="1321" spans="1:89" x14ac:dyDescent="0.25">
      <c r="A1321" s="263"/>
      <c r="B1321" s="16" t="s">
        <v>1185</v>
      </c>
      <c r="C1321" s="95"/>
      <c r="D1321" s="95"/>
      <c r="E1321" s="279"/>
      <c r="F1321" s="279"/>
      <c r="G1321" s="279"/>
      <c r="H1321" s="279">
        <f>((H1326+H1329)/(H1337+H1340))*100</f>
        <v>99</v>
      </c>
      <c r="I1321" s="279">
        <f>((I1326+I1329)/(I1337+I1340))*100</f>
        <v>98.979591836734699</v>
      </c>
      <c r="J1321" s="279">
        <f>((J1326+J1329)/(J1337+J1340))*100</f>
        <v>98.94736842105263</v>
      </c>
      <c r="K1321" s="279">
        <f>((K1326+K1329)/(K1337+K1340))*100</f>
        <v>98.936170212765958</v>
      </c>
      <c r="L1321" s="279" t="e">
        <f>((L1326+L1329)/(L1337+L1340))*100</f>
        <v>#DIV/0!</v>
      </c>
      <c r="M1321" s="279" t="e">
        <f t="shared" ref="M1321:N1321" si="1665">((M1326+M1329)/(M1337+M1340))*100</f>
        <v>#DIV/0!</v>
      </c>
      <c r="N1321" s="279" t="e">
        <f t="shared" si="1665"/>
        <v>#DIV/0!</v>
      </c>
      <c r="Q1321" s="279">
        <f>((Q1326+Q1329)/(Q1337+Q1340))*100</f>
        <v>98.936170212765958</v>
      </c>
      <c r="R1321" s="279">
        <f>((R1326+R1329)/(R1337+R1340))*100</f>
        <v>98.936170212765958</v>
      </c>
      <c r="S1321" s="279">
        <f>((S1326+S1329)/(S1337+S1340))*100</f>
        <v>100</v>
      </c>
      <c r="T1321" s="279">
        <f>((T1326+T1329)/(T1337+T1340))*100</f>
        <v>100</v>
      </c>
      <c r="V1321" s="279">
        <f>((V1326+V1329)/(V1337+V1340))*100</f>
        <v>100</v>
      </c>
      <c r="W1321" s="279">
        <f>((W1326+W1329)/(W1337+W1340))*100</f>
        <v>100</v>
      </c>
      <c r="Y1321" s="279">
        <f>((Y1326+Y1329)/(Y1337+Y1340))*100</f>
        <v>100</v>
      </c>
      <c r="Z1321" s="279">
        <f>((Z1326+Z1329)/(Z1337+Z1340))*100</f>
        <v>100</v>
      </c>
      <c r="AB1321" s="279">
        <f>((AB1326+AB1329)/(AB1337+AB1340))*100</f>
        <v>100</v>
      </c>
      <c r="AC1321" s="279">
        <f>((AC1326+AC1329)/(AC1337+AC1340))*100</f>
        <v>100</v>
      </c>
      <c r="AE1321" s="279">
        <f>((AE1326+AE1329)/(AE1337+AE1340))*100</f>
        <v>100</v>
      </c>
      <c r="AF1321" s="279">
        <f>((AF1326+AF1329)/(AF1337+AF1340))*100</f>
        <v>100</v>
      </c>
      <c r="AH1321" s="279">
        <f>((AH1326+AH1329)/(AH1337+AH1340))*100</f>
        <v>100</v>
      </c>
      <c r="AI1321" s="279">
        <f>((AI1326+AI1329)/(AI1337+AI1340))*100</f>
        <v>100</v>
      </c>
      <c r="AK1321" s="279">
        <f>((AK1326+AK1329)/(AK1337+AK1340))*100</f>
        <v>100</v>
      </c>
      <c r="AL1321" s="279">
        <f>((AL1326+AL1329)/(AL1337+AL1340))*100</f>
        <v>100</v>
      </c>
      <c r="AN1321" s="279">
        <f>((AN1326+AN1329)/(AN1337+AN1340))*100</f>
        <v>100</v>
      </c>
      <c r="AO1321" s="279">
        <f>((AO1326+AO1329)/(AO1337+AO1340))*100</f>
        <v>100</v>
      </c>
      <c r="AQ1321" s="279">
        <f>((AQ1326+AQ1329)/(AQ1337+AQ1340))*100</f>
        <v>95.652173913043484</v>
      </c>
      <c r="AR1321" s="279">
        <f>((AR1326+AR1329)/(AR1337+AR1340))*100</f>
        <v>95.833333333333343</v>
      </c>
      <c r="AT1321" s="279" t="e">
        <f>((AT1326+AT1329)/(AT1337+AT1340))*100</f>
        <v>#DIV/0!</v>
      </c>
      <c r="AU1321" s="279" t="e">
        <f>((AU1326+AU1329)/(AU1337+AU1340))*100</f>
        <v>#DIV/0!</v>
      </c>
      <c r="AW1321" s="279" t="e">
        <f>((AW1326+AW1329)/(AW1337+AW1340))*100</f>
        <v>#DIV/0!</v>
      </c>
      <c r="AX1321" s="279" t="e">
        <f>((AX1326+AX1329)/(AX1337+AX1340))*100</f>
        <v>#DIV/0!</v>
      </c>
      <c r="AZ1321" s="279" t="e">
        <f>((AZ1326+AZ1329)/(AZ1337+AZ1340))*100</f>
        <v>#DIV/0!</v>
      </c>
      <c r="BA1321" s="279" t="e">
        <f>((BA1326+BA1329)/(BA1337+BA1340))*100</f>
        <v>#DIV/0!</v>
      </c>
      <c r="BC1321" s="279" t="e">
        <f>((BC1326+BC1329)/(BC1337+BC1340))*100</f>
        <v>#DIV/0!</v>
      </c>
      <c r="BD1321" s="279" t="e">
        <f>((BD1326+BD1329)/(BD1337+BD1340))*100</f>
        <v>#DIV/0!</v>
      </c>
      <c r="BF1321" s="279" t="e">
        <f>((BF1326+BF1329)/(BF1337+BF1340))*100</f>
        <v>#DIV/0!</v>
      </c>
      <c r="BG1321" s="279" t="e">
        <f>((BG1326+BG1329)/(BG1337+BG1340))*100</f>
        <v>#DIV/0!</v>
      </c>
      <c r="BI1321" s="279" t="e">
        <f>((BI1326+BI1329)/(BI1337+BI1340))*100</f>
        <v>#DIV/0!</v>
      </c>
      <c r="BJ1321" s="279" t="e">
        <f>((BJ1326+BJ1329)/(BJ1337+BJ1340))*100</f>
        <v>#DIV/0!</v>
      </c>
      <c r="BL1321" s="279" t="e">
        <f>((BL1326+BL1329)/(BL1337+BL1340))*100</f>
        <v>#DIV/0!</v>
      </c>
      <c r="BM1321" s="279" t="e">
        <f>((BM1326+BM1329)/(BM1337+BM1340))*100</f>
        <v>#DIV/0!</v>
      </c>
      <c r="BO1321" s="279" t="e">
        <f>((BO1326+BO1329)/(BO1337+BO1340))*100</f>
        <v>#DIV/0!</v>
      </c>
      <c r="BP1321" s="279" t="e">
        <f>((BP1326+BP1329)/(BP1337+BP1340))*100</f>
        <v>#DIV/0!</v>
      </c>
      <c r="BR1321" s="279" t="e">
        <f>((BR1326+BR1329)/(BR1337+BR1340))*100</f>
        <v>#DIV/0!</v>
      </c>
      <c r="BS1321" s="279" t="e">
        <f>((BS1326+BS1329)/(BS1337+BS1340))*100</f>
        <v>#DIV/0!</v>
      </c>
      <c r="BU1321" s="279" t="e">
        <f>((BU1326+BU1329)/(BU1337+BU1340))*100</f>
        <v>#DIV/0!</v>
      </c>
      <c r="BV1321" s="279" t="e">
        <f>((BV1326+BV1329)/(BV1337+BV1340))*100</f>
        <v>#DIV/0!</v>
      </c>
      <c r="BX1321" s="279" t="e">
        <f>((BX1326+BX1329)/(BX1337+BX1340))*100</f>
        <v>#DIV/0!</v>
      </c>
      <c r="BY1321" s="279" t="e">
        <f>((BY1326+BY1329)/(BY1337+BY1340))*100</f>
        <v>#DIV/0!</v>
      </c>
      <c r="CA1321" s="279" t="e">
        <f>((CA1326+CA1329)/(CA1337+CA1340))*100</f>
        <v>#DIV/0!</v>
      </c>
      <c r="CB1321" s="279" t="e">
        <f>((CB1326+CB1329)/(CB1337+CB1340))*100</f>
        <v>#DIV/0!</v>
      </c>
      <c r="CD1321" s="279" t="e">
        <f>((CD1326+CD1329)/(CD1337+CD1340))*100</f>
        <v>#DIV/0!</v>
      </c>
      <c r="CE1321" s="279" t="e">
        <f>((CE1326+CE1329)/(CE1337+CE1340))*100</f>
        <v>#DIV/0!</v>
      </c>
      <c r="CG1321" s="279">
        <f>((CG1326+CG1329)/(CG1337+CG1340))*100</f>
        <v>100</v>
      </c>
      <c r="CH1321" s="279">
        <f>((CH1326+CH1329)/(CH1337+CH1340))*100</f>
        <v>100</v>
      </c>
      <c r="CJ1321" s="279" t="e">
        <f>((CJ1326+CJ1329)/(CJ1337+CJ1340))*100</f>
        <v>#DIV/0!</v>
      </c>
      <c r="CK1321" s="279" t="e">
        <f>((CK1326+CK1329)/(CK1337+CK1340))*100</f>
        <v>#DIV/0!</v>
      </c>
    </row>
    <row r="1322" spans="1:89" x14ac:dyDescent="0.25">
      <c r="A1322" s="263"/>
      <c r="B1322" s="96" t="s">
        <v>1184</v>
      </c>
      <c r="C1322" s="95"/>
      <c r="D1322" s="95" t="s">
        <v>8</v>
      </c>
      <c r="E1322" s="279">
        <f>(E1327+E1328)/(E1338+E1339)*100</f>
        <v>80</v>
      </c>
      <c r="F1322" s="279">
        <f>(F1327+F1328)/(F1338+F1339)*100</f>
        <v>80</v>
      </c>
      <c r="G1322" s="279">
        <f>(G1327+G1328)/(G1338+G1339)*100</f>
        <v>80</v>
      </c>
      <c r="H1322" s="279">
        <f>((H1327+H1328)/(H1338+H1339))*100</f>
        <v>100</v>
      </c>
      <c r="I1322" s="279">
        <f>((I1327+I1328)/(I1338+I1339))*100</f>
        <v>100</v>
      </c>
      <c r="J1322" s="279">
        <f>((J1327+J1328)/(J1338+J1339))*100</f>
        <v>100</v>
      </c>
      <c r="K1322" s="279">
        <f>((K1327+K1328)/(K1338+K1339))*100</f>
        <v>100</v>
      </c>
      <c r="L1322" s="279" t="e">
        <f>((L1327+L1328)/(L1338+L1339))*100</f>
        <v>#DIV/0!</v>
      </c>
      <c r="M1322" s="279" t="e">
        <f t="shared" ref="M1322:N1322" si="1666">((M1327+M1328)/(M1338+M1339))*100</f>
        <v>#DIV/0!</v>
      </c>
      <c r="N1322" s="279" t="e">
        <f t="shared" si="1666"/>
        <v>#DIV/0!</v>
      </c>
      <c r="Q1322" s="279">
        <f>((Q1327+Q1328)/(Q1338+Q1339))*100</f>
        <v>100</v>
      </c>
      <c r="R1322" s="279">
        <f>((R1327+R1328)/(R1338+R1339))*100</f>
        <v>100</v>
      </c>
      <c r="S1322" s="279" t="e">
        <f>((S1327+S1328)/(S1338+S1339))*100</f>
        <v>#DIV/0!</v>
      </c>
      <c r="T1322" s="279" t="e">
        <f>((T1327+T1328)/(T1338+T1339))*100</f>
        <v>#DIV/0!</v>
      </c>
      <c r="V1322" s="279" t="e">
        <f>((V1327+V1328)/(V1338+V1339))*100</f>
        <v>#DIV/0!</v>
      </c>
      <c r="W1322" s="279" t="e">
        <f>((W1327+W1328)/(W1338+W1339))*100</f>
        <v>#DIV/0!</v>
      </c>
      <c r="Y1322" s="279" t="e">
        <f>((Y1327+Y1328)/(Y1338+Y1339))*100</f>
        <v>#DIV/0!</v>
      </c>
      <c r="Z1322" s="279" t="e">
        <f>((Z1327+Z1328)/(Z1338+Z1339))*100</f>
        <v>#DIV/0!</v>
      </c>
      <c r="AB1322" s="279" t="e">
        <f>((AB1327+AB1328)/(AB1338+AB1339))*100</f>
        <v>#DIV/0!</v>
      </c>
      <c r="AC1322" s="279" t="e">
        <f>((AC1327+AC1328)/(AC1338+AC1339))*100</f>
        <v>#DIV/0!</v>
      </c>
      <c r="AE1322" s="279" t="e">
        <f>((AE1327+AE1328)/(AE1338+AE1339))*100</f>
        <v>#DIV/0!</v>
      </c>
      <c r="AF1322" s="279" t="e">
        <f>((AF1327+AF1328)/(AF1338+AF1339))*100</f>
        <v>#DIV/0!</v>
      </c>
      <c r="AH1322" s="279" t="e">
        <f>((AH1327+AH1328)/(AH1338+AH1339))*100</f>
        <v>#DIV/0!</v>
      </c>
      <c r="AI1322" s="279" t="e">
        <f>((AI1327+AI1328)/(AI1338+AI1339))*100</f>
        <v>#DIV/0!</v>
      </c>
      <c r="AK1322" s="279" t="e">
        <f>((AK1327+AK1328)/(AK1338+AK1339))*100</f>
        <v>#DIV/0!</v>
      </c>
      <c r="AL1322" s="279" t="e">
        <f>((AL1327+AL1328)/(AL1338+AL1339))*100</f>
        <v>#DIV/0!</v>
      </c>
      <c r="AN1322" s="279" t="e">
        <f>((AN1327+AN1328)/(AN1338+AN1339))*100</f>
        <v>#DIV/0!</v>
      </c>
      <c r="AO1322" s="279" t="e">
        <f>((AO1327+AO1328)/(AO1338+AO1339))*100</f>
        <v>#DIV/0!</v>
      </c>
      <c r="AQ1322" s="279" t="e">
        <f>((AQ1327+AQ1328)/(AQ1338+AQ1339))*100</f>
        <v>#DIV/0!</v>
      </c>
      <c r="AR1322" s="279" t="e">
        <f>((AR1327+AR1328)/(AR1338+AR1339))*100</f>
        <v>#DIV/0!</v>
      </c>
      <c r="AT1322" s="279" t="e">
        <f>((AT1327+AT1328)/(AT1338+AT1339))*100</f>
        <v>#DIV/0!</v>
      </c>
      <c r="AU1322" s="279" t="e">
        <f>((AU1327+AU1328)/(AU1338+AU1339))*100</f>
        <v>#DIV/0!</v>
      </c>
      <c r="AW1322" s="279" t="e">
        <f>((AW1327+AW1328)/(AW1338+AW1339))*100</f>
        <v>#DIV/0!</v>
      </c>
      <c r="AX1322" s="279" t="e">
        <f>((AX1327+AX1328)/(AX1338+AX1339))*100</f>
        <v>#DIV/0!</v>
      </c>
      <c r="AZ1322" s="279" t="e">
        <f>((AZ1327+AZ1328)/(AZ1338+AZ1339))*100</f>
        <v>#DIV/0!</v>
      </c>
      <c r="BA1322" s="279" t="e">
        <f>((BA1327+BA1328)/(BA1338+BA1339))*100</f>
        <v>#DIV/0!</v>
      </c>
      <c r="BC1322" s="279">
        <f>((BC1327+BC1328)/(BC1338+BC1339))*100</f>
        <v>100</v>
      </c>
      <c r="BD1322" s="279">
        <f>((BD1327+BD1328)/(BD1338+BD1339))*100</f>
        <v>100</v>
      </c>
      <c r="BF1322" s="279">
        <f>((BF1327+BF1328)/(BF1338+BF1339))*100</f>
        <v>100</v>
      </c>
      <c r="BG1322" s="279">
        <f>((BG1327+BG1328)/(BG1338+BG1339))*100</f>
        <v>100</v>
      </c>
      <c r="BI1322" s="279">
        <f>((BI1327+BI1328)/(BI1338+BI1339))*100</f>
        <v>100</v>
      </c>
      <c r="BJ1322" s="279">
        <f>((BJ1327+BJ1328)/(BJ1338+BJ1339))*100</f>
        <v>100</v>
      </c>
      <c r="BL1322" s="279" t="e">
        <f>((BL1327+BL1328)/(BL1338+BL1339))*100</f>
        <v>#DIV/0!</v>
      </c>
      <c r="BM1322" s="279" t="e">
        <f>((BM1327+BM1328)/(BM1338+BM1339))*100</f>
        <v>#DIV/0!</v>
      </c>
      <c r="BO1322" s="279" t="e">
        <f>((BO1327+BO1328)/(BO1338+BO1339))*100</f>
        <v>#DIV/0!</v>
      </c>
      <c r="BP1322" s="279" t="e">
        <f>((BP1327+BP1328)/(BP1338+BP1339))*100</f>
        <v>#DIV/0!</v>
      </c>
      <c r="BR1322" s="279" t="e">
        <f>((BR1327+BR1328)/(BR1338+BR1339))*100</f>
        <v>#DIV/0!</v>
      </c>
      <c r="BS1322" s="279" t="e">
        <f>((BS1327+BS1328)/(BS1338+BS1339))*100</f>
        <v>#DIV/0!</v>
      </c>
      <c r="BU1322" s="279" t="e">
        <f>((BU1327+BU1328)/(BU1338+BU1339))*100</f>
        <v>#DIV/0!</v>
      </c>
      <c r="BV1322" s="279" t="e">
        <f>((BV1327+BV1328)/(BV1338+BV1339))*100</f>
        <v>#DIV/0!</v>
      </c>
      <c r="BX1322" s="279" t="e">
        <f>((BX1327+BX1328)/(BX1338+BX1339))*100</f>
        <v>#DIV/0!</v>
      </c>
      <c r="BY1322" s="279" t="e">
        <f>((BY1327+BY1328)/(BY1338+BY1339))*100</f>
        <v>#DIV/0!</v>
      </c>
      <c r="CA1322" s="279" t="e">
        <f>((CA1327+CA1328)/(CA1338+CA1339))*100</f>
        <v>#DIV/0!</v>
      </c>
      <c r="CB1322" s="279" t="e">
        <f>((CB1327+CB1328)/(CB1338+CB1339))*100</f>
        <v>#DIV/0!</v>
      </c>
      <c r="CD1322" s="279">
        <f>((CD1327+CD1328)/(CD1338+CD1339))*100</f>
        <v>100</v>
      </c>
      <c r="CE1322" s="279">
        <f>((CE1327+CE1328)/(CE1338+CE1339))*100</f>
        <v>100</v>
      </c>
      <c r="CG1322" s="279" t="e">
        <f>((CG1327+CG1328)/(CG1338+CG1339))*100</f>
        <v>#DIV/0!</v>
      </c>
      <c r="CH1322" s="279" t="e">
        <f>((CH1327+CH1328)/(CH1338+CH1339))*100</f>
        <v>#DIV/0!</v>
      </c>
      <c r="CJ1322" s="279" t="e">
        <f>((CJ1327+CJ1328)/(CJ1338+CJ1339))*100</f>
        <v>#DIV/0!</v>
      </c>
      <c r="CK1322" s="279" t="e">
        <f>((CK1327+CK1328)/(CK1338+CK1339))*100</f>
        <v>#DIV/0!</v>
      </c>
    </row>
    <row r="1323" spans="1:89" x14ac:dyDescent="0.25">
      <c r="A1323" s="263"/>
      <c r="B1323" s="96" t="s">
        <v>1183</v>
      </c>
      <c r="C1323" s="95"/>
      <c r="D1323" s="95"/>
      <c r="E1323" s="279"/>
      <c r="F1323" s="279"/>
      <c r="G1323" s="279"/>
      <c r="H1323" s="279">
        <f t="shared" ref="H1323:J1324" si="1667">((H1327)/(H1338))*100</f>
        <v>100</v>
      </c>
      <c r="I1323" s="279">
        <f t="shared" si="1667"/>
        <v>100</v>
      </c>
      <c r="J1323" s="279">
        <f t="shared" si="1667"/>
        <v>100</v>
      </c>
      <c r="K1323" s="279">
        <f>((K1327)/(K1338))*100</f>
        <v>100</v>
      </c>
      <c r="L1323" s="279" t="e">
        <f>((L1327)/(L1338))*100</f>
        <v>#DIV/0!</v>
      </c>
      <c r="M1323" s="279" t="e">
        <f t="shared" ref="M1323:N1324" si="1668">((M1327)/(M1338))*100</f>
        <v>#DIV/0!</v>
      </c>
      <c r="N1323" s="279" t="e">
        <f t="shared" si="1668"/>
        <v>#DIV/0!</v>
      </c>
      <c r="Q1323" s="279">
        <f t="shared" ref="Q1323:T1324" si="1669">((Q1327)/(Q1338))*100</f>
        <v>100</v>
      </c>
      <c r="R1323" s="279">
        <f t="shared" si="1669"/>
        <v>100</v>
      </c>
      <c r="S1323" s="279" t="e">
        <f t="shared" si="1669"/>
        <v>#DIV/0!</v>
      </c>
      <c r="T1323" s="279" t="e">
        <f t="shared" si="1669"/>
        <v>#DIV/0!</v>
      </c>
      <c r="V1323" s="279" t="e">
        <f>((V1327)/(V1338))*100</f>
        <v>#DIV/0!</v>
      </c>
      <c r="W1323" s="279" t="e">
        <f>((W1327)/(W1338))*100</f>
        <v>#DIV/0!</v>
      </c>
      <c r="Y1323" s="279" t="e">
        <f>((Y1327)/(Y1338))*100</f>
        <v>#DIV/0!</v>
      </c>
      <c r="Z1323" s="279" t="e">
        <f>((Z1327)/(Z1338))*100</f>
        <v>#DIV/0!</v>
      </c>
      <c r="AB1323" s="279" t="e">
        <f>((AB1327)/(AB1338))*100</f>
        <v>#DIV/0!</v>
      </c>
      <c r="AC1323" s="279" t="e">
        <f>((AC1327)/(AC1338))*100</f>
        <v>#DIV/0!</v>
      </c>
      <c r="AE1323" s="279" t="e">
        <f>((AE1327)/(AE1338))*100</f>
        <v>#DIV/0!</v>
      </c>
      <c r="AF1323" s="279" t="e">
        <f>((AF1327)/(AF1338))*100</f>
        <v>#DIV/0!</v>
      </c>
      <c r="AH1323" s="279" t="e">
        <f>((AH1327)/(AH1338))*100</f>
        <v>#DIV/0!</v>
      </c>
      <c r="AI1323" s="279" t="e">
        <f>((AI1327)/(AI1338))*100</f>
        <v>#DIV/0!</v>
      </c>
      <c r="AK1323" s="279" t="e">
        <f>((AK1327)/(AK1338))*100</f>
        <v>#DIV/0!</v>
      </c>
      <c r="AL1323" s="279" t="e">
        <f>((AL1327)/(AL1338))*100</f>
        <v>#DIV/0!</v>
      </c>
      <c r="AN1323" s="279" t="e">
        <f>((AN1327)/(AN1338))*100</f>
        <v>#DIV/0!</v>
      </c>
      <c r="AO1323" s="279" t="e">
        <f>((AO1327)/(AO1338))*100</f>
        <v>#DIV/0!</v>
      </c>
      <c r="AQ1323" s="279" t="e">
        <f>((AQ1327)/(AQ1338))*100</f>
        <v>#DIV/0!</v>
      </c>
      <c r="AR1323" s="279" t="e">
        <f>((AR1327)/(AR1338))*100</f>
        <v>#DIV/0!</v>
      </c>
      <c r="AT1323" s="279" t="e">
        <f>((AT1327)/(AT1338))*100</f>
        <v>#DIV/0!</v>
      </c>
      <c r="AU1323" s="279" t="e">
        <f>((AU1327)/(AU1338))*100</f>
        <v>#DIV/0!</v>
      </c>
      <c r="AW1323" s="279" t="e">
        <f>((AW1327)/(AW1338))*100</f>
        <v>#DIV/0!</v>
      </c>
      <c r="AX1323" s="279" t="e">
        <f>((AX1327)/(AX1338))*100</f>
        <v>#DIV/0!</v>
      </c>
      <c r="AZ1323" s="279" t="e">
        <f>((AZ1327)/(AZ1338))*100</f>
        <v>#DIV/0!</v>
      </c>
      <c r="BA1323" s="279" t="e">
        <f>((BA1327)/(BA1338))*100</f>
        <v>#DIV/0!</v>
      </c>
      <c r="BC1323" s="279">
        <f>((BC1327)/(BC1338))*100</f>
        <v>100</v>
      </c>
      <c r="BD1323" s="279">
        <f>((BD1327)/(BD1338))*100</f>
        <v>100</v>
      </c>
      <c r="BF1323" s="279">
        <f>((BF1327)/(BF1338))*100</f>
        <v>100</v>
      </c>
      <c r="BG1323" s="279">
        <f>((BG1327)/(BG1338))*100</f>
        <v>100</v>
      </c>
      <c r="BI1323" s="279">
        <f>((BI1327)/(BI1338))*100</f>
        <v>100</v>
      </c>
      <c r="BJ1323" s="279">
        <f>((BJ1327)/(BJ1338))*100</f>
        <v>100</v>
      </c>
      <c r="BL1323" s="279" t="e">
        <f>((BL1327)/(BL1338))*100</f>
        <v>#DIV/0!</v>
      </c>
      <c r="BM1323" s="279" t="e">
        <f>((BM1327)/(BM1338))*100</f>
        <v>#DIV/0!</v>
      </c>
      <c r="BO1323" s="279" t="e">
        <f>((BO1327)/(BO1338))*100</f>
        <v>#DIV/0!</v>
      </c>
      <c r="BP1323" s="279" t="e">
        <f>((BP1327)/(BP1338))*100</f>
        <v>#DIV/0!</v>
      </c>
      <c r="BR1323" s="279" t="e">
        <f>((BR1327)/(BR1338))*100</f>
        <v>#DIV/0!</v>
      </c>
      <c r="BS1323" s="279" t="e">
        <f>((BS1327)/(BS1338))*100</f>
        <v>#DIV/0!</v>
      </c>
      <c r="BU1323" s="279" t="e">
        <f>((BU1327)/(BU1338))*100</f>
        <v>#DIV/0!</v>
      </c>
      <c r="BV1323" s="279" t="e">
        <f>((BV1327)/(BV1338))*100</f>
        <v>#DIV/0!</v>
      </c>
      <c r="BX1323" s="279" t="e">
        <f>((BX1327)/(BX1338))*100</f>
        <v>#DIV/0!</v>
      </c>
      <c r="BY1323" s="279" t="e">
        <f>((BY1327)/(BY1338))*100</f>
        <v>#DIV/0!</v>
      </c>
      <c r="CA1323" s="279" t="e">
        <f>((CA1327)/(CA1338))*100</f>
        <v>#DIV/0!</v>
      </c>
      <c r="CB1323" s="279" t="e">
        <f>((CB1327)/(CB1338))*100</f>
        <v>#DIV/0!</v>
      </c>
      <c r="CD1323" s="279">
        <f>((CD1327)/(CD1338))*100</f>
        <v>100</v>
      </c>
      <c r="CE1323" s="279">
        <f>((CE1327)/(CE1338))*100</f>
        <v>100</v>
      </c>
      <c r="CG1323" s="279" t="e">
        <f>((CG1327)/(CG1338))*100</f>
        <v>#DIV/0!</v>
      </c>
      <c r="CH1323" s="279" t="e">
        <f>((CH1327)/(CH1338))*100</f>
        <v>#DIV/0!</v>
      </c>
      <c r="CJ1323" s="279" t="e">
        <f>((CJ1327)/(CJ1338))*100</f>
        <v>#DIV/0!</v>
      </c>
      <c r="CK1323" s="279" t="e">
        <f>((CK1327)/(CK1338))*100</f>
        <v>#DIV/0!</v>
      </c>
    </row>
    <row r="1324" spans="1:89" x14ac:dyDescent="0.25">
      <c r="A1324" s="263"/>
      <c r="B1324" s="16" t="s">
        <v>1185</v>
      </c>
      <c r="C1324" s="95"/>
      <c r="D1324" s="95"/>
      <c r="E1324" s="279"/>
      <c r="F1324" s="279"/>
      <c r="G1324" s="279"/>
      <c r="H1324" s="279" t="e">
        <f t="shared" si="1667"/>
        <v>#DIV/0!</v>
      </c>
      <c r="I1324" s="279" t="e">
        <f t="shared" si="1667"/>
        <v>#DIV/0!</v>
      </c>
      <c r="J1324" s="279" t="e">
        <f t="shared" si="1667"/>
        <v>#DIV/0!</v>
      </c>
      <c r="K1324" s="279" t="e">
        <f>((K1328)/(K1339))*100</f>
        <v>#DIV/0!</v>
      </c>
      <c r="L1324" s="279" t="e">
        <f>((L1328)/(L1339))*100</f>
        <v>#DIV/0!</v>
      </c>
      <c r="M1324" s="279" t="e">
        <f t="shared" si="1668"/>
        <v>#DIV/0!</v>
      </c>
      <c r="N1324" s="279" t="e">
        <f t="shared" si="1668"/>
        <v>#DIV/0!</v>
      </c>
      <c r="O1324" s="283"/>
      <c r="Q1324" s="279" t="e">
        <f t="shared" si="1669"/>
        <v>#DIV/0!</v>
      </c>
      <c r="R1324" s="279" t="e">
        <f t="shared" si="1669"/>
        <v>#DIV/0!</v>
      </c>
      <c r="S1324" s="279" t="e">
        <f t="shared" si="1669"/>
        <v>#DIV/0!</v>
      </c>
      <c r="T1324" s="279" t="e">
        <f t="shared" si="1669"/>
        <v>#DIV/0!</v>
      </c>
      <c r="V1324" s="279" t="e">
        <f>((V1328)/(V1339))*100</f>
        <v>#DIV/0!</v>
      </c>
      <c r="W1324" s="279" t="e">
        <f>((W1328)/(W1339))*100</f>
        <v>#DIV/0!</v>
      </c>
      <c r="Y1324" s="279" t="e">
        <f>((Y1328)/(Y1339))*100</f>
        <v>#DIV/0!</v>
      </c>
      <c r="Z1324" s="279" t="e">
        <f>((Z1328)/(Z1339))*100</f>
        <v>#DIV/0!</v>
      </c>
      <c r="AB1324" s="279" t="e">
        <f>((AB1328)/(AB1339))*100</f>
        <v>#DIV/0!</v>
      </c>
      <c r="AC1324" s="279" t="e">
        <f>((AC1328)/(AC1339))*100</f>
        <v>#DIV/0!</v>
      </c>
      <c r="AE1324" s="279" t="e">
        <f>((AE1328)/(AE1339))*100</f>
        <v>#DIV/0!</v>
      </c>
      <c r="AF1324" s="279" t="e">
        <f>((AF1328)/(AF1339))*100</f>
        <v>#DIV/0!</v>
      </c>
      <c r="AH1324" s="279" t="e">
        <f>((AH1328)/(AH1339))*100</f>
        <v>#DIV/0!</v>
      </c>
      <c r="AI1324" s="279" t="e">
        <f>((AI1328)/(AI1339))*100</f>
        <v>#DIV/0!</v>
      </c>
      <c r="AK1324" s="279" t="e">
        <f>((AK1328)/(AK1339))*100</f>
        <v>#DIV/0!</v>
      </c>
      <c r="AL1324" s="279" t="e">
        <f>((AL1328)/(AL1339))*100</f>
        <v>#DIV/0!</v>
      </c>
      <c r="AN1324" s="279" t="e">
        <f>((AN1328)/(AN1339))*100</f>
        <v>#DIV/0!</v>
      </c>
      <c r="AO1324" s="279" t="e">
        <f>((AO1328)/(AO1339))*100</f>
        <v>#DIV/0!</v>
      </c>
      <c r="AQ1324" s="279" t="e">
        <f>((AQ1328)/(AQ1339))*100</f>
        <v>#DIV/0!</v>
      </c>
      <c r="AR1324" s="279" t="e">
        <f>((AR1328)/(AR1339))*100</f>
        <v>#DIV/0!</v>
      </c>
      <c r="AT1324" s="279" t="e">
        <f>((AT1328)/(AT1339))*100</f>
        <v>#DIV/0!</v>
      </c>
      <c r="AU1324" s="279" t="e">
        <f>((AU1328)/(AU1339))*100</f>
        <v>#DIV/0!</v>
      </c>
      <c r="AW1324" s="279" t="e">
        <f>((AW1328)/(AW1339))*100</f>
        <v>#DIV/0!</v>
      </c>
      <c r="AX1324" s="279" t="e">
        <f>((AX1328)/(AX1339))*100</f>
        <v>#DIV/0!</v>
      </c>
      <c r="AZ1324" s="279" t="e">
        <f>((AZ1328)/(AZ1339))*100</f>
        <v>#DIV/0!</v>
      </c>
      <c r="BA1324" s="279" t="e">
        <f>((BA1328)/(BA1339))*100</f>
        <v>#DIV/0!</v>
      </c>
      <c r="BC1324" s="279" t="e">
        <f>((BC1328)/(BC1339))*100</f>
        <v>#DIV/0!</v>
      </c>
      <c r="BD1324" s="279" t="e">
        <f>((BD1328)/(BD1339))*100</f>
        <v>#DIV/0!</v>
      </c>
      <c r="BF1324" s="279" t="e">
        <f>((BF1328)/(BF1339))*100</f>
        <v>#DIV/0!</v>
      </c>
      <c r="BG1324" s="279" t="e">
        <f>((BG1328)/(BG1339))*100</f>
        <v>#DIV/0!</v>
      </c>
      <c r="BI1324" s="279" t="e">
        <f>((BI1328)/(BI1339))*100</f>
        <v>#DIV/0!</v>
      </c>
      <c r="BJ1324" s="279" t="e">
        <f>((BJ1328)/(BJ1339))*100</f>
        <v>#DIV/0!</v>
      </c>
      <c r="BL1324" s="279" t="e">
        <f>((BL1328)/(BL1339))*100</f>
        <v>#DIV/0!</v>
      </c>
      <c r="BM1324" s="279" t="e">
        <f>((BM1328)/(BM1339))*100</f>
        <v>#DIV/0!</v>
      </c>
      <c r="BO1324" s="279" t="e">
        <f>((BO1328)/(BO1339))*100</f>
        <v>#DIV/0!</v>
      </c>
      <c r="BP1324" s="279" t="e">
        <f>((BP1328)/(BP1339))*100</f>
        <v>#DIV/0!</v>
      </c>
      <c r="BR1324" s="279" t="e">
        <f>((BR1328)/(BR1339))*100</f>
        <v>#DIV/0!</v>
      </c>
      <c r="BS1324" s="279" t="e">
        <f>((BS1328)/(BS1339))*100</f>
        <v>#DIV/0!</v>
      </c>
      <c r="BU1324" s="279" t="e">
        <f>((BU1328)/(BU1339))*100</f>
        <v>#DIV/0!</v>
      </c>
      <c r="BV1324" s="279" t="e">
        <f>((BV1328)/(BV1339))*100</f>
        <v>#DIV/0!</v>
      </c>
      <c r="BX1324" s="279" t="e">
        <f>((BX1328)/(BX1339))*100</f>
        <v>#DIV/0!</v>
      </c>
      <c r="BY1324" s="279" t="e">
        <f>((BY1328)/(BY1339))*100</f>
        <v>#DIV/0!</v>
      </c>
      <c r="CA1324" s="279" t="e">
        <f>((CA1328)/(CA1339))*100</f>
        <v>#DIV/0!</v>
      </c>
      <c r="CB1324" s="279" t="e">
        <f>((CB1328)/(CB1339))*100</f>
        <v>#DIV/0!</v>
      </c>
      <c r="CD1324" s="279" t="e">
        <f>((CD1328)/(CD1339))*100</f>
        <v>#DIV/0!</v>
      </c>
      <c r="CE1324" s="279" t="e">
        <f>((CE1328)/(CE1339))*100</f>
        <v>#DIV/0!</v>
      </c>
      <c r="CG1324" s="279" t="e">
        <f>((CG1328)/(CG1339))*100</f>
        <v>#DIV/0!</v>
      </c>
      <c r="CH1324" s="279" t="e">
        <f>((CH1328)/(CH1339))*100</f>
        <v>#DIV/0!</v>
      </c>
      <c r="CJ1324" s="279" t="e">
        <f>((CJ1328)/(CJ1339))*100</f>
        <v>#DIV/0!</v>
      </c>
      <c r="CK1324" s="279" t="e">
        <f>((CK1328)/(CK1339))*100</f>
        <v>#DIV/0!</v>
      </c>
    </row>
    <row r="1325" spans="1:89" ht="30" x14ac:dyDescent="0.25">
      <c r="A1325" s="416"/>
      <c r="B1325" s="419" t="s">
        <v>256</v>
      </c>
      <c r="C1325" s="95" t="s">
        <v>1258</v>
      </c>
      <c r="D1325" s="95" t="s">
        <v>1112</v>
      </c>
      <c r="E1325" s="291">
        <v>217</v>
      </c>
      <c r="F1325" s="291">
        <v>219</v>
      </c>
      <c r="G1325" s="291">
        <v>215</v>
      </c>
      <c r="H1325" s="291">
        <f t="shared" ref="H1325:J1326" si="1670">H1331</f>
        <v>218</v>
      </c>
      <c r="I1325" s="291">
        <f t="shared" si="1670"/>
        <v>217</v>
      </c>
      <c r="J1325" s="291">
        <f t="shared" si="1670"/>
        <v>213</v>
      </c>
      <c r="K1325" s="291">
        <f>K1331</f>
        <v>212</v>
      </c>
      <c r="L1325" s="291">
        <f>L1331</f>
        <v>5</v>
      </c>
      <c r="M1325" s="291">
        <f t="shared" ref="M1325:N1326" si="1671">M1331</f>
        <v>5</v>
      </c>
      <c r="N1325" s="291">
        <f t="shared" si="1671"/>
        <v>5</v>
      </c>
      <c r="O1325" s="283"/>
      <c r="Q1325" s="291">
        <f t="shared" ref="Q1325:T1326" si="1672">Q1331</f>
        <v>212</v>
      </c>
      <c r="R1325" s="291">
        <f t="shared" si="1672"/>
        <v>214</v>
      </c>
      <c r="S1325" s="291">
        <f t="shared" si="1672"/>
        <v>3</v>
      </c>
      <c r="T1325" s="291">
        <f t="shared" si="1672"/>
        <v>4</v>
      </c>
      <c r="V1325" s="291">
        <f>V1331</f>
        <v>4</v>
      </c>
      <c r="W1325" s="291">
        <f>W1331</f>
        <v>4</v>
      </c>
      <c r="Y1325" s="291">
        <f>Y1331</f>
        <v>5</v>
      </c>
      <c r="Z1325" s="291">
        <f>Z1331</f>
        <v>5</v>
      </c>
      <c r="AB1325" s="291">
        <f>AB1331</f>
        <v>3</v>
      </c>
      <c r="AC1325" s="291">
        <f>AC1331</f>
        <v>3</v>
      </c>
      <c r="AE1325" s="291">
        <f>AE1331</f>
        <v>6</v>
      </c>
      <c r="AF1325" s="291">
        <f>AF1331</f>
        <v>6</v>
      </c>
      <c r="AH1325" s="291">
        <f>AH1331</f>
        <v>5</v>
      </c>
      <c r="AI1325" s="291">
        <f>AI1331</f>
        <v>5</v>
      </c>
      <c r="AK1325" s="291">
        <f>AK1331</f>
        <v>10</v>
      </c>
      <c r="AL1325" s="291">
        <f>AL1331</f>
        <v>10</v>
      </c>
      <c r="AN1325" s="291">
        <f>AN1331</f>
        <v>11</v>
      </c>
      <c r="AO1325" s="291">
        <f>AO1331</f>
        <v>11</v>
      </c>
      <c r="AQ1325" s="291">
        <f>AQ1331</f>
        <v>0</v>
      </c>
      <c r="AR1325" s="291">
        <f>AR1331</f>
        <v>0</v>
      </c>
      <c r="AT1325" s="291">
        <f>AT1331</f>
        <v>9</v>
      </c>
      <c r="AU1325" s="291">
        <f>AU1331</f>
        <v>9</v>
      </c>
      <c r="AW1325" s="291">
        <f>AW1331</f>
        <v>6</v>
      </c>
      <c r="AX1325" s="291">
        <f>AX1331</f>
        <v>6</v>
      </c>
      <c r="AZ1325" s="291">
        <f>AZ1331</f>
        <v>7</v>
      </c>
      <c r="BA1325" s="291">
        <f>BA1331</f>
        <v>7</v>
      </c>
      <c r="BC1325" s="291">
        <f>BC1331</f>
        <v>15</v>
      </c>
      <c r="BD1325" s="291">
        <f>BD1331</f>
        <v>15</v>
      </c>
      <c r="BF1325" s="291">
        <f>BF1331</f>
        <v>33</v>
      </c>
      <c r="BG1325" s="291">
        <f>BG1331</f>
        <v>34</v>
      </c>
      <c r="BI1325" s="291">
        <f>BI1331</f>
        <v>37</v>
      </c>
      <c r="BJ1325" s="291">
        <f>BJ1331</f>
        <v>37</v>
      </c>
      <c r="BL1325" s="291">
        <f>BL1331</f>
        <v>6</v>
      </c>
      <c r="BM1325" s="291">
        <f>BM1331</f>
        <v>6</v>
      </c>
      <c r="BO1325" s="291">
        <f>BO1331</f>
        <v>6</v>
      </c>
      <c r="BP1325" s="291">
        <f>BP1331</f>
        <v>6</v>
      </c>
      <c r="BR1325" s="291">
        <f>BR1331</f>
        <v>8</v>
      </c>
      <c r="BS1325" s="291">
        <f>BS1331</f>
        <v>7</v>
      </c>
      <c r="BU1325" s="291">
        <f>BU1331</f>
        <v>7</v>
      </c>
      <c r="BV1325" s="291">
        <f>BV1331</f>
        <v>7</v>
      </c>
      <c r="BX1325" s="291">
        <f>BX1331</f>
        <v>3</v>
      </c>
      <c r="BY1325" s="291">
        <f>BY1331</f>
        <v>3</v>
      </c>
      <c r="CA1325" s="291">
        <f>CA1331</f>
        <v>6</v>
      </c>
      <c r="CB1325" s="291">
        <f>CB1331</f>
        <v>7</v>
      </c>
      <c r="CD1325" s="291">
        <f>CD1331</f>
        <v>5</v>
      </c>
      <c r="CE1325" s="291">
        <f>CE1331</f>
        <v>5</v>
      </c>
      <c r="CG1325" s="291">
        <f>CG1331</f>
        <v>17</v>
      </c>
      <c r="CH1325" s="291">
        <f>CH1331</f>
        <v>17</v>
      </c>
      <c r="CJ1325" s="291">
        <f>CJ1331</f>
        <v>0</v>
      </c>
      <c r="CK1325" s="291">
        <f>CK1331</f>
        <v>0</v>
      </c>
    </row>
    <row r="1326" spans="1:89" ht="30" x14ac:dyDescent="0.25">
      <c r="A1326" s="417"/>
      <c r="B1326" s="420"/>
      <c r="C1326" s="95" t="s">
        <v>1259</v>
      </c>
      <c r="D1326" s="95" t="s">
        <v>1112</v>
      </c>
      <c r="E1326" s="291">
        <v>108</v>
      </c>
      <c r="F1326" s="291">
        <v>105</v>
      </c>
      <c r="G1326" s="291">
        <v>102</v>
      </c>
      <c r="H1326" s="291">
        <f t="shared" si="1670"/>
        <v>99</v>
      </c>
      <c r="I1326" s="291">
        <f t="shared" si="1670"/>
        <v>97</v>
      </c>
      <c r="J1326" s="291">
        <f t="shared" si="1670"/>
        <v>94</v>
      </c>
      <c r="K1326" s="291">
        <f>K1332</f>
        <v>93</v>
      </c>
      <c r="L1326" s="291">
        <f>L1332</f>
        <v>13</v>
      </c>
      <c r="M1326" s="291">
        <f t="shared" si="1671"/>
        <v>13</v>
      </c>
      <c r="N1326" s="291">
        <f t="shared" si="1671"/>
        <v>13</v>
      </c>
      <c r="O1326" s="283"/>
      <c r="Q1326" s="291">
        <f t="shared" si="1672"/>
        <v>93</v>
      </c>
      <c r="R1326" s="291">
        <f t="shared" si="1672"/>
        <v>93</v>
      </c>
      <c r="S1326" s="291">
        <f t="shared" si="1672"/>
        <v>7</v>
      </c>
      <c r="T1326" s="291">
        <f t="shared" si="1672"/>
        <v>7</v>
      </c>
      <c r="V1326" s="291">
        <f>V1332</f>
        <v>8</v>
      </c>
      <c r="W1326" s="291">
        <f>W1332</f>
        <v>8</v>
      </c>
      <c r="Y1326" s="291">
        <f>Y1332</f>
        <v>10</v>
      </c>
      <c r="Z1326" s="291">
        <f>Z1332</f>
        <v>10</v>
      </c>
      <c r="AB1326" s="291">
        <f>AB1332</f>
        <v>10</v>
      </c>
      <c r="AC1326" s="291">
        <f>AC1332</f>
        <v>10</v>
      </c>
      <c r="AE1326" s="291">
        <f>AE1332</f>
        <v>11</v>
      </c>
      <c r="AF1326" s="291">
        <f>AF1332</f>
        <v>10</v>
      </c>
      <c r="AH1326" s="291">
        <f>AH1332</f>
        <v>13</v>
      </c>
      <c r="AI1326" s="291">
        <f>AI1332</f>
        <v>13</v>
      </c>
      <c r="AK1326" s="291">
        <f>AK1332</f>
        <v>1</v>
      </c>
      <c r="AL1326" s="291">
        <f>AL1332</f>
        <v>1</v>
      </c>
      <c r="AN1326" s="291">
        <f>AN1332</f>
        <v>7</v>
      </c>
      <c r="AO1326" s="291">
        <f>AO1332</f>
        <v>7</v>
      </c>
      <c r="AQ1326" s="291">
        <f>AQ1332</f>
        <v>22</v>
      </c>
      <c r="AR1326" s="291">
        <f>AR1332</f>
        <v>23</v>
      </c>
      <c r="AT1326" s="291">
        <f>AT1332</f>
        <v>0</v>
      </c>
      <c r="AU1326" s="291">
        <f>AU1332</f>
        <v>0</v>
      </c>
      <c r="AW1326" s="291">
        <f>AW1332</f>
        <v>0</v>
      </c>
      <c r="AX1326" s="291">
        <f>AX1332</f>
        <v>0</v>
      </c>
      <c r="AZ1326" s="291">
        <f>AZ1332</f>
        <v>0</v>
      </c>
      <c r="BA1326" s="291">
        <f>BA1332</f>
        <v>0</v>
      </c>
      <c r="BC1326" s="291">
        <f>BC1332</f>
        <v>0</v>
      </c>
      <c r="BD1326" s="291">
        <f>BD1332</f>
        <v>0</v>
      </c>
      <c r="BF1326" s="291">
        <f>BF1332</f>
        <v>0</v>
      </c>
      <c r="BG1326" s="291">
        <f>BG1332</f>
        <v>0</v>
      </c>
      <c r="BI1326" s="291">
        <f>BI1332</f>
        <v>0</v>
      </c>
      <c r="BJ1326" s="291">
        <f>BJ1332</f>
        <v>0</v>
      </c>
      <c r="BL1326" s="291">
        <f>BL1332</f>
        <v>0</v>
      </c>
      <c r="BM1326" s="291">
        <f>BM1332</f>
        <v>0</v>
      </c>
      <c r="BO1326" s="291">
        <f>BO1332</f>
        <v>0</v>
      </c>
      <c r="BP1326" s="291">
        <f>BP1332</f>
        <v>0</v>
      </c>
      <c r="BR1326" s="291">
        <f>BR1332</f>
        <v>0</v>
      </c>
      <c r="BS1326" s="291">
        <f>BS1332</f>
        <v>0</v>
      </c>
      <c r="BU1326" s="291">
        <f>BU1332</f>
        <v>0</v>
      </c>
      <c r="BV1326" s="291">
        <f>BV1332</f>
        <v>0</v>
      </c>
      <c r="BX1326" s="291">
        <f>BX1332</f>
        <v>0</v>
      </c>
      <c r="BY1326" s="291">
        <f>BY1332</f>
        <v>0</v>
      </c>
      <c r="CA1326" s="291">
        <f>CA1332</f>
        <v>0</v>
      </c>
      <c r="CB1326" s="291">
        <f>CB1332</f>
        <v>0</v>
      </c>
      <c r="CD1326" s="291">
        <f>CD1332</f>
        <v>0</v>
      </c>
      <c r="CE1326" s="291">
        <f>CE1332</f>
        <v>0</v>
      </c>
      <c r="CG1326" s="291">
        <f>CG1332</f>
        <v>4</v>
      </c>
      <c r="CH1326" s="291">
        <f>CH1332</f>
        <v>4</v>
      </c>
      <c r="CJ1326" s="291">
        <f>CJ1332</f>
        <v>0</v>
      </c>
      <c r="CK1326" s="291">
        <f>CK1332</f>
        <v>0</v>
      </c>
    </row>
    <row r="1327" spans="1:89" ht="30" x14ac:dyDescent="0.25">
      <c r="A1327" s="417"/>
      <c r="B1327" s="420"/>
      <c r="C1327" s="95" t="s">
        <v>1260</v>
      </c>
      <c r="D1327" s="95" t="s">
        <v>1112</v>
      </c>
      <c r="E1327" s="291">
        <v>4</v>
      </c>
      <c r="F1327" s="291">
        <v>4</v>
      </c>
      <c r="G1327" s="291">
        <v>4</v>
      </c>
      <c r="H1327" s="291">
        <f t="shared" ref="H1327:J1328" si="1673">H1334</f>
        <v>4</v>
      </c>
      <c r="I1327" s="291">
        <f t="shared" si="1673"/>
        <v>4</v>
      </c>
      <c r="J1327" s="291">
        <f t="shared" si="1673"/>
        <v>4</v>
      </c>
      <c r="K1327" s="291">
        <f>K1334</f>
        <v>4</v>
      </c>
      <c r="L1327" s="291">
        <f>L1334</f>
        <v>0</v>
      </c>
      <c r="M1327" s="291">
        <f t="shared" ref="M1327:N1328" si="1674">M1334</f>
        <v>0</v>
      </c>
      <c r="N1327" s="291">
        <f t="shared" si="1674"/>
        <v>0</v>
      </c>
      <c r="Q1327" s="291">
        <f t="shared" ref="Q1327:T1328" si="1675">Q1334</f>
        <v>4</v>
      </c>
      <c r="R1327" s="291">
        <f t="shared" si="1675"/>
        <v>4</v>
      </c>
      <c r="S1327" s="291">
        <f t="shared" si="1675"/>
        <v>0</v>
      </c>
      <c r="T1327" s="291">
        <f t="shared" si="1675"/>
        <v>0</v>
      </c>
      <c r="V1327" s="291">
        <f>V1334</f>
        <v>0</v>
      </c>
      <c r="W1327" s="291">
        <f>W1334</f>
        <v>0</v>
      </c>
      <c r="Y1327" s="291">
        <f>Y1334</f>
        <v>0</v>
      </c>
      <c r="Z1327" s="291">
        <f>Z1334</f>
        <v>0</v>
      </c>
      <c r="AB1327" s="291">
        <f>AB1334</f>
        <v>0</v>
      </c>
      <c r="AC1327" s="291">
        <f>AC1334</f>
        <v>0</v>
      </c>
      <c r="AE1327" s="291">
        <f>AE1334</f>
        <v>0</v>
      </c>
      <c r="AF1327" s="291">
        <f>AF1334</f>
        <v>0</v>
      </c>
      <c r="AH1327" s="291">
        <f>AH1334</f>
        <v>0</v>
      </c>
      <c r="AI1327" s="291">
        <f>AI1334</f>
        <v>0</v>
      </c>
      <c r="AK1327" s="291">
        <f>AK1334</f>
        <v>0</v>
      </c>
      <c r="AL1327" s="291">
        <f>AL1334</f>
        <v>0</v>
      </c>
      <c r="AN1327" s="291">
        <f>AN1334</f>
        <v>0</v>
      </c>
      <c r="AO1327" s="291">
        <f>AO1334</f>
        <v>0</v>
      </c>
      <c r="AQ1327" s="291">
        <f>AQ1334</f>
        <v>0</v>
      </c>
      <c r="AR1327" s="291">
        <f>AR1334</f>
        <v>0</v>
      </c>
      <c r="AT1327" s="291">
        <f>AT1334</f>
        <v>0</v>
      </c>
      <c r="AU1327" s="291">
        <f>AU1334</f>
        <v>0</v>
      </c>
      <c r="AW1327" s="291">
        <f>AW1334</f>
        <v>0</v>
      </c>
      <c r="AX1327" s="291">
        <f>AX1334</f>
        <v>0</v>
      </c>
      <c r="AZ1327" s="291">
        <f>AZ1334</f>
        <v>0</v>
      </c>
      <c r="BA1327" s="291">
        <f>BA1334</f>
        <v>0</v>
      </c>
      <c r="BC1327" s="291">
        <f>BC1334</f>
        <v>1</v>
      </c>
      <c r="BD1327" s="291">
        <f>BD1334</f>
        <v>1</v>
      </c>
      <c r="BF1327" s="291">
        <f>BF1334</f>
        <v>1</v>
      </c>
      <c r="BG1327" s="291">
        <f>BG1334</f>
        <v>1</v>
      </c>
      <c r="BI1327" s="291">
        <f>BI1334</f>
        <v>1</v>
      </c>
      <c r="BJ1327" s="291">
        <f>BJ1334</f>
        <v>1</v>
      </c>
      <c r="BL1327" s="291">
        <f>BL1334</f>
        <v>0</v>
      </c>
      <c r="BM1327" s="291">
        <f>BM1334</f>
        <v>0</v>
      </c>
      <c r="BO1327" s="291">
        <f>BO1334</f>
        <v>0</v>
      </c>
      <c r="BP1327" s="291">
        <f>BP1334</f>
        <v>0</v>
      </c>
      <c r="BR1327" s="291">
        <f>BR1334</f>
        <v>0</v>
      </c>
      <c r="BS1327" s="291">
        <f>BS1334</f>
        <v>0</v>
      </c>
      <c r="BU1327" s="291">
        <f>BU1334</f>
        <v>0</v>
      </c>
      <c r="BV1327" s="291">
        <f>BV1334</f>
        <v>0</v>
      </c>
      <c r="BX1327" s="291">
        <f>BX1334</f>
        <v>0</v>
      </c>
      <c r="BY1327" s="291">
        <f>BY1334</f>
        <v>0</v>
      </c>
      <c r="CA1327" s="291">
        <f>CA1334</f>
        <v>0</v>
      </c>
      <c r="CB1327" s="291">
        <f>CB1334</f>
        <v>0</v>
      </c>
      <c r="CD1327" s="291">
        <f>CD1334</f>
        <v>1</v>
      </c>
      <c r="CE1327" s="291">
        <f>CE1334</f>
        <v>1</v>
      </c>
      <c r="CG1327" s="291">
        <f>CG1334</f>
        <v>0</v>
      </c>
      <c r="CH1327" s="291">
        <f>CH1334</f>
        <v>0</v>
      </c>
      <c r="CJ1327" s="291">
        <f>CJ1334</f>
        <v>0</v>
      </c>
      <c r="CK1327" s="291">
        <f>CK1334</f>
        <v>0</v>
      </c>
    </row>
    <row r="1328" spans="1:89" ht="30" x14ac:dyDescent="0.25">
      <c r="A1328" s="418"/>
      <c r="B1328" s="421"/>
      <c r="C1328" s="95" t="s">
        <v>1261</v>
      </c>
      <c r="D1328" s="95" t="s">
        <v>1112</v>
      </c>
      <c r="E1328" s="291">
        <v>0</v>
      </c>
      <c r="F1328" s="291">
        <v>0</v>
      </c>
      <c r="G1328" s="291">
        <v>0</v>
      </c>
      <c r="H1328" s="291">
        <f t="shared" si="1673"/>
        <v>0</v>
      </c>
      <c r="I1328" s="291">
        <f t="shared" si="1673"/>
        <v>0</v>
      </c>
      <c r="J1328" s="291">
        <f t="shared" si="1673"/>
        <v>0</v>
      </c>
      <c r="K1328" s="291">
        <f>K1335</f>
        <v>0</v>
      </c>
      <c r="L1328" s="291">
        <f>L1335</f>
        <v>0</v>
      </c>
      <c r="M1328" s="291">
        <f t="shared" si="1674"/>
        <v>0</v>
      </c>
      <c r="N1328" s="291">
        <f t="shared" si="1674"/>
        <v>0</v>
      </c>
      <c r="Q1328" s="291">
        <f t="shared" si="1675"/>
        <v>0</v>
      </c>
      <c r="R1328" s="291">
        <f t="shared" si="1675"/>
        <v>0</v>
      </c>
      <c r="S1328" s="291">
        <f t="shared" si="1675"/>
        <v>0</v>
      </c>
      <c r="T1328" s="291">
        <f t="shared" si="1675"/>
        <v>0</v>
      </c>
      <c r="V1328" s="291">
        <f>V1335</f>
        <v>0</v>
      </c>
      <c r="W1328" s="291">
        <f>W1335</f>
        <v>0</v>
      </c>
      <c r="Y1328" s="291">
        <f>Y1335</f>
        <v>0</v>
      </c>
      <c r="Z1328" s="291">
        <f>Z1335</f>
        <v>0</v>
      </c>
      <c r="AB1328" s="291">
        <f>AB1335</f>
        <v>0</v>
      </c>
      <c r="AC1328" s="291">
        <f>AC1335</f>
        <v>0</v>
      </c>
      <c r="AE1328" s="291">
        <f>AE1335</f>
        <v>0</v>
      </c>
      <c r="AF1328" s="291">
        <f>AF1335</f>
        <v>0</v>
      </c>
      <c r="AH1328" s="291">
        <f>AH1335</f>
        <v>0</v>
      </c>
      <c r="AI1328" s="291">
        <f>AI1335</f>
        <v>0</v>
      </c>
      <c r="AK1328" s="291">
        <f>AK1335</f>
        <v>0</v>
      </c>
      <c r="AL1328" s="291">
        <f>AL1335</f>
        <v>0</v>
      </c>
      <c r="AN1328" s="291">
        <f>AN1335</f>
        <v>0</v>
      </c>
      <c r="AO1328" s="291">
        <f>AO1335</f>
        <v>0</v>
      </c>
      <c r="AQ1328" s="291">
        <f>AQ1335</f>
        <v>0</v>
      </c>
      <c r="AR1328" s="291">
        <f>AR1335</f>
        <v>0</v>
      </c>
      <c r="AT1328" s="291">
        <f>AT1335</f>
        <v>0</v>
      </c>
      <c r="AU1328" s="291">
        <f>AU1335</f>
        <v>0</v>
      </c>
      <c r="AW1328" s="291">
        <f>AW1335</f>
        <v>0</v>
      </c>
      <c r="AX1328" s="291">
        <f>AX1335</f>
        <v>0</v>
      </c>
      <c r="AZ1328" s="291">
        <f>AZ1335</f>
        <v>0</v>
      </c>
      <c r="BA1328" s="291">
        <f>BA1335</f>
        <v>0</v>
      </c>
      <c r="BC1328" s="291">
        <f>BC1335</f>
        <v>0</v>
      </c>
      <c r="BD1328" s="291">
        <f>BD1335</f>
        <v>0</v>
      </c>
      <c r="BF1328" s="291">
        <f>BF1335</f>
        <v>0</v>
      </c>
      <c r="BG1328" s="291">
        <f>BG1335</f>
        <v>0</v>
      </c>
      <c r="BI1328" s="291">
        <f>BI1335</f>
        <v>0</v>
      </c>
      <c r="BJ1328" s="291">
        <f>BJ1335</f>
        <v>0</v>
      </c>
      <c r="BL1328" s="291">
        <f>BL1335</f>
        <v>0</v>
      </c>
      <c r="BM1328" s="291">
        <f>BM1335</f>
        <v>0</v>
      </c>
      <c r="BO1328" s="291">
        <f>BO1335</f>
        <v>0</v>
      </c>
      <c r="BP1328" s="291">
        <f>BP1335</f>
        <v>0</v>
      </c>
      <c r="BR1328" s="291">
        <f>BR1335</f>
        <v>0</v>
      </c>
      <c r="BS1328" s="291">
        <f>BS1335</f>
        <v>0</v>
      </c>
      <c r="BU1328" s="291">
        <f>BU1335</f>
        <v>0</v>
      </c>
      <c r="BV1328" s="291">
        <f>BV1335</f>
        <v>0</v>
      </c>
      <c r="BX1328" s="291">
        <f>BX1335</f>
        <v>0</v>
      </c>
      <c r="BY1328" s="291">
        <f>BY1335</f>
        <v>0</v>
      </c>
      <c r="CA1328" s="291">
        <f>CA1335</f>
        <v>0</v>
      </c>
      <c r="CB1328" s="291">
        <f>CB1335</f>
        <v>0</v>
      </c>
      <c r="CD1328" s="291">
        <f>CD1335</f>
        <v>0</v>
      </c>
      <c r="CE1328" s="291">
        <f>CE1335</f>
        <v>0</v>
      </c>
      <c r="CG1328" s="291">
        <f>CG1335</f>
        <v>0</v>
      </c>
      <c r="CH1328" s="291">
        <f>CH1335</f>
        <v>0</v>
      </c>
      <c r="CJ1328" s="291">
        <f>CJ1335</f>
        <v>0</v>
      </c>
      <c r="CK1328" s="291">
        <f>CK1335</f>
        <v>0</v>
      </c>
    </row>
    <row r="1329" spans="1:89" ht="30" x14ac:dyDescent="0.25">
      <c r="A1329" s="95"/>
      <c r="B1329" s="16" t="s">
        <v>257</v>
      </c>
      <c r="C1329" s="95" t="s">
        <v>258</v>
      </c>
      <c r="D1329" s="95" t="s">
        <v>1112</v>
      </c>
      <c r="E1329" s="291">
        <v>1</v>
      </c>
      <c r="F1329" s="291">
        <v>0</v>
      </c>
      <c r="G1329" s="291">
        <v>0</v>
      </c>
      <c r="H1329" s="291">
        <v>0</v>
      </c>
      <c r="I1329" s="291">
        <v>0</v>
      </c>
      <c r="J1329" s="291">
        <v>0</v>
      </c>
      <c r="K1329" s="291">
        <v>0</v>
      </c>
      <c r="L1329" s="291">
        <v>0</v>
      </c>
      <c r="M1329" s="291">
        <v>0</v>
      </c>
      <c r="N1329" s="291">
        <v>0</v>
      </c>
      <c r="Q1329" s="291">
        <v>0</v>
      </c>
      <c r="R1329" s="291">
        <v>0</v>
      </c>
      <c r="S1329" s="291">
        <v>0</v>
      </c>
      <c r="T1329" s="291">
        <v>0</v>
      </c>
      <c r="V1329" s="291">
        <v>0</v>
      </c>
      <c r="W1329" s="291">
        <v>0</v>
      </c>
      <c r="Y1329" s="291">
        <v>0</v>
      </c>
      <c r="Z1329" s="291">
        <v>0</v>
      </c>
      <c r="AB1329" s="291">
        <v>0</v>
      </c>
      <c r="AC1329" s="291">
        <v>0</v>
      </c>
      <c r="AE1329" s="291">
        <v>0</v>
      </c>
      <c r="AF1329" s="291">
        <v>0</v>
      </c>
      <c r="AH1329" s="291">
        <v>0</v>
      </c>
      <c r="AI1329" s="291">
        <v>0</v>
      </c>
      <c r="AK1329" s="291">
        <v>0</v>
      </c>
      <c r="AL1329" s="291">
        <v>0</v>
      </c>
      <c r="AN1329" s="291">
        <v>0</v>
      </c>
      <c r="AO1329" s="291">
        <v>0</v>
      </c>
      <c r="AQ1329" s="291">
        <v>0</v>
      </c>
      <c r="AR1329" s="291">
        <v>0</v>
      </c>
      <c r="AT1329" s="291">
        <v>0</v>
      </c>
      <c r="AU1329" s="291">
        <v>0</v>
      </c>
      <c r="AW1329" s="291">
        <v>0</v>
      </c>
      <c r="AX1329" s="291">
        <v>0</v>
      </c>
      <c r="AZ1329" s="291">
        <v>0</v>
      </c>
      <c r="BA1329" s="291">
        <v>0</v>
      </c>
      <c r="BC1329" s="291">
        <v>0</v>
      </c>
      <c r="BD1329" s="291">
        <v>0</v>
      </c>
      <c r="BF1329" s="291">
        <v>0</v>
      </c>
      <c r="BG1329" s="291">
        <v>0</v>
      </c>
      <c r="BI1329" s="291">
        <v>0</v>
      </c>
      <c r="BJ1329" s="291">
        <v>0</v>
      </c>
      <c r="BL1329" s="291">
        <v>0</v>
      </c>
      <c r="BM1329" s="291">
        <v>0</v>
      </c>
      <c r="BO1329" s="291">
        <v>0</v>
      </c>
      <c r="BP1329" s="291">
        <v>0</v>
      </c>
      <c r="BR1329" s="291">
        <v>0</v>
      </c>
      <c r="BS1329" s="291">
        <v>0</v>
      </c>
      <c r="BU1329" s="291">
        <v>0</v>
      </c>
      <c r="BV1329" s="291">
        <v>0</v>
      </c>
      <c r="BX1329" s="291">
        <v>0</v>
      </c>
      <c r="BY1329" s="291">
        <v>0</v>
      </c>
      <c r="CA1329" s="291">
        <v>0</v>
      </c>
      <c r="CB1329" s="291">
        <v>0</v>
      </c>
      <c r="CD1329" s="291">
        <v>0</v>
      </c>
      <c r="CE1329" s="291">
        <v>0</v>
      </c>
      <c r="CG1329" s="291">
        <v>0</v>
      </c>
      <c r="CH1329" s="291">
        <v>0</v>
      </c>
      <c r="CJ1329" s="291">
        <v>0</v>
      </c>
      <c r="CK1329" s="291">
        <v>0</v>
      </c>
    </row>
    <row r="1330" spans="1:89" x14ac:dyDescent="0.25">
      <c r="A1330" s="265"/>
      <c r="B1330" s="262" t="s">
        <v>1182</v>
      </c>
      <c r="C1330" s="95"/>
      <c r="D1330" s="95"/>
      <c r="E1330" s="291"/>
      <c r="F1330" s="291"/>
      <c r="G1330" s="291"/>
      <c r="H1330" s="291">
        <f>H1331+H1332</f>
        <v>317</v>
      </c>
      <c r="I1330" s="291">
        <f>I1331+I1332</f>
        <v>314</v>
      </c>
      <c r="J1330" s="291">
        <f>J1331+J1332</f>
        <v>307</v>
      </c>
      <c r="K1330" s="291">
        <f>K1331+K1332</f>
        <v>305</v>
      </c>
      <c r="L1330" s="291">
        <f>L1331+L1332</f>
        <v>18</v>
      </c>
      <c r="M1330" s="291">
        <f t="shared" ref="M1330:N1330" si="1676">M1331+M1332</f>
        <v>18</v>
      </c>
      <c r="N1330" s="291">
        <f t="shared" si="1676"/>
        <v>18</v>
      </c>
      <c r="Q1330" s="291">
        <f>Q1331+Q1332</f>
        <v>305</v>
      </c>
      <c r="R1330" s="291">
        <f>R1331+R1332</f>
        <v>307</v>
      </c>
      <c r="S1330" s="291">
        <f>S1331+S1332</f>
        <v>10</v>
      </c>
      <c r="T1330" s="291">
        <f>T1331+T1332</f>
        <v>11</v>
      </c>
      <c r="V1330" s="291">
        <f>V1331+V1332</f>
        <v>12</v>
      </c>
      <c r="W1330" s="291">
        <f>W1331+W1332</f>
        <v>12</v>
      </c>
      <c r="Y1330" s="291">
        <f>Y1331+Y1332</f>
        <v>15</v>
      </c>
      <c r="Z1330" s="291">
        <f>Z1331+Z1332</f>
        <v>15</v>
      </c>
      <c r="AB1330" s="291">
        <f>AB1331+AB1332</f>
        <v>13</v>
      </c>
      <c r="AC1330" s="291">
        <f>AC1331+AC1332</f>
        <v>13</v>
      </c>
      <c r="AE1330" s="291">
        <f>AE1331+AE1332</f>
        <v>17</v>
      </c>
      <c r="AF1330" s="291">
        <f>AF1331+AF1332</f>
        <v>16</v>
      </c>
      <c r="AH1330" s="291">
        <f>AH1331+AH1332</f>
        <v>18</v>
      </c>
      <c r="AI1330" s="291">
        <f>AI1331+AI1332</f>
        <v>18</v>
      </c>
      <c r="AK1330" s="291">
        <f>AK1331+AK1332</f>
        <v>11</v>
      </c>
      <c r="AL1330" s="291">
        <f>AL1331+AL1332</f>
        <v>11</v>
      </c>
      <c r="AN1330" s="291">
        <f>AN1331+AN1332</f>
        <v>18</v>
      </c>
      <c r="AO1330" s="291">
        <f>AO1331+AO1332</f>
        <v>18</v>
      </c>
      <c r="AQ1330" s="291">
        <f>AQ1331+AQ1332</f>
        <v>22</v>
      </c>
      <c r="AR1330" s="291">
        <f>AR1331+AR1332</f>
        <v>23</v>
      </c>
      <c r="AT1330" s="291">
        <f>AT1331+AT1332</f>
        <v>9</v>
      </c>
      <c r="AU1330" s="291">
        <f>AU1331+AU1332</f>
        <v>9</v>
      </c>
      <c r="AW1330" s="291">
        <f>AW1331+AW1332</f>
        <v>6</v>
      </c>
      <c r="AX1330" s="291">
        <f>AX1331+AX1332</f>
        <v>6</v>
      </c>
      <c r="AZ1330" s="291">
        <f>AZ1331+AZ1332</f>
        <v>7</v>
      </c>
      <c r="BA1330" s="291">
        <f>BA1331+BA1332</f>
        <v>7</v>
      </c>
      <c r="BC1330" s="291">
        <f>BC1331+BC1332</f>
        <v>15</v>
      </c>
      <c r="BD1330" s="291">
        <f>BD1331+BD1332</f>
        <v>15</v>
      </c>
      <c r="BF1330" s="291">
        <f>BF1331+BF1332</f>
        <v>33</v>
      </c>
      <c r="BG1330" s="291">
        <f>BG1331+BG1332</f>
        <v>34</v>
      </c>
      <c r="BI1330" s="291">
        <f>BI1331+BI1332</f>
        <v>37</v>
      </c>
      <c r="BJ1330" s="291">
        <f>BJ1331+BJ1332</f>
        <v>37</v>
      </c>
      <c r="BL1330" s="291">
        <f>BL1331+BL1332</f>
        <v>6</v>
      </c>
      <c r="BM1330" s="291">
        <f>BM1331+BM1332</f>
        <v>6</v>
      </c>
      <c r="BO1330" s="291">
        <f>BO1331+BO1332</f>
        <v>6</v>
      </c>
      <c r="BP1330" s="291">
        <f>BP1331+BP1332</f>
        <v>6</v>
      </c>
      <c r="BR1330" s="291">
        <f>BR1331+BR1332</f>
        <v>8</v>
      </c>
      <c r="BS1330" s="291">
        <f>BS1331+BS1332</f>
        <v>7</v>
      </c>
      <c r="BU1330" s="291">
        <f>BU1331+BU1332</f>
        <v>7</v>
      </c>
      <c r="BV1330" s="291">
        <f>BV1331+BV1332</f>
        <v>7</v>
      </c>
      <c r="BX1330" s="291">
        <f>BX1331+BX1332</f>
        <v>3</v>
      </c>
      <c r="BY1330" s="291">
        <f>BY1331+BY1332</f>
        <v>3</v>
      </c>
      <c r="CA1330" s="291">
        <f>CA1331+CA1332</f>
        <v>6</v>
      </c>
      <c r="CB1330" s="291">
        <f>CB1331+CB1332</f>
        <v>7</v>
      </c>
      <c r="CD1330" s="291">
        <f>CD1331+CD1332</f>
        <v>5</v>
      </c>
      <c r="CE1330" s="291">
        <f>CE1331+CE1332</f>
        <v>5</v>
      </c>
      <c r="CG1330" s="291">
        <f>CG1331+CG1332</f>
        <v>21</v>
      </c>
      <c r="CH1330" s="291">
        <f>CH1331+CH1332</f>
        <v>21</v>
      </c>
      <c r="CJ1330" s="291">
        <f>CJ1331+CJ1332</f>
        <v>0</v>
      </c>
      <c r="CK1330" s="291">
        <f>CK1331+CK1332</f>
        <v>0</v>
      </c>
    </row>
    <row r="1331" spans="1:89" ht="75" x14ac:dyDescent="0.25">
      <c r="A1331" s="265"/>
      <c r="B1331" s="265"/>
      <c r="C1331" s="265" t="s">
        <v>2758</v>
      </c>
      <c r="D1331" s="95" t="s">
        <v>1112</v>
      </c>
      <c r="E1331" s="291"/>
      <c r="F1331" s="291"/>
      <c r="G1331" s="291"/>
      <c r="H1331" s="291">
        <v>218</v>
      </c>
      <c r="I1331" s="291">
        <v>217</v>
      </c>
      <c r="J1331" s="291">
        <v>213</v>
      </c>
      <c r="K1331" s="291">
        <v>212</v>
      </c>
      <c r="L1331" s="291">
        <v>5</v>
      </c>
      <c r="M1331" s="291">
        <v>5</v>
      </c>
      <c r="N1331" s="291">
        <v>5</v>
      </c>
      <c r="O1331" s="283"/>
      <c r="Q1331" s="283">
        <f>S1331+V1331+Y1331+AB1331+AE1331+AH1331+AK1331+AN1331+AQ1331+AT1331+AW1331+AZ1331+BC1331+BF1331+BI1331+BL1331+BO1331+BR1331+BU1331+BX1331+CA1331+CD1331+CG1331+CJ1331</f>
        <v>212</v>
      </c>
      <c r="R1331" s="283">
        <f>T1331+W1331+Z1331+AC1331+AF1331+AI1331+AL1331+AO1331+AR1331+AU1331+AX1331+BA1331+BD1331+BG1331+BJ1331+BM1331+BP1331+BS1331+BV1331+BY1331+CB1331+CE1331+CH1331+CK1331</f>
        <v>214</v>
      </c>
      <c r="S1331" s="267">
        <v>3</v>
      </c>
      <c r="T1331" s="267">
        <v>4</v>
      </c>
      <c r="V1331" s="267">
        <v>4</v>
      </c>
      <c r="W1331" s="267">
        <v>4</v>
      </c>
      <c r="Y1331" s="267">
        <v>5</v>
      </c>
      <c r="Z1331" s="267">
        <v>5</v>
      </c>
      <c r="AB1331" s="267">
        <v>3</v>
      </c>
      <c r="AC1331" s="267">
        <v>3</v>
      </c>
      <c r="AE1331" s="267">
        <v>6</v>
      </c>
      <c r="AF1331" s="267">
        <v>6</v>
      </c>
      <c r="AH1331" s="267">
        <v>5</v>
      </c>
      <c r="AI1331" s="267">
        <v>5</v>
      </c>
      <c r="AK1331" s="267">
        <v>10</v>
      </c>
      <c r="AL1331" s="267">
        <v>10</v>
      </c>
      <c r="AN1331" s="267">
        <v>11</v>
      </c>
      <c r="AO1331" s="267">
        <v>11</v>
      </c>
      <c r="AQ1331" s="267">
        <v>0</v>
      </c>
      <c r="AR1331" s="267">
        <v>0</v>
      </c>
      <c r="AT1331" s="267">
        <v>9</v>
      </c>
      <c r="AU1331" s="267">
        <v>9</v>
      </c>
      <c r="AW1331" s="267">
        <v>6</v>
      </c>
      <c r="AX1331" s="267">
        <v>6</v>
      </c>
      <c r="AZ1331" s="267">
        <v>7</v>
      </c>
      <c r="BA1331" s="267">
        <v>7</v>
      </c>
      <c r="BC1331" s="267">
        <v>15</v>
      </c>
      <c r="BD1331" s="267">
        <v>15</v>
      </c>
      <c r="BF1331" s="267">
        <v>33</v>
      </c>
      <c r="BG1331" s="267">
        <v>34</v>
      </c>
      <c r="BI1331" s="267">
        <v>37</v>
      </c>
      <c r="BJ1331" s="267">
        <v>37</v>
      </c>
      <c r="BL1331" s="267">
        <v>6</v>
      </c>
      <c r="BM1331" s="267">
        <v>6</v>
      </c>
      <c r="BO1331" s="267">
        <v>6</v>
      </c>
      <c r="BP1331" s="267">
        <v>6</v>
      </c>
      <c r="BR1331" s="267">
        <v>8</v>
      </c>
      <c r="BS1331" s="267">
        <v>7</v>
      </c>
      <c r="BU1331" s="267">
        <v>7</v>
      </c>
      <c r="BV1331" s="267">
        <v>7</v>
      </c>
      <c r="BX1331" s="267">
        <v>3</v>
      </c>
      <c r="BY1331" s="267">
        <v>3</v>
      </c>
      <c r="CA1331" s="267">
        <v>6</v>
      </c>
      <c r="CB1331" s="267">
        <v>7</v>
      </c>
      <c r="CD1331" s="267">
        <v>5</v>
      </c>
      <c r="CE1331" s="267">
        <v>5</v>
      </c>
      <c r="CG1331" s="267">
        <v>17</v>
      </c>
      <c r="CH1331" s="267">
        <v>17</v>
      </c>
      <c r="CJ1331" s="267">
        <v>0</v>
      </c>
      <c r="CK1331" s="267">
        <v>0</v>
      </c>
    </row>
    <row r="1332" spans="1:89" ht="75" x14ac:dyDescent="0.25">
      <c r="A1332" s="265"/>
      <c r="B1332" s="265"/>
      <c r="C1332" s="265" t="s">
        <v>2758</v>
      </c>
      <c r="D1332" s="95" t="s">
        <v>1112</v>
      </c>
      <c r="E1332" s="291"/>
      <c r="F1332" s="291"/>
      <c r="G1332" s="291"/>
      <c r="H1332" s="291">
        <v>99</v>
      </c>
      <c r="I1332" s="291">
        <v>97</v>
      </c>
      <c r="J1332" s="291">
        <v>94</v>
      </c>
      <c r="K1332" s="291">
        <v>93</v>
      </c>
      <c r="L1332" s="291">
        <v>13</v>
      </c>
      <c r="M1332" s="291">
        <v>13</v>
      </c>
      <c r="N1332" s="291">
        <v>13</v>
      </c>
      <c r="O1332" s="283"/>
      <c r="Q1332" s="283">
        <f>S1332+V1332+Y1332+AB1332+AE1332+AH1332+AK1332+AN1332+AQ1332+AT1332+AW1332+AZ1332+BC1332+BF1332+BI1332+BL1332+BO1332+BR1332+BU1332+BX1332+CA1332+CD1332+CG1332+CJ1332</f>
        <v>93</v>
      </c>
      <c r="R1332" s="283">
        <f>T1332+W1332+Z1332+AC1332+AF1332+AI1332+AL1332+AO1332+AR1332+AU1332+AX1332+BA1332+BD1332+BG1332+BJ1332+BM1332+BP1332+BS1332+BV1332+BY1332+CB1332+CE1332+CH1332+CK1332</f>
        <v>93</v>
      </c>
      <c r="S1332" s="267">
        <v>7</v>
      </c>
      <c r="T1332" s="267">
        <v>7</v>
      </c>
      <c r="V1332" s="267">
        <v>8</v>
      </c>
      <c r="W1332" s="267">
        <v>8</v>
      </c>
      <c r="Y1332" s="267">
        <v>10</v>
      </c>
      <c r="Z1332" s="267">
        <v>10</v>
      </c>
      <c r="AB1332" s="267">
        <v>10</v>
      </c>
      <c r="AC1332" s="267">
        <v>10</v>
      </c>
      <c r="AE1332" s="267">
        <v>11</v>
      </c>
      <c r="AF1332" s="267">
        <v>10</v>
      </c>
      <c r="AH1332" s="267">
        <v>13</v>
      </c>
      <c r="AI1332" s="267">
        <v>13</v>
      </c>
      <c r="AK1332" s="267">
        <v>1</v>
      </c>
      <c r="AL1332" s="267">
        <v>1</v>
      </c>
      <c r="AN1332" s="267">
        <v>7</v>
      </c>
      <c r="AO1332" s="267">
        <v>7</v>
      </c>
      <c r="AQ1332" s="267">
        <v>22</v>
      </c>
      <c r="AR1332" s="267">
        <v>23</v>
      </c>
      <c r="AT1332" s="267">
        <v>0</v>
      </c>
      <c r="AU1332" s="267">
        <v>0</v>
      </c>
      <c r="AW1332" s="267">
        <v>0</v>
      </c>
      <c r="AX1332" s="267">
        <v>0</v>
      </c>
      <c r="AZ1332" s="267">
        <v>0</v>
      </c>
      <c r="BA1332" s="267">
        <v>0</v>
      </c>
      <c r="BC1332" s="267">
        <v>0</v>
      </c>
      <c r="BD1332" s="267">
        <v>0</v>
      </c>
      <c r="BF1332" s="267">
        <v>0</v>
      </c>
      <c r="BG1332" s="267">
        <v>0</v>
      </c>
      <c r="BI1332" s="267">
        <v>0</v>
      </c>
      <c r="BJ1332" s="267">
        <v>0</v>
      </c>
      <c r="BL1332" s="267">
        <v>0</v>
      </c>
      <c r="BM1332" s="267">
        <v>0</v>
      </c>
      <c r="BO1332" s="267">
        <v>0</v>
      </c>
      <c r="BP1332" s="267">
        <v>0</v>
      </c>
      <c r="BR1332" s="267">
        <v>0</v>
      </c>
      <c r="BS1332" s="267">
        <v>0</v>
      </c>
      <c r="BU1332" s="267">
        <v>0</v>
      </c>
      <c r="BV1332" s="267">
        <v>0</v>
      </c>
      <c r="BX1332" s="267">
        <v>0</v>
      </c>
      <c r="BY1332" s="267">
        <v>0</v>
      </c>
      <c r="CA1332" s="267">
        <v>0</v>
      </c>
      <c r="CB1332" s="267">
        <v>0</v>
      </c>
      <c r="CD1332" s="267">
        <v>0</v>
      </c>
      <c r="CE1332" s="267">
        <v>0</v>
      </c>
      <c r="CG1332" s="267">
        <v>4</v>
      </c>
      <c r="CH1332" s="267">
        <v>4</v>
      </c>
      <c r="CJ1332" s="267">
        <v>0</v>
      </c>
      <c r="CK1332" s="267">
        <v>0</v>
      </c>
    </row>
    <row r="1333" spans="1:89" x14ac:dyDescent="0.25">
      <c r="A1333" s="265"/>
      <c r="B1333" s="262" t="s">
        <v>1184</v>
      </c>
      <c r="C1333" s="95"/>
      <c r="D1333" s="95"/>
      <c r="E1333" s="291"/>
      <c r="F1333" s="291"/>
      <c r="G1333" s="291"/>
      <c r="H1333" s="291">
        <f>H1334+H1335</f>
        <v>4</v>
      </c>
      <c r="I1333" s="291">
        <f>I1334+I1335</f>
        <v>4</v>
      </c>
      <c r="J1333" s="291">
        <f>J1334+J1335</f>
        <v>4</v>
      </c>
      <c r="K1333" s="291">
        <f>K1334+K1335</f>
        <v>4</v>
      </c>
      <c r="L1333" s="291">
        <f>L1334+L1335</f>
        <v>0</v>
      </c>
      <c r="M1333" s="291">
        <f t="shared" ref="M1333:N1333" si="1677">M1334+M1335</f>
        <v>0</v>
      </c>
      <c r="N1333" s="291">
        <f t="shared" si="1677"/>
        <v>0</v>
      </c>
      <c r="Q1333" s="291">
        <f>Q1334+Q1335</f>
        <v>4</v>
      </c>
      <c r="R1333" s="291">
        <f>R1334+R1335</f>
        <v>4</v>
      </c>
      <c r="S1333" s="291">
        <f>S1334+S1335</f>
        <v>0</v>
      </c>
      <c r="T1333" s="291">
        <f>T1334+T1335</f>
        <v>0</v>
      </c>
      <c r="V1333" s="291">
        <f>V1334+V1335</f>
        <v>0</v>
      </c>
      <c r="W1333" s="291">
        <f>W1334+W1335</f>
        <v>0</v>
      </c>
      <c r="Y1333" s="291">
        <f>Y1334+Y1335</f>
        <v>0</v>
      </c>
      <c r="Z1333" s="291">
        <f>Z1334+Z1335</f>
        <v>0</v>
      </c>
      <c r="AB1333" s="291">
        <f>AB1334+AB1335</f>
        <v>0</v>
      </c>
      <c r="AC1333" s="291">
        <f>AC1334+AC1335</f>
        <v>0</v>
      </c>
      <c r="AE1333" s="291">
        <f>AE1334+AE1335</f>
        <v>0</v>
      </c>
      <c r="AF1333" s="291">
        <f>AF1334+AF1335</f>
        <v>0</v>
      </c>
      <c r="AH1333" s="291">
        <f>AH1334+AH1335</f>
        <v>0</v>
      </c>
      <c r="AI1333" s="291">
        <f>AI1334+AI1335</f>
        <v>0</v>
      </c>
      <c r="AK1333" s="291">
        <f>AK1334+AK1335</f>
        <v>0</v>
      </c>
      <c r="AL1333" s="291">
        <f>AL1334+AL1335</f>
        <v>0</v>
      </c>
      <c r="AN1333" s="291">
        <f>AN1334+AN1335</f>
        <v>0</v>
      </c>
      <c r="AO1333" s="291">
        <f>AO1334+AO1335</f>
        <v>0</v>
      </c>
      <c r="AQ1333" s="291">
        <f>AQ1334+AQ1335</f>
        <v>0</v>
      </c>
      <c r="AR1333" s="291">
        <f>AR1334+AR1335</f>
        <v>0</v>
      </c>
      <c r="AT1333" s="291">
        <f>AT1334+AT1335</f>
        <v>0</v>
      </c>
      <c r="AU1333" s="291">
        <f>AU1334+AU1335</f>
        <v>0</v>
      </c>
      <c r="AW1333" s="291">
        <f>AW1334+AW1335</f>
        <v>0</v>
      </c>
      <c r="AX1333" s="291">
        <f>AX1334+AX1335</f>
        <v>0</v>
      </c>
      <c r="AZ1333" s="291">
        <f>AZ1334+AZ1335</f>
        <v>0</v>
      </c>
      <c r="BA1333" s="291">
        <f>BA1334+BA1335</f>
        <v>0</v>
      </c>
      <c r="BC1333" s="291">
        <f>BC1334+BC1335</f>
        <v>1</v>
      </c>
      <c r="BD1333" s="291">
        <f>BD1334+BD1335</f>
        <v>1</v>
      </c>
      <c r="BF1333" s="291">
        <f>BF1334+BF1335</f>
        <v>1</v>
      </c>
      <c r="BG1333" s="291">
        <f>BG1334+BG1335</f>
        <v>1</v>
      </c>
      <c r="BI1333" s="291">
        <f>BI1334+BI1335</f>
        <v>1</v>
      </c>
      <c r="BJ1333" s="291">
        <f>BJ1334+BJ1335</f>
        <v>1</v>
      </c>
      <c r="BL1333" s="291">
        <f>BL1334+BL1335</f>
        <v>0</v>
      </c>
      <c r="BM1333" s="291">
        <f>BM1334+BM1335</f>
        <v>0</v>
      </c>
      <c r="BO1333" s="291">
        <f>BO1334+BO1335</f>
        <v>0</v>
      </c>
      <c r="BP1333" s="291">
        <f>BP1334+BP1335</f>
        <v>0</v>
      </c>
      <c r="BR1333" s="291">
        <f>BR1334+BR1335</f>
        <v>0</v>
      </c>
      <c r="BS1333" s="291">
        <f>BS1334+BS1335</f>
        <v>0</v>
      </c>
      <c r="BU1333" s="291">
        <f>BU1334+BU1335</f>
        <v>0</v>
      </c>
      <c r="BV1333" s="291">
        <f>BV1334+BV1335</f>
        <v>0</v>
      </c>
      <c r="BX1333" s="291">
        <f>BX1334+BX1335</f>
        <v>0</v>
      </c>
      <c r="BY1333" s="291">
        <f>BY1334+BY1335</f>
        <v>0</v>
      </c>
      <c r="CA1333" s="291">
        <f>CA1334+CA1335</f>
        <v>0</v>
      </c>
      <c r="CB1333" s="291">
        <f>CB1334+CB1335</f>
        <v>0</v>
      </c>
      <c r="CD1333" s="291">
        <f>CD1334+CD1335</f>
        <v>1</v>
      </c>
      <c r="CE1333" s="291">
        <f>CE1334+CE1335</f>
        <v>1</v>
      </c>
      <c r="CG1333" s="291">
        <f>CG1334+CG1335</f>
        <v>0</v>
      </c>
      <c r="CH1333" s="291">
        <f>CH1334+CH1335</f>
        <v>0</v>
      </c>
      <c r="CJ1333" s="291">
        <f>CJ1334+CJ1335</f>
        <v>0</v>
      </c>
      <c r="CK1333" s="291">
        <f>CK1334+CK1335</f>
        <v>0</v>
      </c>
    </row>
    <row r="1334" spans="1:89" ht="75" x14ac:dyDescent="0.25">
      <c r="A1334" s="265"/>
      <c r="B1334" s="265"/>
      <c r="C1334" s="265" t="s">
        <v>2758</v>
      </c>
      <c r="D1334" s="95" t="s">
        <v>1112</v>
      </c>
      <c r="E1334" s="291"/>
      <c r="F1334" s="291"/>
      <c r="G1334" s="291"/>
      <c r="H1334" s="291">
        <v>4</v>
      </c>
      <c r="I1334" s="291">
        <v>4</v>
      </c>
      <c r="J1334" s="291">
        <v>4</v>
      </c>
      <c r="K1334" s="291">
        <v>4</v>
      </c>
      <c r="L1334" s="291">
        <v>0</v>
      </c>
      <c r="M1334" s="291">
        <v>0</v>
      </c>
      <c r="N1334" s="291">
        <v>0</v>
      </c>
      <c r="O1334" s="283"/>
      <c r="Q1334" s="283">
        <f>S1334+V1334+Y1334+AB1334+AE1334+AH1334+AK1334+AN1334+AQ1334+AT1334+AW1334+AZ1334+BC1334+BF1334+BI1334+BL1334+BO1334+BR1334+BU1334+BX1334+CA1334+CD1334+CG1334+CJ1334</f>
        <v>4</v>
      </c>
      <c r="R1334" s="283">
        <f>T1334+W1334+Z1334+AC1334+AF1334+AI1334+AL1334+AO1334+AR1334+AU1334+AX1334+BA1334+BD1334+BG1334+BJ1334+BM1334+BP1334+BS1334+BV1334+BY1334+CB1334+CE1334+CH1334+CK1334</f>
        <v>4</v>
      </c>
      <c r="S1334" s="267">
        <v>0</v>
      </c>
      <c r="T1334" s="267">
        <v>0</v>
      </c>
      <c r="V1334" s="267">
        <v>0</v>
      </c>
      <c r="W1334" s="267">
        <v>0</v>
      </c>
      <c r="Y1334" s="267">
        <v>0</v>
      </c>
      <c r="Z1334" s="267">
        <v>0</v>
      </c>
      <c r="AB1334" s="267">
        <v>0</v>
      </c>
      <c r="AC1334" s="267">
        <v>0</v>
      </c>
      <c r="AE1334" s="267">
        <v>0</v>
      </c>
      <c r="AF1334" s="267">
        <v>0</v>
      </c>
      <c r="AH1334" s="267">
        <v>0</v>
      </c>
      <c r="AI1334" s="267">
        <v>0</v>
      </c>
      <c r="AK1334" s="267">
        <v>0</v>
      </c>
      <c r="AL1334" s="267">
        <v>0</v>
      </c>
      <c r="AN1334" s="267">
        <v>0</v>
      </c>
      <c r="AO1334" s="267">
        <v>0</v>
      </c>
      <c r="AQ1334" s="267">
        <v>0</v>
      </c>
      <c r="AR1334" s="267">
        <v>0</v>
      </c>
      <c r="AT1334" s="267">
        <v>0</v>
      </c>
      <c r="AU1334" s="267">
        <v>0</v>
      </c>
      <c r="AW1334" s="267">
        <v>0</v>
      </c>
      <c r="AX1334" s="267">
        <v>0</v>
      </c>
      <c r="AZ1334" s="267">
        <v>0</v>
      </c>
      <c r="BA1334" s="267">
        <v>0</v>
      </c>
      <c r="BC1334" s="267">
        <v>1</v>
      </c>
      <c r="BD1334" s="304">
        <v>1</v>
      </c>
      <c r="BF1334" s="267">
        <v>1</v>
      </c>
      <c r="BG1334" s="304">
        <v>1</v>
      </c>
      <c r="BI1334" s="267">
        <v>1</v>
      </c>
      <c r="BJ1334" s="304">
        <v>1</v>
      </c>
      <c r="BL1334" s="267">
        <v>0</v>
      </c>
      <c r="BM1334" s="267">
        <v>0</v>
      </c>
      <c r="BO1334" s="267">
        <v>0</v>
      </c>
      <c r="BP1334" s="267">
        <v>0</v>
      </c>
      <c r="BR1334" s="267">
        <v>0</v>
      </c>
      <c r="BS1334" s="267">
        <v>0</v>
      </c>
      <c r="BU1334" s="267">
        <v>0</v>
      </c>
      <c r="BV1334" s="267">
        <v>0</v>
      </c>
      <c r="BX1334" s="267">
        <v>0</v>
      </c>
      <c r="BY1334" s="267">
        <v>0</v>
      </c>
      <c r="CA1334" s="267">
        <v>0</v>
      </c>
      <c r="CB1334" s="267">
        <v>0</v>
      </c>
      <c r="CD1334" s="267">
        <v>1</v>
      </c>
      <c r="CE1334" s="304">
        <v>1</v>
      </c>
      <c r="CG1334" s="267">
        <v>0</v>
      </c>
      <c r="CH1334" s="267">
        <v>0</v>
      </c>
      <c r="CJ1334" s="267">
        <v>0</v>
      </c>
      <c r="CK1334" s="267">
        <v>0</v>
      </c>
    </row>
    <row r="1335" spans="1:89" ht="75" x14ac:dyDescent="0.25">
      <c r="A1335" s="264"/>
      <c r="B1335" s="265"/>
      <c r="C1335" s="265" t="s">
        <v>2758</v>
      </c>
      <c r="D1335" s="95" t="s">
        <v>1112</v>
      </c>
      <c r="E1335" s="291"/>
      <c r="F1335" s="291"/>
      <c r="G1335" s="291"/>
      <c r="H1335" s="291">
        <v>0</v>
      </c>
      <c r="I1335" s="291">
        <v>0</v>
      </c>
      <c r="J1335" s="291">
        <v>0</v>
      </c>
      <c r="K1335" s="291">
        <v>0</v>
      </c>
      <c r="L1335" s="291">
        <v>0</v>
      </c>
      <c r="M1335" s="291">
        <v>0</v>
      </c>
      <c r="N1335" s="291">
        <v>0</v>
      </c>
      <c r="Q1335" s="283">
        <f>S1335+V1335+Y1335+AB1335+AE1335+AH1335+AK1335+AN1335+AQ1335+AT1335+AW1335+AZ1335+BC1335+BF1335+BI1335+BL1335+BO1335+BR1335+BU1335+BX1335+CA1335+CD1335+CG1335+CJ1335</f>
        <v>0</v>
      </c>
      <c r="R1335" s="283">
        <f>T1335+W1335+Z1335+AC1335+AF1335+AI1335+AL1335+AO1335+AR1335+AU1335+AX1335+BA1335+BD1335+BG1335+BJ1335+BM1335+BP1335+BS1335+BV1335+BY1335+CB1335+CE1335+CH1335+CK1335</f>
        <v>0</v>
      </c>
      <c r="S1335" s="267">
        <v>0</v>
      </c>
      <c r="T1335" s="267">
        <v>0</v>
      </c>
      <c r="V1335" s="267">
        <v>0</v>
      </c>
      <c r="W1335" s="267">
        <v>0</v>
      </c>
      <c r="Y1335" s="267">
        <v>0</v>
      </c>
      <c r="Z1335" s="267">
        <v>0</v>
      </c>
      <c r="AB1335" s="267">
        <v>0</v>
      </c>
      <c r="AC1335" s="267">
        <v>0</v>
      </c>
      <c r="AE1335" s="267">
        <v>0</v>
      </c>
      <c r="AF1335" s="267">
        <v>0</v>
      </c>
      <c r="AH1335" s="267">
        <v>0</v>
      </c>
      <c r="AI1335" s="267">
        <v>0</v>
      </c>
      <c r="AK1335" s="267">
        <v>0</v>
      </c>
      <c r="AL1335" s="267">
        <v>0</v>
      </c>
      <c r="AN1335" s="267">
        <v>0</v>
      </c>
      <c r="AO1335" s="267">
        <v>0</v>
      </c>
      <c r="AQ1335" s="267">
        <v>0</v>
      </c>
      <c r="AR1335" s="267">
        <v>0</v>
      </c>
      <c r="AT1335" s="267">
        <v>0</v>
      </c>
      <c r="AU1335" s="267">
        <v>0</v>
      </c>
      <c r="AW1335" s="267">
        <v>0</v>
      </c>
      <c r="AX1335" s="267">
        <v>0</v>
      </c>
      <c r="AZ1335" s="267">
        <v>0</v>
      </c>
      <c r="BA1335" s="267">
        <v>0</v>
      </c>
      <c r="BC1335" s="267">
        <v>0</v>
      </c>
      <c r="BD1335" s="267">
        <v>0</v>
      </c>
      <c r="BF1335" s="267">
        <v>0</v>
      </c>
      <c r="BG1335" s="267">
        <v>0</v>
      </c>
      <c r="BI1335" s="267">
        <v>0</v>
      </c>
      <c r="BJ1335" s="267">
        <v>0</v>
      </c>
      <c r="BL1335" s="267">
        <v>0</v>
      </c>
      <c r="BM1335" s="267">
        <v>0</v>
      </c>
      <c r="BO1335" s="267">
        <v>0</v>
      </c>
      <c r="BP1335" s="267">
        <v>0</v>
      </c>
      <c r="BR1335" s="267">
        <v>0</v>
      </c>
      <c r="BS1335" s="267">
        <v>0</v>
      </c>
      <c r="BU1335" s="267">
        <v>0</v>
      </c>
      <c r="BV1335" s="267">
        <v>0</v>
      </c>
      <c r="BX1335" s="267">
        <v>0</v>
      </c>
      <c r="BY1335" s="267">
        <v>0</v>
      </c>
      <c r="CA1335" s="267">
        <v>0</v>
      </c>
      <c r="CB1335" s="267">
        <v>0</v>
      </c>
      <c r="CD1335" s="267">
        <v>0</v>
      </c>
      <c r="CE1335" s="267">
        <v>0</v>
      </c>
      <c r="CG1335" s="267">
        <v>0</v>
      </c>
      <c r="CH1335" s="267">
        <v>0</v>
      </c>
      <c r="CJ1335" s="267">
        <v>0</v>
      </c>
      <c r="CK1335" s="267">
        <v>0</v>
      </c>
    </row>
    <row r="1336" spans="1:89" ht="30" x14ac:dyDescent="0.25">
      <c r="A1336" s="416"/>
      <c r="B1336" s="419" t="s">
        <v>203</v>
      </c>
      <c r="C1336" s="95" t="s">
        <v>1206</v>
      </c>
      <c r="D1336" s="95" t="s">
        <v>1112</v>
      </c>
      <c r="E1336" s="291">
        <v>223</v>
      </c>
      <c r="F1336" s="291">
        <v>223</v>
      </c>
      <c r="G1336" s="291">
        <v>218</v>
      </c>
      <c r="H1336" s="291">
        <f t="shared" ref="H1336:J1337" si="1678">H1342</f>
        <v>222</v>
      </c>
      <c r="I1336" s="291">
        <f t="shared" si="1678"/>
        <v>220</v>
      </c>
      <c r="J1336" s="291">
        <f t="shared" si="1678"/>
        <v>215</v>
      </c>
      <c r="K1336" s="291">
        <f>K1342</f>
        <v>213</v>
      </c>
      <c r="L1336" s="291">
        <f>L1342</f>
        <v>0</v>
      </c>
      <c r="M1336" s="291">
        <f t="shared" ref="M1336:N1337" si="1679">M1342</f>
        <v>0</v>
      </c>
      <c r="N1336" s="291">
        <f t="shared" si="1679"/>
        <v>0</v>
      </c>
      <c r="O1336" s="281"/>
      <c r="Q1336" s="291">
        <f t="shared" ref="Q1336:T1337" si="1680">Q1342</f>
        <v>213</v>
      </c>
      <c r="R1336" s="291">
        <f t="shared" si="1680"/>
        <v>215</v>
      </c>
      <c r="S1336" s="291">
        <f t="shared" si="1680"/>
        <v>3</v>
      </c>
      <c r="T1336" s="291">
        <f t="shared" si="1680"/>
        <v>4</v>
      </c>
      <c r="V1336" s="291">
        <f>V1342</f>
        <v>4</v>
      </c>
      <c r="W1336" s="291">
        <f>W1342</f>
        <v>4</v>
      </c>
      <c r="Y1336" s="291">
        <f>Y1342</f>
        <v>5</v>
      </c>
      <c r="Z1336" s="291">
        <f>Z1342</f>
        <v>5</v>
      </c>
      <c r="AB1336" s="291">
        <f>AB1342</f>
        <v>3</v>
      </c>
      <c r="AC1336" s="291">
        <f>AC1342</f>
        <v>3</v>
      </c>
      <c r="AE1336" s="291">
        <f>AE1342</f>
        <v>6</v>
      </c>
      <c r="AF1336" s="291">
        <f>AF1342</f>
        <v>6</v>
      </c>
      <c r="AH1336" s="291">
        <f>AH1342</f>
        <v>5</v>
      </c>
      <c r="AI1336" s="291">
        <f>AI1342</f>
        <v>5</v>
      </c>
      <c r="AK1336" s="291">
        <f>AK1342</f>
        <v>10</v>
      </c>
      <c r="AL1336" s="291">
        <f>AL1342</f>
        <v>10</v>
      </c>
      <c r="AN1336" s="291">
        <f>AN1342</f>
        <v>11</v>
      </c>
      <c r="AO1336" s="291">
        <f>AO1342</f>
        <v>11</v>
      </c>
      <c r="AQ1336" s="291">
        <f>AQ1342</f>
        <v>0</v>
      </c>
      <c r="AR1336" s="291">
        <f>AR1342</f>
        <v>0</v>
      </c>
      <c r="AT1336" s="291">
        <f>AT1342</f>
        <v>9</v>
      </c>
      <c r="AU1336" s="291">
        <f>AU1342</f>
        <v>9</v>
      </c>
      <c r="AW1336" s="291">
        <f>AW1342</f>
        <v>6</v>
      </c>
      <c r="AX1336" s="291">
        <f>AX1342</f>
        <v>6</v>
      </c>
      <c r="AZ1336" s="291">
        <f>AZ1342</f>
        <v>7</v>
      </c>
      <c r="BA1336" s="291">
        <f>BA1342</f>
        <v>7</v>
      </c>
      <c r="BC1336" s="291">
        <f>BC1342</f>
        <v>15</v>
      </c>
      <c r="BD1336" s="291">
        <f>BD1342</f>
        <v>15</v>
      </c>
      <c r="BF1336" s="291">
        <f>BF1342</f>
        <v>33</v>
      </c>
      <c r="BG1336" s="291">
        <f>BG1342</f>
        <v>34</v>
      </c>
      <c r="BI1336" s="291">
        <f>BI1342</f>
        <v>37</v>
      </c>
      <c r="BJ1336" s="291">
        <f>BJ1342</f>
        <v>37</v>
      </c>
      <c r="BL1336" s="291">
        <f>BL1342</f>
        <v>6</v>
      </c>
      <c r="BM1336" s="291">
        <f>BM1342</f>
        <v>6</v>
      </c>
      <c r="BO1336" s="291">
        <f>BO1342</f>
        <v>6</v>
      </c>
      <c r="BP1336" s="291">
        <f>BP1342</f>
        <v>6</v>
      </c>
      <c r="BR1336" s="291">
        <f>BR1342</f>
        <v>8</v>
      </c>
      <c r="BS1336" s="291">
        <f>BS1342</f>
        <v>7</v>
      </c>
      <c r="BU1336" s="291">
        <f>BU1342</f>
        <v>7</v>
      </c>
      <c r="BV1336" s="291">
        <f>BV1342</f>
        <v>7</v>
      </c>
      <c r="BX1336" s="291">
        <f>BX1342</f>
        <v>3</v>
      </c>
      <c r="BY1336" s="291">
        <f>BY1342</f>
        <v>3</v>
      </c>
      <c r="CA1336" s="291">
        <f>CA1342</f>
        <v>6</v>
      </c>
      <c r="CB1336" s="291">
        <f>CB1342</f>
        <v>7</v>
      </c>
      <c r="CD1336" s="291">
        <f>CD1342</f>
        <v>5</v>
      </c>
      <c r="CE1336" s="291">
        <f>CE1342</f>
        <v>5</v>
      </c>
      <c r="CG1336" s="291">
        <f>CG1342</f>
        <v>18</v>
      </c>
      <c r="CH1336" s="291">
        <f>CH1342</f>
        <v>18</v>
      </c>
      <c r="CJ1336" s="291">
        <f>CJ1342</f>
        <v>0</v>
      </c>
      <c r="CK1336" s="291">
        <f>CK1342</f>
        <v>0</v>
      </c>
    </row>
    <row r="1337" spans="1:89" ht="30" x14ac:dyDescent="0.25">
      <c r="A1337" s="417"/>
      <c r="B1337" s="420"/>
      <c r="C1337" s="95" t="s">
        <v>1262</v>
      </c>
      <c r="D1337" s="95" t="s">
        <v>1112</v>
      </c>
      <c r="E1337" s="291">
        <v>113</v>
      </c>
      <c r="F1337" s="291">
        <v>111</v>
      </c>
      <c r="G1337" s="291">
        <v>108</v>
      </c>
      <c r="H1337" s="291">
        <f t="shared" si="1678"/>
        <v>100</v>
      </c>
      <c r="I1337" s="291">
        <f t="shared" si="1678"/>
        <v>98</v>
      </c>
      <c r="J1337" s="291">
        <f t="shared" si="1678"/>
        <v>95</v>
      </c>
      <c r="K1337" s="291">
        <f>K1343</f>
        <v>94</v>
      </c>
      <c r="L1337" s="291">
        <f>L1343</f>
        <v>0</v>
      </c>
      <c r="M1337" s="291">
        <f t="shared" si="1679"/>
        <v>0</v>
      </c>
      <c r="N1337" s="291">
        <f t="shared" si="1679"/>
        <v>0</v>
      </c>
      <c r="Q1337" s="291">
        <f t="shared" si="1680"/>
        <v>94</v>
      </c>
      <c r="R1337" s="291">
        <f t="shared" si="1680"/>
        <v>94</v>
      </c>
      <c r="S1337" s="291">
        <f t="shared" si="1680"/>
        <v>7</v>
      </c>
      <c r="T1337" s="291">
        <f t="shared" si="1680"/>
        <v>7</v>
      </c>
      <c r="V1337" s="291">
        <f>V1343</f>
        <v>8</v>
      </c>
      <c r="W1337" s="291">
        <f>W1343</f>
        <v>8</v>
      </c>
      <c r="Y1337" s="291">
        <f>Y1343</f>
        <v>10</v>
      </c>
      <c r="Z1337" s="291">
        <f>Z1343</f>
        <v>10</v>
      </c>
      <c r="AB1337" s="291">
        <f>AB1343</f>
        <v>10</v>
      </c>
      <c r="AC1337" s="291">
        <f>AC1343</f>
        <v>10</v>
      </c>
      <c r="AE1337" s="291">
        <f>AE1343</f>
        <v>11</v>
      </c>
      <c r="AF1337" s="291">
        <f>AF1343</f>
        <v>10</v>
      </c>
      <c r="AH1337" s="291">
        <f>AH1343</f>
        <v>13</v>
      </c>
      <c r="AI1337" s="291">
        <f>AI1343</f>
        <v>13</v>
      </c>
      <c r="AK1337" s="291">
        <f>AK1343</f>
        <v>1</v>
      </c>
      <c r="AL1337" s="291">
        <f>AL1343</f>
        <v>1</v>
      </c>
      <c r="AN1337" s="291">
        <f>AN1343</f>
        <v>7</v>
      </c>
      <c r="AO1337" s="291">
        <f>AO1343</f>
        <v>7</v>
      </c>
      <c r="AQ1337" s="291">
        <f>AQ1343</f>
        <v>23</v>
      </c>
      <c r="AR1337" s="291">
        <f>AR1343</f>
        <v>24</v>
      </c>
      <c r="AT1337" s="291">
        <f>AT1343</f>
        <v>0</v>
      </c>
      <c r="AU1337" s="291">
        <f>AU1343</f>
        <v>0</v>
      </c>
      <c r="AW1337" s="291">
        <f>AW1343</f>
        <v>0</v>
      </c>
      <c r="AX1337" s="291">
        <f>AX1343</f>
        <v>0</v>
      </c>
      <c r="AZ1337" s="291">
        <f>AZ1343</f>
        <v>0</v>
      </c>
      <c r="BA1337" s="291">
        <f>BA1343</f>
        <v>0</v>
      </c>
      <c r="BC1337" s="291">
        <f>BC1343</f>
        <v>0</v>
      </c>
      <c r="BD1337" s="291">
        <f>BD1343</f>
        <v>0</v>
      </c>
      <c r="BF1337" s="291">
        <f>BF1343</f>
        <v>0</v>
      </c>
      <c r="BG1337" s="291">
        <f>BG1343</f>
        <v>0</v>
      </c>
      <c r="BI1337" s="291">
        <f>BI1343</f>
        <v>0</v>
      </c>
      <c r="BJ1337" s="291">
        <f>BJ1343</f>
        <v>0</v>
      </c>
      <c r="BL1337" s="291">
        <f>BL1343</f>
        <v>0</v>
      </c>
      <c r="BM1337" s="291">
        <f>BM1343</f>
        <v>0</v>
      </c>
      <c r="BO1337" s="291">
        <f>BO1343</f>
        <v>0</v>
      </c>
      <c r="BP1337" s="291">
        <f>BP1343</f>
        <v>0</v>
      </c>
      <c r="BR1337" s="291">
        <f>BR1343</f>
        <v>0</v>
      </c>
      <c r="BS1337" s="291">
        <f>BS1343</f>
        <v>0</v>
      </c>
      <c r="BU1337" s="291">
        <f>BU1343</f>
        <v>0</v>
      </c>
      <c r="BV1337" s="291">
        <f>BV1343</f>
        <v>0</v>
      </c>
      <c r="BX1337" s="291">
        <f>BX1343</f>
        <v>0</v>
      </c>
      <c r="BY1337" s="291">
        <f>BY1343</f>
        <v>0</v>
      </c>
      <c r="CA1337" s="291">
        <f>CA1343</f>
        <v>0</v>
      </c>
      <c r="CB1337" s="291">
        <f>CB1343</f>
        <v>0</v>
      </c>
      <c r="CD1337" s="291">
        <f>CD1343</f>
        <v>0</v>
      </c>
      <c r="CE1337" s="291">
        <f>CE1343</f>
        <v>0</v>
      </c>
      <c r="CG1337" s="291">
        <f>CG1343</f>
        <v>4</v>
      </c>
      <c r="CH1337" s="291">
        <f>CH1343</f>
        <v>4</v>
      </c>
      <c r="CJ1337" s="291">
        <f>CJ1343</f>
        <v>0</v>
      </c>
      <c r="CK1337" s="291">
        <f>CK1343</f>
        <v>0</v>
      </c>
    </row>
    <row r="1338" spans="1:89" ht="30" x14ac:dyDescent="0.25">
      <c r="A1338" s="417"/>
      <c r="B1338" s="420"/>
      <c r="C1338" s="95" t="s">
        <v>1207</v>
      </c>
      <c r="D1338" s="95" t="s">
        <v>1112</v>
      </c>
      <c r="E1338" s="291">
        <v>5</v>
      </c>
      <c r="F1338" s="291">
        <v>5</v>
      </c>
      <c r="G1338" s="291">
        <v>5</v>
      </c>
      <c r="H1338" s="291">
        <f t="shared" ref="H1338:J1339" si="1681">H1345</f>
        <v>4</v>
      </c>
      <c r="I1338" s="291">
        <f t="shared" si="1681"/>
        <v>4</v>
      </c>
      <c r="J1338" s="291">
        <f t="shared" si="1681"/>
        <v>4</v>
      </c>
      <c r="K1338" s="291">
        <f>K1345</f>
        <v>4</v>
      </c>
      <c r="L1338" s="291">
        <f>L1345</f>
        <v>0</v>
      </c>
      <c r="M1338" s="291">
        <f t="shared" ref="M1338:N1339" si="1682">M1345</f>
        <v>0</v>
      </c>
      <c r="N1338" s="291">
        <f t="shared" si="1682"/>
        <v>0</v>
      </c>
      <c r="Q1338" s="291">
        <f t="shared" ref="Q1338:T1339" si="1683">Q1345</f>
        <v>4</v>
      </c>
      <c r="R1338" s="291">
        <f t="shared" si="1683"/>
        <v>4</v>
      </c>
      <c r="S1338" s="291">
        <f t="shared" si="1683"/>
        <v>0</v>
      </c>
      <c r="T1338" s="291">
        <f t="shared" si="1683"/>
        <v>0</v>
      </c>
      <c r="V1338" s="291">
        <f>V1345</f>
        <v>0</v>
      </c>
      <c r="W1338" s="291">
        <f>W1345</f>
        <v>0</v>
      </c>
      <c r="Y1338" s="291">
        <f>Y1345</f>
        <v>0</v>
      </c>
      <c r="Z1338" s="291">
        <f>Z1345</f>
        <v>0</v>
      </c>
      <c r="AB1338" s="291">
        <f>AB1345</f>
        <v>0</v>
      </c>
      <c r="AC1338" s="291">
        <f>AC1345</f>
        <v>0</v>
      </c>
      <c r="AE1338" s="291">
        <f>AE1345</f>
        <v>0</v>
      </c>
      <c r="AF1338" s="291">
        <f>AF1345</f>
        <v>0</v>
      </c>
      <c r="AH1338" s="291">
        <f>AH1345</f>
        <v>0</v>
      </c>
      <c r="AI1338" s="291">
        <f>AI1345</f>
        <v>0</v>
      </c>
      <c r="AK1338" s="291">
        <f>AK1345</f>
        <v>0</v>
      </c>
      <c r="AL1338" s="291">
        <f>AL1345</f>
        <v>0</v>
      </c>
      <c r="AN1338" s="291">
        <f>AN1345</f>
        <v>0</v>
      </c>
      <c r="AO1338" s="291">
        <f>AO1345</f>
        <v>0</v>
      </c>
      <c r="AQ1338" s="291">
        <f>AQ1345</f>
        <v>0</v>
      </c>
      <c r="AR1338" s="291">
        <f>AR1345</f>
        <v>0</v>
      </c>
      <c r="AT1338" s="291">
        <f>AT1345</f>
        <v>0</v>
      </c>
      <c r="AU1338" s="291">
        <f>AU1345</f>
        <v>0</v>
      </c>
      <c r="AW1338" s="291">
        <f>AW1345</f>
        <v>0</v>
      </c>
      <c r="AX1338" s="291">
        <f>AX1345</f>
        <v>0</v>
      </c>
      <c r="AZ1338" s="291">
        <f>AZ1345</f>
        <v>0</v>
      </c>
      <c r="BA1338" s="291">
        <f>BA1345</f>
        <v>0</v>
      </c>
      <c r="BC1338" s="291">
        <f>BC1345</f>
        <v>1</v>
      </c>
      <c r="BD1338" s="291">
        <f>BD1345</f>
        <v>1</v>
      </c>
      <c r="BF1338" s="291">
        <f>BF1345</f>
        <v>1</v>
      </c>
      <c r="BG1338" s="291">
        <f>BG1345</f>
        <v>1</v>
      </c>
      <c r="BI1338" s="291">
        <f>BI1345</f>
        <v>1</v>
      </c>
      <c r="BJ1338" s="291">
        <f>BJ1345</f>
        <v>1</v>
      </c>
      <c r="BL1338" s="291">
        <f>BL1345</f>
        <v>0</v>
      </c>
      <c r="BM1338" s="291">
        <f>BM1345</f>
        <v>0</v>
      </c>
      <c r="BO1338" s="291">
        <f>BO1345</f>
        <v>0</v>
      </c>
      <c r="BP1338" s="291">
        <f>BP1345</f>
        <v>0</v>
      </c>
      <c r="BR1338" s="291">
        <f>BR1345</f>
        <v>0</v>
      </c>
      <c r="BS1338" s="291">
        <f>BS1345</f>
        <v>0</v>
      </c>
      <c r="BU1338" s="291">
        <f>BU1345</f>
        <v>0</v>
      </c>
      <c r="BV1338" s="291">
        <f>BV1345</f>
        <v>0</v>
      </c>
      <c r="BX1338" s="291">
        <f>BX1345</f>
        <v>0</v>
      </c>
      <c r="BY1338" s="291">
        <f>BY1345</f>
        <v>0</v>
      </c>
      <c r="CA1338" s="291">
        <f>CA1345</f>
        <v>0</v>
      </c>
      <c r="CB1338" s="291">
        <f>CB1345</f>
        <v>0</v>
      </c>
      <c r="CD1338" s="291">
        <f>CD1345</f>
        <v>1</v>
      </c>
      <c r="CE1338" s="291">
        <f>CE1345</f>
        <v>1</v>
      </c>
      <c r="CG1338" s="291">
        <f>CG1345</f>
        <v>0</v>
      </c>
      <c r="CH1338" s="291">
        <f>CH1345</f>
        <v>0</v>
      </c>
      <c r="CJ1338" s="291">
        <f>CJ1345</f>
        <v>0</v>
      </c>
      <c r="CK1338" s="291">
        <f>CK1345</f>
        <v>0</v>
      </c>
    </row>
    <row r="1339" spans="1:89" ht="30" x14ac:dyDescent="0.25">
      <c r="A1339" s="418"/>
      <c r="B1339" s="421"/>
      <c r="C1339" s="95" t="s">
        <v>1263</v>
      </c>
      <c r="D1339" s="95" t="s">
        <v>1112</v>
      </c>
      <c r="E1339" s="291">
        <v>0</v>
      </c>
      <c r="F1339" s="291">
        <v>0</v>
      </c>
      <c r="G1339" s="291">
        <v>0</v>
      </c>
      <c r="H1339" s="291">
        <f t="shared" si="1681"/>
        <v>0</v>
      </c>
      <c r="I1339" s="291">
        <f t="shared" si="1681"/>
        <v>0</v>
      </c>
      <c r="J1339" s="291">
        <f t="shared" si="1681"/>
        <v>0</v>
      </c>
      <c r="K1339" s="291">
        <f>K1346</f>
        <v>0</v>
      </c>
      <c r="L1339" s="291">
        <f>L1346</f>
        <v>0</v>
      </c>
      <c r="M1339" s="291">
        <f t="shared" si="1682"/>
        <v>0</v>
      </c>
      <c r="N1339" s="291">
        <f t="shared" si="1682"/>
        <v>0</v>
      </c>
      <c r="Q1339" s="291">
        <f t="shared" si="1683"/>
        <v>0</v>
      </c>
      <c r="R1339" s="291">
        <f t="shared" si="1683"/>
        <v>0</v>
      </c>
      <c r="S1339" s="291">
        <f t="shared" si="1683"/>
        <v>0</v>
      </c>
      <c r="T1339" s="291">
        <f t="shared" si="1683"/>
        <v>0</v>
      </c>
      <c r="V1339" s="291">
        <f>V1346</f>
        <v>0</v>
      </c>
      <c r="W1339" s="291">
        <f>W1346</f>
        <v>0</v>
      </c>
      <c r="Y1339" s="291">
        <f>Y1346</f>
        <v>0</v>
      </c>
      <c r="Z1339" s="291">
        <f>Z1346</f>
        <v>0</v>
      </c>
      <c r="AB1339" s="291">
        <f>AB1346</f>
        <v>0</v>
      </c>
      <c r="AC1339" s="291">
        <f>AC1346</f>
        <v>0</v>
      </c>
      <c r="AE1339" s="291">
        <f>AE1346</f>
        <v>0</v>
      </c>
      <c r="AF1339" s="291">
        <f>AF1346</f>
        <v>0</v>
      </c>
      <c r="AH1339" s="291">
        <f>AH1346</f>
        <v>0</v>
      </c>
      <c r="AI1339" s="291">
        <f>AI1346</f>
        <v>0</v>
      </c>
      <c r="AK1339" s="291">
        <f>AK1346</f>
        <v>0</v>
      </c>
      <c r="AL1339" s="291">
        <f>AL1346</f>
        <v>0</v>
      </c>
      <c r="AN1339" s="291">
        <f>AN1346</f>
        <v>0</v>
      </c>
      <c r="AO1339" s="291">
        <f>AO1346</f>
        <v>0</v>
      </c>
      <c r="AQ1339" s="291">
        <f>AQ1346</f>
        <v>0</v>
      </c>
      <c r="AR1339" s="291">
        <f>AR1346</f>
        <v>0</v>
      </c>
      <c r="AT1339" s="291">
        <f>AT1346</f>
        <v>0</v>
      </c>
      <c r="AU1339" s="291">
        <f>AU1346</f>
        <v>0</v>
      </c>
      <c r="AW1339" s="291">
        <f>AW1346</f>
        <v>0</v>
      </c>
      <c r="AX1339" s="291">
        <f>AX1346</f>
        <v>0</v>
      </c>
      <c r="AZ1339" s="291">
        <f>AZ1346</f>
        <v>0</v>
      </c>
      <c r="BA1339" s="291">
        <f>BA1346</f>
        <v>0</v>
      </c>
      <c r="BC1339" s="291">
        <f>BC1346</f>
        <v>0</v>
      </c>
      <c r="BD1339" s="291">
        <f>BD1346</f>
        <v>0</v>
      </c>
      <c r="BF1339" s="291">
        <f>BF1346</f>
        <v>0</v>
      </c>
      <c r="BG1339" s="291">
        <f>BG1346</f>
        <v>0</v>
      </c>
      <c r="BI1339" s="291">
        <f>BI1346</f>
        <v>0</v>
      </c>
      <c r="BJ1339" s="291">
        <f>BJ1346</f>
        <v>0</v>
      </c>
      <c r="BL1339" s="291">
        <f>BL1346</f>
        <v>0</v>
      </c>
      <c r="BM1339" s="291">
        <f>BM1346</f>
        <v>0</v>
      </c>
      <c r="BO1339" s="291">
        <f>BO1346</f>
        <v>0</v>
      </c>
      <c r="BP1339" s="291">
        <f>BP1346</f>
        <v>0</v>
      </c>
      <c r="BR1339" s="291">
        <f>BR1346</f>
        <v>0</v>
      </c>
      <c r="BS1339" s="291">
        <f>BS1346</f>
        <v>0</v>
      </c>
      <c r="BU1339" s="291">
        <f>BU1346</f>
        <v>0</v>
      </c>
      <c r="BV1339" s="291">
        <f>BV1346</f>
        <v>0</v>
      </c>
      <c r="BX1339" s="291">
        <f>BX1346</f>
        <v>0</v>
      </c>
      <c r="BY1339" s="291">
        <f>BY1346</f>
        <v>0</v>
      </c>
      <c r="CA1339" s="291">
        <f>CA1346</f>
        <v>0</v>
      </c>
      <c r="CB1339" s="291">
        <f>CB1346</f>
        <v>0</v>
      </c>
      <c r="CD1339" s="291">
        <f>CD1346</f>
        <v>0</v>
      </c>
      <c r="CE1339" s="291">
        <f>CE1346</f>
        <v>0</v>
      </c>
      <c r="CG1339" s="291">
        <f>CG1346</f>
        <v>0</v>
      </c>
      <c r="CH1339" s="291">
        <f>CH1346</f>
        <v>0</v>
      </c>
      <c r="CJ1339" s="291">
        <f>CJ1346</f>
        <v>0</v>
      </c>
      <c r="CK1339" s="291">
        <f>CK1346</f>
        <v>0</v>
      </c>
    </row>
    <row r="1340" spans="1:89" ht="30" x14ac:dyDescent="0.25">
      <c r="A1340" s="95"/>
      <c r="B1340" s="16" t="s">
        <v>223</v>
      </c>
      <c r="C1340" s="95" t="s">
        <v>205</v>
      </c>
      <c r="D1340" s="95" t="s">
        <v>1112</v>
      </c>
      <c r="E1340" s="291">
        <v>7</v>
      </c>
      <c r="F1340" s="291">
        <v>5</v>
      </c>
      <c r="G1340" s="291">
        <v>4</v>
      </c>
      <c r="H1340" s="291">
        <v>0</v>
      </c>
      <c r="I1340" s="291">
        <v>0</v>
      </c>
      <c r="J1340" s="291">
        <v>0</v>
      </c>
      <c r="K1340" s="291">
        <v>0</v>
      </c>
      <c r="L1340" s="291">
        <v>0</v>
      </c>
      <c r="M1340" s="291">
        <v>0</v>
      </c>
      <c r="N1340" s="291">
        <v>0</v>
      </c>
      <c r="Q1340" s="291">
        <v>0</v>
      </c>
      <c r="R1340" s="291">
        <v>0</v>
      </c>
      <c r="S1340" s="291">
        <v>0</v>
      </c>
      <c r="T1340" s="291">
        <v>0</v>
      </c>
      <c r="V1340" s="291">
        <v>0</v>
      </c>
      <c r="W1340" s="291">
        <v>0</v>
      </c>
      <c r="Y1340" s="291">
        <v>0</v>
      </c>
      <c r="Z1340" s="291">
        <v>0</v>
      </c>
      <c r="AB1340" s="291">
        <v>0</v>
      </c>
      <c r="AC1340" s="291">
        <v>0</v>
      </c>
      <c r="AE1340" s="291">
        <v>0</v>
      </c>
      <c r="AF1340" s="291">
        <v>0</v>
      </c>
      <c r="AH1340" s="291">
        <v>0</v>
      </c>
      <c r="AI1340" s="291">
        <v>0</v>
      </c>
      <c r="AK1340" s="291">
        <v>0</v>
      </c>
      <c r="AL1340" s="291">
        <v>0</v>
      </c>
      <c r="AN1340" s="291">
        <v>0</v>
      </c>
      <c r="AO1340" s="291">
        <v>0</v>
      </c>
      <c r="AQ1340" s="291">
        <v>0</v>
      </c>
      <c r="AR1340" s="291">
        <v>0</v>
      </c>
      <c r="AT1340" s="291">
        <v>0</v>
      </c>
      <c r="AU1340" s="291">
        <v>0</v>
      </c>
      <c r="AW1340" s="291">
        <v>0</v>
      </c>
      <c r="AX1340" s="291">
        <v>0</v>
      </c>
      <c r="AZ1340" s="291">
        <v>0</v>
      </c>
      <c r="BA1340" s="291">
        <v>0</v>
      </c>
      <c r="BC1340" s="291">
        <v>0</v>
      </c>
      <c r="BD1340" s="291">
        <v>0</v>
      </c>
      <c r="BF1340" s="291">
        <v>0</v>
      </c>
      <c r="BG1340" s="291">
        <v>0</v>
      </c>
      <c r="BI1340" s="291">
        <v>0</v>
      </c>
      <c r="BJ1340" s="291">
        <v>0</v>
      </c>
      <c r="BL1340" s="291">
        <v>0</v>
      </c>
      <c r="BM1340" s="291">
        <v>0</v>
      </c>
      <c r="BO1340" s="291">
        <v>0</v>
      </c>
      <c r="BP1340" s="291">
        <v>0</v>
      </c>
      <c r="BR1340" s="291">
        <v>0</v>
      </c>
      <c r="BS1340" s="291">
        <v>0</v>
      </c>
      <c r="BU1340" s="291">
        <v>0</v>
      </c>
      <c r="BV1340" s="291">
        <v>0</v>
      </c>
      <c r="BX1340" s="291">
        <v>0</v>
      </c>
      <c r="BY1340" s="291">
        <v>0</v>
      </c>
      <c r="CA1340" s="291">
        <v>0</v>
      </c>
      <c r="CB1340" s="291">
        <v>0</v>
      </c>
      <c r="CD1340" s="291">
        <v>0</v>
      </c>
      <c r="CE1340" s="291">
        <v>0</v>
      </c>
      <c r="CG1340" s="291">
        <v>0</v>
      </c>
      <c r="CH1340" s="291">
        <v>0</v>
      </c>
      <c r="CJ1340" s="291">
        <v>0</v>
      </c>
      <c r="CK1340" s="291">
        <v>0</v>
      </c>
    </row>
    <row r="1341" spans="1:89" x14ac:dyDescent="0.25">
      <c r="A1341" s="95"/>
      <c r="B1341" s="311" t="s">
        <v>1182</v>
      </c>
      <c r="C1341" s="95"/>
      <c r="D1341" s="95"/>
      <c r="E1341" s="291"/>
      <c r="F1341" s="291"/>
      <c r="G1341" s="291"/>
      <c r="H1341" s="291">
        <f>H1342+H1343</f>
        <v>322</v>
      </c>
      <c r="I1341" s="291">
        <f>I1342+I1343</f>
        <v>318</v>
      </c>
      <c r="J1341" s="291">
        <f>J1342+J1343</f>
        <v>310</v>
      </c>
      <c r="K1341" s="291">
        <f>K1342+K1343</f>
        <v>307</v>
      </c>
      <c r="L1341" s="291">
        <f>L1342+L1343</f>
        <v>0</v>
      </c>
      <c r="M1341" s="291">
        <f t="shared" ref="M1341:N1341" si="1684">M1342+M1343</f>
        <v>0</v>
      </c>
      <c r="N1341" s="291">
        <f t="shared" si="1684"/>
        <v>0</v>
      </c>
      <c r="Q1341" s="291">
        <f>Q1342+Q1343</f>
        <v>307</v>
      </c>
      <c r="R1341" s="291">
        <f>R1342+R1343</f>
        <v>309</v>
      </c>
      <c r="S1341" s="291">
        <f>S1342+S1343</f>
        <v>10</v>
      </c>
      <c r="T1341" s="291">
        <f>T1342+T1343</f>
        <v>11</v>
      </c>
      <c r="V1341" s="291">
        <f>V1342+V1343</f>
        <v>12</v>
      </c>
      <c r="W1341" s="291">
        <f>W1342+W1343</f>
        <v>12</v>
      </c>
      <c r="Y1341" s="291">
        <f>Y1342+Y1343</f>
        <v>15</v>
      </c>
      <c r="Z1341" s="291">
        <f>Z1342+Z1343</f>
        <v>15</v>
      </c>
      <c r="AB1341" s="291">
        <f>AB1342+AB1343</f>
        <v>13</v>
      </c>
      <c r="AC1341" s="291">
        <f>AC1342+AC1343</f>
        <v>13</v>
      </c>
      <c r="AE1341" s="291">
        <f>AE1342+AE1343</f>
        <v>17</v>
      </c>
      <c r="AF1341" s="291">
        <f>AF1342+AF1343</f>
        <v>16</v>
      </c>
      <c r="AH1341" s="291">
        <f>AH1342+AH1343</f>
        <v>18</v>
      </c>
      <c r="AI1341" s="291">
        <f>AI1342+AI1343</f>
        <v>18</v>
      </c>
      <c r="AK1341" s="291">
        <f>AK1342+AK1343</f>
        <v>11</v>
      </c>
      <c r="AL1341" s="291">
        <f>AL1342+AL1343</f>
        <v>11</v>
      </c>
      <c r="AN1341" s="291">
        <f>AN1342+AN1343</f>
        <v>18</v>
      </c>
      <c r="AO1341" s="291">
        <f>AO1342+AO1343</f>
        <v>18</v>
      </c>
      <c r="AQ1341" s="291">
        <f>AQ1342+AQ1343</f>
        <v>23</v>
      </c>
      <c r="AR1341" s="291">
        <f>AR1342+AR1343</f>
        <v>24</v>
      </c>
      <c r="AT1341" s="291">
        <f>AT1342+AT1343</f>
        <v>9</v>
      </c>
      <c r="AU1341" s="291">
        <f>AU1342+AU1343</f>
        <v>9</v>
      </c>
      <c r="AW1341" s="291">
        <f>AW1342+AW1343</f>
        <v>6</v>
      </c>
      <c r="AX1341" s="291">
        <f>AX1342+AX1343</f>
        <v>6</v>
      </c>
      <c r="AZ1341" s="291">
        <f>AZ1342+AZ1343</f>
        <v>7</v>
      </c>
      <c r="BA1341" s="291">
        <f>BA1342+BA1343</f>
        <v>7</v>
      </c>
      <c r="BC1341" s="291">
        <f>BC1342+BC1343</f>
        <v>15</v>
      </c>
      <c r="BD1341" s="291">
        <f>BD1342+BD1343</f>
        <v>15</v>
      </c>
      <c r="BF1341" s="291">
        <f>BF1342+BF1343</f>
        <v>33</v>
      </c>
      <c r="BG1341" s="291">
        <f>BG1342+BG1343</f>
        <v>34</v>
      </c>
      <c r="BI1341" s="291">
        <f>BI1342+BI1343</f>
        <v>37</v>
      </c>
      <c r="BJ1341" s="291">
        <f>BJ1342+BJ1343</f>
        <v>37</v>
      </c>
      <c r="BL1341" s="291">
        <f>BL1342+BL1343</f>
        <v>6</v>
      </c>
      <c r="BM1341" s="291">
        <f>BM1342+BM1343</f>
        <v>6</v>
      </c>
      <c r="BO1341" s="291">
        <f>BO1342+BO1343</f>
        <v>6</v>
      </c>
      <c r="BP1341" s="291">
        <f>BP1342+BP1343</f>
        <v>6</v>
      </c>
      <c r="BR1341" s="291">
        <f>BR1342+BR1343</f>
        <v>8</v>
      </c>
      <c r="BS1341" s="291">
        <f>BS1342+BS1343</f>
        <v>7</v>
      </c>
      <c r="BU1341" s="291">
        <f>BU1342+BU1343</f>
        <v>7</v>
      </c>
      <c r="BV1341" s="291">
        <f>BV1342+BV1343</f>
        <v>7</v>
      </c>
      <c r="BX1341" s="291">
        <f>BX1342+BX1343</f>
        <v>3</v>
      </c>
      <c r="BY1341" s="291">
        <f>BY1342+BY1343</f>
        <v>3</v>
      </c>
      <c r="CA1341" s="291">
        <f>CA1342+CA1343</f>
        <v>6</v>
      </c>
      <c r="CB1341" s="291">
        <f>CB1342+CB1343</f>
        <v>7</v>
      </c>
      <c r="CD1341" s="291">
        <f>CD1342+CD1343</f>
        <v>5</v>
      </c>
      <c r="CE1341" s="291">
        <f>CE1342+CE1343</f>
        <v>5</v>
      </c>
      <c r="CG1341" s="291">
        <f>CG1342+CG1343</f>
        <v>22</v>
      </c>
      <c r="CH1341" s="291">
        <f>CH1342+CH1343</f>
        <v>22</v>
      </c>
      <c r="CJ1341" s="291">
        <f>CJ1342+CJ1343</f>
        <v>0</v>
      </c>
      <c r="CK1341" s="291">
        <f>CK1342+CK1343</f>
        <v>0</v>
      </c>
    </row>
    <row r="1342" spans="1:89" ht="30" x14ac:dyDescent="0.25">
      <c r="A1342" s="95"/>
      <c r="B1342" s="263"/>
      <c r="C1342" s="263" t="s">
        <v>2753</v>
      </c>
      <c r="D1342" s="95" t="s">
        <v>1112</v>
      </c>
      <c r="E1342" s="291"/>
      <c r="F1342" s="291"/>
      <c r="G1342" s="291"/>
      <c r="H1342" s="291">
        <v>222</v>
      </c>
      <c r="I1342" s="291">
        <v>220</v>
      </c>
      <c r="J1342" s="291">
        <f t="shared" ref="J1342:K1343" si="1685">J1313</f>
        <v>215</v>
      </c>
      <c r="K1342" s="291">
        <f t="shared" si="1685"/>
        <v>213</v>
      </c>
      <c r="L1342" s="291">
        <v>0</v>
      </c>
      <c r="M1342" s="291">
        <v>0</v>
      </c>
      <c r="N1342" s="291">
        <v>0</v>
      </c>
      <c r="Q1342" s="283">
        <f>S1342+V1342+Y1342+AB1342+AE1342+AH1342+AK1342+AN1342+AQ1342+AT1342+AW1342+AZ1342+BC1342+BF1342+BI1342+BL1342+BO1342+BR1342+BU1342+BX1342+CA1342+CD1342+CG1342+CJ1342</f>
        <v>213</v>
      </c>
      <c r="R1342" s="283">
        <f>T1342+W1342+Z1342+AC1342+AF1342+AI1342+AL1342+AO1342+AR1342+AU1342+AX1342+BA1342+BD1342+BG1342+BJ1342+BM1342+BP1342+BS1342+BV1342+BY1342+CB1342+CE1342+CH1342+CK1342</f>
        <v>215</v>
      </c>
      <c r="S1342" s="283">
        <f>S1313</f>
        <v>3</v>
      </c>
      <c r="T1342" s="283">
        <f>T1313</f>
        <v>4</v>
      </c>
      <c r="U1342" s="283"/>
      <c r="V1342" s="283">
        <f>V1313</f>
        <v>4</v>
      </c>
      <c r="W1342" s="283">
        <f>W1313</f>
        <v>4</v>
      </c>
      <c r="X1342" s="283"/>
      <c r="Y1342" s="283">
        <f>Y1313</f>
        <v>5</v>
      </c>
      <c r="Z1342" s="283">
        <f>Z1313</f>
        <v>5</v>
      </c>
      <c r="AA1342" s="283"/>
      <c r="AB1342" s="283">
        <f>AB1313</f>
        <v>3</v>
      </c>
      <c r="AC1342" s="283">
        <f>AC1313</f>
        <v>3</v>
      </c>
      <c r="AD1342" s="283"/>
      <c r="AE1342" s="283">
        <f>AE1313</f>
        <v>6</v>
      </c>
      <c r="AF1342" s="283">
        <f>AF1313</f>
        <v>6</v>
      </c>
      <c r="AG1342" s="283"/>
      <c r="AH1342" s="283">
        <f>AH1313</f>
        <v>5</v>
      </c>
      <c r="AI1342" s="283">
        <f>AI1313</f>
        <v>5</v>
      </c>
      <c r="AJ1342" s="283"/>
      <c r="AK1342" s="283">
        <f>AK1313</f>
        <v>10</v>
      </c>
      <c r="AL1342" s="283">
        <f>AL1313</f>
        <v>10</v>
      </c>
      <c r="AM1342" s="283"/>
      <c r="AN1342" s="283">
        <f>AN1313</f>
        <v>11</v>
      </c>
      <c r="AO1342" s="283">
        <f>AO1313</f>
        <v>11</v>
      </c>
      <c r="AP1342" s="283"/>
      <c r="AQ1342" s="283">
        <f>AQ1313</f>
        <v>0</v>
      </c>
      <c r="AR1342" s="283">
        <f>AR1313</f>
        <v>0</v>
      </c>
      <c r="AS1342" s="283"/>
      <c r="AT1342" s="283">
        <f>AT1313</f>
        <v>9</v>
      </c>
      <c r="AU1342" s="283">
        <f>AU1313</f>
        <v>9</v>
      </c>
      <c r="AV1342" s="283"/>
      <c r="AW1342" s="283">
        <f>AW1313</f>
        <v>6</v>
      </c>
      <c r="AX1342" s="283">
        <f>AX1313</f>
        <v>6</v>
      </c>
      <c r="AY1342" s="283"/>
      <c r="AZ1342" s="283">
        <f>AZ1313</f>
        <v>7</v>
      </c>
      <c r="BA1342" s="283">
        <f>BA1313</f>
        <v>7</v>
      </c>
      <c r="BB1342" s="283"/>
      <c r="BC1342" s="283">
        <f>BC1313</f>
        <v>15</v>
      </c>
      <c r="BD1342" s="283">
        <f>BD1313</f>
        <v>15</v>
      </c>
      <c r="BE1342" s="283"/>
      <c r="BF1342" s="283">
        <f>BF1313</f>
        <v>33</v>
      </c>
      <c r="BG1342" s="283">
        <f>BG1313</f>
        <v>34</v>
      </c>
      <c r="BH1342" s="283"/>
      <c r="BI1342" s="283">
        <f>BI1313</f>
        <v>37</v>
      </c>
      <c r="BJ1342" s="283">
        <f>BJ1313</f>
        <v>37</v>
      </c>
      <c r="BK1342" s="283"/>
      <c r="BL1342" s="283">
        <f>BL1313</f>
        <v>6</v>
      </c>
      <c r="BM1342" s="283">
        <f>BM1313</f>
        <v>6</v>
      </c>
      <c r="BN1342" s="283"/>
      <c r="BO1342" s="283">
        <f>BO1313</f>
        <v>6</v>
      </c>
      <c r="BP1342" s="283">
        <f>BP1313</f>
        <v>6</v>
      </c>
      <c r="BQ1342" s="283"/>
      <c r="BR1342" s="283">
        <f>BR1313</f>
        <v>8</v>
      </c>
      <c r="BS1342" s="283">
        <f>BS1313</f>
        <v>7</v>
      </c>
      <c r="BT1342" s="283"/>
      <c r="BU1342" s="283">
        <f>BU1313</f>
        <v>7</v>
      </c>
      <c r="BV1342" s="283">
        <f>BV1313</f>
        <v>7</v>
      </c>
      <c r="BW1342" s="283"/>
      <c r="BX1342" s="283">
        <f>BX1313</f>
        <v>3</v>
      </c>
      <c r="BY1342" s="283">
        <f>BY1313</f>
        <v>3</v>
      </c>
      <c r="BZ1342" s="283"/>
      <c r="CA1342" s="283">
        <f>CA1313</f>
        <v>6</v>
      </c>
      <c r="CB1342" s="283">
        <f>CB1313</f>
        <v>7</v>
      </c>
      <c r="CC1342" s="283"/>
      <c r="CD1342" s="283">
        <f>CD1313</f>
        <v>5</v>
      </c>
      <c r="CE1342" s="283">
        <f>CE1313</f>
        <v>5</v>
      </c>
      <c r="CF1342" s="283"/>
      <c r="CG1342" s="283">
        <f>CG1313</f>
        <v>18</v>
      </c>
      <c r="CH1342" s="283">
        <f>CH1313</f>
        <v>18</v>
      </c>
      <c r="CI1342" s="283"/>
      <c r="CJ1342" s="283">
        <f>CJ1313</f>
        <v>0</v>
      </c>
      <c r="CK1342" s="283">
        <f>CK1313</f>
        <v>0</v>
      </c>
    </row>
    <row r="1343" spans="1:89" ht="30" x14ac:dyDescent="0.25">
      <c r="A1343" s="95"/>
      <c r="B1343" s="263"/>
      <c r="C1343" s="263" t="s">
        <v>2753</v>
      </c>
      <c r="D1343" s="95" t="s">
        <v>1112</v>
      </c>
      <c r="E1343" s="291"/>
      <c r="F1343" s="291"/>
      <c r="G1343" s="291"/>
      <c r="H1343" s="291">
        <v>100</v>
      </c>
      <c r="I1343" s="291">
        <v>98</v>
      </c>
      <c r="J1343" s="291">
        <f t="shared" si="1685"/>
        <v>95</v>
      </c>
      <c r="K1343" s="291">
        <f t="shared" si="1685"/>
        <v>94</v>
      </c>
      <c r="L1343" s="291">
        <v>0</v>
      </c>
      <c r="M1343" s="291">
        <v>0</v>
      </c>
      <c r="N1343" s="291">
        <v>0</v>
      </c>
      <c r="Q1343" s="283">
        <f>S1343+V1343+Y1343+AB1343+AE1343+AH1343+AK1343+AN1343+AQ1343+AT1343+AW1343+AZ1343+BC1343+BF1343+BI1343+BL1343+BO1343+BR1343+BU1343+BX1343+CA1343+CD1343+CG1343+CJ1343</f>
        <v>94</v>
      </c>
      <c r="R1343" s="283">
        <f>T1343+W1343+Z1343+AC1343+AF1343+AI1343+AL1343+AO1343+AR1343+AU1343+AX1343+BA1343+BD1343+BG1343+BJ1343+BM1343+BP1343+BS1343+BV1343+BY1343+CB1343+CE1343+CH1343+CK1343</f>
        <v>94</v>
      </c>
      <c r="S1343" s="283">
        <f>S1314</f>
        <v>7</v>
      </c>
      <c r="T1343" s="283">
        <f>T1314</f>
        <v>7</v>
      </c>
      <c r="U1343" s="283"/>
      <c r="V1343" s="283">
        <f>V1314</f>
        <v>8</v>
      </c>
      <c r="W1343" s="283">
        <f>W1314</f>
        <v>8</v>
      </c>
      <c r="X1343" s="283"/>
      <c r="Y1343" s="283">
        <f>Y1314</f>
        <v>10</v>
      </c>
      <c r="Z1343" s="283">
        <f>Z1314</f>
        <v>10</v>
      </c>
      <c r="AA1343" s="283"/>
      <c r="AB1343" s="283">
        <f>AB1314</f>
        <v>10</v>
      </c>
      <c r="AC1343" s="283">
        <f>AC1314</f>
        <v>10</v>
      </c>
      <c r="AD1343" s="283"/>
      <c r="AE1343" s="283">
        <f>AE1314</f>
        <v>11</v>
      </c>
      <c r="AF1343" s="283">
        <f>AF1314</f>
        <v>10</v>
      </c>
      <c r="AG1343" s="283"/>
      <c r="AH1343" s="283">
        <f>AH1314</f>
        <v>13</v>
      </c>
      <c r="AI1343" s="283">
        <f>AI1314</f>
        <v>13</v>
      </c>
      <c r="AJ1343" s="283"/>
      <c r="AK1343" s="283">
        <f>AK1314</f>
        <v>1</v>
      </c>
      <c r="AL1343" s="283">
        <f>AL1314</f>
        <v>1</v>
      </c>
      <c r="AM1343" s="283"/>
      <c r="AN1343" s="283">
        <f>AN1314</f>
        <v>7</v>
      </c>
      <c r="AO1343" s="283">
        <f>AO1314</f>
        <v>7</v>
      </c>
      <c r="AP1343" s="283"/>
      <c r="AQ1343" s="283">
        <f>AQ1314</f>
        <v>23</v>
      </c>
      <c r="AR1343" s="283">
        <f>AR1314</f>
        <v>24</v>
      </c>
      <c r="AS1343" s="283"/>
      <c r="AT1343" s="283">
        <f>AT1314</f>
        <v>0</v>
      </c>
      <c r="AU1343" s="283">
        <f>AU1314</f>
        <v>0</v>
      </c>
      <c r="AV1343" s="283"/>
      <c r="AW1343" s="283">
        <f>AW1314</f>
        <v>0</v>
      </c>
      <c r="AX1343" s="283">
        <f>AX1314</f>
        <v>0</v>
      </c>
      <c r="AY1343" s="283"/>
      <c r="AZ1343" s="283">
        <f>AZ1314</f>
        <v>0</v>
      </c>
      <c r="BA1343" s="283">
        <f>BA1314</f>
        <v>0</v>
      </c>
      <c r="BB1343" s="283"/>
      <c r="BC1343" s="283">
        <f>BC1314</f>
        <v>0</v>
      </c>
      <c r="BD1343" s="283">
        <f>BD1314</f>
        <v>0</v>
      </c>
      <c r="BE1343" s="283"/>
      <c r="BF1343" s="283">
        <f>BF1314</f>
        <v>0</v>
      </c>
      <c r="BG1343" s="283">
        <f>BG1314</f>
        <v>0</v>
      </c>
      <c r="BH1343" s="283"/>
      <c r="BI1343" s="283">
        <f>BI1314</f>
        <v>0</v>
      </c>
      <c r="BJ1343" s="283">
        <f>BJ1314</f>
        <v>0</v>
      </c>
      <c r="BK1343" s="283"/>
      <c r="BL1343" s="283">
        <f>BL1314</f>
        <v>0</v>
      </c>
      <c r="BM1343" s="283">
        <f>BM1314</f>
        <v>0</v>
      </c>
      <c r="BN1343" s="283"/>
      <c r="BO1343" s="283">
        <f>BO1314</f>
        <v>0</v>
      </c>
      <c r="BP1343" s="283">
        <f>BP1314</f>
        <v>0</v>
      </c>
      <c r="BQ1343" s="283"/>
      <c r="BR1343" s="283">
        <f>BR1314</f>
        <v>0</v>
      </c>
      <c r="BS1343" s="283">
        <f>BS1314</f>
        <v>0</v>
      </c>
      <c r="BT1343" s="283"/>
      <c r="BU1343" s="283">
        <f>BU1314</f>
        <v>0</v>
      </c>
      <c r="BV1343" s="283">
        <f>BV1314</f>
        <v>0</v>
      </c>
      <c r="BW1343" s="283"/>
      <c r="BX1343" s="283">
        <f>BX1314</f>
        <v>0</v>
      </c>
      <c r="BY1343" s="283">
        <f>BY1314</f>
        <v>0</v>
      </c>
      <c r="BZ1343" s="283"/>
      <c r="CA1343" s="283">
        <f>CA1314</f>
        <v>0</v>
      </c>
      <c r="CB1343" s="283">
        <f>CB1314</f>
        <v>0</v>
      </c>
      <c r="CC1343" s="283"/>
      <c r="CD1343" s="283">
        <f>CD1314</f>
        <v>0</v>
      </c>
      <c r="CE1343" s="283">
        <f>CE1314</f>
        <v>0</v>
      </c>
      <c r="CF1343" s="283"/>
      <c r="CG1343" s="283">
        <f>CG1314</f>
        <v>4</v>
      </c>
      <c r="CH1343" s="283">
        <f>CH1314</f>
        <v>4</v>
      </c>
      <c r="CI1343" s="283"/>
      <c r="CJ1343" s="283">
        <f>CJ1314</f>
        <v>0</v>
      </c>
      <c r="CK1343" s="283">
        <f>CK1314</f>
        <v>0</v>
      </c>
    </row>
    <row r="1344" spans="1:89" x14ac:dyDescent="0.25">
      <c r="A1344" s="95"/>
      <c r="B1344" s="261" t="s">
        <v>1184</v>
      </c>
      <c r="C1344" s="95"/>
      <c r="D1344" s="95"/>
      <c r="E1344" s="291"/>
      <c r="F1344" s="291"/>
      <c r="G1344" s="291"/>
      <c r="H1344" s="291">
        <f>H1345+H1346</f>
        <v>4</v>
      </c>
      <c r="I1344" s="291">
        <f>I1345+I1346</f>
        <v>4</v>
      </c>
      <c r="J1344" s="291">
        <f>J1345+J1346</f>
        <v>4</v>
      </c>
      <c r="K1344" s="291">
        <f>K1345+K1346</f>
        <v>4</v>
      </c>
      <c r="L1344" s="291">
        <f>L1345+L1346</f>
        <v>0</v>
      </c>
      <c r="M1344" s="291">
        <f t="shared" ref="M1344:N1344" si="1686">M1345+M1346</f>
        <v>0</v>
      </c>
      <c r="N1344" s="291">
        <f t="shared" si="1686"/>
        <v>0</v>
      </c>
    </row>
    <row r="1345" spans="1:89" ht="30" x14ac:dyDescent="0.25">
      <c r="A1345" s="95"/>
      <c r="B1345" s="263"/>
      <c r="C1345" s="263" t="s">
        <v>2753</v>
      </c>
      <c r="D1345" s="95" t="s">
        <v>1112</v>
      </c>
      <c r="E1345" s="291"/>
      <c r="F1345" s="291"/>
      <c r="G1345" s="291"/>
      <c r="H1345" s="291">
        <v>4</v>
      </c>
      <c r="I1345" s="291">
        <v>4</v>
      </c>
      <c r="J1345" s="291">
        <f t="shared" ref="J1345:M1346" si="1687">J1316</f>
        <v>4</v>
      </c>
      <c r="K1345" s="291">
        <f t="shared" si="1687"/>
        <v>4</v>
      </c>
      <c r="L1345" s="291">
        <f t="shared" si="1687"/>
        <v>0</v>
      </c>
      <c r="M1345" s="291">
        <f t="shared" si="1687"/>
        <v>0</v>
      </c>
      <c r="N1345" s="291">
        <f t="shared" ref="N1345" si="1688">N1316</f>
        <v>0</v>
      </c>
      <c r="Q1345" s="283">
        <f>S1345+V1345+Y1345+AB1345+AE1345+AH1345+AK1345+AN1345+AQ1345+AT1345+AW1345+AZ1345+BC1345+BF1345+BI1345+BL1345+BO1345+BR1345+BU1345+BX1345+CA1345+CD1345+CG1345+CJ1345</f>
        <v>4</v>
      </c>
      <c r="R1345" s="283">
        <f>T1345+W1345+Z1345+AC1345+AF1345+AI1345+AL1345+AO1345+AR1345+AU1345+AX1345+BA1345+BD1345+BG1345+BJ1345+BM1345+BP1345+BS1345+BV1345+BY1345+CB1345+CE1345+CH1345+CK1345</f>
        <v>4</v>
      </c>
      <c r="S1345" s="267">
        <f>S1316</f>
        <v>0</v>
      </c>
      <c r="T1345" s="267">
        <f>T1316</f>
        <v>0</v>
      </c>
      <c r="V1345" s="267">
        <f>V1316</f>
        <v>0</v>
      </c>
      <c r="W1345" s="267">
        <f>W1316</f>
        <v>0</v>
      </c>
      <c r="Y1345" s="267">
        <f>Y1316</f>
        <v>0</v>
      </c>
      <c r="Z1345" s="267">
        <f>Z1316</f>
        <v>0</v>
      </c>
      <c r="AB1345" s="267">
        <f>AB1316</f>
        <v>0</v>
      </c>
      <c r="AC1345" s="267">
        <f>AC1316</f>
        <v>0</v>
      </c>
      <c r="AE1345" s="267">
        <f>AE1316</f>
        <v>0</v>
      </c>
      <c r="AF1345" s="267">
        <f>AF1316</f>
        <v>0</v>
      </c>
      <c r="AH1345" s="267">
        <f>AH1316</f>
        <v>0</v>
      </c>
      <c r="AI1345" s="267">
        <f>AI1316</f>
        <v>0</v>
      </c>
      <c r="AK1345" s="267">
        <f>AK1316</f>
        <v>0</v>
      </c>
      <c r="AL1345" s="267">
        <f>AL1316</f>
        <v>0</v>
      </c>
      <c r="AN1345" s="267">
        <f>AN1316</f>
        <v>0</v>
      </c>
      <c r="AO1345" s="267">
        <f>AO1316</f>
        <v>0</v>
      </c>
      <c r="AQ1345" s="267">
        <f>AQ1316</f>
        <v>0</v>
      </c>
      <c r="AR1345" s="267">
        <f>AR1316</f>
        <v>0</v>
      </c>
      <c r="AT1345" s="267">
        <f>AT1316</f>
        <v>0</v>
      </c>
      <c r="AU1345" s="267">
        <f>AU1316</f>
        <v>0</v>
      </c>
      <c r="AW1345" s="267">
        <f>AW1316</f>
        <v>0</v>
      </c>
      <c r="AX1345" s="267">
        <f>AX1316</f>
        <v>0</v>
      </c>
      <c r="AZ1345" s="267">
        <f>AZ1316</f>
        <v>0</v>
      </c>
      <c r="BA1345" s="267">
        <f>BA1316</f>
        <v>0</v>
      </c>
      <c r="BC1345" s="267">
        <f>BC1316</f>
        <v>1</v>
      </c>
      <c r="BD1345" s="267">
        <f>BD1316</f>
        <v>1</v>
      </c>
      <c r="BF1345" s="267">
        <f>BF1316</f>
        <v>1</v>
      </c>
      <c r="BG1345" s="267">
        <f>BG1316</f>
        <v>1</v>
      </c>
      <c r="BI1345" s="267">
        <f>BI1316</f>
        <v>1</v>
      </c>
      <c r="BJ1345" s="267">
        <f>BJ1316</f>
        <v>1</v>
      </c>
      <c r="BL1345" s="267">
        <f>BL1316</f>
        <v>0</v>
      </c>
      <c r="BM1345" s="267">
        <f>BM1316</f>
        <v>0</v>
      </c>
      <c r="BO1345" s="267">
        <f>BO1316</f>
        <v>0</v>
      </c>
      <c r="BP1345" s="267">
        <f>BP1316</f>
        <v>0</v>
      </c>
      <c r="BR1345" s="267">
        <f>BR1316</f>
        <v>0</v>
      </c>
      <c r="BS1345" s="267">
        <f>BS1316</f>
        <v>0</v>
      </c>
      <c r="BU1345" s="267">
        <f>BU1316</f>
        <v>0</v>
      </c>
      <c r="BV1345" s="267">
        <f>BV1316</f>
        <v>0</v>
      </c>
      <c r="BX1345" s="267">
        <f>BX1316</f>
        <v>0</v>
      </c>
      <c r="BY1345" s="267">
        <f>BY1316</f>
        <v>0</v>
      </c>
      <c r="CA1345" s="267">
        <f>CA1316</f>
        <v>0</v>
      </c>
      <c r="CB1345" s="267">
        <f>CB1316</f>
        <v>0</v>
      </c>
      <c r="CD1345" s="267">
        <f>CD1316</f>
        <v>1</v>
      </c>
      <c r="CE1345" s="267">
        <f>CE1316</f>
        <v>1</v>
      </c>
      <c r="CG1345" s="267">
        <f>CG1316</f>
        <v>0</v>
      </c>
      <c r="CH1345" s="267">
        <f>CH1316</f>
        <v>0</v>
      </c>
      <c r="CJ1345" s="267">
        <f>CJ1316</f>
        <v>0</v>
      </c>
      <c r="CK1345" s="267">
        <f>CK1316</f>
        <v>0</v>
      </c>
    </row>
    <row r="1346" spans="1:89" ht="30" x14ac:dyDescent="0.25">
      <c r="A1346" s="95"/>
      <c r="B1346" s="263"/>
      <c r="C1346" s="263" t="s">
        <v>2753</v>
      </c>
      <c r="D1346" s="95" t="s">
        <v>1112</v>
      </c>
      <c r="E1346" s="291"/>
      <c r="F1346" s="291"/>
      <c r="G1346" s="291"/>
      <c r="H1346" s="291">
        <v>0</v>
      </c>
      <c r="I1346" s="291">
        <v>0</v>
      </c>
      <c r="J1346" s="291">
        <f t="shared" si="1687"/>
        <v>0</v>
      </c>
      <c r="K1346" s="291">
        <f t="shared" si="1687"/>
        <v>0</v>
      </c>
      <c r="L1346" s="291">
        <f t="shared" si="1687"/>
        <v>0</v>
      </c>
      <c r="M1346" s="291">
        <f t="shared" si="1687"/>
        <v>0</v>
      </c>
      <c r="N1346" s="291">
        <f t="shared" ref="N1346" si="1689">N1317</f>
        <v>0</v>
      </c>
      <c r="Q1346" s="283">
        <f>S1346+V1346+Y1346+AB1346+AE1346+AH1346+AK1346+AN1346+AQ1346+AT1346+AW1346+AZ1346+BC1346+BF1346+BI1346+BL1346+BO1346+BR1346+BU1346+BX1346+CA1346+CD1346+CG1346+CJ1346</f>
        <v>0</v>
      </c>
      <c r="R1346" s="283">
        <f>T1346+W1346+Z1346+AC1346+AF1346+AI1346+AL1346+AO1346+AR1346+AU1346+AX1346+BA1346+BD1346+BG1346+BJ1346+BM1346+BP1346+BS1346+BV1346+BY1346+CB1346+CE1346+CH1346+CK1346</f>
        <v>0</v>
      </c>
      <c r="S1346" s="267">
        <f>S1317</f>
        <v>0</v>
      </c>
      <c r="T1346" s="267">
        <f>T1317</f>
        <v>0</v>
      </c>
      <c r="V1346" s="267">
        <f>V1317</f>
        <v>0</v>
      </c>
      <c r="W1346" s="267">
        <f>W1317</f>
        <v>0</v>
      </c>
      <c r="Y1346" s="267">
        <f>Y1317</f>
        <v>0</v>
      </c>
      <c r="Z1346" s="267">
        <f>Z1317</f>
        <v>0</v>
      </c>
      <c r="AB1346" s="267">
        <f>AB1317</f>
        <v>0</v>
      </c>
      <c r="AC1346" s="267">
        <f>AC1317</f>
        <v>0</v>
      </c>
      <c r="AE1346" s="267">
        <f>AE1317</f>
        <v>0</v>
      </c>
      <c r="AF1346" s="267">
        <f>AF1317</f>
        <v>0</v>
      </c>
      <c r="AH1346" s="267">
        <f>AH1317</f>
        <v>0</v>
      </c>
      <c r="AI1346" s="267">
        <f>AI1317</f>
        <v>0</v>
      </c>
      <c r="AK1346" s="267">
        <f>AK1317</f>
        <v>0</v>
      </c>
      <c r="AL1346" s="267">
        <f>AL1317</f>
        <v>0</v>
      </c>
      <c r="AN1346" s="267">
        <f>AN1317</f>
        <v>0</v>
      </c>
      <c r="AO1346" s="267">
        <f>AO1317</f>
        <v>0</v>
      </c>
      <c r="AQ1346" s="267">
        <f>AQ1317</f>
        <v>0</v>
      </c>
      <c r="AR1346" s="267">
        <f>AR1317</f>
        <v>0</v>
      </c>
      <c r="AT1346" s="267">
        <f>AT1317</f>
        <v>0</v>
      </c>
      <c r="AU1346" s="267">
        <f>AU1317</f>
        <v>0</v>
      </c>
      <c r="AW1346" s="267">
        <f>AW1317</f>
        <v>0</v>
      </c>
      <c r="AX1346" s="267">
        <f>AX1317</f>
        <v>0</v>
      </c>
      <c r="AZ1346" s="267">
        <f>AZ1317</f>
        <v>0</v>
      </c>
      <c r="BA1346" s="267">
        <f>BA1317</f>
        <v>0</v>
      </c>
      <c r="BC1346" s="267">
        <f>BC1317</f>
        <v>0</v>
      </c>
      <c r="BD1346" s="267">
        <f>BD1317</f>
        <v>0</v>
      </c>
      <c r="BF1346" s="267">
        <f>BF1317</f>
        <v>0</v>
      </c>
      <c r="BG1346" s="267">
        <f>BG1317</f>
        <v>0</v>
      </c>
      <c r="BI1346" s="267">
        <f>BI1317</f>
        <v>0</v>
      </c>
      <c r="BJ1346" s="267">
        <f>BJ1317</f>
        <v>0</v>
      </c>
      <c r="BL1346" s="267">
        <f>BL1317</f>
        <v>0</v>
      </c>
      <c r="BM1346" s="267">
        <f>BM1317</f>
        <v>0</v>
      </c>
      <c r="BO1346" s="267">
        <f>BO1317</f>
        <v>0</v>
      </c>
      <c r="BP1346" s="267">
        <f>BP1317</f>
        <v>0</v>
      </c>
      <c r="BR1346" s="267">
        <f>BR1317</f>
        <v>0</v>
      </c>
      <c r="BS1346" s="267">
        <f>BS1317</f>
        <v>0</v>
      </c>
      <c r="BU1346" s="267">
        <f>BU1317</f>
        <v>0</v>
      </c>
      <c r="BV1346" s="267">
        <f>BV1317</f>
        <v>0</v>
      </c>
      <c r="BX1346" s="267">
        <f>BX1317</f>
        <v>0</v>
      </c>
      <c r="BY1346" s="267">
        <f>BY1317</f>
        <v>0</v>
      </c>
      <c r="CA1346" s="267">
        <f>CA1317</f>
        <v>0</v>
      </c>
      <c r="CB1346" s="267">
        <f>CB1317</f>
        <v>0</v>
      </c>
      <c r="CD1346" s="267">
        <f>CD1317</f>
        <v>0</v>
      </c>
      <c r="CE1346" s="267">
        <f>CE1317</f>
        <v>0</v>
      </c>
      <c r="CG1346" s="267">
        <f>CG1317</f>
        <v>0</v>
      </c>
      <c r="CH1346" s="267">
        <f>CH1317</f>
        <v>0</v>
      </c>
      <c r="CJ1346" s="267">
        <f>CJ1317</f>
        <v>0</v>
      </c>
      <c r="CK1346" s="267">
        <f>CK1317</f>
        <v>0</v>
      </c>
    </row>
    <row r="1347" spans="1:89" ht="75" x14ac:dyDescent="0.25">
      <c r="A1347" s="95" t="s">
        <v>243</v>
      </c>
      <c r="B1347" s="96" t="s">
        <v>1715</v>
      </c>
      <c r="C1347" s="95"/>
      <c r="D1347" s="95"/>
      <c r="E1347" s="280"/>
      <c r="F1347" s="280"/>
      <c r="G1347" s="280"/>
      <c r="H1347" s="280"/>
      <c r="I1347" s="280"/>
      <c r="J1347" s="280"/>
      <c r="K1347" s="280"/>
      <c r="L1347" s="280"/>
      <c r="M1347" s="280"/>
      <c r="N1347" s="280"/>
      <c r="O1347" s="281" t="s">
        <v>196</v>
      </c>
    </row>
    <row r="1348" spans="1:89" x14ac:dyDescent="0.25">
      <c r="A1348" s="263"/>
      <c r="B1348" s="96" t="s">
        <v>1182</v>
      </c>
      <c r="C1348" s="95"/>
      <c r="D1348" s="95" t="s">
        <v>8</v>
      </c>
      <c r="E1348" s="279">
        <f>(E1354+E1355+E1358)/(E1365+E1366+E1369)*100</f>
        <v>11.078717201166182</v>
      </c>
      <c r="F1348" s="279">
        <f>(F1354+F1355+F1358)/(F1365+F1366+F1369)*100</f>
        <v>12.684365781710916</v>
      </c>
      <c r="G1348" s="279">
        <f>(G1354+G1355+G1358)/(G1365+G1366+G1369)*100</f>
        <v>13.030303030303031</v>
      </c>
      <c r="H1348" s="279">
        <f>((H1354+H1355+H1358)/(H1365+H1366+H1369))*100</f>
        <v>13.975155279503104</v>
      </c>
      <c r="I1348" s="279">
        <f>((I1354+I1355+I1358)/(I1365+I1366+I1369))*100</f>
        <v>14.779874213836477</v>
      </c>
      <c r="J1348" s="279">
        <f>((J1354+J1355+J1358)/(J1365+J1366+J1369))*100</f>
        <v>14.838709677419354</v>
      </c>
      <c r="K1348" s="279">
        <f>((K1354+K1355+K1358)/(K1365+K1366+K1369))*100</f>
        <v>14.983713355048861</v>
      </c>
      <c r="L1348" s="279" t="e">
        <f>((L1354+L1355+L1358)/(L1365+L1366+L1369))*100</f>
        <v>#DIV/0!</v>
      </c>
      <c r="M1348" s="279" t="e">
        <f t="shared" ref="M1348:N1348" si="1690">((M1354+M1355+M1358)/(M1365+M1366+M1369))*100</f>
        <v>#DIV/0!</v>
      </c>
      <c r="N1348" s="279" t="e">
        <f t="shared" si="1690"/>
        <v>#DIV/0!</v>
      </c>
      <c r="Q1348" s="279">
        <f>((Q1354+Q1355+Q1358)/(Q1365+Q1366+Q1369))*100</f>
        <v>14.983713355048861</v>
      </c>
      <c r="R1348" s="279">
        <f>((R1354+R1355+R1358)/(R1365+R1366+R1369))*100</f>
        <v>15.53398058252427</v>
      </c>
      <c r="S1348" s="279">
        <f>((S1354+S1355+S1358)/(S1365+S1366+S1369))*100</f>
        <v>20</v>
      </c>
      <c r="T1348" s="279">
        <f>((T1354+T1355+T1358)/(T1365+T1366+T1369))*100</f>
        <v>18.181818181818183</v>
      </c>
      <c r="V1348" s="279">
        <f>((V1354+V1355+V1358)/(V1365+V1366+V1369))*100</f>
        <v>0</v>
      </c>
      <c r="W1348" s="279">
        <f>((W1354+W1355+W1358)/(W1365+W1366+W1369))*100</f>
        <v>0</v>
      </c>
      <c r="Y1348" s="279">
        <f>((Y1354+Y1355+Y1358)/(Y1365+Y1366+Y1369))*100</f>
        <v>0</v>
      </c>
      <c r="Z1348" s="279">
        <f>((Z1354+Z1355+Z1358)/(Z1365+Z1366+Z1369))*100</f>
        <v>0</v>
      </c>
      <c r="AB1348" s="279">
        <f>((AB1354+AB1355+AB1358)/(AB1365+AB1366+AB1369))*100</f>
        <v>0</v>
      </c>
      <c r="AC1348" s="279">
        <f>((AC1354+AC1355+AC1358)/(AC1365+AC1366+AC1369))*100</f>
        <v>0</v>
      </c>
      <c r="AE1348" s="279">
        <f>((AE1354+AE1355+AE1358)/(AE1365+AE1366+AE1369))*100</f>
        <v>17.647058823529413</v>
      </c>
      <c r="AF1348" s="279">
        <f>((AF1354+AF1355+AF1358)/(AF1365+AF1366+AF1369))*100</f>
        <v>18.75</v>
      </c>
      <c r="AH1348" s="279">
        <f>((AH1354+AH1355+AH1358)/(AH1365+AH1366+AH1369))*100</f>
        <v>0</v>
      </c>
      <c r="AI1348" s="279">
        <f>((AI1354+AI1355+AI1358)/(AI1365+AI1366+AI1369))*100</f>
        <v>0</v>
      </c>
      <c r="AK1348" s="279">
        <f>((AK1354+AK1355+AK1358)/(AK1365+AK1366+AK1369))*100</f>
        <v>0</v>
      </c>
      <c r="AL1348" s="279">
        <f>((AL1354+AL1355+AL1358)/(AL1365+AL1366+AL1369))*100</f>
        <v>0</v>
      </c>
      <c r="AN1348" s="279">
        <f>((AN1354+AN1355+AN1358)/(AN1365+AN1366+AN1369))*100</f>
        <v>5.5555555555555554</v>
      </c>
      <c r="AO1348" s="279">
        <f>((AO1354+AO1355+AO1358)/(AO1365+AO1366+AO1369))*100</f>
        <v>5.5555555555555554</v>
      </c>
      <c r="AQ1348" s="279">
        <f>((AQ1354+AQ1355+AQ1358)/(AQ1365+AQ1366+AQ1369))*100</f>
        <v>4.3478260869565215</v>
      </c>
      <c r="AR1348" s="279">
        <f>((AR1354+AR1355+AR1358)/(AR1365+AR1366+AR1369))*100</f>
        <v>8.3333333333333321</v>
      </c>
      <c r="AT1348" s="279">
        <f>((AT1354+AT1355+AT1358)/(AT1365+AT1366+AT1369))*100</f>
        <v>33.333333333333329</v>
      </c>
      <c r="AU1348" s="279">
        <f>((AU1354+AU1355+AU1358)/(AU1365+AU1366+AU1369))*100</f>
        <v>33.333333333333329</v>
      </c>
      <c r="AW1348" s="279">
        <f>((AW1354+AW1355+AW1358)/(AW1365+AW1366+AW1369))*100</f>
        <v>0</v>
      </c>
      <c r="AX1348" s="279">
        <f>((AX1354+AX1355+AX1358)/(AX1365+AX1366+AX1369))*100</f>
        <v>0</v>
      </c>
      <c r="AZ1348" s="279">
        <f>((AZ1354+AZ1355+AZ1358)/(AZ1365+AZ1366+AZ1369))*100</f>
        <v>42.857142857142854</v>
      </c>
      <c r="BA1348" s="279">
        <f>((BA1354+BA1355+BA1358)/(BA1365+BA1366+BA1369))*100</f>
        <v>42.857142857142854</v>
      </c>
      <c r="BC1348" s="279">
        <f>((BC1354+BC1355+BC1358)/(BC1365+BC1366+BC1369))*100</f>
        <v>0</v>
      </c>
      <c r="BD1348" s="279">
        <f>((BD1354+BD1355+BD1358)/(BD1365+BD1366+BD1369))*100</f>
        <v>0</v>
      </c>
      <c r="BF1348" s="279">
        <f>((BF1354+BF1355+BF1358)/(BF1365+BF1366+BF1369))*100</f>
        <v>48.484848484848484</v>
      </c>
      <c r="BG1348" s="279">
        <f>((BG1354+BG1355+BG1358)/(BG1365+BG1366+BG1369))*100</f>
        <v>50</v>
      </c>
      <c r="BI1348" s="279">
        <f>((BI1354+BI1355+BI1358)/(BI1365+BI1366+BI1369))*100</f>
        <v>27.027027027027028</v>
      </c>
      <c r="BJ1348" s="279">
        <f>((BJ1354+BJ1355+BJ1358)/(BJ1365+BJ1366+BJ1369))*100</f>
        <v>27.027027027027028</v>
      </c>
      <c r="BL1348" s="279">
        <f>((BL1354+BL1355+BL1358)/(BL1365+BL1366+BL1369))*100</f>
        <v>33.333333333333329</v>
      </c>
      <c r="BM1348" s="279">
        <f>((BM1354+BM1355+BM1358)/(BM1365+BM1366+BM1369))*100</f>
        <v>33.333333333333329</v>
      </c>
      <c r="BO1348" s="279">
        <f>((BO1354+BO1355+BO1358)/(BO1365+BO1366+BO1369))*100</f>
        <v>0</v>
      </c>
      <c r="BP1348" s="279">
        <f>((BP1354+BP1355+BP1358)/(BP1365+BP1366+BP1369))*100</f>
        <v>0</v>
      </c>
      <c r="BR1348" s="279">
        <f>((BR1354+BR1355+BR1358)/(BR1365+BR1366+BR1369))*100</f>
        <v>37.5</v>
      </c>
      <c r="BS1348" s="279">
        <f>((BS1354+BS1355+BS1358)/(BS1365+BS1366+BS1369))*100</f>
        <v>28.571428571428569</v>
      </c>
      <c r="BU1348" s="279">
        <f>((BU1354+BU1355+BU1358)/(BU1365+BU1366+BU1369))*100</f>
        <v>0</v>
      </c>
      <c r="BV1348" s="279">
        <f>((BV1354+BV1355+BV1358)/(BV1365+BV1366+BV1369))*100</f>
        <v>0</v>
      </c>
      <c r="BX1348" s="279">
        <f>((BX1354+BX1355+BX1358)/(BX1365+BX1366+BX1369))*100</f>
        <v>0</v>
      </c>
      <c r="BY1348" s="279">
        <f>((BY1354+BY1355+BY1358)/(BY1365+BY1366+BY1369))*100</f>
        <v>0</v>
      </c>
      <c r="CA1348" s="279">
        <f>((CA1354+CA1355+CA1358)/(CA1365+CA1366+CA1369))*100</f>
        <v>0</v>
      </c>
      <c r="CB1348" s="279">
        <f>((CB1354+CB1355+CB1358)/(CB1365+CB1366+CB1369))*100</f>
        <v>0</v>
      </c>
      <c r="CD1348" s="279">
        <f>((CD1354+CD1355+CD1358)/(CD1365+CD1366+CD1369))*100</f>
        <v>20</v>
      </c>
      <c r="CE1348" s="279">
        <f>((CE1354+CE1355+CE1358)/(CE1365+CE1366+CE1369))*100</f>
        <v>20</v>
      </c>
      <c r="CG1348" s="279">
        <f>((CG1354+CG1355+CG1358)/(CG1365+CG1366+CG1369))*100</f>
        <v>4.5454545454545459</v>
      </c>
      <c r="CH1348" s="279">
        <f>((CH1354+CH1355+CH1358)/(CH1365+CH1366+CH1369))*100</f>
        <v>9.0909090909090917</v>
      </c>
      <c r="CJ1348" s="279" t="e">
        <f>((CJ1354+CJ1355+CJ1358)/(CJ1365+CJ1366+CJ1369))*100</f>
        <v>#DIV/0!</v>
      </c>
      <c r="CK1348" s="279" t="e">
        <f>((CK1354+CK1355+CK1358)/(CK1365+CK1366+CK1369))*100</f>
        <v>#DIV/0!</v>
      </c>
    </row>
    <row r="1349" spans="1:89" x14ac:dyDescent="0.25">
      <c r="A1349" s="263"/>
      <c r="B1349" s="96" t="s">
        <v>1183</v>
      </c>
      <c r="C1349" s="95"/>
      <c r="D1349" s="95"/>
      <c r="E1349" s="279"/>
      <c r="F1349" s="279"/>
      <c r="G1349" s="279"/>
      <c r="H1349" s="279">
        <f>((H1354+H1358)/(H1365+H1369))*100</f>
        <v>18.468468468468469</v>
      </c>
      <c r="I1349" s="279">
        <f>((I1354+I1358)/(I1365+I1369))*100</f>
        <v>19.545454545454547</v>
      </c>
      <c r="J1349" s="279">
        <f>((J1354+J1358)/(J1365+J1369))*100</f>
        <v>19.069767441860467</v>
      </c>
      <c r="K1349" s="279">
        <f>((K1354+K1358)/(K1365+K1369))*100</f>
        <v>20.187793427230048</v>
      </c>
      <c r="L1349" s="279" t="e">
        <f>((L1354+L1358)/(L1365+L1369))*100</f>
        <v>#DIV/0!</v>
      </c>
      <c r="M1349" s="279" t="e">
        <f t="shared" ref="M1349:N1349" si="1691">((M1354+M1358)/(M1365+M1369))*100</f>
        <v>#DIV/0!</v>
      </c>
      <c r="N1349" s="279" t="e">
        <f t="shared" si="1691"/>
        <v>#DIV/0!</v>
      </c>
      <c r="Q1349" s="279">
        <f>((Q1354+Q1358)/(Q1365+Q1369))*100</f>
        <v>20.187793427230048</v>
      </c>
      <c r="R1349" s="279">
        <f>((R1354+R1358)/(R1365+R1369))*100</f>
        <v>20.465116279069768</v>
      </c>
      <c r="S1349" s="279">
        <f>((S1354+S1358)/(S1365+S1369))*100</f>
        <v>33.333333333333329</v>
      </c>
      <c r="T1349" s="279">
        <f>((T1354+T1358)/(T1365+T1369))*100</f>
        <v>25</v>
      </c>
      <c r="V1349" s="279">
        <f>((V1354+V1358)/(V1365+V1369))*100</f>
        <v>0</v>
      </c>
      <c r="W1349" s="279">
        <f>((W1354+W1358)/(W1365+W1369))*100</f>
        <v>0</v>
      </c>
      <c r="Y1349" s="279">
        <f>((Y1354+Y1358)/(Y1365+Y1369))*100</f>
        <v>0</v>
      </c>
      <c r="Z1349" s="279">
        <f>((Z1354+Z1358)/(Z1365+Z1369))*100</f>
        <v>0</v>
      </c>
      <c r="AB1349" s="279">
        <f>((AB1354+AB1358)/(AB1365+AB1369))*100</f>
        <v>0</v>
      </c>
      <c r="AC1349" s="279">
        <f>((AC1354+AC1358)/(AC1365+AC1369))*100</f>
        <v>0</v>
      </c>
      <c r="AE1349" s="279">
        <f>((AE1354+AE1358)/(AE1365+AE1369))*100</f>
        <v>50</v>
      </c>
      <c r="AF1349" s="279">
        <f>((AF1354+AF1358)/(AF1365+AF1369))*100</f>
        <v>50</v>
      </c>
      <c r="AH1349" s="279">
        <f>((AH1354+AH1358)/(AH1365+AH1369))*100</f>
        <v>0</v>
      </c>
      <c r="AI1349" s="279">
        <f>((AI1354+AI1358)/(AI1365+AI1369))*100</f>
        <v>0</v>
      </c>
      <c r="AK1349" s="279">
        <f>((AK1354+AK1358)/(AK1365+AK1369))*100</f>
        <v>0</v>
      </c>
      <c r="AL1349" s="279">
        <f>((AL1354+AL1358)/(AL1365+AL1369))*100</f>
        <v>0</v>
      </c>
      <c r="AN1349" s="279">
        <f>((AN1354+AN1358)/(AN1365+AN1369))*100</f>
        <v>9.0909090909090917</v>
      </c>
      <c r="AO1349" s="279">
        <f>((AO1354+AO1358)/(AO1365+AO1369))*100</f>
        <v>9.0909090909090917</v>
      </c>
      <c r="AQ1349" s="279" t="e">
        <f>((AQ1354+AQ1358)/(AQ1365+AQ1369))*100</f>
        <v>#DIV/0!</v>
      </c>
      <c r="AR1349" s="279" t="e">
        <f>((AR1354+AR1358)/(AR1365+AR1369))*100</f>
        <v>#DIV/0!</v>
      </c>
      <c r="AT1349" s="279">
        <f>((AT1354+AT1358)/(AT1365+AT1369))*100</f>
        <v>33.333333333333329</v>
      </c>
      <c r="AU1349" s="279">
        <f>((AU1354+AU1358)/(AU1365+AU1369))*100</f>
        <v>33.333333333333329</v>
      </c>
      <c r="AW1349" s="279">
        <f>((AW1354+AW1358)/(AW1365+AW1369))*100</f>
        <v>0</v>
      </c>
      <c r="AX1349" s="279">
        <f>((AX1354+AX1358)/(AX1365+AX1369))*100</f>
        <v>0</v>
      </c>
      <c r="AZ1349" s="279">
        <f>((AZ1354+AZ1358)/(AZ1365+AZ1369))*100</f>
        <v>42.857142857142854</v>
      </c>
      <c r="BA1349" s="279">
        <f>((BA1354+BA1358)/(BA1365+BA1369))*100</f>
        <v>42.857142857142854</v>
      </c>
      <c r="BC1349" s="279">
        <f>((BC1354+BC1358)/(BC1365+BC1369))*100</f>
        <v>0</v>
      </c>
      <c r="BD1349" s="279">
        <f>((BD1354+BD1358)/(BD1365+BD1369))*100</f>
        <v>0</v>
      </c>
      <c r="BF1349" s="279">
        <f>((BF1354+BF1358)/(BF1365+BF1369))*100</f>
        <v>48.484848484848484</v>
      </c>
      <c r="BG1349" s="279">
        <f>((BG1354+BG1358)/(BG1365+BG1369))*100</f>
        <v>50</v>
      </c>
      <c r="BI1349" s="279">
        <f>((BI1354+BI1358)/(BI1365+BI1369))*100</f>
        <v>27.027027027027028</v>
      </c>
      <c r="BJ1349" s="279">
        <f>((BJ1354+BJ1358)/(BJ1365+BJ1369))*100</f>
        <v>27.027027027027028</v>
      </c>
      <c r="BL1349" s="279">
        <f>((BL1354+BL1358)/(BL1365+BL1369))*100</f>
        <v>33.333333333333329</v>
      </c>
      <c r="BM1349" s="279">
        <f>((BM1354+BM1358)/(BM1365+BM1369))*100</f>
        <v>33.333333333333329</v>
      </c>
      <c r="BO1349" s="279">
        <f>((BO1354+BO1358)/(BO1365+BO1369))*100</f>
        <v>0</v>
      </c>
      <c r="BP1349" s="279">
        <f>((BP1354+BP1358)/(BP1365+BP1369))*100</f>
        <v>0</v>
      </c>
      <c r="BR1349" s="279">
        <f>((BR1354+BR1358)/(BR1365+BR1369))*100</f>
        <v>37.5</v>
      </c>
      <c r="BS1349" s="279">
        <f>((BS1354+BS1358)/(BS1365+BS1369))*100</f>
        <v>28.571428571428569</v>
      </c>
      <c r="BU1349" s="279">
        <f>((BU1354+BU1358)/(BU1365+BU1369))*100</f>
        <v>0</v>
      </c>
      <c r="BV1349" s="279">
        <f>((BV1354+BV1358)/(BV1365+BV1369))*100</f>
        <v>0</v>
      </c>
      <c r="BX1349" s="279">
        <f>((BX1354+BX1358)/(BX1365+BX1369))*100</f>
        <v>0</v>
      </c>
      <c r="BY1349" s="279">
        <f>((BY1354+BY1358)/(BY1365+BY1369))*100</f>
        <v>0</v>
      </c>
      <c r="CA1349" s="279">
        <f>((CA1354+CA1358)/(CA1365+CA1369))*100</f>
        <v>0</v>
      </c>
      <c r="CB1349" s="279">
        <f>((CB1354+CB1358)/(CB1365+CB1369))*100</f>
        <v>0</v>
      </c>
      <c r="CD1349" s="279">
        <f>((CD1354+CD1358)/(CD1365+CD1369))*100</f>
        <v>20</v>
      </c>
      <c r="CE1349" s="279">
        <f>((CE1354+CE1358)/(CE1365+CE1369))*100</f>
        <v>20</v>
      </c>
      <c r="CG1349" s="279">
        <f>((CG1354+CG1358)/(CG1365+CG1369))*100</f>
        <v>0</v>
      </c>
      <c r="CH1349" s="279">
        <f>((CH1354+CH1358)/(CH1365+CH1369))*100</f>
        <v>5.5555555555555554</v>
      </c>
      <c r="CJ1349" s="279" t="e">
        <f>((CJ1354+CJ1358)/(CJ1365+CJ1369))*100</f>
        <v>#DIV/0!</v>
      </c>
      <c r="CK1349" s="279" t="e">
        <f>((CK1354+CK1358)/(CK1365+CK1369))*100</f>
        <v>#DIV/0!</v>
      </c>
    </row>
    <row r="1350" spans="1:89" x14ac:dyDescent="0.25">
      <c r="A1350" s="263"/>
      <c r="B1350" s="16" t="s">
        <v>1185</v>
      </c>
      <c r="C1350" s="95"/>
      <c r="D1350" s="95"/>
      <c r="E1350" s="279"/>
      <c r="F1350" s="279"/>
      <c r="G1350" s="279"/>
      <c r="H1350" s="279">
        <f>((H1355+H1358)/(H1366+H1369))*100</f>
        <v>4</v>
      </c>
      <c r="I1350" s="279">
        <f>((I1355+I1358)/(I1366+I1369))*100</f>
        <v>4.0816326530612246</v>
      </c>
      <c r="J1350" s="279">
        <f>((J1355+J1358)/(J1366+J1369))*100</f>
        <v>5.2631578947368416</v>
      </c>
      <c r="K1350" s="279">
        <f>((K1355+K1358)/(K1366+K1369))*100</f>
        <v>3.1914893617021276</v>
      </c>
      <c r="L1350" s="279" t="e">
        <f>((L1355+L1358)/(L1366+L1369))*100</f>
        <v>#DIV/0!</v>
      </c>
      <c r="M1350" s="279" t="e">
        <f t="shared" ref="M1350:N1350" si="1692">((M1355+M1358)/(M1366+M1369))*100</f>
        <v>#DIV/0!</v>
      </c>
      <c r="N1350" s="279" t="e">
        <f t="shared" si="1692"/>
        <v>#DIV/0!</v>
      </c>
      <c r="Q1350" s="279">
        <f>((Q1355+Q1358)/(Q1366+Q1369))*100</f>
        <v>3.1914893617021276</v>
      </c>
      <c r="R1350" s="279">
        <f>((R1355+R1358)/(R1366+R1369))*100</f>
        <v>4.2553191489361701</v>
      </c>
      <c r="S1350" s="279">
        <f>((S1355+S1358)/(S1366+S1369))*100</f>
        <v>14.285714285714285</v>
      </c>
      <c r="T1350" s="279">
        <f>((T1355+T1358)/(T1366+T1369))*100</f>
        <v>14.285714285714285</v>
      </c>
      <c r="V1350" s="279">
        <f>((V1355+V1358)/(V1366+V1369))*100</f>
        <v>0</v>
      </c>
      <c r="W1350" s="279">
        <f>((W1355+W1358)/(W1366+W1369))*100</f>
        <v>0</v>
      </c>
      <c r="Y1350" s="279">
        <f>((Y1355+Y1358)/(Y1366+Y1369))*100</f>
        <v>0</v>
      </c>
      <c r="Z1350" s="279">
        <f>((Z1355+Z1358)/(Z1366+Z1369))*100</f>
        <v>0</v>
      </c>
      <c r="AB1350" s="279">
        <f>((AB1355+AB1358)/(AB1366+AB1369))*100</f>
        <v>0</v>
      </c>
      <c r="AC1350" s="279">
        <f>((AC1355+AC1358)/(AC1366+AC1369))*100</f>
        <v>0</v>
      </c>
      <c r="AE1350" s="279">
        <f>((AE1355+AE1358)/(AE1366+AE1369))*100</f>
        <v>0</v>
      </c>
      <c r="AF1350" s="279">
        <f>((AF1355+AF1358)/(AF1366+AF1369))*100</f>
        <v>0</v>
      </c>
      <c r="AH1350" s="279">
        <f>((AH1355+AH1358)/(AH1366+AH1369))*100</f>
        <v>0</v>
      </c>
      <c r="AI1350" s="279">
        <f>((AI1355+AI1358)/(AI1366+AI1369))*100</f>
        <v>0</v>
      </c>
      <c r="AK1350" s="279">
        <f>((AK1355+AK1358)/(AK1366+AK1369))*100</f>
        <v>0</v>
      </c>
      <c r="AL1350" s="279">
        <f>((AL1355+AL1358)/(AL1366+AL1369))*100</f>
        <v>0</v>
      </c>
      <c r="AN1350" s="279">
        <f>((AN1355+AN1358)/(AN1366+AN1369))*100</f>
        <v>0</v>
      </c>
      <c r="AO1350" s="279">
        <f>((AO1355+AO1358)/(AO1366+AO1369))*100</f>
        <v>0</v>
      </c>
      <c r="AQ1350" s="279">
        <f>((AQ1355+AQ1358)/(AQ1366+AQ1369))*100</f>
        <v>4.3478260869565215</v>
      </c>
      <c r="AR1350" s="279">
        <f>((AR1355+AR1358)/(AR1366+AR1369))*100</f>
        <v>8.3333333333333321</v>
      </c>
      <c r="AT1350" s="279" t="e">
        <f>((AT1355+AT1358)/(AT1366+AT1369))*100</f>
        <v>#DIV/0!</v>
      </c>
      <c r="AU1350" s="279" t="e">
        <f>((AU1355+AU1358)/(AU1366+AU1369))*100</f>
        <v>#DIV/0!</v>
      </c>
      <c r="AW1350" s="279" t="e">
        <f>((AW1355+AW1358)/(AW1366+AW1369))*100</f>
        <v>#DIV/0!</v>
      </c>
      <c r="AX1350" s="279" t="e">
        <f>((AX1355+AX1358)/(AX1366+AX1369))*100</f>
        <v>#DIV/0!</v>
      </c>
      <c r="AZ1350" s="279" t="e">
        <f>((AZ1355+AZ1358)/(AZ1366+AZ1369))*100</f>
        <v>#DIV/0!</v>
      </c>
      <c r="BA1350" s="279" t="e">
        <f>((BA1355+BA1358)/(BA1366+BA1369))*100</f>
        <v>#DIV/0!</v>
      </c>
      <c r="BC1350" s="279" t="e">
        <f>((BC1355+BC1358)/(BC1366+BC1369))*100</f>
        <v>#DIV/0!</v>
      </c>
      <c r="BD1350" s="279" t="e">
        <f>((BD1355+BD1358)/(BD1366+BD1369))*100</f>
        <v>#DIV/0!</v>
      </c>
      <c r="BF1350" s="279" t="e">
        <f>((BF1355+BF1358)/(BF1366+BF1369))*100</f>
        <v>#DIV/0!</v>
      </c>
      <c r="BG1350" s="279" t="e">
        <f>((BG1355+BG1358)/(BG1366+BG1369))*100</f>
        <v>#DIV/0!</v>
      </c>
      <c r="BI1350" s="279" t="e">
        <f>((BI1355+BI1358)/(BI1366+BI1369))*100</f>
        <v>#DIV/0!</v>
      </c>
      <c r="BJ1350" s="279" t="e">
        <f>((BJ1355+BJ1358)/(BJ1366+BJ1369))*100</f>
        <v>#DIV/0!</v>
      </c>
      <c r="BL1350" s="279" t="e">
        <f>((BL1355+BL1358)/(BL1366+BL1369))*100</f>
        <v>#DIV/0!</v>
      </c>
      <c r="BM1350" s="279" t="e">
        <f>((BM1355+BM1358)/(BM1366+BM1369))*100</f>
        <v>#DIV/0!</v>
      </c>
      <c r="BO1350" s="279" t="e">
        <f>((BO1355+BO1358)/(BO1366+BO1369))*100</f>
        <v>#DIV/0!</v>
      </c>
      <c r="BP1350" s="279" t="e">
        <f>((BP1355+BP1358)/(BP1366+BP1369))*100</f>
        <v>#DIV/0!</v>
      </c>
      <c r="BR1350" s="279" t="e">
        <f>((BR1355+BR1358)/(BR1366+BR1369))*100</f>
        <v>#DIV/0!</v>
      </c>
      <c r="BS1350" s="279" t="e">
        <f>((BS1355+BS1358)/(BS1366+BS1369))*100</f>
        <v>#DIV/0!</v>
      </c>
      <c r="BU1350" s="279" t="e">
        <f>((BU1355+BU1358)/(BU1366+BU1369))*100</f>
        <v>#DIV/0!</v>
      </c>
      <c r="BV1350" s="279" t="e">
        <f>((BV1355+BV1358)/(BV1366+BV1369))*100</f>
        <v>#DIV/0!</v>
      </c>
      <c r="BX1350" s="279" t="e">
        <f>((BX1355+BX1358)/(BX1366+BX1369))*100</f>
        <v>#DIV/0!</v>
      </c>
      <c r="BY1350" s="279" t="e">
        <f>((BY1355+BY1358)/(BY1366+BY1369))*100</f>
        <v>#DIV/0!</v>
      </c>
      <c r="CA1350" s="279" t="e">
        <f>((CA1355+CA1358)/(CA1366+CA1369))*100</f>
        <v>#DIV/0!</v>
      </c>
      <c r="CB1350" s="279" t="e">
        <f>((CB1355+CB1358)/(CB1366+CB1369))*100</f>
        <v>#DIV/0!</v>
      </c>
      <c r="CD1350" s="279" t="e">
        <f>((CD1355+CD1358)/(CD1366+CD1369))*100</f>
        <v>#DIV/0!</v>
      </c>
      <c r="CE1350" s="279" t="e">
        <f>((CE1355+CE1358)/(CE1366+CE1369))*100</f>
        <v>#DIV/0!</v>
      </c>
      <c r="CG1350" s="279">
        <f>((CG1355+CG1358)/(CG1366+CG1369))*100</f>
        <v>25</v>
      </c>
      <c r="CH1350" s="279">
        <f>((CH1355+CH1358)/(CH1366+CH1369))*100</f>
        <v>25</v>
      </c>
      <c r="CJ1350" s="279" t="e">
        <f>((CJ1355+CJ1358)/(CJ1366+CJ1369))*100</f>
        <v>#DIV/0!</v>
      </c>
      <c r="CK1350" s="279" t="e">
        <f>((CK1355+CK1358)/(CK1366+CK1369))*100</f>
        <v>#DIV/0!</v>
      </c>
    </row>
    <row r="1351" spans="1:89" x14ac:dyDescent="0.25">
      <c r="A1351" s="263"/>
      <c r="B1351" s="96" t="s">
        <v>1184</v>
      </c>
      <c r="C1351" s="95"/>
      <c r="D1351" s="95" t="s">
        <v>8</v>
      </c>
      <c r="E1351" s="279">
        <f>(E1356+E1357)/(E1367+E1368)*100</f>
        <v>0</v>
      </c>
      <c r="F1351" s="279">
        <f>(F1356+F1357)/(F1367+F1368)*100</f>
        <v>0</v>
      </c>
      <c r="G1351" s="279">
        <f>(G1356+G1357)/(G1367+G1368)*100</f>
        <v>0</v>
      </c>
      <c r="H1351" s="279">
        <f>((H1356+H1357)/(H1367+H1368))*100</f>
        <v>0</v>
      </c>
      <c r="I1351" s="279">
        <f>((I1356+I1357)/(I1367+I1368))*100</f>
        <v>0</v>
      </c>
      <c r="J1351" s="279">
        <f>((J1356+J1357)/(J1367+J1368))*100</f>
        <v>0</v>
      </c>
      <c r="K1351" s="279">
        <f>((K1356+K1357)/(K1367+K1368))*100</f>
        <v>0</v>
      </c>
      <c r="L1351" s="279" t="e">
        <f>((L1356+L1357)/(L1367+L1368))*100</f>
        <v>#DIV/0!</v>
      </c>
      <c r="M1351" s="279" t="e">
        <f t="shared" ref="M1351:N1351" si="1693">((M1356+M1357)/(M1367+M1368))*100</f>
        <v>#DIV/0!</v>
      </c>
      <c r="N1351" s="279" t="e">
        <f t="shared" si="1693"/>
        <v>#DIV/0!</v>
      </c>
      <c r="Q1351" s="279">
        <f>((Q1356+Q1357)/(Q1367+Q1368))*100</f>
        <v>0</v>
      </c>
      <c r="R1351" s="279">
        <f>((R1356+R1357)/(R1367+R1368))*100</f>
        <v>0</v>
      </c>
      <c r="S1351" s="279" t="e">
        <f>((S1356+S1357)/(S1367+S1368))*100</f>
        <v>#DIV/0!</v>
      </c>
      <c r="T1351" s="279" t="e">
        <f>((T1356+T1357)/(T1367+T1368))*100</f>
        <v>#DIV/0!</v>
      </c>
      <c r="V1351" s="279" t="e">
        <f>((V1356+V1357)/(V1367+V1368))*100</f>
        <v>#DIV/0!</v>
      </c>
      <c r="W1351" s="279" t="e">
        <f>((W1356+W1357)/(W1367+W1368))*100</f>
        <v>#DIV/0!</v>
      </c>
      <c r="Y1351" s="279" t="e">
        <f>((Y1356+Y1357)/(Y1367+Y1368))*100</f>
        <v>#DIV/0!</v>
      </c>
      <c r="Z1351" s="279" t="e">
        <f>((Z1356+Z1357)/(Z1367+Z1368))*100</f>
        <v>#DIV/0!</v>
      </c>
      <c r="AB1351" s="279" t="e">
        <f>((AB1356+AB1357)/(AB1367+AB1368))*100</f>
        <v>#DIV/0!</v>
      </c>
      <c r="AC1351" s="279" t="e">
        <f>((AC1356+AC1357)/(AC1367+AC1368))*100</f>
        <v>#DIV/0!</v>
      </c>
      <c r="AE1351" s="279" t="e">
        <f>((AE1356+AE1357)/(AE1367+AE1368))*100</f>
        <v>#DIV/0!</v>
      </c>
      <c r="AF1351" s="279" t="e">
        <f>((AF1356+AF1357)/(AF1367+AF1368))*100</f>
        <v>#DIV/0!</v>
      </c>
      <c r="AH1351" s="279" t="e">
        <f>((AH1356+AH1357)/(AH1367+AH1368))*100</f>
        <v>#DIV/0!</v>
      </c>
      <c r="AI1351" s="279" t="e">
        <f>((AI1356+AI1357)/(AI1367+AI1368))*100</f>
        <v>#DIV/0!</v>
      </c>
      <c r="AK1351" s="279" t="e">
        <f>((AK1356+AK1357)/(AK1367+AK1368))*100</f>
        <v>#DIV/0!</v>
      </c>
      <c r="AL1351" s="279" t="e">
        <f>((AL1356+AL1357)/(AL1367+AL1368))*100</f>
        <v>#DIV/0!</v>
      </c>
      <c r="AN1351" s="279" t="e">
        <f>((AN1356+AN1357)/(AN1367+AN1368))*100</f>
        <v>#DIV/0!</v>
      </c>
      <c r="AO1351" s="279" t="e">
        <f>((AO1356+AO1357)/(AO1367+AO1368))*100</f>
        <v>#DIV/0!</v>
      </c>
      <c r="AQ1351" s="279" t="e">
        <f>((AQ1356+AQ1357)/(AQ1367+AQ1368))*100</f>
        <v>#DIV/0!</v>
      </c>
      <c r="AR1351" s="279" t="e">
        <f>((AR1356+AR1357)/(AR1367+AR1368))*100</f>
        <v>#DIV/0!</v>
      </c>
      <c r="AT1351" s="279" t="e">
        <f>((AT1356+AT1357)/(AT1367+AT1368))*100</f>
        <v>#DIV/0!</v>
      </c>
      <c r="AU1351" s="279" t="e">
        <f>((AU1356+AU1357)/(AU1367+AU1368))*100</f>
        <v>#DIV/0!</v>
      </c>
      <c r="AW1351" s="279" t="e">
        <f>((AW1356+AW1357)/(AW1367+AW1368))*100</f>
        <v>#DIV/0!</v>
      </c>
      <c r="AX1351" s="279" t="e">
        <f>((AX1356+AX1357)/(AX1367+AX1368))*100</f>
        <v>#DIV/0!</v>
      </c>
      <c r="AZ1351" s="279" t="e">
        <f>((AZ1356+AZ1357)/(AZ1367+AZ1368))*100</f>
        <v>#DIV/0!</v>
      </c>
      <c r="BA1351" s="279" t="e">
        <f>((BA1356+BA1357)/(BA1367+BA1368))*100</f>
        <v>#DIV/0!</v>
      </c>
      <c r="BC1351" s="279">
        <f>((BC1356+BC1357)/(BC1367+BC1368))*100</f>
        <v>0</v>
      </c>
      <c r="BD1351" s="279">
        <f>((BD1356+BD1357)/(BD1367+BD1368))*100</f>
        <v>0</v>
      </c>
      <c r="BF1351" s="279">
        <f>((BF1356+BF1357)/(BF1367+BF1368))*100</f>
        <v>0</v>
      </c>
      <c r="BG1351" s="279">
        <f>((BG1356+BG1357)/(BG1367+BG1368))*100</f>
        <v>0</v>
      </c>
      <c r="BI1351" s="279">
        <f>((BI1356+BI1357)/(BI1367+BI1368))*100</f>
        <v>0</v>
      </c>
      <c r="BJ1351" s="279">
        <f>((BJ1356+BJ1357)/(BJ1367+BJ1368))*100</f>
        <v>0</v>
      </c>
      <c r="BL1351" s="279" t="e">
        <f>((BL1356+BL1357)/(BL1367+BL1368))*100</f>
        <v>#DIV/0!</v>
      </c>
      <c r="BM1351" s="279" t="e">
        <f>((BM1356+BM1357)/(BM1367+BM1368))*100</f>
        <v>#DIV/0!</v>
      </c>
      <c r="BO1351" s="279" t="e">
        <f>((BO1356+BO1357)/(BO1367+BO1368))*100</f>
        <v>#DIV/0!</v>
      </c>
      <c r="BP1351" s="279" t="e">
        <f>((BP1356+BP1357)/(BP1367+BP1368))*100</f>
        <v>#DIV/0!</v>
      </c>
      <c r="BR1351" s="279" t="e">
        <f>((BR1356+BR1357)/(BR1367+BR1368))*100</f>
        <v>#DIV/0!</v>
      </c>
      <c r="BS1351" s="279" t="e">
        <f>((BS1356+BS1357)/(BS1367+BS1368))*100</f>
        <v>#DIV/0!</v>
      </c>
      <c r="BU1351" s="279" t="e">
        <f>((BU1356+BU1357)/(BU1367+BU1368))*100</f>
        <v>#DIV/0!</v>
      </c>
      <c r="BV1351" s="279" t="e">
        <f>((BV1356+BV1357)/(BV1367+BV1368))*100</f>
        <v>#DIV/0!</v>
      </c>
      <c r="BX1351" s="279" t="e">
        <f>((BX1356+BX1357)/(BX1367+BX1368))*100</f>
        <v>#DIV/0!</v>
      </c>
      <c r="BY1351" s="279" t="e">
        <f>((BY1356+BY1357)/(BY1367+BY1368))*100</f>
        <v>#DIV/0!</v>
      </c>
      <c r="CA1351" s="279" t="e">
        <f>((CA1356+CA1357)/(CA1367+CA1368))*100</f>
        <v>#DIV/0!</v>
      </c>
      <c r="CB1351" s="279" t="e">
        <f>((CB1356+CB1357)/(CB1367+CB1368))*100</f>
        <v>#DIV/0!</v>
      </c>
      <c r="CD1351" s="279">
        <f>((CD1356+CD1357)/(CD1367+CD1368))*100</f>
        <v>0</v>
      </c>
      <c r="CE1351" s="279">
        <f>((CE1356+CE1357)/(CE1367+CE1368))*100</f>
        <v>0</v>
      </c>
      <c r="CG1351" s="279" t="e">
        <f>((CG1356+CG1357)/(CG1367+CG1368))*100</f>
        <v>#DIV/0!</v>
      </c>
      <c r="CH1351" s="279" t="e">
        <f>((CH1356+CH1357)/(CH1367+CH1368))*100</f>
        <v>#DIV/0!</v>
      </c>
      <c r="CJ1351" s="279" t="e">
        <f>((CJ1356+CJ1357)/(CJ1367+CJ1368))*100</f>
        <v>#DIV/0!</v>
      </c>
      <c r="CK1351" s="279" t="e">
        <f>((CK1356+CK1357)/(CK1367+CK1368))*100</f>
        <v>#DIV/0!</v>
      </c>
    </row>
    <row r="1352" spans="1:89" x14ac:dyDescent="0.25">
      <c r="A1352" s="263"/>
      <c r="B1352" s="96" t="s">
        <v>1183</v>
      </c>
      <c r="C1352" s="95"/>
      <c r="D1352" s="95"/>
      <c r="E1352" s="279"/>
      <c r="F1352" s="279"/>
      <c r="G1352" s="279"/>
      <c r="H1352" s="279">
        <f t="shared" ref="H1352:J1353" si="1694">((H1356)/(H1367))*100</f>
        <v>0</v>
      </c>
      <c r="I1352" s="279">
        <f t="shared" si="1694"/>
        <v>0</v>
      </c>
      <c r="J1352" s="279">
        <f t="shared" si="1694"/>
        <v>0</v>
      </c>
      <c r="K1352" s="279">
        <f>((K1356)/(K1367))*100</f>
        <v>0</v>
      </c>
      <c r="L1352" s="279" t="e">
        <f>((L1356)/(L1367))*100</f>
        <v>#DIV/0!</v>
      </c>
      <c r="M1352" s="279" t="e">
        <f t="shared" ref="M1352:N1353" si="1695">((M1356)/(M1367))*100</f>
        <v>#DIV/0!</v>
      </c>
      <c r="N1352" s="279" t="e">
        <f t="shared" si="1695"/>
        <v>#DIV/0!</v>
      </c>
      <c r="Q1352" s="279">
        <f t="shared" ref="Q1352:T1353" si="1696">((Q1356)/(Q1367))*100</f>
        <v>0</v>
      </c>
      <c r="R1352" s="279">
        <f t="shared" si="1696"/>
        <v>0</v>
      </c>
      <c r="S1352" s="279" t="e">
        <f t="shared" si="1696"/>
        <v>#DIV/0!</v>
      </c>
      <c r="T1352" s="279" t="e">
        <f t="shared" si="1696"/>
        <v>#DIV/0!</v>
      </c>
      <c r="V1352" s="279" t="e">
        <f>((V1356)/(V1367))*100</f>
        <v>#DIV/0!</v>
      </c>
      <c r="W1352" s="279" t="e">
        <f>((W1356)/(W1367))*100</f>
        <v>#DIV/0!</v>
      </c>
      <c r="Y1352" s="279" t="e">
        <f>((Y1356)/(Y1367))*100</f>
        <v>#DIV/0!</v>
      </c>
      <c r="Z1352" s="279" t="e">
        <f>((Z1356)/(Z1367))*100</f>
        <v>#DIV/0!</v>
      </c>
      <c r="AB1352" s="279" t="e">
        <f>((AB1356)/(AB1367))*100</f>
        <v>#DIV/0!</v>
      </c>
      <c r="AC1352" s="279" t="e">
        <f>((AC1356)/(AC1367))*100</f>
        <v>#DIV/0!</v>
      </c>
      <c r="AE1352" s="279" t="e">
        <f>((AE1356)/(AE1367))*100</f>
        <v>#DIV/0!</v>
      </c>
      <c r="AF1352" s="279" t="e">
        <f>((AF1356)/(AF1367))*100</f>
        <v>#DIV/0!</v>
      </c>
      <c r="AH1352" s="279" t="e">
        <f>((AH1356)/(AH1367))*100</f>
        <v>#DIV/0!</v>
      </c>
      <c r="AI1352" s="279" t="e">
        <f>((AI1356)/(AI1367))*100</f>
        <v>#DIV/0!</v>
      </c>
      <c r="AK1352" s="279" t="e">
        <f>((AK1356)/(AK1367))*100</f>
        <v>#DIV/0!</v>
      </c>
      <c r="AL1352" s="279" t="e">
        <f>((AL1356)/(AL1367))*100</f>
        <v>#DIV/0!</v>
      </c>
      <c r="AN1352" s="279" t="e">
        <f>((AN1356)/(AN1367))*100</f>
        <v>#DIV/0!</v>
      </c>
      <c r="AO1352" s="279" t="e">
        <f>((AO1356)/(AO1367))*100</f>
        <v>#DIV/0!</v>
      </c>
      <c r="AQ1352" s="279" t="e">
        <f>((AQ1356)/(AQ1367))*100</f>
        <v>#DIV/0!</v>
      </c>
      <c r="AR1352" s="279" t="e">
        <f>((AR1356)/(AR1367))*100</f>
        <v>#DIV/0!</v>
      </c>
      <c r="AT1352" s="279" t="e">
        <f>((AT1356)/(AT1367))*100</f>
        <v>#DIV/0!</v>
      </c>
      <c r="AU1352" s="279" t="e">
        <f>((AU1356)/(AU1367))*100</f>
        <v>#DIV/0!</v>
      </c>
      <c r="AW1352" s="279" t="e">
        <f>((AW1356)/(AW1367))*100</f>
        <v>#DIV/0!</v>
      </c>
      <c r="AX1352" s="279" t="e">
        <f>((AX1356)/(AX1367))*100</f>
        <v>#DIV/0!</v>
      </c>
      <c r="AZ1352" s="279" t="e">
        <f>((AZ1356)/(AZ1367))*100</f>
        <v>#DIV/0!</v>
      </c>
      <c r="BA1352" s="279" t="e">
        <f>((BA1356)/(BA1367))*100</f>
        <v>#DIV/0!</v>
      </c>
      <c r="BC1352" s="279">
        <f>((BC1356)/(BC1367))*100</f>
        <v>0</v>
      </c>
      <c r="BD1352" s="279">
        <f>((BD1356)/(BD1367))*100</f>
        <v>0</v>
      </c>
      <c r="BF1352" s="279">
        <f>((BF1356)/(BF1367))*100</f>
        <v>0</v>
      </c>
      <c r="BG1352" s="279">
        <f>((BG1356)/(BG1367))*100</f>
        <v>0</v>
      </c>
      <c r="BI1352" s="279">
        <f>((BI1356)/(BI1367))*100</f>
        <v>0</v>
      </c>
      <c r="BJ1352" s="279">
        <f>((BJ1356)/(BJ1367))*100</f>
        <v>0</v>
      </c>
      <c r="BL1352" s="279" t="e">
        <f>((BL1356)/(BL1367))*100</f>
        <v>#DIV/0!</v>
      </c>
      <c r="BM1352" s="279" t="e">
        <f>((BM1356)/(BM1367))*100</f>
        <v>#DIV/0!</v>
      </c>
      <c r="BO1352" s="279" t="e">
        <f>((BO1356)/(BO1367))*100</f>
        <v>#DIV/0!</v>
      </c>
      <c r="BP1352" s="279" t="e">
        <f>((BP1356)/(BP1367))*100</f>
        <v>#DIV/0!</v>
      </c>
      <c r="BR1352" s="279" t="e">
        <f>((BR1356)/(BR1367))*100</f>
        <v>#DIV/0!</v>
      </c>
      <c r="BS1352" s="279" t="e">
        <f>((BS1356)/(BS1367))*100</f>
        <v>#DIV/0!</v>
      </c>
      <c r="BU1352" s="279" t="e">
        <f>((BU1356)/(BU1367))*100</f>
        <v>#DIV/0!</v>
      </c>
      <c r="BV1352" s="279" t="e">
        <f>((BV1356)/(BV1367))*100</f>
        <v>#DIV/0!</v>
      </c>
      <c r="BX1352" s="279" t="e">
        <f>((BX1356)/(BX1367))*100</f>
        <v>#DIV/0!</v>
      </c>
      <c r="BY1352" s="279" t="e">
        <f>((BY1356)/(BY1367))*100</f>
        <v>#DIV/0!</v>
      </c>
      <c r="CA1352" s="279" t="e">
        <f>((CA1356)/(CA1367))*100</f>
        <v>#DIV/0!</v>
      </c>
      <c r="CB1352" s="279" t="e">
        <f>((CB1356)/(CB1367))*100</f>
        <v>#DIV/0!</v>
      </c>
      <c r="CD1352" s="279">
        <f>((CD1356)/(CD1367))*100</f>
        <v>0</v>
      </c>
      <c r="CE1352" s="279">
        <f>((CE1356)/(CE1367))*100</f>
        <v>0</v>
      </c>
      <c r="CG1352" s="279" t="e">
        <f>((CG1356)/(CG1367))*100</f>
        <v>#DIV/0!</v>
      </c>
      <c r="CH1352" s="279" t="e">
        <f>((CH1356)/(CH1367))*100</f>
        <v>#DIV/0!</v>
      </c>
      <c r="CJ1352" s="279" t="e">
        <f>((CJ1356)/(CJ1367))*100</f>
        <v>#DIV/0!</v>
      </c>
      <c r="CK1352" s="279" t="e">
        <f>((CK1356)/(CK1367))*100</f>
        <v>#DIV/0!</v>
      </c>
    </row>
    <row r="1353" spans="1:89" x14ac:dyDescent="0.25">
      <c r="A1353" s="263"/>
      <c r="B1353" s="16" t="s">
        <v>1185</v>
      </c>
      <c r="C1353" s="95"/>
      <c r="D1353" s="95"/>
      <c r="E1353" s="279"/>
      <c r="F1353" s="279"/>
      <c r="G1353" s="279"/>
      <c r="H1353" s="279" t="e">
        <f t="shared" si="1694"/>
        <v>#DIV/0!</v>
      </c>
      <c r="I1353" s="279" t="e">
        <f t="shared" si="1694"/>
        <v>#DIV/0!</v>
      </c>
      <c r="J1353" s="279" t="e">
        <f t="shared" si="1694"/>
        <v>#DIV/0!</v>
      </c>
      <c r="K1353" s="279" t="e">
        <f>((K1357)/(K1368))*100</f>
        <v>#DIV/0!</v>
      </c>
      <c r="L1353" s="279" t="e">
        <f>((L1357)/(L1368))*100</f>
        <v>#DIV/0!</v>
      </c>
      <c r="M1353" s="279" t="e">
        <f t="shared" si="1695"/>
        <v>#DIV/0!</v>
      </c>
      <c r="N1353" s="279" t="e">
        <f t="shared" si="1695"/>
        <v>#DIV/0!</v>
      </c>
      <c r="Q1353" s="279" t="e">
        <f t="shared" si="1696"/>
        <v>#DIV/0!</v>
      </c>
      <c r="R1353" s="279" t="e">
        <f t="shared" si="1696"/>
        <v>#DIV/0!</v>
      </c>
      <c r="S1353" s="279" t="e">
        <f t="shared" si="1696"/>
        <v>#DIV/0!</v>
      </c>
      <c r="T1353" s="279" t="e">
        <f t="shared" si="1696"/>
        <v>#DIV/0!</v>
      </c>
      <c r="V1353" s="279" t="e">
        <f>((V1357)/(V1368))*100</f>
        <v>#DIV/0!</v>
      </c>
      <c r="W1353" s="279" t="e">
        <f>((W1357)/(W1368))*100</f>
        <v>#DIV/0!</v>
      </c>
      <c r="Y1353" s="279" t="e">
        <f>((Y1357)/(Y1368))*100</f>
        <v>#DIV/0!</v>
      </c>
      <c r="Z1353" s="279" t="e">
        <f>((Z1357)/(Z1368))*100</f>
        <v>#DIV/0!</v>
      </c>
      <c r="AB1353" s="279" t="e">
        <f>((AB1357)/(AB1368))*100</f>
        <v>#DIV/0!</v>
      </c>
      <c r="AC1353" s="279" t="e">
        <f>((AC1357)/(AC1368))*100</f>
        <v>#DIV/0!</v>
      </c>
      <c r="AE1353" s="279" t="e">
        <f>((AE1357)/(AE1368))*100</f>
        <v>#DIV/0!</v>
      </c>
      <c r="AF1353" s="279" t="e">
        <f>((AF1357)/(AF1368))*100</f>
        <v>#DIV/0!</v>
      </c>
      <c r="AH1353" s="279" t="e">
        <f>((AH1357)/(AH1368))*100</f>
        <v>#DIV/0!</v>
      </c>
      <c r="AI1353" s="279" t="e">
        <f>((AI1357)/(AI1368))*100</f>
        <v>#DIV/0!</v>
      </c>
      <c r="AK1353" s="279" t="e">
        <f>((AK1357)/(AK1368))*100</f>
        <v>#DIV/0!</v>
      </c>
      <c r="AL1353" s="279" t="e">
        <f>((AL1357)/(AL1368))*100</f>
        <v>#DIV/0!</v>
      </c>
      <c r="AN1353" s="279" t="e">
        <f>((AN1357)/(AN1368))*100</f>
        <v>#DIV/0!</v>
      </c>
      <c r="AO1353" s="279" t="e">
        <f>((AO1357)/(AO1368))*100</f>
        <v>#DIV/0!</v>
      </c>
      <c r="AQ1353" s="279" t="e">
        <f>((AQ1357)/(AQ1368))*100</f>
        <v>#DIV/0!</v>
      </c>
      <c r="AR1353" s="279" t="e">
        <f>((AR1357)/(AR1368))*100</f>
        <v>#DIV/0!</v>
      </c>
      <c r="AT1353" s="279" t="e">
        <f>((AT1357)/(AT1368))*100</f>
        <v>#DIV/0!</v>
      </c>
      <c r="AU1353" s="279" t="e">
        <f>((AU1357)/(AU1368))*100</f>
        <v>#DIV/0!</v>
      </c>
      <c r="AW1353" s="279" t="e">
        <f>((AW1357)/(AW1368))*100</f>
        <v>#DIV/0!</v>
      </c>
      <c r="AX1353" s="279" t="e">
        <f>((AX1357)/(AX1368))*100</f>
        <v>#DIV/0!</v>
      </c>
      <c r="AZ1353" s="279" t="e">
        <f>((AZ1357)/(AZ1368))*100</f>
        <v>#DIV/0!</v>
      </c>
      <c r="BA1353" s="279" t="e">
        <f>((BA1357)/(BA1368))*100</f>
        <v>#DIV/0!</v>
      </c>
      <c r="BC1353" s="279" t="e">
        <f>((BC1357)/(BC1368))*100</f>
        <v>#DIV/0!</v>
      </c>
      <c r="BD1353" s="279" t="e">
        <f>((BD1357)/(BD1368))*100</f>
        <v>#DIV/0!</v>
      </c>
      <c r="BF1353" s="279" t="e">
        <f>((BF1357)/(BF1368))*100</f>
        <v>#DIV/0!</v>
      </c>
      <c r="BG1353" s="279" t="e">
        <f>((BG1357)/(BG1368))*100</f>
        <v>#DIV/0!</v>
      </c>
      <c r="BI1353" s="279" t="e">
        <f>((BI1357)/(BI1368))*100</f>
        <v>#DIV/0!</v>
      </c>
      <c r="BJ1353" s="279" t="e">
        <f>((BJ1357)/(BJ1368))*100</f>
        <v>#DIV/0!</v>
      </c>
      <c r="BL1353" s="279" t="e">
        <f>((BL1357)/(BL1368))*100</f>
        <v>#DIV/0!</v>
      </c>
      <c r="BM1353" s="279" t="e">
        <f>((BM1357)/(BM1368))*100</f>
        <v>#DIV/0!</v>
      </c>
      <c r="BO1353" s="279" t="e">
        <f>((BO1357)/(BO1368))*100</f>
        <v>#DIV/0!</v>
      </c>
      <c r="BP1353" s="279" t="e">
        <f>((BP1357)/(BP1368))*100</f>
        <v>#DIV/0!</v>
      </c>
      <c r="BR1353" s="279" t="e">
        <f>((BR1357)/(BR1368))*100</f>
        <v>#DIV/0!</v>
      </c>
      <c r="BS1353" s="279" t="e">
        <f>((BS1357)/(BS1368))*100</f>
        <v>#DIV/0!</v>
      </c>
      <c r="BU1353" s="279" t="e">
        <f>((BU1357)/(BU1368))*100</f>
        <v>#DIV/0!</v>
      </c>
      <c r="BV1353" s="279" t="e">
        <f>((BV1357)/(BV1368))*100</f>
        <v>#DIV/0!</v>
      </c>
      <c r="BX1353" s="279" t="e">
        <f>((BX1357)/(BX1368))*100</f>
        <v>#DIV/0!</v>
      </c>
      <c r="BY1353" s="279" t="e">
        <f>((BY1357)/(BY1368))*100</f>
        <v>#DIV/0!</v>
      </c>
      <c r="CA1353" s="279" t="e">
        <f>((CA1357)/(CA1368))*100</f>
        <v>#DIV/0!</v>
      </c>
      <c r="CB1353" s="279" t="e">
        <f>((CB1357)/(CB1368))*100</f>
        <v>#DIV/0!</v>
      </c>
      <c r="CD1353" s="279" t="e">
        <f>((CD1357)/(CD1368))*100</f>
        <v>#DIV/0!</v>
      </c>
      <c r="CE1353" s="279" t="e">
        <f>((CE1357)/(CE1368))*100</f>
        <v>#DIV/0!</v>
      </c>
      <c r="CG1353" s="279" t="e">
        <f>((CG1357)/(CG1368))*100</f>
        <v>#DIV/0!</v>
      </c>
      <c r="CH1353" s="279" t="e">
        <f>((CH1357)/(CH1368))*100</f>
        <v>#DIV/0!</v>
      </c>
      <c r="CJ1353" s="279" t="e">
        <f>((CJ1357)/(CJ1368))*100</f>
        <v>#DIV/0!</v>
      </c>
      <c r="CK1353" s="279" t="e">
        <f>((CK1357)/(CK1368))*100</f>
        <v>#DIV/0!</v>
      </c>
    </row>
    <row r="1354" spans="1:89" ht="30" x14ac:dyDescent="0.25">
      <c r="A1354" s="416"/>
      <c r="B1354" s="419" t="s">
        <v>259</v>
      </c>
      <c r="C1354" s="95" t="s">
        <v>1264</v>
      </c>
      <c r="D1354" s="95" t="s">
        <v>1112</v>
      </c>
      <c r="E1354" s="291">
        <v>36</v>
      </c>
      <c r="F1354" s="291">
        <v>40</v>
      </c>
      <c r="G1354" s="291">
        <v>40</v>
      </c>
      <c r="H1354" s="291">
        <f t="shared" ref="H1354:J1355" si="1697">H1360</f>
        <v>41</v>
      </c>
      <c r="I1354" s="291">
        <f t="shared" si="1697"/>
        <v>43</v>
      </c>
      <c r="J1354" s="291">
        <f t="shared" si="1697"/>
        <v>41</v>
      </c>
      <c r="K1354" s="291">
        <f>K1360</f>
        <v>43</v>
      </c>
      <c r="L1354" s="291">
        <f>L1360</f>
        <v>0</v>
      </c>
      <c r="M1354" s="291">
        <f t="shared" ref="M1354:N1355" si="1698">M1360</f>
        <v>0</v>
      </c>
      <c r="N1354" s="291">
        <f t="shared" si="1698"/>
        <v>0</v>
      </c>
      <c r="Q1354" s="291">
        <f t="shared" ref="Q1354:T1355" si="1699">Q1360</f>
        <v>43</v>
      </c>
      <c r="R1354" s="291">
        <f t="shared" si="1699"/>
        <v>44</v>
      </c>
      <c r="S1354" s="291">
        <f t="shared" si="1699"/>
        <v>1</v>
      </c>
      <c r="T1354" s="291">
        <f t="shared" si="1699"/>
        <v>1</v>
      </c>
      <c r="V1354" s="291">
        <f>V1360</f>
        <v>0</v>
      </c>
      <c r="W1354" s="291">
        <f>W1360</f>
        <v>0</v>
      </c>
      <c r="Y1354" s="291">
        <f>Y1360</f>
        <v>0</v>
      </c>
      <c r="Z1354" s="291">
        <f>Z1360</f>
        <v>0</v>
      </c>
      <c r="AB1354" s="291">
        <f>AB1360</f>
        <v>0</v>
      </c>
      <c r="AC1354" s="291">
        <f>AC1360</f>
        <v>0</v>
      </c>
      <c r="AE1354" s="291">
        <f>AE1360</f>
        <v>3</v>
      </c>
      <c r="AF1354" s="291">
        <f>AF1360</f>
        <v>3</v>
      </c>
      <c r="AH1354" s="291">
        <f>AH1360</f>
        <v>0</v>
      </c>
      <c r="AI1354" s="291">
        <f>AI1360</f>
        <v>0</v>
      </c>
      <c r="AK1354" s="291">
        <f>AK1360</f>
        <v>0</v>
      </c>
      <c r="AL1354" s="291">
        <f>AL1360</f>
        <v>0</v>
      </c>
      <c r="AN1354" s="291">
        <f>AN1360</f>
        <v>1</v>
      </c>
      <c r="AO1354" s="291">
        <f>AO1360</f>
        <v>1</v>
      </c>
      <c r="AQ1354" s="291">
        <f>AQ1360</f>
        <v>0</v>
      </c>
      <c r="AR1354" s="291">
        <f>AR1360</f>
        <v>0</v>
      </c>
      <c r="AT1354" s="291">
        <f>AT1360</f>
        <v>3</v>
      </c>
      <c r="AU1354" s="291">
        <f>AU1360</f>
        <v>3</v>
      </c>
      <c r="AW1354" s="291">
        <f>AW1360</f>
        <v>0</v>
      </c>
      <c r="AX1354" s="291">
        <f>AX1360</f>
        <v>0</v>
      </c>
      <c r="AZ1354" s="291">
        <f>AZ1360</f>
        <v>3</v>
      </c>
      <c r="BA1354" s="291">
        <f>BA1360</f>
        <v>3</v>
      </c>
      <c r="BC1354" s="291">
        <f>BC1360</f>
        <v>0</v>
      </c>
      <c r="BD1354" s="291">
        <f>BD1360</f>
        <v>0</v>
      </c>
      <c r="BF1354" s="291">
        <f>BF1360</f>
        <v>16</v>
      </c>
      <c r="BG1354" s="291">
        <f>BG1360</f>
        <v>17</v>
      </c>
      <c r="BI1354" s="291">
        <f>BI1360</f>
        <v>10</v>
      </c>
      <c r="BJ1354" s="291">
        <f>BJ1360</f>
        <v>10</v>
      </c>
      <c r="BL1354" s="291">
        <f>BL1360</f>
        <v>2</v>
      </c>
      <c r="BM1354" s="291">
        <f>BM1360</f>
        <v>2</v>
      </c>
      <c r="BO1354" s="291">
        <f>BO1360</f>
        <v>0</v>
      </c>
      <c r="BP1354" s="291">
        <f>BP1360</f>
        <v>0</v>
      </c>
      <c r="BR1354" s="291">
        <f>BR1360</f>
        <v>3</v>
      </c>
      <c r="BS1354" s="291">
        <f>BS1360</f>
        <v>2</v>
      </c>
      <c r="BU1354" s="291">
        <f>BU1360</f>
        <v>0</v>
      </c>
      <c r="BV1354" s="291">
        <f>BV1360</f>
        <v>0</v>
      </c>
      <c r="BX1354" s="291">
        <f>BX1360</f>
        <v>0</v>
      </c>
      <c r="BY1354" s="291">
        <f>BY1360</f>
        <v>0</v>
      </c>
      <c r="CA1354" s="291">
        <f>CA1360</f>
        <v>0</v>
      </c>
      <c r="CB1354" s="291">
        <f>CB1360</f>
        <v>0</v>
      </c>
      <c r="CD1354" s="291">
        <f>CD1360</f>
        <v>1</v>
      </c>
      <c r="CE1354" s="291">
        <f>CE1360</f>
        <v>1</v>
      </c>
      <c r="CG1354" s="291">
        <f>CG1360</f>
        <v>0</v>
      </c>
      <c r="CH1354" s="291">
        <f>CH1360</f>
        <v>1</v>
      </c>
      <c r="CJ1354" s="291">
        <f>CJ1360</f>
        <v>0</v>
      </c>
      <c r="CK1354" s="291">
        <f>CK1360</f>
        <v>0</v>
      </c>
    </row>
    <row r="1355" spans="1:89" ht="30" x14ac:dyDescent="0.25">
      <c r="A1355" s="417"/>
      <c r="B1355" s="420"/>
      <c r="C1355" s="95" t="s">
        <v>1265</v>
      </c>
      <c r="D1355" s="95" t="s">
        <v>1112</v>
      </c>
      <c r="E1355" s="291">
        <v>2</v>
      </c>
      <c r="F1355" s="291">
        <v>3</v>
      </c>
      <c r="G1355" s="291">
        <v>3</v>
      </c>
      <c r="H1355" s="291">
        <f t="shared" si="1697"/>
        <v>4</v>
      </c>
      <c r="I1355" s="291">
        <f t="shared" si="1697"/>
        <v>4</v>
      </c>
      <c r="J1355" s="291">
        <f t="shared" si="1697"/>
        <v>5</v>
      </c>
      <c r="K1355" s="291">
        <f>K1361</f>
        <v>3</v>
      </c>
      <c r="L1355" s="291">
        <f>L1361</f>
        <v>0</v>
      </c>
      <c r="M1355" s="291">
        <f t="shared" si="1698"/>
        <v>0</v>
      </c>
      <c r="N1355" s="291">
        <f t="shared" si="1698"/>
        <v>0</v>
      </c>
      <c r="Q1355" s="291">
        <f t="shared" si="1699"/>
        <v>3</v>
      </c>
      <c r="R1355" s="291">
        <f t="shared" si="1699"/>
        <v>4</v>
      </c>
      <c r="S1355" s="291">
        <f t="shared" si="1699"/>
        <v>1</v>
      </c>
      <c r="T1355" s="291">
        <f t="shared" si="1699"/>
        <v>1</v>
      </c>
      <c r="V1355" s="291">
        <f>V1361</f>
        <v>0</v>
      </c>
      <c r="W1355" s="291">
        <f>W1361</f>
        <v>0</v>
      </c>
      <c r="Y1355" s="291">
        <f>Y1361</f>
        <v>0</v>
      </c>
      <c r="Z1355" s="291">
        <f>Z1361</f>
        <v>0</v>
      </c>
      <c r="AB1355" s="291">
        <f>AB1361</f>
        <v>0</v>
      </c>
      <c r="AC1355" s="291">
        <f>AC1361</f>
        <v>0</v>
      </c>
      <c r="AE1355" s="291">
        <f>AE1361</f>
        <v>0</v>
      </c>
      <c r="AF1355" s="291">
        <f>AF1361</f>
        <v>0</v>
      </c>
      <c r="AH1355" s="291">
        <f>AH1361</f>
        <v>0</v>
      </c>
      <c r="AI1355" s="291">
        <f>AI1361</f>
        <v>0</v>
      </c>
      <c r="AK1355" s="291">
        <f>AK1361</f>
        <v>0</v>
      </c>
      <c r="AL1355" s="291">
        <f>AL1361</f>
        <v>0</v>
      </c>
      <c r="AN1355" s="291">
        <f>AN1361</f>
        <v>0</v>
      </c>
      <c r="AO1355" s="291">
        <f>AO1361</f>
        <v>0</v>
      </c>
      <c r="AQ1355" s="291">
        <f>AQ1361</f>
        <v>1</v>
      </c>
      <c r="AR1355" s="291">
        <f>AR1361</f>
        <v>2</v>
      </c>
      <c r="AT1355" s="291">
        <f>AT1361</f>
        <v>0</v>
      </c>
      <c r="AU1355" s="291">
        <f>AU1361</f>
        <v>0</v>
      </c>
      <c r="AW1355" s="291">
        <f>AW1361</f>
        <v>0</v>
      </c>
      <c r="AX1355" s="291">
        <f>AX1361</f>
        <v>0</v>
      </c>
      <c r="AZ1355" s="291">
        <f>AZ1361</f>
        <v>0</v>
      </c>
      <c r="BA1355" s="291">
        <f>BA1361</f>
        <v>0</v>
      </c>
      <c r="BC1355" s="291">
        <f>BC1361</f>
        <v>0</v>
      </c>
      <c r="BD1355" s="291">
        <f>BD1361</f>
        <v>0</v>
      </c>
      <c r="BF1355" s="291">
        <f>BF1361</f>
        <v>0</v>
      </c>
      <c r="BG1355" s="291">
        <f>BG1361</f>
        <v>0</v>
      </c>
      <c r="BI1355" s="291">
        <f>BI1361</f>
        <v>0</v>
      </c>
      <c r="BJ1355" s="291">
        <f>BJ1361</f>
        <v>0</v>
      </c>
      <c r="BL1355" s="291">
        <f>BL1361</f>
        <v>0</v>
      </c>
      <c r="BM1355" s="291">
        <f>BM1361</f>
        <v>0</v>
      </c>
      <c r="BO1355" s="291">
        <f>BO1361</f>
        <v>0</v>
      </c>
      <c r="BP1355" s="291">
        <f>BP1361</f>
        <v>0</v>
      </c>
      <c r="BR1355" s="291">
        <f>BR1361</f>
        <v>0</v>
      </c>
      <c r="BS1355" s="291">
        <f>BS1361</f>
        <v>0</v>
      </c>
      <c r="BU1355" s="291">
        <f>BU1361</f>
        <v>0</v>
      </c>
      <c r="BV1355" s="291">
        <f>BV1361</f>
        <v>0</v>
      </c>
      <c r="BX1355" s="291">
        <f>BX1361</f>
        <v>0</v>
      </c>
      <c r="BY1355" s="291">
        <f>BY1361</f>
        <v>0</v>
      </c>
      <c r="CA1355" s="291">
        <f>CA1361</f>
        <v>0</v>
      </c>
      <c r="CB1355" s="291">
        <f>CB1361</f>
        <v>0</v>
      </c>
      <c r="CD1355" s="291">
        <f>CD1361</f>
        <v>0</v>
      </c>
      <c r="CE1355" s="291">
        <f>CE1361</f>
        <v>0</v>
      </c>
      <c r="CG1355" s="291">
        <f>CG1361</f>
        <v>1</v>
      </c>
      <c r="CH1355" s="291">
        <f>CH1361</f>
        <v>1</v>
      </c>
      <c r="CJ1355" s="291">
        <f>CJ1361</f>
        <v>0</v>
      </c>
      <c r="CK1355" s="291">
        <f>CK1361</f>
        <v>0</v>
      </c>
    </row>
    <row r="1356" spans="1:89" ht="30" x14ac:dyDescent="0.25">
      <c r="A1356" s="417"/>
      <c r="B1356" s="420"/>
      <c r="C1356" s="95" t="s">
        <v>1266</v>
      </c>
      <c r="D1356" s="95" t="s">
        <v>1112</v>
      </c>
      <c r="E1356" s="291">
        <v>0</v>
      </c>
      <c r="F1356" s="291">
        <v>0</v>
      </c>
      <c r="G1356" s="291">
        <v>0</v>
      </c>
      <c r="H1356" s="291">
        <f t="shared" ref="H1356:J1357" si="1700">H1363</f>
        <v>0</v>
      </c>
      <c r="I1356" s="291">
        <f t="shared" si="1700"/>
        <v>0</v>
      </c>
      <c r="J1356" s="291">
        <f t="shared" si="1700"/>
        <v>0</v>
      </c>
      <c r="K1356" s="291">
        <f>K1363</f>
        <v>0</v>
      </c>
      <c r="L1356" s="291">
        <f>L1363</f>
        <v>0</v>
      </c>
      <c r="M1356" s="291">
        <f t="shared" ref="M1356:N1357" si="1701">M1363</f>
        <v>0</v>
      </c>
      <c r="N1356" s="291">
        <f t="shared" si="1701"/>
        <v>0</v>
      </c>
      <c r="Q1356" s="291">
        <f t="shared" ref="Q1356:T1357" si="1702">Q1363</f>
        <v>0</v>
      </c>
      <c r="R1356" s="291">
        <f t="shared" si="1702"/>
        <v>0</v>
      </c>
      <c r="S1356" s="291">
        <f t="shared" si="1702"/>
        <v>0</v>
      </c>
      <c r="T1356" s="291">
        <f t="shared" si="1702"/>
        <v>0</v>
      </c>
      <c r="V1356" s="291">
        <f>V1363</f>
        <v>0</v>
      </c>
      <c r="W1356" s="291">
        <f>W1363</f>
        <v>0</v>
      </c>
      <c r="Y1356" s="291">
        <f>Y1363</f>
        <v>0</v>
      </c>
      <c r="Z1356" s="291">
        <f>Z1363</f>
        <v>0</v>
      </c>
      <c r="AB1356" s="291">
        <f>AB1363</f>
        <v>0</v>
      </c>
      <c r="AC1356" s="291">
        <f>AC1363</f>
        <v>0</v>
      </c>
      <c r="AE1356" s="291">
        <f>AE1363</f>
        <v>0</v>
      </c>
      <c r="AF1356" s="291">
        <f>AF1363</f>
        <v>0</v>
      </c>
      <c r="AH1356" s="291">
        <f>AH1363</f>
        <v>0</v>
      </c>
      <c r="AI1356" s="291">
        <f>AI1363</f>
        <v>0</v>
      </c>
      <c r="AK1356" s="291">
        <f>AK1363</f>
        <v>0</v>
      </c>
      <c r="AL1356" s="291">
        <f>AL1363</f>
        <v>0</v>
      </c>
      <c r="AN1356" s="291">
        <f>AN1363</f>
        <v>0</v>
      </c>
      <c r="AO1356" s="291">
        <f>AO1363</f>
        <v>0</v>
      </c>
      <c r="AQ1356" s="291">
        <f>AQ1363</f>
        <v>0</v>
      </c>
      <c r="AR1356" s="291">
        <f>AR1363</f>
        <v>0</v>
      </c>
      <c r="AT1356" s="291">
        <f>AT1363</f>
        <v>0</v>
      </c>
      <c r="AU1356" s="291">
        <f>AU1363</f>
        <v>0</v>
      </c>
      <c r="AW1356" s="291">
        <f>AW1363</f>
        <v>0</v>
      </c>
      <c r="AX1356" s="291">
        <f>AX1363</f>
        <v>0</v>
      </c>
      <c r="AZ1356" s="291">
        <f>AZ1363</f>
        <v>0</v>
      </c>
      <c r="BA1356" s="291">
        <f>BA1363</f>
        <v>0</v>
      </c>
      <c r="BC1356" s="291">
        <f>BC1363</f>
        <v>0</v>
      </c>
      <c r="BD1356" s="291">
        <f>BD1363</f>
        <v>0</v>
      </c>
      <c r="BF1356" s="291">
        <f>BF1363</f>
        <v>0</v>
      </c>
      <c r="BG1356" s="291">
        <f>BG1363</f>
        <v>0</v>
      </c>
      <c r="BI1356" s="291">
        <f>BI1363</f>
        <v>0</v>
      </c>
      <c r="BJ1356" s="291">
        <f>BJ1363</f>
        <v>0</v>
      </c>
      <c r="BL1356" s="291">
        <f>BL1363</f>
        <v>0</v>
      </c>
      <c r="BM1356" s="291">
        <f>BM1363</f>
        <v>0</v>
      </c>
      <c r="BO1356" s="291">
        <f>BO1363</f>
        <v>0</v>
      </c>
      <c r="BP1356" s="291">
        <f>BP1363</f>
        <v>0</v>
      </c>
      <c r="BR1356" s="291">
        <f>BR1363</f>
        <v>0</v>
      </c>
      <c r="BS1356" s="291">
        <f>BS1363</f>
        <v>0</v>
      </c>
      <c r="BU1356" s="291">
        <f>BU1363</f>
        <v>0</v>
      </c>
      <c r="BV1356" s="291">
        <f>BV1363</f>
        <v>0</v>
      </c>
      <c r="BX1356" s="291">
        <f>BX1363</f>
        <v>0</v>
      </c>
      <c r="BY1356" s="291">
        <f>BY1363</f>
        <v>0</v>
      </c>
      <c r="CA1356" s="291">
        <f>CA1363</f>
        <v>0</v>
      </c>
      <c r="CB1356" s="291">
        <f>CB1363</f>
        <v>0</v>
      </c>
      <c r="CD1356" s="291">
        <f>CD1363</f>
        <v>0</v>
      </c>
      <c r="CE1356" s="291">
        <f>CE1363</f>
        <v>0</v>
      </c>
      <c r="CG1356" s="291">
        <f>CG1363</f>
        <v>0</v>
      </c>
      <c r="CH1356" s="291">
        <f>CH1363</f>
        <v>0</v>
      </c>
      <c r="CJ1356" s="291">
        <f>CJ1363</f>
        <v>0</v>
      </c>
      <c r="CK1356" s="291">
        <f>CK1363</f>
        <v>0</v>
      </c>
    </row>
    <row r="1357" spans="1:89" ht="30" x14ac:dyDescent="0.25">
      <c r="A1357" s="418"/>
      <c r="B1357" s="421"/>
      <c r="C1357" s="95" t="s">
        <v>1267</v>
      </c>
      <c r="D1357" s="95" t="s">
        <v>1112</v>
      </c>
      <c r="E1357" s="291">
        <v>0</v>
      </c>
      <c r="F1357" s="291">
        <v>0</v>
      </c>
      <c r="G1357" s="291">
        <v>0</v>
      </c>
      <c r="H1357" s="291">
        <f t="shared" si="1700"/>
        <v>0</v>
      </c>
      <c r="I1357" s="291">
        <f t="shared" si="1700"/>
        <v>0</v>
      </c>
      <c r="J1357" s="291">
        <f t="shared" si="1700"/>
        <v>0</v>
      </c>
      <c r="K1357" s="291">
        <f>K1364</f>
        <v>0</v>
      </c>
      <c r="L1357" s="291">
        <f>L1364</f>
        <v>0</v>
      </c>
      <c r="M1357" s="291">
        <f t="shared" si="1701"/>
        <v>0</v>
      </c>
      <c r="N1357" s="291">
        <f t="shared" si="1701"/>
        <v>0</v>
      </c>
      <c r="Q1357" s="291">
        <f t="shared" si="1702"/>
        <v>0</v>
      </c>
      <c r="R1357" s="291">
        <f t="shared" si="1702"/>
        <v>0</v>
      </c>
      <c r="S1357" s="291">
        <f t="shared" si="1702"/>
        <v>0</v>
      </c>
      <c r="T1357" s="291">
        <f t="shared" si="1702"/>
        <v>0</v>
      </c>
      <c r="V1357" s="291">
        <f>V1364</f>
        <v>0</v>
      </c>
      <c r="W1357" s="291">
        <f>W1364</f>
        <v>0</v>
      </c>
      <c r="Y1357" s="291">
        <f>Y1364</f>
        <v>0</v>
      </c>
      <c r="Z1357" s="291">
        <f>Z1364</f>
        <v>0</v>
      </c>
      <c r="AB1357" s="291">
        <f>AB1364</f>
        <v>0</v>
      </c>
      <c r="AC1357" s="291">
        <f>AC1364</f>
        <v>0</v>
      </c>
      <c r="AE1357" s="291">
        <f>AE1364</f>
        <v>0</v>
      </c>
      <c r="AF1357" s="291">
        <f>AF1364</f>
        <v>0</v>
      </c>
      <c r="AH1357" s="291">
        <f>AH1364</f>
        <v>0</v>
      </c>
      <c r="AI1357" s="291">
        <f>AI1364</f>
        <v>0</v>
      </c>
      <c r="AK1357" s="291">
        <f>AK1364</f>
        <v>0</v>
      </c>
      <c r="AL1357" s="291">
        <f>AL1364</f>
        <v>0</v>
      </c>
      <c r="AN1357" s="291">
        <f>AN1364</f>
        <v>0</v>
      </c>
      <c r="AO1357" s="291">
        <f>AO1364</f>
        <v>0</v>
      </c>
      <c r="AQ1357" s="291">
        <f>AQ1364</f>
        <v>0</v>
      </c>
      <c r="AR1357" s="291">
        <f>AR1364</f>
        <v>0</v>
      </c>
      <c r="AT1357" s="291">
        <f>AT1364</f>
        <v>0</v>
      </c>
      <c r="AU1357" s="291">
        <f>AU1364</f>
        <v>0</v>
      </c>
      <c r="AW1357" s="291">
        <f>AW1364</f>
        <v>0</v>
      </c>
      <c r="AX1357" s="291">
        <f>AX1364</f>
        <v>0</v>
      </c>
      <c r="AZ1357" s="291">
        <f>AZ1364</f>
        <v>0</v>
      </c>
      <c r="BA1357" s="291">
        <f>BA1364</f>
        <v>0</v>
      </c>
      <c r="BC1357" s="291">
        <f>BC1364</f>
        <v>0</v>
      </c>
      <c r="BD1357" s="291">
        <f>BD1364</f>
        <v>0</v>
      </c>
      <c r="BF1357" s="291">
        <f>BF1364</f>
        <v>0</v>
      </c>
      <c r="BG1357" s="291">
        <f>BG1364</f>
        <v>0</v>
      </c>
      <c r="BI1357" s="291">
        <f>BI1364</f>
        <v>0</v>
      </c>
      <c r="BJ1357" s="291">
        <f>BJ1364</f>
        <v>0</v>
      </c>
      <c r="BL1357" s="291">
        <f>BL1364</f>
        <v>0</v>
      </c>
      <c r="BM1357" s="291">
        <f>BM1364</f>
        <v>0</v>
      </c>
      <c r="BO1357" s="291">
        <f>BO1364</f>
        <v>0</v>
      </c>
      <c r="BP1357" s="291">
        <f>BP1364</f>
        <v>0</v>
      </c>
      <c r="BR1357" s="291">
        <f>BR1364</f>
        <v>0</v>
      </c>
      <c r="BS1357" s="291">
        <f>BS1364</f>
        <v>0</v>
      </c>
      <c r="BU1357" s="291">
        <f>BU1364</f>
        <v>0</v>
      </c>
      <c r="BV1357" s="291">
        <f>BV1364</f>
        <v>0</v>
      </c>
      <c r="BX1357" s="291">
        <f>BX1364</f>
        <v>0</v>
      </c>
      <c r="BY1357" s="291">
        <f>BY1364</f>
        <v>0</v>
      </c>
      <c r="CA1357" s="291">
        <f>CA1364</f>
        <v>0</v>
      </c>
      <c r="CB1357" s="291">
        <f>CB1364</f>
        <v>0</v>
      </c>
      <c r="CD1357" s="291">
        <f>CD1364</f>
        <v>0</v>
      </c>
      <c r="CE1357" s="291">
        <f>CE1364</f>
        <v>0</v>
      </c>
      <c r="CG1357" s="291">
        <f>CG1364</f>
        <v>0</v>
      </c>
      <c r="CH1357" s="291">
        <f>CH1364</f>
        <v>0</v>
      </c>
      <c r="CJ1357" s="291">
        <f>CJ1364</f>
        <v>0</v>
      </c>
      <c r="CK1357" s="291">
        <f>CK1364</f>
        <v>0</v>
      </c>
    </row>
    <row r="1358" spans="1:89" ht="30" x14ac:dyDescent="0.25">
      <c r="A1358" s="95"/>
      <c r="B1358" s="16" t="s">
        <v>260</v>
      </c>
      <c r="C1358" s="95" t="s">
        <v>261</v>
      </c>
      <c r="D1358" s="95" t="s">
        <v>1112</v>
      </c>
      <c r="E1358" s="291">
        <v>0</v>
      </c>
      <c r="F1358" s="291">
        <v>0</v>
      </c>
      <c r="G1358" s="291">
        <v>0</v>
      </c>
      <c r="H1358" s="291">
        <v>0</v>
      </c>
      <c r="I1358" s="291">
        <v>0</v>
      </c>
      <c r="J1358" s="291">
        <v>0</v>
      </c>
      <c r="K1358" s="291">
        <v>0</v>
      </c>
      <c r="L1358" s="291">
        <v>0</v>
      </c>
      <c r="M1358" s="291">
        <v>0</v>
      </c>
      <c r="N1358" s="291">
        <v>0</v>
      </c>
      <c r="Q1358" s="291">
        <v>0</v>
      </c>
      <c r="R1358" s="291">
        <v>0</v>
      </c>
      <c r="S1358" s="291">
        <v>0</v>
      </c>
      <c r="T1358" s="291">
        <v>0</v>
      </c>
      <c r="V1358" s="291">
        <v>0</v>
      </c>
      <c r="W1358" s="291">
        <v>0</v>
      </c>
      <c r="Y1358" s="291">
        <v>0</v>
      </c>
      <c r="Z1358" s="291">
        <v>0</v>
      </c>
      <c r="AB1358" s="291">
        <v>0</v>
      </c>
      <c r="AC1358" s="291">
        <v>0</v>
      </c>
      <c r="AE1358" s="291">
        <v>0</v>
      </c>
      <c r="AF1358" s="291">
        <v>0</v>
      </c>
      <c r="AH1358" s="291">
        <v>0</v>
      </c>
      <c r="AI1358" s="291">
        <v>0</v>
      </c>
      <c r="AK1358" s="291">
        <v>0</v>
      </c>
      <c r="AL1358" s="291">
        <v>0</v>
      </c>
      <c r="AN1358" s="291">
        <v>0</v>
      </c>
      <c r="AO1358" s="291">
        <v>0</v>
      </c>
      <c r="AQ1358" s="291">
        <v>0</v>
      </c>
      <c r="AR1358" s="291">
        <v>0</v>
      </c>
      <c r="AT1358" s="291">
        <v>0</v>
      </c>
      <c r="AU1358" s="291">
        <v>0</v>
      </c>
      <c r="AW1358" s="291">
        <v>0</v>
      </c>
      <c r="AX1358" s="291">
        <v>0</v>
      </c>
      <c r="AZ1358" s="291">
        <v>0</v>
      </c>
      <c r="BA1358" s="291">
        <v>0</v>
      </c>
      <c r="BC1358" s="291">
        <v>0</v>
      </c>
      <c r="BD1358" s="291">
        <v>0</v>
      </c>
      <c r="BF1358" s="291">
        <v>0</v>
      </c>
      <c r="BG1358" s="291">
        <v>0</v>
      </c>
      <c r="BI1358" s="291">
        <v>0</v>
      </c>
      <c r="BJ1358" s="291">
        <v>0</v>
      </c>
      <c r="BL1358" s="291">
        <v>0</v>
      </c>
      <c r="BM1358" s="291">
        <v>0</v>
      </c>
      <c r="BO1358" s="291">
        <v>0</v>
      </c>
      <c r="BP1358" s="291">
        <v>0</v>
      </c>
      <c r="BR1358" s="291">
        <v>0</v>
      </c>
      <c r="BS1358" s="291">
        <v>0</v>
      </c>
      <c r="BU1358" s="291">
        <v>0</v>
      </c>
      <c r="BV1358" s="291">
        <v>0</v>
      </c>
      <c r="BX1358" s="291">
        <v>0</v>
      </c>
      <c r="BY1358" s="291">
        <v>0</v>
      </c>
      <c r="CA1358" s="291">
        <v>0</v>
      </c>
      <c r="CB1358" s="291">
        <v>0</v>
      </c>
      <c r="CD1358" s="291">
        <v>0</v>
      </c>
      <c r="CE1358" s="291">
        <v>0</v>
      </c>
      <c r="CG1358" s="291">
        <v>0</v>
      </c>
      <c r="CH1358" s="291">
        <v>0</v>
      </c>
      <c r="CJ1358" s="291">
        <v>0</v>
      </c>
      <c r="CK1358" s="291">
        <v>0</v>
      </c>
    </row>
    <row r="1359" spans="1:89" x14ac:dyDescent="0.25">
      <c r="A1359" s="265"/>
      <c r="B1359" s="262" t="s">
        <v>1182</v>
      </c>
      <c r="C1359" s="95"/>
      <c r="D1359" s="95"/>
      <c r="E1359" s="291"/>
      <c r="F1359" s="291"/>
      <c r="G1359" s="291"/>
      <c r="H1359" s="291">
        <f>H1360+H1361</f>
        <v>45</v>
      </c>
      <c r="I1359" s="291">
        <f>I1360+I1361</f>
        <v>47</v>
      </c>
      <c r="J1359" s="291">
        <f>J1360+J1361</f>
        <v>46</v>
      </c>
      <c r="K1359" s="291">
        <f>K1360+K1361</f>
        <v>46</v>
      </c>
      <c r="L1359" s="291">
        <f>L1360+L1361</f>
        <v>0</v>
      </c>
      <c r="M1359" s="291">
        <f t="shared" ref="M1359:N1359" si="1703">M1360+M1361</f>
        <v>0</v>
      </c>
      <c r="N1359" s="291">
        <f t="shared" si="1703"/>
        <v>0</v>
      </c>
      <c r="Q1359" s="291">
        <f>Q1360+Q1361</f>
        <v>46</v>
      </c>
      <c r="R1359" s="291">
        <f>R1360+R1361</f>
        <v>48</v>
      </c>
      <c r="S1359" s="291">
        <f>S1360+S1361</f>
        <v>2</v>
      </c>
      <c r="T1359" s="291">
        <f>T1360+T1361</f>
        <v>2</v>
      </c>
      <c r="V1359" s="291">
        <f>V1360+V1361</f>
        <v>0</v>
      </c>
      <c r="W1359" s="291">
        <f>W1360+W1361</f>
        <v>0</v>
      </c>
      <c r="Y1359" s="291">
        <f>Y1360+Y1361</f>
        <v>0</v>
      </c>
      <c r="Z1359" s="291">
        <f>Z1360+Z1361</f>
        <v>0</v>
      </c>
      <c r="AB1359" s="291">
        <f>AB1360+AB1361</f>
        <v>0</v>
      </c>
      <c r="AC1359" s="291">
        <f>AC1360+AC1361</f>
        <v>0</v>
      </c>
      <c r="AE1359" s="291">
        <f>AE1360+AE1361</f>
        <v>3</v>
      </c>
      <c r="AF1359" s="291">
        <f>AF1360+AF1361</f>
        <v>3</v>
      </c>
      <c r="AH1359" s="291">
        <f>AH1360+AH1361</f>
        <v>0</v>
      </c>
      <c r="AI1359" s="291">
        <f>AI1360+AI1361</f>
        <v>0</v>
      </c>
      <c r="AK1359" s="291">
        <f>AK1360+AK1361</f>
        <v>0</v>
      </c>
      <c r="AL1359" s="291">
        <f>AL1360+AL1361</f>
        <v>0</v>
      </c>
      <c r="AN1359" s="291">
        <f>AN1360+AN1361</f>
        <v>1</v>
      </c>
      <c r="AO1359" s="291">
        <f>AO1360+AO1361</f>
        <v>1</v>
      </c>
      <c r="AQ1359" s="291">
        <f>AQ1360+AQ1361</f>
        <v>1</v>
      </c>
      <c r="AR1359" s="291">
        <f>AR1360+AR1361</f>
        <v>2</v>
      </c>
      <c r="AT1359" s="291">
        <f>AT1360+AT1361</f>
        <v>3</v>
      </c>
      <c r="AU1359" s="291">
        <f>AU1360+AU1361</f>
        <v>3</v>
      </c>
      <c r="AW1359" s="291">
        <f>AW1360+AW1361</f>
        <v>0</v>
      </c>
      <c r="AX1359" s="291">
        <f>AX1360+AX1361</f>
        <v>0</v>
      </c>
      <c r="AZ1359" s="291">
        <f>AZ1360+AZ1361</f>
        <v>3</v>
      </c>
      <c r="BA1359" s="291">
        <f>BA1360+BA1361</f>
        <v>3</v>
      </c>
      <c r="BC1359" s="291">
        <f>BC1360+BC1361</f>
        <v>0</v>
      </c>
      <c r="BD1359" s="291">
        <f>BD1360+BD1361</f>
        <v>0</v>
      </c>
      <c r="BF1359" s="291">
        <f>BF1360+BF1361</f>
        <v>16</v>
      </c>
      <c r="BG1359" s="291">
        <f>BG1360+BG1361</f>
        <v>17</v>
      </c>
      <c r="BI1359" s="291">
        <f>BI1360+BI1361</f>
        <v>10</v>
      </c>
      <c r="BJ1359" s="291">
        <f>BJ1360+BJ1361</f>
        <v>10</v>
      </c>
      <c r="BL1359" s="291">
        <f>BL1360+BL1361</f>
        <v>2</v>
      </c>
      <c r="BM1359" s="291">
        <f>BM1360+BM1361</f>
        <v>2</v>
      </c>
      <c r="BO1359" s="291">
        <f>BO1360+BO1361</f>
        <v>0</v>
      </c>
      <c r="BP1359" s="291">
        <f>BP1360+BP1361</f>
        <v>0</v>
      </c>
      <c r="BR1359" s="291">
        <f>BR1360+BR1361</f>
        <v>3</v>
      </c>
      <c r="BS1359" s="291">
        <f>BS1360+BS1361</f>
        <v>2</v>
      </c>
      <c r="BU1359" s="291">
        <f>BU1360+BU1361</f>
        <v>0</v>
      </c>
      <c r="BV1359" s="291">
        <f>BV1360+BV1361</f>
        <v>0</v>
      </c>
      <c r="BX1359" s="291">
        <f>BX1360+BX1361</f>
        <v>0</v>
      </c>
      <c r="BY1359" s="291">
        <f>BY1360+BY1361</f>
        <v>0</v>
      </c>
      <c r="CA1359" s="291">
        <f>CA1360+CA1361</f>
        <v>0</v>
      </c>
      <c r="CB1359" s="291">
        <f>CB1360+CB1361</f>
        <v>0</v>
      </c>
      <c r="CD1359" s="291">
        <f>CD1360+CD1361</f>
        <v>1</v>
      </c>
      <c r="CE1359" s="291">
        <f>CE1360+CE1361</f>
        <v>1</v>
      </c>
      <c r="CG1359" s="291">
        <f>CG1360+CG1361</f>
        <v>1</v>
      </c>
      <c r="CH1359" s="291">
        <f>CH1360+CH1361</f>
        <v>2</v>
      </c>
      <c r="CJ1359" s="291">
        <f>CJ1360+CJ1361</f>
        <v>0</v>
      </c>
      <c r="CK1359" s="291">
        <f>CK1360+CK1361</f>
        <v>0</v>
      </c>
    </row>
    <row r="1360" spans="1:89" ht="75" x14ac:dyDescent="0.25">
      <c r="A1360" s="265"/>
      <c r="B1360" s="265"/>
      <c r="C1360" s="265" t="s">
        <v>2759</v>
      </c>
      <c r="D1360" s="95" t="s">
        <v>1112</v>
      </c>
      <c r="E1360" s="291"/>
      <c r="F1360" s="291"/>
      <c r="G1360" s="291"/>
      <c r="H1360" s="291">
        <v>41</v>
      </c>
      <c r="I1360" s="291">
        <v>43</v>
      </c>
      <c r="J1360" s="291">
        <v>41</v>
      </c>
      <c r="K1360" s="291">
        <v>43</v>
      </c>
      <c r="L1360" s="291">
        <v>0</v>
      </c>
      <c r="M1360" s="291">
        <v>0</v>
      </c>
      <c r="N1360" s="291">
        <v>0</v>
      </c>
      <c r="Q1360" s="283">
        <f>S1360+V1360+Y1360+AB1360+AE1360+AH1360+AK1360+AN1360+AQ1360+AT1360+AW1360+AZ1360+BC1360+BF1360+BI1360+BL1360+BO1360+BR1360+BU1360+BX1360+CA1360+CD1360+CG1360+CJ1360</f>
        <v>43</v>
      </c>
      <c r="R1360" s="283">
        <f>T1360+W1360+Z1360+AC1360+AF1360+AI1360+AL1360+AO1360+AR1360+AU1360+AX1360+BA1360+BD1360+BG1360+BJ1360+BM1360+BP1360+BS1360+BV1360+BY1360+CB1360+CE1360+CH1360+CK1360</f>
        <v>44</v>
      </c>
      <c r="S1360" s="267">
        <v>1</v>
      </c>
      <c r="T1360" s="267">
        <v>1</v>
      </c>
      <c r="V1360" s="267">
        <v>0</v>
      </c>
      <c r="W1360" s="267">
        <v>0</v>
      </c>
      <c r="Y1360" s="267">
        <v>0</v>
      </c>
      <c r="Z1360" s="267">
        <v>0</v>
      </c>
      <c r="AB1360" s="267">
        <v>0</v>
      </c>
      <c r="AC1360" s="267">
        <v>0</v>
      </c>
      <c r="AE1360" s="267">
        <v>3</v>
      </c>
      <c r="AF1360" s="267">
        <v>3</v>
      </c>
      <c r="AH1360" s="267">
        <v>0</v>
      </c>
      <c r="AI1360" s="267">
        <v>0</v>
      </c>
      <c r="AK1360" s="267">
        <v>0</v>
      </c>
      <c r="AL1360" s="267">
        <v>0</v>
      </c>
      <c r="AN1360" s="267">
        <v>1</v>
      </c>
      <c r="AO1360" s="267">
        <v>1</v>
      </c>
      <c r="AQ1360" s="267">
        <v>0</v>
      </c>
      <c r="AR1360" s="267">
        <v>0</v>
      </c>
      <c r="AT1360" s="267">
        <v>3</v>
      </c>
      <c r="AU1360" s="267">
        <v>3</v>
      </c>
      <c r="AW1360" s="267">
        <v>0</v>
      </c>
      <c r="AX1360" s="267">
        <v>0</v>
      </c>
      <c r="AZ1360" s="267">
        <v>3</v>
      </c>
      <c r="BA1360" s="267">
        <v>3</v>
      </c>
      <c r="BC1360" s="267">
        <v>0</v>
      </c>
      <c r="BD1360" s="267">
        <v>0</v>
      </c>
      <c r="BF1360" s="267">
        <v>16</v>
      </c>
      <c r="BG1360" s="267">
        <v>17</v>
      </c>
      <c r="BI1360" s="267">
        <v>10</v>
      </c>
      <c r="BJ1360" s="267">
        <v>10</v>
      </c>
      <c r="BL1360" s="267">
        <v>2</v>
      </c>
      <c r="BM1360" s="267">
        <v>2</v>
      </c>
      <c r="BO1360" s="267">
        <v>0</v>
      </c>
      <c r="BP1360" s="267">
        <v>0</v>
      </c>
      <c r="BR1360" s="267">
        <v>3</v>
      </c>
      <c r="BS1360" s="267">
        <v>2</v>
      </c>
      <c r="BU1360" s="267">
        <v>0</v>
      </c>
      <c r="BV1360" s="267">
        <v>0</v>
      </c>
      <c r="BX1360" s="267">
        <v>0</v>
      </c>
      <c r="BY1360" s="267">
        <v>0</v>
      </c>
      <c r="CA1360" s="267">
        <v>0</v>
      </c>
      <c r="CB1360" s="267">
        <v>0</v>
      </c>
      <c r="CD1360" s="267">
        <v>1</v>
      </c>
      <c r="CE1360" s="267">
        <v>1</v>
      </c>
      <c r="CG1360" s="267">
        <v>0</v>
      </c>
      <c r="CH1360" s="267">
        <v>1</v>
      </c>
      <c r="CJ1360" s="267">
        <v>0</v>
      </c>
      <c r="CK1360" s="267">
        <v>0</v>
      </c>
    </row>
    <row r="1361" spans="1:89" ht="75" x14ac:dyDescent="0.25">
      <c r="A1361" s="265"/>
      <c r="B1361" s="265"/>
      <c r="C1361" s="265" t="s">
        <v>2759</v>
      </c>
      <c r="D1361" s="95" t="s">
        <v>1112</v>
      </c>
      <c r="E1361" s="291"/>
      <c r="F1361" s="291"/>
      <c r="G1361" s="291"/>
      <c r="H1361" s="291">
        <v>4</v>
      </c>
      <c r="I1361" s="291">
        <v>4</v>
      </c>
      <c r="J1361" s="291">
        <v>5</v>
      </c>
      <c r="K1361" s="291">
        <v>3</v>
      </c>
      <c r="L1361" s="291">
        <v>0</v>
      </c>
      <c r="M1361" s="291">
        <v>0</v>
      </c>
      <c r="N1361" s="291">
        <v>0</v>
      </c>
      <c r="Q1361" s="283">
        <f>S1361+V1361+Y1361+AB1361+AE1361+AH1361+AK1361+AN1361+AQ1361+AT1361+AW1361+AZ1361+BC1361+BF1361+BI1361+BL1361+BO1361+BR1361+BU1361+BX1361+CA1361+CD1361+CG1361+CJ1361</f>
        <v>3</v>
      </c>
      <c r="R1361" s="283">
        <f>T1361+W1361+Z1361+AC1361+AF1361+AI1361+AL1361+AO1361+AR1361+AU1361+AX1361+BA1361+BD1361+BG1361+BJ1361+BM1361+BP1361+BS1361+BV1361+BY1361+CB1361+CE1361+CH1361+CK1361</f>
        <v>4</v>
      </c>
      <c r="S1361" s="267">
        <v>1</v>
      </c>
      <c r="T1361" s="267">
        <v>1</v>
      </c>
      <c r="V1361" s="267">
        <v>0</v>
      </c>
      <c r="W1361" s="267">
        <v>0</v>
      </c>
      <c r="Y1361" s="267">
        <v>0</v>
      </c>
      <c r="Z1361" s="267">
        <v>0</v>
      </c>
      <c r="AB1361" s="267">
        <v>0</v>
      </c>
      <c r="AC1361" s="267">
        <v>0</v>
      </c>
      <c r="AE1361" s="267">
        <v>0</v>
      </c>
      <c r="AF1361" s="267">
        <v>0</v>
      </c>
      <c r="AH1361" s="267">
        <v>0</v>
      </c>
      <c r="AI1361" s="267">
        <v>0</v>
      </c>
      <c r="AK1361" s="267">
        <v>0</v>
      </c>
      <c r="AL1361" s="267">
        <v>0</v>
      </c>
      <c r="AN1361" s="267">
        <v>0</v>
      </c>
      <c r="AO1361" s="267">
        <v>0</v>
      </c>
      <c r="AQ1361" s="267">
        <v>1</v>
      </c>
      <c r="AR1361" s="267">
        <v>2</v>
      </c>
      <c r="AT1361" s="267">
        <v>0</v>
      </c>
      <c r="AU1361" s="267">
        <v>0</v>
      </c>
      <c r="AW1361" s="267">
        <v>0</v>
      </c>
      <c r="AX1361" s="267">
        <v>0</v>
      </c>
      <c r="AZ1361" s="267">
        <v>0</v>
      </c>
      <c r="BA1361" s="267">
        <v>0</v>
      </c>
      <c r="BC1361" s="267">
        <v>0</v>
      </c>
      <c r="BD1361" s="267">
        <v>0</v>
      </c>
      <c r="BF1361" s="267">
        <v>0</v>
      </c>
      <c r="BG1361" s="267">
        <v>0</v>
      </c>
      <c r="BI1361" s="267">
        <v>0</v>
      </c>
      <c r="BJ1361" s="267">
        <v>0</v>
      </c>
      <c r="BL1361" s="267">
        <v>0</v>
      </c>
      <c r="BM1361" s="267">
        <v>0</v>
      </c>
      <c r="BO1361" s="267">
        <v>0</v>
      </c>
      <c r="BR1361" s="267">
        <v>0</v>
      </c>
      <c r="BS1361" s="267">
        <v>0</v>
      </c>
      <c r="BU1361" s="267">
        <v>0</v>
      </c>
      <c r="BV1361" s="267">
        <v>0</v>
      </c>
      <c r="BX1361" s="267">
        <v>0</v>
      </c>
      <c r="BY1361" s="267">
        <v>0</v>
      </c>
      <c r="CA1361" s="267">
        <v>0</v>
      </c>
      <c r="CB1361" s="267">
        <v>0</v>
      </c>
      <c r="CD1361" s="267">
        <v>0</v>
      </c>
      <c r="CE1361" s="267">
        <v>0</v>
      </c>
      <c r="CG1361" s="267">
        <v>1</v>
      </c>
      <c r="CH1361" s="267">
        <v>1</v>
      </c>
      <c r="CJ1361" s="267">
        <v>0</v>
      </c>
      <c r="CK1361" s="267">
        <v>0</v>
      </c>
    </row>
    <row r="1362" spans="1:89" x14ac:dyDescent="0.25">
      <c r="A1362" s="265"/>
      <c r="B1362" s="262" t="s">
        <v>1184</v>
      </c>
      <c r="C1362" s="95"/>
      <c r="D1362" s="95"/>
      <c r="E1362" s="291"/>
      <c r="F1362" s="291"/>
      <c r="G1362" s="291"/>
      <c r="H1362" s="291">
        <f>H1363+H1364</f>
        <v>0</v>
      </c>
      <c r="I1362" s="291">
        <f>I1363+I1364</f>
        <v>0</v>
      </c>
      <c r="J1362" s="291">
        <f>J1363+J1364</f>
        <v>0</v>
      </c>
      <c r="K1362" s="291">
        <f>K1363+K1364</f>
        <v>0</v>
      </c>
      <c r="L1362" s="291">
        <f>L1363+L1364</f>
        <v>0</v>
      </c>
      <c r="M1362" s="291">
        <f t="shared" ref="M1362:N1362" si="1704">M1363+M1364</f>
        <v>0</v>
      </c>
      <c r="N1362" s="291">
        <f t="shared" si="1704"/>
        <v>0</v>
      </c>
      <c r="Q1362" s="291">
        <f>Q1363+Q1364</f>
        <v>0</v>
      </c>
      <c r="R1362" s="291">
        <f>R1363+R1364</f>
        <v>0</v>
      </c>
      <c r="S1362" s="291">
        <f>S1363+S1364</f>
        <v>0</v>
      </c>
      <c r="T1362" s="291">
        <f>T1363+T1364</f>
        <v>0</v>
      </c>
      <c r="V1362" s="291">
        <f>V1363+V1364</f>
        <v>0</v>
      </c>
      <c r="W1362" s="291">
        <f>W1363+W1364</f>
        <v>0</v>
      </c>
      <c r="Y1362" s="291">
        <f>Y1363+Y1364</f>
        <v>0</v>
      </c>
      <c r="Z1362" s="291">
        <f>Z1363+Z1364</f>
        <v>0</v>
      </c>
      <c r="AB1362" s="291">
        <f>AB1363+AB1364</f>
        <v>0</v>
      </c>
      <c r="AC1362" s="291">
        <f>AC1363+AC1364</f>
        <v>0</v>
      </c>
      <c r="AE1362" s="291">
        <f>AE1363+AE1364</f>
        <v>0</v>
      </c>
      <c r="AF1362" s="291">
        <f>AF1363+AF1364</f>
        <v>0</v>
      </c>
      <c r="AH1362" s="291">
        <f>AH1363+AH1364</f>
        <v>0</v>
      </c>
      <c r="AI1362" s="291">
        <f>AI1363+AI1364</f>
        <v>0</v>
      </c>
      <c r="AK1362" s="291">
        <f>AK1363+AK1364</f>
        <v>0</v>
      </c>
      <c r="AL1362" s="291">
        <f>AL1363+AL1364</f>
        <v>0</v>
      </c>
      <c r="AN1362" s="291">
        <f>AN1363+AN1364</f>
        <v>0</v>
      </c>
      <c r="AO1362" s="291">
        <f>AO1363+AO1364</f>
        <v>0</v>
      </c>
      <c r="AQ1362" s="291">
        <f>AQ1363+AQ1364</f>
        <v>0</v>
      </c>
      <c r="AR1362" s="291">
        <f>AR1363+AR1364</f>
        <v>0</v>
      </c>
      <c r="AT1362" s="291">
        <f>AT1363+AT1364</f>
        <v>0</v>
      </c>
      <c r="AU1362" s="291">
        <f>AU1363+AU1364</f>
        <v>0</v>
      </c>
      <c r="AW1362" s="291">
        <f>AW1363+AW1364</f>
        <v>0</v>
      </c>
      <c r="AX1362" s="291">
        <f>AX1363+AX1364</f>
        <v>0</v>
      </c>
      <c r="AZ1362" s="291">
        <f>AZ1363+AZ1364</f>
        <v>0</v>
      </c>
      <c r="BA1362" s="291">
        <f>BA1363+BA1364</f>
        <v>0</v>
      </c>
      <c r="BC1362" s="291">
        <f>BC1363+BC1364</f>
        <v>0</v>
      </c>
      <c r="BD1362" s="291">
        <f>BD1363+BD1364</f>
        <v>0</v>
      </c>
      <c r="BF1362" s="291">
        <f>BF1363+BF1364</f>
        <v>0</v>
      </c>
      <c r="BG1362" s="291">
        <f>BG1363+BG1364</f>
        <v>0</v>
      </c>
      <c r="BI1362" s="291">
        <f>BI1363+BI1364</f>
        <v>0</v>
      </c>
      <c r="BJ1362" s="291">
        <f>BJ1363+BJ1364</f>
        <v>0</v>
      </c>
      <c r="BL1362" s="291">
        <f>BL1363+BL1364</f>
        <v>0</v>
      </c>
      <c r="BM1362" s="291">
        <f>BM1363+BM1364</f>
        <v>0</v>
      </c>
      <c r="BO1362" s="291">
        <f>BO1363+BO1364</f>
        <v>0</v>
      </c>
      <c r="BP1362" s="291">
        <f>BP1363+BP1364</f>
        <v>0</v>
      </c>
      <c r="BR1362" s="291">
        <f>BR1363+BR1364</f>
        <v>0</v>
      </c>
      <c r="BS1362" s="291">
        <f>BS1363+BS1364</f>
        <v>0</v>
      </c>
      <c r="BU1362" s="291">
        <f>BU1363+BU1364</f>
        <v>0</v>
      </c>
      <c r="BV1362" s="291">
        <f>BV1363+BV1364</f>
        <v>0</v>
      </c>
      <c r="BX1362" s="291">
        <f>BX1363+BX1364</f>
        <v>0</v>
      </c>
      <c r="BY1362" s="291">
        <f>BY1363+BY1364</f>
        <v>0</v>
      </c>
      <c r="CA1362" s="291">
        <f>CA1363+CA1364</f>
        <v>0</v>
      </c>
      <c r="CB1362" s="291">
        <f>CB1363+CB1364</f>
        <v>0</v>
      </c>
      <c r="CD1362" s="291">
        <f>CD1363+CD1364</f>
        <v>0</v>
      </c>
      <c r="CE1362" s="291">
        <f>CE1363+CE1364</f>
        <v>0</v>
      </c>
      <c r="CG1362" s="291">
        <f>CG1363+CG1364</f>
        <v>0</v>
      </c>
      <c r="CH1362" s="291">
        <f>CH1363+CH1364</f>
        <v>0</v>
      </c>
      <c r="CJ1362" s="291">
        <f>CJ1363+CJ1364</f>
        <v>0</v>
      </c>
      <c r="CK1362" s="291">
        <f>CK1363+CK1364</f>
        <v>0</v>
      </c>
    </row>
    <row r="1363" spans="1:89" ht="135" x14ac:dyDescent="0.25">
      <c r="A1363" s="265"/>
      <c r="B1363" s="265"/>
      <c r="C1363" s="265" t="s">
        <v>1523</v>
      </c>
      <c r="D1363" s="95" t="s">
        <v>1112</v>
      </c>
      <c r="E1363" s="291"/>
      <c r="F1363" s="291"/>
      <c r="G1363" s="291"/>
      <c r="H1363" s="291">
        <v>0</v>
      </c>
      <c r="I1363" s="291">
        <v>0</v>
      </c>
      <c r="J1363" s="291">
        <v>0</v>
      </c>
      <c r="K1363" s="291">
        <v>0</v>
      </c>
      <c r="L1363" s="291">
        <v>0</v>
      </c>
      <c r="M1363" s="291">
        <v>0</v>
      </c>
      <c r="N1363" s="291">
        <v>0</v>
      </c>
      <c r="Q1363" s="283">
        <f>S1363+V1363+Y1363+AB1363+AE1363+AH1363+AK1363+AN1363+AQ1363+AT1363+AW1363+AZ1363+BC1363+BF1363+BI1363+BL1363+BO1363+BR1363+BU1363+BX1363+CA1363+CD1363+CG1363+CJ1363</f>
        <v>0</v>
      </c>
      <c r="R1363" s="283">
        <f>T1363+W1363+Z1363+AC1363+AF1363+AI1363+AL1363+AO1363+AR1363+AU1363+AX1363+BA1363+BD1363+BG1363+BJ1363+BM1363+BP1363+BS1363+BV1363+BY1363+CB1363+CE1363+CH1363+CK1363</f>
        <v>0</v>
      </c>
      <c r="S1363" s="267">
        <v>0</v>
      </c>
      <c r="T1363" s="267">
        <v>0</v>
      </c>
      <c r="V1363" s="267">
        <v>0</v>
      </c>
      <c r="W1363" s="267">
        <v>0</v>
      </c>
      <c r="Y1363" s="267">
        <v>0</v>
      </c>
      <c r="Z1363" s="267">
        <v>0</v>
      </c>
      <c r="AB1363" s="267">
        <v>0</v>
      </c>
      <c r="AC1363" s="267">
        <v>0</v>
      </c>
      <c r="AE1363" s="267">
        <v>0</v>
      </c>
      <c r="AF1363" s="267">
        <v>0</v>
      </c>
      <c r="AH1363" s="267">
        <v>0</v>
      </c>
      <c r="AI1363" s="267">
        <v>0</v>
      </c>
      <c r="AK1363" s="267">
        <v>0</v>
      </c>
      <c r="AL1363" s="267">
        <v>0</v>
      </c>
      <c r="AN1363" s="267">
        <v>0</v>
      </c>
      <c r="AO1363" s="267">
        <v>0</v>
      </c>
      <c r="AQ1363" s="267">
        <v>0</v>
      </c>
      <c r="AR1363" s="267">
        <v>0</v>
      </c>
      <c r="AT1363" s="267">
        <v>0</v>
      </c>
      <c r="AU1363" s="267">
        <v>0</v>
      </c>
      <c r="AW1363" s="267">
        <v>0</v>
      </c>
      <c r="AX1363" s="267">
        <v>0</v>
      </c>
      <c r="AZ1363" s="267">
        <v>0</v>
      </c>
      <c r="BA1363" s="267">
        <v>0</v>
      </c>
      <c r="BC1363" s="267">
        <v>0</v>
      </c>
      <c r="BD1363" s="267">
        <v>0</v>
      </c>
      <c r="BF1363" s="267">
        <v>0</v>
      </c>
      <c r="BG1363" s="267">
        <v>0</v>
      </c>
      <c r="BI1363" s="267">
        <v>0</v>
      </c>
      <c r="BJ1363" s="267">
        <v>0</v>
      </c>
      <c r="BL1363" s="267">
        <v>0</v>
      </c>
      <c r="BM1363" s="267">
        <v>0</v>
      </c>
      <c r="BO1363" s="267">
        <v>0</v>
      </c>
      <c r="BP1363" s="267">
        <v>0</v>
      </c>
      <c r="BR1363" s="267">
        <v>0</v>
      </c>
      <c r="BS1363" s="267">
        <v>0</v>
      </c>
      <c r="BU1363" s="267">
        <v>0</v>
      </c>
      <c r="BV1363" s="267">
        <v>0</v>
      </c>
      <c r="BX1363" s="267">
        <v>0</v>
      </c>
      <c r="BY1363" s="267">
        <v>0</v>
      </c>
      <c r="CA1363" s="267">
        <v>0</v>
      </c>
      <c r="CB1363" s="267">
        <v>0</v>
      </c>
      <c r="CD1363" s="267">
        <v>0</v>
      </c>
      <c r="CE1363" s="267">
        <v>0</v>
      </c>
      <c r="CG1363" s="267">
        <v>0</v>
      </c>
      <c r="CH1363" s="267">
        <v>0</v>
      </c>
      <c r="CJ1363" s="267">
        <v>0</v>
      </c>
      <c r="CK1363" s="267">
        <v>0</v>
      </c>
    </row>
    <row r="1364" spans="1:89" ht="135" x14ac:dyDescent="0.25">
      <c r="A1364" s="264"/>
      <c r="B1364" s="265"/>
      <c r="C1364" s="265" t="s">
        <v>1523</v>
      </c>
      <c r="D1364" s="95" t="s">
        <v>1112</v>
      </c>
      <c r="E1364" s="291"/>
      <c r="F1364" s="291"/>
      <c r="G1364" s="291"/>
      <c r="H1364" s="291">
        <v>0</v>
      </c>
      <c r="I1364" s="291">
        <v>0</v>
      </c>
      <c r="J1364" s="291">
        <v>0</v>
      </c>
      <c r="K1364" s="291">
        <v>0</v>
      </c>
      <c r="L1364" s="291">
        <v>0</v>
      </c>
      <c r="M1364" s="291">
        <v>0</v>
      </c>
      <c r="N1364" s="291">
        <v>0</v>
      </c>
      <c r="Q1364" s="283">
        <f>S1364+V1364+Y1364+AB1364+AE1364+AH1364+AK1364+AN1364+AQ1364+AT1364+AW1364+AZ1364+BC1364+BF1364+BI1364+BL1364+BO1364+BR1364+BU1364+BX1364+CA1364+CD1364+CG1364+CJ1364</f>
        <v>0</v>
      </c>
      <c r="R1364" s="283">
        <f>T1364+W1364+Z1364+AC1364+AF1364+AI1364+AL1364+AO1364+AR1364+AU1364+AX1364+BA1364+BD1364+BG1364+BJ1364+BM1364+BP1364+BS1364+BV1364+BY1364+CB1364+CE1364+CH1364+CK1364</f>
        <v>0</v>
      </c>
      <c r="S1364" s="267">
        <v>0</v>
      </c>
      <c r="T1364" s="267">
        <v>0</v>
      </c>
      <c r="V1364" s="267">
        <v>0</v>
      </c>
      <c r="W1364" s="267">
        <v>0</v>
      </c>
      <c r="Y1364" s="267">
        <v>0</v>
      </c>
      <c r="Z1364" s="267">
        <v>0</v>
      </c>
      <c r="AB1364" s="267">
        <v>0</v>
      </c>
      <c r="AC1364" s="267">
        <v>0</v>
      </c>
      <c r="AE1364" s="267">
        <v>0</v>
      </c>
      <c r="AF1364" s="267">
        <v>0</v>
      </c>
      <c r="AH1364" s="267">
        <v>0</v>
      </c>
      <c r="AI1364" s="267">
        <v>0</v>
      </c>
      <c r="AK1364" s="267">
        <v>0</v>
      </c>
      <c r="AL1364" s="267">
        <v>0</v>
      </c>
      <c r="AN1364" s="267">
        <v>0</v>
      </c>
      <c r="AO1364" s="267">
        <v>0</v>
      </c>
      <c r="AQ1364" s="267">
        <v>0</v>
      </c>
      <c r="AR1364" s="267">
        <v>0</v>
      </c>
      <c r="AT1364" s="267">
        <v>0</v>
      </c>
      <c r="AU1364" s="267">
        <v>0</v>
      </c>
      <c r="AW1364" s="267">
        <v>0</v>
      </c>
      <c r="AX1364" s="267">
        <v>0</v>
      </c>
      <c r="AZ1364" s="267">
        <v>0</v>
      </c>
      <c r="BA1364" s="267">
        <v>0</v>
      </c>
      <c r="BC1364" s="267">
        <v>0</v>
      </c>
      <c r="BD1364" s="267">
        <v>0</v>
      </c>
      <c r="BF1364" s="267">
        <v>0</v>
      </c>
      <c r="BG1364" s="267">
        <v>0</v>
      </c>
      <c r="BI1364" s="267">
        <v>0</v>
      </c>
      <c r="BJ1364" s="267">
        <v>0</v>
      </c>
      <c r="BL1364" s="267">
        <v>0</v>
      </c>
      <c r="BM1364" s="267">
        <v>0</v>
      </c>
      <c r="BO1364" s="267">
        <v>0</v>
      </c>
      <c r="BP1364" s="267">
        <v>0</v>
      </c>
      <c r="BR1364" s="267">
        <v>0</v>
      </c>
      <c r="BS1364" s="267">
        <v>0</v>
      </c>
      <c r="BU1364" s="267">
        <v>0</v>
      </c>
      <c r="BV1364" s="267">
        <v>0</v>
      </c>
      <c r="BX1364" s="267">
        <v>0</v>
      </c>
      <c r="BY1364" s="267">
        <v>0</v>
      </c>
      <c r="CA1364" s="267">
        <v>0</v>
      </c>
      <c r="CB1364" s="267">
        <v>0</v>
      </c>
      <c r="CD1364" s="267">
        <v>0</v>
      </c>
      <c r="CE1364" s="267">
        <v>0</v>
      </c>
      <c r="CG1364" s="267">
        <v>0</v>
      </c>
      <c r="CH1364" s="267">
        <v>0</v>
      </c>
      <c r="CJ1364" s="267">
        <v>0</v>
      </c>
      <c r="CK1364" s="267">
        <v>0</v>
      </c>
    </row>
    <row r="1365" spans="1:89" ht="30" x14ac:dyDescent="0.25">
      <c r="A1365" s="416"/>
      <c r="B1365" s="419" t="s">
        <v>203</v>
      </c>
      <c r="C1365" s="95" t="s">
        <v>1206</v>
      </c>
      <c r="D1365" s="95" t="s">
        <v>1112</v>
      </c>
      <c r="E1365" s="291">
        <v>223</v>
      </c>
      <c r="F1365" s="291">
        <v>223</v>
      </c>
      <c r="G1365" s="291">
        <v>218</v>
      </c>
      <c r="H1365" s="291">
        <f t="shared" ref="H1365:J1366" si="1705">H1371</f>
        <v>222</v>
      </c>
      <c r="I1365" s="291">
        <f t="shared" si="1705"/>
        <v>220</v>
      </c>
      <c r="J1365" s="291">
        <f t="shared" si="1705"/>
        <v>215</v>
      </c>
      <c r="K1365" s="291">
        <f>K1371</f>
        <v>213</v>
      </c>
      <c r="L1365" s="291">
        <f>L1371</f>
        <v>0</v>
      </c>
      <c r="M1365" s="291">
        <f t="shared" ref="M1365:N1366" si="1706">M1371</f>
        <v>0</v>
      </c>
      <c r="N1365" s="291">
        <f t="shared" si="1706"/>
        <v>0</v>
      </c>
      <c r="Q1365" s="291">
        <f t="shared" ref="Q1365:T1366" si="1707">Q1371</f>
        <v>213</v>
      </c>
      <c r="R1365" s="291">
        <f t="shared" si="1707"/>
        <v>215</v>
      </c>
      <c r="S1365" s="291">
        <f t="shared" si="1707"/>
        <v>3</v>
      </c>
      <c r="T1365" s="291">
        <f t="shared" si="1707"/>
        <v>4</v>
      </c>
      <c r="V1365" s="291">
        <f>V1371</f>
        <v>4</v>
      </c>
      <c r="W1365" s="291">
        <f>W1371</f>
        <v>4</v>
      </c>
      <c r="Y1365" s="291">
        <f>Y1371</f>
        <v>5</v>
      </c>
      <c r="Z1365" s="291">
        <f>Z1371</f>
        <v>5</v>
      </c>
      <c r="AB1365" s="291">
        <f>AB1371</f>
        <v>3</v>
      </c>
      <c r="AC1365" s="291">
        <f>AC1371</f>
        <v>3</v>
      </c>
      <c r="AE1365" s="291">
        <f>AE1371</f>
        <v>6</v>
      </c>
      <c r="AF1365" s="291">
        <f>AF1371</f>
        <v>6</v>
      </c>
      <c r="AH1365" s="291">
        <f>AH1371</f>
        <v>5</v>
      </c>
      <c r="AI1365" s="291">
        <f>AI1371</f>
        <v>5</v>
      </c>
      <c r="AK1365" s="291">
        <f>AK1371</f>
        <v>10</v>
      </c>
      <c r="AL1365" s="291">
        <f>AL1371</f>
        <v>10</v>
      </c>
      <c r="AN1365" s="291">
        <f>AN1371</f>
        <v>11</v>
      </c>
      <c r="AO1365" s="291">
        <f>AO1371</f>
        <v>11</v>
      </c>
      <c r="AQ1365" s="291">
        <f>AQ1371</f>
        <v>0</v>
      </c>
      <c r="AR1365" s="291">
        <f>AR1371</f>
        <v>0</v>
      </c>
      <c r="AT1365" s="291">
        <f>AT1371</f>
        <v>9</v>
      </c>
      <c r="AU1365" s="291">
        <f>AU1371</f>
        <v>9</v>
      </c>
      <c r="AW1365" s="291">
        <f>AW1371</f>
        <v>6</v>
      </c>
      <c r="AX1365" s="291">
        <f>AX1371</f>
        <v>6</v>
      </c>
      <c r="AZ1365" s="291">
        <f>AZ1371</f>
        <v>7</v>
      </c>
      <c r="BA1365" s="291">
        <f>BA1371</f>
        <v>7</v>
      </c>
      <c r="BC1365" s="291">
        <f>BC1371</f>
        <v>15</v>
      </c>
      <c r="BD1365" s="291">
        <f>BD1371</f>
        <v>15</v>
      </c>
      <c r="BF1365" s="291">
        <f>BF1371</f>
        <v>33</v>
      </c>
      <c r="BG1365" s="291">
        <f>BG1371</f>
        <v>34</v>
      </c>
      <c r="BI1365" s="291">
        <f>BI1371</f>
        <v>37</v>
      </c>
      <c r="BJ1365" s="291">
        <f>BJ1371</f>
        <v>37</v>
      </c>
      <c r="BL1365" s="291">
        <f>BL1371</f>
        <v>6</v>
      </c>
      <c r="BM1365" s="291">
        <f>BM1371</f>
        <v>6</v>
      </c>
      <c r="BO1365" s="291">
        <f>BO1371</f>
        <v>6</v>
      </c>
      <c r="BP1365" s="291">
        <f>BP1371</f>
        <v>6</v>
      </c>
      <c r="BR1365" s="291">
        <f>BR1371</f>
        <v>8</v>
      </c>
      <c r="BS1365" s="291">
        <f>BS1371</f>
        <v>7</v>
      </c>
      <c r="BU1365" s="291">
        <f>BU1371</f>
        <v>7</v>
      </c>
      <c r="BV1365" s="291">
        <f>BV1371</f>
        <v>7</v>
      </c>
      <c r="BX1365" s="291">
        <f>BX1371</f>
        <v>3</v>
      </c>
      <c r="BY1365" s="291">
        <f>BY1371</f>
        <v>3</v>
      </c>
      <c r="CA1365" s="291">
        <f>CA1371</f>
        <v>6</v>
      </c>
      <c r="CB1365" s="291">
        <f>CB1371</f>
        <v>7</v>
      </c>
      <c r="CD1365" s="291">
        <f>CD1371</f>
        <v>5</v>
      </c>
      <c r="CE1365" s="291">
        <f>CE1371</f>
        <v>5</v>
      </c>
      <c r="CG1365" s="291">
        <f>CG1371</f>
        <v>18</v>
      </c>
      <c r="CH1365" s="291">
        <f>CH1371</f>
        <v>18</v>
      </c>
      <c r="CJ1365" s="291">
        <f>CJ1371</f>
        <v>0</v>
      </c>
      <c r="CK1365" s="291">
        <f>CK1371</f>
        <v>0</v>
      </c>
    </row>
    <row r="1366" spans="1:89" ht="30" x14ac:dyDescent="0.25">
      <c r="A1366" s="417"/>
      <c r="B1366" s="420"/>
      <c r="C1366" s="95" t="s">
        <v>1262</v>
      </c>
      <c r="D1366" s="95" t="s">
        <v>1112</v>
      </c>
      <c r="E1366" s="291">
        <v>113</v>
      </c>
      <c r="F1366" s="291">
        <v>111</v>
      </c>
      <c r="G1366" s="291">
        <v>108</v>
      </c>
      <c r="H1366" s="291">
        <f t="shared" si="1705"/>
        <v>100</v>
      </c>
      <c r="I1366" s="291">
        <f t="shared" si="1705"/>
        <v>98</v>
      </c>
      <c r="J1366" s="291">
        <f t="shared" si="1705"/>
        <v>95</v>
      </c>
      <c r="K1366" s="291">
        <f>K1372</f>
        <v>94</v>
      </c>
      <c r="L1366" s="291">
        <f>L1372</f>
        <v>0</v>
      </c>
      <c r="M1366" s="291">
        <f t="shared" si="1706"/>
        <v>0</v>
      </c>
      <c r="N1366" s="291">
        <f t="shared" si="1706"/>
        <v>0</v>
      </c>
      <c r="O1366" s="281"/>
      <c r="Q1366" s="291">
        <f t="shared" si="1707"/>
        <v>94</v>
      </c>
      <c r="R1366" s="291">
        <f t="shared" si="1707"/>
        <v>94</v>
      </c>
      <c r="S1366" s="291">
        <f t="shared" si="1707"/>
        <v>7</v>
      </c>
      <c r="T1366" s="291">
        <f t="shared" si="1707"/>
        <v>7</v>
      </c>
      <c r="V1366" s="291">
        <f>V1372</f>
        <v>8</v>
      </c>
      <c r="W1366" s="291">
        <f>W1372</f>
        <v>8</v>
      </c>
      <c r="Y1366" s="291">
        <f>Y1372</f>
        <v>10</v>
      </c>
      <c r="Z1366" s="291">
        <f>Z1372</f>
        <v>10</v>
      </c>
      <c r="AB1366" s="291">
        <f>AB1372</f>
        <v>10</v>
      </c>
      <c r="AC1366" s="291">
        <f>AC1372</f>
        <v>10</v>
      </c>
      <c r="AE1366" s="291">
        <f>AE1372</f>
        <v>11</v>
      </c>
      <c r="AF1366" s="291">
        <f>AF1372</f>
        <v>10</v>
      </c>
      <c r="AH1366" s="291">
        <f>AH1372</f>
        <v>13</v>
      </c>
      <c r="AI1366" s="291">
        <f>AI1372</f>
        <v>13</v>
      </c>
      <c r="AK1366" s="291">
        <f>AK1372</f>
        <v>1</v>
      </c>
      <c r="AL1366" s="291">
        <f>AL1372</f>
        <v>1</v>
      </c>
      <c r="AN1366" s="291">
        <f>AN1372</f>
        <v>7</v>
      </c>
      <c r="AO1366" s="291">
        <f>AO1372</f>
        <v>7</v>
      </c>
      <c r="AQ1366" s="291">
        <f>AQ1372</f>
        <v>23</v>
      </c>
      <c r="AR1366" s="291">
        <f>AR1372</f>
        <v>24</v>
      </c>
      <c r="AT1366" s="291">
        <f>AT1372</f>
        <v>0</v>
      </c>
      <c r="AU1366" s="291">
        <f>AU1372</f>
        <v>0</v>
      </c>
      <c r="AW1366" s="291">
        <f>AW1372</f>
        <v>0</v>
      </c>
      <c r="AX1366" s="291">
        <f>AX1372</f>
        <v>0</v>
      </c>
      <c r="AZ1366" s="291">
        <f>AZ1372</f>
        <v>0</v>
      </c>
      <c r="BA1366" s="291">
        <f>BA1372</f>
        <v>0</v>
      </c>
      <c r="BC1366" s="291">
        <f>BC1372</f>
        <v>0</v>
      </c>
      <c r="BD1366" s="291">
        <f>BD1372</f>
        <v>0</v>
      </c>
      <c r="BF1366" s="291">
        <f>BF1372</f>
        <v>0</v>
      </c>
      <c r="BG1366" s="291">
        <f>BG1372</f>
        <v>0</v>
      </c>
      <c r="BI1366" s="291">
        <f>BI1372</f>
        <v>0</v>
      </c>
      <c r="BJ1366" s="291">
        <f>BJ1372</f>
        <v>0</v>
      </c>
      <c r="BL1366" s="291">
        <f>BL1372</f>
        <v>0</v>
      </c>
      <c r="BM1366" s="291">
        <f>BM1372</f>
        <v>0</v>
      </c>
      <c r="BO1366" s="291">
        <f>BO1372</f>
        <v>0</v>
      </c>
      <c r="BP1366" s="291">
        <f>BP1372</f>
        <v>0</v>
      </c>
      <c r="BR1366" s="291">
        <f>BR1372</f>
        <v>0</v>
      </c>
      <c r="BS1366" s="291">
        <f>BS1372</f>
        <v>0</v>
      </c>
      <c r="BU1366" s="291">
        <f>BU1372</f>
        <v>0</v>
      </c>
      <c r="BV1366" s="291">
        <f>BV1372</f>
        <v>0</v>
      </c>
      <c r="BX1366" s="291">
        <f>BX1372</f>
        <v>0</v>
      </c>
      <c r="BY1366" s="291">
        <f>BY1372</f>
        <v>0</v>
      </c>
      <c r="CA1366" s="291">
        <f>CA1372</f>
        <v>0</v>
      </c>
      <c r="CB1366" s="291">
        <f>CB1372</f>
        <v>0</v>
      </c>
      <c r="CD1366" s="291">
        <f>CD1372</f>
        <v>0</v>
      </c>
      <c r="CE1366" s="291">
        <f>CE1372</f>
        <v>0</v>
      </c>
      <c r="CG1366" s="291">
        <f>CG1372</f>
        <v>4</v>
      </c>
      <c r="CH1366" s="291">
        <f>CH1372</f>
        <v>4</v>
      </c>
      <c r="CJ1366" s="291">
        <f>CJ1372</f>
        <v>0</v>
      </c>
      <c r="CK1366" s="291">
        <f>CK1372</f>
        <v>0</v>
      </c>
    </row>
    <row r="1367" spans="1:89" ht="30" x14ac:dyDescent="0.25">
      <c r="A1367" s="417"/>
      <c r="B1367" s="420"/>
      <c r="C1367" s="95" t="s">
        <v>1207</v>
      </c>
      <c r="D1367" s="95" t="s">
        <v>1112</v>
      </c>
      <c r="E1367" s="291">
        <v>5</v>
      </c>
      <c r="F1367" s="291">
        <v>5</v>
      </c>
      <c r="G1367" s="291">
        <v>5</v>
      </c>
      <c r="H1367" s="291">
        <f t="shared" ref="H1367:J1368" si="1708">H1374</f>
        <v>4</v>
      </c>
      <c r="I1367" s="291">
        <f t="shared" si="1708"/>
        <v>4</v>
      </c>
      <c r="J1367" s="291">
        <f t="shared" si="1708"/>
        <v>4</v>
      </c>
      <c r="K1367" s="291">
        <f>K1374</f>
        <v>4</v>
      </c>
      <c r="L1367" s="291">
        <f>L1374</f>
        <v>0</v>
      </c>
      <c r="M1367" s="291">
        <f t="shared" ref="M1367:N1368" si="1709">M1374</f>
        <v>0</v>
      </c>
      <c r="N1367" s="291">
        <f t="shared" si="1709"/>
        <v>0</v>
      </c>
      <c r="O1367" s="281"/>
      <c r="Q1367" s="291">
        <f t="shared" ref="Q1367:T1368" si="1710">Q1374</f>
        <v>4</v>
      </c>
      <c r="R1367" s="291">
        <f t="shared" si="1710"/>
        <v>4</v>
      </c>
      <c r="S1367" s="291">
        <f t="shared" si="1710"/>
        <v>0</v>
      </c>
      <c r="T1367" s="291">
        <f t="shared" si="1710"/>
        <v>0</v>
      </c>
      <c r="V1367" s="291">
        <f>V1374</f>
        <v>0</v>
      </c>
      <c r="W1367" s="291">
        <f>W1374</f>
        <v>0</v>
      </c>
      <c r="Y1367" s="291">
        <f>Y1374</f>
        <v>0</v>
      </c>
      <c r="Z1367" s="291">
        <f>Z1374</f>
        <v>0</v>
      </c>
      <c r="AB1367" s="291">
        <f>AB1374</f>
        <v>0</v>
      </c>
      <c r="AC1367" s="291">
        <f>AC1374</f>
        <v>0</v>
      </c>
      <c r="AE1367" s="291">
        <f>AE1374</f>
        <v>0</v>
      </c>
      <c r="AF1367" s="291">
        <f>AF1374</f>
        <v>0</v>
      </c>
      <c r="AH1367" s="291">
        <f>AH1374</f>
        <v>0</v>
      </c>
      <c r="AI1367" s="291">
        <f>AI1374</f>
        <v>0</v>
      </c>
      <c r="AK1367" s="291">
        <f>AK1374</f>
        <v>0</v>
      </c>
      <c r="AL1367" s="291">
        <f>AL1374</f>
        <v>0</v>
      </c>
      <c r="AN1367" s="291">
        <f>AN1374</f>
        <v>0</v>
      </c>
      <c r="AO1367" s="291">
        <f>AO1374</f>
        <v>0</v>
      </c>
      <c r="AQ1367" s="291">
        <f>AQ1374</f>
        <v>0</v>
      </c>
      <c r="AR1367" s="291">
        <f>AR1374</f>
        <v>0</v>
      </c>
      <c r="AT1367" s="291">
        <f>AT1374</f>
        <v>0</v>
      </c>
      <c r="AU1367" s="291">
        <f>AU1374</f>
        <v>0</v>
      </c>
      <c r="AW1367" s="291">
        <f>AW1374</f>
        <v>0</v>
      </c>
      <c r="AX1367" s="291">
        <f>AX1374</f>
        <v>0</v>
      </c>
      <c r="AZ1367" s="291">
        <f>AZ1374</f>
        <v>0</v>
      </c>
      <c r="BA1367" s="291">
        <f>BA1374</f>
        <v>0</v>
      </c>
      <c r="BC1367" s="291">
        <f>BC1374</f>
        <v>1</v>
      </c>
      <c r="BD1367" s="291">
        <f>BD1374</f>
        <v>1</v>
      </c>
      <c r="BF1367" s="291">
        <f>BF1374</f>
        <v>1</v>
      </c>
      <c r="BG1367" s="291">
        <f>BG1374</f>
        <v>1</v>
      </c>
      <c r="BI1367" s="291">
        <f>BI1374</f>
        <v>1</v>
      </c>
      <c r="BJ1367" s="291">
        <f>BJ1374</f>
        <v>1</v>
      </c>
      <c r="BL1367" s="291">
        <f>BL1374</f>
        <v>0</v>
      </c>
      <c r="BM1367" s="291">
        <f>BM1374</f>
        <v>0</v>
      </c>
      <c r="BO1367" s="291">
        <f>BO1374</f>
        <v>0</v>
      </c>
      <c r="BP1367" s="291">
        <f>BP1374</f>
        <v>0</v>
      </c>
      <c r="BR1367" s="291">
        <f>BR1374</f>
        <v>0</v>
      </c>
      <c r="BS1367" s="291">
        <f>BS1374</f>
        <v>0</v>
      </c>
      <c r="BU1367" s="291">
        <f>BU1374</f>
        <v>0</v>
      </c>
      <c r="BV1367" s="291">
        <f>BV1374</f>
        <v>0</v>
      </c>
      <c r="BX1367" s="291">
        <f>BX1374</f>
        <v>0</v>
      </c>
      <c r="BY1367" s="291">
        <f>BY1374</f>
        <v>0</v>
      </c>
      <c r="CA1367" s="291">
        <f>CA1374</f>
        <v>0</v>
      </c>
      <c r="CB1367" s="291">
        <f>CB1374</f>
        <v>0</v>
      </c>
      <c r="CD1367" s="291">
        <f>CD1374</f>
        <v>1</v>
      </c>
      <c r="CE1367" s="291">
        <f>CE1374</f>
        <v>1</v>
      </c>
      <c r="CG1367" s="291">
        <f>CG1374</f>
        <v>0</v>
      </c>
      <c r="CH1367" s="291">
        <f>CH1374</f>
        <v>0</v>
      </c>
      <c r="CJ1367" s="291">
        <f>CJ1374</f>
        <v>0</v>
      </c>
      <c r="CK1367" s="291">
        <f>CK1374</f>
        <v>0</v>
      </c>
    </row>
    <row r="1368" spans="1:89" ht="30" x14ac:dyDescent="0.25">
      <c r="A1368" s="418"/>
      <c r="B1368" s="421"/>
      <c r="C1368" s="95" t="s">
        <v>1263</v>
      </c>
      <c r="D1368" s="95" t="s">
        <v>1112</v>
      </c>
      <c r="E1368" s="291">
        <v>0</v>
      </c>
      <c r="F1368" s="291">
        <v>0</v>
      </c>
      <c r="G1368" s="291">
        <v>0</v>
      </c>
      <c r="H1368" s="291">
        <f t="shared" si="1708"/>
        <v>0</v>
      </c>
      <c r="I1368" s="291">
        <f t="shared" si="1708"/>
        <v>0</v>
      </c>
      <c r="J1368" s="291">
        <f t="shared" si="1708"/>
        <v>0</v>
      </c>
      <c r="K1368" s="291">
        <f>K1375</f>
        <v>0</v>
      </c>
      <c r="L1368" s="291">
        <f>L1375</f>
        <v>0</v>
      </c>
      <c r="M1368" s="291">
        <f t="shared" si="1709"/>
        <v>0</v>
      </c>
      <c r="N1368" s="291">
        <f t="shared" si="1709"/>
        <v>0</v>
      </c>
      <c r="O1368" s="281"/>
      <c r="Q1368" s="291">
        <f t="shared" si="1710"/>
        <v>0</v>
      </c>
      <c r="R1368" s="291">
        <f t="shared" si="1710"/>
        <v>0</v>
      </c>
      <c r="S1368" s="291">
        <f t="shared" si="1710"/>
        <v>0</v>
      </c>
      <c r="T1368" s="291">
        <f t="shared" si="1710"/>
        <v>0</v>
      </c>
      <c r="V1368" s="291">
        <f>V1375</f>
        <v>0</v>
      </c>
      <c r="W1368" s="291">
        <f>W1375</f>
        <v>0</v>
      </c>
      <c r="Y1368" s="291">
        <f>Y1375</f>
        <v>0</v>
      </c>
      <c r="Z1368" s="291">
        <f>Z1375</f>
        <v>0</v>
      </c>
      <c r="AB1368" s="291">
        <f>AB1375</f>
        <v>0</v>
      </c>
      <c r="AC1368" s="291">
        <f>AC1375</f>
        <v>0</v>
      </c>
      <c r="AE1368" s="291">
        <f>AE1375</f>
        <v>0</v>
      </c>
      <c r="AF1368" s="291">
        <f>AF1375</f>
        <v>0</v>
      </c>
      <c r="AH1368" s="291">
        <f>AH1375</f>
        <v>0</v>
      </c>
      <c r="AI1368" s="291">
        <f>AI1375</f>
        <v>0</v>
      </c>
      <c r="AK1368" s="291">
        <f>AK1375</f>
        <v>0</v>
      </c>
      <c r="AL1368" s="291">
        <f>AL1375</f>
        <v>0</v>
      </c>
      <c r="AN1368" s="291">
        <f>AN1375</f>
        <v>0</v>
      </c>
      <c r="AO1368" s="291">
        <f>AO1375</f>
        <v>0</v>
      </c>
      <c r="AQ1368" s="291">
        <f>AQ1375</f>
        <v>0</v>
      </c>
      <c r="AR1368" s="291">
        <f>AR1375</f>
        <v>0</v>
      </c>
      <c r="AT1368" s="291">
        <f>AT1375</f>
        <v>0</v>
      </c>
      <c r="AU1368" s="291">
        <f>AU1375</f>
        <v>0</v>
      </c>
      <c r="AW1368" s="291">
        <f>AW1375</f>
        <v>0</v>
      </c>
      <c r="AX1368" s="291">
        <f>AX1375</f>
        <v>0</v>
      </c>
      <c r="AZ1368" s="291">
        <f>AZ1375</f>
        <v>0</v>
      </c>
      <c r="BA1368" s="291">
        <f>BA1375</f>
        <v>0</v>
      </c>
      <c r="BC1368" s="291">
        <f>BC1375</f>
        <v>0</v>
      </c>
      <c r="BD1368" s="291">
        <f>BD1375</f>
        <v>0</v>
      </c>
      <c r="BF1368" s="291">
        <f>BF1375</f>
        <v>0</v>
      </c>
      <c r="BG1368" s="291">
        <f>BG1375</f>
        <v>0</v>
      </c>
      <c r="BI1368" s="291">
        <f>BI1375</f>
        <v>0</v>
      </c>
      <c r="BJ1368" s="291">
        <f>BJ1375</f>
        <v>0</v>
      </c>
      <c r="BL1368" s="291">
        <f>BL1375</f>
        <v>0</v>
      </c>
      <c r="BM1368" s="291">
        <f>BM1375</f>
        <v>0</v>
      </c>
      <c r="BO1368" s="291">
        <f>BO1375</f>
        <v>0</v>
      </c>
      <c r="BP1368" s="291">
        <f>BP1375</f>
        <v>0</v>
      </c>
      <c r="BR1368" s="291">
        <f>BR1375</f>
        <v>0</v>
      </c>
      <c r="BS1368" s="291">
        <f>BS1375</f>
        <v>0</v>
      </c>
      <c r="BU1368" s="291">
        <f>BU1375</f>
        <v>0</v>
      </c>
      <c r="BV1368" s="291">
        <f>BV1375</f>
        <v>0</v>
      </c>
      <c r="BX1368" s="291">
        <f>BX1375</f>
        <v>0</v>
      </c>
      <c r="BY1368" s="291">
        <f>BY1375</f>
        <v>0</v>
      </c>
      <c r="CA1368" s="291">
        <f>CA1375</f>
        <v>0</v>
      </c>
      <c r="CB1368" s="291">
        <f>CB1375</f>
        <v>0</v>
      </c>
      <c r="CD1368" s="291">
        <f>CD1375</f>
        <v>0</v>
      </c>
      <c r="CE1368" s="291">
        <f>CE1375</f>
        <v>0</v>
      </c>
      <c r="CG1368" s="291">
        <f>CG1375</f>
        <v>0</v>
      </c>
      <c r="CH1368" s="291">
        <f>CH1375</f>
        <v>0</v>
      </c>
      <c r="CJ1368" s="291">
        <f>CJ1375</f>
        <v>0</v>
      </c>
      <c r="CK1368" s="291">
        <f>CK1375</f>
        <v>0</v>
      </c>
    </row>
    <row r="1369" spans="1:89" ht="30" x14ac:dyDescent="0.25">
      <c r="A1369" s="95"/>
      <c r="B1369" s="16" t="s">
        <v>223</v>
      </c>
      <c r="C1369" s="95" t="s">
        <v>205</v>
      </c>
      <c r="D1369" s="95" t="s">
        <v>1112</v>
      </c>
      <c r="E1369" s="291">
        <v>7</v>
      </c>
      <c r="F1369" s="291">
        <v>5</v>
      </c>
      <c r="G1369" s="291">
        <v>4</v>
      </c>
      <c r="H1369" s="291">
        <v>0</v>
      </c>
      <c r="I1369" s="291">
        <v>0</v>
      </c>
      <c r="J1369" s="291">
        <v>0</v>
      </c>
      <c r="K1369" s="291">
        <v>0</v>
      </c>
      <c r="L1369" s="291">
        <v>0</v>
      </c>
      <c r="M1369" s="291">
        <v>0</v>
      </c>
      <c r="N1369" s="291">
        <v>0</v>
      </c>
      <c r="Q1369" s="291">
        <v>0</v>
      </c>
      <c r="R1369" s="291">
        <v>0</v>
      </c>
      <c r="S1369" s="291">
        <v>0</v>
      </c>
      <c r="T1369" s="291">
        <v>0</v>
      </c>
      <c r="V1369" s="291">
        <v>0</v>
      </c>
      <c r="W1369" s="291">
        <v>0</v>
      </c>
      <c r="Y1369" s="291">
        <v>0</v>
      </c>
      <c r="Z1369" s="291">
        <v>0</v>
      </c>
      <c r="AB1369" s="291">
        <v>0</v>
      </c>
      <c r="AC1369" s="291">
        <v>0</v>
      </c>
      <c r="AE1369" s="291">
        <v>0</v>
      </c>
      <c r="AF1369" s="291">
        <v>0</v>
      </c>
      <c r="AH1369" s="291">
        <v>0</v>
      </c>
      <c r="AI1369" s="291">
        <v>0</v>
      </c>
      <c r="AK1369" s="291">
        <v>0</v>
      </c>
      <c r="AL1369" s="291">
        <v>0</v>
      </c>
      <c r="AN1369" s="291">
        <v>0</v>
      </c>
      <c r="AO1369" s="291">
        <v>0</v>
      </c>
      <c r="AQ1369" s="291">
        <v>0</v>
      </c>
      <c r="AR1369" s="291">
        <v>0</v>
      </c>
      <c r="AT1369" s="291">
        <v>0</v>
      </c>
      <c r="AU1369" s="291">
        <v>0</v>
      </c>
      <c r="AW1369" s="291">
        <v>0</v>
      </c>
      <c r="AX1369" s="291">
        <v>0</v>
      </c>
      <c r="AZ1369" s="291">
        <v>0</v>
      </c>
      <c r="BA1369" s="291">
        <v>0</v>
      </c>
      <c r="BC1369" s="291">
        <v>0</v>
      </c>
      <c r="BD1369" s="291">
        <v>0</v>
      </c>
      <c r="BF1369" s="291">
        <v>0</v>
      </c>
      <c r="BG1369" s="291">
        <v>0</v>
      </c>
      <c r="BI1369" s="291">
        <v>0</v>
      </c>
      <c r="BJ1369" s="291">
        <v>0</v>
      </c>
      <c r="BL1369" s="291">
        <v>0</v>
      </c>
      <c r="BM1369" s="291">
        <v>0</v>
      </c>
      <c r="BO1369" s="291">
        <v>0</v>
      </c>
      <c r="BP1369" s="291">
        <v>0</v>
      </c>
      <c r="BR1369" s="291">
        <v>0</v>
      </c>
      <c r="BS1369" s="291">
        <v>0</v>
      </c>
      <c r="BU1369" s="291">
        <v>0</v>
      </c>
      <c r="BV1369" s="291">
        <v>0</v>
      </c>
      <c r="BX1369" s="291">
        <v>0</v>
      </c>
      <c r="BY1369" s="291">
        <v>0</v>
      </c>
      <c r="CA1369" s="291">
        <v>0</v>
      </c>
      <c r="CB1369" s="291">
        <v>0</v>
      </c>
      <c r="CD1369" s="291">
        <v>0</v>
      </c>
      <c r="CE1369" s="291">
        <v>0</v>
      </c>
      <c r="CG1369" s="291">
        <v>0</v>
      </c>
      <c r="CH1369" s="291">
        <v>0</v>
      </c>
      <c r="CJ1369" s="291">
        <v>0</v>
      </c>
      <c r="CK1369" s="291">
        <v>0</v>
      </c>
    </row>
    <row r="1370" spans="1:89" x14ac:dyDescent="0.25">
      <c r="A1370" s="95"/>
      <c r="B1370" s="311" t="s">
        <v>1182</v>
      </c>
      <c r="C1370" s="95"/>
      <c r="D1370" s="95"/>
      <c r="E1370" s="291"/>
      <c r="F1370" s="291"/>
      <c r="G1370" s="291"/>
      <c r="H1370" s="291">
        <f>H1371+H1372</f>
        <v>322</v>
      </c>
      <c r="I1370" s="291">
        <f>I1371+I1372</f>
        <v>318</v>
      </c>
      <c r="J1370" s="291">
        <f>J1371+J1372</f>
        <v>310</v>
      </c>
      <c r="K1370" s="291">
        <f>K1371+K1372</f>
        <v>307</v>
      </c>
      <c r="L1370" s="291">
        <f>L1371+L1372</f>
        <v>0</v>
      </c>
      <c r="M1370" s="291">
        <f t="shared" ref="M1370:N1370" si="1711">M1371+M1372</f>
        <v>0</v>
      </c>
      <c r="N1370" s="291">
        <f t="shared" si="1711"/>
        <v>0</v>
      </c>
      <c r="Q1370" s="291">
        <f>Q1371+Q1372</f>
        <v>307</v>
      </c>
      <c r="R1370" s="291">
        <f>R1371+R1372</f>
        <v>309</v>
      </c>
      <c r="S1370" s="291">
        <f>S1371+S1372</f>
        <v>10</v>
      </c>
      <c r="T1370" s="291">
        <f>T1371+T1372</f>
        <v>11</v>
      </c>
      <c r="V1370" s="291">
        <f>V1371+V1372</f>
        <v>12</v>
      </c>
      <c r="W1370" s="291">
        <f>W1371+W1372</f>
        <v>12</v>
      </c>
      <c r="Y1370" s="291">
        <f>Y1371+Y1372</f>
        <v>15</v>
      </c>
      <c r="Z1370" s="291">
        <f>Z1371+Z1372</f>
        <v>15</v>
      </c>
      <c r="AB1370" s="291">
        <f>AB1371+AB1372</f>
        <v>13</v>
      </c>
      <c r="AC1370" s="291">
        <f>AC1371+AC1372</f>
        <v>13</v>
      </c>
      <c r="AE1370" s="291">
        <f>AE1371+AE1372</f>
        <v>17</v>
      </c>
      <c r="AF1370" s="291">
        <f>AF1371+AF1372</f>
        <v>16</v>
      </c>
      <c r="AH1370" s="291">
        <f>AH1371+AH1372</f>
        <v>18</v>
      </c>
      <c r="AI1370" s="291">
        <f>AI1371+AI1372</f>
        <v>18</v>
      </c>
      <c r="AK1370" s="291">
        <f>AK1371+AK1372</f>
        <v>11</v>
      </c>
      <c r="AL1370" s="291">
        <f>AL1371+AL1372</f>
        <v>11</v>
      </c>
      <c r="AN1370" s="291">
        <f>AN1371+AN1372</f>
        <v>18</v>
      </c>
      <c r="AO1370" s="291">
        <f>AO1371+AO1372</f>
        <v>18</v>
      </c>
      <c r="AQ1370" s="291">
        <f>AQ1371+AQ1372</f>
        <v>23</v>
      </c>
      <c r="AR1370" s="291">
        <f>AR1371+AR1372</f>
        <v>24</v>
      </c>
      <c r="AT1370" s="291">
        <f>AT1371+AT1372</f>
        <v>9</v>
      </c>
      <c r="AU1370" s="291">
        <f>AU1371+AU1372</f>
        <v>9</v>
      </c>
      <c r="AW1370" s="291">
        <f>AW1371+AW1372</f>
        <v>6</v>
      </c>
      <c r="AX1370" s="291">
        <f>AX1371+AX1372</f>
        <v>6</v>
      </c>
      <c r="AZ1370" s="291">
        <f>AZ1371+AZ1372</f>
        <v>7</v>
      </c>
      <c r="BA1370" s="291">
        <f>BA1371+BA1372</f>
        <v>7</v>
      </c>
      <c r="BC1370" s="291">
        <f>BC1371+BC1372</f>
        <v>15</v>
      </c>
      <c r="BD1370" s="291">
        <f>BD1371+BD1372</f>
        <v>15</v>
      </c>
      <c r="BF1370" s="291">
        <f>BF1371+BF1372</f>
        <v>33</v>
      </c>
      <c r="BG1370" s="291">
        <f>BG1371+BG1372</f>
        <v>34</v>
      </c>
      <c r="BI1370" s="291">
        <f>BI1371+BI1372</f>
        <v>37</v>
      </c>
      <c r="BJ1370" s="291">
        <f>BJ1371+BJ1372</f>
        <v>37</v>
      </c>
      <c r="BL1370" s="291">
        <f>BL1371+BL1372</f>
        <v>6</v>
      </c>
      <c r="BM1370" s="291">
        <f>BM1371+BM1372</f>
        <v>6</v>
      </c>
      <c r="BO1370" s="291">
        <f>BO1371+BO1372</f>
        <v>6</v>
      </c>
      <c r="BP1370" s="291">
        <f>BP1371+BP1372</f>
        <v>6</v>
      </c>
      <c r="BR1370" s="291">
        <f>BR1371+BR1372</f>
        <v>8</v>
      </c>
      <c r="BS1370" s="291">
        <f>BS1371+BS1372</f>
        <v>7</v>
      </c>
      <c r="BU1370" s="291">
        <f>BU1371+BU1372</f>
        <v>7</v>
      </c>
      <c r="BV1370" s="291">
        <f>BV1371+BV1372</f>
        <v>7</v>
      </c>
      <c r="BX1370" s="291">
        <f>BX1371+BX1372</f>
        <v>3</v>
      </c>
      <c r="BY1370" s="291">
        <f>BY1371+BY1372</f>
        <v>3</v>
      </c>
      <c r="CA1370" s="291">
        <f>CA1371+CA1372</f>
        <v>6</v>
      </c>
      <c r="CB1370" s="291">
        <f>CB1371+CB1372</f>
        <v>7</v>
      </c>
      <c r="CD1370" s="291">
        <f>CD1371+CD1372</f>
        <v>5</v>
      </c>
      <c r="CE1370" s="291">
        <f>CE1371+CE1372</f>
        <v>5</v>
      </c>
      <c r="CG1370" s="291">
        <f>CG1371+CG1372</f>
        <v>22</v>
      </c>
      <c r="CH1370" s="291">
        <f>CH1371+CH1372</f>
        <v>22</v>
      </c>
      <c r="CJ1370" s="291">
        <f>CJ1371+CJ1372</f>
        <v>0</v>
      </c>
      <c r="CK1370" s="291">
        <f>CK1371+CK1372</f>
        <v>0</v>
      </c>
    </row>
    <row r="1371" spans="1:89" ht="30" x14ac:dyDescent="0.25">
      <c r="A1371" s="95"/>
      <c r="B1371" s="263"/>
      <c r="C1371" s="263" t="s">
        <v>2753</v>
      </c>
      <c r="D1371" s="95" t="s">
        <v>1112</v>
      </c>
      <c r="E1371" s="291"/>
      <c r="F1371" s="291"/>
      <c r="G1371" s="291"/>
      <c r="H1371" s="291">
        <v>222</v>
      </c>
      <c r="I1371" s="291">
        <v>220</v>
      </c>
      <c r="J1371" s="291">
        <f t="shared" ref="J1371:M1372" si="1712">J1342</f>
        <v>215</v>
      </c>
      <c r="K1371" s="291">
        <f t="shared" si="1712"/>
        <v>213</v>
      </c>
      <c r="L1371" s="291">
        <f t="shared" si="1712"/>
        <v>0</v>
      </c>
      <c r="M1371" s="291">
        <f t="shared" si="1712"/>
        <v>0</v>
      </c>
      <c r="N1371" s="291">
        <f t="shared" ref="N1371" si="1713">N1342</f>
        <v>0</v>
      </c>
      <c r="Q1371" s="283">
        <f>S1371+V1371+Y1371+AB1371+AE1371+AH1371+AK1371+AN1371+AQ1371+AT1371+AW1371+AZ1371+BC1371+BF1371+BI1371+BL1371+BO1371+BR1371+BU1371+BX1371+CA1371+CD1371+CG1371+CJ1371</f>
        <v>213</v>
      </c>
      <c r="R1371" s="283">
        <f>T1371+W1371+Z1371+AC1371+AF1371+AI1371+AL1371+AO1371+AR1371+AU1371+AX1371+BA1371+BD1371+BG1371+BJ1371+BM1371+BP1371+BS1371+BV1371+BY1371+CB1371+CE1371+CH1371+CK1371</f>
        <v>215</v>
      </c>
      <c r="S1371" s="283">
        <f>S1342</f>
        <v>3</v>
      </c>
      <c r="T1371" s="283">
        <f>T1342</f>
        <v>4</v>
      </c>
      <c r="U1371" s="283"/>
      <c r="V1371" s="283">
        <f>V1342</f>
        <v>4</v>
      </c>
      <c r="W1371" s="283">
        <f>W1342</f>
        <v>4</v>
      </c>
      <c r="X1371" s="283"/>
      <c r="Y1371" s="283">
        <f>Y1342</f>
        <v>5</v>
      </c>
      <c r="Z1371" s="283">
        <f>Z1342</f>
        <v>5</v>
      </c>
      <c r="AA1371" s="283"/>
      <c r="AB1371" s="283">
        <f>AB1342</f>
        <v>3</v>
      </c>
      <c r="AC1371" s="283">
        <f>AC1342</f>
        <v>3</v>
      </c>
      <c r="AD1371" s="283"/>
      <c r="AE1371" s="283">
        <f>AE1342</f>
        <v>6</v>
      </c>
      <c r="AF1371" s="283">
        <f>AF1342</f>
        <v>6</v>
      </c>
      <c r="AG1371" s="283"/>
      <c r="AH1371" s="283">
        <f>AH1342</f>
        <v>5</v>
      </c>
      <c r="AI1371" s="283">
        <f>AI1342</f>
        <v>5</v>
      </c>
      <c r="AJ1371" s="283"/>
      <c r="AK1371" s="283">
        <f>AK1342</f>
        <v>10</v>
      </c>
      <c r="AL1371" s="283">
        <f>AL1342</f>
        <v>10</v>
      </c>
      <c r="AM1371" s="283"/>
      <c r="AN1371" s="283">
        <f>AN1342</f>
        <v>11</v>
      </c>
      <c r="AO1371" s="283">
        <f>AO1342</f>
        <v>11</v>
      </c>
      <c r="AP1371" s="283"/>
      <c r="AQ1371" s="283">
        <f>AQ1342</f>
        <v>0</v>
      </c>
      <c r="AR1371" s="283">
        <f>AR1342</f>
        <v>0</v>
      </c>
      <c r="AS1371" s="283"/>
      <c r="AT1371" s="283">
        <f>AT1342</f>
        <v>9</v>
      </c>
      <c r="AU1371" s="283">
        <f>AU1342</f>
        <v>9</v>
      </c>
      <c r="AV1371" s="283"/>
      <c r="AW1371" s="283">
        <f>AW1342</f>
        <v>6</v>
      </c>
      <c r="AX1371" s="283">
        <f>AX1342</f>
        <v>6</v>
      </c>
      <c r="AY1371" s="283"/>
      <c r="AZ1371" s="283">
        <f>AZ1342</f>
        <v>7</v>
      </c>
      <c r="BA1371" s="283">
        <f>BA1342</f>
        <v>7</v>
      </c>
      <c r="BB1371" s="283"/>
      <c r="BC1371" s="283">
        <f>BC1342</f>
        <v>15</v>
      </c>
      <c r="BD1371" s="283">
        <f>BD1342</f>
        <v>15</v>
      </c>
      <c r="BE1371" s="283"/>
      <c r="BF1371" s="283">
        <f>BF1342</f>
        <v>33</v>
      </c>
      <c r="BG1371" s="283">
        <f>BG1342</f>
        <v>34</v>
      </c>
      <c r="BH1371" s="283"/>
      <c r="BI1371" s="283">
        <f>BI1342</f>
        <v>37</v>
      </c>
      <c r="BJ1371" s="283">
        <f>BJ1342</f>
        <v>37</v>
      </c>
      <c r="BK1371" s="283"/>
      <c r="BL1371" s="283">
        <f>BL1342</f>
        <v>6</v>
      </c>
      <c r="BM1371" s="283">
        <f>BM1342</f>
        <v>6</v>
      </c>
      <c r="BN1371" s="283"/>
      <c r="BO1371" s="283">
        <f>BO1342</f>
        <v>6</v>
      </c>
      <c r="BP1371" s="283">
        <f>BP1342</f>
        <v>6</v>
      </c>
      <c r="BQ1371" s="283"/>
      <c r="BR1371" s="283">
        <f>BR1342</f>
        <v>8</v>
      </c>
      <c r="BS1371" s="283">
        <f>BS1342</f>
        <v>7</v>
      </c>
      <c r="BT1371" s="283"/>
      <c r="BU1371" s="283">
        <f>BU1342</f>
        <v>7</v>
      </c>
      <c r="BV1371" s="283">
        <f>BV1342</f>
        <v>7</v>
      </c>
      <c r="BW1371" s="283"/>
      <c r="BX1371" s="283">
        <f>BX1342</f>
        <v>3</v>
      </c>
      <c r="BY1371" s="283">
        <f>BY1342</f>
        <v>3</v>
      </c>
      <c r="BZ1371" s="283"/>
      <c r="CA1371" s="283">
        <f>CA1342</f>
        <v>6</v>
      </c>
      <c r="CB1371" s="283">
        <f>CB1342</f>
        <v>7</v>
      </c>
      <c r="CC1371" s="283"/>
      <c r="CD1371" s="283">
        <f>CD1342</f>
        <v>5</v>
      </c>
      <c r="CE1371" s="283">
        <f>CE1342</f>
        <v>5</v>
      </c>
      <c r="CF1371" s="283"/>
      <c r="CG1371" s="283">
        <f>CG1342</f>
        <v>18</v>
      </c>
      <c r="CH1371" s="283">
        <f>CH1342</f>
        <v>18</v>
      </c>
      <c r="CI1371" s="283"/>
      <c r="CJ1371" s="283">
        <f>CJ1342</f>
        <v>0</v>
      </c>
      <c r="CK1371" s="283">
        <f>CK1342</f>
        <v>0</v>
      </c>
    </row>
    <row r="1372" spans="1:89" ht="30" x14ac:dyDescent="0.25">
      <c r="A1372" s="95"/>
      <c r="B1372" s="263"/>
      <c r="C1372" s="263" t="s">
        <v>2753</v>
      </c>
      <c r="D1372" s="95" t="s">
        <v>1112</v>
      </c>
      <c r="E1372" s="291"/>
      <c r="F1372" s="291"/>
      <c r="G1372" s="291"/>
      <c r="H1372" s="291">
        <v>100</v>
      </c>
      <c r="I1372" s="291">
        <v>98</v>
      </c>
      <c r="J1372" s="291">
        <f t="shared" si="1712"/>
        <v>95</v>
      </c>
      <c r="K1372" s="291">
        <f t="shared" si="1712"/>
        <v>94</v>
      </c>
      <c r="L1372" s="291">
        <f t="shared" si="1712"/>
        <v>0</v>
      </c>
      <c r="M1372" s="291">
        <f>M1343</f>
        <v>0</v>
      </c>
      <c r="N1372" s="291">
        <f>N1343</f>
        <v>0</v>
      </c>
      <c r="Q1372" s="283">
        <f>S1372+V1372+Y1372+AB1372+AE1372+AH1372+AK1372+AN1372+AQ1372+AT1372+AW1372+AZ1372+BC1372+BF1372+BI1372+BL1372+BO1372+BR1372+BU1372+BX1372+CA1372+CD1372+CG1372+CJ1372</f>
        <v>94</v>
      </c>
      <c r="R1372" s="283">
        <f>T1372+W1372+Z1372+AC1372+AF1372+AI1372+AL1372+AO1372+AR1372+AU1372+AX1372+BA1372+BD1372+BG1372+BJ1372+BM1372+BP1372+BS1372+BV1372+BY1372+CB1372+CE1372+CH1372+CK1372</f>
        <v>94</v>
      </c>
      <c r="S1372" s="283">
        <f>S1343</f>
        <v>7</v>
      </c>
      <c r="T1372" s="283">
        <f>T1343</f>
        <v>7</v>
      </c>
      <c r="U1372" s="283"/>
      <c r="V1372" s="283">
        <f>V1343</f>
        <v>8</v>
      </c>
      <c r="W1372" s="283">
        <f>W1343</f>
        <v>8</v>
      </c>
      <c r="X1372" s="283"/>
      <c r="Y1372" s="283">
        <f>Y1343</f>
        <v>10</v>
      </c>
      <c r="Z1372" s="283">
        <f>Z1343</f>
        <v>10</v>
      </c>
      <c r="AA1372" s="283"/>
      <c r="AB1372" s="283">
        <f>AB1343</f>
        <v>10</v>
      </c>
      <c r="AC1372" s="283">
        <f>AC1343</f>
        <v>10</v>
      </c>
      <c r="AD1372" s="283"/>
      <c r="AE1372" s="283">
        <f>AE1343</f>
        <v>11</v>
      </c>
      <c r="AF1372" s="283">
        <f>AF1343</f>
        <v>10</v>
      </c>
      <c r="AG1372" s="283"/>
      <c r="AH1372" s="283">
        <f>AH1343</f>
        <v>13</v>
      </c>
      <c r="AI1372" s="283">
        <f>AI1343</f>
        <v>13</v>
      </c>
      <c r="AJ1372" s="283"/>
      <c r="AK1372" s="283">
        <f>AK1343</f>
        <v>1</v>
      </c>
      <c r="AL1372" s="283">
        <f>AL1343</f>
        <v>1</v>
      </c>
      <c r="AM1372" s="283"/>
      <c r="AN1372" s="283">
        <f>AN1343</f>
        <v>7</v>
      </c>
      <c r="AO1372" s="283">
        <f>AO1343</f>
        <v>7</v>
      </c>
      <c r="AP1372" s="283"/>
      <c r="AQ1372" s="283">
        <f>AQ1343</f>
        <v>23</v>
      </c>
      <c r="AR1372" s="283">
        <f>AR1343</f>
        <v>24</v>
      </c>
      <c r="AS1372" s="283"/>
      <c r="AT1372" s="283">
        <f>AT1343</f>
        <v>0</v>
      </c>
      <c r="AU1372" s="283">
        <f>AU1343</f>
        <v>0</v>
      </c>
      <c r="AV1372" s="283"/>
      <c r="AW1372" s="283">
        <f>AW1343</f>
        <v>0</v>
      </c>
      <c r="AX1372" s="283">
        <f>AX1343</f>
        <v>0</v>
      </c>
      <c r="AY1372" s="283"/>
      <c r="AZ1372" s="283">
        <f>AZ1343</f>
        <v>0</v>
      </c>
      <c r="BA1372" s="283">
        <f>BA1343</f>
        <v>0</v>
      </c>
      <c r="BB1372" s="283"/>
      <c r="BC1372" s="283">
        <f>BC1343</f>
        <v>0</v>
      </c>
      <c r="BD1372" s="283">
        <f>BD1343</f>
        <v>0</v>
      </c>
      <c r="BE1372" s="283"/>
      <c r="BF1372" s="283">
        <f>BF1343</f>
        <v>0</v>
      </c>
      <c r="BG1372" s="283">
        <f>BG1343</f>
        <v>0</v>
      </c>
      <c r="BH1372" s="283"/>
      <c r="BI1372" s="283">
        <f>BI1343</f>
        <v>0</v>
      </c>
      <c r="BJ1372" s="283">
        <f>BJ1343</f>
        <v>0</v>
      </c>
      <c r="BK1372" s="283"/>
      <c r="BL1372" s="283">
        <f>BL1343</f>
        <v>0</v>
      </c>
      <c r="BM1372" s="283">
        <f>BM1343</f>
        <v>0</v>
      </c>
      <c r="BN1372" s="283"/>
      <c r="BO1372" s="283">
        <f>BO1343</f>
        <v>0</v>
      </c>
      <c r="BP1372" s="283">
        <f>BP1343</f>
        <v>0</v>
      </c>
      <c r="BQ1372" s="283"/>
      <c r="BR1372" s="283">
        <f>BR1343</f>
        <v>0</v>
      </c>
      <c r="BS1372" s="283">
        <f>BS1343</f>
        <v>0</v>
      </c>
      <c r="BT1372" s="283"/>
      <c r="BU1372" s="283">
        <f>BU1343</f>
        <v>0</v>
      </c>
      <c r="BV1372" s="283">
        <f>BV1343</f>
        <v>0</v>
      </c>
      <c r="BW1372" s="283"/>
      <c r="BX1372" s="283">
        <f>BX1343</f>
        <v>0</v>
      </c>
      <c r="BY1372" s="283">
        <f>BY1343</f>
        <v>0</v>
      </c>
      <c r="BZ1372" s="283"/>
      <c r="CA1372" s="283">
        <f>CA1343</f>
        <v>0</v>
      </c>
      <c r="CB1372" s="283">
        <f>CB1343</f>
        <v>0</v>
      </c>
      <c r="CC1372" s="283"/>
      <c r="CD1372" s="283">
        <f>CD1343</f>
        <v>0</v>
      </c>
      <c r="CE1372" s="283">
        <f>CE1343</f>
        <v>0</v>
      </c>
      <c r="CF1372" s="283"/>
      <c r="CG1372" s="283">
        <f>CG1343</f>
        <v>4</v>
      </c>
      <c r="CH1372" s="283">
        <f>CH1343</f>
        <v>4</v>
      </c>
      <c r="CI1372" s="283"/>
      <c r="CJ1372" s="283">
        <f>CJ1343</f>
        <v>0</v>
      </c>
      <c r="CK1372" s="283">
        <f>CK1343</f>
        <v>0</v>
      </c>
    </row>
    <row r="1373" spans="1:89" x14ac:dyDescent="0.25">
      <c r="A1373" s="95"/>
      <c r="B1373" s="261" t="s">
        <v>1184</v>
      </c>
      <c r="C1373" s="95"/>
      <c r="D1373" s="95"/>
      <c r="E1373" s="291"/>
      <c r="F1373" s="291"/>
      <c r="G1373" s="291"/>
      <c r="H1373" s="291">
        <f>H1374+H1375</f>
        <v>4</v>
      </c>
      <c r="I1373" s="291">
        <f>I1374+I1375</f>
        <v>4</v>
      </c>
      <c r="J1373" s="291">
        <f>J1374+J1375</f>
        <v>4</v>
      </c>
      <c r="K1373" s="291">
        <f>K1374+K1375</f>
        <v>4</v>
      </c>
      <c r="L1373" s="291">
        <f>L1374+L1375</f>
        <v>0</v>
      </c>
      <c r="M1373" s="291">
        <f t="shared" ref="M1373:N1373" si="1714">M1374+M1375</f>
        <v>0</v>
      </c>
      <c r="N1373" s="291">
        <f t="shared" si="1714"/>
        <v>0</v>
      </c>
      <c r="Q1373" s="291">
        <f>Q1374+Q1375</f>
        <v>4</v>
      </c>
      <c r="R1373" s="291">
        <f>R1374+R1375</f>
        <v>4</v>
      </c>
      <c r="S1373" s="291">
        <f>S1374+S1375</f>
        <v>0</v>
      </c>
      <c r="T1373" s="291">
        <f>T1374+T1375</f>
        <v>0</v>
      </c>
      <c r="V1373" s="291">
        <f>V1374+V1375</f>
        <v>0</v>
      </c>
      <c r="W1373" s="291">
        <f>W1374+W1375</f>
        <v>0</v>
      </c>
      <c r="Y1373" s="291">
        <f>Y1374+Y1375</f>
        <v>0</v>
      </c>
      <c r="Z1373" s="291">
        <f>Z1374+Z1375</f>
        <v>0</v>
      </c>
      <c r="AB1373" s="291">
        <f>AB1374+AB1375</f>
        <v>0</v>
      </c>
      <c r="AC1373" s="291">
        <f>AC1374+AC1375</f>
        <v>0</v>
      </c>
      <c r="AE1373" s="291">
        <f>AE1374+AE1375</f>
        <v>0</v>
      </c>
      <c r="AF1373" s="291">
        <f>AF1374+AF1375</f>
        <v>0</v>
      </c>
      <c r="AH1373" s="291">
        <f>AH1374+AH1375</f>
        <v>0</v>
      </c>
      <c r="AI1373" s="291">
        <f>AI1374+AI1375</f>
        <v>0</v>
      </c>
      <c r="AK1373" s="291">
        <f>AK1374+AK1375</f>
        <v>0</v>
      </c>
      <c r="AL1373" s="291">
        <f>AL1374+AL1375</f>
        <v>0</v>
      </c>
      <c r="AN1373" s="291">
        <f>AN1374+AN1375</f>
        <v>0</v>
      </c>
      <c r="AO1373" s="291">
        <f>AO1374+AO1375</f>
        <v>0</v>
      </c>
      <c r="AQ1373" s="291">
        <f>AQ1374+AQ1375</f>
        <v>0</v>
      </c>
      <c r="AR1373" s="291">
        <f>AR1374+AR1375</f>
        <v>0</v>
      </c>
      <c r="AT1373" s="291">
        <f>AT1374+AT1375</f>
        <v>0</v>
      </c>
      <c r="AU1373" s="291">
        <f>AU1374+AU1375</f>
        <v>0</v>
      </c>
      <c r="AW1373" s="291">
        <f>AW1374+AW1375</f>
        <v>0</v>
      </c>
      <c r="AX1373" s="291">
        <f>AX1374+AX1375</f>
        <v>0</v>
      </c>
      <c r="AZ1373" s="291">
        <f>AZ1374+AZ1375</f>
        <v>0</v>
      </c>
      <c r="BA1373" s="291">
        <f>BA1374+BA1375</f>
        <v>0</v>
      </c>
      <c r="BC1373" s="291">
        <f>BC1374+BC1375</f>
        <v>1</v>
      </c>
      <c r="BD1373" s="291">
        <f>BD1374+BD1375</f>
        <v>1</v>
      </c>
      <c r="BF1373" s="291">
        <f>BF1374+BF1375</f>
        <v>1</v>
      </c>
      <c r="BG1373" s="291">
        <f>BG1374+BG1375</f>
        <v>1</v>
      </c>
      <c r="BI1373" s="291">
        <f>BI1374+BI1375</f>
        <v>1</v>
      </c>
      <c r="BJ1373" s="291">
        <f>BJ1374+BJ1375</f>
        <v>1</v>
      </c>
      <c r="BL1373" s="291">
        <f>BL1374+BL1375</f>
        <v>0</v>
      </c>
      <c r="BM1373" s="291">
        <f>BM1374+BM1375</f>
        <v>0</v>
      </c>
      <c r="BO1373" s="291">
        <f>BO1374+BO1375</f>
        <v>0</v>
      </c>
      <c r="BP1373" s="291">
        <f>BP1374+BP1375</f>
        <v>0</v>
      </c>
      <c r="BR1373" s="291">
        <f>BR1374+BR1375</f>
        <v>0</v>
      </c>
      <c r="BS1373" s="291">
        <f>BS1374+BS1375</f>
        <v>0</v>
      </c>
      <c r="BU1373" s="291">
        <f>BU1374+BU1375</f>
        <v>0</v>
      </c>
      <c r="BV1373" s="291">
        <f>BV1374+BV1375</f>
        <v>0</v>
      </c>
      <c r="BX1373" s="291">
        <f>BX1374+BX1375</f>
        <v>0</v>
      </c>
      <c r="BY1373" s="291">
        <f>BY1374+BY1375</f>
        <v>0</v>
      </c>
      <c r="CA1373" s="291">
        <f>CA1374+CA1375</f>
        <v>0</v>
      </c>
      <c r="CB1373" s="291">
        <f>CB1374+CB1375</f>
        <v>0</v>
      </c>
      <c r="CD1373" s="291">
        <f>CD1374+CD1375</f>
        <v>1</v>
      </c>
      <c r="CE1373" s="291">
        <f>CE1374+CE1375</f>
        <v>1</v>
      </c>
      <c r="CG1373" s="291">
        <f>CG1374+CG1375</f>
        <v>0</v>
      </c>
      <c r="CH1373" s="291">
        <f>CH1374+CH1375</f>
        <v>0</v>
      </c>
      <c r="CJ1373" s="291">
        <f>CJ1374+CJ1375</f>
        <v>0</v>
      </c>
      <c r="CK1373" s="291">
        <f>CK1374+CK1375</f>
        <v>0</v>
      </c>
    </row>
    <row r="1374" spans="1:89" ht="30" x14ac:dyDescent="0.25">
      <c r="A1374" s="95"/>
      <c r="B1374" s="263"/>
      <c r="C1374" s="263" t="s">
        <v>2753</v>
      </c>
      <c r="D1374" s="95" t="s">
        <v>1112</v>
      </c>
      <c r="E1374" s="291"/>
      <c r="F1374" s="291"/>
      <c r="G1374" s="291"/>
      <c r="H1374" s="291">
        <v>4</v>
      </c>
      <c r="I1374" s="291">
        <v>4</v>
      </c>
      <c r="J1374" s="291">
        <f t="shared" ref="J1374:M1375" si="1715">J1345</f>
        <v>4</v>
      </c>
      <c r="K1374" s="291">
        <f t="shared" si="1715"/>
        <v>4</v>
      </c>
      <c r="L1374" s="291">
        <f t="shared" si="1715"/>
        <v>0</v>
      </c>
      <c r="M1374" s="291">
        <f t="shared" si="1715"/>
        <v>0</v>
      </c>
      <c r="N1374" s="291">
        <f t="shared" ref="N1374" si="1716">N1345</f>
        <v>0</v>
      </c>
      <c r="Q1374" s="283">
        <f>S1374+V1374+Y1374+AB1374+AE1374+AH1374+AK1374+AN1374+AQ1374+AT1374+AW1374+AZ1374+BC1374+BF1374+BI1374+BL1374+BO1374+BR1374+BU1374+BX1374+CA1374+CD1374+CG1374+CJ1374</f>
        <v>4</v>
      </c>
      <c r="R1374" s="283">
        <f>T1374+W1374+Z1374+AC1374+AF1374+AI1374+AL1374+AO1374+AR1374+AU1374+AX1374+BA1374+BD1374+BG1374+BJ1374+BM1374+BP1374+BS1374+BV1374+BY1374+CB1374+CE1374+CH1374+CK1374</f>
        <v>4</v>
      </c>
      <c r="S1374" s="267">
        <f>S1345</f>
        <v>0</v>
      </c>
      <c r="T1374" s="267">
        <f>T1345</f>
        <v>0</v>
      </c>
      <c r="V1374" s="267">
        <f>V1345</f>
        <v>0</v>
      </c>
      <c r="W1374" s="267">
        <f>W1345</f>
        <v>0</v>
      </c>
      <c r="Y1374" s="267">
        <f>Y1345</f>
        <v>0</v>
      </c>
      <c r="Z1374" s="267">
        <f>Z1345</f>
        <v>0</v>
      </c>
      <c r="AB1374" s="267">
        <f>AB1345</f>
        <v>0</v>
      </c>
      <c r="AC1374" s="267">
        <f>AC1345</f>
        <v>0</v>
      </c>
      <c r="AE1374" s="267">
        <f>AE1345</f>
        <v>0</v>
      </c>
      <c r="AF1374" s="267">
        <f>AF1345</f>
        <v>0</v>
      </c>
      <c r="AH1374" s="267">
        <f>AH1345</f>
        <v>0</v>
      </c>
      <c r="AI1374" s="267">
        <f>AI1345</f>
        <v>0</v>
      </c>
      <c r="AK1374" s="267">
        <f>AK1345</f>
        <v>0</v>
      </c>
      <c r="AL1374" s="267">
        <f>AL1345</f>
        <v>0</v>
      </c>
      <c r="AN1374" s="267">
        <f>AN1345</f>
        <v>0</v>
      </c>
      <c r="AO1374" s="267">
        <f>AO1345</f>
        <v>0</v>
      </c>
      <c r="AQ1374" s="267">
        <f>AQ1345</f>
        <v>0</v>
      </c>
      <c r="AR1374" s="267">
        <f>AR1345</f>
        <v>0</v>
      </c>
      <c r="AT1374" s="267">
        <f>AT1345</f>
        <v>0</v>
      </c>
      <c r="AU1374" s="267">
        <f>AU1345</f>
        <v>0</v>
      </c>
      <c r="AW1374" s="267">
        <f>AW1345</f>
        <v>0</v>
      </c>
      <c r="AX1374" s="267">
        <f>AX1345</f>
        <v>0</v>
      </c>
      <c r="AZ1374" s="267">
        <f>AZ1345</f>
        <v>0</v>
      </c>
      <c r="BA1374" s="267">
        <f>BA1345</f>
        <v>0</v>
      </c>
      <c r="BC1374" s="267">
        <f>BC1345</f>
        <v>1</v>
      </c>
      <c r="BD1374" s="267">
        <f>BD1345</f>
        <v>1</v>
      </c>
      <c r="BF1374" s="267">
        <f>BF1345</f>
        <v>1</v>
      </c>
      <c r="BG1374" s="267">
        <f>BG1345</f>
        <v>1</v>
      </c>
      <c r="BI1374" s="267">
        <f>BI1345</f>
        <v>1</v>
      </c>
      <c r="BJ1374" s="267">
        <f>BJ1345</f>
        <v>1</v>
      </c>
      <c r="BL1374" s="267">
        <f>BL1345</f>
        <v>0</v>
      </c>
      <c r="BM1374" s="267">
        <f>BM1345</f>
        <v>0</v>
      </c>
      <c r="BO1374" s="267">
        <f>BO1345</f>
        <v>0</v>
      </c>
      <c r="BP1374" s="267">
        <f>BP1345</f>
        <v>0</v>
      </c>
      <c r="BR1374" s="267">
        <f>BR1345</f>
        <v>0</v>
      </c>
      <c r="BS1374" s="267">
        <f>BS1345</f>
        <v>0</v>
      </c>
      <c r="BU1374" s="267">
        <f>BU1345</f>
        <v>0</v>
      </c>
      <c r="BV1374" s="267">
        <f>BV1345</f>
        <v>0</v>
      </c>
      <c r="BX1374" s="267">
        <f>BX1345</f>
        <v>0</v>
      </c>
      <c r="BY1374" s="267">
        <f>BY1345</f>
        <v>0</v>
      </c>
      <c r="CA1374" s="267">
        <f>CA1345</f>
        <v>0</v>
      </c>
      <c r="CB1374" s="267">
        <f>CB1345</f>
        <v>0</v>
      </c>
      <c r="CD1374" s="267">
        <f>CD1345</f>
        <v>1</v>
      </c>
      <c r="CE1374" s="267">
        <f>CE1345</f>
        <v>1</v>
      </c>
      <c r="CG1374" s="267">
        <f>CG1345</f>
        <v>0</v>
      </c>
      <c r="CH1374" s="267">
        <f>CH1345</f>
        <v>0</v>
      </c>
      <c r="CJ1374" s="267">
        <f>CJ1345</f>
        <v>0</v>
      </c>
      <c r="CK1374" s="267">
        <f>CK1345</f>
        <v>0</v>
      </c>
    </row>
    <row r="1375" spans="1:89" ht="30" x14ac:dyDescent="0.25">
      <c r="A1375" s="95"/>
      <c r="B1375" s="263"/>
      <c r="C1375" s="263" t="s">
        <v>2753</v>
      </c>
      <c r="D1375" s="95" t="s">
        <v>1112</v>
      </c>
      <c r="E1375" s="291"/>
      <c r="F1375" s="291"/>
      <c r="G1375" s="291"/>
      <c r="H1375" s="291">
        <v>0</v>
      </c>
      <c r="I1375" s="291">
        <v>0</v>
      </c>
      <c r="J1375" s="291">
        <f t="shared" si="1715"/>
        <v>0</v>
      </c>
      <c r="K1375" s="291">
        <f t="shared" si="1715"/>
        <v>0</v>
      </c>
      <c r="L1375" s="291">
        <f t="shared" si="1715"/>
        <v>0</v>
      </c>
      <c r="M1375" s="291">
        <f t="shared" si="1715"/>
        <v>0</v>
      </c>
      <c r="N1375" s="291">
        <f t="shared" ref="N1375" si="1717">N1346</f>
        <v>0</v>
      </c>
      <c r="Q1375" s="283">
        <f>S1375+V1375+Y1375+AB1375+AE1375+AH1375+AK1375+AN1375+AQ1375+AT1375+AW1375+AZ1375+BC1375+BF1375+BI1375+BL1375+BO1375+BR1375+BU1375+BX1375+CA1375+CD1375+CG1375+CJ1375</f>
        <v>0</v>
      </c>
      <c r="R1375" s="283">
        <f>T1375+W1375+Z1375+AC1375+AF1375+AI1375+AL1375+AO1375+AR1375+AU1375+AX1375+BA1375+BD1375+BG1375+BJ1375+BM1375+BP1375+BS1375+BV1375+BY1375+CB1375+CE1375+CH1375+CK1375</f>
        <v>0</v>
      </c>
      <c r="S1375" s="267">
        <f>S1346</f>
        <v>0</v>
      </c>
      <c r="T1375" s="267">
        <f>T1346</f>
        <v>0</v>
      </c>
      <c r="V1375" s="267">
        <f>V1346</f>
        <v>0</v>
      </c>
      <c r="W1375" s="267">
        <f>W1346</f>
        <v>0</v>
      </c>
      <c r="Y1375" s="267">
        <f>Y1346</f>
        <v>0</v>
      </c>
      <c r="Z1375" s="267">
        <f>Z1346</f>
        <v>0</v>
      </c>
      <c r="AB1375" s="267">
        <f>AB1346</f>
        <v>0</v>
      </c>
      <c r="AC1375" s="267">
        <f>AC1346</f>
        <v>0</v>
      </c>
      <c r="AE1375" s="267">
        <f>AE1346</f>
        <v>0</v>
      </c>
      <c r="AF1375" s="267">
        <f>AF1346</f>
        <v>0</v>
      </c>
      <c r="AH1375" s="267">
        <f>AH1346</f>
        <v>0</v>
      </c>
      <c r="AI1375" s="267">
        <f>AI1346</f>
        <v>0</v>
      </c>
      <c r="AK1375" s="267">
        <f>AK1346</f>
        <v>0</v>
      </c>
      <c r="AL1375" s="267">
        <f>AL1346</f>
        <v>0</v>
      </c>
      <c r="AN1375" s="267">
        <f>AN1346</f>
        <v>0</v>
      </c>
      <c r="AO1375" s="267">
        <f>AO1346</f>
        <v>0</v>
      </c>
      <c r="AQ1375" s="267">
        <f>AQ1346</f>
        <v>0</v>
      </c>
      <c r="AR1375" s="267">
        <f>AR1346</f>
        <v>0</v>
      </c>
      <c r="AT1375" s="267">
        <f>AT1346</f>
        <v>0</v>
      </c>
      <c r="AU1375" s="267">
        <f>AU1346</f>
        <v>0</v>
      </c>
      <c r="AW1375" s="267">
        <f>AW1346</f>
        <v>0</v>
      </c>
      <c r="AX1375" s="267">
        <f>AX1346</f>
        <v>0</v>
      </c>
      <c r="AZ1375" s="267">
        <f>AZ1346</f>
        <v>0</v>
      </c>
      <c r="BA1375" s="267">
        <f>BA1346</f>
        <v>0</v>
      </c>
      <c r="BC1375" s="267">
        <f>BC1346</f>
        <v>0</v>
      </c>
      <c r="BD1375" s="267">
        <f>BD1346</f>
        <v>0</v>
      </c>
      <c r="BF1375" s="267">
        <f>BF1346</f>
        <v>0</v>
      </c>
      <c r="BG1375" s="267">
        <f>BG1346</f>
        <v>0</v>
      </c>
      <c r="BI1375" s="267">
        <f>BI1346</f>
        <v>0</v>
      </c>
      <c r="BJ1375" s="267">
        <f>BJ1346</f>
        <v>0</v>
      </c>
      <c r="BL1375" s="267">
        <f>BL1346</f>
        <v>0</v>
      </c>
      <c r="BM1375" s="267">
        <f>BM1346</f>
        <v>0</v>
      </c>
      <c r="BO1375" s="267">
        <f>BO1346</f>
        <v>0</v>
      </c>
      <c r="BP1375" s="267">
        <f>BP1346</f>
        <v>0</v>
      </c>
      <c r="BR1375" s="267">
        <f>BR1346</f>
        <v>0</v>
      </c>
      <c r="BS1375" s="267">
        <f>BS1346</f>
        <v>0</v>
      </c>
      <c r="BU1375" s="267">
        <f>BU1346</f>
        <v>0</v>
      </c>
      <c r="BV1375" s="267">
        <f>BV1346</f>
        <v>0</v>
      </c>
      <c r="BX1375" s="267">
        <f>BX1346</f>
        <v>0</v>
      </c>
      <c r="BY1375" s="267">
        <f>BY1346</f>
        <v>0</v>
      </c>
      <c r="CA1375" s="267">
        <f>CA1346</f>
        <v>0</v>
      </c>
      <c r="CB1375" s="267">
        <f>CB1346</f>
        <v>0</v>
      </c>
      <c r="CD1375" s="267">
        <f>CD1346</f>
        <v>0</v>
      </c>
      <c r="CE1375" s="267">
        <f>CE1346</f>
        <v>0</v>
      </c>
      <c r="CG1375" s="267">
        <f>CG1346</f>
        <v>0</v>
      </c>
      <c r="CH1375" s="267">
        <f>CH1346</f>
        <v>0</v>
      </c>
      <c r="CJ1375" s="267">
        <f>CJ1346</f>
        <v>0</v>
      </c>
      <c r="CK1375" s="267">
        <f>CK1346</f>
        <v>0</v>
      </c>
    </row>
    <row r="1376" spans="1:89" x14ac:dyDescent="0.25">
      <c r="A1376" s="95"/>
      <c r="B1376" s="263"/>
      <c r="C1376" s="95"/>
      <c r="D1376" s="95"/>
      <c r="E1376" s="291"/>
      <c r="F1376" s="291"/>
      <c r="G1376" s="291"/>
      <c r="H1376" s="291"/>
      <c r="I1376" s="291"/>
      <c r="J1376" s="291"/>
      <c r="K1376" s="291"/>
      <c r="L1376" s="291"/>
      <c r="M1376" s="291"/>
      <c r="N1376" s="291"/>
    </row>
    <row r="1377" spans="1:89" ht="60" x14ac:dyDescent="0.25">
      <c r="A1377" s="105" t="s">
        <v>249</v>
      </c>
      <c r="B1377" s="290" t="s">
        <v>262</v>
      </c>
      <c r="C1377" s="107"/>
      <c r="D1377" s="107"/>
      <c r="E1377" s="107"/>
      <c r="F1377" s="107"/>
      <c r="G1377" s="107"/>
      <c r="H1377" s="107"/>
      <c r="I1377" s="107"/>
      <c r="J1377" s="107"/>
      <c r="K1377" s="107"/>
      <c r="L1377" s="107"/>
      <c r="M1377" s="107"/>
      <c r="N1377" s="107"/>
      <c r="O1377" s="281" t="s">
        <v>281</v>
      </c>
    </row>
    <row r="1378" spans="1:89" ht="45" x14ac:dyDescent="0.25">
      <c r="A1378" s="95" t="s">
        <v>250</v>
      </c>
      <c r="B1378" s="96" t="s">
        <v>1716</v>
      </c>
      <c r="C1378" s="107"/>
      <c r="D1378" s="95" t="s">
        <v>8</v>
      </c>
      <c r="E1378" s="279"/>
      <c r="F1378" s="279"/>
      <c r="G1378" s="279"/>
      <c r="H1378" s="279"/>
      <c r="I1378" s="279"/>
      <c r="J1378" s="279"/>
      <c r="K1378" s="279"/>
      <c r="L1378" s="279"/>
      <c r="M1378" s="279"/>
      <c r="N1378" s="279"/>
    </row>
    <row r="1379" spans="1:89" x14ac:dyDescent="0.25">
      <c r="A1379" s="95"/>
      <c r="B1379" s="96" t="s">
        <v>1182</v>
      </c>
      <c r="C1379" s="107"/>
      <c r="D1379" s="95" t="s">
        <v>8</v>
      </c>
      <c r="E1379" s="279">
        <f t="shared" ref="E1379:J1379" si="1718">((E1386+E1392+E1387+E1393)/(E1395+E1401+E1396+E1402))*100</f>
        <v>95.277777777777771</v>
      </c>
      <c r="F1379" s="279">
        <f t="shared" si="1718"/>
        <v>98.833819241982511</v>
      </c>
      <c r="G1379" s="279">
        <f t="shared" si="1718"/>
        <v>97.345132743362825</v>
      </c>
      <c r="H1379" s="279">
        <f t="shared" si="1718"/>
        <v>100.90909090909091</v>
      </c>
      <c r="I1379" s="279">
        <f t="shared" si="1718"/>
        <v>98.798798798798799</v>
      </c>
      <c r="J1379" s="279">
        <f t="shared" si="1718"/>
        <v>98.784194528875375</v>
      </c>
      <c r="K1379" s="279">
        <f>((K1386+K1392+K1387+K1393)/(K1395+K1401+K1396+K1402))*100</f>
        <v>98.461538461538467</v>
      </c>
      <c r="L1379" s="279">
        <f>((L1386+L1392+L1387+L1393)/(L1395+L1401+L1396+L1402))*100</f>
        <v>100</v>
      </c>
      <c r="M1379" s="279">
        <f>((M1386+M1392+M1387+M1393)/(M1395+M1401+M1396+M1402))*100</f>
        <v>100</v>
      </c>
      <c r="N1379" s="279">
        <f>((N1386+N1392+N1387+N1393)/(N1395+N1401+N1396+N1402))*100</f>
        <v>100</v>
      </c>
      <c r="Q1379" s="279">
        <f>((Q1386+Q1392+Q1387+Q1393)/(Q1395+Q1401+Q1396+Q1402))*100</f>
        <v>97.264437689969611</v>
      </c>
      <c r="R1379" s="279">
        <f>((R1386+R1392+R1387+R1393)/(R1395+R1401+R1396+R1402))*100</f>
        <v>100.3125</v>
      </c>
      <c r="S1379" s="279">
        <f>((S1386+S1392+S1387+S1393)/(S1395+S1401+S1396+S1402))*100</f>
        <v>100</v>
      </c>
      <c r="T1379" s="279">
        <f>((T1386+T1392+T1387+T1393)/(T1395+T1401+T1396+T1402))*100</f>
        <v>110.00000000000001</v>
      </c>
      <c r="V1379" s="279">
        <f>((V1386+V1392+V1387+V1393)/(V1395+V1401+V1396+V1402))*100</f>
        <v>100</v>
      </c>
      <c r="W1379" s="279">
        <f>((W1386+W1392+W1387+W1393)/(W1395+W1401+W1396+W1402))*100</f>
        <v>100</v>
      </c>
      <c r="Y1379" s="279">
        <f>((Y1386+Y1392+Y1387+Y1393)/(Y1395+Y1401+Y1396+Y1402))*100</f>
        <v>100</v>
      </c>
      <c r="Z1379" s="279">
        <f>((Z1386+Z1392+Z1387+Z1393)/(Z1395+Z1401+Z1396+Z1402))*100</f>
        <v>100</v>
      </c>
      <c r="AB1379" s="279">
        <f>((AB1386+AB1392+AB1387+AB1393)/(AB1395+AB1401+AB1396+AB1402))*100</f>
        <v>92.857142857142861</v>
      </c>
      <c r="AC1379" s="279">
        <f>((AC1386+AC1392+AC1387+AC1393)/(AC1395+AC1401+AC1396+AC1402))*100</f>
        <v>100</v>
      </c>
      <c r="AE1379" s="279">
        <f>((AE1386+AE1392+AE1387+AE1393)/(AE1395+AE1401+AE1396+AE1402))*100</f>
        <v>94.444444444444443</v>
      </c>
      <c r="AF1379" s="279">
        <f>((AF1386+AF1392+AF1387+AF1393)/(AF1395+AF1401+AF1396+AF1402))*100</f>
        <v>94.117647058823522</v>
      </c>
      <c r="AH1379" s="279">
        <f>((AH1386+AH1392+AH1387+AH1393)/(AH1395+AH1401+AH1396+AH1402))*100</f>
        <v>90</v>
      </c>
      <c r="AI1379" s="279">
        <f>((AI1386+AI1392+AI1387+AI1393)/(AI1395+AI1401+AI1396+AI1402))*100</f>
        <v>100</v>
      </c>
      <c r="AK1379" s="279">
        <f>((AK1386+AK1392+AK1387+AK1393)/(AK1395+AK1401+AK1396+AK1402))*100</f>
        <v>100</v>
      </c>
      <c r="AL1379" s="279">
        <f>((AL1386+AL1392+AL1387+AL1393)/(AL1395+AL1401+AL1396+AL1402))*100</f>
        <v>100</v>
      </c>
      <c r="AN1379" s="279">
        <f>((AN1386+AN1392+AN1387+AN1393)/(AN1395+AN1401+AN1396+AN1402))*100</f>
        <v>88.461538461538453</v>
      </c>
      <c r="AO1379" s="279">
        <f>((AO1386+AO1392+AO1387+AO1393)/(AO1395+AO1401+AO1396+AO1402))*100</f>
        <v>100</v>
      </c>
      <c r="AQ1379" s="279">
        <f>((AQ1386+AQ1392+AQ1387+AQ1393)/(AQ1395+AQ1401+AQ1396+AQ1402))*100</f>
        <v>100</v>
      </c>
      <c r="AR1379" s="279">
        <f>((AR1386+AR1392+AR1387+AR1393)/(AR1395+AR1401+AR1396+AR1402))*100</f>
        <v>104.34782608695652</v>
      </c>
      <c r="AT1379" s="279">
        <f>((AT1386+AT1392+AT1387+AT1393)/(AT1395+AT1401+AT1396+AT1402))*100</f>
        <v>100</v>
      </c>
      <c r="AU1379" s="279">
        <f>((AU1386+AU1392+AU1387+AU1393)/(AU1395+AU1401+AU1396+AU1402))*100</f>
        <v>100</v>
      </c>
      <c r="AW1379" s="279">
        <f>((AW1386+AW1392+AW1387+AW1393)/(AW1395+AW1401+AW1396+AW1402))*100</f>
        <v>100</v>
      </c>
      <c r="AX1379" s="279">
        <f>((AX1386+AX1392+AX1387+AX1393)/(AX1395+AX1401+AX1396+AX1402))*100</f>
        <v>100</v>
      </c>
      <c r="AZ1379" s="279">
        <f>((AZ1386+AZ1392+AZ1387+AZ1393)/(AZ1395+AZ1401+AZ1396+AZ1402))*100</f>
        <v>87.5</v>
      </c>
      <c r="BA1379" s="279">
        <f>((BA1386+BA1392+BA1387+BA1393)/(BA1395+BA1401+BA1396+BA1402))*100</f>
        <v>100</v>
      </c>
      <c r="BC1379" s="279">
        <f>((BC1386+BC1392+BC1387+BC1393)/(BC1395+BC1401+BC1396+BC1402))*100</f>
        <v>100</v>
      </c>
      <c r="BD1379" s="279">
        <f>((BD1386+BD1392+BD1387+BD1393)/(BD1395+BD1401+BD1396+BD1402))*100</f>
        <v>100</v>
      </c>
      <c r="BF1379" s="279">
        <f>((BF1386+BF1392+BF1387+BF1393)/(BF1395+BF1401+BF1396+BF1402))*100</f>
        <v>97.058823529411768</v>
      </c>
      <c r="BG1379" s="279">
        <f>((BG1386+BG1392+BG1387+BG1393)/(BG1395+BG1401+BG1396+BG1402))*100</f>
        <v>100</v>
      </c>
      <c r="BI1379" s="279">
        <f>((BI1386+BI1392+BI1387+BI1393)/(BI1395+BI1401+BI1396+BI1402))*100</f>
        <v>92.5</v>
      </c>
      <c r="BJ1379" s="279">
        <f>((BJ1386+BJ1392+BJ1387+BJ1393)/(BJ1395+BJ1401+BJ1396+BJ1402))*100</f>
        <v>100</v>
      </c>
      <c r="BL1379" s="279">
        <f>((BL1386+BL1392+BL1387+BL1393)/(BL1395+BL1401+BL1396+BL1402))*100</f>
        <v>100</v>
      </c>
      <c r="BM1379" s="279">
        <f>((BM1386+BM1392+BM1387+BM1393)/(BM1395+BM1401+BM1396+BM1402))*100</f>
        <v>100</v>
      </c>
      <c r="BO1379" s="279">
        <f>((BO1386+BO1392+BO1387+BO1393)/(BO1395+BO1401+BO1396+BO1402))*100</f>
        <v>100</v>
      </c>
      <c r="BP1379" s="279">
        <f>((BP1386+BP1392+BP1387+BP1393)/(BP1395+BP1401+BP1396+BP1402))*100</f>
        <v>100</v>
      </c>
      <c r="BR1379" s="279">
        <f>((BR1386+BR1392+BR1387+BR1393)/(BR1395+BR1401+BR1396+BR1402))*100</f>
        <v>88.888888888888886</v>
      </c>
      <c r="BS1379" s="279">
        <f>((BS1386+BS1392+BS1387+BS1393)/(BS1395+BS1401+BS1396+BS1402))*100</f>
        <v>87.5</v>
      </c>
      <c r="BU1379" s="279">
        <f>((BU1386+BU1392+BU1387+BU1393)/(BU1395+BU1401+BU1396+BU1402))*100</f>
        <v>100</v>
      </c>
      <c r="BV1379" s="279">
        <f>((BV1386+BV1392+BV1387+BV1393)/(BV1395+BV1401+BV1396+BV1402))*100</f>
        <v>100</v>
      </c>
      <c r="BX1379" s="279">
        <f>((BX1386+BX1392+BX1387+BX1393)/(BX1395+BX1401+BX1396+BX1402))*100</f>
        <v>100</v>
      </c>
      <c r="BY1379" s="279">
        <f>((BY1386+BY1392+BY1387+BY1393)/(BY1395+BY1401+BY1396+BY1402))*100</f>
        <v>100</v>
      </c>
      <c r="CA1379" s="279">
        <f>((CA1386+CA1392+CA1387+CA1393)/(CA1395+CA1401+CA1396+CA1402))*100</f>
        <v>120</v>
      </c>
      <c r="CB1379" s="279">
        <f>((CB1386+CB1392+CB1387+CB1393)/(CB1395+CB1401+CB1396+CB1402))*100</f>
        <v>116.66666666666667</v>
      </c>
      <c r="CD1379" s="279">
        <f>((CD1386+CD1392+CD1387+CD1393)/(CD1395+CD1401+CD1396+CD1402))*100</f>
        <v>100</v>
      </c>
      <c r="CE1379" s="279">
        <f>((CE1386+CE1392+CE1387+CE1393)/(CE1395+CE1401+CE1396+CE1402))*100</f>
        <v>100</v>
      </c>
      <c r="CG1379" s="279">
        <f>((CG1386+CG1392+CG1387+CG1393)/(CG1395+CG1401+CG1396+CG1402))*100</f>
        <v>100</v>
      </c>
      <c r="CH1379" s="279">
        <f>((CH1386+CH1392+CH1387+CH1393)/(CH1395+CH1401+CH1396+CH1402))*100</f>
        <v>100</v>
      </c>
      <c r="CJ1379" s="279" t="e">
        <f>((CJ1386+CJ1392+CJ1387+CJ1393)/(CJ1395+CJ1401+CJ1396+CJ1402))*100</f>
        <v>#DIV/0!</v>
      </c>
      <c r="CK1379" s="279">
        <f>((CK1386+CK1392+CK1387+CK1393)/(CK1395+CK1401+CK1396+CK1402))*100</f>
        <v>100</v>
      </c>
    </row>
    <row r="1380" spans="1:89" x14ac:dyDescent="0.25">
      <c r="A1380" s="95"/>
      <c r="B1380" s="96" t="s">
        <v>1183</v>
      </c>
      <c r="C1380" s="107"/>
      <c r="D1380" s="95" t="s">
        <v>8</v>
      </c>
      <c r="E1380" s="279">
        <f t="shared" ref="E1380:G1381" si="1719">((E1386+E1392)/(E1395+E1401))*100</f>
        <v>95.435684647302907</v>
      </c>
      <c r="F1380" s="279">
        <f t="shared" si="1719"/>
        <v>99.130434782608702</v>
      </c>
      <c r="G1380" s="279">
        <f t="shared" si="1719"/>
        <v>97.368421052631575</v>
      </c>
      <c r="H1380" s="279">
        <f t="shared" ref="H1380:K1381" si="1720">((H1386+H1392)/(H1395+H1401))*100</f>
        <v>102.25225225225225</v>
      </c>
      <c r="I1380" s="279">
        <f t="shared" si="1720"/>
        <v>98.23788546255507</v>
      </c>
      <c r="J1380" s="279">
        <f t="shared" si="1720"/>
        <v>99.103139013452918</v>
      </c>
      <c r="K1380" s="279">
        <f t="shared" si="1720"/>
        <v>98.19004524886877</v>
      </c>
      <c r="L1380" s="279">
        <f t="shared" ref="L1380:M1381" si="1721">((L1386+L1392)/(L1395+L1401))*100</f>
        <v>100</v>
      </c>
      <c r="M1380" s="279">
        <f t="shared" si="1721"/>
        <v>100</v>
      </c>
      <c r="N1380" s="279">
        <f t="shared" ref="N1380" si="1722">((N1386+N1392)/(N1395+N1401))*100</f>
        <v>100</v>
      </c>
      <c r="Q1380" s="279">
        <f t="shared" ref="Q1380:S1381" si="1723">((Q1386+Q1392)/(Q1395+Q1401))*100</f>
        <v>97.309417040358753</v>
      </c>
      <c r="R1380" s="279">
        <f t="shared" si="1723"/>
        <v>100.46082949308757</v>
      </c>
      <c r="S1380" s="279">
        <f>((S1386+S1392)/(S1395+S1401))*100</f>
        <v>100</v>
      </c>
      <c r="T1380" s="279">
        <f>((T1386+T1392)/(T1395+T1401))*100</f>
        <v>133.33333333333331</v>
      </c>
      <c r="V1380" s="279">
        <f>((V1386+V1392)/(V1395+V1401))*100</f>
        <v>100</v>
      </c>
      <c r="W1380" s="279">
        <f>((W1386+W1392)/(W1395+W1401))*100</f>
        <v>100</v>
      </c>
      <c r="Y1380" s="279">
        <f>((Y1386+Y1392)/(Y1395+Y1401))*100</f>
        <v>100</v>
      </c>
      <c r="Z1380" s="279">
        <f>((Z1386+Z1392)/(Z1395+Z1401))*100</f>
        <v>100</v>
      </c>
      <c r="AB1380" s="279">
        <f>((AB1386+AB1392)/(AB1395+AB1401))*100</f>
        <v>100</v>
      </c>
      <c r="AC1380" s="279">
        <f>((AC1386+AC1392)/(AC1395+AC1401))*100</f>
        <v>100</v>
      </c>
      <c r="AE1380" s="279">
        <f>((AE1386+AE1392)/(AE1395+AE1401))*100</f>
        <v>85.714285714285708</v>
      </c>
      <c r="AF1380" s="279">
        <f>((AF1386+AF1392)/(AF1395+AF1401))*100</f>
        <v>100</v>
      </c>
      <c r="AH1380" s="279">
        <f>((AH1386+AH1392)/(AH1395+AH1401))*100</f>
        <v>100</v>
      </c>
      <c r="AI1380" s="279">
        <f>((AI1386+AI1392)/(AI1395+AI1401))*100</f>
        <v>100</v>
      </c>
      <c r="AK1380" s="279">
        <f>((AK1386+AK1392)/(AK1395+AK1401))*100</f>
        <v>100</v>
      </c>
      <c r="AL1380" s="279">
        <f>((AL1386+AL1392)/(AL1395+AL1401))*100</f>
        <v>100</v>
      </c>
      <c r="AN1380" s="279">
        <f>((AN1386+AN1392)/(AN1395+AN1401))*100</f>
        <v>78.571428571428569</v>
      </c>
      <c r="AO1380" s="279">
        <f>((AO1386+AO1392)/(AO1395+AO1401))*100</f>
        <v>100</v>
      </c>
      <c r="AQ1380" s="279" t="e">
        <f>((AQ1386+AQ1392)/(AQ1395+AQ1401))*100</f>
        <v>#DIV/0!</v>
      </c>
      <c r="AR1380" s="279" t="e">
        <f>((AR1386+AR1392)/(AR1395+AR1401))*100</f>
        <v>#DIV/0!</v>
      </c>
      <c r="AT1380" s="279">
        <f>((AT1386+AT1392)/(AT1395+AT1401))*100</f>
        <v>100</v>
      </c>
      <c r="AU1380" s="279">
        <f>((AU1386+AU1392)/(AU1395+AU1401))*100</f>
        <v>100</v>
      </c>
      <c r="AW1380" s="279">
        <f>((AW1386+AW1392)/(AW1395+AW1401))*100</f>
        <v>100</v>
      </c>
      <c r="AX1380" s="279">
        <f>((AX1386+AX1392)/(AX1395+AX1401))*100</f>
        <v>100</v>
      </c>
      <c r="AZ1380" s="279">
        <f>((AZ1386+AZ1392)/(AZ1395+AZ1401))*100</f>
        <v>87.5</v>
      </c>
      <c r="BA1380" s="279">
        <f>((BA1386+BA1392)/(BA1395+BA1401))*100</f>
        <v>100</v>
      </c>
      <c r="BC1380" s="279">
        <f>((BC1386+BC1392)/(BC1395+BC1401))*100</f>
        <v>100</v>
      </c>
      <c r="BD1380" s="279">
        <f>((BD1386+BD1392)/(BD1395+BD1401))*100</f>
        <v>100</v>
      </c>
      <c r="BF1380" s="279">
        <f>((BF1386+BF1392)/(BF1395+BF1401))*100</f>
        <v>97.058823529411768</v>
      </c>
      <c r="BG1380" s="279">
        <f>((BG1386+BG1392)/(BG1395+BG1401))*100</f>
        <v>100</v>
      </c>
      <c r="BI1380" s="279">
        <f>((BI1386+BI1392)/(BI1395+BI1401))*100</f>
        <v>92.5</v>
      </c>
      <c r="BJ1380" s="279">
        <f>((BJ1386+BJ1392)/(BJ1395+BJ1401))*100</f>
        <v>100</v>
      </c>
      <c r="BL1380" s="279">
        <f>((BL1386+BL1392)/(BL1395+BL1401))*100</f>
        <v>100</v>
      </c>
      <c r="BM1380" s="279">
        <f>((BM1386+BM1392)/(BM1395+BM1401))*100</f>
        <v>100</v>
      </c>
      <c r="BO1380" s="279">
        <f>((BO1386+BO1392)/(BO1395+BO1401))*100</f>
        <v>100</v>
      </c>
      <c r="BP1380" s="279">
        <f>((BP1386+BP1392)/(BP1395+BP1401))*100</f>
        <v>100</v>
      </c>
      <c r="BR1380" s="279">
        <f>((BR1386+BR1392)/(BR1395+BR1401))*100</f>
        <v>88.888888888888886</v>
      </c>
      <c r="BS1380" s="279">
        <f>((BS1386+BS1392)/(BS1395+BS1401))*100</f>
        <v>87.5</v>
      </c>
      <c r="BU1380" s="279">
        <f>((BU1386+BU1392)/(BU1395+BU1401))*100</f>
        <v>100</v>
      </c>
      <c r="BV1380" s="279">
        <f>((BV1386+BV1392)/(BV1395+BV1401))*100</f>
        <v>100</v>
      </c>
      <c r="BX1380" s="279">
        <f>((BX1386+BX1392)/(BX1395+BX1401))*100</f>
        <v>100</v>
      </c>
      <c r="BY1380" s="279">
        <f>((BY1386+BY1392)/(BY1395+BY1401))*100</f>
        <v>100</v>
      </c>
      <c r="CA1380" s="279">
        <f>((CA1386+CA1392)/(CA1395+CA1401))*100</f>
        <v>120</v>
      </c>
      <c r="CB1380" s="279">
        <f>((CB1386+CB1392)/(CB1395+CB1401))*100</f>
        <v>116.66666666666667</v>
      </c>
      <c r="CD1380" s="279">
        <f>((CD1386+CD1392)/(CD1395+CD1401))*100</f>
        <v>100</v>
      </c>
      <c r="CE1380" s="279">
        <f>((CE1386+CE1392)/(CE1395+CE1401))*100</f>
        <v>100</v>
      </c>
      <c r="CG1380" s="279">
        <f>((CG1386+CG1392)/(CG1395+CG1401))*100</f>
        <v>100</v>
      </c>
      <c r="CH1380" s="279">
        <f>((CH1386+CH1392)/(CH1395+CH1401))*100</f>
        <v>100</v>
      </c>
      <c r="CJ1380" s="279" t="e">
        <f>((CJ1386+CJ1392)/(CJ1395+CJ1401))*100</f>
        <v>#DIV/0!</v>
      </c>
      <c r="CK1380" s="279">
        <f>((CK1386+CK1392)/(CK1395+CK1401))*100</f>
        <v>100</v>
      </c>
    </row>
    <row r="1381" spans="1:89" x14ac:dyDescent="0.25">
      <c r="A1381" s="95"/>
      <c r="B1381" s="16" t="s">
        <v>1185</v>
      </c>
      <c r="C1381" s="107"/>
      <c r="D1381" s="95" t="s">
        <v>8</v>
      </c>
      <c r="E1381" s="279">
        <f t="shared" si="1719"/>
        <v>94.9579831932773</v>
      </c>
      <c r="F1381" s="279">
        <f t="shared" si="1719"/>
        <v>98.230088495575217</v>
      </c>
      <c r="G1381" s="279">
        <f t="shared" si="1719"/>
        <v>97.297297297297305</v>
      </c>
      <c r="H1381" s="279">
        <f t="shared" si="1720"/>
        <v>98.148148148148152</v>
      </c>
      <c r="I1381" s="279">
        <f t="shared" si="1720"/>
        <v>100</v>
      </c>
      <c r="J1381" s="279">
        <f t="shared" si="1720"/>
        <v>98.113207547169807</v>
      </c>
      <c r="K1381" s="279">
        <f t="shared" si="1720"/>
        <v>99.038461538461547</v>
      </c>
      <c r="L1381" s="279">
        <f t="shared" ref="L1381" si="1724">((L1387+L1393)/(L1396+L1402))*100</f>
        <v>100</v>
      </c>
      <c r="M1381" s="279">
        <f t="shared" si="1721"/>
        <v>100</v>
      </c>
      <c r="N1381" s="279">
        <f t="shared" ref="N1381" si="1725">((N1387+N1393)/(N1396+N1402))*100</f>
        <v>100</v>
      </c>
      <c r="Q1381" s="279">
        <f>((Q1387+Q1393)/(Q1396+Q1402))*100</f>
        <v>97.169811320754718</v>
      </c>
      <c r="R1381" s="279">
        <f t="shared" si="1723"/>
        <v>100</v>
      </c>
      <c r="S1381" s="279">
        <f t="shared" si="1723"/>
        <v>100</v>
      </c>
      <c r="T1381" s="279">
        <f>((T1387+T1393)/(T1396+T1402))*100</f>
        <v>100</v>
      </c>
      <c r="V1381" s="279">
        <f>((V1387+V1393)/(V1396+V1402))*100</f>
        <v>100</v>
      </c>
      <c r="W1381" s="279">
        <f>((W1387+W1393)/(W1396+W1402))*100</f>
        <v>100</v>
      </c>
      <c r="Y1381" s="279">
        <f>((Y1387+Y1393)/(Y1396+Y1402))*100</f>
        <v>100</v>
      </c>
      <c r="Z1381" s="279">
        <f>((Z1387+Z1393)/(Z1396+Z1402))*100</f>
        <v>100</v>
      </c>
      <c r="AB1381" s="279">
        <f>((AB1387+AB1393)/(AB1396+AB1402))*100</f>
        <v>90.909090909090907</v>
      </c>
      <c r="AC1381" s="279">
        <f>((AC1387+AC1393)/(AC1396+AC1402))*100</f>
        <v>100</v>
      </c>
      <c r="AE1381" s="279">
        <f>((AE1387+AE1393)/(AE1396+AE1402))*100</f>
        <v>100</v>
      </c>
      <c r="AF1381" s="279">
        <f>((AF1387+AF1393)/(AF1396+AF1402))*100</f>
        <v>90.909090909090907</v>
      </c>
      <c r="AH1381" s="279">
        <f>((AH1387+AH1393)/(AH1396+AH1402))*100</f>
        <v>86.666666666666671</v>
      </c>
      <c r="AI1381" s="279">
        <f>((AI1387+AI1393)/(AI1396+AI1402))*100</f>
        <v>100</v>
      </c>
      <c r="AK1381" s="279">
        <f>((AK1387+AK1393)/(AK1396+AK1402))*100</f>
        <v>100</v>
      </c>
      <c r="AL1381" s="279">
        <f>((AL1387+AL1393)/(AL1396+AL1402))*100</f>
        <v>100</v>
      </c>
      <c r="AN1381" s="279">
        <f>((AN1387+AN1393)/(AN1396+AN1402))*100</f>
        <v>100</v>
      </c>
      <c r="AO1381" s="279">
        <f>((AO1387+AO1393)/(AO1396+AO1402))*100</f>
        <v>100</v>
      </c>
      <c r="AQ1381" s="279">
        <f>((AQ1387+AQ1393)/(AQ1396+AQ1402))*100</f>
        <v>100</v>
      </c>
      <c r="AR1381" s="279">
        <f>((AR1387+AR1393)/(AR1396+AR1402))*100</f>
        <v>104.34782608695652</v>
      </c>
      <c r="AT1381" s="279" t="e">
        <f>((AT1387+AT1393)/(AT1396+AT1402))*100</f>
        <v>#DIV/0!</v>
      </c>
      <c r="AU1381" s="279" t="e">
        <f>((AU1387+AU1393)/(AU1396+AU1402))*100</f>
        <v>#DIV/0!</v>
      </c>
      <c r="AW1381" s="279" t="e">
        <f>((AW1387+AW1393)/(AW1396+AW1402))*100</f>
        <v>#DIV/0!</v>
      </c>
      <c r="AX1381" s="279" t="e">
        <f>((AX1387+AX1393)/(AX1396+AX1402))*100</f>
        <v>#DIV/0!</v>
      </c>
      <c r="AZ1381" s="279" t="e">
        <f>((AZ1387+AZ1393)/(AZ1396+AZ1402))*100</f>
        <v>#DIV/0!</v>
      </c>
      <c r="BA1381" s="279" t="e">
        <f>((BA1387+BA1393)/(BA1396+BA1402))*100</f>
        <v>#DIV/0!</v>
      </c>
      <c r="BC1381" s="279" t="e">
        <f>((BC1387+BC1393)/(BC1396+BC1402))*100</f>
        <v>#DIV/0!</v>
      </c>
      <c r="BD1381" s="279" t="e">
        <f>((BD1387+BD1393)/(BD1396+BD1402))*100</f>
        <v>#DIV/0!</v>
      </c>
      <c r="BF1381" s="279" t="e">
        <f>((BF1387+BF1393)/(BF1396+BF1402))*100</f>
        <v>#DIV/0!</v>
      </c>
      <c r="BG1381" s="279" t="e">
        <f>((BG1387+BG1393)/(BG1396+BG1402))*100</f>
        <v>#DIV/0!</v>
      </c>
      <c r="BI1381" s="279" t="e">
        <f>((BI1387+BI1393)/(BI1396+BI1402))*100</f>
        <v>#DIV/0!</v>
      </c>
      <c r="BJ1381" s="279" t="e">
        <f>((BJ1387+BJ1393)/(BJ1396+BJ1402))*100</f>
        <v>#DIV/0!</v>
      </c>
      <c r="BL1381" s="279" t="e">
        <f>((BL1387+BL1393)/(BL1396+BL1402))*100</f>
        <v>#DIV/0!</v>
      </c>
      <c r="BM1381" s="279" t="e">
        <f>((BM1387+BM1393)/(BM1396+BM1402))*100</f>
        <v>#DIV/0!</v>
      </c>
      <c r="BO1381" s="279" t="e">
        <f>((BO1387+BO1393)/(BO1396+BO1402))*100</f>
        <v>#DIV/0!</v>
      </c>
      <c r="BP1381" s="279" t="e">
        <f>((BP1387+BP1393)/(BP1396+BP1402))*100</f>
        <v>#DIV/0!</v>
      </c>
      <c r="BR1381" s="279" t="e">
        <f>((BR1387+BR1393)/(BR1396+BR1402))*100</f>
        <v>#DIV/0!</v>
      </c>
      <c r="BS1381" s="279" t="e">
        <f>((BS1387+BS1393)/(BS1396+BS1402))*100</f>
        <v>#DIV/0!</v>
      </c>
      <c r="BU1381" s="279" t="e">
        <f>((BU1387+BU1393)/(BU1396+BU1402))*100</f>
        <v>#DIV/0!</v>
      </c>
      <c r="BV1381" s="279" t="e">
        <f>((BV1387+BV1393)/(BV1396+BV1402))*100</f>
        <v>#DIV/0!</v>
      </c>
      <c r="BX1381" s="279" t="e">
        <f>((BX1387+BX1393)/(BX1396+BX1402))*100</f>
        <v>#DIV/0!</v>
      </c>
      <c r="BY1381" s="279" t="e">
        <f>((BY1387+BY1393)/(BY1396+BY1402))*100</f>
        <v>#DIV/0!</v>
      </c>
      <c r="CA1381" s="279" t="e">
        <f>((CA1387+CA1393)/(CA1396+CA1402))*100</f>
        <v>#DIV/0!</v>
      </c>
      <c r="CB1381" s="279" t="e">
        <f>((CB1387+CB1393)/(CB1396+CB1402))*100</f>
        <v>#DIV/0!</v>
      </c>
      <c r="CD1381" s="279" t="e">
        <f>((CD1387+CD1393)/(CD1396+CD1402))*100</f>
        <v>#DIV/0!</v>
      </c>
      <c r="CE1381" s="279" t="e">
        <f>((CE1387+CE1393)/(CE1396+CE1402))*100</f>
        <v>#DIV/0!</v>
      </c>
      <c r="CG1381" s="279">
        <f>((CG1387+CG1393)/(CG1396+CG1402))*100</f>
        <v>100</v>
      </c>
      <c r="CH1381" s="279">
        <f>((CH1387+CH1393)/(CH1396+CH1402))*100</f>
        <v>100</v>
      </c>
      <c r="CJ1381" s="279" t="e">
        <f>((CJ1387+CJ1393)/(CJ1396+CJ1402))*100</f>
        <v>#DIV/0!</v>
      </c>
      <c r="CK1381" s="279" t="e">
        <f>((CK1387+CK1393)/(CK1396+CK1402))*100</f>
        <v>#DIV/0!</v>
      </c>
    </row>
    <row r="1382" spans="1:89" x14ac:dyDescent="0.25">
      <c r="A1382" s="95"/>
      <c r="B1382" s="96" t="s">
        <v>1184</v>
      </c>
      <c r="C1382" s="107"/>
      <c r="D1382" s="95" t="s">
        <v>8</v>
      </c>
      <c r="E1382" s="279">
        <f t="shared" ref="E1382:K1382" si="1726">((E1389+E1390)/(E1398+E1399))*100</f>
        <v>83.333333333333343</v>
      </c>
      <c r="F1382" s="279">
        <f t="shared" si="1726"/>
        <v>100</v>
      </c>
      <c r="G1382" s="279">
        <f t="shared" si="1726"/>
        <v>100</v>
      </c>
      <c r="H1382" s="279">
        <f t="shared" si="1726"/>
        <v>80</v>
      </c>
      <c r="I1382" s="279">
        <f t="shared" si="1726"/>
        <v>100</v>
      </c>
      <c r="J1382" s="279">
        <f t="shared" si="1726"/>
        <v>100</v>
      </c>
      <c r="K1382" s="279">
        <f t="shared" si="1726"/>
        <v>100</v>
      </c>
      <c r="L1382" s="279">
        <f t="shared" ref="L1382:M1382" si="1727">((L1389+L1390)/(L1398+L1399))*100</f>
        <v>100</v>
      </c>
      <c r="M1382" s="279">
        <f t="shared" si="1727"/>
        <v>100</v>
      </c>
      <c r="N1382" s="279">
        <f t="shared" ref="N1382" si="1728">((N1389+N1390)/(N1398+N1399))*100</f>
        <v>100</v>
      </c>
      <c r="Q1382" s="279">
        <f>((Q1389+Q1390)/(Q1398+Q1399))*100</f>
        <v>100</v>
      </c>
      <c r="R1382" s="279">
        <f>((R1389+R1390)/(R1398+R1399))*100</f>
        <v>100</v>
      </c>
      <c r="S1382" s="279" t="e">
        <f>((S1389+S1390)/(S1398+S1399))*100</f>
        <v>#DIV/0!</v>
      </c>
      <c r="T1382" s="279" t="e">
        <f>((T1389+T1390)/(T1398+T1399))*100</f>
        <v>#DIV/0!</v>
      </c>
      <c r="V1382" s="279" t="e">
        <f>((V1389+V1390)/(V1398+V1399))*100</f>
        <v>#DIV/0!</v>
      </c>
      <c r="W1382" s="279" t="e">
        <f>((W1389+W1390)/(W1398+W1399))*100</f>
        <v>#DIV/0!</v>
      </c>
      <c r="Y1382" s="279" t="e">
        <f>((Y1389+Y1390)/(Y1398+Y1399))*100</f>
        <v>#DIV/0!</v>
      </c>
      <c r="Z1382" s="279" t="e">
        <f>((Z1389+Z1390)/(Z1398+Z1399))*100</f>
        <v>#DIV/0!</v>
      </c>
      <c r="AB1382" s="279" t="e">
        <f>((AB1389+AB1390)/(AB1398+AB1399))*100</f>
        <v>#DIV/0!</v>
      </c>
      <c r="AC1382" s="279" t="e">
        <f>((AC1389+AC1390)/(AC1398+AC1399))*100</f>
        <v>#DIV/0!</v>
      </c>
      <c r="AE1382" s="279" t="e">
        <f>((AE1389+AE1390)/(AE1398+AE1399))*100</f>
        <v>#DIV/0!</v>
      </c>
      <c r="AF1382" s="279" t="e">
        <f>((AF1389+AF1390)/(AF1398+AF1399))*100</f>
        <v>#DIV/0!</v>
      </c>
      <c r="AH1382" s="279" t="e">
        <f>((AH1389+AH1390)/(AH1398+AH1399))*100</f>
        <v>#DIV/0!</v>
      </c>
      <c r="AI1382" s="279" t="e">
        <f>((AI1389+AI1390)/(AI1398+AI1399))*100</f>
        <v>#DIV/0!</v>
      </c>
      <c r="AK1382" s="279" t="e">
        <f>((AK1389+AK1390)/(AK1398+AK1399))*100</f>
        <v>#DIV/0!</v>
      </c>
      <c r="AL1382" s="279" t="e">
        <f>((AL1389+AL1390)/(AL1398+AL1399))*100</f>
        <v>#DIV/0!</v>
      </c>
      <c r="AN1382" s="279" t="e">
        <f>((AN1389+AN1390)/(AN1398+AN1399))*100</f>
        <v>#DIV/0!</v>
      </c>
      <c r="AO1382" s="279" t="e">
        <f>((AO1389+AO1390)/(AO1398+AO1399))*100</f>
        <v>#DIV/0!</v>
      </c>
      <c r="AQ1382" s="279" t="e">
        <f>((AQ1389+AQ1390)/(AQ1398+AQ1399))*100</f>
        <v>#DIV/0!</v>
      </c>
      <c r="AR1382" s="279" t="e">
        <f>((AR1389+AR1390)/(AR1398+AR1399))*100</f>
        <v>#DIV/0!</v>
      </c>
      <c r="AT1382" s="279" t="e">
        <f>((AT1389+AT1390)/(AT1398+AT1399))*100</f>
        <v>#DIV/0!</v>
      </c>
      <c r="AU1382" s="279" t="e">
        <f>((AU1389+AU1390)/(AU1398+AU1399))*100</f>
        <v>#DIV/0!</v>
      </c>
      <c r="AW1382" s="279" t="e">
        <f>((AW1389+AW1390)/(AW1398+AW1399))*100</f>
        <v>#DIV/0!</v>
      </c>
      <c r="AX1382" s="279" t="e">
        <f>((AX1389+AX1390)/(AX1398+AX1399))*100</f>
        <v>#DIV/0!</v>
      </c>
      <c r="AZ1382" s="279" t="e">
        <f>((AZ1389+AZ1390)/(AZ1398+AZ1399))*100</f>
        <v>#DIV/0!</v>
      </c>
      <c r="BA1382" s="279" t="e">
        <f>((BA1389+BA1390)/(BA1398+BA1399))*100</f>
        <v>#DIV/0!</v>
      </c>
      <c r="BC1382" s="279">
        <f>((BC1389+BC1390)/(BC1398+BC1399))*100</f>
        <v>100</v>
      </c>
      <c r="BD1382" s="279">
        <f>((BD1389+BD1390)/(BD1398+BD1399))*100</f>
        <v>100</v>
      </c>
      <c r="BF1382" s="279">
        <f>((BF1389+BF1390)/(BF1398+BF1399))*100</f>
        <v>100</v>
      </c>
      <c r="BG1382" s="279">
        <f>((BG1389+BG1390)/(BG1398+BG1399))*100</f>
        <v>100</v>
      </c>
      <c r="BI1382" s="279">
        <f>((BI1389+BI1390)/(BI1398+BI1399))*100</f>
        <v>100</v>
      </c>
      <c r="BJ1382" s="279">
        <f>((BJ1389+BJ1390)/(BJ1398+BJ1399))*100</f>
        <v>100</v>
      </c>
      <c r="BL1382" s="279" t="e">
        <f>((BL1389+BL1390)/(BL1398+BL1399))*100</f>
        <v>#DIV/0!</v>
      </c>
      <c r="BM1382" s="279" t="e">
        <f>((BM1389+BM1390)/(BM1398+BM1399))*100</f>
        <v>#DIV/0!</v>
      </c>
      <c r="BO1382" s="279" t="e">
        <f>((BO1389+BO1390)/(BO1398+BO1399))*100</f>
        <v>#DIV/0!</v>
      </c>
      <c r="BP1382" s="279" t="e">
        <f>((BP1389+BP1390)/(BP1398+BP1399))*100</f>
        <v>#DIV/0!</v>
      </c>
      <c r="BR1382" s="279" t="e">
        <f>((BR1389+BR1390)/(BR1398+BR1399))*100</f>
        <v>#DIV/0!</v>
      </c>
      <c r="BS1382" s="279" t="e">
        <f>((BS1389+BS1390)/(BS1398+BS1399))*100</f>
        <v>#DIV/0!</v>
      </c>
      <c r="BU1382" s="279" t="e">
        <f>((BU1389+BU1390)/(BU1398+BU1399))*100</f>
        <v>#DIV/0!</v>
      </c>
      <c r="BV1382" s="279" t="e">
        <f>((BV1389+BV1390)/(BV1398+BV1399))*100</f>
        <v>#DIV/0!</v>
      </c>
      <c r="BX1382" s="279" t="e">
        <f>((BX1389+BX1390)/(BX1398+BX1399))*100</f>
        <v>#DIV/0!</v>
      </c>
      <c r="BY1382" s="279" t="e">
        <f>((BY1389+BY1390)/(BY1398+BY1399))*100</f>
        <v>#DIV/0!</v>
      </c>
      <c r="CA1382" s="279" t="e">
        <f>((CA1389+CA1390)/(CA1398+CA1399))*100</f>
        <v>#DIV/0!</v>
      </c>
      <c r="CB1382" s="279" t="e">
        <f>((CB1389+CB1390)/(CB1398+CB1399))*100</f>
        <v>#DIV/0!</v>
      </c>
      <c r="CD1382" s="279">
        <f>((CD1389+CD1390)/(CD1398+CD1399))*100</f>
        <v>100</v>
      </c>
      <c r="CE1382" s="279">
        <f>((CE1389+CE1390)/(CE1398+CE1399))*100</f>
        <v>100</v>
      </c>
      <c r="CG1382" s="279" t="e">
        <f>((CG1389+CG1390)/(CG1398+CG1399))*100</f>
        <v>#DIV/0!</v>
      </c>
      <c r="CH1382" s="279" t="e">
        <f>((CH1389+CH1390)/(CH1398+CH1399))*100</f>
        <v>#DIV/0!</v>
      </c>
      <c r="CJ1382" s="279" t="e">
        <f>((CJ1389+CJ1390)/(CJ1398+CJ1399))*100</f>
        <v>#DIV/0!</v>
      </c>
      <c r="CK1382" s="279" t="e">
        <f>((CK1389+CK1390)/(CK1398+CK1399))*100</f>
        <v>#DIV/0!</v>
      </c>
    </row>
    <row r="1383" spans="1:89" x14ac:dyDescent="0.25">
      <c r="A1383" s="95"/>
      <c r="B1383" s="96" t="s">
        <v>1183</v>
      </c>
      <c r="C1383" s="107"/>
      <c r="D1383" s="95" t="s">
        <v>8</v>
      </c>
      <c r="E1383" s="279">
        <f t="shared" ref="E1383:G1384" si="1729">((E1389)/(E1398))*100</f>
        <v>83.333333333333343</v>
      </c>
      <c r="F1383" s="279">
        <f t="shared" si="1729"/>
        <v>100</v>
      </c>
      <c r="G1383" s="279">
        <f t="shared" si="1729"/>
        <v>100</v>
      </c>
      <c r="H1383" s="279">
        <f t="shared" ref="H1383:K1384" si="1730">((H1389)/(H1398))*100</f>
        <v>80</v>
      </c>
      <c r="I1383" s="279">
        <f t="shared" si="1730"/>
        <v>100</v>
      </c>
      <c r="J1383" s="279">
        <f t="shared" si="1730"/>
        <v>100</v>
      </c>
      <c r="K1383" s="279">
        <f t="shared" si="1730"/>
        <v>100</v>
      </c>
      <c r="L1383" s="279">
        <f t="shared" ref="L1383:M1384" si="1731">((L1389)/(L1398))*100</f>
        <v>100</v>
      </c>
      <c r="M1383" s="279">
        <f t="shared" si="1731"/>
        <v>100</v>
      </c>
      <c r="N1383" s="279">
        <f t="shared" ref="N1383" si="1732">((N1389)/(N1398))*100</f>
        <v>100</v>
      </c>
      <c r="Q1383" s="279">
        <f t="shared" ref="Q1383:S1384" si="1733">((Q1389)/(Q1398))*100</f>
        <v>100</v>
      </c>
      <c r="R1383" s="279">
        <f t="shared" si="1733"/>
        <v>100</v>
      </c>
      <c r="S1383" s="279" t="e">
        <f>((S1389)/(S1398))*100</f>
        <v>#DIV/0!</v>
      </c>
      <c r="T1383" s="279" t="e">
        <f>((T1389)/(T1398))*100</f>
        <v>#DIV/0!</v>
      </c>
      <c r="V1383" s="279" t="e">
        <f>((V1389)/(V1398))*100</f>
        <v>#DIV/0!</v>
      </c>
      <c r="W1383" s="279" t="e">
        <f>((W1389)/(W1398))*100</f>
        <v>#DIV/0!</v>
      </c>
      <c r="Y1383" s="279" t="e">
        <f>((Y1389)/(Y1398))*100</f>
        <v>#DIV/0!</v>
      </c>
      <c r="Z1383" s="279" t="e">
        <f>((Z1389)/(Z1398))*100</f>
        <v>#DIV/0!</v>
      </c>
      <c r="AB1383" s="279" t="e">
        <f>((AB1389)/(AB1398))*100</f>
        <v>#DIV/0!</v>
      </c>
      <c r="AC1383" s="279" t="e">
        <f>((AC1389)/(AC1398))*100</f>
        <v>#DIV/0!</v>
      </c>
      <c r="AE1383" s="279" t="e">
        <f>((AE1389)/(AE1398))*100</f>
        <v>#DIV/0!</v>
      </c>
      <c r="AF1383" s="279" t="e">
        <f>((AF1389)/(AF1398))*100</f>
        <v>#DIV/0!</v>
      </c>
      <c r="AH1383" s="279" t="e">
        <f>((AH1389)/(AH1398))*100</f>
        <v>#DIV/0!</v>
      </c>
      <c r="AI1383" s="279" t="e">
        <f>((AI1389)/(AI1398))*100</f>
        <v>#DIV/0!</v>
      </c>
      <c r="AK1383" s="279" t="e">
        <f>((AK1389)/(AK1398))*100</f>
        <v>#DIV/0!</v>
      </c>
      <c r="AL1383" s="279" t="e">
        <f>((AL1389)/(AL1398))*100</f>
        <v>#DIV/0!</v>
      </c>
      <c r="AN1383" s="279" t="e">
        <f>((AN1389)/(AN1398))*100</f>
        <v>#DIV/0!</v>
      </c>
      <c r="AO1383" s="279" t="e">
        <f>((AO1389)/(AO1398))*100</f>
        <v>#DIV/0!</v>
      </c>
      <c r="AQ1383" s="279" t="e">
        <f>((AQ1389)/(AQ1398))*100</f>
        <v>#DIV/0!</v>
      </c>
      <c r="AR1383" s="279" t="e">
        <f>((AR1389)/(AR1398))*100</f>
        <v>#DIV/0!</v>
      </c>
      <c r="AT1383" s="279" t="e">
        <f>((AT1389)/(AT1398))*100</f>
        <v>#DIV/0!</v>
      </c>
      <c r="AU1383" s="279" t="e">
        <f>((AU1389)/(AU1398))*100</f>
        <v>#DIV/0!</v>
      </c>
      <c r="AW1383" s="279" t="e">
        <f>((AW1389)/(AW1398))*100</f>
        <v>#DIV/0!</v>
      </c>
      <c r="AX1383" s="279" t="e">
        <f>((AX1389)/(AX1398))*100</f>
        <v>#DIV/0!</v>
      </c>
      <c r="AZ1383" s="279" t="e">
        <f>((AZ1389)/(AZ1398))*100</f>
        <v>#DIV/0!</v>
      </c>
      <c r="BA1383" s="279" t="e">
        <f>((BA1389)/(BA1398))*100</f>
        <v>#DIV/0!</v>
      </c>
      <c r="BC1383" s="279">
        <f>((BC1389)/(BC1398))*100</f>
        <v>100</v>
      </c>
      <c r="BD1383" s="279">
        <f>((BD1389)/(BD1398))*100</f>
        <v>100</v>
      </c>
      <c r="BF1383" s="279">
        <f>((BF1389)/(BF1398))*100</f>
        <v>100</v>
      </c>
      <c r="BG1383" s="279">
        <f>((BG1389)/(BG1398))*100</f>
        <v>100</v>
      </c>
      <c r="BI1383" s="279">
        <f>((BI1389)/(BI1398))*100</f>
        <v>100</v>
      </c>
      <c r="BJ1383" s="279">
        <f>((BJ1389)/(BJ1398))*100</f>
        <v>100</v>
      </c>
      <c r="BL1383" s="279" t="e">
        <f>((BL1389)/(BL1398))*100</f>
        <v>#DIV/0!</v>
      </c>
      <c r="BM1383" s="279" t="e">
        <f>((BM1389)/(BM1398))*100</f>
        <v>#DIV/0!</v>
      </c>
      <c r="BO1383" s="279" t="e">
        <f>((BO1389)/(BO1398))*100</f>
        <v>#DIV/0!</v>
      </c>
      <c r="BP1383" s="279" t="e">
        <f>((BP1389)/(BP1398))*100</f>
        <v>#DIV/0!</v>
      </c>
      <c r="BR1383" s="279" t="e">
        <f>((BR1389)/(BR1398))*100</f>
        <v>#DIV/0!</v>
      </c>
      <c r="BS1383" s="279" t="e">
        <f>((BS1389)/(BS1398))*100</f>
        <v>#DIV/0!</v>
      </c>
      <c r="BU1383" s="279" t="e">
        <f>((BU1389)/(BU1398))*100</f>
        <v>#DIV/0!</v>
      </c>
      <c r="BV1383" s="279" t="e">
        <f>((BV1389)/(BV1398))*100</f>
        <v>#DIV/0!</v>
      </c>
      <c r="BX1383" s="279" t="e">
        <f>((BX1389)/(BX1398))*100</f>
        <v>#DIV/0!</v>
      </c>
      <c r="BY1383" s="279" t="e">
        <f>((BY1389)/(BY1398))*100</f>
        <v>#DIV/0!</v>
      </c>
      <c r="CA1383" s="279" t="e">
        <f>((CA1389)/(CA1398))*100</f>
        <v>#DIV/0!</v>
      </c>
      <c r="CB1383" s="279" t="e">
        <f>((CB1389)/(CB1398))*100</f>
        <v>#DIV/0!</v>
      </c>
      <c r="CD1383" s="279">
        <f>((CD1389)/(CD1398))*100</f>
        <v>100</v>
      </c>
      <c r="CE1383" s="279">
        <f>((CE1389)/(CE1398))*100</f>
        <v>100</v>
      </c>
      <c r="CG1383" s="279" t="e">
        <f>((CG1389)/(CG1398))*100</f>
        <v>#DIV/0!</v>
      </c>
      <c r="CH1383" s="279" t="e">
        <f>((CH1389)/(CH1398))*100</f>
        <v>#DIV/0!</v>
      </c>
      <c r="CJ1383" s="279" t="e">
        <f>((CJ1389)/(CJ1398))*100</f>
        <v>#DIV/0!</v>
      </c>
      <c r="CK1383" s="279" t="e">
        <f>((CK1389)/(CK1398))*100</f>
        <v>#DIV/0!</v>
      </c>
    </row>
    <row r="1384" spans="1:89" x14ac:dyDescent="0.25">
      <c r="A1384" s="95"/>
      <c r="B1384" s="16" t="s">
        <v>1185</v>
      </c>
      <c r="C1384" s="107"/>
      <c r="D1384" s="95" t="s">
        <v>8</v>
      </c>
      <c r="E1384" s="279" t="e">
        <f t="shared" si="1729"/>
        <v>#DIV/0!</v>
      </c>
      <c r="F1384" s="279" t="e">
        <f t="shared" si="1729"/>
        <v>#DIV/0!</v>
      </c>
      <c r="G1384" s="279" t="e">
        <f t="shared" si="1729"/>
        <v>#DIV/0!</v>
      </c>
      <c r="H1384" s="279" t="e">
        <f t="shared" si="1730"/>
        <v>#DIV/0!</v>
      </c>
      <c r="I1384" s="279" t="e">
        <f t="shared" si="1730"/>
        <v>#DIV/0!</v>
      </c>
      <c r="J1384" s="279" t="e">
        <f t="shared" si="1730"/>
        <v>#DIV/0!</v>
      </c>
      <c r="K1384" s="279" t="e">
        <f t="shared" si="1730"/>
        <v>#DIV/0!</v>
      </c>
      <c r="L1384" s="279">
        <f t="shared" ref="L1384" si="1734">((L1390)/(L1399))*100</f>
        <v>100</v>
      </c>
      <c r="M1384" s="279">
        <f t="shared" si="1731"/>
        <v>100</v>
      </c>
      <c r="N1384" s="279">
        <f t="shared" ref="N1384" si="1735">((N1390)/(N1399))*100</f>
        <v>100</v>
      </c>
      <c r="Q1384" s="279" t="e">
        <f>((Q1390)/(Q1399))*100</f>
        <v>#DIV/0!</v>
      </c>
      <c r="R1384" s="279" t="e">
        <f t="shared" si="1733"/>
        <v>#DIV/0!</v>
      </c>
      <c r="S1384" s="279" t="e">
        <f t="shared" si="1733"/>
        <v>#DIV/0!</v>
      </c>
      <c r="T1384" s="279" t="e">
        <f>((T1390)/(T1399))*100</f>
        <v>#DIV/0!</v>
      </c>
      <c r="V1384" s="279" t="e">
        <f>((V1390)/(V1399))*100</f>
        <v>#DIV/0!</v>
      </c>
      <c r="W1384" s="279" t="e">
        <f>((W1390)/(W1399))*100</f>
        <v>#DIV/0!</v>
      </c>
      <c r="Y1384" s="279" t="e">
        <f>((Y1390)/(Y1399))*100</f>
        <v>#DIV/0!</v>
      </c>
      <c r="Z1384" s="279" t="e">
        <f>((Z1390)/(Z1399))*100</f>
        <v>#DIV/0!</v>
      </c>
      <c r="AB1384" s="279" t="e">
        <f>((AB1390)/(AB1399))*100</f>
        <v>#DIV/0!</v>
      </c>
      <c r="AC1384" s="279" t="e">
        <f>((AC1390)/(AC1399))*100</f>
        <v>#DIV/0!</v>
      </c>
      <c r="AE1384" s="279" t="e">
        <f>((AE1390)/(AE1399))*100</f>
        <v>#DIV/0!</v>
      </c>
      <c r="AF1384" s="279" t="e">
        <f>((AF1390)/(AF1399))*100</f>
        <v>#DIV/0!</v>
      </c>
      <c r="AH1384" s="279" t="e">
        <f>((AH1390)/(AH1399))*100</f>
        <v>#DIV/0!</v>
      </c>
      <c r="AI1384" s="279" t="e">
        <f>((AI1390)/(AI1399))*100</f>
        <v>#DIV/0!</v>
      </c>
      <c r="AK1384" s="279" t="e">
        <f>((AK1390)/(AK1399))*100</f>
        <v>#DIV/0!</v>
      </c>
      <c r="AL1384" s="279" t="e">
        <f>((AL1390)/(AL1399))*100</f>
        <v>#DIV/0!</v>
      </c>
      <c r="AN1384" s="279" t="e">
        <f>((AN1390)/(AN1399))*100</f>
        <v>#DIV/0!</v>
      </c>
      <c r="AO1384" s="279" t="e">
        <f>((AO1390)/(AO1399))*100</f>
        <v>#DIV/0!</v>
      </c>
      <c r="AQ1384" s="279" t="e">
        <f>((AQ1390)/(AQ1399))*100</f>
        <v>#DIV/0!</v>
      </c>
      <c r="AR1384" s="279" t="e">
        <f>((AR1390)/(AR1399))*100</f>
        <v>#DIV/0!</v>
      </c>
      <c r="AT1384" s="279" t="e">
        <f>((AT1390)/(AT1399))*100</f>
        <v>#DIV/0!</v>
      </c>
      <c r="AU1384" s="279" t="e">
        <f>((AU1390)/(AU1399))*100</f>
        <v>#DIV/0!</v>
      </c>
      <c r="AW1384" s="279" t="e">
        <f>((AW1390)/(AW1399))*100</f>
        <v>#DIV/0!</v>
      </c>
      <c r="AX1384" s="279" t="e">
        <f>((AX1390)/(AX1399))*100</f>
        <v>#DIV/0!</v>
      </c>
      <c r="AZ1384" s="279" t="e">
        <f>((AZ1390)/(AZ1399))*100</f>
        <v>#DIV/0!</v>
      </c>
      <c r="BA1384" s="279" t="e">
        <f>((BA1390)/(BA1399))*100</f>
        <v>#DIV/0!</v>
      </c>
      <c r="BC1384" s="279" t="e">
        <f>((BC1390)/(BC1399))*100</f>
        <v>#DIV/0!</v>
      </c>
      <c r="BD1384" s="279" t="e">
        <f>((BD1390)/(BD1399))*100</f>
        <v>#DIV/0!</v>
      </c>
      <c r="BF1384" s="279" t="e">
        <f>((BF1390)/(BF1399))*100</f>
        <v>#DIV/0!</v>
      </c>
      <c r="BG1384" s="279" t="e">
        <f>((BG1390)/(BG1399))*100</f>
        <v>#DIV/0!</v>
      </c>
      <c r="BI1384" s="279" t="e">
        <f>((BI1390)/(BI1399))*100</f>
        <v>#DIV/0!</v>
      </c>
      <c r="BJ1384" s="279" t="e">
        <f>((BJ1390)/(BJ1399))*100</f>
        <v>#DIV/0!</v>
      </c>
      <c r="BL1384" s="279" t="e">
        <f>((BL1390)/(BL1399))*100</f>
        <v>#DIV/0!</v>
      </c>
      <c r="BM1384" s="279" t="e">
        <f>((BM1390)/(BM1399))*100</f>
        <v>#DIV/0!</v>
      </c>
      <c r="BO1384" s="279" t="e">
        <f>((BO1390)/(BO1399))*100</f>
        <v>#DIV/0!</v>
      </c>
      <c r="BP1384" s="279" t="e">
        <f>((BP1390)/(BP1399))*100</f>
        <v>#DIV/0!</v>
      </c>
      <c r="BR1384" s="279" t="e">
        <f>((BR1390)/(BR1399))*100</f>
        <v>#DIV/0!</v>
      </c>
      <c r="BS1384" s="279" t="e">
        <f>((BS1390)/(BS1399))*100</f>
        <v>#DIV/0!</v>
      </c>
      <c r="BU1384" s="279" t="e">
        <f>((BU1390)/(BU1399))*100</f>
        <v>#DIV/0!</v>
      </c>
      <c r="BV1384" s="279" t="e">
        <f>((BV1390)/(BV1399))*100</f>
        <v>#DIV/0!</v>
      </c>
      <c r="BX1384" s="279" t="e">
        <f>((BX1390)/(BX1399))*100</f>
        <v>#DIV/0!</v>
      </c>
      <c r="BY1384" s="279" t="e">
        <f>((BY1390)/(BY1399))*100</f>
        <v>#DIV/0!</v>
      </c>
      <c r="CA1384" s="279" t="e">
        <f>((CA1390)/(CA1399))*100</f>
        <v>#DIV/0!</v>
      </c>
      <c r="CB1384" s="279" t="e">
        <f>((CB1390)/(CB1399))*100</f>
        <v>#DIV/0!</v>
      </c>
      <c r="CD1384" s="279" t="e">
        <f>((CD1390)/(CD1399))*100</f>
        <v>#DIV/0!</v>
      </c>
      <c r="CE1384" s="279" t="e">
        <f>((CE1390)/(CE1399))*100</f>
        <v>#DIV/0!</v>
      </c>
      <c r="CG1384" s="279" t="e">
        <f>((CG1390)/(CG1399))*100</f>
        <v>#DIV/0!</v>
      </c>
      <c r="CH1384" s="279" t="e">
        <f>((CH1390)/(CH1399))*100</f>
        <v>#DIV/0!</v>
      </c>
      <c r="CJ1384" s="279" t="e">
        <f>((CJ1390)/(CJ1399))*100</f>
        <v>#DIV/0!</v>
      </c>
      <c r="CK1384" s="279" t="e">
        <f>((CK1390)/(CK1399))*100</f>
        <v>#DIV/0!</v>
      </c>
    </row>
    <row r="1385" spans="1:89" ht="45" x14ac:dyDescent="0.25">
      <c r="A1385" s="95"/>
      <c r="B1385" s="311" t="s">
        <v>265</v>
      </c>
      <c r="C1385" s="95"/>
      <c r="D1385" s="95"/>
      <c r="E1385" s="291"/>
      <c r="F1385" s="291"/>
      <c r="G1385" s="291"/>
      <c r="H1385" s="291"/>
      <c r="I1385" s="291"/>
      <c r="J1385" s="291"/>
      <c r="K1385" s="291"/>
      <c r="L1385" s="291"/>
      <c r="M1385" s="291"/>
      <c r="N1385" s="291"/>
    </row>
    <row r="1386" spans="1:89" ht="30" x14ac:dyDescent="0.25">
      <c r="A1386" s="95"/>
      <c r="B1386" s="96" t="s">
        <v>1183</v>
      </c>
      <c r="C1386" s="263" t="s">
        <v>2864</v>
      </c>
      <c r="D1386" s="95" t="s">
        <v>1112</v>
      </c>
      <c r="E1386" s="291">
        <v>223</v>
      </c>
      <c r="F1386" s="291">
        <v>223</v>
      </c>
      <c r="G1386" s="291">
        <v>218</v>
      </c>
      <c r="H1386" s="291">
        <v>223</v>
      </c>
      <c r="I1386" s="291">
        <v>219</v>
      </c>
      <c r="J1386" s="291">
        <v>217</v>
      </c>
      <c r="K1386" s="291">
        <v>215</v>
      </c>
      <c r="L1386" s="291">
        <v>5</v>
      </c>
      <c r="M1386" s="291">
        <v>5</v>
      </c>
      <c r="N1386" s="291">
        <v>5</v>
      </c>
      <c r="O1386" s="283"/>
      <c r="Q1386" s="283">
        <f>S1386+V1386+Y1386+AB1386+AE1386+AH1386+AK1386+AN1386+AQ1386+AT1386+AW1386+AZ1386+BC1386+BF1386+BI1386+BL1386+BO1386+BR1386+BU1386+BX1386+CA1386+CD1386+CG1386+CJ1386</f>
        <v>215</v>
      </c>
      <c r="R1386" s="283">
        <f>T1386+W1386+Z1386+AC1386+AF1386+AI1386+AL1386+AO1386+AR1386+AU1386+AX1386+BA1386+BD1386+BG1386+BJ1386+BM1386+BP1386+BS1386+BV1386+BY1386+CB1386+CE1386+CH1386+CK1386</f>
        <v>216</v>
      </c>
      <c r="S1386" s="267">
        <v>3</v>
      </c>
      <c r="T1386" s="267">
        <v>4</v>
      </c>
      <c r="V1386" s="267">
        <v>4</v>
      </c>
      <c r="W1386" s="267">
        <v>4</v>
      </c>
      <c r="Y1386" s="267">
        <v>5</v>
      </c>
      <c r="Z1386" s="267">
        <v>5</v>
      </c>
      <c r="AB1386" s="267">
        <v>3</v>
      </c>
      <c r="AC1386" s="267">
        <v>3</v>
      </c>
      <c r="AE1386" s="267">
        <v>5</v>
      </c>
      <c r="AF1386" s="267">
        <v>5</v>
      </c>
      <c r="AH1386" s="267">
        <v>5</v>
      </c>
      <c r="AI1386" s="267">
        <v>5</v>
      </c>
      <c r="AK1386" s="267">
        <v>10</v>
      </c>
      <c r="AL1386" s="267">
        <v>10</v>
      </c>
      <c r="AN1386" s="267">
        <v>11</v>
      </c>
      <c r="AO1386" s="267">
        <v>11</v>
      </c>
      <c r="AQ1386" s="267">
        <v>0</v>
      </c>
      <c r="AR1386" s="267">
        <v>0</v>
      </c>
      <c r="AT1386" s="267">
        <v>9</v>
      </c>
      <c r="AU1386" s="267">
        <v>9</v>
      </c>
      <c r="AW1386" s="267">
        <v>6</v>
      </c>
      <c r="AX1386" s="267">
        <v>6</v>
      </c>
      <c r="AZ1386" s="267">
        <v>7</v>
      </c>
      <c r="BA1386" s="267">
        <v>7</v>
      </c>
      <c r="BC1386" s="267">
        <v>15</v>
      </c>
      <c r="BD1386" s="267">
        <v>15</v>
      </c>
      <c r="BF1386" s="267">
        <v>33</v>
      </c>
      <c r="BG1386" s="267">
        <v>33</v>
      </c>
      <c r="BI1386" s="267">
        <v>36</v>
      </c>
      <c r="BJ1386" s="267">
        <v>36</v>
      </c>
      <c r="BL1386" s="267">
        <v>6</v>
      </c>
      <c r="BM1386" s="267">
        <v>6</v>
      </c>
      <c r="BO1386" s="267">
        <v>6</v>
      </c>
      <c r="BP1386" s="267">
        <v>6</v>
      </c>
      <c r="BR1386" s="267">
        <v>8</v>
      </c>
      <c r="BS1386" s="267">
        <v>7</v>
      </c>
      <c r="BU1386" s="267">
        <v>7</v>
      </c>
      <c r="BV1386" s="267">
        <v>7</v>
      </c>
      <c r="BX1386" s="267">
        <v>3</v>
      </c>
      <c r="BY1386" s="267">
        <v>3</v>
      </c>
      <c r="CA1386" s="267">
        <v>6</v>
      </c>
      <c r="CB1386" s="267">
        <v>7</v>
      </c>
      <c r="CD1386" s="267">
        <v>5</v>
      </c>
      <c r="CE1386" s="267">
        <v>5</v>
      </c>
      <c r="CG1386" s="267">
        <v>19</v>
      </c>
      <c r="CH1386" s="267">
        <v>19</v>
      </c>
      <c r="CJ1386" s="267">
        <v>3</v>
      </c>
      <c r="CK1386" s="267">
        <v>3</v>
      </c>
    </row>
    <row r="1387" spans="1:89" ht="30" x14ac:dyDescent="0.25">
      <c r="A1387" s="95"/>
      <c r="B1387" s="16" t="s">
        <v>1185</v>
      </c>
      <c r="C1387" s="263" t="s">
        <v>2864</v>
      </c>
      <c r="D1387" s="95" t="s">
        <v>1112</v>
      </c>
      <c r="E1387" s="291">
        <v>113</v>
      </c>
      <c r="F1387" s="291">
        <v>111</v>
      </c>
      <c r="G1387" s="291">
        <v>108</v>
      </c>
      <c r="H1387" s="291">
        <v>106</v>
      </c>
      <c r="I1387" s="291">
        <v>106</v>
      </c>
      <c r="J1387" s="291">
        <v>104</v>
      </c>
      <c r="K1387" s="291">
        <v>103</v>
      </c>
      <c r="L1387" s="291">
        <v>13</v>
      </c>
      <c r="M1387" s="291">
        <v>13</v>
      </c>
      <c r="N1387" s="291">
        <v>13</v>
      </c>
      <c r="O1387" s="283"/>
      <c r="Q1387" s="283">
        <f>S1387+V1387+Y1387+AB1387+AE1387+AH1387+AK1387+AN1387+AQ1387+AT1387+AW1387+AZ1387+BC1387+BF1387+BI1387+BL1387+BO1387+BR1387+BU1387+BX1387+CA1387+CD1387+CG1387+CJ1387</f>
        <v>103</v>
      </c>
      <c r="R1387" s="283">
        <f>T1387+W1387+Z1387+AC1387+AF1387+AI1387+AL1387+AO1387+AR1387+AU1387+AX1387+BA1387+BD1387+BG1387+BJ1387+BM1387+BP1387+BS1387+BV1387+BY1387+CB1387+CE1387+CH1387+CK1387</f>
        <v>103</v>
      </c>
      <c r="S1387" s="267">
        <v>7</v>
      </c>
      <c r="T1387" s="267">
        <v>7</v>
      </c>
      <c r="V1387" s="267">
        <v>12</v>
      </c>
      <c r="W1387" s="267">
        <v>12</v>
      </c>
      <c r="Y1387" s="267">
        <v>10</v>
      </c>
      <c r="Z1387" s="267">
        <v>10</v>
      </c>
      <c r="AB1387" s="267">
        <v>10</v>
      </c>
      <c r="AC1387" s="267">
        <v>10</v>
      </c>
      <c r="AE1387" s="267">
        <v>11</v>
      </c>
      <c r="AF1387" s="267">
        <v>10</v>
      </c>
      <c r="AH1387" s="267">
        <v>13</v>
      </c>
      <c r="AI1387" s="267">
        <v>13</v>
      </c>
      <c r="AK1387" s="267">
        <v>1</v>
      </c>
      <c r="AL1387" s="267">
        <v>1</v>
      </c>
      <c r="AN1387" s="267">
        <v>12</v>
      </c>
      <c r="AO1387" s="267">
        <v>12</v>
      </c>
      <c r="AQ1387" s="267">
        <v>23</v>
      </c>
      <c r="AR1387" s="267">
        <v>24</v>
      </c>
      <c r="AT1387" s="267">
        <v>0</v>
      </c>
      <c r="AU1387" s="267">
        <v>0</v>
      </c>
      <c r="AW1387" s="267">
        <v>0</v>
      </c>
      <c r="AX1387" s="267">
        <v>0</v>
      </c>
      <c r="AZ1387" s="267">
        <v>0</v>
      </c>
      <c r="BA1387" s="267">
        <v>0</v>
      </c>
      <c r="BC1387" s="267">
        <v>0</v>
      </c>
      <c r="BD1387" s="267">
        <v>0</v>
      </c>
      <c r="BF1387" s="267">
        <v>0</v>
      </c>
      <c r="BG1387" s="267">
        <v>0</v>
      </c>
      <c r="BI1387" s="267">
        <v>0</v>
      </c>
      <c r="BJ1387" s="267">
        <v>0</v>
      </c>
      <c r="BL1387" s="267">
        <v>0</v>
      </c>
      <c r="BM1387" s="267">
        <v>0</v>
      </c>
      <c r="BO1387" s="267">
        <v>0</v>
      </c>
      <c r="BP1387" s="267">
        <v>0</v>
      </c>
      <c r="BR1387" s="267">
        <v>0</v>
      </c>
      <c r="BS1387" s="267">
        <v>0</v>
      </c>
      <c r="BU1387" s="267">
        <v>0</v>
      </c>
      <c r="BV1387" s="267">
        <v>0</v>
      </c>
      <c r="BX1387" s="267">
        <v>0</v>
      </c>
      <c r="BY1387" s="267">
        <v>0</v>
      </c>
      <c r="CA1387" s="267">
        <v>0</v>
      </c>
      <c r="CB1387" s="267">
        <v>0</v>
      </c>
      <c r="CD1387" s="267">
        <v>0</v>
      </c>
      <c r="CE1387" s="267">
        <v>0</v>
      </c>
      <c r="CG1387" s="267">
        <v>4</v>
      </c>
      <c r="CH1387" s="267">
        <v>4</v>
      </c>
      <c r="CJ1387" s="267">
        <v>0</v>
      </c>
      <c r="CK1387" s="267">
        <v>0</v>
      </c>
    </row>
    <row r="1388" spans="1:89" ht="45" x14ac:dyDescent="0.25">
      <c r="A1388" s="95"/>
      <c r="B1388" s="311" t="s">
        <v>265</v>
      </c>
      <c r="C1388" s="95"/>
      <c r="D1388" s="95"/>
      <c r="E1388" s="291"/>
      <c r="F1388" s="291"/>
      <c r="G1388" s="291"/>
      <c r="H1388" s="291"/>
      <c r="I1388" s="291"/>
      <c r="J1388" s="291"/>
      <c r="K1388" s="291"/>
      <c r="L1388" s="291"/>
      <c r="M1388" s="291"/>
      <c r="N1388" s="291"/>
      <c r="Q1388" s="283"/>
      <c r="R1388" s="283"/>
    </row>
    <row r="1389" spans="1:89" ht="30" x14ac:dyDescent="0.25">
      <c r="A1389" s="95"/>
      <c r="B1389" s="96" t="s">
        <v>1183</v>
      </c>
      <c r="C1389" s="263" t="s">
        <v>2864</v>
      </c>
      <c r="D1389" s="95" t="s">
        <v>1112</v>
      </c>
      <c r="E1389" s="291">
        <v>5</v>
      </c>
      <c r="F1389" s="291">
        <v>5</v>
      </c>
      <c r="G1389" s="291">
        <v>5</v>
      </c>
      <c r="H1389" s="291">
        <v>4</v>
      </c>
      <c r="I1389" s="291">
        <v>4</v>
      </c>
      <c r="J1389" s="291">
        <v>4</v>
      </c>
      <c r="K1389" s="291">
        <v>4</v>
      </c>
      <c r="L1389" s="291">
        <v>5</v>
      </c>
      <c r="M1389" s="291">
        <v>5</v>
      </c>
      <c r="N1389" s="291">
        <v>5</v>
      </c>
      <c r="Q1389" s="283">
        <f>S1389+V1389+Y1389+AB1389+AE1389+AH1389+AK1389+AN1389+AQ1389+AT1389+AW1389+AZ1389+BC1389+BF1389+BI1389+BL1389+BO1389+BR1389+BU1389+BX1389+CA1389+CD1389+CG1389+CJ1389</f>
        <v>4</v>
      </c>
      <c r="R1389" s="283">
        <f>T1389+W1389+Z1389+AC1389+AF1389+AI1389+AL1389+AO1389+AR1389+AU1389+AX1389+BA1389+BD1389+BG1389+BJ1389+BM1389+BP1389+BS1389+BV1389+BY1389+CB1389+CE1389+CH1389+CK1389</f>
        <v>4</v>
      </c>
      <c r="S1389" s="267">
        <v>0</v>
      </c>
      <c r="T1389" s="267">
        <v>0</v>
      </c>
      <c r="V1389" s="267">
        <v>0</v>
      </c>
      <c r="W1389" s="267">
        <v>0</v>
      </c>
      <c r="Y1389" s="267">
        <v>0</v>
      </c>
      <c r="Z1389" s="267">
        <v>0</v>
      </c>
      <c r="AB1389" s="267">
        <v>0</v>
      </c>
      <c r="AC1389" s="267">
        <v>0</v>
      </c>
      <c r="AE1389" s="267">
        <v>0</v>
      </c>
      <c r="AF1389" s="267">
        <v>0</v>
      </c>
      <c r="AH1389" s="267">
        <v>0</v>
      </c>
      <c r="AI1389" s="267">
        <v>0</v>
      </c>
      <c r="AK1389" s="267">
        <v>0</v>
      </c>
      <c r="AL1389" s="267">
        <v>0</v>
      </c>
      <c r="AN1389" s="267">
        <v>0</v>
      </c>
      <c r="AO1389" s="267">
        <v>0</v>
      </c>
      <c r="AQ1389" s="267">
        <v>0</v>
      </c>
      <c r="AR1389" s="267">
        <v>0</v>
      </c>
      <c r="AT1389" s="267">
        <v>0</v>
      </c>
      <c r="AU1389" s="267">
        <v>0</v>
      </c>
      <c r="AW1389" s="267">
        <v>0</v>
      </c>
      <c r="AX1389" s="267">
        <v>0</v>
      </c>
      <c r="AZ1389" s="267">
        <v>0</v>
      </c>
      <c r="BA1389" s="267">
        <v>0</v>
      </c>
      <c r="BC1389" s="267">
        <v>1</v>
      </c>
      <c r="BD1389" s="267">
        <v>1</v>
      </c>
      <c r="BF1389" s="267">
        <v>1</v>
      </c>
      <c r="BG1389" s="267">
        <v>1</v>
      </c>
      <c r="BI1389" s="267">
        <v>1</v>
      </c>
      <c r="BJ1389" s="267">
        <v>1</v>
      </c>
      <c r="BL1389" s="267">
        <v>0</v>
      </c>
      <c r="BM1389" s="267">
        <v>0</v>
      </c>
      <c r="BO1389" s="267">
        <v>0</v>
      </c>
      <c r="BP1389" s="267">
        <v>0</v>
      </c>
      <c r="BR1389" s="267">
        <v>0</v>
      </c>
      <c r="BS1389" s="267">
        <v>0</v>
      </c>
      <c r="BU1389" s="267">
        <v>0</v>
      </c>
      <c r="BV1389" s="267">
        <v>0</v>
      </c>
      <c r="BX1389" s="267">
        <v>0</v>
      </c>
      <c r="BY1389" s="267">
        <v>0</v>
      </c>
      <c r="CA1389" s="267">
        <v>0</v>
      </c>
      <c r="CB1389" s="267">
        <v>0</v>
      </c>
      <c r="CD1389" s="267">
        <v>1</v>
      </c>
      <c r="CE1389" s="267">
        <v>1</v>
      </c>
      <c r="CG1389" s="267">
        <v>0</v>
      </c>
      <c r="CH1389" s="267">
        <v>0</v>
      </c>
      <c r="CJ1389" s="267">
        <v>0</v>
      </c>
      <c r="CK1389" s="267">
        <v>0</v>
      </c>
    </row>
    <row r="1390" spans="1:89" ht="30" x14ac:dyDescent="0.25">
      <c r="A1390" s="95"/>
      <c r="B1390" s="16" t="s">
        <v>1185</v>
      </c>
      <c r="C1390" s="263" t="s">
        <v>2864</v>
      </c>
      <c r="D1390" s="95" t="s">
        <v>1112</v>
      </c>
      <c r="E1390" s="291">
        <v>0</v>
      </c>
      <c r="F1390" s="291">
        <v>0</v>
      </c>
      <c r="G1390" s="291">
        <v>0</v>
      </c>
      <c r="H1390" s="291">
        <v>0</v>
      </c>
      <c r="I1390" s="291">
        <v>0</v>
      </c>
      <c r="J1390" s="291">
        <v>0</v>
      </c>
      <c r="K1390" s="291">
        <v>0</v>
      </c>
      <c r="L1390" s="291">
        <v>13</v>
      </c>
      <c r="M1390" s="291">
        <v>13</v>
      </c>
      <c r="N1390" s="291">
        <v>13</v>
      </c>
      <c r="Q1390" s="283">
        <f>S1390+V1390+Y1390+AB1390+AE1390+AH1390+AK1390+AN1390+AQ1390+AT1390+AW1390+AZ1390+BC1390+BF1390+BI1390+BL1390+BO1390+BR1390+BU1390+BX1390+CA1390+CD1390+CG1390+CJ1390</f>
        <v>0</v>
      </c>
      <c r="R1390" s="283">
        <f>T1390+W1390+Z1390+AC1390+AF1390+AI1390+AL1390+AO1390+AR1390+AU1390+AX1390+BA1390+BD1390+BG1390+BJ1390+BM1390+BP1390+BS1390+BV1390+BY1390+CB1390+CE1390+CH1390+CK1390</f>
        <v>0</v>
      </c>
      <c r="S1390" s="267">
        <v>0</v>
      </c>
      <c r="T1390" s="267">
        <v>0</v>
      </c>
      <c r="V1390" s="267">
        <v>0</v>
      </c>
      <c r="W1390" s="267">
        <v>0</v>
      </c>
      <c r="Y1390" s="267">
        <v>0</v>
      </c>
      <c r="Z1390" s="267">
        <v>0</v>
      </c>
      <c r="AB1390" s="267">
        <v>0</v>
      </c>
      <c r="AC1390" s="267">
        <v>0</v>
      </c>
      <c r="AE1390" s="267">
        <v>0</v>
      </c>
      <c r="AF1390" s="267">
        <v>0</v>
      </c>
      <c r="AH1390" s="267">
        <v>0</v>
      </c>
      <c r="AI1390" s="267">
        <v>0</v>
      </c>
      <c r="AK1390" s="267">
        <v>0</v>
      </c>
      <c r="AL1390" s="267">
        <v>0</v>
      </c>
      <c r="AN1390" s="267">
        <v>0</v>
      </c>
      <c r="AO1390" s="267">
        <v>0</v>
      </c>
      <c r="AQ1390" s="267">
        <v>0</v>
      </c>
      <c r="AR1390" s="267">
        <v>0</v>
      </c>
      <c r="AT1390" s="267">
        <v>0</v>
      </c>
      <c r="AU1390" s="267">
        <v>0</v>
      </c>
      <c r="AW1390" s="267">
        <v>0</v>
      </c>
      <c r="AX1390" s="267">
        <v>0</v>
      </c>
      <c r="AZ1390" s="267">
        <v>0</v>
      </c>
      <c r="BA1390" s="267">
        <v>0</v>
      </c>
      <c r="BC1390" s="267">
        <v>0</v>
      </c>
      <c r="BD1390" s="267">
        <v>0</v>
      </c>
      <c r="BF1390" s="267">
        <v>0</v>
      </c>
      <c r="BG1390" s="267">
        <v>0</v>
      </c>
      <c r="BI1390" s="267">
        <v>0</v>
      </c>
      <c r="BJ1390" s="267">
        <v>0</v>
      </c>
      <c r="BL1390" s="267">
        <v>0</v>
      </c>
      <c r="BM1390" s="267">
        <v>0</v>
      </c>
      <c r="BO1390" s="267">
        <v>0</v>
      </c>
      <c r="BP1390" s="267">
        <v>0</v>
      </c>
      <c r="BR1390" s="267">
        <v>0</v>
      </c>
      <c r="BS1390" s="267">
        <v>0</v>
      </c>
      <c r="BU1390" s="267">
        <v>0</v>
      </c>
      <c r="BV1390" s="267">
        <v>0</v>
      </c>
      <c r="BX1390" s="267">
        <v>0</v>
      </c>
      <c r="BY1390" s="267">
        <v>0</v>
      </c>
      <c r="CA1390" s="267">
        <v>0</v>
      </c>
      <c r="CB1390" s="267">
        <v>0</v>
      </c>
      <c r="CD1390" s="267">
        <v>0</v>
      </c>
      <c r="CE1390" s="267">
        <v>0</v>
      </c>
      <c r="CG1390" s="267">
        <v>0</v>
      </c>
      <c r="CH1390" s="267">
        <v>0</v>
      </c>
      <c r="CJ1390" s="267">
        <v>0</v>
      </c>
      <c r="CK1390" s="267">
        <v>0</v>
      </c>
    </row>
    <row r="1391" spans="1:89" ht="30" x14ac:dyDescent="0.25">
      <c r="A1391" s="107"/>
      <c r="B1391" s="16" t="s">
        <v>266</v>
      </c>
      <c r="C1391" s="95"/>
      <c r="D1391" s="95"/>
      <c r="E1391" s="291"/>
      <c r="F1391" s="291"/>
      <c r="G1391" s="291"/>
      <c r="H1391" s="291"/>
      <c r="I1391" s="291"/>
      <c r="J1391" s="291"/>
      <c r="K1391" s="291"/>
      <c r="L1391" s="291"/>
      <c r="M1391" s="291"/>
      <c r="N1391" s="291"/>
      <c r="Q1391" s="283"/>
      <c r="R1391" s="283"/>
    </row>
    <row r="1392" spans="1:89" ht="30" x14ac:dyDescent="0.25">
      <c r="A1392" s="321"/>
      <c r="B1392" s="96" t="s">
        <v>1183</v>
      </c>
      <c r="C1392" s="263" t="s">
        <v>2864</v>
      </c>
      <c r="D1392" s="95" t="s">
        <v>1112</v>
      </c>
      <c r="E1392" s="291">
        <v>7</v>
      </c>
      <c r="F1392" s="291">
        <v>5</v>
      </c>
      <c r="G1392" s="291">
        <v>4</v>
      </c>
      <c r="H1392" s="291">
        <v>4</v>
      </c>
      <c r="I1392" s="291">
        <v>4</v>
      </c>
      <c r="J1392" s="291">
        <v>4</v>
      </c>
      <c r="K1392" s="291">
        <v>2</v>
      </c>
      <c r="L1392" s="291">
        <v>0</v>
      </c>
      <c r="M1392" s="291">
        <v>0</v>
      </c>
      <c r="N1392" s="291">
        <v>0</v>
      </c>
      <c r="Q1392" s="283">
        <f>S1392+V1392+Y1392+AB1392+AE1392+AH1392+AK1392+AN1392+AQ1392+AT1392+AW1392+AZ1392+BC1392+BF1392+BI1392+BL1392+BO1392+BR1392+BU1392+BX1392+CA1392+CD1392+CG1392+CJ1392</f>
        <v>2</v>
      </c>
      <c r="R1392" s="283">
        <f>T1392+W1392+Z1392+AC1392+AF1392+AI1392+AL1392+AO1392+AR1392+AU1392+AX1392+BA1392+BD1392+BG1392+BJ1392+BM1392+BP1392+BS1392+BV1392+BY1392+CB1392+CE1392+CH1392+CK1392</f>
        <v>2</v>
      </c>
      <c r="S1392" s="267">
        <v>0</v>
      </c>
      <c r="T1392" s="267">
        <v>0</v>
      </c>
      <c r="V1392" s="267">
        <v>0</v>
      </c>
      <c r="W1392" s="267">
        <v>0</v>
      </c>
      <c r="Y1392" s="267">
        <v>0</v>
      </c>
      <c r="Z1392" s="267">
        <v>0</v>
      </c>
      <c r="AB1392" s="267">
        <v>0</v>
      </c>
      <c r="AC1392" s="267">
        <v>0</v>
      </c>
      <c r="AE1392" s="267">
        <v>1</v>
      </c>
      <c r="AF1392" s="267">
        <v>1</v>
      </c>
      <c r="AH1392" s="267">
        <v>0</v>
      </c>
      <c r="AI1392" s="267">
        <v>0</v>
      </c>
      <c r="AK1392" s="267">
        <v>0</v>
      </c>
      <c r="AL1392" s="267">
        <v>0</v>
      </c>
      <c r="AN1392" s="267">
        <v>0</v>
      </c>
      <c r="AO1392" s="267">
        <v>0</v>
      </c>
      <c r="AQ1392" s="267">
        <v>0</v>
      </c>
      <c r="AR1392" s="267">
        <v>0</v>
      </c>
      <c r="AT1392" s="267">
        <v>0</v>
      </c>
      <c r="AU1392" s="267">
        <v>0</v>
      </c>
      <c r="AW1392" s="267">
        <v>0</v>
      </c>
      <c r="AX1392" s="267">
        <v>0</v>
      </c>
      <c r="AZ1392" s="267">
        <v>0</v>
      </c>
      <c r="BA1392" s="267">
        <v>0</v>
      </c>
      <c r="BC1392" s="267">
        <v>0</v>
      </c>
      <c r="BD1392" s="267">
        <v>0</v>
      </c>
      <c r="BF1392" s="267">
        <v>0</v>
      </c>
      <c r="BG1392" s="267">
        <v>0</v>
      </c>
      <c r="BI1392" s="267">
        <v>1</v>
      </c>
      <c r="BJ1392" s="267">
        <v>1</v>
      </c>
      <c r="BL1392" s="267">
        <v>0</v>
      </c>
      <c r="BM1392" s="267">
        <v>0</v>
      </c>
      <c r="BO1392" s="267">
        <v>0</v>
      </c>
      <c r="BP1392" s="267">
        <v>0</v>
      </c>
      <c r="BR1392" s="267">
        <v>0</v>
      </c>
      <c r="BS1392" s="267">
        <v>0</v>
      </c>
      <c r="BU1392" s="267">
        <v>0</v>
      </c>
      <c r="BV1392" s="267">
        <v>0</v>
      </c>
      <c r="BX1392" s="267">
        <v>0</v>
      </c>
      <c r="BY1392" s="267">
        <v>0</v>
      </c>
      <c r="CA1392" s="267">
        <v>0</v>
      </c>
      <c r="CB1392" s="267">
        <v>0</v>
      </c>
      <c r="CD1392" s="267">
        <v>0</v>
      </c>
      <c r="CE1392" s="267">
        <v>0</v>
      </c>
      <c r="CG1392" s="267">
        <v>0</v>
      </c>
      <c r="CH1392" s="267">
        <v>0</v>
      </c>
      <c r="CJ1392" s="267">
        <v>0</v>
      </c>
      <c r="CK1392" s="267">
        <v>0</v>
      </c>
    </row>
    <row r="1393" spans="1:89" ht="30" x14ac:dyDescent="0.25">
      <c r="A1393" s="321"/>
      <c r="B1393" s="16" t="s">
        <v>1185</v>
      </c>
      <c r="C1393" s="263" t="s">
        <v>2864</v>
      </c>
      <c r="D1393" s="95" t="s">
        <v>1112</v>
      </c>
      <c r="E1393" s="291">
        <v>0</v>
      </c>
      <c r="F1393" s="291">
        <v>0</v>
      </c>
      <c r="G1393" s="291">
        <v>0</v>
      </c>
      <c r="H1393" s="291">
        <v>0</v>
      </c>
      <c r="I1393" s="291">
        <v>0</v>
      </c>
      <c r="J1393" s="291">
        <v>0</v>
      </c>
      <c r="K1393" s="291">
        <v>0</v>
      </c>
      <c r="L1393" s="291">
        <v>0</v>
      </c>
      <c r="M1393" s="291">
        <v>0</v>
      </c>
      <c r="N1393" s="291">
        <v>0</v>
      </c>
      <c r="Q1393" s="283">
        <f>S1393+V1393+Y1393+AB1393+AE1393+AH1393+AK1393+AN1393+AQ1393+AT1393+AW1393+AZ1393+BC1393+BF1393+BI1393+BL1393+BO1393+BR1393+BU1393+BX1393+CA1393+CD1393+CG1393+CJ1393</f>
        <v>0</v>
      </c>
      <c r="R1393" s="283">
        <f>T1393+W1393+Z1393+AC1393+AF1393+AI1393+AL1393+AO1393+AR1393+AU1393+AX1393+BA1393+BD1393+BG1393+BJ1393+BM1393+BP1393+BS1393+BV1393+BY1393+CB1393+CE1393+CH1393+CK1393</f>
        <v>0</v>
      </c>
      <c r="S1393" s="267">
        <v>0</v>
      </c>
      <c r="T1393" s="267">
        <v>0</v>
      </c>
      <c r="V1393" s="267">
        <v>0</v>
      </c>
      <c r="W1393" s="267">
        <v>0</v>
      </c>
      <c r="Y1393" s="267">
        <v>0</v>
      </c>
      <c r="Z1393" s="267">
        <v>0</v>
      </c>
      <c r="AB1393" s="267">
        <v>0</v>
      </c>
      <c r="AC1393" s="267">
        <v>0</v>
      </c>
      <c r="AE1393" s="267">
        <v>0</v>
      </c>
      <c r="AF1393" s="267">
        <v>0</v>
      </c>
      <c r="AH1393" s="267">
        <v>0</v>
      </c>
      <c r="AI1393" s="267">
        <v>0</v>
      </c>
      <c r="AK1393" s="267">
        <v>0</v>
      </c>
      <c r="AL1393" s="267">
        <v>0</v>
      </c>
      <c r="AN1393" s="267">
        <v>0</v>
      </c>
      <c r="AO1393" s="267">
        <v>0</v>
      </c>
      <c r="AQ1393" s="267">
        <v>0</v>
      </c>
      <c r="AR1393" s="267">
        <v>0</v>
      </c>
      <c r="AT1393" s="267">
        <v>0</v>
      </c>
      <c r="AU1393" s="267">
        <v>0</v>
      </c>
      <c r="AW1393" s="267">
        <v>0</v>
      </c>
      <c r="AX1393" s="267">
        <v>0</v>
      </c>
      <c r="AZ1393" s="267">
        <v>0</v>
      </c>
      <c r="BA1393" s="267">
        <v>0</v>
      </c>
      <c r="BC1393" s="267">
        <v>0</v>
      </c>
      <c r="BD1393" s="267">
        <v>0</v>
      </c>
      <c r="BF1393" s="267">
        <v>0</v>
      </c>
      <c r="BG1393" s="267">
        <v>0</v>
      </c>
      <c r="BI1393" s="267">
        <v>0</v>
      </c>
      <c r="BJ1393" s="267">
        <v>0</v>
      </c>
      <c r="BL1393" s="267">
        <v>0</v>
      </c>
      <c r="BM1393" s="267">
        <v>0</v>
      </c>
      <c r="BO1393" s="267">
        <v>0</v>
      </c>
      <c r="BP1393" s="267">
        <v>0</v>
      </c>
      <c r="BR1393" s="267">
        <v>0</v>
      </c>
      <c r="BS1393" s="267">
        <v>0</v>
      </c>
      <c r="BU1393" s="267">
        <v>0</v>
      </c>
      <c r="BV1393" s="267">
        <v>0</v>
      </c>
      <c r="BX1393" s="267">
        <v>0</v>
      </c>
      <c r="BY1393" s="267">
        <v>0</v>
      </c>
      <c r="CA1393" s="267">
        <v>0</v>
      </c>
      <c r="CB1393" s="267">
        <v>0</v>
      </c>
      <c r="CD1393" s="267">
        <v>0</v>
      </c>
      <c r="CE1393" s="267">
        <v>0</v>
      </c>
      <c r="CG1393" s="267">
        <v>0</v>
      </c>
      <c r="CH1393" s="267">
        <v>0</v>
      </c>
      <c r="CJ1393" s="267">
        <v>0</v>
      </c>
      <c r="CK1393" s="267">
        <v>0</v>
      </c>
    </row>
    <row r="1394" spans="1:89" ht="60" x14ac:dyDescent="0.25">
      <c r="A1394" s="321"/>
      <c r="B1394" s="311" t="s">
        <v>267</v>
      </c>
      <c r="C1394" s="95"/>
      <c r="D1394" s="95"/>
      <c r="E1394" s="291"/>
      <c r="F1394" s="291"/>
      <c r="G1394" s="291"/>
      <c r="H1394" s="291"/>
      <c r="I1394" s="291"/>
      <c r="J1394" s="291"/>
      <c r="K1394" s="291"/>
      <c r="L1394" s="291"/>
      <c r="M1394" s="291"/>
      <c r="N1394" s="291"/>
      <c r="O1394" s="281"/>
      <c r="Q1394" s="283"/>
      <c r="R1394" s="283"/>
    </row>
    <row r="1395" spans="1:89" ht="30" x14ac:dyDescent="0.25">
      <c r="A1395" s="321"/>
      <c r="B1395" s="96" t="s">
        <v>1183</v>
      </c>
      <c r="C1395" s="263" t="s">
        <v>2864</v>
      </c>
      <c r="D1395" s="95" t="s">
        <v>1112</v>
      </c>
      <c r="E1395" s="291">
        <v>232</v>
      </c>
      <c r="F1395" s="291">
        <v>223</v>
      </c>
      <c r="G1395" s="291">
        <v>223</v>
      </c>
      <c r="H1395" s="291">
        <v>218</v>
      </c>
      <c r="I1395" s="291">
        <v>223</v>
      </c>
      <c r="J1395" s="291">
        <f t="shared" ref="J1395:K1396" si="1736">I1386</f>
        <v>219</v>
      </c>
      <c r="K1395" s="291">
        <f t="shared" si="1736"/>
        <v>217</v>
      </c>
      <c r="L1395" s="291">
        <v>5</v>
      </c>
      <c r="M1395" s="291">
        <v>5</v>
      </c>
      <c r="N1395" s="291">
        <v>5</v>
      </c>
      <c r="O1395" s="281"/>
      <c r="P1395" s="296"/>
      <c r="Q1395" s="283">
        <f>S1395+V1395+Y1395+AB1395+AE1395+AH1395+AK1395+AN1395+AQ1395+AT1395+AW1395+AZ1395+BC1395+BF1395+BI1395+BL1395+BO1395+BR1395+BU1395+BX1395+CA1395+CD1395+CG1395+CJ1395</f>
        <v>219</v>
      </c>
      <c r="R1395" s="283">
        <f>T1395+W1395+Z1395+AC1395+AF1395+AI1395+AL1395+AO1395+AR1395+AU1395+AX1395+BA1395+BD1395+BG1395+BJ1395+BM1395+BP1395+BS1395+BV1395+BY1395+CB1395+CE1395+CH1395+CK1395</f>
        <v>215</v>
      </c>
      <c r="S1395" s="267">
        <v>3</v>
      </c>
      <c r="T1395" s="267">
        <f>S1386</f>
        <v>3</v>
      </c>
      <c r="V1395" s="267">
        <v>4</v>
      </c>
      <c r="W1395" s="267">
        <f>V1386</f>
        <v>4</v>
      </c>
      <c r="Y1395" s="267">
        <v>5</v>
      </c>
      <c r="Z1395" s="267">
        <f>Y1386</f>
        <v>5</v>
      </c>
      <c r="AB1395" s="267">
        <v>3</v>
      </c>
      <c r="AC1395" s="267">
        <f>AB1386</f>
        <v>3</v>
      </c>
      <c r="AE1395" s="267">
        <v>5</v>
      </c>
      <c r="AF1395" s="267">
        <f>AE1386</f>
        <v>5</v>
      </c>
      <c r="AH1395" s="267">
        <v>5</v>
      </c>
      <c r="AI1395" s="267">
        <f>AH1386</f>
        <v>5</v>
      </c>
      <c r="AK1395" s="267">
        <v>10</v>
      </c>
      <c r="AL1395" s="267">
        <f>AK1386</f>
        <v>10</v>
      </c>
      <c r="AN1395" s="267">
        <v>14</v>
      </c>
      <c r="AO1395" s="267">
        <f>AN1386</f>
        <v>11</v>
      </c>
      <c r="AQ1395" s="267">
        <v>0</v>
      </c>
      <c r="AR1395" s="267">
        <f>AQ1386</f>
        <v>0</v>
      </c>
      <c r="AT1395" s="267">
        <v>9</v>
      </c>
      <c r="AU1395" s="267">
        <f>AT1386</f>
        <v>9</v>
      </c>
      <c r="AW1395" s="267">
        <v>6</v>
      </c>
      <c r="AX1395" s="267">
        <f>AW1386</f>
        <v>6</v>
      </c>
      <c r="AZ1395" s="267">
        <v>8</v>
      </c>
      <c r="BA1395" s="267">
        <f>AZ1386</f>
        <v>7</v>
      </c>
      <c r="BC1395" s="267">
        <v>15</v>
      </c>
      <c r="BD1395" s="267">
        <f>BC1386</f>
        <v>15</v>
      </c>
      <c r="BF1395" s="267">
        <v>34</v>
      </c>
      <c r="BG1395" s="267">
        <f>BF1386</f>
        <v>33</v>
      </c>
      <c r="BI1395" s="267">
        <v>39</v>
      </c>
      <c r="BJ1395" s="267">
        <f>BI1386</f>
        <v>36</v>
      </c>
      <c r="BL1395" s="267">
        <v>6</v>
      </c>
      <c r="BM1395" s="267">
        <f>BL1386</f>
        <v>6</v>
      </c>
      <c r="BO1395" s="267">
        <v>6</v>
      </c>
      <c r="BP1395" s="267">
        <f>BO1386</f>
        <v>6</v>
      </c>
      <c r="BR1395" s="267">
        <v>9</v>
      </c>
      <c r="BS1395" s="267">
        <f>BR1386</f>
        <v>8</v>
      </c>
      <c r="BU1395" s="267">
        <v>7</v>
      </c>
      <c r="BV1395" s="267">
        <f>BU1386</f>
        <v>7</v>
      </c>
      <c r="BX1395" s="267">
        <v>3</v>
      </c>
      <c r="BY1395" s="267">
        <f>BX1386</f>
        <v>3</v>
      </c>
      <c r="CA1395" s="267">
        <v>5</v>
      </c>
      <c r="CB1395" s="267">
        <f>CA1386</f>
        <v>6</v>
      </c>
      <c r="CD1395" s="267">
        <v>5</v>
      </c>
      <c r="CE1395" s="267">
        <f>CD1386</f>
        <v>5</v>
      </c>
      <c r="CG1395" s="267">
        <v>18</v>
      </c>
      <c r="CH1395" s="267">
        <f>CG1386</f>
        <v>19</v>
      </c>
      <c r="CJ1395" s="267">
        <v>0</v>
      </c>
      <c r="CK1395" s="267">
        <f>CJ1386</f>
        <v>3</v>
      </c>
    </row>
    <row r="1396" spans="1:89" ht="30" x14ac:dyDescent="0.25">
      <c r="A1396" s="321"/>
      <c r="B1396" s="16" t="s">
        <v>1185</v>
      </c>
      <c r="C1396" s="263" t="s">
        <v>2864</v>
      </c>
      <c r="D1396" s="95" t="s">
        <v>1112</v>
      </c>
      <c r="E1396" s="291">
        <v>119</v>
      </c>
      <c r="F1396" s="291">
        <v>113</v>
      </c>
      <c r="G1396" s="291">
        <v>111</v>
      </c>
      <c r="H1396" s="291">
        <v>108</v>
      </c>
      <c r="I1396" s="291">
        <v>106</v>
      </c>
      <c r="J1396" s="291">
        <f t="shared" si="1736"/>
        <v>106</v>
      </c>
      <c r="K1396" s="291">
        <f t="shared" si="1736"/>
        <v>104</v>
      </c>
      <c r="L1396" s="291">
        <v>13</v>
      </c>
      <c r="M1396" s="291">
        <v>13</v>
      </c>
      <c r="N1396" s="291">
        <v>13</v>
      </c>
      <c r="O1396" s="281"/>
      <c r="P1396" s="296"/>
      <c r="Q1396" s="283">
        <f>S1396+V1396+Y1396+AB1396+AE1396+AH1396+AK1396+AN1396+AQ1396+AT1396+AW1396+AZ1396+BC1396+BF1396+BI1396+BL1396+BO1396+BR1396+BU1396+BX1396+CA1396+CD1396+CG1396+CJ1396</f>
        <v>106</v>
      </c>
      <c r="R1396" s="283">
        <f>T1396+W1396+Z1396+AC1396+AF1396+AI1396+AL1396+AO1396+AR1396+AU1396+AX1396+BA1396+BD1396+BG1396+BJ1396+BM1396+BP1396+BS1396+BV1396+BY1396+CB1396+CE1396+CH1396+CK1396</f>
        <v>103</v>
      </c>
      <c r="S1396" s="267">
        <v>7</v>
      </c>
      <c r="T1396" s="267">
        <f>S1387</f>
        <v>7</v>
      </c>
      <c r="V1396" s="267">
        <v>12</v>
      </c>
      <c r="W1396" s="267">
        <f>V1387</f>
        <v>12</v>
      </c>
      <c r="Y1396" s="267">
        <v>10</v>
      </c>
      <c r="Z1396" s="267">
        <f>Y1387</f>
        <v>10</v>
      </c>
      <c r="AB1396" s="267">
        <v>11</v>
      </c>
      <c r="AC1396" s="267">
        <f>AB1387</f>
        <v>10</v>
      </c>
      <c r="AE1396" s="267">
        <v>11</v>
      </c>
      <c r="AF1396" s="267">
        <f>AE1387</f>
        <v>11</v>
      </c>
      <c r="AH1396" s="267">
        <v>15</v>
      </c>
      <c r="AI1396" s="267">
        <f>AH1387</f>
        <v>13</v>
      </c>
      <c r="AK1396" s="267">
        <v>1</v>
      </c>
      <c r="AL1396" s="267">
        <f>AK1387</f>
        <v>1</v>
      </c>
      <c r="AN1396" s="267">
        <v>12</v>
      </c>
      <c r="AO1396" s="267">
        <f>AN1387</f>
        <v>12</v>
      </c>
      <c r="AQ1396" s="267">
        <v>23</v>
      </c>
      <c r="AR1396" s="267">
        <f>AQ1387</f>
        <v>23</v>
      </c>
      <c r="AT1396" s="267">
        <v>0</v>
      </c>
      <c r="AU1396" s="267">
        <f>AT1387</f>
        <v>0</v>
      </c>
      <c r="AW1396" s="267">
        <v>0</v>
      </c>
      <c r="AX1396" s="267">
        <f>AW1387</f>
        <v>0</v>
      </c>
      <c r="AZ1396" s="267">
        <v>0</v>
      </c>
      <c r="BA1396" s="267">
        <f>AZ1387</f>
        <v>0</v>
      </c>
      <c r="BC1396" s="267">
        <v>0</v>
      </c>
      <c r="BD1396" s="267">
        <f>BC1387</f>
        <v>0</v>
      </c>
      <c r="BF1396" s="267">
        <v>0</v>
      </c>
      <c r="BG1396" s="267">
        <f>BF1387</f>
        <v>0</v>
      </c>
      <c r="BI1396" s="267">
        <v>0</v>
      </c>
      <c r="BJ1396" s="267">
        <f>BI1387</f>
        <v>0</v>
      </c>
      <c r="BL1396" s="267">
        <v>0</v>
      </c>
      <c r="BM1396" s="267">
        <f>BL1387</f>
        <v>0</v>
      </c>
      <c r="BO1396" s="267">
        <v>0</v>
      </c>
      <c r="BP1396" s="267">
        <f>BO1387</f>
        <v>0</v>
      </c>
      <c r="BR1396" s="267">
        <v>0</v>
      </c>
      <c r="BS1396" s="267">
        <f>BR1387</f>
        <v>0</v>
      </c>
      <c r="BU1396" s="267">
        <v>0</v>
      </c>
      <c r="BV1396" s="267">
        <f>BU1387</f>
        <v>0</v>
      </c>
      <c r="BX1396" s="267">
        <v>0</v>
      </c>
      <c r="BY1396" s="267">
        <f>BX1387</f>
        <v>0</v>
      </c>
      <c r="CA1396" s="267">
        <v>0</v>
      </c>
      <c r="CB1396" s="267">
        <f>CA1387</f>
        <v>0</v>
      </c>
      <c r="CD1396" s="267">
        <v>0</v>
      </c>
      <c r="CE1396" s="267">
        <f>CD1387</f>
        <v>0</v>
      </c>
      <c r="CG1396" s="267">
        <v>4</v>
      </c>
      <c r="CH1396" s="267">
        <f>CG1387</f>
        <v>4</v>
      </c>
      <c r="CJ1396" s="267">
        <v>0</v>
      </c>
      <c r="CK1396" s="267">
        <f>CJ1387</f>
        <v>0</v>
      </c>
    </row>
    <row r="1397" spans="1:89" ht="60" x14ac:dyDescent="0.25">
      <c r="A1397" s="321"/>
      <c r="B1397" s="311" t="s">
        <v>267</v>
      </c>
      <c r="C1397" s="95"/>
      <c r="D1397" s="95"/>
      <c r="E1397" s="291"/>
      <c r="F1397" s="291"/>
      <c r="G1397" s="291"/>
      <c r="H1397" s="291"/>
      <c r="I1397" s="291"/>
      <c r="J1397" s="291"/>
      <c r="K1397" s="291"/>
      <c r="L1397" s="291"/>
      <c r="M1397" s="291"/>
      <c r="N1397" s="291"/>
      <c r="O1397" s="281"/>
      <c r="Q1397" s="283"/>
      <c r="R1397" s="283"/>
    </row>
    <row r="1398" spans="1:89" ht="30" x14ac:dyDescent="0.25">
      <c r="A1398" s="321"/>
      <c r="B1398" s="96" t="s">
        <v>1183</v>
      </c>
      <c r="C1398" s="263" t="s">
        <v>2864</v>
      </c>
      <c r="D1398" s="95" t="s">
        <v>1112</v>
      </c>
      <c r="E1398" s="291">
        <v>6</v>
      </c>
      <c r="F1398" s="291">
        <v>5</v>
      </c>
      <c r="G1398" s="291">
        <v>5</v>
      </c>
      <c r="H1398" s="291">
        <v>5</v>
      </c>
      <c r="I1398" s="291">
        <v>4</v>
      </c>
      <c r="J1398" s="291">
        <f t="shared" ref="J1398:K1399" si="1737">I1389</f>
        <v>4</v>
      </c>
      <c r="K1398" s="291">
        <f t="shared" si="1737"/>
        <v>4</v>
      </c>
      <c r="L1398" s="291">
        <v>5</v>
      </c>
      <c r="M1398" s="291">
        <v>5</v>
      </c>
      <c r="N1398" s="291">
        <v>5</v>
      </c>
      <c r="O1398" s="281"/>
      <c r="Q1398" s="283">
        <f>S1398+V1398+Y1398+AB1398+AE1398+AH1398+AK1398+AN1398+AQ1398+AT1398+AW1398+AZ1398+BC1398+BF1398+BI1398+BL1398+BO1398+BR1398+BU1398+BX1398+CA1398+CD1398+CG1398+CJ1398</f>
        <v>4</v>
      </c>
      <c r="R1398" s="283">
        <f>T1398+W1398+Z1398+AC1398+AF1398+AI1398+AL1398+AO1398+AR1398+AU1398+AX1398+BA1398+BD1398+BG1398+BJ1398+BM1398+BP1398+BS1398+BV1398+BY1398+CB1398+CE1398+CH1398+CK1398</f>
        <v>4</v>
      </c>
      <c r="S1398" s="267">
        <v>0</v>
      </c>
      <c r="T1398" s="267">
        <f>S1389</f>
        <v>0</v>
      </c>
      <c r="V1398" s="267">
        <v>0</v>
      </c>
      <c r="W1398" s="267">
        <f>V1389</f>
        <v>0</v>
      </c>
      <c r="Y1398" s="267">
        <v>0</v>
      </c>
      <c r="Z1398" s="267">
        <f>Y1389</f>
        <v>0</v>
      </c>
      <c r="AB1398" s="267">
        <v>0</v>
      </c>
      <c r="AC1398" s="267">
        <f>AB1389</f>
        <v>0</v>
      </c>
      <c r="AE1398" s="267">
        <v>0</v>
      </c>
      <c r="AF1398" s="267">
        <f>AE1389</f>
        <v>0</v>
      </c>
      <c r="AH1398" s="267">
        <v>0</v>
      </c>
      <c r="AI1398" s="267">
        <f>AH1389</f>
        <v>0</v>
      </c>
      <c r="AK1398" s="267">
        <v>0</v>
      </c>
      <c r="AL1398" s="267">
        <f>AK1389</f>
        <v>0</v>
      </c>
      <c r="AN1398" s="267">
        <v>0</v>
      </c>
      <c r="AO1398" s="267">
        <f>AN1389</f>
        <v>0</v>
      </c>
      <c r="AQ1398" s="267">
        <v>0</v>
      </c>
      <c r="AR1398" s="267">
        <f>AQ1389</f>
        <v>0</v>
      </c>
      <c r="AT1398" s="267">
        <v>0</v>
      </c>
      <c r="AU1398" s="267">
        <f>AT1389</f>
        <v>0</v>
      </c>
      <c r="AW1398" s="267">
        <v>0</v>
      </c>
      <c r="AX1398" s="267">
        <f>AW1389</f>
        <v>0</v>
      </c>
      <c r="AZ1398" s="267">
        <v>0</v>
      </c>
      <c r="BA1398" s="267">
        <f>AZ1389</f>
        <v>0</v>
      </c>
      <c r="BC1398" s="267">
        <v>1</v>
      </c>
      <c r="BD1398" s="267">
        <f>BC1389</f>
        <v>1</v>
      </c>
      <c r="BF1398" s="267">
        <v>1</v>
      </c>
      <c r="BG1398" s="267">
        <f>BF1389</f>
        <v>1</v>
      </c>
      <c r="BI1398" s="267">
        <v>1</v>
      </c>
      <c r="BJ1398" s="267">
        <f>BI1389</f>
        <v>1</v>
      </c>
      <c r="BL1398" s="267">
        <v>0</v>
      </c>
      <c r="BM1398" s="267">
        <f>BL1389</f>
        <v>0</v>
      </c>
      <c r="BO1398" s="267">
        <v>0</v>
      </c>
      <c r="BP1398" s="267">
        <f>BO1389</f>
        <v>0</v>
      </c>
      <c r="BR1398" s="267">
        <v>0</v>
      </c>
      <c r="BS1398" s="267">
        <f>BR1389</f>
        <v>0</v>
      </c>
      <c r="BU1398" s="267">
        <v>0</v>
      </c>
      <c r="BV1398" s="267">
        <f>BU1389</f>
        <v>0</v>
      </c>
      <c r="BX1398" s="267">
        <v>0</v>
      </c>
      <c r="BY1398" s="267">
        <f>BX1389</f>
        <v>0</v>
      </c>
      <c r="CA1398" s="267">
        <v>0</v>
      </c>
      <c r="CB1398" s="267">
        <f>CA1389</f>
        <v>0</v>
      </c>
      <c r="CD1398" s="267">
        <v>1</v>
      </c>
      <c r="CE1398" s="267">
        <f>CD1389</f>
        <v>1</v>
      </c>
      <c r="CG1398" s="267">
        <v>0</v>
      </c>
      <c r="CH1398" s="267">
        <f>CG1389</f>
        <v>0</v>
      </c>
      <c r="CJ1398" s="267">
        <v>0</v>
      </c>
      <c r="CK1398" s="267">
        <f>CJ1389</f>
        <v>0</v>
      </c>
    </row>
    <row r="1399" spans="1:89" ht="30" x14ac:dyDescent="0.25">
      <c r="A1399" s="321"/>
      <c r="B1399" s="16" t="s">
        <v>1185</v>
      </c>
      <c r="C1399" s="263" t="s">
        <v>2864</v>
      </c>
      <c r="D1399" s="95" t="s">
        <v>1112</v>
      </c>
      <c r="E1399" s="291">
        <v>0</v>
      </c>
      <c r="F1399" s="291">
        <v>0</v>
      </c>
      <c r="G1399" s="291">
        <v>0</v>
      </c>
      <c r="H1399" s="291">
        <v>0</v>
      </c>
      <c r="I1399" s="291">
        <v>0</v>
      </c>
      <c r="J1399" s="291">
        <f t="shared" si="1737"/>
        <v>0</v>
      </c>
      <c r="K1399" s="291">
        <f t="shared" si="1737"/>
        <v>0</v>
      </c>
      <c r="L1399" s="291">
        <v>13</v>
      </c>
      <c r="M1399" s="291">
        <v>13</v>
      </c>
      <c r="N1399" s="291">
        <v>13</v>
      </c>
      <c r="O1399" s="281"/>
      <c r="Q1399" s="283">
        <f>S1399+V1399+Y1399+AB1399+AE1399+AH1399+AK1399+AN1399+AQ1399+AT1399+AW1399+AZ1399+BC1399+BF1399+BI1399+BL1399+BO1399+BR1399+BU1399+BX1399+CA1399+CD1399+CG1399+CJ1399</f>
        <v>0</v>
      </c>
      <c r="R1399" s="283">
        <f>T1399+W1399+Z1399+AC1399+AF1399+AI1399+AL1399+AO1399+AR1399+AU1399+AX1399+BA1399+BD1399+BG1399+BJ1399+BM1399+BP1399+BS1399+BV1399+BY1399+CB1399+CE1399+CH1399+CK1399</f>
        <v>0</v>
      </c>
      <c r="S1399" s="267">
        <v>0</v>
      </c>
      <c r="T1399" s="267">
        <f>S1390</f>
        <v>0</v>
      </c>
      <c r="V1399" s="267">
        <v>0</v>
      </c>
      <c r="W1399" s="267">
        <f>V1390</f>
        <v>0</v>
      </c>
      <c r="Y1399" s="267">
        <v>0</v>
      </c>
      <c r="Z1399" s="267">
        <f>Y1390</f>
        <v>0</v>
      </c>
      <c r="AB1399" s="267">
        <v>0</v>
      </c>
      <c r="AC1399" s="267">
        <f>AB1390</f>
        <v>0</v>
      </c>
      <c r="AE1399" s="267">
        <v>0</v>
      </c>
      <c r="AF1399" s="267">
        <f>AE1390</f>
        <v>0</v>
      </c>
      <c r="AH1399" s="267">
        <v>0</v>
      </c>
      <c r="AI1399" s="267">
        <f>AH1390</f>
        <v>0</v>
      </c>
      <c r="AK1399" s="267">
        <v>0</v>
      </c>
      <c r="AL1399" s="267">
        <f>AK1390</f>
        <v>0</v>
      </c>
      <c r="AN1399" s="267">
        <v>0</v>
      </c>
      <c r="AO1399" s="267">
        <f>AN1390</f>
        <v>0</v>
      </c>
      <c r="AQ1399" s="267">
        <v>0</v>
      </c>
      <c r="AR1399" s="267">
        <f>AQ1390</f>
        <v>0</v>
      </c>
      <c r="AT1399" s="267">
        <v>0</v>
      </c>
      <c r="AU1399" s="267">
        <f>AT1390</f>
        <v>0</v>
      </c>
      <c r="AW1399" s="267">
        <v>0</v>
      </c>
      <c r="AX1399" s="267">
        <f>AW1390</f>
        <v>0</v>
      </c>
      <c r="AZ1399" s="267">
        <v>0</v>
      </c>
      <c r="BA1399" s="267">
        <f>AZ1390</f>
        <v>0</v>
      </c>
      <c r="BC1399" s="267">
        <v>0</v>
      </c>
      <c r="BD1399" s="267">
        <f>BC1390</f>
        <v>0</v>
      </c>
      <c r="BF1399" s="267">
        <v>0</v>
      </c>
      <c r="BG1399" s="267">
        <f>BF1390</f>
        <v>0</v>
      </c>
      <c r="BI1399" s="267">
        <v>0</v>
      </c>
      <c r="BJ1399" s="267">
        <f>BI1390</f>
        <v>0</v>
      </c>
      <c r="BL1399" s="267">
        <v>0</v>
      </c>
      <c r="BM1399" s="267">
        <f>BL1390</f>
        <v>0</v>
      </c>
      <c r="BO1399" s="267">
        <v>0</v>
      </c>
      <c r="BP1399" s="267">
        <f>BO1390</f>
        <v>0</v>
      </c>
      <c r="BR1399" s="267">
        <v>0</v>
      </c>
      <c r="BS1399" s="267">
        <f>BR1390</f>
        <v>0</v>
      </c>
      <c r="BU1399" s="267">
        <v>0</v>
      </c>
      <c r="BV1399" s="267">
        <f>BU1390</f>
        <v>0</v>
      </c>
      <c r="BX1399" s="267">
        <v>0</v>
      </c>
      <c r="BY1399" s="267">
        <f>BX1390</f>
        <v>0</v>
      </c>
      <c r="CA1399" s="267">
        <v>0</v>
      </c>
      <c r="CB1399" s="267">
        <f>CA1390</f>
        <v>0</v>
      </c>
      <c r="CD1399" s="267">
        <v>0</v>
      </c>
      <c r="CE1399" s="267">
        <f>CD1390</f>
        <v>0</v>
      </c>
      <c r="CG1399" s="267">
        <v>0</v>
      </c>
      <c r="CH1399" s="267">
        <f>CG1390</f>
        <v>0</v>
      </c>
      <c r="CJ1399" s="267">
        <v>0</v>
      </c>
      <c r="CK1399" s="267">
        <f>CJ1390</f>
        <v>0</v>
      </c>
    </row>
    <row r="1400" spans="1:89" ht="30" x14ac:dyDescent="0.25">
      <c r="A1400" s="107"/>
      <c r="B1400" s="16" t="s">
        <v>268</v>
      </c>
      <c r="C1400" s="95"/>
      <c r="D1400" s="95"/>
      <c r="E1400" s="291"/>
      <c r="F1400" s="291"/>
      <c r="G1400" s="291"/>
      <c r="H1400" s="291"/>
      <c r="I1400" s="291"/>
      <c r="J1400" s="291"/>
      <c r="K1400" s="291"/>
      <c r="L1400" s="291"/>
      <c r="M1400" s="291"/>
      <c r="N1400" s="291"/>
      <c r="Q1400" s="283"/>
      <c r="R1400" s="283"/>
    </row>
    <row r="1401" spans="1:89" ht="30" x14ac:dyDescent="0.25">
      <c r="A1401" s="107"/>
      <c r="B1401" s="96" t="s">
        <v>1183</v>
      </c>
      <c r="C1401" s="263" t="s">
        <v>2864</v>
      </c>
      <c r="D1401" s="95" t="s">
        <v>1112</v>
      </c>
      <c r="E1401" s="291">
        <v>9</v>
      </c>
      <c r="F1401" s="291">
        <v>7</v>
      </c>
      <c r="G1401" s="291">
        <v>5</v>
      </c>
      <c r="H1401" s="291">
        <v>4</v>
      </c>
      <c r="I1401" s="291">
        <v>4</v>
      </c>
      <c r="J1401" s="291">
        <f t="shared" ref="J1401:L1402" si="1738">I1392</f>
        <v>4</v>
      </c>
      <c r="K1401" s="291">
        <f t="shared" si="1738"/>
        <v>4</v>
      </c>
      <c r="L1401" s="291">
        <v>0</v>
      </c>
      <c r="M1401" s="291">
        <v>0</v>
      </c>
      <c r="N1401" s="291">
        <v>0</v>
      </c>
      <c r="Q1401" s="283">
        <f>S1401+V1401+Y1401+AB1401+AE1401+AH1401+AK1401+AN1401+AQ1401+AT1401+AW1401+AZ1401+BC1401+BF1401+BI1401+BL1401+BO1401+BR1401+BU1401+BX1401+CA1401+CD1401+CG1401+CJ1401</f>
        <v>4</v>
      </c>
      <c r="R1401" s="283">
        <f>T1401+W1401+Z1401+AC1401+AF1401+AI1401+AL1401+AO1401+AR1401+AU1401+AX1401+BA1401+BD1401+BG1401+BJ1401+BM1401+BP1401+BS1401+BV1401+BY1401+CB1401+CE1401+CH1401+CK1401</f>
        <v>2</v>
      </c>
      <c r="S1401" s="267">
        <v>0</v>
      </c>
      <c r="T1401" s="267">
        <f>S1392</f>
        <v>0</v>
      </c>
      <c r="V1401" s="267">
        <v>0</v>
      </c>
      <c r="W1401" s="267">
        <f>V1392</f>
        <v>0</v>
      </c>
      <c r="Y1401" s="267">
        <v>0</v>
      </c>
      <c r="Z1401" s="267">
        <f>Y1392</f>
        <v>0</v>
      </c>
      <c r="AB1401" s="267">
        <v>0</v>
      </c>
      <c r="AC1401" s="267">
        <f>AB1392</f>
        <v>0</v>
      </c>
      <c r="AE1401" s="267">
        <v>2</v>
      </c>
      <c r="AF1401" s="267">
        <f>AE1392</f>
        <v>1</v>
      </c>
      <c r="AH1401" s="267">
        <v>0</v>
      </c>
      <c r="AI1401" s="267">
        <f>AH1392</f>
        <v>0</v>
      </c>
      <c r="AK1401" s="267">
        <v>0</v>
      </c>
      <c r="AL1401" s="267">
        <f>AK1392</f>
        <v>0</v>
      </c>
      <c r="AN1401" s="267">
        <v>0</v>
      </c>
      <c r="AO1401" s="267">
        <f>AN1392</f>
        <v>0</v>
      </c>
      <c r="AQ1401" s="267">
        <v>0</v>
      </c>
      <c r="AR1401" s="267">
        <f>AQ1392</f>
        <v>0</v>
      </c>
      <c r="AT1401" s="267">
        <v>0</v>
      </c>
      <c r="AU1401" s="267">
        <f>AT1392</f>
        <v>0</v>
      </c>
      <c r="AW1401" s="267">
        <v>0</v>
      </c>
      <c r="AX1401" s="267">
        <f>AW1392</f>
        <v>0</v>
      </c>
      <c r="AZ1401" s="267">
        <v>0</v>
      </c>
      <c r="BA1401" s="267">
        <f>AZ1392</f>
        <v>0</v>
      </c>
      <c r="BC1401" s="267">
        <v>0</v>
      </c>
      <c r="BD1401" s="267">
        <f>BC1392</f>
        <v>0</v>
      </c>
      <c r="BF1401" s="267">
        <v>0</v>
      </c>
      <c r="BG1401" s="267">
        <f>BF1392</f>
        <v>0</v>
      </c>
      <c r="BI1401" s="267">
        <v>1</v>
      </c>
      <c r="BJ1401" s="267">
        <f>BI1392</f>
        <v>1</v>
      </c>
      <c r="BL1401" s="267">
        <v>0</v>
      </c>
      <c r="BM1401" s="267">
        <f>BL1392</f>
        <v>0</v>
      </c>
      <c r="BO1401" s="267">
        <v>0</v>
      </c>
      <c r="BP1401" s="267">
        <f>BO1392</f>
        <v>0</v>
      </c>
      <c r="BR1401" s="267">
        <v>0</v>
      </c>
      <c r="BS1401" s="267">
        <f>BR1392</f>
        <v>0</v>
      </c>
      <c r="BU1401" s="267">
        <v>0</v>
      </c>
      <c r="BV1401" s="267">
        <f>BU1392</f>
        <v>0</v>
      </c>
      <c r="BX1401" s="267">
        <v>0</v>
      </c>
      <c r="BY1401" s="267">
        <f>BX1392</f>
        <v>0</v>
      </c>
      <c r="CA1401" s="267">
        <v>0</v>
      </c>
      <c r="CB1401" s="267">
        <f>CA1392</f>
        <v>0</v>
      </c>
      <c r="CD1401" s="267">
        <v>0</v>
      </c>
      <c r="CE1401" s="267">
        <f>CD1392</f>
        <v>0</v>
      </c>
      <c r="CG1401" s="267">
        <v>1</v>
      </c>
      <c r="CH1401" s="267">
        <f>CG1392</f>
        <v>0</v>
      </c>
      <c r="CJ1401" s="267">
        <v>0</v>
      </c>
      <c r="CK1401" s="267">
        <f>CJ1392</f>
        <v>0</v>
      </c>
    </row>
    <row r="1402" spans="1:89" ht="30" x14ac:dyDescent="0.25">
      <c r="A1402" s="107"/>
      <c r="B1402" s="16" t="s">
        <v>1185</v>
      </c>
      <c r="C1402" s="263" t="s">
        <v>2864</v>
      </c>
      <c r="D1402" s="95" t="s">
        <v>1112</v>
      </c>
      <c r="E1402" s="291">
        <v>0</v>
      </c>
      <c r="F1402" s="291">
        <v>0</v>
      </c>
      <c r="G1402" s="291">
        <v>0</v>
      </c>
      <c r="H1402" s="291">
        <v>0</v>
      </c>
      <c r="I1402" s="291">
        <v>0</v>
      </c>
      <c r="J1402" s="291">
        <f t="shared" si="1738"/>
        <v>0</v>
      </c>
      <c r="K1402" s="291">
        <f t="shared" si="1738"/>
        <v>0</v>
      </c>
      <c r="L1402" s="291">
        <f t="shared" si="1738"/>
        <v>0</v>
      </c>
      <c r="M1402" s="291">
        <f>K1393</f>
        <v>0</v>
      </c>
      <c r="N1402" s="291">
        <f>L1393</f>
        <v>0</v>
      </c>
      <c r="Q1402" s="283">
        <f>S1402+V1402+Y1402+AB1402+AE1402+AH1402+AK1402+AN1402+AQ1402+AT1402+AW1402+AZ1402+BC1402+BF1402+BI1402+BL1402+BO1402+BR1402+BU1402+BX1402+CA1402+CD1402+CG1402+CJ1402</f>
        <v>0</v>
      </c>
      <c r="R1402" s="283">
        <f>T1402+W1402+Z1402+AC1402+AF1402+AI1402+AL1402+AO1402+AR1402+AU1402+AX1402+BA1402+BD1402+BG1402+BJ1402+BM1402+BP1402+BS1402+BV1402+BY1402+CB1402+CE1402+CH1402+CK1402</f>
        <v>0</v>
      </c>
      <c r="S1402" s="267">
        <v>0</v>
      </c>
      <c r="T1402" s="267">
        <f>S1393</f>
        <v>0</v>
      </c>
      <c r="V1402" s="267">
        <v>0</v>
      </c>
      <c r="W1402" s="267">
        <f>V1393</f>
        <v>0</v>
      </c>
      <c r="Y1402" s="267">
        <v>0</v>
      </c>
      <c r="Z1402" s="267">
        <f>Y1393</f>
        <v>0</v>
      </c>
      <c r="AB1402" s="267">
        <v>0</v>
      </c>
      <c r="AC1402" s="267">
        <f>AB1393</f>
        <v>0</v>
      </c>
      <c r="AE1402" s="267">
        <v>0</v>
      </c>
      <c r="AF1402" s="267">
        <f>AE1393</f>
        <v>0</v>
      </c>
      <c r="AH1402" s="267">
        <v>0</v>
      </c>
      <c r="AI1402" s="267">
        <f>AH1393</f>
        <v>0</v>
      </c>
      <c r="AK1402" s="267">
        <v>0</v>
      </c>
      <c r="AL1402" s="267">
        <f>AK1393</f>
        <v>0</v>
      </c>
      <c r="AN1402" s="267">
        <v>0</v>
      </c>
      <c r="AO1402" s="267">
        <f>AN1393</f>
        <v>0</v>
      </c>
      <c r="AQ1402" s="267">
        <v>0</v>
      </c>
      <c r="AR1402" s="267">
        <f>AQ1393</f>
        <v>0</v>
      </c>
      <c r="AT1402" s="267">
        <v>0</v>
      </c>
      <c r="AU1402" s="267">
        <f>AT1393</f>
        <v>0</v>
      </c>
      <c r="AW1402" s="267">
        <v>0</v>
      </c>
      <c r="AX1402" s="267">
        <f>AW1393</f>
        <v>0</v>
      </c>
      <c r="AZ1402" s="267">
        <v>0</v>
      </c>
      <c r="BA1402" s="267">
        <f>AZ1393</f>
        <v>0</v>
      </c>
      <c r="BC1402" s="267">
        <v>0</v>
      </c>
      <c r="BD1402" s="267">
        <f>BC1393</f>
        <v>0</v>
      </c>
      <c r="BF1402" s="267">
        <v>0</v>
      </c>
      <c r="BG1402" s="267">
        <f>BF1393</f>
        <v>0</v>
      </c>
      <c r="BI1402" s="267">
        <v>0</v>
      </c>
      <c r="BJ1402" s="267">
        <f>BI1393</f>
        <v>0</v>
      </c>
      <c r="BL1402" s="267">
        <v>0</v>
      </c>
      <c r="BM1402" s="267">
        <f>BL1393</f>
        <v>0</v>
      </c>
      <c r="BO1402" s="267">
        <v>0</v>
      </c>
      <c r="BP1402" s="267">
        <f>BO1393</f>
        <v>0</v>
      </c>
      <c r="BR1402" s="267">
        <v>0</v>
      </c>
      <c r="BS1402" s="267">
        <f>BR1393</f>
        <v>0</v>
      </c>
      <c r="BU1402" s="267">
        <v>0</v>
      </c>
      <c r="BV1402" s="267">
        <f>BU1393</f>
        <v>0</v>
      </c>
      <c r="BX1402" s="267">
        <v>0</v>
      </c>
      <c r="BY1402" s="267">
        <f>BX1393</f>
        <v>0</v>
      </c>
      <c r="CA1402" s="267">
        <v>0</v>
      </c>
      <c r="CB1402" s="267">
        <f>CA1393</f>
        <v>0</v>
      </c>
      <c r="CD1402" s="267">
        <v>0</v>
      </c>
      <c r="CE1402" s="267">
        <f>CD1393</f>
        <v>0</v>
      </c>
      <c r="CG1402" s="267">
        <v>0</v>
      </c>
      <c r="CH1402" s="267">
        <f>CG1393</f>
        <v>0</v>
      </c>
      <c r="CJ1402" s="267">
        <v>0</v>
      </c>
      <c r="CK1402" s="267">
        <f>CJ1393</f>
        <v>0</v>
      </c>
    </row>
    <row r="1403" spans="1:89" ht="45" x14ac:dyDescent="0.25">
      <c r="A1403" s="105" t="s">
        <v>263</v>
      </c>
      <c r="B1403" s="290" t="s">
        <v>269</v>
      </c>
      <c r="C1403" s="107"/>
      <c r="D1403" s="107"/>
      <c r="E1403" s="107"/>
      <c r="F1403" s="107"/>
      <c r="G1403" s="107"/>
      <c r="H1403" s="107"/>
      <c r="I1403" s="107"/>
      <c r="J1403" s="107"/>
      <c r="K1403" s="107"/>
      <c r="L1403" s="107"/>
      <c r="M1403" s="107"/>
      <c r="N1403" s="107"/>
    </row>
    <row r="1404" spans="1:89" ht="60" x14ac:dyDescent="0.25">
      <c r="A1404" s="95" t="s">
        <v>264</v>
      </c>
      <c r="B1404" s="96" t="s">
        <v>1718</v>
      </c>
      <c r="C1404" s="107"/>
      <c r="D1404" s="95" t="s">
        <v>1114</v>
      </c>
      <c r="E1404" s="279">
        <f t="shared" ref="E1404:K1404" si="1739">(E1407+E1409)/(E1411+E1415)</f>
        <v>139.91798426750489</v>
      </c>
      <c r="F1404" s="279">
        <f t="shared" si="1739"/>
        <v>152.9619181368077</v>
      </c>
      <c r="G1404" s="279">
        <f t="shared" si="1739"/>
        <v>151.01476332209356</v>
      </c>
      <c r="H1404" s="279">
        <f t="shared" si="1739"/>
        <v>159.84008547068908</v>
      </c>
      <c r="I1404" s="279">
        <f t="shared" si="1739"/>
        <v>153.94049224426971</v>
      </c>
      <c r="J1404" s="279">
        <f t="shared" si="1739"/>
        <v>162.78931383028225</v>
      </c>
      <c r="K1404" s="279">
        <f t="shared" si="1739"/>
        <v>167.92124889727717</v>
      </c>
      <c r="L1404" s="279">
        <f t="shared" ref="L1404:M1404" si="1740">(L1407+L1409)/(L1411+L1415)</f>
        <v>284.30156722915541</v>
      </c>
      <c r="M1404" s="279">
        <f t="shared" si="1740"/>
        <v>309.48823910003546</v>
      </c>
      <c r="N1404" s="279">
        <f t="shared" ref="N1404" si="1741">(N1407+N1409)/(N1411+N1415)</f>
        <v>338.37691237830325</v>
      </c>
      <c r="Q1404" s="279">
        <f>(Q1407+Q1409)/(Q1411+Q1415)</f>
        <v>167.92124889727722</v>
      </c>
      <c r="R1404" s="279">
        <f>(R1407+R1409)/(R1411+R1415)</f>
        <v>178.40608360689632</v>
      </c>
      <c r="S1404" s="279">
        <f>(S1407+S1409)/(S1411+S1415)</f>
        <v>207.89258776422383</v>
      </c>
      <c r="T1404" s="279">
        <f>(T1407+T1409)/(T1411+T1415)</f>
        <v>231.9508565456446</v>
      </c>
      <c r="V1404" s="279">
        <f>(V1407+V1409)/(V1411+V1415)</f>
        <v>232.17382465057179</v>
      </c>
      <c r="W1404" s="279">
        <f>(W1407+W1409)/(W1411+W1415)</f>
        <v>246.4491412458344</v>
      </c>
      <c r="Y1404" s="279">
        <f>(Y1407+Y1409)/(Y1411+Y1415)</f>
        <v>248.46443523230997</v>
      </c>
      <c r="Z1404" s="279">
        <f>(Z1407+Z1409)/(Z1411+Z1415)</f>
        <v>272.8775982970198</v>
      </c>
      <c r="AB1404" s="279">
        <f>(AB1407+AB1409)/(AB1411+AB1415)</f>
        <v>224.29263667768097</v>
      </c>
      <c r="AC1404" s="279">
        <f>(AC1407+AC1409)/(AC1411+AC1415)</f>
        <v>238.72010787567896</v>
      </c>
      <c r="AE1404" s="279">
        <f>(AE1407+AE1409)/(AE1411+AE1415)</f>
        <v>267.0773311230833</v>
      </c>
      <c r="AF1404" s="279">
        <f>(AF1407+AF1409)/(AF1411+AF1415)</f>
        <v>293.99282316442606</v>
      </c>
      <c r="AH1404" s="279">
        <f>(AH1407+AH1409)/(AH1411+AH1415)</f>
        <v>255.32879437278268</v>
      </c>
      <c r="AI1404" s="279">
        <f>(AI1407+AI1409)/(AI1411+AI1415)</f>
        <v>284.30156722915541</v>
      </c>
      <c r="AK1404" s="279">
        <f>(AK1407+AK1409)/(AK1411+AK1415)</f>
        <v>163.28945455720122</v>
      </c>
      <c r="AL1404" s="279">
        <f>(AL1407+AL1409)/(AL1411+AL1415)</f>
        <v>168.45038095238093</v>
      </c>
      <c r="AN1404" s="279">
        <f>(AN1407+AN1409)/(AN1411+AN1415)</f>
        <v>160.66300801291291</v>
      </c>
      <c r="AO1404" s="279">
        <f>(AO1407+AO1409)/(AO1411+AO1415)</f>
        <v>172.6392645381984</v>
      </c>
      <c r="AQ1404" s="279">
        <f>(AQ1407+AQ1409)/(AQ1411+AQ1415)</f>
        <v>458.86973365617433</v>
      </c>
      <c r="AR1404" s="279">
        <f>(AR1407+AR1409)/(AR1411+AR1415)</f>
        <v>526.6191558441559</v>
      </c>
      <c r="AT1404" s="279">
        <f>(AT1407+AT1409)/(AT1411+AT1415)</f>
        <v>146.28310917635849</v>
      </c>
      <c r="AU1404" s="279">
        <f>(AU1407+AU1409)/(AU1411+AU1415)</f>
        <v>145.70226588278877</v>
      </c>
      <c r="AW1404" s="279">
        <f>(AW1407+AW1409)/(AW1411+AW1415)</f>
        <v>152.08051508093854</v>
      </c>
      <c r="AX1404" s="279">
        <f>(AX1407+AX1409)/(AX1411+AX1415)</f>
        <v>157.3060508953817</v>
      </c>
      <c r="AZ1404" s="279">
        <f>(AZ1407+AZ1409)/(AZ1411+AZ1415)</f>
        <v>156.76333502667006</v>
      </c>
      <c r="BA1404" s="279">
        <f>(BA1407+BA1409)/(BA1411+BA1415)</f>
        <v>175.61928589710777</v>
      </c>
      <c r="BC1404" s="279">
        <f>(BC1407+BC1409)/(BC1411+BC1415)</f>
        <v>143.27178644509209</v>
      </c>
      <c r="BD1404" s="279">
        <f>(BD1407+BD1409)/(BD1411+BD1415)</f>
        <v>150.38641078838174</v>
      </c>
      <c r="BF1404" s="279">
        <f>(BF1407+BF1409)/(BF1411+BF1415)</f>
        <v>136.89935016984197</v>
      </c>
      <c r="BG1404" s="279">
        <f>(BG1407+BG1409)/(BG1411+BG1415)</f>
        <v>146.56947302240513</v>
      </c>
      <c r="BI1404" s="279">
        <f>(BI1407+BI1409)/(BI1411+BI1415)</f>
        <v>133.84899879048515</v>
      </c>
      <c r="BJ1404" s="279">
        <f>(BJ1407+BJ1409)/(BJ1411+BJ1415)</f>
        <v>139.40613624735036</v>
      </c>
      <c r="BL1404" s="279">
        <f>(BL1407+BL1409)/(BL1411+BL1415)</f>
        <v>143.76025316455696</v>
      </c>
      <c r="BM1404" s="279">
        <f>(BM1407+BM1409)/(BM1411+BM1415)</f>
        <v>151.67480230050325</v>
      </c>
      <c r="BO1404" s="279">
        <f>(BO1407+BO1409)/(BO1411+BO1415)</f>
        <v>136.3074478269194</v>
      </c>
      <c r="BP1404" s="279">
        <f>(BP1407+BP1409)/(BP1411+BP1415)</f>
        <v>144.02867660940154</v>
      </c>
      <c r="BR1404" s="279">
        <f>(BR1407+BR1409)/(BR1411+BR1415)</f>
        <v>142.21083281924737</v>
      </c>
      <c r="BS1404" s="279">
        <f>(BS1407+BS1409)/(BS1411+BS1415)</f>
        <v>147.36823414156257</v>
      </c>
      <c r="BU1404" s="279">
        <f>(BU1407+BU1409)/(BU1411+BU1415)</f>
        <v>147.20560452206021</v>
      </c>
      <c r="BV1404" s="279">
        <f>(BV1407+BV1409)/(BV1411+BV1415)</f>
        <v>155.54367121652868</v>
      </c>
      <c r="BX1404" s="279">
        <f>(BX1407+BX1409)/(BX1411+BX1415)</f>
        <v>160.75114539504443</v>
      </c>
      <c r="BY1404" s="279">
        <f>(BY1407+BY1409)/(BY1411+BY1415)</f>
        <v>176.78211412189032</v>
      </c>
      <c r="CA1404" s="279">
        <f>(CA1407+CA1409)/(CA1411+CA1415)</f>
        <v>151.85322853279243</v>
      </c>
      <c r="CB1404" s="279">
        <f>(CB1407+CB1409)/(CB1411+CB1415)</f>
        <v>177.93757810547362</v>
      </c>
      <c r="CD1404" s="279">
        <f>(CD1407+CD1409)/(CD1411+CD1415)</f>
        <v>161.20828501678363</v>
      </c>
      <c r="CE1404" s="279">
        <f>(CE1407+CE1409)/(CE1411+CE1415)</f>
        <v>173.15648189875319</v>
      </c>
      <c r="CG1404" s="279">
        <f>(CG1407+CG1409)/(CG1411+CG1415)</f>
        <v>789.292440980386</v>
      </c>
      <c r="CH1404" s="279">
        <f>(CH1407+CH1409)/(CH1411+CH1415)</f>
        <v>839.21672462851723</v>
      </c>
      <c r="CJ1404" s="279" t="e">
        <f>(CJ1407+CJ1409)/(CJ1411+CJ1415)</f>
        <v>#DIV/0!</v>
      </c>
      <c r="CK1404" s="279" t="e">
        <f>(CK1407+CK1409)/(CK1411+CK1415)</f>
        <v>#DIV/0!</v>
      </c>
    </row>
    <row r="1405" spans="1:89" x14ac:dyDescent="0.25">
      <c r="A1405" s="95"/>
      <c r="B1405" s="96" t="s">
        <v>1182</v>
      </c>
      <c r="C1405" s="107"/>
      <c r="D1405" s="95" t="s">
        <v>1114</v>
      </c>
      <c r="E1405" s="279">
        <f>(E1407)/(E1411)</f>
        <v>139.95750781377649</v>
      </c>
      <c r="F1405" s="279">
        <f>(F1407)/(F1411)</f>
        <v>153.01156218147375</v>
      </c>
      <c r="G1405" s="279">
        <f>(G1407)/(G1411)</f>
        <v>151.0857300363044</v>
      </c>
      <c r="H1405" s="279">
        <f>(H1407)/(H1411)</f>
        <v>159.93867934562937</v>
      </c>
      <c r="I1405" s="279">
        <f>(I1407)/(I1411)</f>
        <v>153.99419320509526</v>
      </c>
      <c r="J1405" s="279">
        <f>(J1407)/((J1412*J1418)+J1414+J1413)</f>
        <v>163.25577250111741</v>
      </c>
      <c r="K1405" s="279">
        <f>(K1407)/((K1412*K1418)+K1414+K1413)</f>
        <v>168.39284041086367</v>
      </c>
      <c r="L1405" s="279">
        <f>(L1407)/((L1412*L1418)+L1414+L1413)</f>
        <v>284.30156722915541</v>
      </c>
      <c r="M1405" s="279">
        <f>(M1407)/((M1412*M1418)+M1414+M1413)</f>
        <v>309.48823910003546</v>
      </c>
      <c r="N1405" s="279">
        <f>(N1407)/((N1412*N1418)+N1414+N1413)</f>
        <v>338.37691237830325</v>
      </c>
      <c r="P1405" s="267">
        <v>163.18</v>
      </c>
      <c r="Q1405" s="279">
        <f>(Q1407)/((Q1412*Q1418)+Q1414+Q1413)</f>
        <v>168.39284041086373</v>
      </c>
      <c r="R1405" s="279">
        <f>(R1407)/((R1412*R1418)+R1414+R1413)</f>
        <v>178.88751114413347</v>
      </c>
      <c r="S1405" s="279">
        <f>(S1407)/((S1412*S1418)+S1414+S1413)</f>
        <v>208.17837732629431</v>
      </c>
      <c r="T1405" s="279">
        <f>(T1407)/((T1412*T1418)+T1414+T1413)</f>
        <v>232.53273489086658</v>
      </c>
      <c r="V1405" s="279">
        <f>(V1407)/((V1412*V1418)+V1414+V1413)</f>
        <v>232.83913183605245</v>
      </c>
      <c r="W1405" s="279">
        <f>(W1407)/((W1412*W1418)+W1414+W1413)</f>
        <v>246.92639964494629</v>
      </c>
      <c r="Y1405" s="279">
        <f>(Y1407)/((Y1412*Y1418)+Y1414+Y1413)</f>
        <v>248.46443523230997</v>
      </c>
      <c r="Z1405" s="279">
        <f>(Z1407)/((Z1412*Z1418)+Z1414+Z1413)</f>
        <v>272.8775982970198</v>
      </c>
      <c r="AB1405" s="279">
        <f>(AB1407)/(AB1411)</f>
        <v>224.29263667768097</v>
      </c>
      <c r="AC1405" s="279">
        <f>(AC1407)/(AC1411)</f>
        <v>238.72010787567896</v>
      </c>
      <c r="AE1405" s="279">
        <f>(AE1407)/(AE1411)</f>
        <v>267.0773311230833</v>
      </c>
      <c r="AF1405" s="279">
        <f>(AF1407)/(AF1411)</f>
        <v>293.99282316442606</v>
      </c>
      <c r="AH1405" s="279">
        <f>(AH1407)/(AH1411)</f>
        <v>255.32879437278268</v>
      </c>
      <c r="AI1405" s="279">
        <f>(AI1407)/(AI1411)</f>
        <v>284.30156722915541</v>
      </c>
      <c r="AK1405" s="279">
        <f>(AK1407)/(AK1411)</f>
        <v>163.28945455720122</v>
      </c>
      <c r="AL1405" s="279">
        <f>(AL1407)/(AL1411)</f>
        <v>168.45038095238093</v>
      </c>
      <c r="AN1405" s="279">
        <f>(AN1407)/(AN1411)</f>
        <v>160.66300801291291</v>
      </c>
      <c r="AO1405" s="279">
        <f>(AO1407)/(AO1411)</f>
        <v>172.6392645381984</v>
      </c>
      <c r="AQ1405" s="279">
        <f>(AQ1407)/(AQ1411)</f>
        <v>458.86973365617433</v>
      </c>
      <c r="AR1405" s="279">
        <f>(AR1407)/(AR1411)</f>
        <v>526.6191558441559</v>
      </c>
      <c r="AT1405" s="279">
        <f>(AT1407)/(AT1411)</f>
        <v>146.28310917635849</v>
      </c>
      <c r="AU1405" s="279">
        <f>(AU1407)/(AU1411)</f>
        <v>145.70226588278877</v>
      </c>
      <c r="AW1405" s="279">
        <f>(AW1407)/(AW1411)</f>
        <v>152.08051508093854</v>
      </c>
      <c r="AX1405" s="279">
        <f>(AX1407)/(AX1411)</f>
        <v>157.3060508953817</v>
      </c>
      <c r="AZ1405" s="279">
        <f>(AZ1407)/(AZ1411)</f>
        <v>156.76333502667006</v>
      </c>
      <c r="BA1405" s="279">
        <f>(BA1407)/(BA1411)</f>
        <v>175.61928589710777</v>
      </c>
      <c r="BC1405" s="279">
        <f>(BC1407)/(BC1411)</f>
        <v>143.24099008658553</v>
      </c>
      <c r="BD1405" s="279">
        <f>(BD1407)/(BD1411)</f>
        <v>150.1809332757237</v>
      </c>
      <c r="BF1405" s="279">
        <f>(BF1407)/(BF1411)</f>
        <v>136.86833942419111</v>
      </c>
      <c r="BG1405" s="279">
        <f>(BG1407)/(BG1411)</f>
        <v>146.54135781187151</v>
      </c>
      <c r="BI1405" s="279">
        <f>(BI1407)/(BI1411)</f>
        <v>133.74888953432085</v>
      </c>
      <c r="BJ1405" s="279">
        <f>(BJ1407)/(BJ1411)</f>
        <v>139.34233772931555</v>
      </c>
      <c r="BL1405" s="279">
        <f>(BL1407)/(BL1411)</f>
        <v>143.76025316455696</v>
      </c>
      <c r="BM1405" s="279">
        <f>(BM1407)/(BM1411)</f>
        <v>151.67480230050325</v>
      </c>
      <c r="BO1405" s="279">
        <f>(BO1407)/(BO1411)</f>
        <v>136.3074478269194</v>
      </c>
      <c r="BP1405" s="279">
        <f>(BP1407)/(BP1411)</f>
        <v>144.02867660940154</v>
      </c>
      <c r="BR1405" s="279">
        <f>(BR1407)/(BR1411)</f>
        <v>142.21083281924737</v>
      </c>
      <c r="BS1405" s="279">
        <f>(BS1407)/(BS1411)</f>
        <v>147.36823414156257</v>
      </c>
      <c r="BU1405" s="279">
        <f>(BU1407)/(BU1411)</f>
        <v>147.20560452206021</v>
      </c>
      <c r="BV1405" s="279">
        <f>(BV1407)/(BV1411)</f>
        <v>155.54367121652868</v>
      </c>
      <c r="BX1405" s="279">
        <f>(BX1407)/(BX1411)</f>
        <v>160.75114539504443</v>
      </c>
      <c r="BY1405" s="279">
        <f>(BY1407)/(BY1411)</f>
        <v>176.78211412189032</v>
      </c>
      <c r="CA1405" s="279">
        <f>(CA1407)/(CA1411)</f>
        <v>151.85322853279243</v>
      </c>
      <c r="CB1405" s="279">
        <f>(CB1407)/(CB1411)</f>
        <v>177.93757810547362</v>
      </c>
      <c r="CD1405" s="279">
        <f>(CD1407)/(CD1411)</f>
        <v>160.53374147551145</v>
      </c>
      <c r="CE1405" s="279">
        <f>(CE1407)/(CE1411)</f>
        <v>172.82278151774784</v>
      </c>
      <c r="CG1405" s="279">
        <f>(CG1407)/(CG1411)</f>
        <v>789.292440980386</v>
      </c>
      <c r="CH1405" s="279">
        <f>(CH1407)/(CH1411)</f>
        <v>839.21672462851723</v>
      </c>
      <c r="CJ1405" s="279" t="e">
        <f>(CJ1407)/(CJ1411)</f>
        <v>#DIV/0!</v>
      </c>
      <c r="CK1405" s="279" t="e">
        <f>(CK1407)/(CK1411)</f>
        <v>#DIV/0!</v>
      </c>
    </row>
    <row r="1406" spans="1:89" x14ac:dyDescent="0.25">
      <c r="A1406" s="95"/>
      <c r="B1406" s="96" t="s">
        <v>1184</v>
      </c>
      <c r="C1406" s="107"/>
      <c r="D1406" s="95" t="s">
        <v>1114</v>
      </c>
      <c r="E1406" s="279">
        <f t="shared" ref="E1406:K1406" si="1742">(E1409)/(E1415)</f>
        <v>130.90504807692307</v>
      </c>
      <c r="F1406" s="279">
        <f t="shared" si="1742"/>
        <v>141.64319248826291</v>
      </c>
      <c r="G1406" s="279">
        <f t="shared" si="1742"/>
        <v>135.2254143646409</v>
      </c>
      <c r="H1406" s="279">
        <f t="shared" si="1742"/>
        <v>135.92690417690417</v>
      </c>
      <c r="I1406" s="279">
        <f t="shared" si="1742"/>
        <v>140.45652173913044</v>
      </c>
      <c r="J1406" s="279">
        <f t="shared" si="1742"/>
        <v>149.12617743702083</v>
      </c>
      <c r="K1406" s="279">
        <f t="shared" si="1742"/>
        <v>151.284425349087</v>
      </c>
      <c r="L1406" s="279" t="e">
        <f t="shared" ref="L1406:M1406" si="1743">(L1409)/(L1415)</f>
        <v>#DIV/0!</v>
      </c>
      <c r="M1406" s="279" t="e">
        <f t="shared" si="1743"/>
        <v>#DIV/0!</v>
      </c>
      <c r="N1406" s="279" t="e">
        <f t="shared" ref="N1406" si="1744">(N1409)/(N1415)</f>
        <v>#DIV/0!</v>
      </c>
      <c r="P1406" s="267">
        <v>149.13</v>
      </c>
      <c r="Q1406" s="279">
        <f>(Q1409)/(Q1415)</f>
        <v>151.284425349087</v>
      </c>
      <c r="R1406" s="279">
        <f>(R1409)/(R1415)</f>
        <v>158.22019438444923</v>
      </c>
      <c r="S1406" s="279" t="e">
        <f>(S1409)/(S1415)</f>
        <v>#DIV/0!</v>
      </c>
      <c r="T1406" s="279" t="e">
        <f>(T1409)/(T1415)</f>
        <v>#DIV/0!</v>
      </c>
      <c r="V1406" s="279" t="e">
        <f>(V1409)/(V1415)</f>
        <v>#DIV/0!</v>
      </c>
      <c r="W1406" s="279" t="e">
        <f>(W1409)/(W1415)</f>
        <v>#DIV/0!</v>
      </c>
      <c r="Y1406" s="279" t="e">
        <f>(Y1409)/(Y1415)</f>
        <v>#DIV/0!</v>
      </c>
      <c r="Z1406" s="279" t="e">
        <f>(Z1409)/(Z1415)</f>
        <v>#DIV/0!</v>
      </c>
      <c r="AB1406" s="279" t="e">
        <f>(AB1409)/(AB1415)</f>
        <v>#DIV/0!</v>
      </c>
      <c r="AC1406" s="279" t="e">
        <f>(AC1409)/(AC1415)</f>
        <v>#DIV/0!</v>
      </c>
      <c r="AE1406" s="279" t="e">
        <f>(AE1409)/(AE1415)</f>
        <v>#DIV/0!</v>
      </c>
      <c r="AF1406" s="279" t="e">
        <f>(AF1409)/(AF1415)</f>
        <v>#DIV/0!</v>
      </c>
      <c r="AH1406" s="279" t="e">
        <f>(AH1409)/(AH1415)</f>
        <v>#DIV/0!</v>
      </c>
      <c r="AI1406" s="279" t="e">
        <f>(AI1409)/(AI1415)</f>
        <v>#DIV/0!</v>
      </c>
      <c r="AK1406" s="279" t="e">
        <f>(AK1409)/(AK1415)</f>
        <v>#DIV/0!</v>
      </c>
      <c r="AL1406" s="279" t="e">
        <f>(AL1409)/(AL1415)</f>
        <v>#DIV/0!</v>
      </c>
      <c r="AN1406" s="279" t="e">
        <f>(AN1409)/(AN1415)</f>
        <v>#DIV/0!</v>
      </c>
      <c r="AO1406" s="279" t="e">
        <f>(AO1409)/(AO1415)</f>
        <v>#DIV/0!</v>
      </c>
      <c r="AQ1406" s="279" t="e">
        <f>(AQ1409)/(AQ1415)</f>
        <v>#DIV/0!</v>
      </c>
      <c r="AR1406" s="279" t="e">
        <f>(AR1409)/(AR1415)</f>
        <v>#DIV/0!</v>
      </c>
      <c r="AT1406" s="279" t="e">
        <f>(AT1409)/(AT1415)</f>
        <v>#DIV/0!</v>
      </c>
      <c r="AU1406" s="279" t="e">
        <f>(AU1409)/(AU1415)</f>
        <v>#DIV/0!</v>
      </c>
      <c r="AW1406" s="279" t="e">
        <f>(AW1409)/(AW1415)</f>
        <v>#DIV/0!</v>
      </c>
      <c r="AX1406" s="279" t="e">
        <f>(AX1409)/(AX1415)</f>
        <v>#DIV/0!</v>
      </c>
      <c r="AZ1406" s="279" t="e">
        <f>(AZ1409)/(AZ1415)</f>
        <v>#DIV/0!</v>
      </c>
      <c r="BA1406" s="279" t="e">
        <f>(BA1409)/(BA1415)</f>
        <v>#DIV/0!</v>
      </c>
      <c r="BC1406" s="279">
        <f>(BC1409)/(BC1415)</f>
        <v>145.86878306878307</v>
      </c>
      <c r="BD1406" s="279">
        <f>(BD1409)/(BD1415)</f>
        <v>168.18823529411765</v>
      </c>
      <c r="BF1406" s="279">
        <f>(BF1409)/(BF1415)</f>
        <v>142.17070707070707</v>
      </c>
      <c r="BG1406" s="279">
        <f>(BG1409)/(BG1415)</f>
        <v>151.83064516129033</v>
      </c>
      <c r="BI1406" s="279">
        <f>(BI1409)/(BI1415)</f>
        <v>145.54615384615386</v>
      </c>
      <c r="BJ1406" s="279">
        <f>(BJ1409)/(BJ1415)</f>
        <v>147.42407407407407</v>
      </c>
      <c r="BL1406" s="279" t="e">
        <f>(BL1409)/(BL1415)</f>
        <v>#DIV/0!</v>
      </c>
      <c r="BM1406" s="279" t="e">
        <f>(BM1409)/(BM1415)</f>
        <v>#DIV/0!</v>
      </c>
      <c r="BO1406" s="279" t="e">
        <f>(BO1409)/(BO1415)</f>
        <v>#DIV/0!</v>
      </c>
      <c r="BP1406" s="279" t="e">
        <f>(BP1409)/(BP1415)</f>
        <v>#DIV/0!</v>
      </c>
      <c r="BR1406" s="279" t="e">
        <f>(BR1409)/(BR1415)</f>
        <v>#DIV/0!</v>
      </c>
      <c r="BS1406" s="279" t="e">
        <f>(BS1409)/(BS1415)</f>
        <v>#DIV/0!</v>
      </c>
      <c r="BU1406" s="279" t="e">
        <f>(BU1409)/(BU1415)</f>
        <v>#DIV/0!</v>
      </c>
      <c r="BV1406" s="279" t="e">
        <f>(BV1409)/(BV1415)</f>
        <v>#DIV/0!</v>
      </c>
      <c r="BX1406" s="279" t="e">
        <f>(BX1409)/(BX1415)</f>
        <v>#DIV/0!</v>
      </c>
      <c r="BY1406" s="279" t="e">
        <f>(BY1409)/(BY1415)</f>
        <v>#DIV/0!</v>
      </c>
      <c r="CA1406" s="279" t="e">
        <f>(CA1409)/(CA1415)</f>
        <v>#DIV/0!</v>
      </c>
      <c r="CB1406" s="279" t="e">
        <f>(CB1409)/(CB1415)</f>
        <v>#DIV/0!</v>
      </c>
      <c r="CD1406" s="279">
        <f>(CD1409)/(CD1415)</f>
        <v>203.87647058823532</v>
      </c>
      <c r="CE1406" s="279">
        <f>(CE1409)/(CE1415)</f>
        <v>191.18181818181819</v>
      </c>
      <c r="CG1406" s="279" t="e">
        <f>(CG1409)/(CG1415)</f>
        <v>#DIV/0!</v>
      </c>
      <c r="CH1406" s="279" t="e">
        <f>(CH1409)/(CH1415)</f>
        <v>#DIV/0!</v>
      </c>
      <c r="CJ1406" s="279" t="e">
        <f>(CJ1409)/(CJ1415)</f>
        <v>#DIV/0!</v>
      </c>
      <c r="CK1406" s="279" t="e">
        <f>(CK1409)/(CK1415)</f>
        <v>#DIV/0!</v>
      </c>
    </row>
    <row r="1407" spans="1:89" ht="30" x14ac:dyDescent="0.25">
      <c r="A1407" s="107"/>
      <c r="B1407" s="16" t="s">
        <v>271</v>
      </c>
      <c r="C1407" s="95" t="s">
        <v>272</v>
      </c>
      <c r="D1407" s="95" t="s">
        <v>1114</v>
      </c>
      <c r="E1407" s="282">
        <v>26553998</v>
      </c>
      <c r="F1407" s="282">
        <v>29723108</v>
      </c>
      <c r="G1407" s="282">
        <v>30421565</v>
      </c>
      <c r="H1407" s="322">
        <f>H1408</f>
        <v>31576597.5</v>
      </c>
      <c r="I1407" s="322">
        <f>I1408</f>
        <v>32905587</v>
      </c>
      <c r="J1407" s="322">
        <f>J1408</f>
        <v>35897815.899999999</v>
      </c>
      <c r="K1407" s="322">
        <f>K1408</f>
        <v>38081120.200000003</v>
      </c>
      <c r="L1407" s="322">
        <f>L1408</f>
        <v>1371413.9</v>
      </c>
      <c r="M1407" s="322">
        <f t="shared" ref="M1407:N1407" si="1745">M1408</f>
        <v>1482851</v>
      </c>
      <c r="N1407" s="322">
        <f t="shared" si="1745"/>
        <v>1605733.8</v>
      </c>
      <c r="Q1407" s="322">
        <f>Q1408</f>
        <v>38081120.20000001</v>
      </c>
      <c r="R1407" s="322">
        <f>R1408</f>
        <v>41531771.800000004</v>
      </c>
      <c r="S1407" s="322">
        <f>S1408</f>
        <v>893023.4</v>
      </c>
      <c r="T1407" s="322">
        <f>T1408</f>
        <v>1020908.5</v>
      </c>
      <c r="V1407" s="322">
        <f>V1408</f>
        <v>913604</v>
      </c>
      <c r="W1407" s="322">
        <f>W1408</f>
        <v>961398.1</v>
      </c>
      <c r="Y1407" s="322">
        <f>Y1408</f>
        <v>1210717.5</v>
      </c>
      <c r="Z1407" s="322">
        <f>Z1408</f>
        <v>1307520.3</v>
      </c>
      <c r="AB1407" s="322">
        <f>AB1408</f>
        <v>1194672.3</v>
      </c>
      <c r="AC1407" s="322">
        <f>AC1408</f>
        <v>1265789.5</v>
      </c>
      <c r="AE1407" s="322">
        <f>AE1408</f>
        <v>1288915.2</v>
      </c>
      <c r="AF1407" s="322">
        <f>AF1408</f>
        <v>1421455.3</v>
      </c>
      <c r="AH1407" s="322">
        <f>AH1408</f>
        <v>1245059.8</v>
      </c>
      <c r="AI1407" s="322">
        <f>AI1408</f>
        <v>1371413.9</v>
      </c>
      <c r="AK1407" s="322">
        <f>AK1408</f>
        <v>1010974</v>
      </c>
      <c r="AL1407" s="322">
        <f>AL1408</f>
        <v>1061237.3999999999</v>
      </c>
      <c r="AN1407" s="322">
        <f>AN1408</f>
        <v>2787021.2</v>
      </c>
      <c r="AO1407" s="322">
        <f>AO1408</f>
        <v>3028092.7</v>
      </c>
      <c r="AQ1407" s="322">
        <f>AQ1408</f>
        <v>1137079.2</v>
      </c>
      <c r="AR1407" s="322">
        <f>AR1408</f>
        <v>1297589.6000000001</v>
      </c>
      <c r="AT1407" s="322">
        <f>AT1408</f>
        <v>2026299</v>
      </c>
      <c r="AU1407" s="322">
        <f>AU1408</f>
        <v>2123916.5</v>
      </c>
      <c r="AW1407" s="322">
        <f>AW1408</f>
        <v>790103.9</v>
      </c>
      <c r="AX1407" s="322">
        <f>AX1408</f>
        <v>834508.6</v>
      </c>
      <c r="AZ1407" s="322">
        <f>AZ1408</f>
        <v>1234354.5</v>
      </c>
      <c r="BA1407" s="322">
        <f>BA1408</f>
        <v>1372289.1</v>
      </c>
      <c r="BC1407" s="322">
        <f>BC1408</f>
        <v>2282974.9</v>
      </c>
      <c r="BD1407" s="322">
        <f>BD1408</f>
        <v>2433081.2999999998</v>
      </c>
      <c r="BF1407" s="322">
        <f>BF1408</f>
        <v>4606577.7</v>
      </c>
      <c r="BG1407" s="322">
        <f>BG1408</f>
        <v>5100518.5</v>
      </c>
      <c r="BI1407" s="322">
        <f>BI1408</f>
        <v>6907461.4000000004</v>
      </c>
      <c r="BJ1407" s="322">
        <f>BJ1408</f>
        <v>7565174.2000000002</v>
      </c>
      <c r="BL1407" s="322">
        <f>BL1408</f>
        <v>794994.2</v>
      </c>
      <c r="BM1407" s="322">
        <f>BM1408</f>
        <v>843918.6</v>
      </c>
      <c r="BO1407" s="322">
        <f>BO1408</f>
        <v>711933.8</v>
      </c>
      <c r="BP1407" s="322">
        <f>BP1408</f>
        <v>762919.9</v>
      </c>
      <c r="BR1407" s="322">
        <f>BR1408</f>
        <v>1152618.8</v>
      </c>
      <c r="BS1407" s="322">
        <f>BS1408</f>
        <v>1203409</v>
      </c>
      <c r="BU1407" s="322">
        <f>BU1408</f>
        <v>1164087.2</v>
      </c>
      <c r="BV1407" s="322">
        <f>BV1408</f>
        <v>1251224.3999999999</v>
      </c>
      <c r="BX1407" s="322">
        <f>BX1408</f>
        <v>343846.7</v>
      </c>
      <c r="BY1407" s="322">
        <f>BY1408</f>
        <v>382309</v>
      </c>
      <c r="CA1407" s="322">
        <f>CA1408</f>
        <v>898363.7</v>
      </c>
      <c r="CB1407" s="322">
        <f>CB1408</f>
        <v>1139085.2</v>
      </c>
      <c r="CD1407" s="322">
        <f>CD1408</f>
        <v>1035763.7</v>
      </c>
      <c r="CE1407" s="322">
        <f>CE1408</f>
        <v>1129569.7</v>
      </c>
      <c r="CG1407" s="322">
        <f>CG1408</f>
        <v>2450674.1</v>
      </c>
      <c r="CH1407" s="322">
        <f>CH1408</f>
        <v>2654442.5</v>
      </c>
      <c r="CJ1407" s="322">
        <f>CJ1408</f>
        <v>0</v>
      </c>
      <c r="CK1407" s="322">
        <f>CK1408</f>
        <v>0</v>
      </c>
    </row>
    <row r="1408" spans="1:89" ht="30" x14ac:dyDescent="0.25">
      <c r="A1408" s="107"/>
      <c r="B1408" s="312"/>
      <c r="C1408" s="312" t="s">
        <v>1520</v>
      </c>
      <c r="D1408" s="95"/>
      <c r="E1408" s="282"/>
      <c r="F1408" s="282"/>
      <c r="G1408" s="282"/>
      <c r="H1408" s="322">
        <v>31576597.5</v>
      </c>
      <c r="I1408" s="322">
        <v>32905587</v>
      </c>
      <c r="J1408" s="322">
        <v>35897815.899999999</v>
      </c>
      <c r="K1408" s="322">
        <v>38081120.200000003</v>
      </c>
      <c r="L1408" s="322">
        <v>1371413.9</v>
      </c>
      <c r="M1408" s="322">
        <v>1482851</v>
      </c>
      <c r="N1408" s="322">
        <v>1605733.8</v>
      </c>
      <c r="O1408" s="299"/>
      <c r="P1408" s="299"/>
      <c r="Q1408" s="299">
        <f>S1408+V1408+Y1408+AB1408+AE1408+AH1408+AK1408+AN1408+AQ1408+AT1408+AW1408+AZ1408+BC1408+BF1408+BI1408+BL1408+BO1408+BR1408+BU1408+BX1408+CA1408+CD1408+CG1408+CJ1408</f>
        <v>38081120.20000001</v>
      </c>
      <c r="R1408" s="299">
        <f>T1408+W1408+Z1408+AC1408+AF1408+AI1408+AL1408+AO1408+AR1408+AU1408+AX1408+BA1408+BD1408+BG1408+BJ1408+BM1408+BP1408+BS1408+BV1408+BY1408+CB1408+CE1408+CH1408+CK1408</f>
        <v>41531771.800000004</v>
      </c>
      <c r="S1408" s="299">
        <v>893023.4</v>
      </c>
      <c r="T1408" s="299">
        <v>1020908.5</v>
      </c>
      <c r="U1408" s="299"/>
      <c r="V1408" s="299">
        <v>913604</v>
      </c>
      <c r="W1408" s="299">
        <v>961398.1</v>
      </c>
      <c r="X1408" s="299"/>
      <c r="Y1408" s="299">
        <v>1210717.5</v>
      </c>
      <c r="Z1408" s="299">
        <v>1307520.3</v>
      </c>
      <c r="AA1408" s="299"/>
      <c r="AB1408" s="299">
        <v>1194672.3</v>
      </c>
      <c r="AC1408" s="299">
        <v>1265789.5</v>
      </c>
      <c r="AD1408" s="299"/>
      <c r="AE1408" s="299">
        <v>1288915.2</v>
      </c>
      <c r="AF1408" s="299">
        <v>1421455.3</v>
      </c>
      <c r="AG1408" s="299"/>
      <c r="AH1408" s="299">
        <v>1245059.8</v>
      </c>
      <c r="AI1408" s="299">
        <v>1371413.9</v>
      </c>
      <c r="AJ1408" s="299"/>
      <c r="AK1408" s="299">
        <v>1010974</v>
      </c>
      <c r="AL1408" s="299">
        <v>1061237.3999999999</v>
      </c>
      <c r="AM1408" s="299"/>
      <c r="AN1408" s="299">
        <v>2787021.2</v>
      </c>
      <c r="AO1408" s="299">
        <v>3028092.7</v>
      </c>
      <c r="AP1408" s="299"/>
      <c r="AQ1408" s="299">
        <v>1137079.2</v>
      </c>
      <c r="AR1408" s="299">
        <v>1297589.6000000001</v>
      </c>
      <c r="AS1408" s="299"/>
      <c r="AT1408" s="299">
        <v>2026299</v>
      </c>
      <c r="AU1408" s="299">
        <v>2123916.5</v>
      </c>
      <c r="AV1408" s="299"/>
      <c r="AW1408" s="299">
        <v>790103.9</v>
      </c>
      <c r="AX1408" s="299">
        <v>834508.6</v>
      </c>
      <c r="AY1408" s="299"/>
      <c r="AZ1408" s="299">
        <v>1234354.5</v>
      </c>
      <c r="BA1408" s="299">
        <v>1372289.1</v>
      </c>
      <c r="BB1408" s="299"/>
      <c r="BC1408" s="299">
        <v>2282974.9</v>
      </c>
      <c r="BD1408" s="299">
        <v>2433081.2999999998</v>
      </c>
      <c r="BE1408" s="299"/>
      <c r="BF1408" s="299">
        <v>4606577.7</v>
      </c>
      <c r="BG1408" s="299">
        <v>5100518.5</v>
      </c>
      <c r="BH1408" s="299"/>
      <c r="BI1408" s="299">
        <v>6907461.4000000004</v>
      </c>
      <c r="BJ1408" s="299">
        <v>7565174.2000000002</v>
      </c>
      <c r="BK1408" s="299"/>
      <c r="BL1408" s="299">
        <v>794994.2</v>
      </c>
      <c r="BM1408" s="299">
        <v>843918.6</v>
      </c>
      <c r="BN1408" s="299"/>
      <c r="BO1408" s="299">
        <v>711933.8</v>
      </c>
      <c r="BP1408" s="299">
        <v>762919.9</v>
      </c>
      <c r="BQ1408" s="299"/>
      <c r="BR1408" s="299">
        <v>1152618.8</v>
      </c>
      <c r="BS1408" s="299">
        <v>1203409</v>
      </c>
      <c r="BT1408" s="299"/>
      <c r="BU1408" s="299">
        <v>1164087.2</v>
      </c>
      <c r="BV1408" s="299">
        <v>1251224.3999999999</v>
      </c>
      <c r="BW1408" s="299"/>
      <c r="BX1408" s="299">
        <v>343846.7</v>
      </c>
      <c r="BY1408" s="299">
        <v>382309</v>
      </c>
      <c r="BZ1408" s="299"/>
      <c r="CA1408" s="299">
        <v>898363.7</v>
      </c>
      <c r="CB1408" s="299">
        <v>1139085.2</v>
      </c>
      <c r="CC1408" s="299"/>
      <c r="CD1408" s="299">
        <v>1035763.7</v>
      </c>
      <c r="CE1408" s="299">
        <v>1129569.7</v>
      </c>
      <c r="CF1408" s="299"/>
      <c r="CG1408" s="299">
        <v>2450674.1</v>
      </c>
      <c r="CH1408" s="299">
        <v>2654442.5</v>
      </c>
      <c r="CI1408" s="299"/>
      <c r="CJ1408" s="299">
        <v>0</v>
      </c>
      <c r="CK1408" s="299">
        <v>0</v>
      </c>
    </row>
    <row r="1409" spans="1:89" ht="60" x14ac:dyDescent="0.25">
      <c r="A1409" s="107"/>
      <c r="B1409" s="16" t="s">
        <v>273</v>
      </c>
      <c r="C1409" s="95" t="s">
        <v>274</v>
      </c>
      <c r="D1409" s="95" t="s">
        <v>1114</v>
      </c>
      <c r="E1409" s="282">
        <v>108913</v>
      </c>
      <c r="F1409" s="282">
        <v>120680</v>
      </c>
      <c r="G1409" s="282">
        <v>122379</v>
      </c>
      <c r="H1409" s="322">
        <f>H1410</f>
        <v>110644.5</v>
      </c>
      <c r="I1409" s="322">
        <f>I1410</f>
        <v>119528.5</v>
      </c>
      <c r="J1409" s="322">
        <f>J1410</f>
        <v>136152.20000000001</v>
      </c>
      <c r="K1409" s="322">
        <f>K1410</f>
        <v>140845.79999999999</v>
      </c>
      <c r="L1409" s="322">
        <f>L1410</f>
        <v>0</v>
      </c>
      <c r="M1409" s="322">
        <v>0</v>
      </c>
      <c r="N1409" s="322">
        <v>0</v>
      </c>
      <c r="O1409" s="281" t="s">
        <v>281</v>
      </c>
      <c r="Q1409" s="322">
        <f>Q1410</f>
        <v>140845.79999999999</v>
      </c>
      <c r="R1409" s="322">
        <f>R1410</f>
        <v>146511.9</v>
      </c>
      <c r="S1409" s="322">
        <f>S1410</f>
        <v>0</v>
      </c>
      <c r="T1409" s="322">
        <f>T1410</f>
        <v>0</v>
      </c>
      <c r="V1409" s="322">
        <f>V1410</f>
        <v>0</v>
      </c>
      <c r="W1409" s="322">
        <f>W1410</f>
        <v>0</v>
      </c>
      <c r="Y1409" s="322">
        <f>Y1410</f>
        <v>0</v>
      </c>
      <c r="Z1409" s="322">
        <f>Z1410</f>
        <v>0</v>
      </c>
      <c r="AB1409" s="322">
        <f>AB1410</f>
        <v>0</v>
      </c>
      <c r="AC1409" s="322">
        <f>AC1410</f>
        <v>0</v>
      </c>
      <c r="AE1409" s="322">
        <f>AE1410</f>
        <v>0</v>
      </c>
      <c r="AF1409" s="322">
        <f>AF1410</f>
        <v>0</v>
      </c>
      <c r="AH1409" s="322">
        <f>AH1410</f>
        <v>0</v>
      </c>
      <c r="AI1409" s="322">
        <f>AI1410</f>
        <v>0</v>
      </c>
      <c r="AK1409" s="322">
        <f>AK1410</f>
        <v>0</v>
      </c>
      <c r="AL1409" s="322">
        <f>AL1410</f>
        <v>0</v>
      </c>
      <c r="AN1409" s="322">
        <f>AN1410</f>
        <v>0</v>
      </c>
      <c r="AO1409" s="322">
        <f>AO1410</f>
        <v>0</v>
      </c>
      <c r="AQ1409" s="322">
        <f>AQ1410</f>
        <v>0</v>
      </c>
      <c r="AR1409" s="322">
        <f>AR1410</f>
        <v>0</v>
      </c>
      <c r="AT1409" s="322">
        <f>AT1410</f>
        <v>0</v>
      </c>
      <c r="AU1409" s="322">
        <f>AU1410</f>
        <v>0</v>
      </c>
      <c r="AW1409" s="322">
        <f>AW1410</f>
        <v>0</v>
      </c>
      <c r="AX1409" s="322">
        <f>AX1410</f>
        <v>0</v>
      </c>
      <c r="AZ1409" s="322">
        <f>AZ1410</f>
        <v>0</v>
      </c>
      <c r="BA1409" s="322">
        <f>BA1410</f>
        <v>0</v>
      </c>
      <c r="BC1409" s="322">
        <f>BC1410</f>
        <v>27569.200000000001</v>
      </c>
      <c r="BD1409" s="322">
        <f>BD1410</f>
        <v>31451.200000000001</v>
      </c>
      <c r="BF1409" s="322">
        <f>BF1410</f>
        <v>28149.8</v>
      </c>
      <c r="BG1409" s="322">
        <f>BG1410</f>
        <v>28240.5</v>
      </c>
      <c r="BI1409" s="322">
        <f>BI1410</f>
        <v>64331.4</v>
      </c>
      <c r="BJ1409" s="322">
        <f>BJ1410</f>
        <v>63687.199999999997</v>
      </c>
      <c r="BL1409" s="322">
        <f>BL1410</f>
        <v>0</v>
      </c>
      <c r="BM1409" s="322">
        <f>BM1410</f>
        <v>0</v>
      </c>
      <c r="BO1409" s="322">
        <f>BO1410</f>
        <v>0</v>
      </c>
      <c r="BP1409" s="322">
        <f>BP1410</f>
        <v>0</v>
      </c>
      <c r="BR1409" s="322">
        <f>BR1410</f>
        <v>0</v>
      </c>
      <c r="BS1409" s="322">
        <f>BS1410</f>
        <v>0</v>
      </c>
      <c r="BU1409" s="322">
        <f>BU1410</f>
        <v>0</v>
      </c>
      <c r="BV1409" s="322">
        <f>BV1410</f>
        <v>0</v>
      </c>
      <c r="BX1409" s="322">
        <f>BX1410</f>
        <v>0</v>
      </c>
      <c r="BY1409" s="322">
        <f>BY1410</f>
        <v>0</v>
      </c>
      <c r="CA1409" s="322">
        <f>CA1410</f>
        <v>0</v>
      </c>
      <c r="CB1409" s="322">
        <f>CB1410</f>
        <v>0</v>
      </c>
      <c r="CD1409" s="322">
        <f>CD1410</f>
        <v>20795.400000000001</v>
      </c>
      <c r="CE1409" s="322">
        <f>CE1410</f>
        <v>23133</v>
      </c>
      <c r="CG1409" s="322">
        <f>CG1410</f>
        <v>0</v>
      </c>
      <c r="CH1409" s="322">
        <f>CH1410</f>
        <v>0</v>
      </c>
      <c r="CJ1409" s="322">
        <f>CJ1410</f>
        <v>0</v>
      </c>
      <c r="CK1409" s="322">
        <f>CK1410</f>
        <v>0</v>
      </c>
    </row>
    <row r="1410" spans="1:89" ht="30" x14ac:dyDescent="0.25">
      <c r="A1410" s="107"/>
      <c r="B1410" s="312"/>
      <c r="C1410" s="312" t="s">
        <v>1520</v>
      </c>
      <c r="D1410" s="95"/>
      <c r="E1410" s="282"/>
      <c r="F1410" s="282"/>
      <c r="G1410" s="282"/>
      <c r="H1410" s="322">
        <v>110644.5</v>
      </c>
      <c r="I1410" s="322">
        <v>119528.5</v>
      </c>
      <c r="J1410" s="322">
        <v>136152.20000000001</v>
      </c>
      <c r="K1410" s="322">
        <v>140845.79999999999</v>
      </c>
      <c r="L1410" s="322">
        <v>0</v>
      </c>
      <c r="M1410" s="322">
        <v>0</v>
      </c>
      <c r="N1410" s="322">
        <v>0</v>
      </c>
      <c r="O1410" s="281"/>
      <c r="P1410" s="299"/>
      <c r="Q1410" s="299">
        <f>S1410+V1410+Y1410+AB1410+AE1410+AH1410+AK1410+AN1410+AQ1410+AT1410+AW1410+AZ1410+BC1410+BF1410+BI1410+BL1410+BO1410+BR1410+BU1410+BX1410+CA1410+CD1410+CG1410+CJ1410</f>
        <v>140845.79999999999</v>
      </c>
      <c r="R1410" s="299">
        <f>T1410+W1410+Z1410+AC1410+AF1410+AI1410+AL1410+AO1410+AR1410+AU1410+AX1410+BA1410+BD1410+BG1410+BJ1410+BM1410+BP1410+BS1410+BV1410+BY1410+CB1410+CE1410+CH1410+CK1410</f>
        <v>146511.9</v>
      </c>
      <c r="S1410" s="299">
        <v>0</v>
      </c>
      <c r="T1410" s="299">
        <v>0</v>
      </c>
      <c r="U1410" s="299"/>
      <c r="V1410" s="299">
        <v>0</v>
      </c>
      <c r="W1410" s="299">
        <v>0</v>
      </c>
      <c r="X1410" s="299"/>
      <c r="Y1410" s="299">
        <v>0</v>
      </c>
      <c r="Z1410" s="299">
        <v>0</v>
      </c>
      <c r="AA1410" s="299"/>
      <c r="AB1410" s="299">
        <v>0</v>
      </c>
      <c r="AC1410" s="299">
        <v>0</v>
      </c>
      <c r="AD1410" s="299"/>
      <c r="AE1410" s="299">
        <v>0</v>
      </c>
      <c r="AF1410" s="299">
        <v>0</v>
      </c>
      <c r="AG1410" s="299"/>
      <c r="AH1410" s="299">
        <v>0</v>
      </c>
      <c r="AI1410" s="299">
        <v>0</v>
      </c>
      <c r="AJ1410" s="299"/>
      <c r="AK1410" s="299">
        <v>0</v>
      </c>
      <c r="AL1410" s="299">
        <v>0</v>
      </c>
      <c r="AM1410" s="299"/>
      <c r="AN1410" s="299">
        <v>0</v>
      </c>
      <c r="AO1410" s="299">
        <v>0</v>
      </c>
      <c r="AP1410" s="299"/>
      <c r="AQ1410" s="299">
        <v>0</v>
      </c>
      <c r="AR1410" s="299">
        <v>0</v>
      </c>
      <c r="AS1410" s="299"/>
      <c r="AT1410" s="299">
        <v>0</v>
      </c>
      <c r="AU1410" s="299">
        <v>0</v>
      </c>
      <c r="AV1410" s="299"/>
      <c r="AW1410" s="299">
        <v>0</v>
      </c>
      <c r="AX1410" s="299">
        <v>0</v>
      </c>
      <c r="AY1410" s="299"/>
      <c r="AZ1410" s="299">
        <v>0</v>
      </c>
      <c r="BA1410" s="299">
        <v>0</v>
      </c>
      <c r="BB1410" s="299"/>
      <c r="BC1410" s="299">
        <v>27569.200000000001</v>
      </c>
      <c r="BD1410" s="299">
        <v>31451.200000000001</v>
      </c>
      <c r="BE1410" s="299"/>
      <c r="BF1410" s="299">
        <v>28149.8</v>
      </c>
      <c r="BG1410" s="299">
        <v>28240.5</v>
      </c>
      <c r="BH1410" s="299"/>
      <c r="BI1410" s="299">
        <v>64331.4</v>
      </c>
      <c r="BJ1410" s="299">
        <v>63687.199999999997</v>
      </c>
      <c r="BK1410" s="299"/>
      <c r="BL1410" s="299">
        <v>0</v>
      </c>
      <c r="BM1410" s="299">
        <v>0</v>
      </c>
      <c r="BN1410" s="299"/>
      <c r="BO1410" s="299">
        <v>0</v>
      </c>
      <c r="BP1410" s="299">
        <v>0</v>
      </c>
      <c r="BQ1410" s="299"/>
      <c r="BR1410" s="299">
        <v>0</v>
      </c>
      <c r="BS1410" s="299">
        <v>0</v>
      </c>
      <c r="BT1410" s="299"/>
      <c r="BU1410" s="299">
        <v>0</v>
      </c>
      <c r="BV1410" s="299">
        <v>0</v>
      </c>
      <c r="BW1410" s="299"/>
      <c r="BX1410" s="299">
        <v>0</v>
      </c>
      <c r="BY1410" s="299">
        <v>0</v>
      </c>
      <c r="BZ1410" s="299"/>
      <c r="CA1410" s="299">
        <v>0</v>
      </c>
      <c r="CB1410" s="299">
        <v>0</v>
      </c>
      <c r="CC1410" s="299"/>
      <c r="CD1410" s="299">
        <v>20795.400000000001</v>
      </c>
      <c r="CE1410" s="299">
        <v>23133</v>
      </c>
      <c r="CF1410" s="299"/>
      <c r="CG1410" s="299">
        <v>0</v>
      </c>
      <c r="CH1410" s="299">
        <v>0</v>
      </c>
      <c r="CI1410" s="299"/>
      <c r="CJ1410" s="299">
        <v>0</v>
      </c>
      <c r="CK1410" s="299">
        <v>0</v>
      </c>
    </row>
    <row r="1411" spans="1:89" ht="30" x14ac:dyDescent="0.25">
      <c r="A1411" s="107"/>
      <c r="B1411" s="16" t="s">
        <v>275</v>
      </c>
      <c r="C1411" s="95" t="s">
        <v>276</v>
      </c>
      <c r="D1411" s="95" t="s">
        <v>950</v>
      </c>
      <c r="E1411" s="282">
        <v>189729</v>
      </c>
      <c r="F1411" s="282">
        <v>194254</v>
      </c>
      <c r="G1411" s="282">
        <v>201353</v>
      </c>
      <c r="H1411" s="322">
        <f>H1412+H1414</f>
        <v>197429.4</v>
      </c>
      <c r="I1411" s="322">
        <f>I1412+I1414</f>
        <v>213680.7</v>
      </c>
      <c r="J1411" s="322">
        <f>J1412+J1414+J1413</f>
        <v>220440.40000000002</v>
      </c>
      <c r="K1411" s="322">
        <f>K1412+K1414+K1413</f>
        <v>226687.40000000002</v>
      </c>
      <c r="L1411" s="322">
        <f>L1412+L1414+L1413</f>
        <v>4823.8</v>
      </c>
      <c r="M1411" s="322">
        <f>M1412+M1414+M1413</f>
        <v>4791.3</v>
      </c>
      <c r="N1411" s="322">
        <f>N1412+N1414+N1413</f>
        <v>4745.3999999999996</v>
      </c>
      <c r="Q1411" s="322">
        <f>Q1412+Q1414+Q1413</f>
        <v>226687.4</v>
      </c>
      <c r="R1411" s="322">
        <f>R1412+R1414+R1413</f>
        <v>232688.7</v>
      </c>
      <c r="S1411" s="322">
        <f>S1412+S1414+S1413</f>
        <v>4295.6000000000004</v>
      </c>
      <c r="T1411" s="322">
        <f>T1412+T1414+T1413</f>
        <v>4401.3999999999996</v>
      </c>
      <c r="V1411" s="322">
        <f>V1412+V1414+V1413</f>
        <v>3935</v>
      </c>
      <c r="W1411" s="322">
        <f>W1412+W1414+W1413</f>
        <v>3901</v>
      </c>
      <c r="Y1411" s="322">
        <f>Y1412+Y1414+Y1413</f>
        <v>4872.8</v>
      </c>
      <c r="Z1411" s="322">
        <f>Z1412+Z1414+Z1413</f>
        <v>4791.6000000000004</v>
      </c>
      <c r="AB1411" s="322">
        <f>AB1412+AB1414+AB1413</f>
        <v>5326.4000000000005</v>
      </c>
      <c r="AC1411" s="322">
        <f>AC1412+AC1414+AC1413</f>
        <v>5302.4</v>
      </c>
      <c r="AE1411" s="322">
        <f>AE1412+AE1414+AE1413</f>
        <v>4826</v>
      </c>
      <c r="AF1411" s="322">
        <f>AF1412+AF1414+AF1413</f>
        <v>4835</v>
      </c>
      <c r="AH1411" s="322">
        <f>AH1412+AH1414+AH1413</f>
        <v>4876.2999999999993</v>
      </c>
      <c r="AI1411" s="322">
        <f>AI1412+AI1414+AI1413</f>
        <v>4823.8</v>
      </c>
      <c r="AK1411" s="322">
        <f>AK1412+AK1414+AK1413</f>
        <v>6191.3</v>
      </c>
      <c r="AL1411" s="322">
        <f>AL1412+AL1414+AL1413</f>
        <v>6300</v>
      </c>
      <c r="AN1411" s="322">
        <f>AN1412+AN1414+AN1413</f>
        <v>17347</v>
      </c>
      <c r="AO1411" s="322">
        <f>AO1412+AO1414+AO1413</f>
        <v>17540</v>
      </c>
      <c r="AQ1411" s="322">
        <f>AQ1412+AQ1414+AQ1413</f>
        <v>2478</v>
      </c>
      <c r="AR1411" s="322">
        <f>AR1412+AR1414+AR1413</f>
        <v>2464</v>
      </c>
      <c r="AT1411" s="322">
        <f>AT1412+AT1414+AT1413</f>
        <v>13851.9</v>
      </c>
      <c r="AU1411" s="322">
        <f>AU1412+AU1414+AU1413</f>
        <v>14577.1</v>
      </c>
      <c r="AW1411" s="322">
        <f>AW1412+AW1414+AW1413</f>
        <v>5195.3</v>
      </c>
      <c r="AX1411" s="322">
        <f>AX1412+AX1414+AX1413</f>
        <v>5305</v>
      </c>
      <c r="AZ1411" s="322">
        <f>AZ1412+AZ1414+AZ1413</f>
        <v>7874</v>
      </c>
      <c r="BA1411" s="322">
        <f>BA1412+BA1414+BA1413</f>
        <v>7814</v>
      </c>
      <c r="BC1411" s="322">
        <f>BC1412+BC1414+BC1413</f>
        <v>15938</v>
      </c>
      <c r="BD1411" s="322">
        <f>BD1412+BD1414+BD1413</f>
        <v>16201</v>
      </c>
      <c r="BF1411" s="322">
        <f>BF1412+BF1414+BF1413</f>
        <v>33657</v>
      </c>
      <c r="BG1411" s="322">
        <f>BG1412+BG1414+BG1413</f>
        <v>34806</v>
      </c>
      <c r="BI1411" s="322">
        <f>BI1412+BI1414+BI1413</f>
        <v>51645</v>
      </c>
      <c r="BJ1411" s="322">
        <f>BJ1412+BJ1414+BJ1413</f>
        <v>54292</v>
      </c>
      <c r="BL1411" s="322">
        <f>BL1412+BL1414+BL1413</f>
        <v>5530</v>
      </c>
      <c r="BM1411" s="322">
        <f>BM1412+BM1414+BM1413</f>
        <v>5564</v>
      </c>
      <c r="BO1411" s="322">
        <f>BO1412+BO1414+BO1413</f>
        <v>5223</v>
      </c>
      <c r="BP1411" s="322">
        <f>BP1412+BP1414+BP1413</f>
        <v>5297</v>
      </c>
      <c r="BR1411" s="322">
        <f>BR1412+BR1414+BR1413</f>
        <v>8105</v>
      </c>
      <c r="BS1411" s="322">
        <f>BS1412+BS1414+BS1413</f>
        <v>8166</v>
      </c>
      <c r="BU1411" s="322">
        <f>BU1412+BU1414+BU1413</f>
        <v>7907.9</v>
      </c>
      <c r="BV1411" s="322">
        <f>BV1412+BV1414+BV1413</f>
        <v>8044.2</v>
      </c>
      <c r="BX1411" s="322">
        <f>BX1412+BX1414+BX1413</f>
        <v>2139</v>
      </c>
      <c r="BY1411" s="322">
        <f>BY1412+BY1414+BY1413</f>
        <v>2162.6</v>
      </c>
      <c r="CA1411" s="322">
        <f>CA1412+CA1414+CA1413</f>
        <v>5916</v>
      </c>
      <c r="CB1411" s="322">
        <f>CB1412+CB1414+CB1413</f>
        <v>6401.6</v>
      </c>
      <c r="CD1411" s="322">
        <f>CD1412+CD1414+CD1413</f>
        <v>6452</v>
      </c>
      <c r="CE1411" s="322">
        <f>CE1412+CE1414+CE1413</f>
        <v>6536</v>
      </c>
      <c r="CG1411" s="322">
        <f>CG1412+CG1414+CG1413</f>
        <v>3104.8999999999996</v>
      </c>
      <c r="CH1411" s="322">
        <f>CH1412+CH1414+CH1413</f>
        <v>3163</v>
      </c>
      <c r="CJ1411" s="322">
        <f>CJ1412+CJ1414+CJ1413</f>
        <v>0</v>
      </c>
      <c r="CK1411" s="322">
        <f>CK1412+CK1414+CK1413</f>
        <v>0</v>
      </c>
    </row>
    <row r="1412" spans="1:89" ht="30" x14ac:dyDescent="0.25">
      <c r="A1412" s="107"/>
      <c r="B1412" s="95"/>
      <c r="C1412" s="95" t="s">
        <v>1521</v>
      </c>
      <c r="D1412" s="95"/>
      <c r="E1412" s="282"/>
      <c r="F1412" s="282"/>
      <c r="G1412" s="282"/>
      <c r="H1412" s="322">
        <v>197029.5</v>
      </c>
      <c r="I1412" s="322">
        <f>203798.6+9882.1</f>
        <v>213680.7</v>
      </c>
      <c r="J1412" s="322">
        <v>210472.2</v>
      </c>
      <c r="K1412" s="322">
        <v>217069.7</v>
      </c>
      <c r="L1412" s="322">
        <v>4458</v>
      </c>
      <c r="M1412" s="322">
        <v>4342</v>
      </c>
      <c r="N1412" s="322">
        <v>4309</v>
      </c>
      <c r="P1412" s="299"/>
      <c r="Q1412" s="299">
        <f t="shared" ref="Q1412:R1414" si="1746">S1412+V1412+Y1412+AB1412+AE1412+AH1412+AK1412+AN1412+AQ1412+AT1412+AW1412+AZ1412+BC1412+BF1412+BI1412+BL1412+BO1412+BR1412+BU1412+BX1412+CA1412+CD1412+CG1412+CJ1412</f>
        <v>217069.69999999998</v>
      </c>
      <c r="R1412" s="299">
        <f t="shared" si="1746"/>
        <v>222843.80000000002</v>
      </c>
      <c r="S1412" s="299">
        <v>3860.6</v>
      </c>
      <c r="T1412" s="299">
        <v>3968.9</v>
      </c>
      <c r="U1412" s="299"/>
      <c r="V1412" s="299">
        <v>3595</v>
      </c>
      <c r="W1412" s="299">
        <v>3596</v>
      </c>
      <c r="X1412" s="299"/>
      <c r="Y1412" s="299">
        <v>4409.8</v>
      </c>
      <c r="Z1412" s="299">
        <v>4368.5</v>
      </c>
      <c r="AA1412" s="299"/>
      <c r="AB1412" s="299">
        <v>5128.8</v>
      </c>
      <c r="AC1412" s="299">
        <v>5111.7</v>
      </c>
      <c r="AD1412" s="299"/>
      <c r="AE1412" s="299">
        <v>3824</v>
      </c>
      <c r="AF1412" s="299">
        <v>3889</v>
      </c>
      <c r="AG1412" s="299"/>
      <c r="AH1412" s="299">
        <v>4480.8999999999996</v>
      </c>
      <c r="AI1412" s="299">
        <v>4458</v>
      </c>
      <c r="AJ1412" s="299"/>
      <c r="AK1412" s="299">
        <v>6191.3</v>
      </c>
      <c r="AL1412" s="299">
        <v>6300</v>
      </c>
      <c r="AM1412" s="299"/>
      <c r="AN1412" s="299">
        <v>17156</v>
      </c>
      <c r="AO1412" s="299">
        <v>17350</v>
      </c>
      <c r="AP1412" s="299"/>
      <c r="AQ1412" s="299">
        <v>2124</v>
      </c>
      <c r="AR1412" s="299">
        <v>2150</v>
      </c>
      <c r="AS1412" s="299"/>
      <c r="AT1412" s="299">
        <v>13642.9</v>
      </c>
      <c r="AU1412" s="299">
        <v>14222.1</v>
      </c>
      <c r="AV1412" s="299"/>
      <c r="AW1412" s="299">
        <v>5195.3</v>
      </c>
      <c r="AX1412" s="299">
        <v>5305</v>
      </c>
      <c r="AY1412" s="299"/>
      <c r="AZ1412" s="299">
        <v>7317</v>
      </c>
      <c r="BA1412" s="299">
        <v>7285</v>
      </c>
      <c r="BB1412" s="299"/>
      <c r="BC1412" s="299">
        <v>14221</v>
      </c>
      <c r="BD1412" s="299">
        <v>14589</v>
      </c>
      <c r="BE1412" s="299"/>
      <c r="BF1412" s="299">
        <v>33553</v>
      </c>
      <c r="BG1412" s="299">
        <v>34573</v>
      </c>
      <c r="BH1412" s="299"/>
      <c r="BI1412" s="299">
        <v>49738</v>
      </c>
      <c r="BJ1412" s="299">
        <v>52316</v>
      </c>
      <c r="BK1412" s="299"/>
      <c r="BL1412" s="299">
        <v>5530</v>
      </c>
      <c r="BM1412" s="299">
        <v>5564</v>
      </c>
      <c r="BN1412" s="299"/>
      <c r="BO1412" s="299">
        <v>5223</v>
      </c>
      <c r="BP1412" s="299">
        <v>5297</v>
      </c>
      <c r="BQ1412" s="299"/>
      <c r="BR1412" s="299">
        <v>7970</v>
      </c>
      <c r="BS1412" s="299">
        <v>8050</v>
      </c>
      <c r="BT1412" s="299"/>
      <c r="BU1412" s="299">
        <v>7907.9</v>
      </c>
      <c r="BV1412" s="299">
        <v>8044.2</v>
      </c>
      <c r="BW1412" s="299"/>
      <c r="BX1412" s="299">
        <v>2139</v>
      </c>
      <c r="BY1412" s="299">
        <v>2162.6</v>
      </c>
      <c r="BZ1412" s="299"/>
      <c r="CA1412" s="299">
        <v>5622</v>
      </c>
      <c r="CB1412" s="299">
        <v>5832.3</v>
      </c>
      <c r="CC1412" s="299"/>
      <c r="CD1412" s="299">
        <v>5247</v>
      </c>
      <c r="CE1412" s="299">
        <v>5345</v>
      </c>
      <c r="CF1412" s="299"/>
      <c r="CG1412" s="299">
        <v>2993.2</v>
      </c>
      <c r="CH1412" s="299">
        <v>3066.5</v>
      </c>
      <c r="CI1412" s="299"/>
      <c r="CJ1412" s="299">
        <v>0</v>
      </c>
      <c r="CK1412" s="299">
        <v>0</v>
      </c>
    </row>
    <row r="1413" spans="1:89" ht="30" x14ac:dyDescent="0.25">
      <c r="A1413" s="107"/>
      <c r="B1413" s="95"/>
      <c r="C1413" s="95" t="s">
        <v>2719</v>
      </c>
      <c r="D1413" s="95"/>
      <c r="E1413" s="282"/>
      <c r="F1413" s="282"/>
      <c r="G1413" s="282"/>
      <c r="H1413" s="322"/>
      <c r="I1413" s="322"/>
      <c r="J1413" s="322">
        <v>9968.2000000000007</v>
      </c>
      <c r="K1413" s="322">
        <v>9617.7000000000007</v>
      </c>
      <c r="L1413" s="322">
        <v>365.8</v>
      </c>
      <c r="M1413" s="322">
        <v>449.3</v>
      </c>
      <c r="N1413" s="322">
        <v>436.4</v>
      </c>
      <c r="O1413" s="299"/>
      <c r="P1413" s="299"/>
      <c r="Q1413" s="299">
        <f t="shared" si="1746"/>
        <v>9617.7000000000007</v>
      </c>
      <c r="R1413" s="299">
        <f t="shared" si="1746"/>
        <v>9844.9</v>
      </c>
      <c r="S1413" s="299">
        <v>435</v>
      </c>
      <c r="T1413" s="299">
        <v>432.5</v>
      </c>
      <c r="U1413" s="299"/>
      <c r="V1413" s="299">
        <v>340</v>
      </c>
      <c r="W1413" s="299">
        <v>305</v>
      </c>
      <c r="X1413" s="299"/>
      <c r="Y1413" s="299">
        <v>463</v>
      </c>
      <c r="Z1413" s="299">
        <v>423.1</v>
      </c>
      <c r="AA1413" s="299"/>
      <c r="AB1413" s="299">
        <v>197.6</v>
      </c>
      <c r="AC1413" s="299">
        <v>190.7</v>
      </c>
      <c r="AD1413" s="299"/>
      <c r="AE1413" s="299">
        <v>1002</v>
      </c>
      <c r="AF1413" s="299">
        <v>946</v>
      </c>
      <c r="AG1413" s="299"/>
      <c r="AH1413" s="299">
        <v>395.4</v>
      </c>
      <c r="AI1413" s="299">
        <v>365.8</v>
      </c>
      <c r="AJ1413" s="299"/>
      <c r="AK1413" s="299">
        <v>0</v>
      </c>
      <c r="AL1413" s="299">
        <v>0</v>
      </c>
      <c r="AM1413" s="299"/>
      <c r="AN1413" s="299">
        <v>191</v>
      </c>
      <c r="AO1413" s="299">
        <v>190</v>
      </c>
      <c r="AP1413" s="299"/>
      <c r="AQ1413" s="299">
        <v>354</v>
      </c>
      <c r="AR1413" s="299">
        <v>314</v>
      </c>
      <c r="AS1413" s="299"/>
      <c r="AT1413" s="299">
        <v>209</v>
      </c>
      <c r="AU1413" s="299">
        <v>355</v>
      </c>
      <c r="AV1413" s="299"/>
      <c r="AW1413" s="299">
        <v>0</v>
      </c>
      <c r="AX1413" s="299">
        <v>0</v>
      </c>
      <c r="AY1413" s="299"/>
      <c r="AZ1413" s="299">
        <v>557</v>
      </c>
      <c r="BA1413" s="299">
        <v>529</v>
      </c>
      <c r="BB1413" s="299"/>
      <c r="BC1413" s="299">
        <v>1717</v>
      </c>
      <c r="BD1413" s="299">
        <v>1612</v>
      </c>
      <c r="BE1413" s="299"/>
      <c r="BF1413" s="299">
        <v>104</v>
      </c>
      <c r="BG1413" s="299">
        <v>233</v>
      </c>
      <c r="BH1413" s="299"/>
      <c r="BI1413" s="299">
        <v>1907</v>
      </c>
      <c r="BJ1413" s="299">
        <v>1976</v>
      </c>
      <c r="BK1413" s="299"/>
      <c r="BL1413" s="299">
        <v>0</v>
      </c>
      <c r="BM1413" s="299">
        <v>0</v>
      </c>
      <c r="BN1413" s="299"/>
      <c r="BO1413" s="299">
        <v>0</v>
      </c>
      <c r="BP1413" s="299">
        <v>0</v>
      </c>
      <c r="BQ1413" s="299"/>
      <c r="BR1413" s="299">
        <v>135</v>
      </c>
      <c r="BS1413" s="299">
        <v>116</v>
      </c>
      <c r="BT1413" s="299"/>
      <c r="BU1413" s="299">
        <v>0</v>
      </c>
      <c r="BV1413" s="299">
        <v>0</v>
      </c>
      <c r="BW1413" s="299"/>
      <c r="BX1413" s="299">
        <v>0</v>
      </c>
      <c r="BY1413" s="299">
        <v>0</v>
      </c>
      <c r="BZ1413" s="299"/>
      <c r="CA1413" s="299">
        <v>294</v>
      </c>
      <c r="CB1413" s="299">
        <v>569.29999999999995</v>
      </c>
      <c r="CC1413" s="299"/>
      <c r="CD1413" s="299">
        <v>1205</v>
      </c>
      <c r="CE1413" s="299">
        <v>1191</v>
      </c>
      <c r="CF1413" s="299"/>
      <c r="CG1413" s="299">
        <v>111.7</v>
      </c>
      <c r="CH1413" s="299">
        <v>96.5</v>
      </c>
      <c r="CI1413" s="299"/>
      <c r="CJ1413" s="299">
        <v>0</v>
      </c>
      <c r="CK1413" s="299">
        <v>0</v>
      </c>
    </row>
    <row r="1414" spans="1:89" ht="30" x14ac:dyDescent="0.25">
      <c r="A1414" s="107"/>
      <c r="B1414" s="95"/>
      <c r="C1414" s="95" t="s">
        <v>1522</v>
      </c>
      <c r="D1414" s="95"/>
      <c r="E1414" s="282"/>
      <c r="F1414" s="282"/>
      <c r="G1414" s="282"/>
      <c r="H1414" s="322">
        <v>399.9</v>
      </c>
      <c r="I1414" s="322">
        <v>0</v>
      </c>
      <c r="J1414" s="322">
        <v>0</v>
      </c>
      <c r="K1414" s="322">
        <v>0</v>
      </c>
      <c r="L1414" s="322">
        <v>0</v>
      </c>
      <c r="M1414" s="322">
        <v>0</v>
      </c>
      <c r="N1414" s="322">
        <v>0</v>
      </c>
      <c r="P1414" s="299"/>
      <c r="Q1414" s="299">
        <f t="shared" si="1746"/>
        <v>0</v>
      </c>
      <c r="R1414" s="299">
        <f t="shared" si="1746"/>
        <v>0</v>
      </c>
      <c r="S1414" s="299">
        <v>0</v>
      </c>
      <c r="T1414" s="299">
        <v>0</v>
      </c>
      <c r="U1414" s="299"/>
      <c r="V1414" s="299">
        <v>0</v>
      </c>
      <c r="W1414" s="299">
        <v>0</v>
      </c>
      <c r="X1414" s="299"/>
      <c r="Y1414" s="299">
        <v>0</v>
      </c>
      <c r="Z1414" s="299">
        <v>0</v>
      </c>
      <c r="AA1414" s="299"/>
      <c r="AB1414" s="299">
        <v>0</v>
      </c>
      <c r="AC1414" s="299">
        <v>0</v>
      </c>
      <c r="AD1414" s="299"/>
      <c r="AE1414" s="299">
        <v>0</v>
      </c>
      <c r="AF1414" s="299">
        <v>0</v>
      </c>
      <c r="AG1414" s="299"/>
      <c r="AH1414" s="299">
        <v>0</v>
      </c>
      <c r="AI1414" s="299">
        <v>0</v>
      </c>
      <c r="AJ1414" s="299"/>
      <c r="AK1414" s="299">
        <v>0</v>
      </c>
      <c r="AL1414" s="299">
        <v>0</v>
      </c>
      <c r="AM1414" s="299"/>
      <c r="AN1414" s="299">
        <v>0</v>
      </c>
      <c r="AO1414" s="299">
        <v>0</v>
      </c>
      <c r="AP1414" s="299"/>
      <c r="AQ1414" s="299">
        <v>0</v>
      </c>
      <c r="AR1414" s="299">
        <v>0</v>
      </c>
      <c r="AS1414" s="299"/>
      <c r="AT1414" s="299">
        <v>0</v>
      </c>
      <c r="AU1414" s="299">
        <v>0</v>
      </c>
      <c r="AV1414" s="299"/>
      <c r="AW1414" s="299">
        <v>0</v>
      </c>
      <c r="AX1414" s="299">
        <v>0</v>
      </c>
      <c r="AY1414" s="299"/>
      <c r="AZ1414" s="299">
        <v>0</v>
      </c>
      <c r="BA1414" s="299">
        <v>0</v>
      </c>
      <c r="BB1414" s="299"/>
      <c r="BC1414" s="299">
        <v>0</v>
      </c>
      <c r="BD1414" s="299">
        <v>0</v>
      </c>
      <c r="BE1414" s="299"/>
      <c r="BF1414" s="299">
        <v>0</v>
      </c>
      <c r="BG1414" s="299">
        <v>0</v>
      </c>
      <c r="BH1414" s="299"/>
      <c r="BI1414" s="299">
        <v>0</v>
      </c>
      <c r="BJ1414" s="299">
        <v>0</v>
      </c>
      <c r="BK1414" s="299"/>
      <c r="BL1414" s="299">
        <v>0</v>
      </c>
      <c r="BM1414" s="299">
        <v>0</v>
      </c>
      <c r="BN1414" s="299"/>
      <c r="BO1414" s="299">
        <v>0</v>
      </c>
      <c r="BP1414" s="299">
        <v>0</v>
      </c>
      <c r="BQ1414" s="299"/>
      <c r="BR1414" s="299">
        <v>0</v>
      </c>
      <c r="BS1414" s="299">
        <v>0</v>
      </c>
      <c r="BT1414" s="299"/>
      <c r="BU1414" s="299">
        <v>0</v>
      </c>
      <c r="BV1414" s="299">
        <v>0</v>
      </c>
      <c r="BW1414" s="299"/>
      <c r="BX1414" s="299">
        <v>0</v>
      </c>
      <c r="BY1414" s="299">
        <v>0</v>
      </c>
      <c r="BZ1414" s="299"/>
      <c r="CA1414" s="299">
        <v>0</v>
      </c>
      <c r="CB1414" s="299">
        <v>0</v>
      </c>
      <c r="CC1414" s="299"/>
      <c r="CD1414" s="299">
        <v>0</v>
      </c>
      <c r="CE1414" s="299">
        <v>0</v>
      </c>
      <c r="CF1414" s="299"/>
      <c r="CG1414" s="299">
        <v>0</v>
      </c>
      <c r="CH1414" s="299">
        <v>0</v>
      </c>
      <c r="CI1414" s="299"/>
      <c r="CJ1414" s="326">
        <v>0</v>
      </c>
      <c r="CK1414" s="326">
        <v>0</v>
      </c>
    </row>
    <row r="1415" spans="1:89" ht="30" x14ac:dyDescent="0.25">
      <c r="A1415" s="107"/>
      <c r="B1415" s="16" t="s">
        <v>277</v>
      </c>
      <c r="C1415" s="95" t="s">
        <v>278</v>
      </c>
      <c r="D1415" s="95" t="s">
        <v>950</v>
      </c>
      <c r="E1415" s="282">
        <v>832</v>
      </c>
      <c r="F1415" s="282">
        <v>852</v>
      </c>
      <c r="G1415" s="282">
        <v>905</v>
      </c>
      <c r="H1415" s="282">
        <f>H1416+H1417</f>
        <v>814</v>
      </c>
      <c r="I1415" s="282">
        <f>I1416+I1417</f>
        <v>851</v>
      </c>
      <c r="J1415" s="322">
        <f>J1416+J1417</f>
        <v>913</v>
      </c>
      <c r="K1415" s="322">
        <f>K1416+K1417</f>
        <v>931</v>
      </c>
      <c r="L1415" s="322">
        <f>L1416+L1417</f>
        <v>0</v>
      </c>
      <c r="M1415" s="322">
        <f t="shared" ref="M1415:N1415" si="1747">M1416+M1417</f>
        <v>0</v>
      </c>
      <c r="N1415" s="322">
        <f t="shared" si="1747"/>
        <v>0</v>
      </c>
      <c r="Q1415" s="282">
        <f>Q1416+Q1417</f>
        <v>931</v>
      </c>
      <c r="R1415" s="282">
        <f>R1416+R1417</f>
        <v>926</v>
      </c>
      <c r="S1415" s="282">
        <f>S1416+S1417</f>
        <v>0</v>
      </c>
      <c r="T1415" s="282">
        <f>T1416+T1417</f>
        <v>0</v>
      </c>
      <c r="V1415" s="282">
        <f>V1416+V1417</f>
        <v>0</v>
      </c>
      <c r="W1415" s="282">
        <f>W1416+W1417</f>
        <v>0</v>
      </c>
      <c r="Y1415" s="282">
        <f>Y1416+Y1417</f>
        <v>0</v>
      </c>
      <c r="Z1415" s="282">
        <f>Z1416+Z1417</f>
        <v>0</v>
      </c>
      <c r="AB1415" s="282">
        <f>AB1416+AB1417</f>
        <v>0</v>
      </c>
      <c r="AC1415" s="282">
        <f>AC1416+AC1417</f>
        <v>0</v>
      </c>
      <c r="AE1415" s="282">
        <f>AE1416+AE1417</f>
        <v>0</v>
      </c>
      <c r="AF1415" s="282">
        <f>AF1416+AF1417</f>
        <v>0</v>
      </c>
      <c r="AH1415" s="282">
        <f>AH1416+AH1417</f>
        <v>0</v>
      </c>
      <c r="AI1415" s="282">
        <f>AI1416+AI1417</f>
        <v>0</v>
      </c>
      <c r="AK1415" s="282">
        <f>AK1416+AK1417</f>
        <v>0</v>
      </c>
      <c r="AL1415" s="282">
        <f>AL1416+AL1417</f>
        <v>0</v>
      </c>
      <c r="AN1415" s="282">
        <f>AN1416+AN1417</f>
        <v>0</v>
      </c>
      <c r="AO1415" s="282">
        <f>AO1416+AO1417</f>
        <v>0</v>
      </c>
      <c r="AQ1415" s="282">
        <f>AQ1416+AQ1417</f>
        <v>0</v>
      </c>
      <c r="AR1415" s="282">
        <f>AR1416+AR1417</f>
        <v>0</v>
      </c>
      <c r="AT1415" s="282">
        <f>AT1416+AT1417</f>
        <v>0</v>
      </c>
      <c r="AU1415" s="282">
        <f>AU1416+AU1417</f>
        <v>0</v>
      </c>
      <c r="AW1415" s="282">
        <f>AW1416+AW1417</f>
        <v>0</v>
      </c>
      <c r="AX1415" s="282">
        <f>AX1416+AX1417</f>
        <v>0</v>
      </c>
      <c r="AZ1415" s="282">
        <f>AZ1416+AZ1417</f>
        <v>0</v>
      </c>
      <c r="BA1415" s="282">
        <f>BA1416+BA1417</f>
        <v>0</v>
      </c>
      <c r="BC1415" s="282">
        <f>BC1416+BC1417</f>
        <v>189</v>
      </c>
      <c r="BD1415" s="282">
        <f>BD1416+BD1417</f>
        <v>187</v>
      </c>
      <c r="BF1415" s="282">
        <f>BF1416+BF1417</f>
        <v>198</v>
      </c>
      <c r="BG1415" s="282">
        <f>BG1416+BG1417</f>
        <v>186</v>
      </c>
      <c r="BI1415" s="282">
        <f>BI1416+BI1417</f>
        <v>442</v>
      </c>
      <c r="BJ1415" s="282">
        <f>BJ1416+BJ1417</f>
        <v>432</v>
      </c>
      <c r="BL1415" s="282">
        <f>BL1416+BL1417</f>
        <v>0</v>
      </c>
      <c r="BM1415" s="282">
        <f>BM1416+BM1417</f>
        <v>0</v>
      </c>
      <c r="BO1415" s="282">
        <f>BO1416+BO1417</f>
        <v>0</v>
      </c>
      <c r="BP1415" s="282">
        <f>BP1416+BP1417</f>
        <v>0</v>
      </c>
      <c r="BR1415" s="282">
        <f>BR1416+BR1417</f>
        <v>0</v>
      </c>
      <c r="BS1415" s="282">
        <f>BS1416+BS1417</f>
        <v>0</v>
      </c>
      <c r="BU1415" s="282">
        <f>BU1416+BU1417</f>
        <v>0</v>
      </c>
      <c r="BV1415" s="282">
        <f>BV1416+BV1417</f>
        <v>0</v>
      </c>
      <c r="BX1415" s="282">
        <f>BX1416+BX1417</f>
        <v>0</v>
      </c>
      <c r="BY1415" s="282">
        <f>BY1416+BY1417</f>
        <v>0</v>
      </c>
      <c r="CA1415" s="282">
        <f>CA1416+CA1417</f>
        <v>0</v>
      </c>
      <c r="CB1415" s="282">
        <f>CB1416+CB1417</f>
        <v>0</v>
      </c>
      <c r="CD1415" s="282">
        <f>CD1416+CD1417</f>
        <v>102</v>
      </c>
      <c r="CE1415" s="282">
        <f>CE1416+CE1417</f>
        <v>121</v>
      </c>
      <c r="CG1415" s="282">
        <f>CG1416+CG1417</f>
        <v>0</v>
      </c>
      <c r="CH1415" s="282">
        <f>CH1416+CH1417</f>
        <v>0</v>
      </c>
      <c r="CJ1415" s="282">
        <f>CJ1416+CJ1417</f>
        <v>0</v>
      </c>
      <c r="CK1415" s="282">
        <f>CK1416+CK1417</f>
        <v>0</v>
      </c>
    </row>
    <row r="1416" spans="1:89" ht="30" x14ac:dyDescent="0.25">
      <c r="A1416" s="107"/>
      <c r="B1416" s="16"/>
      <c r="C1416" s="95" t="s">
        <v>1521</v>
      </c>
      <c r="D1416" s="95"/>
      <c r="E1416" s="282"/>
      <c r="F1416" s="282"/>
      <c r="G1416" s="282"/>
      <c r="H1416" s="282">
        <v>814</v>
      </c>
      <c r="I1416" s="282">
        <v>851</v>
      </c>
      <c r="J1416" s="322">
        <v>913</v>
      </c>
      <c r="K1416" s="322">
        <v>931</v>
      </c>
      <c r="L1416" s="322">
        <v>0</v>
      </c>
      <c r="M1416" s="322">
        <v>0</v>
      </c>
      <c r="N1416" s="322">
        <v>0</v>
      </c>
      <c r="Q1416" s="346">
        <f>S1416+V1416+Y1416+AB1416+AE1416+AH1416+AK1416+AN1416+AQ1416+AT1416+AW1416+AZ1416+BC1416+BF1416+BI1416+BL1416+BO1416+BR1416+BU1416+BX1416+CA1416+CD1416+CG1416+CJ1416</f>
        <v>931</v>
      </c>
      <c r="R1416" s="346">
        <f>T1416+W1416+Z1416+AC1416+AF1416+AI1416+AL1416+AO1416+AR1416+AU1416+AX1416+BA1416+BD1416+BG1416+BJ1416+BM1416+BP1416+BS1416+BV1416+BY1416+CB1416+CE1416+CH1416+CK1416</f>
        <v>926</v>
      </c>
      <c r="S1416" s="346">
        <v>0</v>
      </c>
      <c r="T1416" s="346">
        <v>0</v>
      </c>
      <c r="U1416" s="346"/>
      <c r="V1416" s="346">
        <v>0</v>
      </c>
      <c r="W1416" s="346">
        <v>0</v>
      </c>
      <c r="X1416" s="346"/>
      <c r="Y1416" s="346">
        <v>0</v>
      </c>
      <c r="Z1416" s="346">
        <v>0</v>
      </c>
      <c r="AA1416" s="346"/>
      <c r="AB1416" s="346">
        <v>0</v>
      </c>
      <c r="AC1416" s="346">
        <v>0</v>
      </c>
      <c r="AD1416" s="346"/>
      <c r="AE1416" s="346">
        <v>0</v>
      </c>
      <c r="AF1416" s="346">
        <v>0</v>
      </c>
      <c r="AG1416" s="346"/>
      <c r="AH1416" s="346">
        <v>0</v>
      </c>
      <c r="AI1416" s="346">
        <v>0</v>
      </c>
      <c r="AJ1416" s="346"/>
      <c r="AK1416" s="346">
        <v>0</v>
      </c>
      <c r="AL1416" s="346">
        <v>0</v>
      </c>
      <c r="AM1416" s="346"/>
      <c r="AN1416" s="346">
        <v>0</v>
      </c>
      <c r="AO1416" s="346">
        <v>0</v>
      </c>
      <c r="AP1416" s="346"/>
      <c r="AQ1416" s="346">
        <v>0</v>
      </c>
      <c r="AR1416" s="346">
        <v>0</v>
      </c>
      <c r="AS1416" s="346"/>
      <c r="AT1416" s="346">
        <v>0</v>
      </c>
      <c r="AU1416" s="346">
        <v>0</v>
      </c>
      <c r="AV1416" s="346"/>
      <c r="AW1416" s="346">
        <v>0</v>
      </c>
      <c r="AX1416" s="346">
        <v>0</v>
      </c>
      <c r="AY1416" s="346"/>
      <c r="AZ1416" s="346">
        <v>0</v>
      </c>
      <c r="BA1416" s="346">
        <v>0</v>
      </c>
      <c r="BB1416" s="346"/>
      <c r="BC1416" s="346">
        <v>189</v>
      </c>
      <c r="BD1416" s="346">
        <v>187</v>
      </c>
      <c r="BE1416" s="346"/>
      <c r="BF1416" s="346">
        <v>198</v>
      </c>
      <c r="BG1416" s="346">
        <v>186</v>
      </c>
      <c r="BH1416" s="346"/>
      <c r="BI1416" s="346">
        <v>442</v>
      </c>
      <c r="BJ1416" s="346">
        <v>432</v>
      </c>
      <c r="BK1416" s="346"/>
      <c r="BL1416" s="346">
        <v>0</v>
      </c>
      <c r="BM1416" s="346">
        <v>0</v>
      </c>
      <c r="BN1416" s="346"/>
      <c r="BO1416" s="346">
        <v>0</v>
      </c>
      <c r="BP1416" s="346">
        <v>0</v>
      </c>
      <c r="BQ1416" s="346"/>
      <c r="BR1416" s="346">
        <v>0</v>
      </c>
      <c r="BS1416" s="346">
        <v>0</v>
      </c>
      <c r="BT1416" s="346"/>
      <c r="BU1416" s="346">
        <v>0</v>
      </c>
      <c r="BV1416" s="346">
        <v>0</v>
      </c>
      <c r="BW1416" s="346"/>
      <c r="BX1416" s="346">
        <v>0</v>
      </c>
      <c r="BY1416" s="346">
        <v>0</v>
      </c>
      <c r="BZ1416" s="346"/>
      <c r="CA1416" s="346">
        <v>0</v>
      </c>
      <c r="CB1416" s="346">
        <v>0</v>
      </c>
      <c r="CC1416" s="346"/>
      <c r="CD1416" s="346">
        <v>102</v>
      </c>
      <c r="CE1416" s="346">
        <v>121</v>
      </c>
      <c r="CF1416" s="346"/>
      <c r="CG1416" s="346">
        <v>0</v>
      </c>
      <c r="CH1416" s="346">
        <v>0</v>
      </c>
      <c r="CI1416" s="346"/>
      <c r="CJ1416" s="346">
        <v>0</v>
      </c>
      <c r="CK1416" s="346">
        <v>0</v>
      </c>
    </row>
    <row r="1417" spans="1:89" ht="30" x14ac:dyDescent="0.25">
      <c r="A1417" s="107"/>
      <c r="B1417" s="16"/>
      <c r="C1417" s="95" t="s">
        <v>1522</v>
      </c>
      <c r="D1417" s="95"/>
      <c r="E1417" s="282"/>
      <c r="F1417" s="282"/>
      <c r="G1417" s="282"/>
      <c r="H1417" s="282">
        <v>0</v>
      </c>
      <c r="I1417" s="282">
        <v>0</v>
      </c>
      <c r="J1417" s="322">
        <v>0</v>
      </c>
      <c r="K1417" s="322">
        <v>0</v>
      </c>
      <c r="L1417" s="322">
        <v>0</v>
      </c>
      <c r="M1417" s="322">
        <v>0</v>
      </c>
      <c r="N1417" s="322">
        <v>0</v>
      </c>
      <c r="Q1417" s="346">
        <f>S1417+V1417+Y1417+AB1417+AE1417+AH1417+AK1417+AN1417+AQ1417+AT1417+AW1417+AZ1417+BC1417+BF1417+BI1417+BL1417+BO1417+BR1417+BU1417+BX1417+CA1417+CD1417+CG1417+CJ1417</f>
        <v>0</v>
      </c>
      <c r="R1417" s="346">
        <f>T1417+W1417+Z1417+AC1417+AF1417+AI1417+AL1417+AO1417+AR1417+AU1417+AX1417+BA1417+BD1417+BG1417+BJ1417+BM1417+BP1417+BS1417+BV1417+BY1417+CB1417+CE1417+CH1417+CK1417</f>
        <v>0</v>
      </c>
      <c r="S1417" s="346">
        <v>0</v>
      </c>
      <c r="T1417" s="346">
        <v>0</v>
      </c>
      <c r="U1417" s="346"/>
      <c r="V1417" s="346">
        <v>0</v>
      </c>
      <c r="W1417" s="346">
        <v>0</v>
      </c>
      <c r="X1417" s="346"/>
      <c r="Y1417" s="346">
        <v>0</v>
      </c>
      <c r="Z1417" s="346">
        <v>0</v>
      </c>
      <c r="AA1417" s="346"/>
      <c r="AB1417" s="346">
        <v>0</v>
      </c>
      <c r="AC1417" s="346">
        <v>0</v>
      </c>
      <c r="AD1417" s="346"/>
      <c r="AE1417" s="346">
        <v>0</v>
      </c>
      <c r="AF1417" s="346">
        <v>0</v>
      </c>
      <c r="AG1417" s="346"/>
      <c r="AH1417" s="346">
        <v>0</v>
      </c>
      <c r="AI1417" s="346">
        <v>0</v>
      </c>
      <c r="AJ1417" s="346"/>
      <c r="AK1417" s="346">
        <v>0</v>
      </c>
      <c r="AL1417" s="346">
        <v>0</v>
      </c>
      <c r="AM1417" s="346"/>
      <c r="AN1417" s="346">
        <v>0</v>
      </c>
      <c r="AO1417" s="346">
        <v>0</v>
      </c>
      <c r="AP1417" s="346"/>
      <c r="AQ1417" s="346">
        <v>0</v>
      </c>
      <c r="AR1417" s="346">
        <v>0</v>
      </c>
      <c r="AS1417" s="346"/>
      <c r="AT1417" s="346">
        <v>0</v>
      </c>
      <c r="AU1417" s="346">
        <v>0</v>
      </c>
      <c r="AV1417" s="346"/>
      <c r="AW1417" s="346">
        <v>0</v>
      </c>
      <c r="AX1417" s="346">
        <v>0</v>
      </c>
      <c r="AY1417" s="346"/>
      <c r="AZ1417" s="346">
        <v>0</v>
      </c>
      <c r="BA1417" s="346">
        <v>0</v>
      </c>
      <c r="BB1417" s="346"/>
      <c r="BC1417" s="346">
        <v>0</v>
      </c>
      <c r="BD1417" s="346">
        <v>0</v>
      </c>
      <c r="BE1417" s="346"/>
      <c r="BF1417" s="346">
        <v>0</v>
      </c>
      <c r="BG1417" s="346">
        <v>0</v>
      </c>
      <c r="BH1417" s="346"/>
      <c r="BI1417" s="346">
        <v>0</v>
      </c>
      <c r="BJ1417" s="346">
        <v>0</v>
      </c>
      <c r="BK1417" s="346"/>
      <c r="BL1417" s="346">
        <v>0</v>
      </c>
      <c r="BM1417" s="346">
        <v>0</v>
      </c>
      <c r="BN1417" s="346"/>
      <c r="BO1417" s="346">
        <v>0</v>
      </c>
      <c r="BP1417" s="346">
        <v>0</v>
      </c>
      <c r="BQ1417" s="346"/>
      <c r="BR1417" s="346">
        <v>0</v>
      </c>
      <c r="BS1417" s="346">
        <v>0</v>
      </c>
      <c r="BT1417" s="346"/>
      <c r="BU1417" s="346">
        <v>0</v>
      </c>
      <c r="BV1417" s="346">
        <v>0</v>
      </c>
      <c r="BW1417" s="346"/>
      <c r="BX1417" s="346">
        <v>0</v>
      </c>
      <c r="BY1417" s="346">
        <v>0</v>
      </c>
      <c r="BZ1417" s="346"/>
      <c r="CA1417" s="346">
        <v>0</v>
      </c>
      <c r="CB1417" s="346">
        <v>0</v>
      </c>
      <c r="CC1417" s="346"/>
      <c r="CD1417" s="346">
        <v>0</v>
      </c>
      <c r="CE1417" s="346">
        <v>0</v>
      </c>
      <c r="CF1417" s="346"/>
      <c r="CG1417" s="346">
        <v>0</v>
      </c>
      <c r="CH1417" s="346">
        <v>0</v>
      </c>
      <c r="CI1417" s="346"/>
      <c r="CJ1417" s="346">
        <v>0</v>
      </c>
      <c r="CK1417" s="346">
        <v>0</v>
      </c>
    </row>
    <row r="1418" spans="1:89" x14ac:dyDescent="0.25">
      <c r="A1418" s="107"/>
      <c r="B1418" s="16" t="s">
        <v>2716</v>
      </c>
      <c r="C1418" s="95"/>
      <c r="D1418" s="95"/>
      <c r="E1418" s="282"/>
      <c r="F1418" s="282"/>
      <c r="G1418" s="282"/>
      <c r="H1418" s="331">
        <f>((H1424+H1425+H1426+H1433+H1434+H1435)+((0.25*(H1427+H1428+H1429+H1436+H1437+H1438))+((0.1*(H1430+H1431+H1432+H1439+H1440+H1441)))))/(H1421)</f>
        <v>0.99597595232079428</v>
      </c>
      <c r="I1418" s="331">
        <f>((I1424+I1425+I1426+I1433+I1434+I1435)+((0.25*(I1427+I1428+I1429+I1436+I1437+I1438))+((0.1*(I1430+I1431+I1432+I1439+I1440+I1441)))))/(I1421)</f>
        <v>0.99686997014925371</v>
      </c>
      <c r="J1418" s="331">
        <f>((J1424+J1425+J1426+J1433+J1434+J1435)+((0.25*(J1427+J1428+J1429+J1436+J1437+J1438))+((0.1*(J1430+J1431+J1432+J1439+J1440+J1441)))))/(J1421)</f>
        <v>0.99737049520833432</v>
      </c>
      <c r="K1418" s="331">
        <f>((K1424+K1425+K1426+K1433+K1434+K1435)+((0.25*(K1427+K1428+K1429+K1436+K1437+K1438))+((0.1*(K1430+K1431+K1432+K1439+K1440+K1441)))))/(K1421)</f>
        <v>0.99749911052463291</v>
      </c>
      <c r="L1418" s="331">
        <f>((L1424+L1425+L1426+L1433+L1434+L1435)+((0.25*(L1427+L1428+L1429+L1436+L1437+L1438))+((0.1*(L1430+L1431+L1432+L1439+L1440+L1441)))))/(L1421)</f>
        <v>1</v>
      </c>
      <c r="M1418" s="331">
        <f t="shared" ref="M1418:N1418" si="1748">((M1424+M1425+M1426+M1433+M1434+M1435)+((0.25*(M1427+M1428+M1429+M1436+M1437+M1438))+((0.1*(M1430+M1431+M1432+M1439+M1440+M1441)))))/(M1421)</f>
        <v>1</v>
      </c>
      <c r="N1418" s="331">
        <f t="shared" si="1748"/>
        <v>1</v>
      </c>
      <c r="Q1418" s="331">
        <f>((Q1424+Q1425+Q1426+Q1433+Q1434+Q1435)+((0.25*(Q1427+Q1428+Q1429+Q1436+Q1437+Q1438))+((0.1*(Q1430+Q1431+Q1432+Q1439+Q1440+Q1441)))))/(Q1421)</f>
        <v>0.99749911052463291</v>
      </c>
      <c r="R1418" s="331">
        <f>((R1424+R1425+R1426+R1433+R1434+R1435)+((0.25*(R1427+R1428+R1429+R1436+R1437+R1438))+((0.1*(R1430+R1431+R1432+R1439+R1440+R1441)))))/(R1421)</f>
        <v>0.99765877287405813</v>
      </c>
      <c r="S1418" s="331">
        <f>((S1424+S1425+S1426+S1433+S1434+S1435)+((0.25*(S1427+S1428+S1429+S1436+S1437+S1438))+((0.1*(S1430+S1431+S1432+S1439+S1440+S1441)))))/(S1421)</f>
        <v>0.99847250509164964</v>
      </c>
      <c r="T1418" s="331">
        <f>((T1424+T1425+T1426+T1433+T1434+T1435)+((0.25*(T1427+T1428+T1429+T1436+T1437+T1438))+((0.1*(T1430+T1431+T1432+T1439+T1440+T1441)))))/(T1421)</f>
        <v>0.99722496299950669</v>
      </c>
      <c r="V1418" s="331">
        <f>((V1424+V1425+V1426+V1433+V1434+V1435)+((0.25*(V1427+V1428+V1429+V1436+V1437+V1438))+((0.1*(V1430+V1431+V1432+V1439+V1440+V1441)))))/(V1421)</f>
        <v>0.99687239366138447</v>
      </c>
      <c r="W1418" s="331">
        <f>((W1424+W1425+W1426+W1433+W1434+W1435)+((0.25*(W1427+W1428+W1429+W1436+W1437+W1438))+((0.1*(W1430+W1431+W1432+W1439+W1440+W1441)))))/(W1421)</f>
        <v>0.99790327089740005</v>
      </c>
      <c r="Y1418" s="331">
        <f>((Y1424+Y1425+Y1426+Y1433+Y1434+Y1435)+((0.25*(Y1427+Y1428+Y1429+Y1436+Y1437+Y1438))+((0.1*(Y1430+Y1431+Y1432+Y1439+Y1440+Y1441)))))/(Y1421)</f>
        <v>1</v>
      </c>
      <c r="Z1418" s="331">
        <f>((Z1424+Z1425+Z1426+Z1433+Z1434+Z1435)+((0.25*(Z1427+Z1428+Z1429+Z1436+Z1437+Z1438))+((0.1*(Z1430+Z1431+Z1432+Z1439+Z1440+Z1441)))))/(Z1421)</f>
        <v>1</v>
      </c>
      <c r="AB1418" s="331">
        <f>((AB1424+AB1425+AB1426+AB1433+AB1434+AB1435)+((0.25*(AB1427+AB1428+AB1429+AB1436+AB1437+AB1438))+((0.1*(AB1430+AB1431+AB1432+AB1439+AB1440+AB1441)))))/(AB1421)</f>
        <v>1</v>
      </c>
      <c r="AC1418" s="331">
        <f>((AC1424+AC1425+AC1426+AC1433+AC1434+AC1435)+((0.25*(AC1427+AC1428+AC1429+AC1436+AC1437+AC1438))+((0.1*(AC1430+AC1431+AC1432+AC1439+AC1440+AC1441)))))/(AC1421)</f>
        <v>1</v>
      </c>
      <c r="AE1418" s="331">
        <f>((AE1424+AE1425+AE1426+AE1433+AE1434+AE1435)+((0.25*(AE1427+AE1428+AE1429+AE1436+AE1437+AE1438))+((0.1*(AE1430+AE1431+AE1432+AE1439+AE1440+AE1441)))))/(AE1421)</f>
        <v>0.99131274131274127</v>
      </c>
      <c r="AF1418" s="331">
        <f>((AF1424+AF1425+AF1426+AF1433+AF1434+AF1435)+((0.25*(AF1427+AF1428+AF1429+AF1436+AF1437+AF1438))+((0.1*(AF1430+AF1431+AF1432+AF1439+AF1440+AF1441)))))/(AF1421)</f>
        <v>0.9925916298414349</v>
      </c>
      <c r="AH1418" s="331">
        <f>((AH1424+AH1425+AH1426+AH1433+AH1434+AH1435)+((0.25*(AH1427+AH1428+AH1429+AH1436+AH1437+AH1438))+((0.1*(AH1430+AH1431+AH1432+AH1439+AH1440+AH1441)))))/(AH1421)</f>
        <v>0.99641900937081651</v>
      </c>
      <c r="AI1418" s="331">
        <f>((AI1424+AI1425+AI1426+AI1433+AI1434+AI1435)+((0.25*(AI1427+AI1428+AI1429+AI1436+AI1437+AI1438))+((0.1*(AI1430+AI1431+AI1432+AI1439+AI1440+AI1441)))))/(AI1421)</f>
        <v>0.9971380471380471</v>
      </c>
      <c r="AK1418" s="331">
        <f>((AK1424+AK1425+AK1426+AK1433+AK1434+AK1435)+((0.25*(AK1427+AK1428+AK1429+AK1436+AK1437+AK1438))+((0.1*(AK1430+AK1431+AK1432+AK1439+AK1440+AK1441)))))/(AK1421)</f>
        <v>0.99710433950223365</v>
      </c>
      <c r="AL1418" s="331">
        <f>((AL1424+AL1425+AL1426+AL1433+AL1434+AL1435)+((0.25*(AL1427+AL1428+AL1429+AL1436+AL1437+AL1438))+((0.1*(AL1430+AL1431+AL1432+AL1439+AL1440+AL1441)))))/(AL1421)</f>
        <v>0.99640605296342999</v>
      </c>
      <c r="AN1418" s="331">
        <f>((AN1424+AN1425+AN1426+AN1433+AN1434+AN1435)+((0.25*(AN1427+AN1428+AN1429+AN1436+AN1437+AN1438))+((0.1*(AN1430+AN1431+AN1432+AN1439+AN1440+AN1441)))))/(AN1421)</f>
        <v>1</v>
      </c>
      <c r="AO1418" s="331">
        <f>((AO1424+AO1425+AO1426+AO1433+AO1434+AO1435)+((0.25*(AO1427+AO1428+AO1429+AO1436+AO1437+AO1438))+((0.1*(AO1430+AO1431+AO1432+AO1439+AO1440+AO1441)))))/(AO1421)</f>
        <v>1</v>
      </c>
      <c r="AQ1418" s="331">
        <f>((AQ1424+AQ1425+AQ1426+AQ1433+AQ1434+AQ1435)+((0.25*(AQ1427+AQ1428+AQ1429+AQ1436+AQ1437+AQ1438))+((0.1*(AQ1430+AQ1431+AQ1432+AQ1439+AQ1440+AQ1441)))))/(AQ1421)</f>
        <v>1</v>
      </c>
      <c r="AR1418" s="331">
        <f>((AR1424+AR1425+AR1426+AR1433+AR1434+AR1435)+((0.25*(AR1427+AR1428+AR1429+AR1436+AR1437+AR1438))+((0.1*(AR1430+AR1431+AR1432+AR1439+AR1440+AR1441)))))/(AR1421)</f>
        <v>1</v>
      </c>
      <c r="AT1418" s="331">
        <f>((AT1424+AT1425+AT1426+AT1433+AT1434+AT1435)+((0.25*(AT1427+AT1428+AT1429+AT1436+AT1437+AT1438))+((0.1*(AT1430+AT1431+AT1432+AT1439+AT1440+AT1441)))))/(AT1421)</f>
        <v>0.99955195220823556</v>
      </c>
      <c r="AU1418" s="331">
        <f>((AU1424+AU1425+AU1426+AU1433+AU1434+AU1435)+((0.25*(AU1427+AU1428+AU1429+AU1436+AU1437+AU1438))+((0.1*(AU1430+AU1431+AU1432+AU1439+AU1440+AU1441)))))/(AU1421)</f>
        <v>1</v>
      </c>
      <c r="AW1418" s="331">
        <f>((AW1424+AW1425+AW1426+AW1433+AW1434+AW1435)+((0.25*(AW1427+AW1428+AW1429+AW1436+AW1437+AW1438))+((0.1*(AW1430+AW1431+AW1432+AW1439+AW1440+AW1441)))))/(AW1421)</f>
        <v>1</v>
      </c>
      <c r="AX1418" s="331">
        <f>((AX1424+AX1425+AX1426+AX1433+AX1434+AX1435)+((0.25*(AX1427+AX1428+AX1429+AX1436+AX1437+AX1438))+((0.1*(AX1430+AX1431+AX1432+AX1439+AX1440+AX1441)))))/(AX1421)</f>
        <v>1</v>
      </c>
      <c r="AZ1418" s="331">
        <f>((AZ1424+AZ1425+AZ1426+AZ1433+AZ1434+AZ1435)+((0.25*(AZ1427+AZ1428+AZ1429+AZ1436+AZ1437+AZ1438))+((0.1*(AZ1430+AZ1431+AZ1432+AZ1439+AZ1440+AZ1441)))))/(AZ1421)</f>
        <v>1</v>
      </c>
      <c r="BA1418" s="331">
        <f>((BA1424+BA1425+BA1426+BA1433+BA1434+BA1435)+((0.25*(BA1427+BA1428+BA1429+BA1436+BA1437+BA1438))+((0.1*(BA1430+BA1431+BA1432+BA1439+BA1440+BA1441)))))/(BA1421)</f>
        <v>1</v>
      </c>
      <c r="BC1418" s="331">
        <f>((BC1424+BC1425+BC1426+BC1433+BC1434+BC1435)+((0.25*(BC1427+BC1428+BC1429+BC1436+BC1437+BC1438))+((0.1*(BC1430+BC1431+BC1432+BC1439+BC1440+BC1441)))))/(BC1421)</f>
        <v>1</v>
      </c>
      <c r="BD1418" s="331">
        <f>((BD1424+BD1425+BD1426+BD1433+BD1434+BD1435)+((0.25*(BD1427+BD1428+BD1429+BD1436+BD1437+BD1438))+((0.1*(BD1430+BD1431+BD1432+BD1439+BD1440+BD1441)))))/(BD1421)</f>
        <v>1</v>
      </c>
      <c r="BF1418" s="331">
        <f>((BF1424+BF1425+BF1426+BF1433+BF1434+BF1435)+((0.25*(BF1427+BF1428+BF1429+BF1436+BF1437+BF1438))+((0.1*(BF1430+BF1431+BF1432+BF1439+BF1440+BF1441)))))/(BF1421)</f>
        <v>0.99715419865152799</v>
      </c>
      <c r="BG1418" s="331">
        <f>((BG1424+BG1425+BG1426+BG1433+BG1434+BG1435)+((0.25*(BG1427+BG1428+BG1429+BG1436+BG1437+BG1438))+((0.1*(BG1430+BG1431+BG1432+BG1439+BG1440+BG1441)))))/(BG1421)</f>
        <v>0.99759397002044059</v>
      </c>
      <c r="BI1418" s="331">
        <f>((BI1424+BI1425+BI1426+BI1433+BI1434+BI1435)+((0.25*(BI1427+BI1428+BI1429+BI1436+BI1437+BI1438))+((0.1*(BI1430+BI1431+BI1432+BI1439+BI1440+BI1441)))))/(BI1421)</f>
        <v>0.99289110563393945</v>
      </c>
      <c r="BJ1418" s="331">
        <f>((BJ1424+BJ1425+BJ1426+BJ1433+BJ1434+BJ1435)+((0.25*(BJ1427+BJ1428+BJ1429+BJ1436+BJ1437+BJ1438))+((0.1*(BJ1430+BJ1431+BJ1432+BJ1439+BJ1440+BJ1441)))))/(BJ1421)</f>
        <v>0.99326077274245628</v>
      </c>
      <c r="BL1418" s="331">
        <f>((BL1424+BL1425+BL1426+BL1433+BL1434+BL1435)+((0.25*(BL1427+BL1428+BL1429+BL1436+BL1437+BL1438))+((0.1*(BL1430+BL1431+BL1432+BL1439+BL1440+BL1441)))))/(BL1421)</f>
        <v>1</v>
      </c>
      <c r="BM1418" s="331">
        <f>((BM1424+BM1425+BM1426+BM1433+BM1434+BM1435)+((0.25*(BM1427+BM1428+BM1429+BM1436+BM1437+BM1438))+((0.1*(BM1430+BM1431+BM1432+BM1439+BM1440+BM1441)))))/(BM1421)</f>
        <v>1</v>
      </c>
      <c r="BO1418" s="331">
        <f>((BO1424+BO1425+BO1426+BO1433+BO1434+BO1435)+((0.25*(BO1427+BO1428+BO1429+BO1436+BO1437+BO1438))+((0.1*(BO1430+BO1431+BO1432+BO1439+BO1440+BO1441)))))/(BO1421)</f>
        <v>1</v>
      </c>
      <c r="BP1418" s="331">
        <f>((BP1424+BP1425+BP1426+BP1433+BP1434+BP1435)+((0.25*(BP1427+BP1428+BP1429+BP1436+BP1437+BP1438))+((0.1*(BP1430+BP1431+BP1432+BP1439+BP1440+BP1441)))))/(BP1421)</f>
        <v>1</v>
      </c>
      <c r="BR1418" s="331">
        <f>((BR1424+BR1425+BR1426+BR1433+BR1434+BR1435)+((0.25*(BR1427+BR1428+BR1429+BR1436+BR1437+BR1438))+((0.1*(BR1430+BR1431+BR1432+BR1439+BR1440+BR1441)))))/(BR1421)</f>
        <v>1</v>
      </c>
      <c r="BS1418" s="331">
        <f>((BS1424+BS1425+BS1426+BS1433+BS1434+BS1435)+((0.25*(BS1427+BS1428+BS1429+BS1436+BS1437+BS1438))+((0.1*(BS1430+BS1431+BS1432+BS1439+BS1440+BS1441)))))/(BS1421)</f>
        <v>1</v>
      </c>
      <c r="BU1418" s="331">
        <f>((BU1424+BU1425+BU1426+BU1433+BU1434+BU1435)+((0.25*(BU1427+BU1428+BU1429+BU1436+BU1437+BU1438))+((0.1*(BU1430+BU1431+BU1432+BU1439+BU1440+BU1441)))))/(BU1421)</f>
        <v>1</v>
      </c>
      <c r="BV1418" s="331">
        <f>((BV1424+BV1425+BV1426+BV1433+BV1434+BV1435)+((0.25*(BV1427+BV1428+BV1429+BV1436+BV1437+BV1438))+((0.1*(BV1430+BV1431+BV1432+BV1439+BV1440+BV1441)))))/(BV1421)</f>
        <v>1</v>
      </c>
      <c r="BX1418" s="331">
        <f>((BX1424+BX1425+BX1426+BX1433+BX1434+BX1435)+((0.25*(BX1427+BX1428+BX1429+BX1436+BX1437+BX1438))+((0.1*(BX1430+BX1431+BX1432+BX1439+BX1440+BX1441)))))/(BX1421)</f>
        <v>1</v>
      </c>
      <c r="BY1418" s="331">
        <f>((BY1424+BY1425+BY1426+BY1433+BY1434+BY1435)+((0.25*(BY1427+BY1428+BY1429+BY1436+BY1437+BY1438))+((0.1*(BY1430+BY1431+BY1432+BY1439+BY1440+BY1441)))))/(BY1421)</f>
        <v>1</v>
      </c>
      <c r="CA1418" s="331">
        <f>((CA1424+CA1425+CA1426+CA1433+CA1434+CA1435)+((0.25*(CA1427+CA1428+CA1429+CA1436+CA1437+CA1438))+((0.1*(CA1430+CA1431+CA1432+CA1439+CA1440+CA1441)))))/(CA1421)</f>
        <v>1</v>
      </c>
      <c r="CB1418" s="331">
        <f>((CB1424+CB1425+CB1426+CB1433+CB1434+CB1435)+((0.25*(CB1427+CB1428+CB1429+CB1436+CB1437+CB1438))+((0.1*(CB1430+CB1431+CB1432+CB1439+CB1440+CB1441)))))/(CB1421)</f>
        <v>1</v>
      </c>
      <c r="CD1418" s="331">
        <f>((CD1424+CD1425+CD1426+CD1433+CD1434+CD1435)+((0.25*(CD1427+CD1428+CD1429+CD1436+CD1437+CD1438))+((0.1*(CD1430+CD1431+CD1432+CD1439+CD1440+CD1441)))))/(CD1421)</f>
        <v>1</v>
      </c>
      <c r="CE1418" s="331">
        <f>((CE1424+CE1425+CE1426+CE1433+CE1434+CE1435)+((0.25*(CE1427+CE1428+CE1429+CE1436+CE1437+CE1438))+((0.1*(CE1430+CE1431+CE1432+CE1439+CE1440+CE1441)))))/(CE1421)</f>
        <v>1</v>
      </c>
      <c r="CG1418" s="331">
        <f>((CG1424+CG1425+CG1426+CG1433+CG1434+CG1435)+((0.25*(CG1427+CG1428+CG1429+CG1436+CG1437+CG1438))+((0.1*(CG1430+CG1431+CG1432+CG1439+CG1440+CG1441)))))/(CG1421)</f>
        <v>1</v>
      </c>
      <c r="CH1418" s="331">
        <f>((CH1424+CH1425+CH1426+CH1433+CH1434+CH1435)+((0.25*(CH1427+CH1428+CH1429+CH1436+CH1437+CH1438))+((0.1*(CH1430+CH1431+CH1432+CH1439+CH1440+CH1441)))))/(CH1421)</f>
        <v>1</v>
      </c>
      <c r="CJ1418" s="331">
        <f>((CJ1424+CJ1425+CJ1426+CJ1433+CJ1434+CJ1435)+((0.25*(CJ1427+CJ1428+CJ1429+CJ1436+CJ1437+CJ1438))+((0.1*(CJ1430+CJ1431+CJ1432+CJ1439+CJ1440+CJ1441)))))/(CJ1421)</f>
        <v>1</v>
      </c>
      <c r="CK1418" s="331">
        <f>((CK1424+CK1425+CK1426+CK1433+CK1434+CK1435)+((0.25*(CK1427+CK1428+CK1429+CK1436+CK1437+CK1438))+((0.1*(CK1430+CK1431+CK1432+CK1439+CK1440+CK1441)))))/(CK1421)</f>
        <v>1</v>
      </c>
    </row>
    <row r="1419" spans="1:89" x14ac:dyDescent="0.25">
      <c r="A1419" s="107"/>
      <c r="B1419" s="16" t="s">
        <v>2717</v>
      </c>
      <c r="C1419" s="95"/>
      <c r="D1419" s="95"/>
      <c r="E1419" s="282"/>
      <c r="F1419" s="282"/>
      <c r="G1419" s="282"/>
      <c r="H1419" s="331">
        <f>(H1424+H1425+H1426+((0.25*(H1427+H1428+H1429))+((0.1*(H1430+H1431+H1432)))))/H1422</f>
        <v>0.99584868303607654</v>
      </c>
      <c r="I1419" s="331">
        <f>(I1424+I1425+I1426+((0.25*(I1427+I1428+I1429))+((0.1*(I1430+I1431+I1432)))))/I1422</f>
        <v>0.99668709067321071</v>
      </c>
      <c r="J1419" s="331">
        <f>(J1424+J1425+J1426+((0.25*(J1427+J1428+J1429))+((0.1*(J1430+J1431+J1432)))))/J1422</f>
        <v>0.99716300956266224</v>
      </c>
      <c r="K1419" s="331">
        <f>(K1424+K1425+K1426+((0.25*(K1427+K1428+K1429))+((0.1*(K1430+K1431+K1432)))))/K1422</f>
        <v>0.99730964740186989</v>
      </c>
      <c r="L1419" s="331">
        <f>(L1424+L1425+L1426+((0.25*(L1427+L1428+L1429))+((0.1*(L1430+L1431+L1432)))))/L1422</f>
        <v>1</v>
      </c>
      <c r="M1419" s="331">
        <f t="shared" ref="M1419:N1419" si="1749">(M1424+M1425+M1426+((0.25*(M1427+M1428+M1429))+((0.1*(M1430+M1431+M1432)))))/M1422</f>
        <v>1</v>
      </c>
      <c r="N1419" s="331">
        <f t="shared" si="1749"/>
        <v>1</v>
      </c>
      <c r="Q1419" s="331">
        <f>(Q1424+Q1425+Q1426+((0.25*(Q1427+Q1428+Q1429))+((0.1*(Q1430+Q1431+Q1432)))))/Q1422</f>
        <v>0.99730964740186989</v>
      </c>
      <c r="R1419" s="331">
        <f>(R1424+R1425+R1426+((0.25*(R1427+R1428+R1429))+((0.1*(R1430+R1431+R1432)))))/R1422</f>
        <v>0.99748883768512242</v>
      </c>
      <c r="S1419" s="331">
        <f>(S1424+S1425+S1426+((0.25*(S1427+S1428+S1429))+((0.1*(S1430+S1431+S1432)))))/S1422</f>
        <v>0.99774690199023652</v>
      </c>
      <c r="T1419" s="331">
        <f>(T1424+T1425+T1426+((0.25*(T1427+T1428+T1429))+((0.1*(T1430+T1431+T1432)))))/T1422</f>
        <v>0.99597063037249278</v>
      </c>
      <c r="V1419" s="331">
        <f>(V1424+V1425+V1426+((0.25*(V1427+V1428+V1429))+((0.1*(V1430+V1431+V1432)))))/V1422</f>
        <v>0.99651810584958223</v>
      </c>
      <c r="W1419" s="331">
        <f>(W1424+W1425+W1426+((0.25*(W1427+W1428+W1429))+((0.1*(W1430+W1431+W1432)))))/W1422</f>
        <v>0.99646892655367236</v>
      </c>
      <c r="Y1419" s="331">
        <f>(Y1424+Y1425+Y1426+((0.25*(Y1427+Y1428+Y1429))+((0.1*(Y1430+Y1431+Y1432)))))/Y1422</f>
        <v>1</v>
      </c>
      <c r="Z1419" s="331">
        <f>(Z1424+Z1425+Z1426+((0.25*(Z1427+Z1428+Z1429))+((0.1*(Z1430+Z1431+Z1432)))))/Z1422</f>
        <v>1</v>
      </c>
      <c r="AB1419" s="331">
        <f>(AB1424+AB1425+AB1426+((0.25*(AB1427+AB1428+AB1429))+((0.1*(AB1430+AB1431+AB1432)))))/AB1422</f>
        <v>1</v>
      </c>
      <c r="AC1419" s="331">
        <f>(AC1424+AC1425+AC1426+((0.25*(AC1427+AC1428+AC1429))+((0.1*(AC1430+AC1431+AC1432)))))/AC1422</f>
        <v>1</v>
      </c>
      <c r="AE1419" s="331">
        <f>(AE1424+AE1425+AE1426+((0.25*(AE1427+AE1428+AE1429))+((0.1*(AE1430+AE1431+AE1432)))))/AE1422</f>
        <v>0.98835403726708071</v>
      </c>
      <c r="AF1419" s="331">
        <f>(AF1424+AF1425+AF1426+((0.25*(AF1427+AF1428+AF1429))+((0.1*(AF1430+AF1431+AF1432)))))/AF1422</f>
        <v>0.99030282408982651</v>
      </c>
      <c r="AH1419" s="331">
        <f>(AH1424+AH1425+AH1426+((0.25*(AH1427+AH1428+AH1429))+((0.1*(AH1430+AH1431+AH1432)))))/AH1422</f>
        <v>0.99388733519776262</v>
      </c>
      <c r="AI1419" s="331">
        <f>(AI1424+AI1425+AI1426+((0.25*(AI1427+AI1428+AI1429))+((0.1*(AI1430+AI1431+AI1432)))))/AI1422</f>
        <v>0.99668008048289736</v>
      </c>
      <c r="AK1419" s="331">
        <f>(AK1424+AK1425+AK1426+((0.25*(AK1427+AK1428+AK1429))+((0.1*(AK1430+AK1431+AK1432)))))/AK1422</f>
        <v>0.99711441953830715</v>
      </c>
      <c r="AL1419" s="331">
        <f>(AL1424+AL1425+AL1426+((0.25*(AL1427+AL1428+AL1429))+((0.1*(AL1430+AL1431+AL1432)))))/AL1422</f>
        <v>0.99638375165125503</v>
      </c>
      <c r="AN1419" s="331">
        <f>(AN1424+AN1425+AN1426+((0.25*(AN1427+AN1428+AN1429))+((0.1*(AN1430+AN1431+AN1432)))))/AN1422</f>
        <v>1</v>
      </c>
      <c r="AO1419" s="331">
        <f>(AO1424+AO1425+AO1426+((0.25*(AO1427+AO1428+AO1429))+((0.1*(AO1430+AO1431+AO1432)))))/AO1422</f>
        <v>1</v>
      </c>
      <c r="AQ1419" s="331" t="e">
        <f>(AQ1424+AQ1425+AQ1426+((0.25*(AQ1427+AQ1428+AQ1429))+((0.1*(AQ1430+AQ1431+AQ1432)))))/AQ1422</f>
        <v>#DIV/0!</v>
      </c>
      <c r="AR1419" s="331" t="e">
        <f>(AR1424+AR1425+AR1426+((0.25*(AR1427+AR1428+AR1429))+((0.1*(AR1430+AR1431+AR1432)))))/AR1422</f>
        <v>#DIV/0!</v>
      </c>
      <c r="AT1419" s="331">
        <f>(AT1424+AT1425+AT1426+((0.25*(AT1427+AT1428+AT1429))+((0.1*(AT1430+AT1431+AT1432)))))/AT1422</f>
        <v>0.99955195220823556</v>
      </c>
      <c r="AU1419" s="331">
        <f>(AU1424+AU1425+AU1426+((0.25*(AU1427+AU1428+AU1429))+((0.1*(AU1430+AU1431+AU1432)))))/AU1422</f>
        <v>1</v>
      </c>
      <c r="AW1419" s="331">
        <f>(AW1424+AW1425+AW1426+((0.25*(AW1427+AW1428+AW1429))+((0.1*(AW1430+AW1431+AW1432)))))/AW1422</f>
        <v>1</v>
      </c>
      <c r="AX1419" s="331">
        <f>(AX1424+AX1425+AX1426+((0.25*(AX1427+AX1428+AX1429))+((0.1*(AX1430+AX1431+AX1432)))))/AX1422</f>
        <v>1</v>
      </c>
      <c r="AZ1419" s="331">
        <f>(AZ1424+AZ1425+AZ1426+((0.25*(AZ1427+AZ1428+AZ1429))+((0.1*(AZ1430+AZ1431+AZ1432)))))/AZ1422</f>
        <v>1</v>
      </c>
      <c r="BA1419" s="331">
        <f>(BA1424+BA1425+BA1426+((0.25*(BA1427+BA1428+BA1429))+((0.1*(BA1430+BA1431+BA1432)))))/BA1422</f>
        <v>1</v>
      </c>
      <c r="BC1419" s="331">
        <f>(BC1424+BC1425+BC1426+((0.25*(BC1427+BC1428+BC1429))+((0.1*(BC1430+BC1431+BC1432)))))/BC1422</f>
        <v>1</v>
      </c>
      <c r="BD1419" s="331">
        <f>(BD1424+BD1425+BD1426+((0.25*(BD1427+BD1428+BD1429))+((0.1*(BD1430+BD1431+BD1432)))))/BD1422</f>
        <v>1</v>
      </c>
      <c r="BF1419" s="331">
        <f>(BF1424+BF1425+BF1426+((0.25*(BF1427+BF1428+BF1429))+((0.1*(BF1430+BF1431+BF1432)))))/BF1422</f>
        <v>0.99715419865152799</v>
      </c>
      <c r="BG1419" s="331">
        <f>(BG1424+BG1425+BG1426+((0.25*(BG1427+BG1428+BG1429))+((0.1*(BG1430+BG1431+BG1432)))))/BG1422</f>
        <v>0.99759397002044059</v>
      </c>
      <c r="BI1419" s="331">
        <f>(BI1424+BI1425+BI1426+((0.25*(BI1427+BI1428+BI1429))+((0.1*(BI1430+BI1431+BI1432)))))/BI1422</f>
        <v>0.99289110563393945</v>
      </c>
      <c r="BJ1419" s="331">
        <f>(BJ1424+BJ1425+BJ1426+((0.25*(BJ1427+BJ1428+BJ1429))+((0.1*(BJ1430+BJ1431+BJ1432)))))/BJ1422</f>
        <v>0.99326077274245628</v>
      </c>
      <c r="BL1419" s="331">
        <f>(BL1424+BL1425+BL1426+((0.25*(BL1427+BL1428+BL1429))+((0.1*(BL1430+BL1431+BL1432)))))/BL1422</f>
        <v>1</v>
      </c>
      <c r="BM1419" s="331">
        <f>(BM1424+BM1425+BM1426+((0.25*(BM1427+BM1428+BM1429))+((0.1*(BM1430+BM1431+BM1432)))))/BM1422</f>
        <v>1</v>
      </c>
      <c r="BO1419" s="331">
        <f>(BO1424+BO1425+BO1426+((0.25*(BO1427+BO1428+BO1429))+((0.1*(BO1430+BO1431+BO1432)))))/BO1422</f>
        <v>1</v>
      </c>
      <c r="BP1419" s="331">
        <f>(BP1424+BP1425+BP1426+((0.25*(BP1427+BP1428+BP1429))+((0.1*(BP1430+BP1431+BP1432)))))/BP1422</f>
        <v>1</v>
      </c>
      <c r="BR1419" s="331">
        <f>(BR1424+BR1425+BR1426+((0.25*(BR1427+BR1428+BR1429))+((0.1*(BR1430+BR1431+BR1432)))))/BR1422</f>
        <v>1</v>
      </c>
      <c r="BS1419" s="331">
        <f>(BS1424+BS1425+BS1426+((0.25*(BS1427+BS1428+BS1429))+((0.1*(BS1430+BS1431+BS1432)))))/BS1422</f>
        <v>1</v>
      </c>
      <c r="BU1419" s="331">
        <f>(BU1424+BU1425+BU1426+((0.25*(BU1427+BU1428+BU1429))+((0.1*(BU1430+BU1431+BU1432)))))/BU1422</f>
        <v>1</v>
      </c>
      <c r="BV1419" s="331">
        <f>(BV1424+BV1425+BV1426+((0.25*(BV1427+BV1428+BV1429))+((0.1*(BV1430+BV1431+BV1432)))))/BV1422</f>
        <v>1</v>
      </c>
      <c r="BX1419" s="331">
        <f>(BX1424+BX1425+BX1426+((0.25*(BX1427+BX1428+BX1429))+((0.1*(BX1430+BX1431+BX1432)))))/BX1422</f>
        <v>1</v>
      </c>
      <c r="BY1419" s="331">
        <f>(BY1424+BY1425+BY1426+((0.25*(BY1427+BY1428+BY1429))+((0.1*(BY1430+BY1431+BY1432)))))/BY1422</f>
        <v>1</v>
      </c>
      <c r="CA1419" s="331">
        <f>(CA1424+CA1425+CA1426+((0.25*(CA1427+CA1428+CA1429))+((0.1*(CA1430+CA1431+CA1432)))))/CA1422</f>
        <v>1</v>
      </c>
      <c r="CB1419" s="331">
        <f>(CB1424+CB1425+CB1426+((0.25*(CB1427+CB1428+CB1429))+((0.1*(CB1430+CB1431+CB1432)))))/CB1422</f>
        <v>1</v>
      </c>
      <c r="CD1419" s="331">
        <f>(CD1424+CD1425+CD1426+((0.25*(CD1427+CD1428+CD1429))+((0.1*(CD1430+CD1431+CD1432)))))/CD1422</f>
        <v>1</v>
      </c>
      <c r="CE1419" s="331">
        <f>(CE1424+CE1425+CE1426+((0.25*(CE1427+CE1428+CE1429))+((0.1*(CE1430+CE1431+CE1432)))))/CE1422</f>
        <v>1</v>
      </c>
      <c r="CG1419" s="331">
        <f>(CG1424+CG1425+CG1426+((0.25*(CG1427+CG1428+CG1429))+((0.1*(CG1430+CG1431+CG1432)))))/CG1422</f>
        <v>1</v>
      </c>
      <c r="CH1419" s="331">
        <f>(CH1424+CH1425+CH1426+((0.25*(CH1427+CH1428+CH1429))+((0.1*(CH1430+CH1431+CH1432)))))/CH1422</f>
        <v>1</v>
      </c>
      <c r="CJ1419" s="331">
        <f>(CJ1424+CJ1425+CJ1426+((0.25*(CJ1427+CJ1428+CJ1429))+((0.1*(CJ1430+CJ1431+CJ1432)))))/CJ1422</f>
        <v>1</v>
      </c>
      <c r="CK1419" s="331">
        <f>(CK1424+CK1425+CK1426+((0.25*(CK1427+CK1428+CK1429))+((0.1*(CK1430+CK1431+CK1432)))))/CK1422</f>
        <v>1</v>
      </c>
    </row>
    <row r="1420" spans="1:89" x14ac:dyDescent="0.25">
      <c r="A1420" s="107"/>
      <c r="B1420" s="16" t="s">
        <v>2718</v>
      </c>
      <c r="C1420" s="95"/>
      <c r="D1420" s="95"/>
      <c r="E1420" s="282"/>
      <c r="F1420" s="282"/>
      <c r="G1420" s="282"/>
      <c r="H1420" s="331">
        <f>(H1433+H1434+H1435+((0.25*(H1436+H1437+H1438))+((0.1*(H1439+H1440+H1441)))))/H1423</f>
        <v>0.99736052259887009</v>
      </c>
      <c r="I1420" s="331">
        <f>(I1433+I1434+I1435+((0.25*(I1436+I1437+I1438))+((0.1*(I1439+I1440+I1441)))))/I1423</f>
        <v>0.99888213712451268</v>
      </c>
      <c r="J1420" s="331">
        <f>(J1433+J1434+J1435+((0.25*(J1436+J1437+J1438))+((0.1*(J1439+J1440+J1441)))))/J1423</f>
        <v>0.99970212765957445</v>
      </c>
      <c r="K1420" s="331">
        <f>(K1433+K1434+K1435+((0.25*(K1436+K1437+K1438))+((0.1*(K1439+K1440+K1441)))))/K1423</f>
        <v>0.99969394695080471</v>
      </c>
      <c r="L1420" s="331">
        <f>(L1433+L1434+L1435+((0.25*(L1436+L1437+L1438))+((0.1*(L1439+L1440+L1441)))))/L1423</f>
        <v>1</v>
      </c>
      <c r="M1420" s="331">
        <f t="shared" ref="M1420:N1420" si="1750">(M1433+M1434+M1435+((0.25*(M1436+M1437+M1438))+((0.1*(M1439+M1440+M1441)))))/M1423</f>
        <v>1</v>
      </c>
      <c r="N1420" s="331">
        <f t="shared" si="1750"/>
        <v>1</v>
      </c>
      <c r="Q1420" s="331">
        <f>(Q1433+Q1434+Q1435+((0.25*(Q1436+Q1437+Q1438))+((0.1*(Q1439+Q1440+Q1441)))))/Q1423</f>
        <v>0.99969394695080471</v>
      </c>
      <c r="R1420" s="331">
        <f>(R1433+R1434+R1435+((0.25*(R1436+R1437+R1438))+((0.1*(R1439+R1440+R1441)))))/R1423</f>
        <v>0.99969125214408228</v>
      </c>
      <c r="S1420" s="331">
        <f>(S1433+S1434+S1435+((0.25*(S1436+S1437+S1438))+((0.1*(S1439+S1440+S1441)))))/S1423</f>
        <v>1</v>
      </c>
      <c r="T1420" s="331">
        <f>(T1433+T1434+T1435+((0.25*(T1436+T1437+T1438))+((0.1*(T1439+T1440+T1441)))))/T1423</f>
        <v>1</v>
      </c>
      <c r="V1420" s="331">
        <f>(V1433+V1434+V1435+((0.25*(V1436+V1437+V1438))+((0.1*(V1439+V1440+V1441)))))/V1423</f>
        <v>0.99740124740124736</v>
      </c>
      <c r="W1420" s="331">
        <f>(W1433+W1434+W1435+((0.25*(W1436+W1437+W1438))+((0.1*(W1439+W1440+W1441)))))/W1423</f>
        <v>1</v>
      </c>
      <c r="Y1420" s="331">
        <f>(Y1433+Y1434+Y1435+((0.25*(Y1436+Y1437+Y1438))+((0.1*(Y1439+Y1440+Y1441)))))/Y1423</f>
        <v>1</v>
      </c>
      <c r="Z1420" s="331">
        <f>(Z1433+Z1434+Z1435+((0.25*(Z1436+Z1437+Z1438))+((0.1*(Z1439+Z1440+Z1441)))))/Z1423</f>
        <v>1</v>
      </c>
      <c r="AB1420" s="331">
        <f>(AB1433+AB1434+AB1435+((0.25*(AB1436+AB1437+AB1438))+((0.1*(AB1439+AB1440+AB1441)))))/AB1423</f>
        <v>1</v>
      </c>
      <c r="AC1420" s="331">
        <f>(AC1433+AC1434+AC1435+((0.25*(AC1436+AC1437+AC1438))+((0.1*(AC1439+AC1440+AC1441)))))/AC1423</f>
        <v>1</v>
      </c>
      <c r="AE1420" s="331">
        <f>(AE1433+AE1434+AE1435+((0.25*(AE1436+AE1437+AE1438))+((0.1*(AE1439+AE1440+AE1441)))))/AE1423</f>
        <v>1</v>
      </c>
      <c r="AF1420" s="331">
        <f>(AF1433+AF1434+AF1435+((0.25*(AF1436+AF1437+AF1438))+((0.1*(AF1439+AF1440+AF1441)))))/AF1423</f>
        <v>1</v>
      </c>
      <c r="AH1420" s="331">
        <f>(AH1433+AH1434+AH1435+((0.25*(AH1436+AH1437+AH1438))+((0.1*(AH1439+AH1440+AH1441)))))/AH1423</f>
        <v>0.99962102071753411</v>
      </c>
      <c r="AI1420" s="331">
        <f>(AI1433+AI1434+AI1435+((0.25*(AI1436+AI1437+AI1438))+((0.1*(AI1439+AI1440+AI1441)))))/AI1423</f>
        <v>0.99771573604060915</v>
      </c>
      <c r="AK1420" s="331">
        <f>(AK1433+AK1434+AK1435+((0.25*(AK1436+AK1437+AK1438))+((0.1*(AK1439+AK1440+AK1441)))))/AK1423</f>
        <v>0.99689655172413805</v>
      </c>
      <c r="AL1420" s="331">
        <f>(AL1433+AL1434+AL1435+((0.25*(AL1436+AL1437+AL1438))+((0.1*(AL1439+AL1440+AL1441)))))/AL1423</f>
        <v>0.99687500000000007</v>
      </c>
      <c r="AN1420" s="331">
        <f>(AN1433+AN1434+AN1435+((0.25*(AN1436+AN1437+AN1438))+((0.1*(AN1439+AN1440+AN1441)))))/AN1423</f>
        <v>1</v>
      </c>
      <c r="AO1420" s="331">
        <f>(AO1433+AO1434+AO1435+((0.25*(AO1436+AO1437+AO1438))+((0.1*(AO1439+AO1440+AO1441)))))/AO1423</f>
        <v>1</v>
      </c>
      <c r="AQ1420" s="331">
        <f>(AQ1433+AQ1434+AQ1435+((0.25*(AQ1436+AQ1437+AQ1438))+((0.1*(AQ1439+AQ1440+AQ1441)))))/AQ1423</f>
        <v>1</v>
      </c>
      <c r="AR1420" s="331">
        <f>(AR1433+AR1434+AR1435+((0.25*(AR1436+AR1437+AR1438))+((0.1*(AR1439+AR1440+AR1441)))))/AR1423</f>
        <v>1</v>
      </c>
      <c r="AT1420" s="331" t="e">
        <f>(AT1433+AT1434+AT1435+((0.25*(AT1436+AT1437+AT1438))+((0.1*(AT1439+AT1440+AT1441)))))/AT1423</f>
        <v>#DIV/0!</v>
      </c>
      <c r="AU1420" s="331" t="e">
        <f>(AU1433+AU1434+AU1435+((0.25*(AU1436+AU1437+AU1438))+((0.1*(AU1439+AU1440+AU1441)))))/AU1423</f>
        <v>#DIV/0!</v>
      </c>
      <c r="AW1420" s="331" t="e">
        <f>(AW1433+AW1434+AW1435+((0.25*(AW1436+AW1437+AW1438))+((0.1*(AW1439+AW1440+AW1441)))))/AW1423</f>
        <v>#DIV/0!</v>
      </c>
      <c r="AX1420" s="331" t="e">
        <f>(AX1433+AX1434+AX1435+((0.25*(AX1436+AX1437+AX1438))+((0.1*(AX1439+AX1440+AX1441)))))/AX1423</f>
        <v>#DIV/0!</v>
      </c>
      <c r="AZ1420" s="331" t="e">
        <f>(AZ1433+AZ1434+AZ1435+((0.25*(AZ1436+AZ1437+AZ1438))+((0.1*(AZ1439+AZ1440+AZ1441)))))/AZ1423</f>
        <v>#DIV/0!</v>
      </c>
      <c r="BA1420" s="331" t="e">
        <f>(BA1433+BA1434+BA1435+((0.25*(BA1436+BA1437+BA1438))+((0.1*(BA1439+BA1440+BA1441)))))/BA1423</f>
        <v>#DIV/0!</v>
      </c>
      <c r="BC1420" s="331" t="e">
        <f>(BC1433+BC1434+BC1435+((0.25*(BC1436+BC1437+BC1438))+((0.1*(BC1439+BC1440+BC1441)))))/BC1423</f>
        <v>#DIV/0!</v>
      </c>
      <c r="BD1420" s="331" t="e">
        <f>(BD1433+BD1434+BD1435+((0.25*(BD1436+BD1437+BD1438))+((0.1*(BD1439+BD1440+BD1441)))))/BD1423</f>
        <v>#DIV/0!</v>
      </c>
      <c r="BF1420" s="331" t="e">
        <f>(BF1433+BF1434+BF1435+((0.25*(BF1436+BF1437+BF1438))+((0.1*(BF1439+BF1440+BF1441)))))/BF1423</f>
        <v>#DIV/0!</v>
      </c>
      <c r="BG1420" s="331" t="e">
        <f>(BG1433+BG1434+BG1435+((0.25*(BG1436+BG1437+BG1438))+((0.1*(BG1439+BG1440+BG1441)))))/BG1423</f>
        <v>#DIV/0!</v>
      </c>
      <c r="BI1420" s="331" t="e">
        <f>(BI1433+BI1434+BI1435+((0.25*(BI1436+BI1437+BI1438))+((0.1*(BI1439+BI1440+BI1441)))))/BI1423</f>
        <v>#DIV/0!</v>
      </c>
      <c r="BJ1420" s="331" t="e">
        <f>(BJ1433+BJ1434+BJ1435+((0.25*(BJ1436+BJ1437+BJ1438))+((0.1*(BJ1439+BJ1440+BJ1441)))))/BJ1423</f>
        <v>#DIV/0!</v>
      </c>
      <c r="BL1420" s="331" t="e">
        <f>(BL1433+BL1434+BL1435+((0.25*(BL1436+BL1437+BL1438))+((0.1*(BL1439+BL1440+BL1441)))))/BL1423</f>
        <v>#DIV/0!</v>
      </c>
      <c r="BM1420" s="331" t="e">
        <f>(BM1433+BM1434+BM1435+((0.25*(BM1436+BM1437+BM1438))+((0.1*(BM1439+BM1440+BM1441)))))/BM1423</f>
        <v>#DIV/0!</v>
      </c>
      <c r="BO1420" s="331" t="e">
        <f>(BO1433+BO1434+BO1435+((0.25*(BO1436+BO1437+BO1438))+((0.1*(BO1439+BO1440+BO1441)))))/BO1423</f>
        <v>#DIV/0!</v>
      </c>
      <c r="BP1420" s="331" t="e">
        <f>(BP1433+BP1434+BP1435+((0.25*(BP1436+BP1437+BP1438))+((0.1*(BP1439+BP1440+BP1441)))))/BP1423</f>
        <v>#DIV/0!</v>
      </c>
      <c r="BR1420" s="331" t="e">
        <f>(BR1433+BR1434+BR1435+((0.25*(BR1436+BR1437+BR1438))+((0.1*(BR1439+BR1440+BR1441)))))/BR1423</f>
        <v>#DIV/0!</v>
      </c>
      <c r="BS1420" s="331" t="e">
        <f>(BS1433+BS1434+BS1435+((0.25*(BS1436+BS1437+BS1438))+((0.1*(BS1439+BS1440+BS1441)))))/BS1423</f>
        <v>#DIV/0!</v>
      </c>
      <c r="BU1420" s="331" t="e">
        <f>(BU1433+BU1434+BU1435+((0.25*(BU1436+BU1437+BU1438))+((0.1*(BU1439+BU1440+BU1441)))))/BU1423</f>
        <v>#DIV/0!</v>
      </c>
      <c r="BV1420" s="331" t="e">
        <f>(BV1433+BV1434+BV1435+((0.25*(BV1436+BV1437+BV1438))+((0.1*(BV1439+BV1440+BV1441)))))/BV1423</f>
        <v>#DIV/0!</v>
      </c>
      <c r="BX1420" s="331" t="e">
        <f>(BX1433+BX1434+BX1435+((0.25*(BX1436+BX1437+BX1438))+((0.1*(BX1439+BX1440+BX1441)))))/BX1423</f>
        <v>#DIV/0!</v>
      </c>
      <c r="BY1420" s="331" t="e">
        <f>(BY1433+BY1434+BY1435+((0.25*(BY1436+BY1437+BY1438))+((0.1*(BY1439+BY1440+BY1441)))))/BY1423</f>
        <v>#DIV/0!</v>
      </c>
      <c r="CA1420" s="331" t="e">
        <f>(CA1433+CA1434+CA1435+((0.25*(CA1436+CA1437+CA1438))+((0.1*(CA1439+CA1440+CA1441)))))/CA1423</f>
        <v>#DIV/0!</v>
      </c>
      <c r="CB1420" s="331" t="e">
        <f>(CB1433+CB1434+CB1435+((0.25*(CB1436+CB1437+CB1438))+((0.1*(CB1439+CB1440+CB1441)))))/CB1423</f>
        <v>#DIV/0!</v>
      </c>
      <c r="CD1420" s="331" t="e">
        <f>(CD1433+CD1434+CD1435+((0.25*(CD1436+CD1437+CD1438))+((0.1*(CD1439+CD1440+CD1441)))))/CD1423</f>
        <v>#DIV/0!</v>
      </c>
      <c r="CE1420" s="331" t="e">
        <f>(CE1433+CE1434+CE1435+((0.25*(CE1436+CE1437+CE1438))+((0.1*(CE1439+CE1440+CE1441)))))/CE1423</f>
        <v>#DIV/0!</v>
      </c>
      <c r="CG1420" s="331">
        <f>(CG1433+CG1434+CG1435+((0.25*(CG1436+CG1437+CG1438))+((0.1*(CG1439+CG1440+CG1441)))))/CG1423</f>
        <v>1</v>
      </c>
      <c r="CH1420" s="331">
        <f>(CH1433+CH1434+CH1435+((0.25*(CH1436+CH1437+CH1438))+((0.1*(CH1439+CH1440+CH1441)))))/CH1423</f>
        <v>1</v>
      </c>
      <c r="CJ1420" s="331" t="e">
        <f>(CJ1433+CJ1434+CJ1435+((0.25*(CJ1436+CJ1437+CJ1438))+((0.1*(CJ1439+CJ1440+CJ1441)))))/CJ1423</f>
        <v>#DIV/0!</v>
      </c>
      <c r="CK1420" s="331" t="e">
        <f>(CK1433+CK1434+CK1435+((0.25*(CK1436+CK1437+CK1438))+((0.1*(CK1439+CK1440+CK1441)))))/CK1423</f>
        <v>#DIV/0!</v>
      </c>
    </row>
    <row r="1421" spans="1:89" x14ac:dyDescent="0.25">
      <c r="A1421" s="107"/>
      <c r="B1421" s="16"/>
      <c r="C1421" s="95"/>
      <c r="D1421" s="95"/>
      <c r="E1421" s="282"/>
      <c r="F1421" s="282"/>
      <c r="G1421" s="282"/>
      <c r="H1421" s="282">
        <f>SUM(H1424:H1441)</f>
        <v>201849</v>
      </c>
      <c r="I1421" s="282">
        <f>SUM(I1424:I1441)</f>
        <v>209375</v>
      </c>
      <c r="J1421" s="282">
        <f>SUM(J1424:J1441)</f>
        <v>215687</v>
      </c>
      <c r="K1421" s="282">
        <f>SUM(K1424:K1441)</f>
        <v>222041</v>
      </c>
      <c r="L1421" s="282">
        <f>SUM(L1424:L1441)</f>
        <v>4438</v>
      </c>
      <c r="M1421" s="282">
        <f t="shared" ref="M1421:N1421" si="1751">SUM(M1424:M1441)</f>
        <v>4416</v>
      </c>
      <c r="N1421" s="282">
        <f t="shared" si="1751"/>
        <v>4348</v>
      </c>
      <c r="Q1421" s="282">
        <f>SUM(Q1424:Q1441)</f>
        <v>222041</v>
      </c>
      <c r="R1421" s="282">
        <f>SUM(R1424:R1441)</f>
        <v>226676</v>
      </c>
      <c r="S1421" s="282">
        <f>SUM(S1424:S1441)</f>
        <v>3928</v>
      </c>
      <c r="T1421" s="282">
        <f>SUM(T1424:T1441)</f>
        <v>4054</v>
      </c>
      <c r="V1421" s="282">
        <f>SUM(V1424:V1441)</f>
        <v>3597</v>
      </c>
      <c r="W1421" s="282">
        <f>SUM(W1424:W1441)</f>
        <v>3577</v>
      </c>
      <c r="Y1421" s="282">
        <f>SUM(Y1424:Y1441)</f>
        <v>4418</v>
      </c>
      <c r="Z1421" s="282">
        <f>SUM(Z1424:Z1441)</f>
        <v>4344</v>
      </c>
      <c r="AB1421" s="282">
        <f>SUM(AB1424:AB1441)</f>
        <v>5122</v>
      </c>
      <c r="AC1421" s="282">
        <f>SUM(AC1424:AC1441)</f>
        <v>5114</v>
      </c>
      <c r="AE1421" s="282">
        <f>SUM(AE1424:AE1441)</f>
        <v>3885</v>
      </c>
      <c r="AF1421" s="282">
        <f>SUM(AF1424:AF1441)</f>
        <v>3847</v>
      </c>
      <c r="AH1421" s="282">
        <f>SUM(AH1424:AH1441)</f>
        <v>4482</v>
      </c>
      <c r="AI1421" s="282">
        <f>SUM(AI1424:AI1441)</f>
        <v>4455</v>
      </c>
      <c r="AK1421" s="282">
        <f>SUM(AK1424:AK1441)</f>
        <v>6268</v>
      </c>
      <c r="AL1421" s="282">
        <f>SUM(AL1424:AL1441)</f>
        <v>6344</v>
      </c>
      <c r="AN1421" s="282">
        <f>SUM(AN1424:AN1441)</f>
        <v>17393</v>
      </c>
      <c r="AO1421" s="282">
        <f>SUM(AO1424:AO1441)</f>
        <v>17445</v>
      </c>
      <c r="AQ1421" s="282">
        <f>SUM(AQ1424:AQ1441)</f>
        <v>2150</v>
      </c>
      <c r="AR1421" s="282">
        <f>SUM(AR1424:AR1441)</f>
        <v>2157</v>
      </c>
      <c r="AT1421" s="282">
        <f>SUM(AT1424:AT1441)</f>
        <v>14061</v>
      </c>
      <c r="AU1421" s="282">
        <f>SUM(AU1424:AU1441)</f>
        <v>14547</v>
      </c>
      <c r="AW1421" s="282">
        <f>SUM(AW1424:AW1441)</f>
        <v>5269</v>
      </c>
      <c r="AX1421" s="282">
        <f>SUM(AX1424:AX1441)</f>
        <v>5356</v>
      </c>
      <c r="AZ1421" s="282">
        <f>SUM(AZ1424:AZ1441)</f>
        <v>7300</v>
      </c>
      <c r="BA1421" s="282">
        <f>SUM(BA1424:BA1441)</f>
        <v>7246</v>
      </c>
      <c r="BC1421" s="282">
        <f>SUM(BC1424:BC1441)</f>
        <v>14538</v>
      </c>
      <c r="BD1421" s="282">
        <f>SUM(BD1424:BD1441)</f>
        <v>14814</v>
      </c>
      <c r="BF1421" s="282">
        <f>SUM(BF1424:BF1441)</f>
        <v>34261</v>
      </c>
      <c r="BG1421" s="282">
        <f>SUM(BG1424:BG1441)</f>
        <v>35224</v>
      </c>
      <c r="BI1421" s="282">
        <f>SUM(BI1424:BI1441)</f>
        <v>51527</v>
      </c>
      <c r="BJ1421" s="282">
        <f>SUM(BJ1424:BJ1441)</f>
        <v>53886</v>
      </c>
      <c r="BL1421" s="282">
        <f>SUM(BL1424:BL1441)</f>
        <v>5617</v>
      </c>
      <c r="BM1421" s="282">
        <f>SUM(BM1424:BM1441)</f>
        <v>5590</v>
      </c>
      <c r="BO1421" s="282">
        <f>SUM(BO1424:BO1441)</f>
        <v>5284</v>
      </c>
      <c r="BP1421" s="282">
        <f>SUM(BP1424:BP1441)</f>
        <v>5319</v>
      </c>
      <c r="BR1421" s="282">
        <f>SUM(BR1424:BR1441)</f>
        <v>8021</v>
      </c>
      <c r="BS1421" s="282">
        <f>SUM(BS1424:BS1441)</f>
        <v>8109</v>
      </c>
      <c r="BU1421" s="282">
        <f>SUM(BU1424:BU1441)</f>
        <v>8017</v>
      </c>
      <c r="BV1421" s="282">
        <f>SUM(BV1424:BV1441)</f>
        <v>8098</v>
      </c>
      <c r="BX1421" s="282">
        <f>SUM(BX1424:BX1441)</f>
        <v>2132</v>
      </c>
      <c r="BY1421" s="282">
        <f>SUM(BY1424:BY1441)</f>
        <v>2198</v>
      </c>
      <c r="CA1421" s="282">
        <f>SUM(CA1424:CA1441)</f>
        <v>5710</v>
      </c>
      <c r="CB1421" s="282">
        <f>SUM(CB1424:CB1441)</f>
        <v>5835</v>
      </c>
      <c r="CD1421" s="282">
        <f>SUM(CD1424:CD1441)</f>
        <v>5310</v>
      </c>
      <c r="CE1421" s="282">
        <f>SUM(CE1424:CE1441)</f>
        <v>5416</v>
      </c>
      <c r="CG1421" s="282">
        <f>SUM(CG1424:CG1441)</f>
        <v>3085</v>
      </c>
      <c r="CH1421" s="282">
        <f>SUM(CH1424:CH1441)</f>
        <v>3031</v>
      </c>
      <c r="CJ1421" s="282">
        <f>SUM(CJ1424:CJ1441)</f>
        <v>666</v>
      </c>
      <c r="CK1421" s="282">
        <f>SUM(CK1424:CK1441)</f>
        <v>670</v>
      </c>
    </row>
    <row r="1422" spans="1:89" x14ac:dyDescent="0.25">
      <c r="A1422" s="107"/>
      <c r="B1422" s="16"/>
      <c r="C1422" s="95"/>
      <c r="D1422" s="95"/>
      <c r="E1422" s="282"/>
      <c r="F1422" s="282"/>
      <c r="G1422" s="282"/>
      <c r="H1422" s="282">
        <f>SUM(H1424:H1432)</f>
        <v>184857</v>
      </c>
      <c r="I1422" s="282">
        <f>SUM(I1424:I1432)</f>
        <v>191931</v>
      </c>
      <c r="J1422" s="282">
        <f>SUM(J1424:J1432)</f>
        <v>198062</v>
      </c>
      <c r="K1422" s="282">
        <f>SUM(K1424:K1432)</f>
        <v>204397</v>
      </c>
      <c r="L1422" s="282">
        <f>SUM(L1424:L1432)</f>
        <v>2474</v>
      </c>
      <c r="M1422" s="282">
        <f t="shared" ref="M1422:N1422" si="1752">SUM(M1424:M1432)</f>
        <v>2475</v>
      </c>
      <c r="N1422" s="282">
        <f t="shared" si="1752"/>
        <v>2472</v>
      </c>
      <c r="Q1422" s="282">
        <f>SUM(Q1424:Q1432)</f>
        <v>204397</v>
      </c>
      <c r="R1422" s="282">
        <f>SUM(R1424:R1432)</f>
        <v>209186</v>
      </c>
      <c r="S1422" s="282">
        <f>SUM(S1424:S1432)</f>
        <v>2663</v>
      </c>
      <c r="T1422" s="282">
        <f>SUM(T1424:T1432)</f>
        <v>2792</v>
      </c>
      <c r="V1422" s="282">
        <f>SUM(V1424:V1432)</f>
        <v>2154</v>
      </c>
      <c r="W1422" s="282">
        <f>SUM(W1424:W1432)</f>
        <v>2124</v>
      </c>
      <c r="Y1422" s="282">
        <f>SUM(Y1424:Y1432)</f>
        <v>2960</v>
      </c>
      <c r="Z1422" s="282">
        <f>SUM(Z1424:Z1432)</f>
        <v>2929</v>
      </c>
      <c r="AB1422" s="282">
        <f>SUM(AB1424:AB1432)</f>
        <v>2910</v>
      </c>
      <c r="AC1422" s="282">
        <f>SUM(AC1424:AC1432)</f>
        <v>2938</v>
      </c>
      <c r="AE1422" s="282">
        <f>SUM(AE1424:AE1432)</f>
        <v>2898</v>
      </c>
      <c r="AF1422" s="282">
        <f>SUM(AF1424:AF1432)</f>
        <v>2939</v>
      </c>
      <c r="AH1422" s="282">
        <f>SUM(AH1424:AH1432)</f>
        <v>2503</v>
      </c>
      <c r="AI1422" s="282">
        <f>SUM(AI1424:AI1432)</f>
        <v>2485</v>
      </c>
      <c r="AK1422" s="282">
        <f>SUM(AK1424:AK1432)</f>
        <v>5978</v>
      </c>
      <c r="AL1422" s="282">
        <f>SUM(AL1424:AL1432)</f>
        <v>6056</v>
      </c>
      <c r="AN1422" s="282">
        <f>SUM(AN1424:AN1432)</f>
        <v>11915</v>
      </c>
      <c r="AO1422" s="282">
        <f>SUM(AO1424:AO1432)</f>
        <v>11981</v>
      </c>
      <c r="AQ1422" s="282">
        <f>SUM(AQ1424:AQ1432)</f>
        <v>0</v>
      </c>
      <c r="AR1422" s="282">
        <f>SUM(AR1424:AR1432)</f>
        <v>0</v>
      </c>
      <c r="AT1422" s="282">
        <f>SUM(AT1424:AT1432)</f>
        <v>14061</v>
      </c>
      <c r="AU1422" s="282">
        <f>SUM(AU1424:AU1432)</f>
        <v>14547</v>
      </c>
      <c r="AW1422" s="282">
        <f>SUM(AW1424:AW1432)</f>
        <v>5269</v>
      </c>
      <c r="AX1422" s="282">
        <f>SUM(AX1424:AX1432)</f>
        <v>5356</v>
      </c>
      <c r="AZ1422" s="282">
        <f>SUM(AZ1424:AZ1432)</f>
        <v>7300</v>
      </c>
      <c r="BA1422" s="282">
        <f>SUM(BA1424:BA1432)</f>
        <v>7246</v>
      </c>
      <c r="BC1422" s="282">
        <f>SUM(BC1424:BC1432)</f>
        <v>14538</v>
      </c>
      <c r="BD1422" s="282">
        <f>SUM(BD1424:BD1432)</f>
        <v>14814</v>
      </c>
      <c r="BF1422" s="282">
        <f>SUM(BF1424:BF1432)</f>
        <v>34261</v>
      </c>
      <c r="BG1422" s="282">
        <f>SUM(BG1424:BG1432)</f>
        <v>35224</v>
      </c>
      <c r="BI1422" s="282">
        <f>SUM(BI1424:BI1432)</f>
        <v>51527</v>
      </c>
      <c r="BJ1422" s="282">
        <f>SUM(BJ1424:BJ1432)</f>
        <v>53886</v>
      </c>
      <c r="BL1422" s="282">
        <f>SUM(BL1424:BL1432)</f>
        <v>5617</v>
      </c>
      <c r="BM1422" s="282">
        <f>SUM(BM1424:BM1432)</f>
        <v>5590</v>
      </c>
      <c r="BO1422" s="282">
        <f>SUM(BO1424:BO1432)</f>
        <v>5284</v>
      </c>
      <c r="BP1422" s="282">
        <f>SUM(BP1424:BP1432)</f>
        <v>5319</v>
      </c>
      <c r="BR1422" s="282">
        <f>SUM(BR1424:BR1432)</f>
        <v>8021</v>
      </c>
      <c r="BS1422" s="282">
        <f>SUM(BS1424:BS1432)</f>
        <v>8109</v>
      </c>
      <c r="BU1422" s="282">
        <f>SUM(BU1424:BU1432)</f>
        <v>8017</v>
      </c>
      <c r="BV1422" s="282">
        <f>SUM(BV1424:BV1432)</f>
        <v>8098</v>
      </c>
      <c r="BX1422" s="282">
        <f>SUM(BX1424:BX1432)</f>
        <v>2132</v>
      </c>
      <c r="BY1422" s="282">
        <f>SUM(BY1424:BY1432)</f>
        <v>2198</v>
      </c>
      <c r="CA1422" s="282">
        <f>SUM(CA1424:CA1432)</f>
        <v>5710</v>
      </c>
      <c r="CB1422" s="282">
        <f>SUM(CB1424:CB1432)</f>
        <v>5835</v>
      </c>
      <c r="CD1422" s="282">
        <f>SUM(CD1424:CD1432)</f>
        <v>5310</v>
      </c>
      <c r="CE1422" s="282">
        <f>SUM(CE1424:CE1432)</f>
        <v>5416</v>
      </c>
      <c r="CG1422" s="282">
        <f>SUM(CG1424:CG1432)</f>
        <v>2703</v>
      </c>
      <c r="CH1422" s="282">
        <f>SUM(CH1424:CH1432)</f>
        <v>2634</v>
      </c>
      <c r="CJ1422" s="282">
        <f>SUM(CJ1424:CJ1432)</f>
        <v>666</v>
      </c>
      <c r="CK1422" s="282">
        <f>SUM(CK1424:CK1432)</f>
        <v>670</v>
      </c>
    </row>
    <row r="1423" spans="1:89" x14ac:dyDescent="0.25">
      <c r="A1423" s="107"/>
      <c r="B1423" s="16"/>
      <c r="C1423" s="95"/>
      <c r="D1423" s="95"/>
      <c r="E1423" s="282"/>
      <c r="F1423" s="282"/>
      <c r="G1423" s="282"/>
      <c r="H1423" s="282">
        <f>SUM(H1433:H1441)</f>
        <v>16992</v>
      </c>
      <c r="I1423" s="282">
        <f>SUM(I1433:I1441)</f>
        <v>17444</v>
      </c>
      <c r="J1423" s="282">
        <f>SUM(J1433:J1441)</f>
        <v>17625</v>
      </c>
      <c r="K1423" s="282">
        <f>SUM(K1433:K1441)</f>
        <v>17644</v>
      </c>
      <c r="L1423" s="282">
        <f>SUM(L1433:L1441)</f>
        <v>1964</v>
      </c>
      <c r="M1423" s="282">
        <f t="shared" ref="M1423:N1423" si="1753">SUM(M1433:M1441)</f>
        <v>1941</v>
      </c>
      <c r="N1423" s="282">
        <f t="shared" si="1753"/>
        <v>1876</v>
      </c>
      <c r="Q1423" s="282">
        <f>SUM(Q1433:Q1441)</f>
        <v>17644</v>
      </c>
      <c r="R1423" s="282">
        <f>SUM(R1433:R1441)</f>
        <v>17490</v>
      </c>
      <c r="S1423" s="282">
        <f>SUM(S1433:S1441)</f>
        <v>1265</v>
      </c>
      <c r="T1423" s="282">
        <f>SUM(T1433:T1441)</f>
        <v>1262</v>
      </c>
      <c r="V1423" s="282">
        <f>SUM(V1433:V1441)</f>
        <v>1443</v>
      </c>
      <c r="W1423" s="282">
        <f>SUM(W1433:W1441)</f>
        <v>1453</v>
      </c>
      <c r="Y1423" s="282">
        <f>SUM(Y1433:Y1441)</f>
        <v>1458</v>
      </c>
      <c r="Z1423" s="282">
        <f>SUM(Z1433:Z1441)</f>
        <v>1415</v>
      </c>
      <c r="AB1423" s="282">
        <f>SUM(AB1433:AB1441)</f>
        <v>2212</v>
      </c>
      <c r="AC1423" s="282">
        <f>SUM(AC1433:AC1441)</f>
        <v>2176</v>
      </c>
      <c r="AE1423" s="282">
        <f>SUM(AE1433:AE1441)</f>
        <v>987</v>
      </c>
      <c r="AF1423" s="282">
        <f>SUM(AF1433:AF1441)</f>
        <v>908</v>
      </c>
      <c r="AH1423" s="282">
        <f>SUM(AH1433:AH1441)</f>
        <v>1979</v>
      </c>
      <c r="AI1423" s="282">
        <f>SUM(AI1433:AI1441)</f>
        <v>1970</v>
      </c>
      <c r="AK1423" s="282">
        <f>SUM(AK1433:AK1441)</f>
        <v>290</v>
      </c>
      <c r="AL1423" s="282">
        <f>SUM(AL1433:AL1441)</f>
        <v>288</v>
      </c>
      <c r="AN1423" s="282">
        <f>SUM(AN1433:AN1441)</f>
        <v>5478</v>
      </c>
      <c r="AO1423" s="282">
        <f>SUM(AO1433:AO1441)</f>
        <v>5464</v>
      </c>
      <c r="AQ1423" s="282">
        <f>SUM(AQ1433:AQ1441)</f>
        <v>2150</v>
      </c>
      <c r="AR1423" s="282">
        <f>SUM(AR1433:AR1441)</f>
        <v>2157</v>
      </c>
      <c r="AT1423" s="282">
        <f>SUM(AT1433:AT1441)</f>
        <v>0</v>
      </c>
      <c r="AU1423" s="282">
        <f>SUM(AU1433:AU1441)</f>
        <v>0</v>
      </c>
      <c r="AW1423" s="282">
        <f>SUM(AW1433:AW1441)</f>
        <v>0</v>
      </c>
      <c r="AX1423" s="282">
        <f>SUM(AX1433:AX1441)</f>
        <v>0</v>
      </c>
      <c r="AZ1423" s="282">
        <f>SUM(AZ1433:AZ1441)</f>
        <v>0</v>
      </c>
      <c r="BA1423" s="282">
        <f>SUM(BA1433:BA1441)</f>
        <v>0</v>
      </c>
      <c r="BC1423" s="282">
        <f>SUM(BC1433:BC1441)</f>
        <v>0</v>
      </c>
      <c r="BD1423" s="282">
        <f>SUM(BD1433:BD1441)</f>
        <v>0</v>
      </c>
      <c r="BF1423" s="282">
        <f>SUM(BF1433:BF1441)</f>
        <v>0</v>
      </c>
      <c r="BG1423" s="282">
        <f>SUM(BG1433:BG1441)</f>
        <v>0</v>
      </c>
      <c r="BI1423" s="282">
        <f>SUM(BI1433:BI1441)</f>
        <v>0</v>
      </c>
      <c r="BJ1423" s="282">
        <f>SUM(BJ1433:BJ1441)</f>
        <v>0</v>
      </c>
      <c r="BL1423" s="282">
        <f>SUM(BL1433:BL1441)</f>
        <v>0</v>
      </c>
      <c r="BM1423" s="282">
        <f>SUM(BM1433:BM1441)</f>
        <v>0</v>
      </c>
      <c r="BO1423" s="282">
        <f>SUM(BO1433:BO1441)</f>
        <v>0</v>
      </c>
      <c r="BP1423" s="282">
        <f>SUM(BP1433:BP1441)</f>
        <v>0</v>
      </c>
      <c r="BR1423" s="282">
        <f>SUM(BR1433:BR1441)</f>
        <v>0</v>
      </c>
      <c r="BS1423" s="282">
        <f>SUM(BS1433:BS1441)</f>
        <v>0</v>
      </c>
      <c r="BU1423" s="282">
        <f>SUM(BU1433:BU1441)</f>
        <v>0</v>
      </c>
      <c r="BV1423" s="282">
        <f>SUM(BV1433:BV1441)</f>
        <v>0</v>
      </c>
      <c r="BX1423" s="282">
        <f>SUM(BX1433:BX1441)</f>
        <v>0</v>
      </c>
      <c r="BY1423" s="282">
        <f>SUM(BY1433:BY1441)</f>
        <v>0</v>
      </c>
      <c r="CA1423" s="282">
        <f>SUM(CA1433:CA1441)</f>
        <v>0</v>
      </c>
      <c r="CB1423" s="282">
        <f>SUM(CB1433:CB1441)</f>
        <v>0</v>
      </c>
      <c r="CD1423" s="282">
        <f>SUM(CD1433:CD1441)</f>
        <v>0</v>
      </c>
      <c r="CE1423" s="282">
        <f>SUM(CE1433:CE1441)</f>
        <v>0</v>
      </c>
      <c r="CG1423" s="282">
        <f>SUM(CG1433:CG1441)</f>
        <v>382</v>
      </c>
      <c r="CH1423" s="282">
        <f>SUM(CH1433:CH1441)</f>
        <v>397</v>
      </c>
      <c r="CJ1423" s="282">
        <f>SUM(CJ1433:CJ1441)</f>
        <v>0</v>
      </c>
      <c r="CK1423" s="282">
        <f>SUM(CK1433:CK1441)</f>
        <v>0</v>
      </c>
    </row>
    <row r="1424" spans="1:89" ht="30" x14ac:dyDescent="0.25">
      <c r="A1424" s="107"/>
      <c r="B1424" s="312"/>
      <c r="C1424" s="312" t="s">
        <v>1593</v>
      </c>
      <c r="D1424" s="95"/>
      <c r="E1424" s="282"/>
      <c r="F1424" s="282"/>
      <c r="G1424" s="282"/>
      <c r="H1424" s="282">
        <v>180435</v>
      </c>
      <c r="I1424" s="282">
        <v>187583</v>
      </c>
      <c r="J1424" s="282">
        <f t="shared" ref="J1424:M1441" si="1754">J679</f>
        <v>193546</v>
      </c>
      <c r="K1424" s="282">
        <f t="shared" si="1754"/>
        <v>199765</v>
      </c>
      <c r="L1424" s="282">
        <f t="shared" si="1754"/>
        <v>2474</v>
      </c>
      <c r="M1424" s="282">
        <f t="shared" si="1754"/>
        <v>2475</v>
      </c>
      <c r="N1424" s="282">
        <f t="shared" ref="N1424" si="1755">N679</f>
        <v>2472</v>
      </c>
      <c r="O1424" s="286"/>
      <c r="Q1424" s="283">
        <f t="shared" ref="Q1424:Q1441" si="1756">S1424+V1424+Y1424+AB1424+AE1424+AH1424+AK1424+AN1424+AQ1424+AT1424+AW1424+AZ1424+BC1424+BF1424+BI1424+BL1424+BO1424+BR1424+BU1424+BX1424+CA1424+CD1424+CG1424+CJ1424</f>
        <v>199765</v>
      </c>
      <c r="R1424" s="283">
        <f t="shared" ref="R1424:R1441" si="1757">T1424+W1424+Z1424+AC1424+AF1424+AI1424+AL1424+AO1424+AR1424+AU1424+AX1424+BA1424+BD1424+BG1424+BJ1424+BM1424+BP1424+BS1424+BV1424+BY1424+CB1424+CE1424+CH1424+CK1424</f>
        <v>204600</v>
      </c>
      <c r="S1424" s="283">
        <f t="shared" ref="S1424:T1441" si="1758">S679</f>
        <v>2623</v>
      </c>
      <c r="T1424" s="283">
        <f t="shared" si="1758"/>
        <v>2733</v>
      </c>
      <c r="V1424" s="283">
        <f t="shared" ref="V1424:W1441" si="1759">V679</f>
        <v>2144</v>
      </c>
      <c r="W1424" s="283">
        <f t="shared" si="1759"/>
        <v>2114</v>
      </c>
      <c r="Y1424" s="283">
        <f t="shared" ref="Y1424:Z1441" si="1760">Y679</f>
        <v>2960</v>
      </c>
      <c r="Z1424" s="283">
        <f t="shared" si="1760"/>
        <v>2929</v>
      </c>
      <c r="AB1424" s="283">
        <f t="shared" ref="AB1424:AC1441" si="1761">AB679</f>
        <v>2910</v>
      </c>
      <c r="AC1424" s="283">
        <f t="shared" si="1761"/>
        <v>2938</v>
      </c>
      <c r="AE1424" s="283">
        <f t="shared" ref="AE1424:AF1441" si="1762">AE679</f>
        <v>2779</v>
      </c>
      <c r="AF1424" s="283">
        <f t="shared" si="1762"/>
        <v>2839</v>
      </c>
      <c r="AH1424" s="283">
        <f t="shared" ref="AH1424:AI1441" si="1763">AH679</f>
        <v>2486</v>
      </c>
      <c r="AI1424" s="283">
        <f t="shared" si="1763"/>
        <v>2474</v>
      </c>
      <c r="AK1424" s="283">
        <f t="shared" ref="AK1424:AL1441" si="1764">AK679</f>
        <v>5793</v>
      </c>
      <c r="AL1424" s="283">
        <f t="shared" si="1764"/>
        <v>5866</v>
      </c>
      <c r="AN1424" s="283">
        <f t="shared" ref="AN1424:AO1441" si="1765">AN679</f>
        <v>11819</v>
      </c>
      <c r="AO1424" s="283">
        <f t="shared" si="1765"/>
        <v>11889</v>
      </c>
      <c r="AQ1424" s="283">
        <f t="shared" ref="AQ1424:AR1441" si="1766">AQ679</f>
        <v>0</v>
      </c>
      <c r="AR1424" s="283">
        <f t="shared" si="1766"/>
        <v>0</v>
      </c>
      <c r="AT1424" s="283">
        <f t="shared" ref="AT1424:AU1441" si="1767">AT679</f>
        <v>13883</v>
      </c>
      <c r="AU1424" s="283">
        <f t="shared" si="1767"/>
        <v>14407</v>
      </c>
      <c r="AW1424" s="283">
        <f t="shared" ref="AW1424:AX1441" si="1768">AW679</f>
        <v>5196</v>
      </c>
      <c r="AX1424" s="283">
        <f t="shared" si="1768"/>
        <v>5281</v>
      </c>
      <c r="AZ1424" s="283">
        <f t="shared" ref="AZ1424:BA1441" si="1769">AZ679</f>
        <v>7300</v>
      </c>
      <c r="BA1424" s="283">
        <f t="shared" si="1769"/>
        <v>7246</v>
      </c>
      <c r="BC1424" s="283">
        <f t="shared" ref="BC1424:BD1441" si="1770">BC679</f>
        <v>14385</v>
      </c>
      <c r="BD1424" s="283">
        <f t="shared" si="1770"/>
        <v>14670</v>
      </c>
      <c r="BF1424" s="283">
        <f t="shared" ref="BF1424:BG1441" si="1771">BF679</f>
        <v>34019</v>
      </c>
      <c r="BG1424" s="283">
        <f t="shared" si="1771"/>
        <v>34985</v>
      </c>
      <c r="BI1424" s="283">
        <f t="shared" ref="BI1424:BJ1441" si="1772">BI679</f>
        <v>50296</v>
      </c>
      <c r="BJ1424" s="283">
        <f t="shared" si="1772"/>
        <v>52650</v>
      </c>
      <c r="BL1424" s="283">
        <f t="shared" ref="BL1424:BM1441" si="1773">BL679</f>
        <v>5617</v>
      </c>
      <c r="BM1424" s="283">
        <f t="shared" si="1773"/>
        <v>5590</v>
      </c>
      <c r="BO1424" s="283">
        <f t="shared" ref="BO1424:BP1441" si="1774">BO679</f>
        <v>5276</v>
      </c>
      <c r="BP1424" s="283">
        <f t="shared" si="1774"/>
        <v>5300</v>
      </c>
      <c r="BR1424" s="283">
        <f t="shared" ref="BR1424:BS1441" si="1775">BR679</f>
        <v>8021</v>
      </c>
      <c r="BS1424" s="283">
        <f t="shared" si="1775"/>
        <v>8109</v>
      </c>
      <c r="BU1424" s="283">
        <f t="shared" ref="BU1424:BV1441" si="1776">BU679</f>
        <v>7972</v>
      </c>
      <c r="BV1424" s="283">
        <f t="shared" si="1776"/>
        <v>8054</v>
      </c>
      <c r="BX1424" s="283">
        <f t="shared" ref="BX1424:BY1441" si="1777">BX679</f>
        <v>2132</v>
      </c>
      <c r="BY1424" s="283">
        <f t="shared" si="1777"/>
        <v>2198</v>
      </c>
      <c r="CA1424" s="283">
        <f t="shared" ref="CA1424:CB1441" si="1778">CA679</f>
        <v>5700</v>
      </c>
      <c r="CB1424" s="283">
        <f t="shared" si="1778"/>
        <v>5824</v>
      </c>
      <c r="CD1424" s="283">
        <f t="shared" ref="CD1424:CE1441" si="1779">CD679</f>
        <v>5310</v>
      </c>
      <c r="CE1424" s="283">
        <f t="shared" si="1779"/>
        <v>5416</v>
      </c>
      <c r="CG1424" s="283">
        <f t="shared" ref="CG1424:CH1441" si="1780">CG679</f>
        <v>478</v>
      </c>
      <c r="CH1424" s="283">
        <f t="shared" si="1780"/>
        <v>418</v>
      </c>
      <c r="CJ1424" s="283">
        <f t="shared" ref="CJ1424:CK1441" si="1781">CJ679</f>
        <v>666</v>
      </c>
      <c r="CK1424" s="283">
        <f t="shared" si="1781"/>
        <v>670</v>
      </c>
    </row>
    <row r="1425" spans="1:89" ht="30" x14ac:dyDescent="0.25">
      <c r="A1425" s="107"/>
      <c r="B1425" s="312"/>
      <c r="C1425" s="312" t="s">
        <v>1594</v>
      </c>
      <c r="D1425" s="95"/>
      <c r="E1425" s="282"/>
      <c r="F1425" s="282"/>
      <c r="G1425" s="282"/>
      <c r="H1425" s="282">
        <v>1648</v>
      </c>
      <c r="I1425" s="282">
        <v>1681</v>
      </c>
      <c r="J1425" s="282">
        <f t="shared" si="1754"/>
        <v>1891</v>
      </c>
      <c r="K1425" s="282">
        <f t="shared" si="1754"/>
        <v>1945</v>
      </c>
      <c r="L1425" s="282">
        <f t="shared" si="1754"/>
        <v>0</v>
      </c>
      <c r="M1425" s="282">
        <f t="shared" si="1754"/>
        <v>0</v>
      </c>
      <c r="N1425" s="282">
        <f t="shared" ref="N1425" si="1782">N680</f>
        <v>0</v>
      </c>
      <c r="Q1425" s="283">
        <f t="shared" si="1756"/>
        <v>1945</v>
      </c>
      <c r="R1425" s="283">
        <f t="shared" si="1757"/>
        <v>1928</v>
      </c>
      <c r="S1425" s="283">
        <f t="shared" si="1758"/>
        <v>32</v>
      </c>
      <c r="T1425" s="283">
        <f t="shared" si="1758"/>
        <v>44</v>
      </c>
      <c r="V1425" s="283">
        <f t="shared" si="1759"/>
        <v>0</v>
      </c>
      <c r="W1425" s="283">
        <f t="shared" si="1759"/>
        <v>0</v>
      </c>
      <c r="Y1425" s="283">
        <f t="shared" si="1760"/>
        <v>0</v>
      </c>
      <c r="Z1425" s="283">
        <f t="shared" si="1760"/>
        <v>0</v>
      </c>
      <c r="AB1425" s="283">
        <f t="shared" si="1761"/>
        <v>0</v>
      </c>
      <c r="AC1425" s="283">
        <f t="shared" si="1761"/>
        <v>0</v>
      </c>
      <c r="AE1425" s="283">
        <f t="shared" si="1762"/>
        <v>0</v>
      </c>
      <c r="AF1425" s="283">
        <f t="shared" si="1762"/>
        <v>0</v>
      </c>
      <c r="AH1425" s="283">
        <f t="shared" si="1763"/>
        <v>0</v>
      </c>
      <c r="AI1425" s="283">
        <f t="shared" si="1763"/>
        <v>0</v>
      </c>
      <c r="AK1425" s="283">
        <f t="shared" si="1764"/>
        <v>155</v>
      </c>
      <c r="AL1425" s="283">
        <f t="shared" si="1764"/>
        <v>154</v>
      </c>
      <c r="AN1425" s="283">
        <f t="shared" si="1765"/>
        <v>33</v>
      </c>
      <c r="AO1425" s="283">
        <f t="shared" si="1765"/>
        <v>24</v>
      </c>
      <c r="AQ1425" s="283">
        <f t="shared" si="1766"/>
        <v>0</v>
      </c>
      <c r="AR1425" s="283">
        <f t="shared" si="1766"/>
        <v>0</v>
      </c>
      <c r="AT1425" s="283">
        <f t="shared" si="1767"/>
        <v>171</v>
      </c>
      <c r="AU1425" s="283">
        <f t="shared" si="1767"/>
        <v>140</v>
      </c>
      <c r="AW1425" s="283">
        <f t="shared" si="1768"/>
        <v>63</v>
      </c>
      <c r="AX1425" s="283">
        <f t="shared" si="1768"/>
        <v>66</v>
      </c>
      <c r="AZ1425" s="283">
        <f t="shared" si="1769"/>
        <v>0</v>
      </c>
      <c r="BA1425" s="283">
        <f t="shared" si="1769"/>
        <v>0</v>
      </c>
      <c r="BC1425" s="283">
        <f t="shared" si="1770"/>
        <v>153</v>
      </c>
      <c r="BD1425" s="283">
        <f t="shared" si="1770"/>
        <v>144</v>
      </c>
      <c r="BF1425" s="283">
        <f t="shared" si="1771"/>
        <v>112</v>
      </c>
      <c r="BG1425" s="283">
        <f t="shared" si="1771"/>
        <v>119</v>
      </c>
      <c r="BI1425" s="283">
        <f t="shared" si="1772"/>
        <v>788</v>
      </c>
      <c r="BJ1425" s="283">
        <f t="shared" si="1772"/>
        <v>793</v>
      </c>
      <c r="BL1425" s="283">
        <f t="shared" si="1773"/>
        <v>0</v>
      </c>
      <c r="BM1425" s="283">
        <f t="shared" si="1773"/>
        <v>0</v>
      </c>
      <c r="BO1425" s="283">
        <f t="shared" si="1774"/>
        <v>8</v>
      </c>
      <c r="BP1425" s="283">
        <f t="shared" si="1774"/>
        <v>19</v>
      </c>
      <c r="BR1425" s="283">
        <f t="shared" si="1775"/>
        <v>0</v>
      </c>
      <c r="BS1425" s="283">
        <f t="shared" si="1775"/>
        <v>0</v>
      </c>
      <c r="BU1425" s="283">
        <f t="shared" si="1776"/>
        <v>0</v>
      </c>
      <c r="BV1425" s="283">
        <f t="shared" si="1776"/>
        <v>0</v>
      </c>
      <c r="BX1425" s="283">
        <f t="shared" si="1777"/>
        <v>0</v>
      </c>
      <c r="BY1425" s="283">
        <f t="shared" si="1777"/>
        <v>0</v>
      </c>
      <c r="CA1425" s="283">
        <f t="shared" si="1778"/>
        <v>10</v>
      </c>
      <c r="CB1425" s="283">
        <f t="shared" si="1778"/>
        <v>11</v>
      </c>
      <c r="CD1425" s="283">
        <f t="shared" si="1779"/>
        <v>0</v>
      </c>
      <c r="CE1425" s="283">
        <f t="shared" si="1779"/>
        <v>0</v>
      </c>
      <c r="CG1425" s="283">
        <f t="shared" si="1780"/>
        <v>420</v>
      </c>
      <c r="CH1425" s="283">
        <f t="shared" si="1780"/>
        <v>414</v>
      </c>
      <c r="CJ1425" s="283">
        <f t="shared" si="1781"/>
        <v>0</v>
      </c>
      <c r="CK1425" s="283">
        <f t="shared" si="1781"/>
        <v>0</v>
      </c>
    </row>
    <row r="1426" spans="1:89" ht="30" x14ac:dyDescent="0.25">
      <c r="A1426" s="107"/>
      <c r="B1426" s="312"/>
      <c r="C1426" s="312" t="s">
        <v>1595</v>
      </c>
      <c r="D1426" s="95"/>
      <c r="E1426" s="282"/>
      <c r="F1426" s="282"/>
      <c r="G1426" s="282"/>
      <c r="H1426" s="282">
        <v>1807</v>
      </c>
      <c r="I1426" s="282">
        <v>1865</v>
      </c>
      <c r="J1426" s="282">
        <f t="shared" si="1754"/>
        <v>1926</v>
      </c>
      <c r="K1426" s="282">
        <f t="shared" si="1754"/>
        <v>2004</v>
      </c>
      <c r="L1426" s="282">
        <f t="shared" si="1754"/>
        <v>0</v>
      </c>
      <c r="M1426" s="282">
        <f t="shared" si="1754"/>
        <v>0</v>
      </c>
      <c r="N1426" s="282">
        <f t="shared" ref="N1426" si="1783">N681</f>
        <v>0</v>
      </c>
      <c r="Q1426" s="283">
        <f t="shared" si="1756"/>
        <v>2004</v>
      </c>
      <c r="R1426" s="283">
        <f t="shared" si="1757"/>
        <v>1999</v>
      </c>
      <c r="S1426" s="283">
        <f t="shared" si="1758"/>
        <v>0</v>
      </c>
      <c r="T1426" s="283">
        <f t="shared" si="1758"/>
        <v>0</v>
      </c>
      <c r="V1426" s="283">
        <f t="shared" si="1759"/>
        <v>0</v>
      </c>
      <c r="W1426" s="283">
        <f t="shared" si="1759"/>
        <v>0</v>
      </c>
      <c r="Y1426" s="283">
        <f t="shared" si="1760"/>
        <v>0</v>
      </c>
      <c r="Z1426" s="283">
        <f t="shared" si="1760"/>
        <v>0</v>
      </c>
      <c r="AB1426" s="283">
        <f t="shared" si="1761"/>
        <v>0</v>
      </c>
      <c r="AC1426" s="283">
        <f t="shared" si="1761"/>
        <v>0</v>
      </c>
      <c r="AE1426" s="283">
        <f t="shared" si="1762"/>
        <v>74</v>
      </c>
      <c r="AF1426" s="283">
        <f t="shared" si="1762"/>
        <v>62</v>
      </c>
      <c r="AH1426" s="283">
        <f t="shared" si="1763"/>
        <v>0</v>
      </c>
      <c r="AI1426" s="283">
        <f t="shared" si="1763"/>
        <v>0</v>
      </c>
      <c r="AK1426" s="283">
        <f t="shared" si="1764"/>
        <v>7</v>
      </c>
      <c r="AL1426" s="283">
        <f t="shared" si="1764"/>
        <v>7</v>
      </c>
      <c r="AN1426" s="283">
        <f t="shared" si="1765"/>
        <v>63</v>
      </c>
      <c r="AO1426" s="283">
        <f t="shared" si="1765"/>
        <v>68</v>
      </c>
      <c r="AQ1426" s="283">
        <f t="shared" si="1766"/>
        <v>0</v>
      </c>
      <c r="AR1426" s="283">
        <f t="shared" si="1766"/>
        <v>0</v>
      </c>
      <c r="AT1426" s="283">
        <f t="shared" si="1767"/>
        <v>0</v>
      </c>
      <c r="AU1426" s="283">
        <f t="shared" si="1767"/>
        <v>0</v>
      </c>
      <c r="AW1426" s="283">
        <f t="shared" si="1768"/>
        <v>10</v>
      </c>
      <c r="AX1426" s="283">
        <f t="shared" si="1768"/>
        <v>9</v>
      </c>
      <c r="AZ1426" s="283">
        <f t="shared" si="1769"/>
        <v>0</v>
      </c>
      <c r="BA1426" s="283">
        <f t="shared" si="1769"/>
        <v>0</v>
      </c>
      <c r="BC1426" s="283">
        <f t="shared" si="1770"/>
        <v>0</v>
      </c>
      <c r="BD1426" s="283">
        <f t="shared" si="1770"/>
        <v>0</v>
      </c>
      <c r="BF1426" s="283">
        <f t="shared" si="1771"/>
        <v>0</v>
      </c>
      <c r="BG1426" s="283">
        <f t="shared" si="1771"/>
        <v>7</v>
      </c>
      <c r="BI1426" s="283">
        <f t="shared" si="1772"/>
        <v>0</v>
      </c>
      <c r="BJ1426" s="283">
        <f t="shared" si="1772"/>
        <v>0</v>
      </c>
      <c r="BL1426" s="283">
        <f t="shared" si="1773"/>
        <v>0</v>
      </c>
      <c r="BM1426" s="283">
        <f t="shared" si="1773"/>
        <v>0</v>
      </c>
      <c r="BO1426" s="283">
        <f t="shared" si="1774"/>
        <v>0</v>
      </c>
      <c r="BP1426" s="283">
        <f t="shared" si="1774"/>
        <v>0</v>
      </c>
      <c r="BR1426" s="283">
        <f t="shared" si="1775"/>
        <v>0</v>
      </c>
      <c r="BS1426" s="283">
        <f t="shared" si="1775"/>
        <v>0</v>
      </c>
      <c r="BU1426" s="283">
        <f t="shared" si="1776"/>
        <v>45</v>
      </c>
      <c r="BV1426" s="283">
        <f t="shared" si="1776"/>
        <v>44</v>
      </c>
      <c r="BX1426" s="283">
        <f t="shared" si="1777"/>
        <v>0</v>
      </c>
      <c r="BY1426" s="283">
        <f t="shared" si="1777"/>
        <v>0</v>
      </c>
      <c r="CA1426" s="283">
        <f t="shared" si="1778"/>
        <v>0</v>
      </c>
      <c r="CB1426" s="283">
        <f t="shared" si="1778"/>
        <v>0</v>
      </c>
      <c r="CD1426" s="283">
        <f t="shared" si="1779"/>
        <v>0</v>
      </c>
      <c r="CE1426" s="283">
        <f t="shared" si="1779"/>
        <v>0</v>
      </c>
      <c r="CG1426" s="283">
        <f t="shared" si="1780"/>
        <v>1805</v>
      </c>
      <c r="CH1426" s="283">
        <f t="shared" si="1780"/>
        <v>1802</v>
      </c>
      <c r="CJ1426" s="283">
        <f t="shared" si="1781"/>
        <v>0</v>
      </c>
      <c r="CK1426" s="283">
        <f t="shared" si="1781"/>
        <v>0</v>
      </c>
    </row>
    <row r="1427" spans="1:89" ht="30" x14ac:dyDescent="0.25">
      <c r="A1427" s="107"/>
      <c r="B1427" s="312"/>
      <c r="C1427" s="312" t="s">
        <v>2442</v>
      </c>
      <c r="D1427" s="95"/>
      <c r="E1427" s="282"/>
      <c r="F1427" s="282"/>
      <c r="G1427" s="282"/>
      <c r="H1427" s="282">
        <v>686</v>
      </c>
      <c r="I1427" s="282">
        <v>573</v>
      </c>
      <c r="J1427" s="282">
        <f t="shared" si="1754"/>
        <v>448</v>
      </c>
      <c r="K1427" s="282">
        <f t="shared" si="1754"/>
        <v>432</v>
      </c>
      <c r="L1427" s="282">
        <f t="shared" si="1754"/>
        <v>0</v>
      </c>
      <c r="M1427" s="282">
        <f t="shared" si="1754"/>
        <v>0</v>
      </c>
      <c r="N1427" s="282">
        <f t="shared" ref="N1427" si="1784">N682</f>
        <v>0</v>
      </c>
      <c r="O1427" s="286"/>
      <c r="Q1427" s="283">
        <f t="shared" si="1756"/>
        <v>432</v>
      </c>
      <c r="R1427" s="283">
        <f t="shared" si="1757"/>
        <v>452</v>
      </c>
      <c r="S1427" s="283">
        <f t="shared" si="1758"/>
        <v>8</v>
      </c>
      <c r="T1427" s="283">
        <f t="shared" si="1758"/>
        <v>15</v>
      </c>
      <c r="V1427" s="283">
        <f t="shared" si="1759"/>
        <v>10</v>
      </c>
      <c r="W1427" s="283">
        <f t="shared" si="1759"/>
        <v>10</v>
      </c>
      <c r="Y1427" s="283">
        <f t="shared" si="1760"/>
        <v>0</v>
      </c>
      <c r="Z1427" s="283">
        <f t="shared" si="1760"/>
        <v>0</v>
      </c>
      <c r="AB1427" s="283">
        <f t="shared" si="1761"/>
        <v>0</v>
      </c>
      <c r="AC1427" s="283">
        <f t="shared" si="1761"/>
        <v>0</v>
      </c>
      <c r="AE1427" s="283">
        <f t="shared" si="1762"/>
        <v>45</v>
      </c>
      <c r="AF1427" s="283">
        <f t="shared" si="1762"/>
        <v>38</v>
      </c>
      <c r="AH1427" s="283">
        <f t="shared" si="1763"/>
        <v>0</v>
      </c>
      <c r="AI1427" s="283">
        <f t="shared" si="1763"/>
        <v>11</v>
      </c>
      <c r="AK1427" s="283">
        <f t="shared" si="1764"/>
        <v>23</v>
      </c>
      <c r="AL1427" s="283">
        <f t="shared" si="1764"/>
        <v>28</v>
      </c>
      <c r="AN1427" s="283">
        <f t="shared" si="1765"/>
        <v>0</v>
      </c>
      <c r="AO1427" s="283">
        <f t="shared" si="1765"/>
        <v>0</v>
      </c>
      <c r="AQ1427" s="283">
        <f t="shared" si="1766"/>
        <v>0</v>
      </c>
      <c r="AR1427" s="283">
        <f t="shared" si="1766"/>
        <v>0</v>
      </c>
      <c r="AT1427" s="283">
        <f t="shared" si="1767"/>
        <v>0</v>
      </c>
      <c r="AU1427" s="283">
        <f t="shared" si="1767"/>
        <v>0</v>
      </c>
      <c r="AW1427" s="283">
        <f t="shared" si="1768"/>
        <v>0</v>
      </c>
      <c r="AX1427" s="283">
        <f t="shared" si="1768"/>
        <v>0</v>
      </c>
      <c r="AZ1427" s="283">
        <f t="shared" si="1769"/>
        <v>0</v>
      </c>
      <c r="BA1427" s="283">
        <f t="shared" si="1769"/>
        <v>0</v>
      </c>
      <c r="BC1427" s="283">
        <f t="shared" si="1770"/>
        <v>0</v>
      </c>
      <c r="BD1427" s="283">
        <f t="shared" si="1770"/>
        <v>0</v>
      </c>
      <c r="BF1427" s="283">
        <f t="shared" si="1771"/>
        <v>130</v>
      </c>
      <c r="BG1427" s="283">
        <f t="shared" si="1771"/>
        <v>113</v>
      </c>
      <c r="BI1427" s="283">
        <f t="shared" si="1772"/>
        <v>216</v>
      </c>
      <c r="BJ1427" s="283">
        <f t="shared" si="1772"/>
        <v>237</v>
      </c>
      <c r="BL1427" s="283">
        <f t="shared" si="1773"/>
        <v>0</v>
      </c>
      <c r="BM1427" s="283">
        <f t="shared" si="1773"/>
        <v>0</v>
      </c>
      <c r="BO1427" s="283">
        <f t="shared" si="1774"/>
        <v>0</v>
      </c>
      <c r="BP1427" s="283">
        <f t="shared" si="1774"/>
        <v>0</v>
      </c>
      <c r="BR1427" s="283">
        <f t="shared" si="1775"/>
        <v>0</v>
      </c>
      <c r="BS1427" s="283">
        <f t="shared" si="1775"/>
        <v>0</v>
      </c>
      <c r="BU1427" s="283">
        <f t="shared" si="1776"/>
        <v>0</v>
      </c>
      <c r="BV1427" s="283">
        <f t="shared" si="1776"/>
        <v>0</v>
      </c>
      <c r="BX1427" s="283">
        <f t="shared" si="1777"/>
        <v>0</v>
      </c>
      <c r="BY1427" s="283">
        <f t="shared" si="1777"/>
        <v>0</v>
      </c>
      <c r="CA1427" s="283">
        <f t="shared" si="1778"/>
        <v>0</v>
      </c>
      <c r="CB1427" s="283">
        <f t="shared" si="1778"/>
        <v>0</v>
      </c>
      <c r="CD1427" s="283">
        <f t="shared" si="1779"/>
        <v>0</v>
      </c>
      <c r="CE1427" s="283">
        <f t="shared" si="1779"/>
        <v>0</v>
      </c>
      <c r="CG1427" s="283">
        <f t="shared" si="1780"/>
        <v>0</v>
      </c>
      <c r="CH1427" s="283">
        <f t="shared" si="1780"/>
        <v>0</v>
      </c>
      <c r="CJ1427" s="283">
        <f t="shared" si="1781"/>
        <v>0</v>
      </c>
      <c r="CK1427" s="283">
        <f t="shared" si="1781"/>
        <v>0</v>
      </c>
    </row>
    <row r="1428" spans="1:89" ht="30" x14ac:dyDescent="0.25">
      <c r="A1428" s="107"/>
      <c r="B1428" s="312"/>
      <c r="C1428" s="312" t="s">
        <v>1596</v>
      </c>
      <c r="D1428" s="95"/>
      <c r="E1428" s="282"/>
      <c r="F1428" s="282"/>
      <c r="G1428" s="282"/>
      <c r="H1428" s="282">
        <v>0</v>
      </c>
      <c r="I1428" s="282">
        <v>0</v>
      </c>
      <c r="J1428" s="282">
        <f t="shared" si="1754"/>
        <v>0</v>
      </c>
      <c r="K1428" s="282">
        <f t="shared" si="1754"/>
        <v>0</v>
      </c>
      <c r="L1428" s="282">
        <f t="shared" si="1754"/>
        <v>0</v>
      </c>
      <c r="M1428" s="282">
        <f t="shared" si="1754"/>
        <v>0</v>
      </c>
      <c r="N1428" s="282">
        <f t="shared" ref="N1428" si="1785">N683</f>
        <v>0</v>
      </c>
      <c r="Q1428" s="283">
        <f t="shared" si="1756"/>
        <v>0</v>
      </c>
      <c r="R1428" s="283">
        <f t="shared" si="1757"/>
        <v>0</v>
      </c>
      <c r="S1428" s="283">
        <f t="shared" si="1758"/>
        <v>0</v>
      </c>
      <c r="T1428" s="283">
        <f t="shared" si="1758"/>
        <v>0</v>
      </c>
      <c r="V1428" s="283">
        <f t="shared" si="1759"/>
        <v>0</v>
      </c>
      <c r="W1428" s="283">
        <f t="shared" si="1759"/>
        <v>0</v>
      </c>
      <c r="Y1428" s="283">
        <f t="shared" si="1760"/>
        <v>0</v>
      </c>
      <c r="Z1428" s="283">
        <f t="shared" si="1760"/>
        <v>0</v>
      </c>
      <c r="AB1428" s="283">
        <f t="shared" si="1761"/>
        <v>0</v>
      </c>
      <c r="AC1428" s="283">
        <f t="shared" si="1761"/>
        <v>0</v>
      </c>
      <c r="AE1428" s="283">
        <f t="shared" si="1762"/>
        <v>0</v>
      </c>
      <c r="AF1428" s="283">
        <f t="shared" si="1762"/>
        <v>0</v>
      </c>
      <c r="AH1428" s="283">
        <f t="shared" si="1763"/>
        <v>0</v>
      </c>
      <c r="AI1428" s="283">
        <f t="shared" si="1763"/>
        <v>0</v>
      </c>
      <c r="AK1428" s="283">
        <f t="shared" si="1764"/>
        <v>0</v>
      </c>
      <c r="AL1428" s="283">
        <f t="shared" si="1764"/>
        <v>0</v>
      </c>
      <c r="AN1428" s="283">
        <f t="shared" si="1765"/>
        <v>0</v>
      </c>
      <c r="AO1428" s="283">
        <f t="shared" si="1765"/>
        <v>0</v>
      </c>
      <c r="AQ1428" s="283">
        <f t="shared" si="1766"/>
        <v>0</v>
      </c>
      <c r="AR1428" s="283">
        <f t="shared" si="1766"/>
        <v>0</v>
      </c>
      <c r="AT1428" s="283">
        <f t="shared" si="1767"/>
        <v>0</v>
      </c>
      <c r="AU1428" s="283">
        <f t="shared" si="1767"/>
        <v>0</v>
      </c>
      <c r="AW1428" s="283">
        <f t="shared" si="1768"/>
        <v>0</v>
      </c>
      <c r="AX1428" s="283">
        <f t="shared" si="1768"/>
        <v>0</v>
      </c>
      <c r="AZ1428" s="283">
        <f t="shared" si="1769"/>
        <v>0</v>
      </c>
      <c r="BA1428" s="283">
        <f t="shared" si="1769"/>
        <v>0</v>
      </c>
      <c r="BC1428" s="283">
        <f t="shared" si="1770"/>
        <v>0</v>
      </c>
      <c r="BD1428" s="283">
        <f t="shared" si="1770"/>
        <v>0</v>
      </c>
      <c r="BF1428" s="283">
        <f t="shared" si="1771"/>
        <v>0</v>
      </c>
      <c r="BG1428" s="283">
        <f t="shared" si="1771"/>
        <v>0</v>
      </c>
      <c r="BI1428" s="283">
        <f t="shared" si="1772"/>
        <v>0</v>
      </c>
      <c r="BJ1428" s="283">
        <f t="shared" si="1772"/>
        <v>0</v>
      </c>
      <c r="BL1428" s="283">
        <f t="shared" si="1773"/>
        <v>0</v>
      </c>
      <c r="BM1428" s="283">
        <f t="shared" si="1773"/>
        <v>0</v>
      </c>
      <c r="BO1428" s="283">
        <f t="shared" si="1774"/>
        <v>0</v>
      </c>
      <c r="BP1428" s="283">
        <f t="shared" si="1774"/>
        <v>0</v>
      </c>
      <c r="BR1428" s="283">
        <f t="shared" si="1775"/>
        <v>0</v>
      </c>
      <c r="BS1428" s="283">
        <f t="shared" si="1775"/>
        <v>0</v>
      </c>
      <c r="BU1428" s="283">
        <f t="shared" si="1776"/>
        <v>0</v>
      </c>
      <c r="BV1428" s="283">
        <f t="shared" si="1776"/>
        <v>0</v>
      </c>
      <c r="BX1428" s="283">
        <f t="shared" si="1777"/>
        <v>0</v>
      </c>
      <c r="BY1428" s="283">
        <f t="shared" si="1777"/>
        <v>0</v>
      </c>
      <c r="CA1428" s="283">
        <f t="shared" si="1778"/>
        <v>0</v>
      </c>
      <c r="CB1428" s="283">
        <f t="shared" si="1778"/>
        <v>0</v>
      </c>
      <c r="CD1428" s="283">
        <f t="shared" si="1779"/>
        <v>0</v>
      </c>
      <c r="CE1428" s="283">
        <f t="shared" si="1779"/>
        <v>0</v>
      </c>
      <c r="CG1428" s="283">
        <f t="shared" si="1780"/>
        <v>0</v>
      </c>
      <c r="CH1428" s="283">
        <f t="shared" si="1780"/>
        <v>0</v>
      </c>
      <c r="CJ1428" s="283">
        <f t="shared" si="1781"/>
        <v>0</v>
      </c>
      <c r="CK1428" s="283">
        <f t="shared" si="1781"/>
        <v>0</v>
      </c>
    </row>
    <row r="1429" spans="1:89" ht="30" x14ac:dyDescent="0.25">
      <c r="A1429" s="107"/>
      <c r="B1429" s="312"/>
      <c r="C1429" s="312" t="s">
        <v>2440</v>
      </c>
      <c r="D1429" s="95"/>
      <c r="E1429" s="282"/>
      <c r="F1429" s="282"/>
      <c r="G1429" s="282"/>
      <c r="H1429" s="282">
        <v>0</v>
      </c>
      <c r="I1429" s="282">
        <v>0</v>
      </c>
      <c r="J1429" s="282">
        <f t="shared" si="1754"/>
        <v>0</v>
      </c>
      <c r="K1429" s="282">
        <f t="shared" si="1754"/>
        <v>0</v>
      </c>
      <c r="L1429" s="282">
        <f t="shared" si="1754"/>
        <v>0</v>
      </c>
      <c r="M1429" s="282">
        <f t="shared" si="1754"/>
        <v>0</v>
      </c>
      <c r="N1429" s="282">
        <f t="shared" ref="N1429" si="1786">N684</f>
        <v>0</v>
      </c>
      <c r="Q1429" s="283">
        <f t="shared" si="1756"/>
        <v>0</v>
      </c>
      <c r="R1429" s="283">
        <f t="shared" si="1757"/>
        <v>0</v>
      </c>
      <c r="S1429" s="283">
        <f t="shared" si="1758"/>
        <v>0</v>
      </c>
      <c r="T1429" s="283">
        <f t="shared" si="1758"/>
        <v>0</v>
      </c>
      <c r="V1429" s="283">
        <f t="shared" si="1759"/>
        <v>0</v>
      </c>
      <c r="W1429" s="283">
        <f t="shared" si="1759"/>
        <v>0</v>
      </c>
      <c r="Y1429" s="283">
        <f t="shared" si="1760"/>
        <v>0</v>
      </c>
      <c r="Z1429" s="283">
        <f t="shared" si="1760"/>
        <v>0</v>
      </c>
      <c r="AB1429" s="283">
        <f t="shared" si="1761"/>
        <v>0</v>
      </c>
      <c r="AC1429" s="283">
        <f t="shared" si="1761"/>
        <v>0</v>
      </c>
      <c r="AE1429" s="283">
        <f t="shared" si="1762"/>
        <v>0</v>
      </c>
      <c r="AF1429" s="283">
        <f t="shared" si="1762"/>
        <v>0</v>
      </c>
      <c r="AH1429" s="283">
        <f t="shared" si="1763"/>
        <v>0</v>
      </c>
      <c r="AI1429" s="283">
        <f t="shared" si="1763"/>
        <v>0</v>
      </c>
      <c r="AK1429" s="283">
        <f t="shared" si="1764"/>
        <v>0</v>
      </c>
      <c r="AL1429" s="283">
        <f t="shared" si="1764"/>
        <v>0</v>
      </c>
      <c r="AN1429" s="283">
        <f t="shared" si="1765"/>
        <v>0</v>
      </c>
      <c r="AO1429" s="283">
        <f t="shared" si="1765"/>
        <v>0</v>
      </c>
      <c r="AQ1429" s="283">
        <f t="shared" si="1766"/>
        <v>0</v>
      </c>
      <c r="AR1429" s="283">
        <f t="shared" si="1766"/>
        <v>0</v>
      </c>
      <c r="AT1429" s="283">
        <f t="shared" si="1767"/>
        <v>0</v>
      </c>
      <c r="AU1429" s="283">
        <f t="shared" si="1767"/>
        <v>0</v>
      </c>
      <c r="AW1429" s="283">
        <f t="shared" si="1768"/>
        <v>0</v>
      </c>
      <c r="AX1429" s="283">
        <f t="shared" si="1768"/>
        <v>0</v>
      </c>
      <c r="AZ1429" s="283">
        <f t="shared" si="1769"/>
        <v>0</v>
      </c>
      <c r="BA1429" s="283">
        <f t="shared" si="1769"/>
        <v>0</v>
      </c>
      <c r="BC1429" s="283">
        <f t="shared" si="1770"/>
        <v>0</v>
      </c>
      <c r="BD1429" s="283">
        <f t="shared" si="1770"/>
        <v>0</v>
      </c>
      <c r="BF1429" s="283">
        <f t="shared" si="1771"/>
        <v>0</v>
      </c>
      <c r="BG1429" s="283">
        <f t="shared" si="1771"/>
        <v>0</v>
      </c>
      <c r="BI1429" s="283">
        <f t="shared" si="1772"/>
        <v>0</v>
      </c>
      <c r="BJ1429" s="283">
        <f t="shared" si="1772"/>
        <v>0</v>
      </c>
      <c r="BL1429" s="283">
        <f t="shared" si="1773"/>
        <v>0</v>
      </c>
      <c r="BM1429" s="283">
        <f t="shared" si="1773"/>
        <v>0</v>
      </c>
      <c r="BO1429" s="283">
        <f t="shared" si="1774"/>
        <v>0</v>
      </c>
      <c r="BP1429" s="283">
        <f t="shared" si="1774"/>
        <v>0</v>
      </c>
      <c r="BR1429" s="283">
        <f t="shared" si="1775"/>
        <v>0</v>
      </c>
      <c r="BS1429" s="283">
        <f t="shared" si="1775"/>
        <v>0</v>
      </c>
      <c r="BU1429" s="283">
        <f t="shared" si="1776"/>
        <v>0</v>
      </c>
      <c r="BV1429" s="283">
        <f t="shared" si="1776"/>
        <v>0</v>
      </c>
      <c r="BX1429" s="283">
        <f t="shared" si="1777"/>
        <v>0</v>
      </c>
      <c r="BY1429" s="283">
        <f t="shared" si="1777"/>
        <v>0</v>
      </c>
      <c r="CA1429" s="283">
        <f t="shared" si="1778"/>
        <v>0</v>
      </c>
      <c r="CB1429" s="283">
        <f t="shared" si="1778"/>
        <v>0</v>
      </c>
      <c r="CD1429" s="283">
        <f t="shared" si="1779"/>
        <v>0</v>
      </c>
      <c r="CE1429" s="283">
        <f t="shared" si="1779"/>
        <v>0</v>
      </c>
      <c r="CG1429" s="283">
        <f t="shared" si="1780"/>
        <v>0</v>
      </c>
      <c r="CH1429" s="283">
        <f t="shared" si="1780"/>
        <v>0</v>
      </c>
      <c r="CJ1429" s="283">
        <f t="shared" si="1781"/>
        <v>0</v>
      </c>
      <c r="CK1429" s="283">
        <f t="shared" si="1781"/>
        <v>0</v>
      </c>
    </row>
    <row r="1430" spans="1:89" ht="30" x14ac:dyDescent="0.25">
      <c r="A1430" s="107"/>
      <c r="B1430" s="312"/>
      <c r="C1430" s="312" t="s">
        <v>2443</v>
      </c>
      <c r="D1430" s="95"/>
      <c r="E1430" s="282"/>
      <c r="F1430" s="282"/>
      <c r="G1430" s="282"/>
      <c r="H1430" s="282">
        <v>281</v>
      </c>
      <c r="I1430" s="282">
        <v>229</v>
      </c>
      <c r="J1430" s="282">
        <f t="shared" si="1754"/>
        <v>251</v>
      </c>
      <c r="K1430" s="282">
        <f t="shared" si="1754"/>
        <v>251</v>
      </c>
      <c r="L1430" s="282">
        <f t="shared" si="1754"/>
        <v>0</v>
      </c>
      <c r="M1430" s="282">
        <f t="shared" si="1754"/>
        <v>0</v>
      </c>
      <c r="N1430" s="282">
        <f t="shared" ref="N1430" si="1787">N685</f>
        <v>0</v>
      </c>
      <c r="O1430" s="286"/>
      <c r="Q1430" s="283">
        <f t="shared" si="1756"/>
        <v>251</v>
      </c>
      <c r="R1430" s="283">
        <f t="shared" si="1757"/>
        <v>207</v>
      </c>
      <c r="S1430" s="283">
        <f t="shared" si="1758"/>
        <v>0</v>
      </c>
      <c r="T1430" s="283">
        <f t="shared" si="1758"/>
        <v>0</v>
      </c>
      <c r="V1430" s="283">
        <f t="shared" si="1759"/>
        <v>0</v>
      </c>
      <c r="W1430" s="283">
        <f t="shared" si="1759"/>
        <v>0</v>
      </c>
      <c r="Y1430" s="283">
        <f t="shared" si="1760"/>
        <v>0</v>
      </c>
      <c r="Z1430" s="283">
        <f t="shared" si="1760"/>
        <v>0</v>
      </c>
      <c r="AB1430" s="283">
        <f t="shared" si="1761"/>
        <v>0</v>
      </c>
      <c r="AC1430" s="283">
        <f t="shared" si="1761"/>
        <v>0</v>
      </c>
      <c r="AE1430" s="283">
        <f t="shared" si="1762"/>
        <v>0</v>
      </c>
      <c r="AF1430" s="283">
        <f t="shared" si="1762"/>
        <v>0</v>
      </c>
      <c r="AH1430" s="283">
        <f t="shared" si="1763"/>
        <v>17</v>
      </c>
      <c r="AI1430" s="283">
        <f t="shared" si="1763"/>
        <v>0</v>
      </c>
      <c r="AK1430" s="283">
        <f t="shared" si="1764"/>
        <v>0</v>
      </c>
      <c r="AL1430" s="283">
        <f t="shared" si="1764"/>
        <v>1</v>
      </c>
      <c r="AN1430" s="283">
        <f t="shared" si="1765"/>
        <v>0</v>
      </c>
      <c r="AO1430" s="283">
        <f t="shared" si="1765"/>
        <v>0</v>
      </c>
      <c r="AQ1430" s="283">
        <f t="shared" si="1766"/>
        <v>0</v>
      </c>
      <c r="AR1430" s="283">
        <f t="shared" si="1766"/>
        <v>0</v>
      </c>
      <c r="AT1430" s="283">
        <f t="shared" si="1767"/>
        <v>7</v>
      </c>
      <c r="AU1430" s="283">
        <f t="shared" si="1767"/>
        <v>0</v>
      </c>
      <c r="AW1430" s="283">
        <f t="shared" si="1768"/>
        <v>0</v>
      </c>
      <c r="AX1430" s="283">
        <f t="shared" si="1768"/>
        <v>0</v>
      </c>
      <c r="AZ1430" s="283">
        <f t="shared" si="1769"/>
        <v>0</v>
      </c>
      <c r="BA1430" s="283">
        <f t="shared" si="1769"/>
        <v>0</v>
      </c>
      <c r="BC1430" s="283">
        <f t="shared" si="1770"/>
        <v>0</v>
      </c>
      <c r="BD1430" s="283">
        <f t="shared" si="1770"/>
        <v>0</v>
      </c>
      <c r="BF1430" s="283">
        <f t="shared" si="1771"/>
        <v>0</v>
      </c>
      <c r="BG1430" s="283">
        <f t="shared" si="1771"/>
        <v>0</v>
      </c>
      <c r="BI1430" s="283">
        <f t="shared" si="1772"/>
        <v>227</v>
      </c>
      <c r="BJ1430" s="283">
        <f t="shared" si="1772"/>
        <v>206</v>
      </c>
      <c r="BL1430" s="283">
        <f t="shared" si="1773"/>
        <v>0</v>
      </c>
      <c r="BM1430" s="283">
        <f t="shared" si="1773"/>
        <v>0</v>
      </c>
      <c r="BO1430" s="283">
        <f t="shared" si="1774"/>
        <v>0</v>
      </c>
      <c r="BP1430" s="283">
        <f t="shared" si="1774"/>
        <v>0</v>
      </c>
      <c r="BR1430" s="283">
        <f t="shared" si="1775"/>
        <v>0</v>
      </c>
      <c r="BS1430" s="283">
        <f t="shared" si="1775"/>
        <v>0</v>
      </c>
      <c r="BU1430" s="283">
        <f t="shared" si="1776"/>
        <v>0</v>
      </c>
      <c r="BV1430" s="283">
        <f t="shared" si="1776"/>
        <v>0</v>
      </c>
      <c r="BX1430" s="283">
        <f t="shared" si="1777"/>
        <v>0</v>
      </c>
      <c r="BY1430" s="283">
        <f t="shared" si="1777"/>
        <v>0</v>
      </c>
      <c r="CA1430" s="283">
        <f t="shared" si="1778"/>
        <v>0</v>
      </c>
      <c r="CB1430" s="283">
        <f t="shared" si="1778"/>
        <v>0</v>
      </c>
      <c r="CD1430" s="283">
        <f t="shared" si="1779"/>
        <v>0</v>
      </c>
      <c r="CE1430" s="283">
        <f t="shared" si="1779"/>
        <v>0</v>
      </c>
      <c r="CG1430" s="283">
        <f t="shared" si="1780"/>
        <v>0</v>
      </c>
      <c r="CH1430" s="283">
        <f t="shared" si="1780"/>
        <v>0</v>
      </c>
      <c r="CJ1430" s="283">
        <f t="shared" si="1781"/>
        <v>0</v>
      </c>
      <c r="CK1430" s="283">
        <f t="shared" si="1781"/>
        <v>0</v>
      </c>
    </row>
    <row r="1431" spans="1:89" ht="30" x14ac:dyDescent="0.25">
      <c r="A1431" s="107"/>
      <c r="B1431" s="312"/>
      <c r="C1431" s="312" t="s">
        <v>1597</v>
      </c>
      <c r="D1431" s="95"/>
      <c r="E1431" s="282"/>
      <c r="F1431" s="282"/>
      <c r="G1431" s="282"/>
      <c r="H1431" s="282">
        <v>0</v>
      </c>
      <c r="I1431" s="282">
        <v>0</v>
      </c>
      <c r="J1431" s="282">
        <f t="shared" si="1754"/>
        <v>0</v>
      </c>
      <c r="K1431" s="282">
        <f t="shared" si="1754"/>
        <v>0</v>
      </c>
      <c r="L1431" s="282">
        <f t="shared" si="1754"/>
        <v>0</v>
      </c>
      <c r="M1431" s="282">
        <f t="shared" si="1754"/>
        <v>0</v>
      </c>
      <c r="N1431" s="282">
        <f t="shared" ref="N1431" si="1788">N686</f>
        <v>0</v>
      </c>
      <c r="Q1431" s="283">
        <f t="shared" si="1756"/>
        <v>0</v>
      </c>
      <c r="R1431" s="283">
        <f t="shared" si="1757"/>
        <v>0</v>
      </c>
      <c r="S1431" s="283">
        <f t="shared" si="1758"/>
        <v>0</v>
      </c>
      <c r="T1431" s="283">
        <f t="shared" si="1758"/>
        <v>0</v>
      </c>
      <c r="V1431" s="283">
        <f t="shared" si="1759"/>
        <v>0</v>
      </c>
      <c r="W1431" s="283">
        <f t="shared" si="1759"/>
        <v>0</v>
      </c>
      <c r="Y1431" s="283">
        <f t="shared" si="1760"/>
        <v>0</v>
      </c>
      <c r="Z1431" s="283">
        <f t="shared" si="1760"/>
        <v>0</v>
      </c>
      <c r="AB1431" s="283">
        <f t="shared" si="1761"/>
        <v>0</v>
      </c>
      <c r="AC1431" s="283">
        <f t="shared" si="1761"/>
        <v>0</v>
      </c>
      <c r="AE1431" s="283">
        <f t="shared" si="1762"/>
        <v>0</v>
      </c>
      <c r="AF1431" s="283">
        <f t="shared" si="1762"/>
        <v>0</v>
      </c>
      <c r="AH1431" s="283">
        <f t="shared" si="1763"/>
        <v>0</v>
      </c>
      <c r="AI1431" s="283">
        <f t="shared" si="1763"/>
        <v>0</v>
      </c>
      <c r="AK1431" s="283">
        <f t="shared" si="1764"/>
        <v>0</v>
      </c>
      <c r="AL1431" s="283">
        <f t="shared" si="1764"/>
        <v>0</v>
      </c>
      <c r="AN1431" s="283">
        <f t="shared" si="1765"/>
        <v>0</v>
      </c>
      <c r="AO1431" s="283">
        <f t="shared" si="1765"/>
        <v>0</v>
      </c>
      <c r="AQ1431" s="283">
        <f t="shared" si="1766"/>
        <v>0</v>
      </c>
      <c r="AR1431" s="283">
        <f t="shared" si="1766"/>
        <v>0</v>
      </c>
      <c r="AT1431" s="283">
        <f t="shared" si="1767"/>
        <v>0</v>
      </c>
      <c r="AU1431" s="283">
        <f t="shared" si="1767"/>
        <v>0</v>
      </c>
      <c r="AW1431" s="283">
        <f t="shared" si="1768"/>
        <v>0</v>
      </c>
      <c r="AX1431" s="283">
        <f t="shared" si="1768"/>
        <v>0</v>
      </c>
      <c r="AZ1431" s="283">
        <f t="shared" si="1769"/>
        <v>0</v>
      </c>
      <c r="BA1431" s="283">
        <f t="shared" si="1769"/>
        <v>0</v>
      </c>
      <c r="BC1431" s="283">
        <f t="shared" si="1770"/>
        <v>0</v>
      </c>
      <c r="BD1431" s="283">
        <f t="shared" si="1770"/>
        <v>0</v>
      </c>
      <c r="BF1431" s="283">
        <f t="shared" si="1771"/>
        <v>0</v>
      </c>
      <c r="BG1431" s="283">
        <f t="shared" si="1771"/>
        <v>0</v>
      </c>
      <c r="BI1431" s="283">
        <f t="shared" si="1772"/>
        <v>0</v>
      </c>
      <c r="BJ1431" s="283">
        <f t="shared" si="1772"/>
        <v>0</v>
      </c>
      <c r="BL1431" s="283">
        <f t="shared" si="1773"/>
        <v>0</v>
      </c>
      <c r="BM1431" s="283">
        <f t="shared" si="1773"/>
        <v>0</v>
      </c>
      <c r="BO1431" s="283">
        <f t="shared" si="1774"/>
        <v>0</v>
      </c>
      <c r="BP1431" s="283">
        <f t="shared" si="1774"/>
        <v>0</v>
      </c>
      <c r="BR1431" s="283">
        <f t="shared" si="1775"/>
        <v>0</v>
      </c>
      <c r="BS1431" s="283">
        <f t="shared" si="1775"/>
        <v>0</v>
      </c>
      <c r="BU1431" s="283">
        <f t="shared" si="1776"/>
        <v>0</v>
      </c>
      <c r="BV1431" s="283">
        <f t="shared" si="1776"/>
        <v>0</v>
      </c>
      <c r="BX1431" s="283">
        <f t="shared" si="1777"/>
        <v>0</v>
      </c>
      <c r="BY1431" s="283">
        <f t="shared" si="1777"/>
        <v>0</v>
      </c>
      <c r="CA1431" s="283">
        <f t="shared" si="1778"/>
        <v>0</v>
      </c>
      <c r="CB1431" s="283">
        <f t="shared" si="1778"/>
        <v>0</v>
      </c>
      <c r="CD1431" s="283">
        <f t="shared" si="1779"/>
        <v>0</v>
      </c>
      <c r="CE1431" s="283">
        <f t="shared" si="1779"/>
        <v>0</v>
      </c>
      <c r="CG1431" s="283">
        <f t="shared" si="1780"/>
        <v>0</v>
      </c>
      <c r="CH1431" s="283">
        <f t="shared" si="1780"/>
        <v>0</v>
      </c>
      <c r="CJ1431" s="283">
        <f t="shared" si="1781"/>
        <v>0</v>
      </c>
      <c r="CK1431" s="283">
        <f t="shared" si="1781"/>
        <v>0</v>
      </c>
    </row>
    <row r="1432" spans="1:89" ht="30" x14ac:dyDescent="0.25">
      <c r="A1432" s="107"/>
      <c r="B1432" s="312"/>
      <c r="C1432" s="312" t="s">
        <v>2441</v>
      </c>
      <c r="D1432" s="95"/>
      <c r="E1432" s="282"/>
      <c r="F1432" s="282"/>
      <c r="G1432" s="282"/>
      <c r="H1432" s="282">
        <v>0</v>
      </c>
      <c r="I1432" s="282">
        <v>0</v>
      </c>
      <c r="J1432" s="282">
        <f t="shared" si="1754"/>
        <v>0</v>
      </c>
      <c r="K1432" s="282">
        <f t="shared" si="1754"/>
        <v>0</v>
      </c>
      <c r="L1432" s="282">
        <f t="shared" si="1754"/>
        <v>0</v>
      </c>
      <c r="M1432" s="282">
        <f t="shared" si="1754"/>
        <v>0</v>
      </c>
      <c r="N1432" s="282">
        <f t="shared" ref="N1432" si="1789">N687</f>
        <v>0</v>
      </c>
      <c r="Q1432" s="283">
        <f t="shared" si="1756"/>
        <v>0</v>
      </c>
      <c r="R1432" s="283">
        <f t="shared" si="1757"/>
        <v>0</v>
      </c>
      <c r="S1432" s="283">
        <f t="shared" si="1758"/>
        <v>0</v>
      </c>
      <c r="T1432" s="283">
        <f t="shared" si="1758"/>
        <v>0</v>
      </c>
      <c r="V1432" s="283">
        <f t="shared" si="1759"/>
        <v>0</v>
      </c>
      <c r="W1432" s="283">
        <f t="shared" si="1759"/>
        <v>0</v>
      </c>
      <c r="Y1432" s="283">
        <f t="shared" si="1760"/>
        <v>0</v>
      </c>
      <c r="Z1432" s="283">
        <f t="shared" si="1760"/>
        <v>0</v>
      </c>
      <c r="AB1432" s="283">
        <f t="shared" si="1761"/>
        <v>0</v>
      </c>
      <c r="AC1432" s="283">
        <f t="shared" si="1761"/>
        <v>0</v>
      </c>
      <c r="AE1432" s="283">
        <f t="shared" si="1762"/>
        <v>0</v>
      </c>
      <c r="AF1432" s="283">
        <f t="shared" si="1762"/>
        <v>0</v>
      </c>
      <c r="AH1432" s="283">
        <f t="shared" si="1763"/>
        <v>0</v>
      </c>
      <c r="AI1432" s="283">
        <f t="shared" si="1763"/>
        <v>0</v>
      </c>
      <c r="AK1432" s="283">
        <f t="shared" si="1764"/>
        <v>0</v>
      </c>
      <c r="AL1432" s="283">
        <f t="shared" si="1764"/>
        <v>0</v>
      </c>
      <c r="AN1432" s="283">
        <f t="shared" si="1765"/>
        <v>0</v>
      </c>
      <c r="AO1432" s="283">
        <f t="shared" si="1765"/>
        <v>0</v>
      </c>
      <c r="AQ1432" s="283">
        <f t="shared" si="1766"/>
        <v>0</v>
      </c>
      <c r="AR1432" s="283">
        <f t="shared" si="1766"/>
        <v>0</v>
      </c>
      <c r="AT1432" s="283">
        <f t="shared" si="1767"/>
        <v>0</v>
      </c>
      <c r="AU1432" s="283">
        <f t="shared" si="1767"/>
        <v>0</v>
      </c>
      <c r="AW1432" s="283">
        <f t="shared" si="1768"/>
        <v>0</v>
      </c>
      <c r="AX1432" s="283">
        <f t="shared" si="1768"/>
        <v>0</v>
      </c>
      <c r="AZ1432" s="283">
        <f t="shared" si="1769"/>
        <v>0</v>
      </c>
      <c r="BA1432" s="283">
        <f t="shared" si="1769"/>
        <v>0</v>
      </c>
      <c r="BC1432" s="283">
        <f t="shared" si="1770"/>
        <v>0</v>
      </c>
      <c r="BD1432" s="283">
        <f t="shared" si="1770"/>
        <v>0</v>
      </c>
      <c r="BF1432" s="283">
        <f t="shared" si="1771"/>
        <v>0</v>
      </c>
      <c r="BG1432" s="283">
        <f t="shared" si="1771"/>
        <v>0</v>
      </c>
      <c r="BI1432" s="283">
        <f t="shared" si="1772"/>
        <v>0</v>
      </c>
      <c r="BJ1432" s="283">
        <f t="shared" si="1772"/>
        <v>0</v>
      </c>
      <c r="BL1432" s="283">
        <f t="shared" si="1773"/>
        <v>0</v>
      </c>
      <c r="BM1432" s="283">
        <f t="shared" si="1773"/>
        <v>0</v>
      </c>
      <c r="BO1432" s="283">
        <f t="shared" si="1774"/>
        <v>0</v>
      </c>
      <c r="BP1432" s="283">
        <f t="shared" si="1774"/>
        <v>0</v>
      </c>
      <c r="BR1432" s="283">
        <f t="shared" si="1775"/>
        <v>0</v>
      </c>
      <c r="BS1432" s="283">
        <f t="shared" si="1775"/>
        <v>0</v>
      </c>
      <c r="BU1432" s="283">
        <f t="shared" si="1776"/>
        <v>0</v>
      </c>
      <c r="BV1432" s="283">
        <f t="shared" si="1776"/>
        <v>0</v>
      </c>
      <c r="BX1432" s="283">
        <f t="shared" si="1777"/>
        <v>0</v>
      </c>
      <c r="BY1432" s="283">
        <f t="shared" si="1777"/>
        <v>0</v>
      </c>
      <c r="CA1432" s="283">
        <f t="shared" si="1778"/>
        <v>0</v>
      </c>
      <c r="CB1432" s="283">
        <f t="shared" si="1778"/>
        <v>0</v>
      </c>
      <c r="CD1432" s="283">
        <f t="shared" si="1779"/>
        <v>0</v>
      </c>
      <c r="CE1432" s="283">
        <f t="shared" si="1779"/>
        <v>0</v>
      </c>
      <c r="CG1432" s="283">
        <f t="shared" si="1780"/>
        <v>0</v>
      </c>
      <c r="CH1432" s="283">
        <f t="shared" si="1780"/>
        <v>0</v>
      </c>
      <c r="CJ1432" s="283">
        <f t="shared" si="1781"/>
        <v>0</v>
      </c>
      <c r="CK1432" s="283">
        <f t="shared" si="1781"/>
        <v>0</v>
      </c>
    </row>
    <row r="1433" spans="1:89" ht="30" x14ac:dyDescent="0.25">
      <c r="A1433" s="107"/>
      <c r="B1433" s="312"/>
      <c r="C1433" s="312" t="s">
        <v>1593</v>
      </c>
      <c r="D1433" s="95"/>
      <c r="E1433" s="282"/>
      <c r="F1433" s="282"/>
      <c r="G1433" s="282"/>
      <c r="H1433" s="282">
        <v>16802</v>
      </c>
      <c r="I1433" s="282">
        <v>17106</v>
      </c>
      <c r="J1433" s="282">
        <f t="shared" si="1754"/>
        <v>17281</v>
      </c>
      <c r="K1433" s="282">
        <f t="shared" si="1754"/>
        <v>17276</v>
      </c>
      <c r="L1433" s="282">
        <f t="shared" si="1754"/>
        <v>1964</v>
      </c>
      <c r="M1433" s="282">
        <f t="shared" si="1754"/>
        <v>1941</v>
      </c>
      <c r="N1433" s="282">
        <f t="shared" ref="N1433" si="1790">N688</f>
        <v>1876</v>
      </c>
      <c r="Q1433" s="283">
        <f t="shared" si="1756"/>
        <v>17276</v>
      </c>
      <c r="R1433" s="283">
        <f t="shared" si="1757"/>
        <v>17125</v>
      </c>
      <c r="S1433" s="283">
        <f t="shared" si="1758"/>
        <v>1265</v>
      </c>
      <c r="T1433" s="283">
        <f t="shared" si="1758"/>
        <v>1262</v>
      </c>
      <c r="V1433" s="283">
        <f t="shared" si="1759"/>
        <v>1417</v>
      </c>
      <c r="W1433" s="283">
        <f t="shared" si="1759"/>
        <v>1440</v>
      </c>
      <c r="Y1433" s="283">
        <f t="shared" si="1760"/>
        <v>1458</v>
      </c>
      <c r="Z1433" s="283">
        <f t="shared" si="1760"/>
        <v>1415</v>
      </c>
      <c r="AB1433" s="283">
        <f t="shared" si="1761"/>
        <v>2212</v>
      </c>
      <c r="AC1433" s="283">
        <f t="shared" si="1761"/>
        <v>2176</v>
      </c>
      <c r="AE1433" s="283">
        <f t="shared" si="1762"/>
        <v>978</v>
      </c>
      <c r="AF1433" s="283">
        <f t="shared" si="1762"/>
        <v>899</v>
      </c>
      <c r="AH1433" s="283">
        <f t="shared" si="1763"/>
        <v>1978</v>
      </c>
      <c r="AI1433" s="283">
        <f t="shared" si="1763"/>
        <v>1964</v>
      </c>
      <c r="AK1433" s="283">
        <f t="shared" si="1764"/>
        <v>289</v>
      </c>
      <c r="AL1433" s="283">
        <f t="shared" si="1764"/>
        <v>287</v>
      </c>
      <c r="AN1433" s="283">
        <f t="shared" si="1765"/>
        <v>5421</v>
      </c>
      <c r="AO1433" s="283">
        <f t="shared" si="1765"/>
        <v>5406</v>
      </c>
      <c r="AQ1433" s="283">
        <f t="shared" si="1766"/>
        <v>2144</v>
      </c>
      <c r="AR1433" s="283">
        <f t="shared" si="1766"/>
        <v>2154</v>
      </c>
      <c r="AT1433" s="283">
        <f t="shared" si="1767"/>
        <v>0</v>
      </c>
      <c r="AU1433" s="283">
        <f t="shared" si="1767"/>
        <v>0</v>
      </c>
      <c r="AW1433" s="283">
        <f t="shared" si="1768"/>
        <v>0</v>
      </c>
      <c r="AX1433" s="283">
        <f t="shared" si="1768"/>
        <v>0</v>
      </c>
      <c r="AZ1433" s="283">
        <f t="shared" si="1769"/>
        <v>0</v>
      </c>
      <c r="BA1433" s="283">
        <f t="shared" si="1769"/>
        <v>0</v>
      </c>
      <c r="BC1433" s="283">
        <f t="shared" si="1770"/>
        <v>0</v>
      </c>
      <c r="BD1433" s="283">
        <f t="shared" si="1770"/>
        <v>0</v>
      </c>
      <c r="BF1433" s="283">
        <f t="shared" si="1771"/>
        <v>0</v>
      </c>
      <c r="BG1433" s="283">
        <f t="shared" si="1771"/>
        <v>0</v>
      </c>
      <c r="BI1433" s="283">
        <f t="shared" si="1772"/>
        <v>0</v>
      </c>
      <c r="BJ1433" s="283">
        <f t="shared" si="1772"/>
        <v>0</v>
      </c>
      <c r="BL1433" s="283">
        <f t="shared" si="1773"/>
        <v>0</v>
      </c>
      <c r="BM1433" s="283">
        <f t="shared" si="1773"/>
        <v>0</v>
      </c>
      <c r="BO1433" s="283">
        <f t="shared" si="1774"/>
        <v>0</v>
      </c>
      <c r="BP1433" s="283">
        <f t="shared" si="1774"/>
        <v>0</v>
      </c>
      <c r="BR1433" s="283">
        <f t="shared" si="1775"/>
        <v>0</v>
      </c>
      <c r="BS1433" s="283">
        <f t="shared" si="1775"/>
        <v>0</v>
      </c>
      <c r="BU1433" s="283">
        <f t="shared" si="1776"/>
        <v>0</v>
      </c>
      <c r="BV1433" s="283">
        <f t="shared" si="1776"/>
        <v>0</v>
      </c>
      <c r="BX1433" s="283">
        <f t="shared" si="1777"/>
        <v>0</v>
      </c>
      <c r="BY1433" s="283">
        <f t="shared" si="1777"/>
        <v>0</v>
      </c>
      <c r="CA1433" s="283">
        <f t="shared" si="1778"/>
        <v>0</v>
      </c>
      <c r="CB1433" s="283">
        <f t="shared" si="1778"/>
        <v>0</v>
      </c>
      <c r="CD1433" s="283">
        <f t="shared" si="1779"/>
        <v>0</v>
      </c>
      <c r="CE1433" s="283">
        <f t="shared" si="1779"/>
        <v>0</v>
      </c>
      <c r="CG1433" s="283">
        <f t="shared" si="1780"/>
        <v>114</v>
      </c>
      <c r="CH1433" s="283">
        <f t="shared" si="1780"/>
        <v>122</v>
      </c>
      <c r="CJ1433" s="283">
        <f t="shared" si="1781"/>
        <v>0</v>
      </c>
      <c r="CK1433" s="283">
        <f t="shared" si="1781"/>
        <v>0</v>
      </c>
    </row>
    <row r="1434" spans="1:89" ht="30" x14ac:dyDescent="0.25">
      <c r="A1434" s="107"/>
      <c r="B1434" s="312"/>
      <c r="C1434" s="312" t="s">
        <v>1594</v>
      </c>
      <c r="D1434" s="95"/>
      <c r="E1434" s="282"/>
      <c r="F1434" s="282"/>
      <c r="G1434" s="282"/>
      <c r="H1434" s="282">
        <v>0</v>
      </c>
      <c r="I1434" s="282">
        <v>0</v>
      </c>
      <c r="J1434" s="282">
        <f t="shared" si="1754"/>
        <v>0</v>
      </c>
      <c r="K1434" s="282">
        <f t="shared" si="1754"/>
        <v>5</v>
      </c>
      <c r="L1434" s="282">
        <f t="shared" si="1754"/>
        <v>0</v>
      </c>
      <c r="M1434" s="282">
        <f t="shared" si="1754"/>
        <v>0</v>
      </c>
      <c r="N1434" s="282">
        <f t="shared" ref="N1434" si="1791">N689</f>
        <v>0</v>
      </c>
      <c r="Q1434" s="283">
        <f t="shared" si="1756"/>
        <v>5</v>
      </c>
      <c r="R1434" s="283">
        <f t="shared" si="1757"/>
        <v>7</v>
      </c>
      <c r="S1434" s="283">
        <f t="shared" si="1758"/>
        <v>0</v>
      </c>
      <c r="T1434" s="283">
        <f t="shared" si="1758"/>
        <v>0</v>
      </c>
      <c r="V1434" s="283">
        <f t="shared" si="1759"/>
        <v>0</v>
      </c>
      <c r="W1434" s="283">
        <f t="shared" si="1759"/>
        <v>0</v>
      </c>
      <c r="Y1434" s="283">
        <f t="shared" si="1760"/>
        <v>0</v>
      </c>
      <c r="Z1434" s="283">
        <f t="shared" si="1760"/>
        <v>0</v>
      </c>
      <c r="AB1434" s="283">
        <f t="shared" si="1761"/>
        <v>0</v>
      </c>
      <c r="AC1434" s="283">
        <f t="shared" si="1761"/>
        <v>0</v>
      </c>
      <c r="AE1434" s="283">
        <f t="shared" si="1762"/>
        <v>0</v>
      </c>
      <c r="AF1434" s="283">
        <f t="shared" si="1762"/>
        <v>2</v>
      </c>
      <c r="AH1434" s="283">
        <f t="shared" si="1763"/>
        <v>0</v>
      </c>
      <c r="AI1434" s="283">
        <f t="shared" si="1763"/>
        <v>0</v>
      </c>
      <c r="AK1434" s="283">
        <f t="shared" si="1764"/>
        <v>0</v>
      </c>
      <c r="AL1434" s="283">
        <f t="shared" si="1764"/>
        <v>0</v>
      </c>
      <c r="AN1434" s="283">
        <f t="shared" si="1765"/>
        <v>5</v>
      </c>
      <c r="AO1434" s="283">
        <f t="shared" si="1765"/>
        <v>5</v>
      </c>
      <c r="AQ1434" s="283">
        <f t="shared" si="1766"/>
        <v>0</v>
      </c>
      <c r="AR1434" s="283">
        <f t="shared" si="1766"/>
        <v>0</v>
      </c>
      <c r="AT1434" s="283">
        <f t="shared" si="1767"/>
        <v>0</v>
      </c>
      <c r="AU1434" s="283">
        <f t="shared" si="1767"/>
        <v>0</v>
      </c>
      <c r="AW1434" s="283">
        <f t="shared" si="1768"/>
        <v>0</v>
      </c>
      <c r="AX1434" s="283">
        <f t="shared" si="1768"/>
        <v>0</v>
      </c>
      <c r="AZ1434" s="283">
        <f t="shared" si="1769"/>
        <v>0</v>
      </c>
      <c r="BA1434" s="283">
        <f t="shared" si="1769"/>
        <v>0</v>
      </c>
      <c r="BC1434" s="283">
        <f t="shared" si="1770"/>
        <v>0</v>
      </c>
      <c r="BD1434" s="283">
        <f t="shared" si="1770"/>
        <v>0</v>
      </c>
      <c r="BF1434" s="283">
        <f t="shared" si="1771"/>
        <v>0</v>
      </c>
      <c r="BG1434" s="283">
        <f t="shared" si="1771"/>
        <v>0</v>
      </c>
      <c r="BI1434" s="283">
        <f t="shared" si="1772"/>
        <v>0</v>
      </c>
      <c r="BJ1434" s="283">
        <f t="shared" si="1772"/>
        <v>0</v>
      </c>
      <c r="BL1434" s="283">
        <f t="shared" si="1773"/>
        <v>0</v>
      </c>
      <c r="BM1434" s="283">
        <f t="shared" si="1773"/>
        <v>0</v>
      </c>
      <c r="BO1434" s="283">
        <f t="shared" si="1774"/>
        <v>0</v>
      </c>
      <c r="BP1434" s="283">
        <f t="shared" si="1774"/>
        <v>0</v>
      </c>
      <c r="BR1434" s="283">
        <f t="shared" si="1775"/>
        <v>0</v>
      </c>
      <c r="BS1434" s="283">
        <f t="shared" si="1775"/>
        <v>0</v>
      </c>
      <c r="BU1434" s="283">
        <f t="shared" si="1776"/>
        <v>0</v>
      </c>
      <c r="BV1434" s="283">
        <f t="shared" si="1776"/>
        <v>0</v>
      </c>
      <c r="BX1434" s="283">
        <f t="shared" si="1777"/>
        <v>0</v>
      </c>
      <c r="BY1434" s="283">
        <f t="shared" si="1777"/>
        <v>0</v>
      </c>
      <c r="CA1434" s="283">
        <f t="shared" si="1778"/>
        <v>0</v>
      </c>
      <c r="CB1434" s="283">
        <f t="shared" si="1778"/>
        <v>0</v>
      </c>
      <c r="CD1434" s="283">
        <f t="shared" si="1779"/>
        <v>0</v>
      </c>
      <c r="CE1434" s="283">
        <f t="shared" si="1779"/>
        <v>0</v>
      </c>
      <c r="CG1434" s="283">
        <f t="shared" si="1780"/>
        <v>0</v>
      </c>
      <c r="CH1434" s="283">
        <f t="shared" si="1780"/>
        <v>0</v>
      </c>
      <c r="CJ1434" s="283">
        <f t="shared" si="1781"/>
        <v>0</v>
      </c>
      <c r="CK1434" s="283">
        <f t="shared" si="1781"/>
        <v>0</v>
      </c>
    </row>
    <row r="1435" spans="1:89" ht="30" x14ac:dyDescent="0.25">
      <c r="A1435" s="107"/>
      <c r="B1435" s="312"/>
      <c r="C1435" s="312" t="s">
        <v>1595</v>
      </c>
      <c r="D1435" s="95"/>
      <c r="E1435" s="282"/>
      <c r="F1435" s="282"/>
      <c r="G1435" s="282"/>
      <c r="H1435" s="282">
        <v>134</v>
      </c>
      <c r="I1435" s="282">
        <v>312</v>
      </c>
      <c r="J1435" s="282">
        <f t="shared" si="1754"/>
        <v>337</v>
      </c>
      <c r="K1435" s="282">
        <f t="shared" si="1754"/>
        <v>356</v>
      </c>
      <c r="L1435" s="282">
        <f t="shared" si="1754"/>
        <v>0</v>
      </c>
      <c r="M1435" s="282">
        <f t="shared" si="1754"/>
        <v>0</v>
      </c>
      <c r="N1435" s="282">
        <f t="shared" ref="N1435" si="1792">N690</f>
        <v>0</v>
      </c>
      <c r="Q1435" s="283">
        <f t="shared" si="1756"/>
        <v>356</v>
      </c>
      <c r="R1435" s="283">
        <f t="shared" si="1757"/>
        <v>351</v>
      </c>
      <c r="S1435" s="283">
        <f t="shared" si="1758"/>
        <v>0</v>
      </c>
      <c r="T1435" s="283">
        <f t="shared" si="1758"/>
        <v>0</v>
      </c>
      <c r="V1435" s="283">
        <f t="shared" si="1759"/>
        <v>21</v>
      </c>
      <c r="W1435" s="283">
        <f t="shared" si="1759"/>
        <v>13</v>
      </c>
      <c r="Y1435" s="283">
        <f t="shared" si="1760"/>
        <v>0</v>
      </c>
      <c r="Z1435" s="283">
        <f t="shared" si="1760"/>
        <v>0</v>
      </c>
      <c r="AB1435" s="283">
        <f t="shared" si="1761"/>
        <v>0</v>
      </c>
      <c r="AC1435" s="283">
        <f t="shared" si="1761"/>
        <v>0</v>
      </c>
      <c r="AE1435" s="283">
        <f t="shared" si="1762"/>
        <v>9</v>
      </c>
      <c r="AF1435" s="283">
        <f t="shared" si="1762"/>
        <v>7</v>
      </c>
      <c r="AH1435" s="283">
        <f t="shared" si="1763"/>
        <v>0</v>
      </c>
      <c r="AI1435" s="283">
        <f t="shared" si="1763"/>
        <v>0</v>
      </c>
      <c r="AK1435" s="283">
        <f t="shared" si="1764"/>
        <v>0</v>
      </c>
      <c r="AL1435" s="283">
        <f t="shared" si="1764"/>
        <v>0</v>
      </c>
      <c r="AN1435" s="283">
        <f t="shared" si="1765"/>
        <v>52</v>
      </c>
      <c r="AO1435" s="283">
        <f t="shared" si="1765"/>
        <v>53</v>
      </c>
      <c r="AQ1435" s="283">
        <f t="shared" si="1766"/>
        <v>6</v>
      </c>
      <c r="AR1435" s="283">
        <f t="shared" si="1766"/>
        <v>3</v>
      </c>
      <c r="AT1435" s="283">
        <f t="shared" si="1767"/>
        <v>0</v>
      </c>
      <c r="AU1435" s="283">
        <f t="shared" si="1767"/>
        <v>0</v>
      </c>
      <c r="AW1435" s="283">
        <f t="shared" si="1768"/>
        <v>0</v>
      </c>
      <c r="AX1435" s="283">
        <f t="shared" si="1768"/>
        <v>0</v>
      </c>
      <c r="AZ1435" s="283">
        <f t="shared" si="1769"/>
        <v>0</v>
      </c>
      <c r="BA1435" s="283">
        <f t="shared" si="1769"/>
        <v>0</v>
      </c>
      <c r="BC1435" s="283">
        <f t="shared" si="1770"/>
        <v>0</v>
      </c>
      <c r="BD1435" s="283">
        <f t="shared" si="1770"/>
        <v>0</v>
      </c>
      <c r="BF1435" s="283">
        <f t="shared" si="1771"/>
        <v>0</v>
      </c>
      <c r="BG1435" s="283">
        <f t="shared" si="1771"/>
        <v>0</v>
      </c>
      <c r="BI1435" s="283">
        <f t="shared" si="1772"/>
        <v>0</v>
      </c>
      <c r="BJ1435" s="283">
        <f t="shared" si="1772"/>
        <v>0</v>
      </c>
      <c r="BL1435" s="283">
        <f t="shared" si="1773"/>
        <v>0</v>
      </c>
      <c r="BM1435" s="283">
        <f t="shared" si="1773"/>
        <v>0</v>
      </c>
      <c r="BO1435" s="283">
        <f t="shared" si="1774"/>
        <v>0</v>
      </c>
      <c r="BP1435" s="283">
        <f t="shared" si="1774"/>
        <v>0</v>
      </c>
      <c r="BR1435" s="283">
        <f t="shared" si="1775"/>
        <v>0</v>
      </c>
      <c r="BS1435" s="283">
        <f t="shared" si="1775"/>
        <v>0</v>
      </c>
      <c r="BU1435" s="283">
        <f t="shared" si="1776"/>
        <v>0</v>
      </c>
      <c r="BV1435" s="283">
        <f t="shared" si="1776"/>
        <v>0</v>
      </c>
      <c r="BX1435" s="283">
        <f t="shared" si="1777"/>
        <v>0</v>
      </c>
      <c r="BY1435" s="283">
        <f t="shared" si="1777"/>
        <v>0</v>
      </c>
      <c r="CA1435" s="283">
        <f t="shared" si="1778"/>
        <v>0</v>
      </c>
      <c r="CB1435" s="283">
        <f t="shared" si="1778"/>
        <v>0</v>
      </c>
      <c r="CD1435" s="283">
        <f t="shared" si="1779"/>
        <v>0</v>
      </c>
      <c r="CE1435" s="283">
        <f t="shared" si="1779"/>
        <v>0</v>
      </c>
      <c r="CG1435" s="283">
        <f t="shared" si="1780"/>
        <v>268</v>
      </c>
      <c r="CH1435" s="283">
        <f t="shared" si="1780"/>
        <v>275</v>
      </c>
      <c r="CJ1435" s="283">
        <f t="shared" si="1781"/>
        <v>0</v>
      </c>
      <c r="CK1435" s="283">
        <f t="shared" si="1781"/>
        <v>0</v>
      </c>
    </row>
    <row r="1436" spans="1:89" ht="30" x14ac:dyDescent="0.25">
      <c r="A1436" s="107"/>
      <c r="B1436" s="312"/>
      <c r="C1436" s="312" t="s">
        <v>2442</v>
      </c>
      <c r="D1436" s="95"/>
      <c r="E1436" s="282"/>
      <c r="F1436" s="282"/>
      <c r="G1436" s="282"/>
      <c r="H1436" s="282">
        <v>37</v>
      </c>
      <c r="I1436" s="282">
        <v>26</v>
      </c>
      <c r="J1436" s="282">
        <f t="shared" si="1754"/>
        <v>7</v>
      </c>
      <c r="K1436" s="282">
        <f t="shared" si="1754"/>
        <v>6</v>
      </c>
      <c r="L1436" s="282">
        <f t="shared" si="1754"/>
        <v>0</v>
      </c>
      <c r="M1436" s="282">
        <f t="shared" si="1754"/>
        <v>0</v>
      </c>
      <c r="N1436" s="282">
        <f t="shared" ref="N1436" si="1793">N691</f>
        <v>0</v>
      </c>
      <c r="Q1436" s="283">
        <f t="shared" si="1756"/>
        <v>6</v>
      </c>
      <c r="R1436" s="283">
        <f t="shared" si="1757"/>
        <v>6</v>
      </c>
      <c r="S1436" s="283">
        <f t="shared" si="1758"/>
        <v>0</v>
      </c>
      <c r="T1436" s="283">
        <f t="shared" si="1758"/>
        <v>0</v>
      </c>
      <c r="V1436" s="283">
        <f t="shared" si="1759"/>
        <v>5</v>
      </c>
      <c r="W1436" s="283">
        <f t="shared" si="1759"/>
        <v>0</v>
      </c>
      <c r="Y1436" s="283">
        <f t="shared" si="1760"/>
        <v>0</v>
      </c>
      <c r="Z1436" s="283">
        <f t="shared" si="1760"/>
        <v>0</v>
      </c>
      <c r="AB1436" s="283">
        <f t="shared" si="1761"/>
        <v>0</v>
      </c>
      <c r="AC1436" s="283">
        <f t="shared" si="1761"/>
        <v>0</v>
      </c>
      <c r="AE1436" s="283">
        <f t="shared" si="1762"/>
        <v>0</v>
      </c>
      <c r="AF1436" s="283">
        <f t="shared" si="1762"/>
        <v>0</v>
      </c>
      <c r="AH1436" s="283">
        <f t="shared" si="1763"/>
        <v>1</v>
      </c>
      <c r="AI1436" s="283">
        <f t="shared" si="1763"/>
        <v>6</v>
      </c>
      <c r="AK1436" s="283">
        <f t="shared" si="1764"/>
        <v>0</v>
      </c>
      <c r="AL1436" s="283">
        <f t="shared" si="1764"/>
        <v>0</v>
      </c>
      <c r="AN1436" s="283">
        <f t="shared" si="1765"/>
        <v>0</v>
      </c>
      <c r="AO1436" s="283">
        <f t="shared" si="1765"/>
        <v>0</v>
      </c>
      <c r="AQ1436" s="283">
        <f t="shared" si="1766"/>
        <v>0</v>
      </c>
      <c r="AR1436" s="283">
        <f t="shared" si="1766"/>
        <v>0</v>
      </c>
      <c r="AT1436" s="283">
        <f t="shared" si="1767"/>
        <v>0</v>
      </c>
      <c r="AU1436" s="283">
        <f t="shared" si="1767"/>
        <v>0</v>
      </c>
      <c r="AW1436" s="283">
        <f t="shared" si="1768"/>
        <v>0</v>
      </c>
      <c r="AX1436" s="283">
        <f t="shared" si="1768"/>
        <v>0</v>
      </c>
      <c r="AZ1436" s="283">
        <f t="shared" si="1769"/>
        <v>0</v>
      </c>
      <c r="BA1436" s="283">
        <f t="shared" si="1769"/>
        <v>0</v>
      </c>
      <c r="BC1436" s="283">
        <f t="shared" si="1770"/>
        <v>0</v>
      </c>
      <c r="BD1436" s="283">
        <f t="shared" si="1770"/>
        <v>0</v>
      </c>
      <c r="BF1436" s="283">
        <f t="shared" si="1771"/>
        <v>0</v>
      </c>
      <c r="BG1436" s="283">
        <f t="shared" si="1771"/>
        <v>0</v>
      </c>
      <c r="BI1436" s="283">
        <f t="shared" si="1772"/>
        <v>0</v>
      </c>
      <c r="BJ1436" s="283">
        <f t="shared" si="1772"/>
        <v>0</v>
      </c>
      <c r="BL1436" s="283">
        <f t="shared" si="1773"/>
        <v>0</v>
      </c>
      <c r="BM1436" s="283">
        <f t="shared" si="1773"/>
        <v>0</v>
      </c>
      <c r="BO1436" s="283">
        <f t="shared" si="1774"/>
        <v>0</v>
      </c>
      <c r="BP1436" s="283">
        <f t="shared" si="1774"/>
        <v>0</v>
      </c>
      <c r="BR1436" s="283">
        <f t="shared" si="1775"/>
        <v>0</v>
      </c>
      <c r="BS1436" s="283">
        <f t="shared" si="1775"/>
        <v>0</v>
      </c>
      <c r="BU1436" s="283">
        <f t="shared" si="1776"/>
        <v>0</v>
      </c>
      <c r="BV1436" s="283">
        <f t="shared" si="1776"/>
        <v>0</v>
      </c>
      <c r="BX1436" s="283">
        <f t="shared" si="1777"/>
        <v>0</v>
      </c>
      <c r="BY1436" s="283">
        <f t="shared" si="1777"/>
        <v>0</v>
      </c>
      <c r="CA1436" s="283">
        <f t="shared" si="1778"/>
        <v>0</v>
      </c>
      <c r="CB1436" s="283">
        <f t="shared" si="1778"/>
        <v>0</v>
      </c>
      <c r="CD1436" s="283">
        <f t="shared" si="1779"/>
        <v>0</v>
      </c>
      <c r="CE1436" s="283">
        <f t="shared" si="1779"/>
        <v>0</v>
      </c>
      <c r="CG1436" s="283">
        <f t="shared" si="1780"/>
        <v>0</v>
      </c>
      <c r="CH1436" s="283">
        <f t="shared" si="1780"/>
        <v>0</v>
      </c>
      <c r="CJ1436" s="283">
        <f t="shared" si="1781"/>
        <v>0</v>
      </c>
      <c r="CK1436" s="283">
        <f t="shared" si="1781"/>
        <v>0</v>
      </c>
    </row>
    <row r="1437" spans="1:89" ht="30" x14ac:dyDescent="0.25">
      <c r="A1437" s="107"/>
      <c r="B1437" s="312"/>
      <c r="C1437" s="312" t="s">
        <v>1596</v>
      </c>
      <c r="D1437" s="95"/>
      <c r="E1437" s="282"/>
      <c r="F1437" s="282"/>
      <c r="G1437" s="282"/>
      <c r="H1437" s="282">
        <v>0</v>
      </c>
      <c r="I1437" s="282">
        <v>0</v>
      </c>
      <c r="J1437" s="282">
        <f t="shared" si="1754"/>
        <v>0</v>
      </c>
      <c r="K1437" s="282">
        <f t="shared" si="1754"/>
        <v>0</v>
      </c>
      <c r="L1437" s="282">
        <f t="shared" si="1754"/>
        <v>0</v>
      </c>
      <c r="M1437" s="282">
        <f t="shared" si="1754"/>
        <v>0</v>
      </c>
      <c r="N1437" s="282">
        <f t="shared" ref="N1437" si="1794">N692</f>
        <v>0</v>
      </c>
      <c r="Q1437" s="283">
        <f t="shared" si="1756"/>
        <v>0</v>
      </c>
      <c r="R1437" s="283">
        <f t="shared" si="1757"/>
        <v>0</v>
      </c>
      <c r="S1437" s="283">
        <f t="shared" si="1758"/>
        <v>0</v>
      </c>
      <c r="T1437" s="283">
        <f t="shared" si="1758"/>
        <v>0</v>
      </c>
      <c r="V1437" s="283">
        <f t="shared" si="1759"/>
        <v>0</v>
      </c>
      <c r="W1437" s="283">
        <f t="shared" si="1759"/>
        <v>0</v>
      </c>
      <c r="Y1437" s="283">
        <f t="shared" si="1760"/>
        <v>0</v>
      </c>
      <c r="Z1437" s="283">
        <f t="shared" si="1760"/>
        <v>0</v>
      </c>
      <c r="AB1437" s="283">
        <f t="shared" si="1761"/>
        <v>0</v>
      </c>
      <c r="AC1437" s="283">
        <f t="shared" si="1761"/>
        <v>0</v>
      </c>
      <c r="AE1437" s="283">
        <f t="shared" si="1762"/>
        <v>0</v>
      </c>
      <c r="AF1437" s="283">
        <f t="shared" si="1762"/>
        <v>0</v>
      </c>
      <c r="AH1437" s="283">
        <f t="shared" si="1763"/>
        <v>0</v>
      </c>
      <c r="AI1437" s="283">
        <f t="shared" si="1763"/>
        <v>0</v>
      </c>
      <c r="AK1437" s="283">
        <f t="shared" si="1764"/>
        <v>0</v>
      </c>
      <c r="AL1437" s="283">
        <f t="shared" si="1764"/>
        <v>0</v>
      </c>
      <c r="AN1437" s="283">
        <f t="shared" si="1765"/>
        <v>0</v>
      </c>
      <c r="AO1437" s="283">
        <f t="shared" si="1765"/>
        <v>0</v>
      </c>
      <c r="AQ1437" s="283">
        <f t="shared" si="1766"/>
        <v>0</v>
      </c>
      <c r="AR1437" s="283">
        <f t="shared" si="1766"/>
        <v>0</v>
      </c>
      <c r="AT1437" s="283">
        <f t="shared" si="1767"/>
        <v>0</v>
      </c>
      <c r="AU1437" s="283">
        <f t="shared" si="1767"/>
        <v>0</v>
      </c>
      <c r="AW1437" s="283">
        <f t="shared" si="1768"/>
        <v>0</v>
      </c>
      <c r="AX1437" s="283">
        <f t="shared" si="1768"/>
        <v>0</v>
      </c>
      <c r="AZ1437" s="283">
        <f t="shared" si="1769"/>
        <v>0</v>
      </c>
      <c r="BA1437" s="283">
        <f t="shared" si="1769"/>
        <v>0</v>
      </c>
      <c r="BC1437" s="283">
        <f t="shared" si="1770"/>
        <v>0</v>
      </c>
      <c r="BD1437" s="283">
        <f t="shared" si="1770"/>
        <v>0</v>
      </c>
      <c r="BF1437" s="283">
        <f t="shared" si="1771"/>
        <v>0</v>
      </c>
      <c r="BG1437" s="283">
        <f t="shared" si="1771"/>
        <v>0</v>
      </c>
      <c r="BI1437" s="283">
        <f t="shared" si="1772"/>
        <v>0</v>
      </c>
      <c r="BJ1437" s="283">
        <f t="shared" si="1772"/>
        <v>0</v>
      </c>
      <c r="BL1437" s="283">
        <f t="shared" si="1773"/>
        <v>0</v>
      </c>
      <c r="BM1437" s="283">
        <f t="shared" si="1773"/>
        <v>0</v>
      </c>
      <c r="BO1437" s="283">
        <f t="shared" si="1774"/>
        <v>0</v>
      </c>
      <c r="BP1437" s="283">
        <f t="shared" si="1774"/>
        <v>0</v>
      </c>
      <c r="BR1437" s="283">
        <f t="shared" si="1775"/>
        <v>0</v>
      </c>
      <c r="BS1437" s="283">
        <f t="shared" si="1775"/>
        <v>0</v>
      </c>
      <c r="BU1437" s="283">
        <f t="shared" si="1776"/>
        <v>0</v>
      </c>
      <c r="BV1437" s="283">
        <f t="shared" si="1776"/>
        <v>0</v>
      </c>
      <c r="BX1437" s="283">
        <f t="shared" si="1777"/>
        <v>0</v>
      </c>
      <c r="BY1437" s="283">
        <f t="shared" si="1777"/>
        <v>0</v>
      </c>
      <c r="CA1437" s="283">
        <f t="shared" si="1778"/>
        <v>0</v>
      </c>
      <c r="CB1437" s="283">
        <f t="shared" si="1778"/>
        <v>0</v>
      </c>
      <c r="CD1437" s="283">
        <f t="shared" si="1779"/>
        <v>0</v>
      </c>
      <c r="CE1437" s="283">
        <f t="shared" si="1779"/>
        <v>0</v>
      </c>
      <c r="CG1437" s="283">
        <f t="shared" si="1780"/>
        <v>0</v>
      </c>
      <c r="CH1437" s="283">
        <f t="shared" si="1780"/>
        <v>0</v>
      </c>
      <c r="CJ1437" s="283">
        <f t="shared" si="1781"/>
        <v>0</v>
      </c>
      <c r="CK1437" s="283">
        <f t="shared" si="1781"/>
        <v>0</v>
      </c>
    </row>
    <row r="1438" spans="1:89" ht="30" x14ac:dyDescent="0.25">
      <c r="A1438" s="107"/>
      <c r="B1438" s="312"/>
      <c r="C1438" s="312" t="s">
        <v>2440</v>
      </c>
      <c r="D1438" s="95"/>
      <c r="E1438" s="282"/>
      <c r="F1438" s="282"/>
      <c r="G1438" s="282"/>
      <c r="H1438" s="282">
        <v>0</v>
      </c>
      <c r="I1438" s="282">
        <v>0</v>
      </c>
      <c r="J1438" s="282">
        <f t="shared" si="1754"/>
        <v>0</v>
      </c>
      <c r="K1438" s="282">
        <f t="shared" si="1754"/>
        <v>0</v>
      </c>
      <c r="L1438" s="282">
        <f t="shared" si="1754"/>
        <v>0</v>
      </c>
      <c r="M1438" s="282">
        <f t="shared" si="1754"/>
        <v>0</v>
      </c>
      <c r="N1438" s="282">
        <f t="shared" ref="N1438" si="1795">N693</f>
        <v>0</v>
      </c>
      <c r="Q1438" s="283">
        <f t="shared" si="1756"/>
        <v>0</v>
      </c>
      <c r="R1438" s="283">
        <f t="shared" si="1757"/>
        <v>0</v>
      </c>
      <c r="S1438" s="283">
        <f t="shared" si="1758"/>
        <v>0</v>
      </c>
      <c r="T1438" s="283">
        <f t="shared" si="1758"/>
        <v>0</v>
      </c>
      <c r="V1438" s="283">
        <f t="shared" si="1759"/>
        <v>0</v>
      </c>
      <c r="W1438" s="283">
        <f t="shared" si="1759"/>
        <v>0</v>
      </c>
      <c r="Y1438" s="283">
        <f t="shared" si="1760"/>
        <v>0</v>
      </c>
      <c r="Z1438" s="283">
        <f t="shared" si="1760"/>
        <v>0</v>
      </c>
      <c r="AB1438" s="283">
        <f t="shared" si="1761"/>
        <v>0</v>
      </c>
      <c r="AC1438" s="283">
        <f t="shared" si="1761"/>
        <v>0</v>
      </c>
      <c r="AE1438" s="283">
        <f t="shared" si="1762"/>
        <v>0</v>
      </c>
      <c r="AF1438" s="283">
        <f t="shared" si="1762"/>
        <v>0</v>
      </c>
      <c r="AH1438" s="283">
        <f t="shared" si="1763"/>
        <v>0</v>
      </c>
      <c r="AI1438" s="283">
        <f t="shared" si="1763"/>
        <v>0</v>
      </c>
      <c r="AK1438" s="283">
        <f t="shared" si="1764"/>
        <v>0</v>
      </c>
      <c r="AL1438" s="283">
        <f t="shared" si="1764"/>
        <v>0</v>
      </c>
      <c r="AN1438" s="283">
        <f t="shared" si="1765"/>
        <v>0</v>
      </c>
      <c r="AO1438" s="283">
        <f t="shared" si="1765"/>
        <v>0</v>
      </c>
      <c r="AQ1438" s="283">
        <f t="shared" si="1766"/>
        <v>0</v>
      </c>
      <c r="AR1438" s="283">
        <f t="shared" si="1766"/>
        <v>0</v>
      </c>
      <c r="AT1438" s="283">
        <f t="shared" si="1767"/>
        <v>0</v>
      </c>
      <c r="AU1438" s="283">
        <f t="shared" si="1767"/>
        <v>0</v>
      </c>
      <c r="AW1438" s="283">
        <f t="shared" si="1768"/>
        <v>0</v>
      </c>
      <c r="AX1438" s="283">
        <f t="shared" si="1768"/>
        <v>0</v>
      </c>
      <c r="AZ1438" s="283">
        <f t="shared" si="1769"/>
        <v>0</v>
      </c>
      <c r="BA1438" s="283">
        <f t="shared" si="1769"/>
        <v>0</v>
      </c>
      <c r="BC1438" s="283">
        <f t="shared" si="1770"/>
        <v>0</v>
      </c>
      <c r="BD1438" s="283">
        <f t="shared" si="1770"/>
        <v>0</v>
      </c>
      <c r="BF1438" s="283">
        <f t="shared" si="1771"/>
        <v>0</v>
      </c>
      <c r="BG1438" s="283">
        <f t="shared" si="1771"/>
        <v>0</v>
      </c>
      <c r="BI1438" s="283">
        <f t="shared" si="1772"/>
        <v>0</v>
      </c>
      <c r="BJ1438" s="283">
        <f t="shared" si="1772"/>
        <v>0</v>
      </c>
      <c r="BL1438" s="283">
        <f t="shared" si="1773"/>
        <v>0</v>
      </c>
      <c r="BM1438" s="283">
        <f t="shared" si="1773"/>
        <v>0</v>
      </c>
      <c r="BO1438" s="283">
        <f t="shared" si="1774"/>
        <v>0</v>
      </c>
      <c r="BP1438" s="283">
        <f t="shared" si="1774"/>
        <v>0</v>
      </c>
      <c r="BR1438" s="283">
        <f t="shared" si="1775"/>
        <v>0</v>
      </c>
      <c r="BS1438" s="283">
        <f t="shared" si="1775"/>
        <v>0</v>
      </c>
      <c r="BU1438" s="283">
        <f t="shared" si="1776"/>
        <v>0</v>
      </c>
      <c r="BV1438" s="283">
        <f t="shared" si="1776"/>
        <v>0</v>
      </c>
      <c r="BX1438" s="283">
        <f t="shared" si="1777"/>
        <v>0</v>
      </c>
      <c r="BY1438" s="283">
        <f t="shared" si="1777"/>
        <v>0</v>
      </c>
      <c r="CA1438" s="283">
        <f t="shared" si="1778"/>
        <v>0</v>
      </c>
      <c r="CB1438" s="283">
        <f t="shared" si="1778"/>
        <v>0</v>
      </c>
      <c r="CD1438" s="283">
        <f t="shared" si="1779"/>
        <v>0</v>
      </c>
      <c r="CE1438" s="283">
        <f t="shared" si="1779"/>
        <v>0</v>
      </c>
      <c r="CG1438" s="283">
        <f t="shared" si="1780"/>
        <v>0</v>
      </c>
      <c r="CH1438" s="283">
        <f t="shared" si="1780"/>
        <v>0</v>
      </c>
      <c r="CJ1438" s="283">
        <f t="shared" si="1781"/>
        <v>0</v>
      </c>
      <c r="CK1438" s="283">
        <f t="shared" si="1781"/>
        <v>0</v>
      </c>
    </row>
    <row r="1439" spans="1:89" ht="30" x14ac:dyDescent="0.25">
      <c r="A1439" s="107"/>
      <c r="B1439" s="312"/>
      <c r="C1439" s="312" t="s">
        <v>2443</v>
      </c>
      <c r="D1439" s="95"/>
      <c r="E1439" s="282"/>
      <c r="F1439" s="282"/>
      <c r="G1439" s="282"/>
      <c r="H1439" s="282">
        <v>19</v>
      </c>
      <c r="I1439" s="282">
        <v>0</v>
      </c>
      <c r="J1439" s="282">
        <f t="shared" si="1754"/>
        <v>0</v>
      </c>
      <c r="K1439" s="282">
        <f t="shared" si="1754"/>
        <v>1</v>
      </c>
      <c r="L1439" s="282">
        <f t="shared" si="1754"/>
        <v>0</v>
      </c>
      <c r="M1439" s="282">
        <f t="shared" si="1754"/>
        <v>0</v>
      </c>
      <c r="N1439" s="282">
        <f t="shared" ref="N1439" si="1796">N694</f>
        <v>0</v>
      </c>
      <c r="Q1439" s="283">
        <f t="shared" si="1756"/>
        <v>1</v>
      </c>
      <c r="R1439" s="283">
        <f t="shared" si="1757"/>
        <v>1</v>
      </c>
      <c r="S1439" s="283">
        <f t="shared" si="1758"/>
        <v>0</v>
      </c>
      <c r="T1439" s="283">
        <f t="shared" si="1758"/>
        <v>0</v>
      </c>
      <c r="V1439" s="283">
        <f t="shared" si="1759"/>
        <v>0</v>
      </c>
      <c r="W1439" s="283">
        <f t="shared" si="1759"/>
        <v>0</v>
      </c>
      <c r="Y1439" s="283">
        <f t="shared" si="1760"/>
        <v>0</v>
      </c>
      <c r="Z1439" s="283">
        <f t="shared" si="1760"/>
        <v>0</v>
      </c>
      <c r="AB1439" s="283">
        <f t="shared" si="1761"/>
        <v>0</v>
      </c>
      <c r="AC1439" s="283">
        <f t="shared" si="1761"/>
        <v>0</v>
      </c>
      <c r="AE1439" s="283">
        <f t="shared" si="1762"/>
        <v>0</v>
      </c>
      <c r="AF1439" s="283">
        <f t="shared" si="1762"/>
        <v>0</v>
      </c>
      <c r="AH1439" s="283">
        <f t="shared" si="1763"/>
        <v>0</v>
      </c>
      <c r="AI1439" s="283">
        <f t="shared" si="1763"/>
        <v>0</v>
      </c>
      <c r="AK1439" s="283">
        <f t="shared" si="1764"/>
        <v>1</v>
      </c>
      <c r="AL1439" s="283">
        <f t="shared" si="1764"/>
        <v>1</v>
      </c>
      <c r="AN1439" s="283">
        <f t="shared" si="1765"/>
        <v>0</v>
      </c>
      <c r="AO1439" s="283">
        <f t="shared" si="1765"/>
        <v>0</v>
      </c>
      <c r="AQ1439" s="283">
        <f t="shared" si="1766"/>
        <v>0</v>
      </c>
      <c r="AR1439" s="283">
        <f t="shared" si="1766"/>
        <v>0</v>
      </c>
      <c r="AT1439" s="283">
        <f t="shared" si="1767"/>
        <v>0</v>
      </c>
      <c r="AU1439" s="283">
        <f t="shared" si="1767"/>
        <v>0</v>
      </c>
      <c r="AW1439" s="283">
        <f t="shared" si="1768"/>
        <v>0</v>
      </c>
      <c r="AX1439" s="283">
        <f t="shared" si="1768"/>
        <v>0</v>
      </c>
      <c r="AZ1439" s="283">
        <f t="shared" si="1769"/>
        <v>0</v>
      </c>
      <c r="BA1439" s="283">
        <f t="shared" si="1769"/>
        <v>0</v>
      </c>
      <c r="BC1439" s="283">
        <f t="shared" si="1770"/>
        <v>0</v>
      </c>
      <c r="BD1439" s="283">
        <f t="shared" si="1770"/>
        <v>0</v>
      </c>
      <c r="BF1439" s="283">
        <f t="shared" si="1771"/>
        <v>0</v>
      </c>
      <c r="BG1439" s="283">
        <f t="shared" si="1771"/>
        <v>0</v>
      </c>
      <c r="BI1439" s="283">
        <f t="shared" si="1772"/>
        <v>0</v>
      </c>
      <c r="BJ1439" s="283">
        <f t="shared" si="1772"/>
        <v>0</v>
      </c>
      <c r="BL1439" s="283">
        <f t="shared" si="1773"/>
        <v>0</v>
      </c>
      <c r="BM1439" s="283">
        <f t="shared" si="1773"/>
        <v>0</v>
      </c>
      <c r="BO1439" s="283">
        <f t="shared" si="1774"/>
        <v>0</v>
      </c>
      <c r="BP1439" s="283">
        <f t="shared" si="1774"/>
        <v>0</v>
      </c>
      <c r="BR1439" s="283">
        <f t="shared" si="1775"/>
        <v>0</v>
      </c>
      <c r="BS1439" s="283">
        <f t="shared" si="1775"/>
        <v>0</v>
      </c>
      <c r="BU1439" s="283">
        <f t="shared" si="1776"/>
        <v>0</v>
      </c>
      <c r="BV1439" s="283">
        <f t="shared" si="1776"/>
        <v>0</v>
      </c>
      <c r="BX1439" s="283">
        <f t="shared" si="1777"/>
        <v>0</v>
      </c>
      <c r="BY1439" s="283">
        <f t="shared" si="1777"/>
        <v>0</v>
      </c>
      <c r="CA1439" s="283">
        <f t="shared" si="1778"/>
        <v>0</v>
      </c>
      <c r="CB1439" s="283">
        <f t="shared" si="1778"/>
        <v>0</v>
      </c>
      <c r="CD1439" s="283">
        <f t="shared" si="1779"/>
        <v>0</v>
      </c>
      <c r="CE1439" s="283">
        <f t="shared" si="1779"/>
        <v>0</v>
      </c>
      <c r="CG1439" s="283">
        <f t="shared" si="1780"/>
        <v>0</v>
      </c>
      <c r="CH1439" s="283">
        <f t="shared" si="1780"/>
        <v>0</v>
      </c>
      <c r="CJ1439" s="283">
        <f t="shared" si="1781"/>
        <v>0</v>
      </c>
      <c r="CK1439" s="283">
        <f t="shared" si="1781"/>
        <v>0</v>
      </c>
    </row>
    <row r="1440" spans="1:89" ht="30" x14ac:dyDescent="0.25">
      <c r="A1440" s="107"/>
      <c r="B1440" s="312"/>
      <c r="C1440" s="312" t="s">
        <v>1597</v>
      </c>
      <c r="D1440" s="95"/>
      <c r="E1440" s="282"/>
      <c r="F1440" s="282"/>
      <c r="G1440" s="282"/>
      <c r="H1440" s="282">
        <v>0</v>
      </c>
      <c r="I1440" s="282">
        <v>0</v>
      </c>
      <c r="J1440" s="282">
        <f t="shared" si="1754"/>
        <v>0</v>
      </c>
      <c r="K1440" s="282">
        <f t="shared" si="1754"/>
        <v>0</v>
      </c>
      <c r="L1440" s="282">
        <f t="shared" si="1754"/>
        <v>0</v>
      </c>
      <c r="M1440" s="282">
        <f t="shared" si="1754"/>
        <v>0</v>
      </c>
      <c r="N1440" s="282">
        <f t="shared" ref="N1440" si="1797">N695</f>
        <v>0</v>
      </c>
      <c r="Q1440" s="283">
        <f t="shared" si="1756"/>
        <v>0</v>
      </c>
      <c r="R1440" s="283">
        <f t="shared" si="1757"/>
        <v>0</v>
      </c>
      <c r="S1440" s="283">
        <f t="shared" si="1758"/>
        <v>0</v>
      </c>
      <c r="T1440" s="283">
        <f t="shared" si="1758"/>
        <v>0</v>
      </c>
      <c r="V1440" s="283">
        <f t="shared" si="1759"/>
        <v>0</v>
      </c>
      <c r="W1440" s="283">
        <f t="shared" si="1759"/>
        <v>0</v>
      </c>
      <c r="Y1440" s="283">
        <f t="shared" si="1760"/>
        <v>0</v>
      </c>
      <c r="Z1440" s="283">
        <f t="shared" si="1760"/>
        <v>0</v>
      </c>
      <c r="AB1440" s="283">
        <f t="shared" si="1761"/>
        <v>0</v>
      </c>
      <c r="AC1440" s="283">
        <f t="shared" si="1761"/>
        <v>0</v>
      </c>
      <c r="AE1440" s="283">
        <f t="shared" si="1762"/>
        <v>0</v>
      </c>
      <c r="AF1440" s="283">
        <f t="shared" si="1762"/>
        <v>0</v>
      </c>
      <c r="AH1440" s="283">
        <f t="shared" si="1763"/>
        <v>0</v>
      </c>
      <c r="AI1440" s="283">
        <f t="shared" si="1763"/>
        <v>0</v>
      </c>
      <c r="AK1440" s="283">
        <f t="shared" si="1764"/>
        <v>0</v>
      </c>
      <c r="AL1440" s="283">
        <f t="shared" si="1764"/>
        <v>0</v>
      </c>
      <c r="AN1440" s="283">
        <f t="shared" si="1765"/>
        <v>0</v>
      </c>
      <c r="AO1440" s="283">
        <f t="shared" si="1765"/>
        <v>0</v>
      </c>
      <c r="AQ1440" s="283">
        <f t="shared" si="1766"/>
        <v>0</v>
      </c>
      <c r="AR1440" s="283">
        <f t="shared" si="1766"/>
        <v>0</v>
      </c>
      <c r="AT1440" s="283">
        <f t="shared" si="1767"/>
        <v>0</v>
      </c>
      <c r="AU1440" s="283">
        <f t="shared" si="1767"/>
        <v>0</v>
      </c>
      <c r="AW1440" s="283">
        <f t="shared" si="1768"/>
        <v>0</v>
      </c>
      <c r="AX1440" s="283">
        <f t="shared" si="1768"/>
        <v>0</v>
      </c>
      <c r="AZ1440" s="283">
        <f t="shared" si="1769"/>
        <v>0</v>
      </c>
      <c r="BA1440" s="283">
        <f t="shared" si="1769"/>
        <v>0</v>
      </c>
      <c r="BC1440" s="283">
        <f t="shared" si="1770"/>
        <v>0</v>
      </c>
      <c r="BD1440" s="283">
        <f t="shared" si="1770"/>
        <v>0</v>
      </c>
      <c r="BF1440" s="283">
        <f t="shared" si="1771"/>
        <v>0</v>
      </c>
      <c r="BG1440" s="283">
        <f t="shared" si="1771"/>
        <v>0</v>
      </c>
      <c r="BI1440" s="283">
        <f t="shared" si="1772"/>
        <v>0</v>
      </c>
      <c r="BJ1440" s="283">
        <f t="shared" si="1772"/>
        <v>0</v>
      </c>
      <c r="BL1440" s="283">
        <f t="shared" si="1773"/>
        <v>0</v>
      </c>
      <c r="BM1440" s="283">
        <f t="shared" si="1773"/>
        <v>0</v>
      </c>
      <c r="BO1440" s="283">
        <f t="shared" si="1774"/>
        <v>0</v>
      </c>
      <c r="BP1440" s="283">
        <f t="shared" si="1774"/>
        <v>0</v>
      </c>
      <c r="BR1440" s="283">
        <f t="shared" si="1775"/>
        <v>0</v>
      </c>
      <c r="BS1440" s="283">
        <f t="shared" si="1775"/>
        <v>0</v>
      </c>
      <c r="BU1440" s="283">
        <f t="shared" si="1776"/>
        <v>0</v>
      </c>
      <c r="BV1440" s="283">
        <f t="shared" si="1776"/>
        <v>0</v>
      </c>
      <c r="BX1440" s="283">
        <f t="shared" si="1777"/>
        <v>0</v>
      </c>
      <c r="BY1440" s="283">
        <f t="shared" si="1777"/>
        <v>0</v>
      </c>
      <c r="CA1440" s="283">
        <f t="shared" si="1778"/>
        <v>0</v>
      </c>
      <c r="CB1440" s="283">
        <f t="shared" si="1778"/>
        <v>0</v>
      </c>
      <c r="CD1440" s="283">
        <f t="shared" si="1779"/>
        <v>0</v>
      </c>
      <c r="CE1440" s="283">
        <f t="shared" si="1779"/>
        <v>0</v>
      </c>
      <c r="CG1440" s="283">
        <f t="shared" si="1780"/>
        <v>0</v>
      </c>
      <c r="CH1440" s="283">
        <f t="shared" si="1780"/>
        <v>0</v>
      </c>
      <c r="CJ1440" s="283">
        <f t="shared" si="1781"/>
        <v>0</v>
      </c>
      <c r="CK1440" s="283">
        <f t="shared" si="1781"/>
        <v>0</v>
      </c>
    </row>
    <row r="1441" spans="1:89" ht="30" x14ac:dyDescent="0.25">
      <c r="A1441" s="107"/>
      <c r="B1441" s="312"/>
      <c r="C1441" s="312" t="s">
        <v>2441</v>
      </c>
      <c r="D1441" s="95"/>
      <c r="E1441" s="282"/>
      <c r="F1441" s="282"/>
      <c r="G1441" s="282"/>
      <c r="H1441" s="282">
        <v>0</v>
      </c>
      <c r="I1441" s="282">
        <v>0</v>
      </c>
      <c r="J1441" s="282">
        <f t="shared" si="1754"/>
        <v>0</v>
      </c>
      <c r="K1441" s="282">
        <f t="shared" si="1754"/>
        <v>0</v>
      </c>
      <c r="L1441" s="282">
        <f t="shared" si="1754"/>
        <v>0</v>
      </c>
      <c r="M1441" s="282">
        <f t="shared" si="1754"/>
        <v>0</v>
      </c>
      <c r="N1441" s="282">
        <f t="shared" ref="N1441" si="1798">N696</f>
        <v>0</v>
      </c>
      <c r="Q1441" s="283">
        <f t="shared" si="1756"/>
        <v>0</v>
      </c>
      <c r="R1441" s="283">
        <f t="shared" si="1757"/>
        <v>0</v>
      </c>
      <c r="S1441" s="283">
        <f t="shared" si="1758"/>
        <v>0</v>
      </c>
      <c r="T1441" s="283">
        <f t="shared" si="1758"/>
        <v>0</v>
      </c>
      <c r="V1441" s="283">
        <f t="shared" si="1759"/>
        <v>0</v>
      </c>
      <c r="W1441" s="283">
        <f t="shared" si="1759"/>
        <v>0</v>
      </c>
      <c r="Y1441" s="283">
        <f t="shared" si="1760"/>
        <v>0</v>
      </c>
      <c r="Z1441" s="283">
        <f t="shared" si="1760"/>
        <v>0</v>
      </c>
      <c r="AB1441" s="283">
        <f t="shared" si="1761"/>
        <v>0</v>
      </c>
      <c r="AC1441" s="283">
        <f t="shared" si="1761"/>
        <v>0</v>
      </c>
      <c r="AE1441" s="283">
        <f t="shared" si="1762"/>
        <v>0</v>
      </c>
      <c r="AF1441" s="283">
        <f t="shared" si="1762"/>
        <v>0</v>
      </c>
      <c r="AH1441" s="283">
        <f t="shared" si="1763"/>
        <v>0</v>
      </c>
      <c r="AI1441" s="283">
        <f t="shared" si="1763"/>
        <v>0</v>
      </c>
      <c r="AK1441" s="283">
        <f t="shared" si="1764"/>
        <v>0</v>
      </c>
      <c r="AL1441" s="283">
        <f t="shared" si="1764"/>
        <v>0</v>
      </c>
      <c r="AN1441" s="283">
        <f t="shared" si="1765"/>
        <v>0</v>
      </c>
      <c r="AO1441" s="283">
        <f t="shared" si="1765"/>
        <v>0</v>
      </c>
      <c r="AQ1441" s="283">
        <f t="shared" si="1766"/>
        <v>0</v>
      </c>
      <c r="AR1441" s="283">
        <f t="shared" si="1766"/>
        <v>0</v>
      </c>
      <c r="AT1441" s="283">
        <f t="shared" si="1767"/>
        <v>0</v>
      </c>
      <c r="AU1441" s="283">
        <f t="shared" si="1767"/>
        <v>0</v>
      </c>
      <c r="AW1441" s="283">
        <f t="shared" si="1768"/>
        <v>0</v>
      </c>
      <c r="AX1441" s="283">
        <f t="shared" si="1768"/>
        <v>0</v>
      </c>
      <c r="AZ1441" s="283">
        <f t="shared" si="1769"/>
        <v>0</v>
      </c>
      <c r="BA1441" s="283">
        <f t="shared" si="1769"/>
        <v>0</v>
      </c>
      <c r="BC1441" s="283">
        <f t="shared" si="1770"/>
        <v>0</v>
      </c>
      <c r="BD1441" s="283">
        <f t="shared" si="1770"/>
        <v>0</v>
      </c>
      <c r="BF1441" s="283">
        <f t="shared" si="1771"/>
        <v>0</v>
      </c>
      <c r="BG1441" s="283">
        <f t="shared" si="1771"/>
        <v>0</v>
      </c>
      <c r="BI1441" s="283">
        <f t="shared" si="1772"/>
        <v>0</v>
      </c>
      <c r="BJ1441" s="283">
        <f t="shared" si="1772"/>
        <v>0</v>
      </c>
      <c r="BL1441" s="283">
        <f t="shared" si="1773"/>
        <v>0</v>
      </c>
      <c r="BM1441" s="283">
        <f t="shared" si="1773"/>
        <v>0</v>
      </c>
      <c r="BO1441" s="283">
        <f t="shared" si="1774"/>
        <v>0</v>
      </c>
      <c r="BP1441" s="283">
        <f t="shared" si="1774"/>
        <v>0</v>
      </c>
      <c r="BR1441" s="283">
        <f t="shared" si="1775"/>
        <v>0</v>
      </c>
      <c r="BS1441" s="283">
        <f t="shared" si="1775"/>
        <v>0</v>
      </c>
      <c r="BU1441" s="283">
        <f t="shared" si="1776"/>
        <v>0</v>
      </c>
      <c r="BV1441" s="283">
        <f t="shared" si="1776"/>
        <v>0</v>
      </c>
      <c r="BX1441" s="283">
        <f t="shared" si="1777"/>
        <v>0</v>
      </c>
      <c r="BY1441" s="283">
        <f t="shared" si="1777"/>
        <v>0</v>
      </c>
      <c r="CA1441" s="283">
        <f t="shared" si="1778"/>
        <v>0</v>
      </c>
      <c r="CB1441" s="283">
        <f t="shared" si="1778"/>
        <v>0</v>
      </c>
      <c r="CD1441" s="283">
        <f t="shared" si="1779"/>
        <v>0</v>
      </c>
      <c r="CE1441" s="283">
        <f t="shared" si="1779"/>
        <v>0</v>
      </c>
      <c r="CG1441" s="283">
        <f t="shared" si="1780"/>
        <v>0</v>
      </c>
      <c r="CH1441" s="283">
        <f t="shared" si="1780"/>
        <v>0</v>
      </c>
      <c r="CJ1441" s="283">
        <f t="shared" si="1781"/>
        <v>0</v>
      </c>
      <c r="CK1441" s="283">
        <f t="shared" si="1781"/>
        <v>0</v>
      </c>
    </row>
    <row r="1442" spans="1:89" ht="60" x14ac:dyDescent="0.25">
      <c r="A1442" s="95" t="s">
        <v>2547</v>
      </c>
      <c r="B1442" s="96" t="s">
        <v>1719</v>
      </c>
      <c r="C1442" s="107"/>
      <c r="D1442" s="95" t="s">
        <v>8</v>
      </c>
      <c r="E1442" s="279">
        <f t="shared" ref="E1442:J1442" si="1799">((E1445+E1450)/(E1455+E1457))*100</f>
        <v>1.2916481624980858</v>
      </c>
      <c r="F1442" s="279">
        <f t="shared" si="1799"/>
        <v>1.3284171566960601</v>
      </c>
      <c r="G1442" s="279">
        <f t="shared" si="1799"/>
        <v>1.6232415826849342</v>
      </c>
      <c r="H1442" s="279">
        <f t="shared" si="1799"/>
        <v>1.8731917407011942</v>
      </c>
      <c r="I1442" s="279">
        <f>((I1445+I1450)/(I1455+I1457))*100</f>
        <v>1.9919024961472127</v>
      </c>
      <c r="J1442" s="279">
        <f t="shared" si="1799"/>
        <v>1.9003505195421428</v>
      </c>
      <c r="K1442" s="279">
        <f>((K1445+K1450)/(K1455+K1457))*100</f>
        <v>2.2373736609990185</v>
      </c>
      <c r="L1442" s="279">
        <f>((L1445+L1450)/(L1455+L1457))*100</f>
        <v>0</v>
      </c>
      <c r="M1442" s="279">
        <f>((M1445+M1450)/(M1455+M1457))*100</f>
        <v>0</v>
      </c>
      <c r="N1442" s="279">
        <f>((N1445+N1450)/(N1455+N1457))*100</f>
        <v>0</v>
      </c>
      <c r="Q1442" s="279">
        <f>((Q1445+Q1450)/(Q1455+Q1457))*100</f>
        <v>2.237373660999018</v>
      </c>
      <c r="R1442" s="279">
        <f>((R1445+R1450)/(R1455+R1457))*100</f>
        <v>1.2267189399644112</v>
      </c>
      <c r="S1442" s="279">
        <f>((S1445+S1450)/(S1455+S1457))*100</f>
        <v>1.6251309876090592</v>
      </c>
      <c r="T1442" s="279">
        <f>((T1445+T1450)/(T1455+T1457))*100</f>
        <v>1.0204342504739652</v>
      </c>
      <c r="V1442" s="279">
        <f>((V1445+V1450)/(V1455+V1457))*100</f>
        <v>1.1503123891751785</v>
      </c>
      <c r="W1442" s="279">
        <f>((W1445+W1450)/(W1455+W1457))*100</f>
        <v>0.86802751118397259</v>
      </c>
      <c r="Y1442" s="279">
        <f>((Y1445+Y1450)/(Y1455+Y1457))*100</f>
        <v>0.38606033199321893</v>
      </c>
      <c r="Z1442" s="279">
        <f>((Z1445+Z1450)/(Z1455+Z1457))*100</f>
        <v>0.50232489698247895</v>
      </c>
      <c r="AB1442" s="279">
        <f>((AB1445+AB1450)/(AB1455+AB1457))*100</f>
        <v>1.1658594578613735</v>
      </c>
      <c r="AC1442" s="279">
        <f>((AC1445+AC1450)/(AC1455+AC1457))*100</f>
        <v>1.1305829286781095</v>
      </c>
      <c r="AE1442" s="279">
        <f>((AE1445+AE1450)/(AE1455+AE1457))*100</f>
        <v>3.8050214630101347</v>
      </c>
      <c r="AF1442" s="279">
        <f>((AF1445+AF1450)/(AF1455+AF1457))*100</f>
        <v>2.1317518742939017</v>
      </c>
      <c r="AH1442" s="279">
        <f>((AH1445+AH1450)/(AH1455+AH1457))*100</f>
        <v>0</v>
      </c>
      <c r="AI1442" s="279">
        <f>((AI1445+AI1450)/(AI1455+AI1457))*100</f>
        <v>0</v>
      </c>
      <c r="AK1442" s="279">
        <f>((AK1445+AK1450)/(AK1455+AK1457))*100</f>
        <v>1.4119848779493835</v>
      </c>
      <c r="AL1442" s="279">
        <f>((AL1445+AL1450)/(AL1455+AL1457))*100</f>
        <v>0.89247702728908729</v>
      </c>
      <c r="AN1442" s="279">
        <f>((AN1445+AN1450)/(AN1455+AN1457))*100</f>
        <v>2.2791143461700254</v>
      </c>
      <c r="AO1442" s="279">
        <f>((AO1445+AO1450)/(AO1455+AO1457))*100</f>
        <v>0.49043082465738252</v>
      </c>
      <c r="AQ1442" s="279">
        <f>((AQ1445+AQ1450)/(AQ1455+AQ1457))*100</f>
        <v>7.7162611012495871E-2</v>
      </c>
      <c r="AR1442" s="279">
        <f>((AR1445+AR1450)/(AR1455+AR1457))*100</f>
        <v>0</v>
      </c>
      <c r="AT1442" s="279">
        <f>((AT1445+AT1450)/(AT1455+AT1457))*100</f>
        <v>4.0768514419638953</v>
      </c>
      <c r="AU1442" s="279">
        <f>((AU1445+AU1450)/(AU1455+AU1457))*100</f>
        <v>1.9956575505675482</v>
      </c>
      <c r="AW1442" s="279">
        <f>((AW1445+AW1450)/(AW1455+AW1457))*100</f>
        <v>4.7865476932843887</v>
      </c>
      <c r="AX1442" s="279">
        <f>((AX1445+AX1450)/(AX1455+AX1457))*100</f>
        <v>0.661167542191896</v>
      </c>
      <c r="AZ1442" s="279">
        <f>((AZ1445+AZ1450)/(AZ1455+AZ1457))*100</f>
        <v>3.6105835074121737</v>
      </c>
      <c r="BA1442" s="279">
        <f>((BA1445+BA1450)/(BA1455+BA1457))*100</f>
        <v>2.5959253046606574</v>
      </c>
      <c r="BC1442" s="279">
        <f>((BC1445+BC1450)/(BC1455+BC1457))*100</f>
        <v>2.8132594396272288</v>
      </c>
      <c r="BD1442" s="279">
        <f>((BD1445+BD1450)/(BD1455+BD1457))*100</f>
        <v>1.7060761016541679</v>
      </c>
      <c r="BF1442" s="279">
        <f>((BF1445+BF1450)/(BF1455+BF1457))*100</f>
        <v>1.3371185253070434</v>
      </c>
      <c r="BG1442" s="279">
        <f>((BG1445+BG1450)/(BG1455+BG1457))*100</f>
        <v>0.80771781243766749</v>
      </c>
      <c r="BI1442" s="279">
        <f>((BI1445+BI1450)/(BI1455+BI1457))*100</f>
        <v>3.2404032431944909</v>
      </c>
      <c r="BJ1442" s="279">
        <f>((BJ1445+BJ1450)/(BJ1455+BJ1457))*100</f>
        <v>1.7836580436498686</v>
      </c>
      <c r="BL1442" s="279">
        <f>((BL1445+BL1450)/(BL1455+BL1457))*100</f>
        <v>1.9440519188693453</v>
      </c>
      <c r="BM1442" s="279">
        <f>((BM1445+BM1450)/(BM1455+BM1457))*100</f>
        <v>1.1341970659255527</v>
      </c>
      <c r="BO1442" s="279">
        <f>((BO1445+BO1450)/(BO1455+BO1457))*100</f>
        <v>0.91188253739322378</v>
      </c>
      <c r="BP1442" s="279">
        <f>((BP1445+BP1450)/(BP1455+BP1457))*100</f>
        <v>0.42869507008533919</v>
      </c>
      <c r="BR1442" s="279">
        <f>((BR1445+BR1450)/(BR1455+BR1457))*100</f>
        <v>1.663576891162976</v>
      </c>
      <c r="BS1442" s="279">
        <f>((BS1445+BS1450)/(BS1455+BS1457))*100</f>
        <v>1.0019702362206033</v>
      </c>
      <c r="BU1442" s="279">
        <f>((BU1445+BU1450)/(BU1455+BU1457))*100</f>
        <v>1.2641063315531691</v>
      </c>
      <c r="BV1442" s="279">
        <f>((BV1445+BV1450)/(BV1455+BV1457))*100</f>
        <v>0.52914569121254351</v>
      </c>
      <c r="BX1442" s="279">
        <f>((BX1445+BX1450)/(BX1455+BX1457))*100</f>
        <v>3.9860205143745739</v>
      </c>
      <c r="BY1442" s="279">
        <f>((BY1445+BY1450)/(BY1455+BY1457))*100</f>
        <v>2.5970615392261234</v>
      </c>
      <c r="CA1442" s="279">
        <f>((CA1445+CA1450)/(CA1455+CA1457))*100</f>
        <v>2.8558923295765406</v>
      </c>
      <c r="CB1442" s="279">
        <f>((CB1445+CB1450)/(CB1455+CB1457))*100</f>
        <v>2.3824205599370445</v>
      </c>
      <c r="CD1442" s="279">
        <f>((CD1445+CD1450)/(CD1455+CD1457))*100</f>
        <v>6.298691668076116</v>
      </c>
      <c r="CE1442" s="279">
        <f>((CE1445+CE1450)/(CE1455+CE1457))*100</f>
        <v>3.6238398678167401</v>
      </c>
      <c r="CG1442" s="279">
        <f>((CG1445+CG1450)/(CG1455+CG1457))*100</f>
        <v>0.17126716277778428</v>
      </c>
      <c r="CH1442" s="279">
        <f>((CH1445+CH1450)/(CH1455+CH1457))*100</f>
        <v>0.13477406272691914</v>
      </c>
      <c r="CJ1442" s="279" t="e">
        <f>((CJ1445+CJ1450)/(CJ1455+CJ1457))*100</f>
        <v>#DIV/0!</v>
      </c>
      <c r="CK1442" s="279" t="e">
        <f>((CK1445+CK1450)/(CK1455+CK1457))*100</f>
        <v>#DIV/0!</v>
      </c>
    </row>
    <row r="1443" spans="1:89" x14ac:dyDescent="0.25">
      <c r="A1443" s="95"/>
      <c r="B1443" s="96" t="s">
        <v>1182</v>
      </c>
      <c r="C1443" s="107"/>
      <c r="D1443" s="95" t="s">
        <v>8</v>
      </c>
      <c r="E1443" s="279">
        <f t="shared" ref="E1443:J1443" si="1800">((E1445)/(E1455))*100</f>
        <v>1.2220645644395998</v>
      </c>
      <c r="F1443" s="279">
        <f t="shared" si="1800"/>
        <v>1.2452499920264057</v>
      </c>
      <c r="G1443" s="279">
        <f t="shared" si="1800"/>
        <v>1.5604752746941191</v>
      </c>
      <c r="H1443" s="279">
        <f>((H1445)/(H1455))*100</f>
        <v>1.8513603310172984</v>
      </c>
      <c r="I1443" s="279">
        <f t="shared" si="1800"/>
        <v>1.9785582308560552</v>
      </c>
      <c r="J1443" s="279">
        <f t="shared" si="1800"/>
        <v>1.8710606290674079</v>
      </c>
      <c r="K1443" s="279">
        <f>((K1445)/(K1455))*100</f>
        <v>2.2126155837190944</v>
      </c>
      <c r="L1443" s="279">
        <f>((L1445)/(L1455))*100</f>
        <v>0</v>
      </c>
      <c r="M1443" s="279">
        <f>((M1445)/(M1455))*100</f>
        <v>0</v>
      </c>
      <c r="N1443" s="279">
        <f>((N1445)/(N1455))*100</f>
        <v>0</v>
      </c>
      <c r="Q1443" s="279">
        <f>((Q1445)/(Q1455))*100</f>
        <v>2.2126155837190944</v>
      </c>
      <c r="R1443" s="279">
        <f>((R1445)/(R1455))*100</f>
        <v>1.2093124811015166</v>
      </c>
      <c r="S1443" s="279">
        <f>((S1445)/(S1455))*100</f>
        <v>1.6251309876090592</v>
      </c>
      <c r="T1443" s="279">
        <f>((T1445)/(T1455))*100</f>
        <v>1.0204342504739652</v>
      </c>
      <c r="V1443" s="279">
        <f>((V1445)/(V1455))*100</f>
        <v>1.1503123891751785</v>
      </c>
      <c r="W1443" s="279">
        <f>((W1445)/(W1455))*100</f>
        <v>0.86802751118397259</v>
      </c>
      <c r="Y1443" s="279">
        <f>((Y1445)/(Y1455))*100</f>
        <v>0.38606033199321893</v>
      </c>
      <c r="Z1443" s="279">
        <f>((Z1445)/(Z1455))*100</f>
        <v>0.50232489698247895</v>
      </c>
      <c r="AB1443" s="279">
        <f>((AB1445)/(AB1455))*100</f>
        <v>1.1658594578613735</v>
      </c>
      <c r="AC1443" s="279">
        <f>((AC1445)/(AC1455))*100</f>
        <v>1.1305829286781095</v>
      </c>
      <c r="AE1443" s="279">
        <f>((AE1445)/(AE1455))*100</f>
        <v>3.8050214630101347</v>
      </c>
      <c r="AF1443" s="279">
        <f>((AF1445)/(AF1455))*100</f>
        <v>2.1317518742939017</v>
      </c>
      <c r="AH1443" s="279">
        <f>((AH1445)/(AH1455))*100</f>
        <v>0</v>
      </c>
      <c r="AI1443" s="279">
        <f>((AI1445)/(AI1455))*100</f>
        <v>0</v>
      </c>
      <c r="AK1443" s="279">
        <f>((AK1445)/(AK1455))*100</f>
        <v>1.4119848779493835</v>
      </c>
      <c r="AL1443" s="279">
        <f>((AL1445)/(AL1455))*100</f>
        <v>0.89247702728908729</v>
      </c>
      <c r="AN1443" s="279">
        <f>((AN1445)/(AN1455))*100</f>
        <v>2.2791143461700254</v>
      </c>
      <c r="AO1443" s="279">
        <f>((AO1445)/(AO1455))*100</f>
        <v>0.49043082465738252</v>
      </c>
      <c r="AQ1443" s="279">
        <f>((AQ1445)/(AQ1455))*100</f>
        <v>7.7162611012495871E-2</v>
      </c>
      <c r="AR1443" s="279">
        <f>((AR1445)/(AR1455))*100</f>
        <v>0</v>
      </c>
      <c r="AT1443" s="279">
        <f>((AT1445)/(AT1455))*100</f>
        <v>4.0768514419638953</v>
      </c>
      <c r="AU1443" s="279">
        <f>((AU1445)/(AU1455))*100</f>
        <v>1.9956575505675482</v>
      </c>
      <c r="AW1443" s="279">
        <f>((AW1445)/(AW1455))*100</f>
        <v>4.7865476932843887</v>
      </c>
      <c r="AX1443" s="279">
        <f>((AX1445)/(AX1455))*100</f>
        <v>0.661167542191896</v>
      </c>
      <c r="AZ1443" s="279">
        <f>((AZ1445)/(AZ1455))*100</f>
        <v>3.6105835074121737</v>
      </c>
      <c r="BA1443" s="279">
        <f>((BA1445)/(BA1455))*100</f>
        <v>2.5959253046606574</v>
      </c>
      <c r="BC1443" s="279">
        <f>((BC1445)/(BC1455))*100</f>
        <v>2.8472323545913709</v>
      </c>
      <c r="BD1443" s="279">
        <f>((BD1445)/(BD1455))*100</f>
        <v>1.6339116987171782</v>
      </c>
      <c r="BF1443" s="279">
        <f>((BF1445)/(BF1455))*100</f>
        <v>1.3452893674191144</v>
      </c>
      <c r="BG1443" s="279">
        <f>((BG1445)/(BG1455))*100</f>
        <v>0.81218997637200996</v>
      </c>
      <c r="BI1443" s="279">
        <f>((BI1445)/(BI1455))*100</f>
        <v>3.1675124525487757</v>
      </c>
      <c r="BJ1443" s="279">
        <f>((BJ1445)/(BJ1455))*100</f>
        <v>1.7427609267741646</v>
      </c>
      <c r="BL1443" s="279">
        <f>((BL1445)/(BL1455))*100</f>
        <v>1.9440519188693453</v>
      </c>
      <c r="BM1443" s="279">
        <f>((BM1445)/(BM1455))*100</f>
        <v>1.1341970659255527</v>
      </c>
      <c r="BO1443" s="279">
        <f>((BO1445)/(BO1455))*100</f>
        <v>0.91188253739322378</v>
      </c>
      <c r="BP1443" s="279">
        <f>((BP1445)/(BP1455))*100</f>
        <v>0.42869507008533919</v>
      </c>
      <c r="BR1443" s="279">
        <f>((BR1445)/(BR1455))*100</f>
        <v>1.663576891162976</v>
      </c>
      <c r="BS1443" s="279">
        <f>((BS1445)/(BS1455))*100</f>
        <v>1.0019702362206033</v>
      </c>
      <c r="BU1443" s="279">
        <f>((BU1445)/(BU1455))*100</f>
        <v>1.2641063315531691</v>
      </c>
      <c r="BV1443" s="279">
        <f>((BV1445)/(BV1455))*100</f>
        <v>0.52914569121254351</v>
      </c>
      <c r="BX1443" s="279">
        <f>((BX1445)/(BX1455))*100</f>
        <v>3.9860205143745739</v>
      </c>
      <c r="BY1443" s="279">
        <f>((BY1445)/(BY1455))*100</f>
        <v>2.5970615392261234</v>
      </c>
      <c r="CA1443" s="279">
        <f>((CA1445)/(CA1455))*100</f>
        <v>2.8558923295765406</v>
      </c>
      <c r="CB1443" s="279">
        <f>((CB1445)/(CB1455))*100</f>
        <v>2.3824205599370445</v>
      </c>
      <c r="CD1443" s="279">
        <f>((CD1445)/(CD1455))*100</f>
        <v>5.8980151553872764</v>
      </c>
      <c r="CE1443" s="279">
        <f>((CE1445)/(CE1455))*100</f>
        <v>3.4763591835014691</v>
      </c>
      <c r="CG1443" s="279">
        <f>((CG1445)/(CG1455))*100</f>
        <v>0.17126716277778428</v>
      </c>
      <c r="CH1443" s="279">
        <f>((CH1445)/(CH1455))*100</f>
        <v>0.13477406272691914</v>
      </c>
      <c r="CJ1443" s="279" t="e">
        <f>((CJ1445)/(CJ1455))*100</f>
        <v>#DIV/0!</v>
      </c>
      <c r="CK1443" s="279" t="e">
        <f>((CK1445)/(CK1455))*100</f>
        <v>#DIV/0!</v>
      </c>
    </row>
    <row r="1444" spans="1:89" x14ac:dyDescent="0.25">
      <c r="A1444" s="95"/>
      <c r="B1444" s="96" t="s">
        <v>1184</v>
      </c>
      <c r="C1444" s="107"/>
      <c r="D1444" s="95" t="s">
        <v>8</v>
      </c>
      <c r="E1444" s="279">
        <f t="shared" ref="E1444:J1444" si="1801">((E1450)/(E1457))*100</f>
        <v>18.256773755199106</v>
      </c>
      <c r="F1444" s="279">
        <f t="shared" si="1801"/>
        <v>21.812230692741132</v>
      </c>
      <c r="G1444" s="279">
        <f t="shared" si="1801"/>
        <v>17.225994655945872</v>
      </c>
      <c r="H1444" s="279">
        <f t="shared" si="1801"/>
        <v>8.1036111148769265</v>
      </c>
      <c r="I1444" s="279">
        <f>((I1450)/(I1457))*100</f>
        <v>5.665510735933271</v>
      </c>
      <c r="J1444" s="279">
        <f t="shared" si="1801"/>
        <v>9.6229073052069651</v>
      </c>
      <c r="K1444" s="279">
        <f>((K1450)/(K1457))*100</f>
        <v>8.9313277357223306</v>
      </c>
      <c r="L1444" s="279" t="e">
        <f>((L1450)/(L1457))*100</f>
        <v>#DIV/0!</v>
      </c>
      <c r="M1444" s="279" t="e">
        <f>((M1450)/(M1457))*100</f>
        <v>#DIV/0!</v>
      </c>
      <c r="N1444" s="279" t="e">
        <f>((N1450)/(N1457))*100</f>
        <v>#DIV/0!</v>
      </c>
      <c r="Q1444" s="279">
        <f>((Q1450)/(Q1457))*100</f>
        <v>8.9313277357223306</v>
      </c>
      <c r="R1444" s="279">
        <f>((R1450)/(R1457))*100</f>
        <v>6.1609330027117259</v>
      </c>
      <c r="S1444" s="279" t="e">
        <f>((S1450)/(S1457))*100</f>
        <v>#DIV/0!</v>
      </c>
      <c r="T1444" s="279" t="e">
        <f>((T1450)/(T1457))*100</f>
        <v>#DIV/0!</v>
      </c>
      <c r="V1444" s="279" t="e">
        <f>((V1450)/(V1457))*100</f>
        <v>#DIV/0!</v>
      </c>
      <c r="W1444" s="279" t="e">
        <f>((W1450)/(W1457))*100</f>
        <v>#DIV/0!</v>
      </c>
      <c r="Y1444" s="279" t="e">
        <f>((Y1450)/(Y1457))*100</f>
        <v>#DIV/0!</v>
      </c>
      <c r="Z1444" s="279" t="e">
        <f>((Z1450)/(Z1457))*100</f>
        <v>#DIV/0!</v>
      </c>
      <c r="AB1444" s="279" t="e">
        <f>((AB1450)/(AB1457))*100</f>
        <v>#DIV/0!</v>
      </c>
      <c r="AC1444" s="279" t="e">
        <f>((AC1450)/(AC1457))*100</f>
        <v>#DIV/0!</v>
      </c>
      <c r="AE1444" s="279" t="e">
        <f>((AE1450)/(AE1457))*100</f>
        <v>#DIV/0!</v>
      </c>
      <c r="AF1444" s="279" t="e">
        <f>((AF1450)/(AF1457))*100</f>
        <v>#DIV/0!</v>
      </c>
      <c r="AH1444" s="279" t="e">
        <f>((AH1450)/(AH1457))*100</f>
        <v>#DIV/0!</v>
      </c>
      <c r="AI1444" s="279" t="e">
        <f>((AI1450)/(AI1457))*100</f>
        <v>#DIV/0!</v>
      </c>
      <c r="AK1444" s="279" t="e">
        <f>((AK1450)/(AK1457))*100</f>
        <v>#DIV/0!</v>
      </c>
      <c r="AL1444" s="279" t="e">
        <f>((AL1450)/(AL1457))*100</f>
        <v>#DIV/0!</v>
      </c>
      <c r="AN1444" s="279" t="e">
        <f>((AN1450)/(AN1457))*100</f>
        <v>#DIV/0!</v>
      </c>
      <c r="AO1444" s="279" t="e">
        <f>((AO1450)/(AO1457))*100</f>
        <v>#DIV/0!</v>
      </c>
      <c r="AQ1444" s="279" t="e">
        <f>((AQ1450)/(AQ1457))*100</f>
        <v>#DIV/0!</v>
      </c>
      <c r="AR1444" s="279" t="e">
        <f>((AR1450)/(AR1457))*100</f>
        <v>#DIV/0!</v>
      </c>
      <c r="AT1444" s="279" t="e">
        <f>((AT1450)/(AT1457))*100</f>
        <v>#DIV/0!</v>
      </c>
      <c r="AU1444" s="279" t="e">
        <f>((AU1450)/(AU1457))*100</f>
        <v>#DIV/0!</v>
      </c>
      <c r="AW1444" s="279" t="e">
        <f>((AW1450)/(AW1457))*100</f>
        <v>#DIV/0!</v>
      </c>
      <c r="AX1444" s="279" t="e">
        <f>((AX1450)/(AX1457))*100</f>
        <v>#DIV/0!</v>
      </c>
      <c r="AZ1444" s="279" t="e">
        <f>((AZ1450)/(AZ1457))*100</f>
        <v>#DIV/0!</v>
      </c>
      <c r="BA1444" s="279" t="e">
        <f>((BA1450)/(BA1457))*100</f>
        <v>#DIV/0!</v>
      </c>
      <c r="BC1444" s="279">
        <f>((BC1450)/(BC1457))*100</f>
        <v>0</v>
      </c>
      <c r="BD1444" s="279">
        <f>((BD1450)/(BD1457))*100</f>
        <v>7.2887520984890877</v>
      </c>
      <c r="BF1444" s="279">
        <f>((BF1450)/(BF1457))*100</f>
        <v>0</v>
      </c>
      <c r="BG1444" s="279">
        <f>((BG1450)/(BG1457))*100</f>
        <v>0</v>
      </c>
      <c r="BI1444" s="279">
        <f>((BI1450)/(BI1457))*100</f>
        <v>11.066912891682755</v>
      </c>
      <c r="BJ1444" s="279">
        <f>((BJ1450)/(BJ1457))*100</f>
        <v>6.6416799608084514</v>
      </c>
      <c r="BL1444" s="279" t="e">
        <f>((BL1450)/(BL1457))*100</f>
        <v>#DIV/0!</v>
      </c>
      <c r="BM1444" s="279" t="e">
        <f>((BM1450)/(BM1457))*100</f>
        <v>#DIV/0!</v>
      </c>
      <c r="BO1444" s="279" t="e">
        <f>((BO1450)/(BO1457))*100</f>
        <v>#DIV/0!</v>
      </c>
      <c r="BP1444" s="279" t="e">
        <f>((BP1450)/(BP1457))*100</f>
        <v>#DIV/0!</v>
      </c>
      <c r="BR1444" s="279" t="e">
        <f>((BR1450)/(BR1457))*100</f>
        <v>#DIV/0!</v>
      </c>
      <c r="BS1444" s="279" t="e">
        <f>((BS1450)/(BS1457))*100</f>
        <v>#DIV/0!</v>
      </c>
      <c r="BU1444" s="279" t="e">
        <f>((BU1450)/(BU1457))*100</f>
        <v>#DIV/0!</v>
      </c>
      <c r="BV1444" s="279" t="e">
        <f>((BV1450)/(BV1457))*100</f>
        <v>#DIV/0!</v>
      </c>
      <c r="BX1444" s="279" t="e">
        <f>((BX1450)/(BX1457))*100</f>
        <v>#DIV/0!</v>
      </c>
      <c r="BY1444" s="279" t="e">
        <f>((BY1450)/(BY1457))*100</f>
        <v>#DIV/0!</v>
      </c>
      <c r="CA1444" s="279" t="e">
        <f>((CA1450)/(CA1457))*100</f>
        <v>#DIV/0!</v>
      </c>
      <c r="CB1444" s="279" t="e">
        <f>((CB1450)/(CB1457))*100</f>
        <v>#DIV/0!</v>
      </c>
      <c r="CD1444" s="279">
        <f>((CD1450)/(CD1457))*100</f>
        <v>26.255325697029146</v>
      </c>
      <c r="CE1444" s="279">
        <f>((CE1450)/(CE1457))*100</f>
        <v>10.825228029222323</v>
      </c>
      <c r="CG1444" s="279" t="e">
        <f>((CG1450)/(CG1457))*100</f>
        <v>#DIV/0!</v>
      </c>
      <c r="CH1444" s="279" t="e">
        <f>((CH1450)/(CH1457))*100</f>
        <v>#DIV/0!</v>
      </c>
      <c r="CJ1444" s="279" t="e">
        <f>((CJ1450)/(CJ1457))*100</f>
        <v>#DIV/0!</v>
      </c>
      <c r="CK1444" s="279" t="e">
        <f>((CK1450)/(CK1457))*100</f>
        <v>#DIV/0!</v>
      </c>
    </row>
    <row r="1445" spans="1:89" ht="45" x14ac:dyDescent="0.25">
      <c r="A1445" s="107"/>
      <c r="B1445" s="16" t="s">
        <v>282</v>
      </c>
      <c r="C1445" s="95" t="s">
        <v>283</v>
      </c>
      <c r="D1445" s="95" t="s">
        <v>1114</v>
      </c>
      <c r="E1445" s="282">
        <v>324507</v>
      </c>
      <c r="F1445" s="282">
        <v>370127</v>
      </c>
      <c r="G1445" s="282">
        <v>474721</v>
      </c>
      <c r="H1445" s="322">
        <f>H1446+H1447+H1448+H1449</f>
        <v>584596.6</v>
      </c>
      <c r="I1445" s="322">
        <f>I1446+I1447+I1448+I1449</f>
        <v>651056.20000000007</v>
      </c>
      <c r="J1445" s="322">
        <f>J1446+J1447+J1448+J1449</f>
        <v>671669.9</v>
      </c>
      <c r="K1445" s="322">
        <f>K1446+K1447+K1448+K1449</f>
        <v>842588.8</v>
      </c>
      <c r="L1445" s="322">
        <f>L1446+L1447+L1448+L1449</f>
        <v>0</v>
      </c>
      <c r="M1445" s="322">
        <f t="shared" ref="M1445:N1445" si="1802">M1446+M1447+M1448+M1449</f>
        <v>0</v>
      </c>
      <c r="N1445" s="322">
        <f t="shared" si="1802"/>
        <v>0</v>
      </c>
      <c r="Q1445" s="322">
        <f>Q1446+Q1447+Q1448+Q1449</f>
        <v>842588.80000000016</v>
      </c>
      <c r="R1445" s="322">
        <f>R1446+R1447+R1448+R1449</f>
        <v>502248.9</v>
      </c>
      <c r="S1445" s="322">
        <f>S1446+S1447+S1448+S1449</f>
        <v>14512.8</v>
      </c>
      <c r="T1445" s="322">
        <f>T1446+T1447+T1448+T1449</f>
        <v>10417.700000000001</v>
      </c>
      <c r="V1445" s="322">
        <f>V1446+V1447+V1448+V1449</f>
        <v>10509.3</v>
      </c>
      <c r="W1445" s="322">
        <f>W1446+W1447+W1448+W1449</f>
        <v>8345.2000000000007</v>
      </c>
      <c r="Y1445" s="322">
        <f>Y1446+Y1447+Y1448+Y1449</f>
        <v>4674.1000000000004</v>
      </c>
      <c r="Z1445" s="322">
        <f>Z1446+Z1447+Z1448+Z1449</f>
        <v>6568</v>
      </c>
      <c r="AB1445" s="322">
        <f>AB1446+AB1447+AB1448+AB1449</f>
        <v>13928.2</v>
      </c>
      <c r="AC1445" s="322">
        <f>AC1446+AC1447+AC1448+AC1449</f>
        <v>14310.8</v>
      </c>
      <c r="AE1445" s="322">
        <f>AE1446+AE1447+AE1448+AE1449</f>
        <v>49043.5</v>
      </c>
      <c r="AF1445" s="322">
        <f>AF1446+AF1447+AF1448+AF1449</f>
        <v>30301.9</v>
      </c>
      <c r="AH1445" s="322">
        <f>AH1446+AH1447+AH1448+AH1449</f>
        <v>0</v>
      </c>
      <c r="AI1445" s="322">
        <f>AI1446+AI1447+AI1448+AI1449</f>
        <v>0</v>
      </c>
      <c r="AK1445" s="322">
        <f>AK1446+AK1447+AK1448+AK1449</f>
        <v>14274.800000000001</v>
      </c>
      <c r="AL1445" s="322">
        <f>AL1446+AL1447+AL1448+AL1449</f>
        <v>9471.2999999999993</v>
      </c>
      <c r="AN1445" s="322">
        <f>AN1446+AN1447+AN1448+AN1449</f>
        <v>63519.4</v>
      </c>
      <c r="AO1445" s="322">
        <f>AO1446+AO1447+AO1448+AO1449</f>
        <v>14850.7</v>
      </c>
      <c r="AQ1445" s="322">
        <f>AQ1446+AQ1447+AQ1448+AQ1449</f>
        <v>877.4</v>
      </c>
      <c r="AR1445" s="322">
        <f>AR1446+AR1447+AR1448+AR1449</f>
        <v>0</v>
      </c>
      <c r="AT1445" s="322">
        <f>AT1446+AT1447+AT1448+AT1449</f>
        <v>82609.2</v>
      </c>
      <c r="AU1445" s="322">
        <f>AU1446+AU1447+AU1448+AU1449</f>
        <v>42386.1</v>
      </c>
      <c r="AW1445" s="322">
        <f>AW1446+AW1447+AW1448+AW1449</f>
        <v>37818.699999999997</v>
      </c>
      <c r="AX1445" s="322">
        <f>AX1446+AX1447+AX1448+AX1449</f>
        <v>5517.5</v>
      </c>
      <c r="AZ1445" s="322">
        <f>AZ1446+AZ1447+AZ1448+AZ1449</f>
        <v>44567.4</v>
      </c>
      <c r="BA1445" s="322">
        <f>BA1446+BA1447+BA1448+BA1449</f>
        <v>35623.599999999999</v>
      </c>
      <c r="BC1445" s="322">
        <f>BC1446+BC1447+BC1448+BC1449</f>
        <v>65001.599999999999</v>
      </c>
      <c r="BD1445" s="322">
        <f>BD1446+BD1447+BD1448+BD1449</f>
        <v>39754.400000000001</v>
      </c>
      <c r="BF1445" s="322">
        <f>BF1446+BF1447+BF1448+BF1449</f>
        <v>61971.799999999996</v>
      </c>
      <c r="BG1445" s="322">
        <f>BG1446+BG1447+BG1448+BG1449</f>
        <v>41425.899999999994</v>
      </c>
      <c r="BI1445" s="322">
        <f>BI1446+BI1447+BI1448+BI1449</f>
        <v>218794.7</v>
      </c>
      <c r="BJ1445" s="322">
        <f>BJ1446+BJ1447+BJ1448+BJ1449</f>
        <v>131842.9</v>
      </c>
      <c r="BL1445" s="322">
        <f>BL1446+BL1447+BL1448+BL1449</f>
        <v>15455.1</v>
      </c>
      <c r="BM1445" s="322">
        <f>BM1446+BM1447+BM1448+BM1449</f>
        <v>9571.7000000000007</v>
      </c>
      <c r="BO1445" s="322">
        <f>BO1446+BO1447+BO1448+BO1449</f>
        <v>6492</v>
      </c>
      <c r="BP1445" s="322">
        <f>BP1446+BP1447+BP1448+BP1449</f>
        <v>3270.6</v>
      </c>
      <c r="BR1445" s="322">
        <f>BR1446+BR1447+BR1448+BR1449</f>
        <v>19174.7</v>
      </c>
      <c r="BS1445" s="322">
        <f>BS1446+BS1447+BS1448+BS1449</f>
        <v>12057.8</v>
      </c>
      <c r="BU1445" s="322">
        <f>BU1446+BU1447+BU1448+BU1449</f>
        <v>14715.300000000001</v>
      </c>
      <c r="BV1445" s="322">
        <f>BV1446+BV1447+BV1448+BV1449</f>
        <v>6620.8</v>
      </c>
      <c r="BX1445" s="322">
        <f>BX1446+BX1447+BX1448+BX1449</f>
        <v>13705.8</v>
      </c>
      <c r="BY1445" s="322">
        <f>BY1446+BY1447+BY1448+BY1449</f>
        <v>9928.7999999999993</v>
      </c>
      <c r="CA1445" s="322">
        <f>CA1446+CA1447+CA1448+CA1449</f>
        <v>25656.300000000003</v>
      </c>
      <c r="CB1445" s="322">
        <f>CB1446+CB1447+CB1448+CB1449</f>
        <v>27137.8</v>
      </c>
      <c r="CD1445" s="322">
        <f>CD1446+CD1447+CD1448+CD1449</f>
        <v>61089.5</v>
      </c>
      <c r="CE1445" s="322">
        <f>CE1446+CE1447+CE1448+CE1449</f>
        <v>39267.899999999994</v>
      </c>
      <c r="CG1445" s="322">
        <f>CG1446+CG1447+CG1448+CG1449</f>
        <v>4197.2</v>
      </c>
      <c r="CH1445" s="322">
        <f>CH1446+CH1447+CH1448+CH1449</f>
        <v>3577.5</v>
      </c>
      <c r="CJ1445" s="322">
        <f>CJ1446+CJ1447+CJ1448+CJ1449</f>
        <v>0</v>
      </c>
      <c r="CK1445" s="322">
        <f>CK1446+CK1447+CK1448+CK1449</f>
        <v>0</v>
      </c>
    </row>
    <row r="1446" spans="1:89" ht="30" x14ac:dyDescent="0.25">
      <c r="A1446" s="107"/>
      <c r="B1446" s="312"/>
      <c r="C1446" s="312" t="s">
        <v>2760</v>
      </c>
      <c r="D1446" s="95"/>
      <c r="E1446" s="282"/>
      <c r="F1446" s="282"/>
      <c r="G1446" s="282"/>
      <c r="H1446" s="322">
        <v>66881.3</v>
      </c>
      <c r="I1446" s="322">
        <v>84354.9</v>
      </c>
      <c r="J1446" s="322">
        <v>82305.3</v>
      </c>
      <c r="K1446" s="322">
        <v>126909.8</v>
      </c>
      <c r="L1446" s="322">
        <v>0</v>
      </c>
      <c r="M1446" s="322">
        <v>0</v>
      </c>
      <c r="N1446" s="322">
        <v>0</v>
      </c>
      <c r="O1446" s="299"/>
      <c r="P1446" s="299"/>
      <c r="Q1446" s="299">
        <f t="shared" ref="Q1446:R1449" si="1803">S1446+V1446+Y1446+AB1446+AE1446+AH1446+AK1446+AN1446+AQ1446+AT1446+AW1446+AZ1446+BC1446+BF1446+BI1446+BL1446+BO1446+BR1446+BU1446+BX1446+CA1446+CD1446+CG1446+CJ1446</f>
        <v>126909.79999999999</v>
      </c>
      <c r="R1446" s="299">
        <f t="shared" si="1803"/>
        <v>109311.90000000001</v>
      </c>
      <c r="S1446" s="299">
        <v>153.80000000000001</v>
      </c>
      <c r="T1446" s="299">
        <v>78.099999999999994</v>
      </c>
      <c r="U1446" s="299"/>
      <c r="V1446" s="299">
        <v>2067.3000000000002</v>
      </c>
      <c r="W1446" s="299">
        <v>2227.5</v>
      </c>
      <c r="X1446" s="299"/>
      <c r="Y1446" s="299">
        <v>0</v>
      </c>
      <c r="Z1446" s="299">
        <v>5100</v>
      </c>
      <c r="AA1446" s="299"/>
      <c r="AB1446" s="299">
        <v>5181.7</v>
      </c>
      <c r="AC1446" s="299">
        <v>7899.1</v>
      </c>
      <c r="AD1446" s="299"/>
      <c r="AE1446" s="299">
        <v>6000</v>
      </c>
      <c r="AF1446" s="299">
        <v>6000</v>
      </c>
      <c r="AG1446" s="299"/>
      <c r="AH1446" s="299">
        <v>0</v>
      </c>
      <c r="AI1446" s="299">
        <v>0</v>
      </c>
      <c r="AJ1446" s="299"/>
      <c r="AK1446" s="299">
        <v>483.7</v>
      </c>
      <c r="AL1446" s="299">
        <v>530</v>
      </c>
      <c r="AM1446" s="299"/>
      <c r="AN1446" s="299">
        <v>9282.6</v>
      </c>
      <c r="AO1446" s="299">
        <v>6349.2</v>
      </c>
      <c r="AP1446" s="299"/>
      <c r="AQ1446" s="299">
        <v>0</v>
      </c>
      <c r="AR1446" s="299">
        <v>0</v>
      </c>
      <c r="AS1446" s="299"/>
      <c r="AT1446" s="299">
        <v>1576.6</v>
      </c>
      <c r="AU1446" s="299">
        <v>1058</v>
      </c>
      <c r="AV1446" s="299"/>
      <c r="AW1446" s="299">
        <v>22365.1</v>
      </c>
      <c r="AX1446" s="299">
        <v>788.2</v>
      </c>
      <c r="AY1446" s="299"/>
      <c r="AZ1446" s="299">
        <v>6917</v>
      </c>
      <c r="BA1446" s="299">
        <v>14150.6</v>
      </c>
      <c r="BB1446" s="299"/>
      <c r="BC1446" s="299">
        <v>6847.2</v>
      </c>
      <c r="BD1446" s="299">
        <v>5769.8</v>
      </c>
      <c r="BE1446" s="299"/>
      <c r="BF1446" s="299">
        <v>26951.599999999999</v>
      </c>
      <c r="BG1446" s="299">
        <v>22041.3</v>
      </c>
      <c r="BH1446" s="299"/>
      <c r="BI1446" s="299">
        <v>19738.7</v>
      </c>
      <c r="BJ1446" s="299">
        <v>10803.4</v>
      </c>
      <c r="BK1446" s="299"/>
      <c r="BL1446" s="299">
        <v>6117</v>
      </c>
      <c r="BM1446" s="299">
        <v>5715.7</v>
      </c>
      <c r="BN1446" s="299"/>
      <c r="BO1446" s="299">
        <v>2857.2</v>
      </c>
      <c r="BP1446" s="299">
        <v>2331</v>
      </c>
      <c r="BQ1446" s="299"/>
      <c r="BR1446" s="299">
        <v>6398.7</v>
      </c>
      <c r="BS1446" s="299">
        <v>6432.6</v>
      </c>
      <c r="BT1446" s="299"/>
      <c r="BU1446" s="299">
        <v>925.1</v>
      </c>
      <c r="BV1446" s="299">
        <v>626.1</v>
      </c>
      <c r="BW1446" s="299"/>
      <c r="BX1446" s="299">
        <v>604.4</v>
      </c>
      <c r="BY1446" s="299">
        <v>1705</v>
      </c>
      <c r="BZ1446" s="299"/>
      <c r="CA1446" s="299">
        <v>0</v>
      </c>
      <c r="CB1446" s="299">
        <v>375</v>
      </c>
      <c r="CC1446" s="299"/>
      <c r="CD1446" s="299">
        <v>2442.1</v>
      </c>
      <c r="CE1446" s="299">
        <v>9331.2999999999993</v>
      </c>
      <c r="CF1446" s="299"/>
      <c r="CG1446" s="299">
        <v>0</v>
      </c>
      <c r="CH1446" s="299">
        <v>0</v>
      </c>
      <c r="CI1446" s="299"/>
      <c r="CJ1446" s="299">
        <v>0</v>
      </c>
      <c r="CK1446" s="299">
        <v>0</v>
      </c>
    </row>
    <row r="1447" spans="1:89" ht="30" x14ac:dyDescent="0.25">
      <c r="A1447" s="107"/>
      <c r="B1447" s="312"/>
      <c r="C1447" s="312" t="s">
        <v>2761</v>
      </c>
      <c r="D1447" s="95"/>
      <c r="E1447" s="282"/>
      <c r="F1447" s="282"/>
      <c r="G1447" s="282"/>
      <c r="H1447" s="322">
        <v>497601.8</v>
      </c>
      <c r="I1447" s="322">
        <v>541580.9</v>
      </c>
      <c r="J1447" s="322">
        <v>542525.6</v>
      </c>
      <c r="K1447" s="322">
        <v>653881.59999999998</v>
      </c>
      <c r="L1447" s="322">
        <v>0</v>
      </c>
      <c r="M1447" s="322">
        <v>0</v>
      </c>
      <c r="N1447" s="322">
        <v>0</v>
      </c>
      <c r="O1447" s="299"/>
      <c r="P1447" s="299"/>
      <c r="Q1447" s="299">
        <f t="shared" si="1803"/>
        <v>653881.60000000009</v>
      </c>
      <c r="R1447" s="299">
        <f t="shared" si="1803"/>
        <v>347303</v>
      </c>
      <c r="S1447" s="299">
        <v>14359</v>
      </c>
      <c r="T1447" s="299">
        <v>9009.4</v>
      </c>
      <c r="U1447" s="299"/>
      <c r="V1447" s="299">
        <v>8442</v>
      </c>
      <c r="W1447" s="299">
        <v>6117.7</v>
      </c>
      <c r="X1447" s="299"/>
      <c r="Y1447" s="299">
        <v>4674.1000000000004</v>
      </c>
      <c r="Z1447" s="299">
        <v>0</v>
      </c>
      <c r="AA1447" s="299"/>
      <c r="AB1447" s="299">
        <v>8746.5</v>
      </c>
      <c r="AC1447" s="299">
        <v>6411.7</v>
      </c>
      <c r="AD1447" s="299"/>
      <c r="AE1447" s="299">
        <v>43043.5</v>
      </c>
      <c r="AF1447" s="299">
        <v>24301.9</v>
      </c>
      <c r="AG1447" s="299"/>
      <c r="AH1447" s="299">
        <v>0</v>
      </c>
      <c r="AI1447" s="299">
        <v>0</v>
      </c>
      <c r="AJ1447" s="299"/>
      <c r="AK1447" s="299">
        <v>13791.1</v>
      </c>
      <c r="AL1447" s="299">
        <v>8941.2999999999993</v>
      </c>
      <c r="AM1447" s="299"/>
      <c r="AN1447" s="299">
        <v>54236.800000000003</v>
      </c>
      <c r="AO1447" s="299">
        <v>8501.5</v>
      </c>
      <c r="AP1447" s="299"/>
      <c r="AQ1447" s="299">
        <v>0</v>
      </c>
      <c r="AR1447" s="299">
        <v>0</v>
      </c>
      <c r="AS1447" s="299"/>
      <c r="AT1447" s="299">
        <v>55444.1</v>
      </c>
      <c r="AU1447" s="299">
        <v>29693.5</v>
      </c>
      <c r="AV1447" s="299"/>
      <c r="AW1447" s="299">
        <v>15213.1</v>
      </c>
      <c r="AX1447" s="299">
        <v>4307.8</v>
      </c>
      <c r="AY1447" s="299"/>
      <c r="AZ1447" s="299">
        <v>25287.3</v>
      </c>
      <c r="BA1447" s="299">
        <v>15784.4</v>
      </c>
      <c r="BB1447" s="299"/>
      <c r="BC1447" s="299">
        <v>58154.400000000001</v>
      </c>
      <c r="BD1447" s="299">
        <v>33984.6</v>
      </c>
      <c r="BE1447" s="299"/>
      <c r="BF1447" s="299">
        <v>35020.199999999997</v>
      </c>
      <c r="BG1447" s="299">
        <v>19384.599999999999</v>
      </c>
      <c r="BH1447" s="299"/>
      <c r="BI1447" s="299">
        <v>199056</v>
      </c>
      <c r="BJ1447" s="299">
        <v>121039.5</v>
      </c>
      <c r="BK1447" s="299"/>
      <c r="BL1447" s="299">
        <v>9338.1</v>
      </c>
      <c r="BM1447" s="299">
        <v>3856</v>
      </c>
      <c r="BN1447" s="299"/>
      <c r="BO1447" s="299">
        <v>3634.8</v>
      </c>
      <c r="BP1447" s="299">
        <v>939.6</v>
      </c>
      <c r="BQ1447" s="299"/>
      <c r="BR1447" s="299">
        <v>12776</v>
      </c>
      <c r="BS1447" s="299">
        <v>5625.2</v>
      </c>
      <c r="BT1447" s="299"/>
      <c r="BU1447" s="299">
        <v>13790.2</v>
      </c>
      <c r="BV1447" s="299">
        <v>5994.7</v>
      </c>
      <c r="BW1447" s="299"/>
      <c r="BX1447" s="299">
        <v>13101.4</v>
      </c>
      <c r="BY1447" s="299">
        <v>8223.7999999999993</v>
      </c>
      <c r="BZ1447" s="299"/>
      <c r="CA1447" s="299">
        <v>7125.6</v>
      </c>
      <c r="CB1447" s="299">
        <v>5249.2</v>
      </c>
      <c r="CC1447" s="299"/>
      <c r="CD1447" s="299">
        <v>58647.4</v>
      </c>
      <c r="CE1447" s="299">
        <v>29936.6</v>
      </c>
      <c r="CF1447" s="299"/>
      <c r="CG1447" s="299">
        <v>0</v>
      </c>
      <c r="CH1447" s="299">
        <v>0</v>
      </c>
      <c r="CI1447" s="299"/>
      <c r="CJ1447" s="299">
        <v>0</v>
      </c>
      <c r="CK1447" s="299">
        <v>0</v>
      </c>
    </row>
    <row r="1448" spans="1:89" ht="30" x14ac:dyDescent="0.25">
      <c r="A1448" s="107"/>
      <c r="B1448" s="312"/>
      <c r="C1448" s="312" t="s">
        <v>2762</v>
      </c>
      <c r="D1448" s="95"/>
      <c r="E1448" s="282"/>
      <c r="F1448" s="282"/>
      <c r="G1448" s="282"/>
      <c r="H1448" s="322">
        <v>20113.5</v>
      </c>
      <c r="I1448" s="322">
        <v>25120.400000000001</v>
      </c>
      <c r="J1448" s="322">
        <v>46839</v>
      </c>
      <c r="K1448" s="322">
        <v>61797.4</v>
      </c>
      <c r="L1448" s="322">
        <v>0</v>
      </c>
      <c r="M1448" s="322">
        <v>0</v>
      </c>
      <c r="N1448" s="322">
        <v>0</v>
      </c>
      <c r="O1448" s="299"/>
      <c r="P1448" s="299"/>
      <c r="Q1448" s="299">
        <f t="shared" si="1803"/>
        <v>61797.399999999994</v>
      </c>
      <c r="R1448" s="299">
        <f t="shared" si="1803"/>
        <v>45634</v>
      </c>
      <c r="S1448" s="299">
        <v>0</v>
      </c>
      <c r="T1448" s="299">
        <v>1330.2</v>
      </c>
      <c r="U1448" s="299"/>
      <c r="V1448" s="299">
        <v>0</v>
      </c>
      <c r="W1448" s="299">
        <v>0</v>
      </c>
      <c r="X1448" s="299"/>
      <c r="Y1448" s="299">
        <v>0</v>
      </c>
      <c r="Z1448" s="299">
        <v>1468</v>
      </c>
      <c r="AA1448" s="299"/>
      <c r="AB1448" s="299">
        <v>0</v>
      </c>
      <c r="AC1448" s="299">
        <v>0</v>
      </c>
      <c r="AD1448" s="299"/>
      <c r="AE1448" s="299">
        <v>0</v>
      </c>
      <c r="AF1448" s="299">
        <v>0</v>
      </c>
      <c r="AG1448" s="299"/>
      <c r="AH1448" s="299">
        <v>0</v>
      </c>
      <c r="AI1448" s="299">
        <v>0</v>
      </c>
      <c r="AJ1448" s="299"/>
      <c r="AK1448" s="299">
        <v>0</v>
      </c>
      <c r="AL1448" s="299">
        <v>0</v>
      </c>
      <c r="AM1448" s="299"/>
      <c r="AN1448" s="299">
        <v>0</v>
      </c>
      <c r="AO1448" s="299">
        <v>0</v>
      </c>
      <c r="AP1448" s="299"/>
      <c r="AQ1448" s="299">
        <v>877.4</v>
      </c>
      <c r="AR1448" s="299">
        <v>0</v>
      </c>
      <c r="AS1448" s="299"/>
      <c r="AT1448" s="299">
        <v>25588.5</v>
      </c>
      <c r="AU1448" s="299">
        <v>11634.6</v>
      </c>
      <c r="AV1448" s="299"/>
      <c r="AW1448" s="299">
        <v>240.5</v>
      </c>
      <c r="AX1448" s="299">
        <v>421.5</v>
      </c>
      <c r="AY1448" s="299"/>
      <c r="AZ1448" s="299">
        <v>12363.1</v>
      </c>
      <c r="BA1448" s="299">
        <v>5688.6</v>
      </c>
      <c r="BB1448" s="299"/>
      <c r="BC1448" s="299">
        <v>0</v>
      </c>
      <c r="BD1448" s="299">
        <v>0</v>
      </c>
      <c r="BE1448" s="299"/>
      <c r="BF1448" s="299">
        <v>0</v>
      </c>
      <c r="BG1448" s="299">
        <v>0</v>
      </c>
      <c r="BH1448" s="299"/>
      <c r="BI1448" s="299">
        <v>0</v>
      </c>
      <c r="BJ1448" s="299">
        <v>0</v>
      </c>
      <c r="BK1448" s="299"/>
      <c r="BL1448" s="299">
        <v>0</v>
      </c>
      <c r="BM1448" s="299">
        <v>0</v>
      </c>
      <c r="BN1448" s="299"/>
      <c r="BO1448" s="299">
        <v>0</v>
      </c>
      <c r="BP1448" s="299">
        <v>0</v>
      </c>
      <c r="BQ1448" s="299"/>
      <c r="BR1448" s="299">
        <v>0</v>
      </c>
      <c r="BS1448" s="299">
        <v>0</v>
      </c>
      <c r="BT1448" s="299"/>
      <c r="BU1448" s="299">
        <v>0</v>
      </c>
      <c r="BV1448" s="299">
        <v>0</v>
      </c>
      <c r="BW1448" s="299"/>
      <c r="BX1448" s="299">
        <v>0</v>
      </c>
      <c r="BY1448" s="299">
        <v>0</v>
      </c>
      <c r="BZ1448" s="299"/>
      <c r="CA1448" s="299">
        <v>18530.7</v>
      </c>
      <c r="CB1448" s="299">
        <v>21513.599999999999</v>
      </c>
      <c r="CC1448" s="299"/>
      <c r="CD1448" s="299">
        <v>0</v>
      </c>
      <c r="CE1448" s="299">
        <v>0</v>
      </c>
      <c r="CF1448" s="299"/>
      <c r="CG1448" s="299">
        <v>4197.2</v>
      </c>
      <c r="CH1448" s="299">
        <v>3577.5</v>
      </c>
      <c r="CI1448" s="299"/>
      <c r="CJ1448" s="299">
        <v>0</v>
      </c>
      <c r="CK1448" s="299">
        <v>0</v>
      </c>
    </row>
    <row r="1449" spans="1:89" ht="30" x14ac:dyDescent="0.25">
      <c r="A1449" s="107"/>
      <c r="B1449" s="312"/>
      <c r="C1449" s="312" t="s">
        <v>2763</v>
      </c>
      <c r="D1449" s="95"/>
      <c r="E1449" s="282"/>
      <c r="F1449" s="282"/>
      <c r="G1449" s="282"/>
      <c r="H1449" s="322">
        <v>0</v>
      </c>
      <c r="I1449" s="322">
        <v>0</v>
      </c>
      <c r="J1449" s="322">
        <v>0</v>
      </c>
      <c r="K1449" s="322">
        <v>0</v>
      </c>
      <c r="L1449" s="322">
        <v>0</v>
      </c>
      <c r="M1449" s="322">
        <v>0</v>
      </c>
      <c r="N1449" s="322">
        <v>0</v>
      </c>
      <c r="O1449" s="299"/>
      <c r="P1449" s="299"/>
      <c r="Q1449" s="299">
        <f t="shared" si="1803"/>
        <v>0</v>
      </c>
      <c r="R1449" s="299">
        <f t="shared" si="1803"/>
        <v>0</v>
      </c>
      <c r="S1449" s="326">
        <v>0</v>
      </c>
      <c r="T1449" s="299"/>
      <c r="U1449" s="299"/>
      <c r="V1449" s="326">
        <v>0</v>
      </c>
      <c r="W1449" s="299"/>
      <c r="X1449" s="299"/>
      <c r="Y1449" s="326">
        <v>0</v>
      </c>
      <c r="Z1449" s="299"/>
      <c r="AA1449" s="299"/>
      <c r="AB1449" s="326">
        <v>0</v>
      </c>
      <c r="AC1449" s="299"/>
      <c r="AD1449" s="299"/>
      <c r="AE1449" s="326">
        <v>0</v>
      </c>
      <c r="AF1449" s="299"/>
      <c r="AG1449" s="299"/>
      <c r="AH1449" s="326">
        <v>0</v>
      </c>
      <c r="AI1449" s="299"/>
      <c r="AJ1449" s="299"/>
      <c r="AK1449" s="326">
        <v>0</v>
      </c>
      <c r="AL1449" s="299"/>
      <c r="AM1449" s="299"/>
      <c r="AN1449" s="326">
        <v>0</v>
      </c>
      <c r="AO1449" s="299"/>
      <c r="AP1449" s="299"/>
      <c r="AQ1449" s="326">
        <v>0</v>
      </c>
      <c r="AR1449" s="299"/>
      <c r="AS1449" s="299"/>
      <c r="AT1449" s="326">
        <v>0</v>
      </c>
      <c r="AU1449" s="299"/>
      <c r="AV1449" s="299"/>
      <c r="AW1449" s="326">
        <v>0</v>
      </c>
      <c r="AX1449" s="299"/>
      <c r="AY1449" s="299"/>
      <c r="AZ1449" s="326">
        <v>0</v>
      </c>
      <c r="BA1449" s="299"/>
      <c r="BB1449" s="299"/>
      <c r="BC1449" s="326">
        <v>0</v>
      </c>
      <c r="BD1449" s="299"/>
      <c r="BE1449" s="299"/>
      <c r="BF1449" s="326">
        <v>0</v>
      </c>
      <c r="BG1449" s="299"/>
      <c r="BH1449" s="299"/>
      <c r="BI1449" s="326">
        <v>0</v>
      </c>
      <c r="BJ1449" s="299"/>
      <c r="BK1449" s="299"/>
      <c r="BL1449" s="326">
        <v>0</v>
      </c>
      <c r="BM1449" s="299"/>
      <c r="BN1449" s="299"/>
      <c r="BO1449" s="326">
        <v>0</v>
      </c>
      <c r="BP1449" s="299"/>
      <c r="BQ1449" s="299"/>
      <c r="BR1449" s="326">
        <v>0</v>
      </c>
      <c r="BS1449" s="299"/>
      <c r="BT1449" s="299"/>
      <c r="BU1449" s="326">
        <v>0</v>
      </c>
      <c r="BV1449" s="299"/>
      <c r="BW1449" s="299"/>
      <c r="BX1449" s="326">
        <v>0</v>
      </c>
      <c r="BY1449" s="299"/>
      <c r="BZ1449" s="299"/>
      <c r="CA1449" s="326">
        <v>0</v>
      </c>
      <c r="CB1449" s="299"/>
      <c r="CC1449" s="299"/>
      <c r="CD1449" s="326">
        <v>0</v>
      </c>
      <c r="CE1449" s="299"/>
      <c r="CF1449" s="299"/>
      <c r="CG1449" s="326">
        <v>0</v>
      </c>
      <c r="CH1449" s="299"/>
      <c r="CI1449" s="299"/>
      <c r="CJ1449" s="326">
        <v>0</v>
      </c>
      <c r="CK1449" s="326">
        <v>0</v>
      </c>
    </row>
    <row r="1450" spans="1:89" ht="45" x14ac:dyDescent="0.25">
      <c r="A1450" s="107"/>
      <c r="B1450" s="16" t="s">
        <v>284</v>
      </c>
      <c r="C1450" s="95" t="s">
        <v>285</v>
      </c>
      <c r="D1450" s="95" t="s">
        <v>1114</v>
      </c>
      <c r="E1450" s="282">
        <v>19884</v>
      </c>
      <c r="F1450" s="282">
        <v>26323</v>
      </c>
      <c r="G1450" s="282">
        <v>21081</v>
      </c>
      <c r="H1450" s="322">
        <f>H1451+H1452+H1453+H1454</f>
        <v>8966.2000000000007</v>
      </c>
      <c r="I1450" s="322">
        <f>I1451+I1452+I1453+I1454</f>
        <v>6771.9000000000005</v>
      </c>
      <c r="J1450" s="322">
        <f>J1451+J1452+J1453+J1454</f>
        <v>13101.8</v>
      </c>
      <c r="K1450" s="322">
        <f>K1451+K1452+K1453+K1454</f>
        <v>12579.400000000001</v>
      </c>
      <c r="L1450" s="322">
        <f>L1451+L1452+L1453+L1454</f>
        <v>0</v>
      </c>
      <c r="M1450" s="322">
        <f t="shared" ref="M1450:N1450" si="1804">M1451+M1452+M1453+M1454</f>
        <v>0</v>
      </c>
      <c r="N1450" s="322">
        <f t="shared" si="1804"/>
        <v>0</v>
      </c>
      <c r="Q1450" s="322">
        <f>Q1451+Q1452+Q1453+Q1454</f>
        <v>12579.400000000001</v>
      </c>
      <c r="R1450" s="322">
        <f>R1451+R1452+R1453+R1454</f>
        <v>9026.5</v>
      </c>
      <c r="S1450" s="322">
        <f>S1451+S1452+S1453+S1454</f>
        <v>0</v>
      </c>
      <c r="T1450" s="322">
        <f>T1451+T1452+T1453+T1454</f>
        <v>0</v>
      </c>
      <c r="U1450" s="299"/>
      <c r="V1450" s="322">
        <f>V1451+V1452+V1453+V1454</f>
        <v>0</v>
      </c>
      <c r="W1450" s="322">
        <f>W1451+W1452+W1453+W1454</f>
        <v>0</v>
      </c>
      <c r="X1450" s="299"/>
      <c r="Y1450" s="322">
        <f>Y1451+Y1452+Y1453+Y1454</f>
        <v>0</v>
      </c>
      <c r="Z1450" s="322">
        <f>Z1451+Z1452+Z1453+Z1454</f>
        <v>0</v>
      </c>
      <c r="AA1450" s="299"/>
      <c r="AB1450" s="322">
        <f>AB1451+AB1452+AB1453+AB1454</f>
        <v>0</v>
      </c>
      <c r="AC1450" s="322">
        <f>AC1451+AC1452+AC1453+AC1454</f>
        <v>0</v>
      </c>
      <c r="AD1450" s="299"/>
      <c r="AE1450" s="322">
        <f>AE1451+AE1452+AE1453+AE1454</f>
        <v>0</v>
      </c>
      <c r="AF1450" s="322">
        <f>AF1451+AF1452+AF1453+AF1454</f>
        <v>0</v>
      </c>
      <c r="AG1450" s="299"/>
      <c r="AH1450" s="322">
        <f>AH1451+AH1452+AH1453+AH1454</f>
        <v>0</v>
      </c>
      <c r="AI1450" s="322">
        <f>AI1451+AI1452+AI1453+AI1454</f>
        <v>0</v>
      </c>
      <c r="AJ1450" s="299"/>
      <c r="AK1450" s="322">
        <f>AK1451+AK1452+AK1453+AK1454</f>
        <v>0</v>
      </c>
      <c r="AL1450" s="322">
        <f>AL1451+AL1452+AL1453+AL1454</f>
        <v>0</v>
      </c>
      <c r="AM1450" s="299"/>
      <c r="AN1450" s="322">
        <f>AN1451+AN1452+AN1453+AN1454</f>
        <v>0</v>
      </c>
      <c r="AO1450" s="322">
        <f>AO1451+AO1452+AO1453+AO1454</f>
        <v>0</v>
      </c>
      <c r="AP1450" s="299"/>
      <c r="AQ1450" s="322">
        <f>AQ1451+AQ1452+AQ1453+AQ1454</f>
        <v>0</v>
      </c>
      <c r="AR1450" s="322">
        <f>AR1451+AR1452+AR1453+AR1454</f>
        <v>0</v>
      </c>
      <c r="AS1450" s="299"/>
      <c r="AT1450" s="322">
        <f>AT1451+AT1452+AT1453+AT1454</f>
        <v>0</v>
      </c>
      <c r="AU1450" s="322">
        <f>AU1451+AU1452+AU1453+AU1454</f>
        <v>0</v>
      </c>
      <c r="AV1450" s="299"/>
      <c r="AW1450" s="322">
        <f>AW1451+AW1452+AW1453+AW1454</f>
        <v>0</v>
      </c>
      <c r="AX1450" s="322">
        <f>AX1451+AX1452+AX1453+AX1454</f>
        <v>0</v>
      </c>
      <c r="AY1450" s="299"/>
      <c r="AZ1450" s="322">
        <f>AZ1451+AZ1452+AZ1453+AZ1454</f>
        <v>0</v>
      </c>
      <c r="BA1450" s="322">
        <f>BA1451+BA1452+BA1453+BA1454</f>
        <v>0</v>
      </c>
      <c r="BB1450" s="299"/>
      <c r="BC1450" s="322">
        <f>BC1451+BC1452+BC1453+BC1454</f>
        <v>0</v>
      </c>
      <c r="BD1450" s="322">
        <f>BD1451+BD1452+BD1453+BD1454</f>
        <v>2292.4</v>
      </c>
      <c r="BE1450" s="299"/>
      <c r="BF1450" s="322">
        <f>BF1451+BF1452+BF1453+BF1454</f>
        <v>0</v>
      </c>
      <c r="BG1450" s="322">
        <f>BG1451+BG1452+BG1453+BG1454</f>
        <v>0</v>
      </c>
      <c r="BH1450" s="299"/>
      <c r="BI1450" s="322">
        <f>BI1451+BI1452+BI1453+BI1454</f>
        <v>7119.5</v>
      </c>
      <c r="BJ1450" s="322">
        <f>BJ1451+BJ1452+BJ1453+BJ1454</f>
        <v>4229.8999999999996</v>
      </c>
      <c r="BK1450" s="299"/>
      <c r="BL1450" s="322">
        <f>BL1451+BL1452+BL1453+BL1454</f>
        <v>0</v>
      </c>
      <c r="BM1450" s="322">
        <f>BM1451+BM1452+BM1453+BM1454</f>
        <v>0</v>
      </c>
      <c r="BN1450" s="299"/>
      <c r="BO1450" s="322">
        <f>BO1451+BO1452+BO1453+BO1454</f>
        <v>0</v>
      </c>
      <c r="BP1450" s="322">
        <f>BP1451+BP1452+BP1453+BP1454</f>
        <v>0</v>
      </c>
      <c r="BQ1450" s="299"/>
      <c r="BR1450" s="322">
        <f>BR1451+BR1452+BR1453+BR1454</f>
        <v>0</v>
      </c>
      <c r="BS1450" s="322">
        <f>BS1451+BS1452+BS1453+BS1454</f>
        <v>0</v>
      </c>
      <c r="BT1450" s="299"/>
      <c r="BU1450" s="322">
        <f>BU1451+BU1452+BU1453+BU1454</f>
        <v>0</v>
      </c>
      <c r="BV1450" s="322">
        <f>BV1451+BV1452+BV1453+BV1454</f>
        <v>0</v>
      </c>
      <c r="BW1450" s="299"/>
      <c r="BX1450" s="322">
        <f>BX1451+BX1452+BX1453+BX1454</f>
        <v>0</v>
      </c>
      <c r="BY1450" s="322">
        <f>BY1451+BY1452+BY1453+BY1454</f>
        <v>0</v>
      </c>
      <c r="BZ1450" s="299"/>
      <c r="CA1450" s="322">
        <f>CA1451+CA1452+CA1453+CA1454</f>
        <v>0</v>
      </c>
      <c r="CB1450" s="322">
        <f>CB1451+CB1452+CB1453+CB1454</f>
        <v>0</v>
      </c>
      <c r="CC1450" s="299"/>
      <c r="CD1450" s="322">
        <f>CD1451+CD1452+CD1453+CD1454</f>
        <v>5459.9</v>
      </c>
      <c r="CE1450" s="322">
        <f>CE1451+CE1452+CE1453+CE1454</f>
        <v>2504.1999999999998</v>
      </c>
      <c r="CF1450" s="299"/>
      <c r="CG1450" s="322">
        <f>CG1451+CG1452+CG1453+CG1454</f>
        <v>0</v>
      </c>
      <c r="CH1450" s="322">
        <f>CH1451+CH1452+CH1453+CH1454</f>
        <v>0</v>
      </c>
      <c r="CI1450" s="299"/>
      <c r="CJ1450" s="322">
        <f>CJ1451+CJ1452+CJ1453+CJ1454</f>
        <v>0</v>
      </c>
      <c r="CK1450" s="322">
        <f>CK1451+CK1452+CK1453+CK1454</f>
        <v>0</v>
      </c>
    </row>
    <row r="1451" spans="1:89" ht="30" x14ac:dyDescent="0.25">
      <c r="A1451" s="107"/>
      <c r="B1451" s="312"/>
      <c r="C1451" s="312" t="s">
        <v>2760</v>
      </c>
      <c r="D1451" s="95"/>
      <c r="E1451" s="282"/>
      <c r="F1451" s="282"/>
      <c r="G1451" s="282"/>
      <c r="H1451" s="322">
        <v>5175</v>
      </c>
      <c r="I1451" s="322">
        <v>2327.3000000000002</v>
      </c>
      <c r="J1451" s="322">
        <v>8481.5</v>
      </c>
      <c r="K1451" s="322">
        <v>7829.1</v>
      </c>
      <c r="L1451" s="322">
        <v>0</v>
      </c>
      <c r="M1451" s="322">
        <v>0</v>
      </c>
      <c r="N1451" s="322">
        <v>0</v>
      </c>
      <c r="P1451" s="299"/>
      <c r="Q1451" s="299">
        <f t="shared" ref="Q1451:R1454" si="1805">S1451+V1451+Y1451+AB1451+AE1451+AH1451+AK1451+AN1451+AQ1451+AT1451+AW1451+AZ1451+BC1451+BF1451+BI1451+BL1451+BO1451+BR1451+BU1451+BX1451+CA1451+CD1451+CG1451+CJ1451</f>
        <v>7829.1</v>
      </c>
      <c r="R1451" s="299">
        <f t="shared" si="1805"/>
        <v>3146.5</v>
      </c>
      <c r="S1451" s="299">
        <v>0</v>
      </c>
      <c r="T1451" s="299">
        <v>0</v>
      </c>
      <c r="U1451" s="299"/>
      <c r="V1451" s="299">
        <v>0</v>
      </c>
      <c r="W1451" s="299">
        <v>0</v>
      </c>
      <c r="X1451" s="299"/>
      <c r="Y1451" s="299">
        <v>0</v>
      </c>
      <c r="Z1451" s="299">
        <v>0</v>
      </c>
      <c r="AA1451" s="299"/>
      <c r="AB1451" s="299">
        <v>0</v>
      </c>
      <c r="AC1451" s="299">
        <v>0</v>
      </c>
      <c r="AD1451" s="299"/>
      <c r="AE1451" s="299">
        <v>0</v>
      </c>
      <c r="AF1451" s="299">
        <v>0</v>
      </c>
      <c r="AG1451" s="299"/>
      <c r="AH1451" s="299">
        <v>0</v>
      </c>
      <c r="AI1451" s="299">
        <v>0</v>
      </c>
      <c r="AJ1451" s="299"/>
      <c r="AK1451" s="299">
        <v>0</v>
      </c>
      <c r="AL1451" s="299">
        <v>0</v>
      </c>
      <c r="AM1451" s="299"/>
      <c r="AN1451" s="299">
        <v>0</v>
      </c>
      <c r="AO1451" s="299">
        <v>0</v>
      </c>
      <c r="AP1451" s="299"/>
      <c r="AQ1451" s="299">
        <v>0</v>
      </c>
      <c r="AR1451" s="299">
        <v>0</v>
      </c>
      <c r="AS1451" s="299"/>
      <c r="AT1451" s="299">
        <v>0</v>
      </c>
      <c r="AU1451" s="299">
        <v>0</v>
      </c>
      <c r="AV1451" s="299"/>
      <c r="AW1451" s="299">
        <v>0</v>
      </c>
      <c r="AX1451" s="299">
        <v>0</v>
      </c>
      <c r="AY1451" s="299"/>
      <c r="AZ1451" s="299">
        <v>0</v>
      </c>
      <c r="BA1451" s="299">
        <v>0</v>
      </c>
      <c r="BB1451" s="299"/>
      <c r="BC1451" s="299">
        <v>0</v>
      </c>
      <c r="BD1451" s="326">
        <v>0</v>
      </c>
      <c r="BE1451" s="299"/>
      <c r="BF1451" s="299">
        <v>0</v>
      </c>
      <c r="BG1451" s="326">
        <v>0</v>
      </c>
      <c r="BH1451" s="299"/>
      <c r="BI1451" s="299">
        <v>3643.4</v>
      </c>
      <c r="BJ1451" s="299">
        <v>1099.5</v>
      </c>
      <c r="BK1451" s="299"/>
      <c r="BL1451" s="299">
        <v>0</v>
      </c>
      <c r="BM1451" s="299">
        <v>0</v>
      </c>
      <c r="BN1451" s="299"/>
      <c r="BO1451" s="299">
        <v>0</v>
      </c>
      <c r="BP1451" s="299">
        <v>0</v>
      </c>
      <c r="BQ1451" s="299"/>
      <c r="BR1451" s="299">
        <v>0</v>
      </c>
      <c r="BS1451" s="299">
        <v>0</v>
      </c>
      <c r="BT1451" s="299"/>
      <c r="BU1451" s="299">
        <v>0</v>
      </c>
      <c r="BV1451" s="299">
        <v>0</v>
      </c>
      <c r="BW1451" s="299"/>
      <c r="BX1451" s="299">
        <v>0</v>
      </c>
      <c r="BY1451" s="299">
        <v>0</v>
      </c>
      <c r="BZ1451" s="299"/>
      <c r="CA1451" s="299">
        <v>0</v>
      </c>
      <c r="CB1451" s="299">
        <v>0</v>
      </c>
      <c r="CC1451" s="299"/>
      <c r="CD1451" s="299">
        <v>4185.7</v>
      </c>
      <c r="CE1451" s="299">
        <v>2047</v>
      </c>
      <c r="CF1451" s="299"/>
      <c r="CG1451" s="299">
        <v>0</v>
      </c>
      <c r="CH1451" s="299">
        <v>0</v>
      </c>
      <c r="CI1451" s="299"/>
      <c r="CJ1451" s="299">
        <v>0</v>
      </c>
      <c r="CK1451" s="299">
        <v>0</v>
      </c>
    </row>
    <row r="1452" spans="1:89" ht="30" x14ac:dyDescent="0.25">
      <c r="A1452" s="107"/>
      <c r="B1452" s="312"/>
      <c r="C1452" s="312" t="s">
        <v>2761</v>
      </c>
      <c r="D1452" s="95"/>
      <c r="E1452" s="282"/>
      <c r="F1452" s="282"/>
      <c r="G1452" s="282"/>
      <c r="H1452" s="322">
        <v>3182.2</v>
      </c>
      <c r="I1452" s="322">
        <v>3403.4</v>
      </c>
      <c r="J1452" s="322">
        <v>4522.5</v>
      </c>
      <c r="K1452" s="322">
        <v>4750.3</v>
      </c>
      <c r="L1452" s="322">
        <v>0</v>
      </c>
      <c r="M1452" s="322">
        <v>0</v>
      </c>
      <c r="N1452" s="322">
        <v>0</v>
      </c>
      <c r="P1452" s="299"/>
      <c r="Q1452" s="299">
        <f t="shared" si="1805"/>
        <v>4750.3</v>
      </c>
      <c r="R1452" s="299">
        <f t="shared" si="1805"/>
        <v>5880</v>
      </c>
      <c r="S1452" s="299">
        <v>0</v>
      </c>
      <c r="T1452" s="299">
        <v>0</v>
      </c>
      <c r="U1452" s="299"/>
      <c r="V1452" s="299">
        <v>0</v>
      </c>
      <c r="W1452" s="299">
        <v>0</v>
      </c>
      <c r="X1452" s="299"/>
      <c r="Y1452" s="299">
        <v>0</v>
      </c>
      <c r="Z1452" s="299">
        <v>0</v>
      </c>
      <c r="AA1452" s="299"/>
      <c r="AB1452" s="299">
        <v>0</v>
      </c>
      <c r="AC1452" s="299">
        <v>0</v>
      </c>
      <c r="AD1452" s="299"/>
      <c r="AE1452" s="299">
        <v>0</v>
      </c>
      <c r="AF1452" s="299">
        <v>0</v>
      </c>
      <c r="AG1452" s="299"/>
      <c r="AH1452" s="299">
        <v>0</v>
      </c>
      <c r="AI1452" s="299">
        <v>0</v>
      </c>
      <c r="AJ1452" s="299"/>
      <c r="AK1452" s="299">
        <v>0</v>
      </c>
      <c r="AL1452" s="299">
        <v>0</v>
      </c>
      <c r="AM1452" s="299"/>
      <c r="AN1452" s="299">
        <v>0</v>
      </c>
      <c r="AO1452" s="299">
        <v>0</v>
      </c>
      <c r="AP1452" s="299"/>
      <c r="AQ1452" s="299">
        <v>0</v>
      </c>
      <c r="AR1452" s="299">
        <v>0</v>
      </c>
      <c r="AS1452" s="299"/>
      <c r="AT1452" s="299">
        <v>0</v>
      </c>
      <c r="AU1452" s="299">
        <v>0</v>
      </c>
      <c r="AV1452" s="299"/>
      <c r="AW1452" s="299">
        <v>0</v>
      </c>
      <c r="AX1452" s="299">
        <v>0</v>
      </c>
      <c r="AY1452" s="299"/>
      <c r="AZ1452" s="299">
        <v>0</v>
      </c>
      <c r="BA1452" s="299">
        <v>0</v>
      </c>
      <c r="BB1452" s="299"/>
      <c r="BC1452" s="299">
        <v>0</v>
      </c>
      <c r="BD1452" s="326">
        <v>2292.4</v>
      </c>
      <c r="BE1452" s="299"/>
      <c r="BF1452" s="299">
        <v>0</v>
      </c>
      <c r="BG1452" s="326">
        <v>0</v>
      </c>
      <c r="BH1452" s="299"/>
      <c r="BI1452" s="299">
        <v>3476.1</v>
      </c>
      <c r="BJ1452" s="299">
        <v>3130.4</v>
      </c>
      <c r="BK1452" s="299"/>
      <c r="BL1452" s="299">
        <v>0</v>
      </c>
      <c r="BM1452" s="299">
        <v>0</v>
      </c>
      <c r="BN1452" s="299"/>
      <c r="BO1452" s="299">
        <v>0</v>
      </c>
      <c r="BP1452" s="299">
        <v>0</v>
      </c>
      <c r="BQ1452" s="299"/>
      <c r="BR1452" s="299">
        <v>0</v>
      </c>
      <c r="BS1452" s="299">
        <v>0</v>
      </c>
      <c r="BT1452" s="299"/>
      <c r="BU1452" s="299">
        <v>0</v>
      </c>
      <c r="BV1452" s="299">
        <v>0</v>
      </c>
      <c r="BW1452" s="299"/>
      <c r="BX1452" s="299">
        <v>0</v>
      </c>
      <c r="BY1452" s="299">
        <v>0</v>
      </c>
      <c r="BZ1452" s="299"/>
      <c r="CA1452" s="299">
        <v>0</v>
      </c>
      <c r="CB1452" s="299">
        <v>0</v>
      </c>
      <c r="CC1452" s="299"/>
      <c r="CD1452" s="299">
        <v>1274.2</v>
      </c>
      <c r="CE1452" s="299">
        <v>457.2</v>
      </c>
      <c r="CF1452" s="299"/>
      <c r="CG1452" s="299">
        <v>0</v>
      </c>
      <c r="CH1452" s="299">
        <v>0</v>
      </c>
      <c r="CI1452" s="299"/>
      <c r="CJ1452" s="299">
        <v>0</v>
      </c>
      <c r="CK1452" s="299">
        <v>0</v>
      </c>
    </row>
    <row r="1453" spans="1:89" ht="30" x14ac:dyDescent="0.25">
      <c r="A1453" s="107"/>
      <c r="B1453" s="312"/>
      <c r="C1453" s="312" t="s">
        <v>2762</v>
      </c>
      <c r="D1453" s="95"/>
      <c r="E1453" s="282"/>
      <c r="F1453" s="282"/>
      <c r="G1453" s="282"/>
      <c r="H1453" s="322">
        <v>609</v>
      </c>
      <c r="I1453" s="322">
        <v>1041.2</v>
      </c>
      <c r="J1453" s="322">
        <v>97.8</v>
      </c>
      <c r="K1453" s="322">
        <v>0</v>
      </c>
      <c r="L1453" s="322">
        <v>0</v>
      </c>
      <c r="M1453" s="322">
        <v>0</v>
      </c>
      <c r="N1453" s="322">
        <v>0</v>
      </c>
      <c r="P1453" s="299"/>
      <c r="Q1453" s="299">
        <f t="shared" si="1805"/>
        <v>0</v>
      </c>
      <c r="R1453" s="299">
        <f t="shared" si="1805"/>
        <v>0</v>
      </c>
      <c r="S1453" s="299">
        <v>0</v>
      </c>
      <c r="T1453" s="299">
        <v>0</v>
      </c>
      <c r="U1453" s="299"/>
      <c r="V1453" s="299">
        <v>0</v>
      </c>
      <c r="W1453" s="299">
        <v>0</v>
      </c>
      <c r="X1453" s="299"/>
      <c r="Y1453" s="299">
        <v>0</v>
      </c>
      <c r="Z1453" s="299">
        <v>0</v>
      </c>
      <c r="AA1453" s="299"/>
      <c r="AB1453" s="299">
        <v>0</v>
      </c>
      <c r="AC1453" s="299">
        <v>0</v>
      </c>
      <c r="AD1453" s="299"/>
      <c r="AE1453" s="299">
        <v>0</v>
      </c>
      <c r="AF1453" s="299">
        <v>0</v>
      </c>
      <c r="AG1453" s="299"/>
      <c r="AH1453" s="299">
        <v>0</v>
      </c>
      <c r="AI1453" s="299">
        <v>0</v>
      </c>
      <c r="AJ1453" s="299"/>
      <c r="AK1453" s="299">
        <v>0</v>
      </c>
      <c r="AL1453" s="299">
        <v>0</v>
      </c>
      <c r="AM1453" s="299"/>
      <c r="AN1453" s="299">
        <v>0</v>
      </c>
      <c r="AO1453" s="299">
        <v>0</v>
      </c>
      <c r="AP1453" s="299"/>
      <c r="AQ1453" s="299">
        <v>0</v>
      </c>
      <c r="AR1453" s="299">
        <v>0</v>
      </c>
      <c r="AS1453" s="299"/>
      <c r="AT1453" s="299">
        <v>0</v>
      </c>
      <c r="AU1453" s="299">
        <v>0</v>
      </c>
      <c r="AV1453" s="299"/>
      <c r="AW1453" s="299">
        <v>0</v>
      </c>
      <c r="AX1453" s="299">
        <v>0</v>
      </c>
      <c r="AY1453" s="299"/>
      <c r="AZ1453" s="299">
        <v>0</v>
      </c>
      <c r="BA1453" s="299">
        <v>0</v>
      </c>
      <c r="BB1453" s="299"/>
      <c r="BC1453" s="299">
        <v>0</v>
      </c>
      <c r="BD1453" s="326">
        <v>0</v>
      </c>
      <c r="BE1453" s="299"/>
      <c r="BF1453" s="299">
        <v>0</v>
      </c>
      <c r="BG1453" s="326">
        <v>0</v>
      </c>
      <c r="BH1453" s="299"/>
      <c r="BI1453" s="326">
        <v>0</v>
      </c>
      <c r="BJ1453" s="326">
        <v>0</v>
      </c>
      <c r="BK1453" s="299"/>
      <c r="BL1453" s="299">
        <v>0</v>
      </c>
      <c r="BM1453" s="299">
        <v>0</v>
      </c>
      <c r="BN1453" s="299"/>
      <c r="BO1453" s="299">
        <v>0</v>
      </c>
      <c r="BP1453" s="299">
        <v>0</v>
      </c>
      <c r="BQ1453" s="299"/>
      <c r="BR1453" s="299">
        <v>0</v>
      </c>
      <c r="BS1453" s="299">
        <v>0</v>
      </c>
      <c r="BT1453" s="299"/>
      <c r="BU1453" s="299">
        <v>0</v>
      </c>
      <c r="BV1453" s="299">
        <v>0</v>
      </c>
      <c r="BW1453" s="299"/>
      <c r="BX1453" s="299">
        <v>0</v>
      </c>
      <c r="BY1453" s="299">
        <v>0</v>
      </c>
      <c r="BZ1453" s="299"/>
      <c r="CA1453" s="299">
        <v>0</v>
      </c>
      <c r="CB1453" s="299">
        <v>0</v>
      </c>
      <c r="CC1453" s="299"/>
      <c r="CD1453" s="299">
        <v>0</v>
      </c>
      <c r="CE1453" s="299">
        <v>0</v>
      </c>
      <c r="CF1453" s="299"/>
      <c r="CG1453" s="299">
        <v>0</v>
      </c>
      <c r="CH1453" s="299">
        <v>0</v>
      </c>
      <c r="CI1453" s="299"/>
      <c r="CJ1453" s="299">
        <v>0</v>
      </c>
      <c r="CK1453" s="299">
        <v>0</v>
      </c>
    </row>
    <row r="1454" spans="1:89" ht="30" x14ac:dyDescent="0.25">
      <c r="A1454" s="107"/>
      <c r="B1454" s="312"/>
      <c r="C1454" s="312" t="s">
        <v>2763</v>
      </c>
      <c r="D1454" s="95"/>
      <c r="E1454" s="282"/>
      <c r="F1454" s="282"/>
      <c r="G1454" s="282"/>
      <c r="H1454" s="322">
        <v>0</v>
      </c>
      <c r="I1454" s="322">
        <v>0</v>
      </c>
      <c r="J1454" s="322">
        <v>0</v>
      </c>
      <c r="K1454" s="322">
        <v>0</v>
      </c>
      <c r="L1454" s="322">
        <v>0</v>
      </c>
      <c r="M1454" s="322">
        <v>0</v>
      </c>
      <c r="N1454" s="322">
        <v>0</v>
      </c>
      <c r="P1454" s="299"/>
      <c r="Q1454" s="299">
        <f t="shared" si="1805"/>
        <v>0</v>
      </c>
      <c r="R1454" s="299">
        <f t="shared" si="1805"/>
        <v>0</v>
      </c>
      <c r="S1454" s="299">
        <v>0</v>
      </c>
      <c r="T1454" s="299">
        <v>0</v>
      </c>
      <c r="U1454" s="299"/>
      <c r="V1454" s="299">
        <v>0</v>
      </c>
      <c r="W1454" s="299">
        <v>0</v>
      </c>
      <c r="X1454" s="299"/>
      <c r="Y1454" s="299">
        <v>0</v>
      </c>
      <c r="Z1454" s="299">
        <v>0</v>
      </c>
      <c r="AA1454" s="299"/>
      <c r="AB1454" s="299">
        <v>0</v>
      </c>
      <c r="AC1454" s="299">
        <v>0</v>
      </c>
      <c r="AD1454" s="299"/>
      <c r="AE1454" s="299">
        <v>0</v>
      </c>
      <c r="AF1454" s="299">
        <v>0</v>
      </c>
      <c r="AG1454" s="299"/>
      <c r="AH1454" s="299">
        <v>0</v>
      </c>
      <c r="AI1454" s="299">
        <v>0</v>
      </c>
      <c r="AJ1454" s="299"/>
      <c r="AK1454" s="299">
        <v>0</v>
      </c>
      <c r="AL1454" s="299">
        <v>0</v>
      </c>
      <c r="AM1454" s="299"/>
      <c r="AN1454" s="299">
        <v>0</v>
      </c>
      <c r="AO1454" s="299">
        <v>0</v>
      </c>
      <c r="AP1454" s="299"/>
      <c r="AQ1454" s="299">
        <v>0</v>
      </c>
      <c r="AR1454" s="299">
        <v>0</v>
      </c>
      <c r="AS1454" s="299"/>
      <c r="AT1454" s="299">
        <v>0</v>
      </c>
      <c r="AU1454" s="299">
        <v>0</v>
      </c>
      <c r="AV1454" s="299"/>
      <c r="AW1454" s="299">
        <v>0</v>
      </c>
      <c r="AX1454" s="299">
        <v>0</v>
      </c>
      <c r="AY1454" s="299"/>
      <c r="AZ1454" s="299">
        <v>0</v>
      </c>
      <c r="BA1454" s="299">
        <v>0</v>
      </c>
      <c r="BB1454" s="299"/>
      <c r="BC1454" s="299">
        <v>0</v>
      </c>
      <c r="BD1454" s="326">
        <v>0</v>
      </c>
      <c r="BE1454" s="299"/>
      <c r="BF1454" s="299">
        <v>0</v>
      </c>
      <c r="BG1454" s="326">
        <v>0</v>
      </c>
      <c r="BH1454" s="299"/>
      <c r="BI1454" s="326">
        <v>0</v>
      </c>
      <c r="BJ1454" s="326">
        <v>0</v>
      </c>
      <c r="BK1454" s="299"/>
      <c r="BL1454" s="299">
        <v>0</v>
      </c>
      <c r="BM1454" s="299">
        <v>0</v>
      </c>
      <c r="BN1454" s="299"/>
      <c r="BO1454" s="299">
        <v>0</v>
      </c>
      <c r="BP1454" s="299">
        <v>0</v>
      </c>
      <c r="BQ1454" s="299"/>
      <c r="BR1454" s="299">
        <v>0</v>
      </c>
      <c r="BS1454" s="299">
        <v>0</v>
      </c>
      <c r="BT1454" s="299"/>
      <c r="BU1454" s="299">
        <v>0</v>
      </c>
      <c r="BV1454" s="299">
        <v>0</v>
      </c>
      <c r="BW1454" s="299"/>
      <c r="BX1454" s="299">
        <v>0</v>
      </c>
      <c r="BY1454" s="299">
        <v>0</v>
      </c>
      <c r="BZ1454" s="299"/>
      <c r="CA1454" s="299">
        <v>0</v>
      </c>
      <c r="CB1454" s="299">
        <v>0</v>
      </c>
      <c r="CC1454" s="299"/>
      <c r="CD1454" s="299">
        <v>0</v>
      </c>
      <c r="CE1454" s="299">
        <v>0</v>
      </c>
      <c r="CF1454" s="299"/>
      <c r="CG1454" s="299">
        <v>0</v>
      </c>
      <c r="CH1454" s="299">
        <v>0</v>
      </c>
      <c r="CI1454" s="299"/>
      <c r="CJ1454" s="299">
        <v>0</v>
      </c>
      <c r="CK1454" s="299">
        <v>0</v>
      </c>
    </row>
    <row r="1455" spans="1:89" ht="75" x14ac:dyDescent="0.25">
      <c r="A1455" s="107"/>
      <c r="B1455" s="16" t="s">
        <v>286</v>
      </c>
      <c r="C1455" s="95" t="s">
        <v>272</v>
      </c>
      <c r="D1455" s="95" t="s">
        <v>1114</v>
      </c>
      <c r="E1455" s="282">
        <v>26553998</v>
      </c>
      <c r="F1455" s="282">
        <v>29723108</v>
      </c>
      <c r="G1455" s="282">
        <v>30421565</v>
      </c>
      <c r="H1455" s="322">
        <f>H1456</f>
        <v>31576597.5</v>
      </c>
      <c r="I1455" s="322">
        <f>I1456</f>
        <v>32905587</v>
      </c>
      <c r="J1455" s="322">
        <f>J1456</f>
        <v>35897815.899999999</v>
      </c>
      <c r="K1455" s="322">
        <f>K1456</f>
        <v>38081120.200000003</v>
      </c>
      <c r="L1455" s="322">
        <f>L1456</f>
        <v>1371413.9</v>
      </c>
      <c r="M1455" s="322">
        <f t="shared" ref="M1455:N1455" si="1806">M1456</f>
        <v>1482851</v>
      </c>
      <c r="N1455" s="322">
        <f t="shared" si="1806"/>
        <v>1605733.8</v>
      </c>
      <c r="O1455" s="281" t="s">
        <v>140</v>
      </c>
      <c r="Q1455" s="322">
        <f>Q1456</f>
        <v>38081120.20000001</v>
      </c>
      <c r="R1455" s="322">
        <f>R1456</f>
        <v>41531771.800000004</v>
      </c>
      <c r="S1455" s="322">
        <f>S1456</f>
        <v>893023.4</v>
      </c>
      <c r="T1455" s="322">
        <f>T1456</f>
        <v>1020908.5</v>
      </c>
      <c r="V1455" s="322">
        <f>V1456</f>
        <v>913604</v>
      </c>
      <c r="W1455" s="322">
        <f>W1456</f>
        <v>961398.1</v>
      </c>
      <c r="Y1455" s="322">
        <f>Y1456</f>
        <v>1210717.5</v>
      </c>
      <c r="Z1455" s="322">
        <f>Z1456</f>
        <v>1307520.3</v>
      </c>
      <c r="AB1455" s="322">
        <f>AB1456</f>
        <v>1194672.3</v>
      </c>
      <c r="AC1455" s="322">
        <f>AC1456</f>
        <v>1265789.5</v>
      </c>
      <c r="AE1455" s="322">
        <f>AE1456</f>
        <v>1288915.2</v>
      </c>
      <c r="AF1455" s="322">
        <f>AF1456</f>
        <v>1421455.3</v>
      </c>
      <c r="AH1455" s="322">
        <f>AH1456</f>
        <v>1245059.8</v>
      </c>
      <c r="AI1455" s="322">
        <f>AI1456</f>
        <v>1371413.9</v>
      </c>
      <c r="AK1455" s="322">
        <f>AK1456</f>
        <v>1010974</v>
      </c>
      <c r="AL1455" s="322">
        <f>AL1456</f>
        <v>1061237.3999999999</v>
      </c>
      <c r="AN1455" s="322">
        <f>AN1456</f>
        <v>2787021.2</v>
      </c>
      <c r="AO1455" s="322">
        <f>AO1456</f>
        <v>3028092.7</v>
      </c>
      <c r="AQ1455" s="322">
        <f>AQ1456</f>
        <v>1137079.2</v>
      </c>
      <c r="AR1455" s="322">
        <f>AR1456</f>
        <v>1297589.6000000001</v>
      </c>
      <c r="AT1455" s="322">
        <f>AT1456</f>
        <v>2026299</v>
      </c>
      <c r="AU1455" s="322">
        <f>AU1456</f>
        <v>2123916.5</v>
      </c>
      <c r="AW1455" s="322">
        <f>AW1456</f>
        <v>790103.9</v>
      </c>
      <c r="AX1455" s="322">
        <f>AX1456</f>
        <v>834508.6</v>
      </c>
      <c r="AZ1455" s="322">
        <f>AZ1456</f>
        <v>1234354.5</v>
      </c>
      <c r="BA1455" s="322">
        <f>BA1456</f>
        <v>1372289.1</v>
      </c>
      <c r="BC1455" s="322">
        <f>BC1456</f>
        <v>2282974.9</v>
      </c>
      <c r="BD1455" s="322">
        <f>BD1456</f>
        <v>2433081.2999999998</v>
      </c>
      <c r="BF1455" s="322">
        <f>BF1456</f>
        <v>4606577.7</v>
      </c>
      <c r="BG1455" s="322">
        <f>BG1456</f>
        <v>5100518.5</v>
      </c>
      <c r="BI1455" s="322">
        <f>BI1456</f>
        <v>6907461.4000000004</v>
      </c>
      <c r="BJ1455" s="322">
        <f>BJ1456</f>
        <v>7565174.2000000002</v>
      </c>
      <c r="BL1455" s="322">
        <f>BL1456</f>
        <v>794994.2</v>
      </c>
      <c r="BM1455" s="322">
        <f>BM1456</f>
        <v>843918.6</v>
      </c>
      <c r="BO1455" s="322">
        <f>BO1456</f>
        <v>711933.8</v>
      </c>
      <c r="BP1455" s="322">
        <f>BP1456</f>
        <v>762919.9</v>
      </c>
      <c r="BR1455" s="322">
        <f>BR1456</f>
        <v>1152618.8</v>
      </c>
      <c r="BS1455" s="322">
        <f>BS1456</f>
        <v>1203409</v>
      </c>
      <c r="BU1455" s="322">
        <f>BU1456</f>
        <v>1164087.2</v>
      </c>
      <c r="BV1455" s="322">
        <f>BV1456</f>
        <v>1251224.3999999999</v>
      </c>
      <c r="BX1455" s="322">
        <f>BX1456</f>
        <v>343846.7</v>
      </c>
      <c r="BY1455" s="322">
        <f>BY1456</f>
        <v>382309</v>
      </c>
      <c r="CA1455" s="322">
        <f>CA1456</f>
        <v>898363.7</v>
      </c>
      <c r="CB1455" s="322">
        <f>CB1456</f>
        <v>1139085.2</v>
      </c>
      <c r="CD1455" s="322">
        <f>CD1456</f>
        <v>1035763.7</v>
      </c>
      <c r="CE1455" s="322">
        <f>CE1456</f>
        <v>1129569.7</v>
      </c>
      <c r="CG1455" s="322">
        <f>CG1456</f>
        <v>2450674.1</v>
      </c>
      <c r="CH1455" s="322">
        <f>CH1456</f>
        <v>2654442.5</v>
      </c>
      <c r="CJ1455" s="322">
        <f>CJ1456</f>
        <v>0</v>
      </c>
      <c r="CK1455" s="322">
        <f>CK1456</f>
        <v>0</v>
      </c>
    </row>
    <row r="1456" spans="1:89" ht="30" x14ac:dyDescent="0.25">
      <c r="A1456" s="107"/>
      <c r="B1456" s="312"/>
      <c r="C1456" s="312" t="s">
        <v>1520</v>
      </c>
      <c r="D1456" s="95"/>
      <c r="E1456" s="282"/>
      <c r="F1456" s="282"/>
      <c r="G1456" s="282"/>
      <c r="H1456" s="322">
        <v>31576597.5</v>
      </c>
      <c r="I1456" s="322">
        <v>32905587</v>
      </c>
      <c r="J1456" s="322">
        <f>J1408</f>
        <v>35897815.899999999</v>
      </c>
      <c r="K1456" s="322">
        <f>K1408</f>
        <v>38081120.200000003</v>
      </c>
      <c r="L1456" s="322">
        <f>L1408</f>
        <v>1371413.9</v>
      </c>
      <c r="M1456" s="322">
        <f>M1408</f>
        <v>1482851</v>
      </c>
      <c r="N1456" s="322">
        <f>N1408</f>
        <v>1605733.8</v>
      </c>
      <c r="O1456" s="351"/>
      <c r="Q1456" s="299">
        <f>S1456+V1456+Y1456+AB1456+AE1456+AH1456+AK1456+AN1456+AQ1456+AT1456+AW1456+AZ1456+BC1456+BF1456+BI1456+BL1456+BO1456+BR1456+BU1456+BX1456+CA1456+CD1456+CG1456+CJ1456</f>
        <v>38081120.20000001</v>
      </c>
      <c r="R1456" s="299">
        <f>T1456+W1456+Z1456+AC1456+AF1456+AI1456+AL1456+AO1456+AR1456+AU1456+AX1456+BA1456+BD1456+BG1456+BJ1456+BM1456+BP1456+BS1456+BV1456+BY1456+CB1456+CE1456+CH1456+CK1456</f>
        <v>41531771.800000004</v>
      </c>
      <c r="S1456" s="299">
        <f>S1408</f>
        <v>893023.4</v>
      </c>
      <c r="T1456" s="299">
        <f>T1408</f>
        <v>1020908.5</v>
      </c>
      <c r="V1456" s="299">
        <f>V1408</f>
        <v>913604</v>
      </c>
      <c r="W1456" s="299">
        <f>W1408</f>
        <v>961398.1</v>
      </c>
      <c r="Y1456" s="299">
        <f>Y1408</f>
        <v>1210717.5</v>
      </c>
      <c r="Z1456" s="299">
        <f>Z1408</f>
        <v>1307520.3</v>
      </c>
      <c r="AB1456" s="299">
        <f>AB1408</f>
        <v>1194672.3</v>
      </c>
      <c r="AC1456" s="299">
        <f>AC1408</f>
        <v>1265789.5</v>
      </c>
      <c r="AE1456" s="299">
        <f>AE1408</f>
        <v>1288915.2</v>
      </c>
      <c r="AF1456" s="299">
        <f>AF1408</f>
        <v>1421455.3</v>
      </c>
      <c r="AH1456" s="299">
        <f>AH1408</f>
        <v>1245059.8</v>
      </c>
      <c r="AI1456" s="299">
        <f>AI1408</f>
        <v>1371413.9</v>
      </c>
      <c r="AK1456" s="299">
        <f>AK1408</f>
        <v>1010974</v>
      </c>
      <c r="AL1456" s="299">
        <f>AL1408</f>
        <v>1061237.3999999999</v>
      </c>
      <c r="AN1456" s="299">
        <f>AN1408</f>
        <v>2787021.2</v>
      </c>
      <c r="AO1456" s="299">
        <f>AO1408</f>
        <v>3028092.7</v>
      </c>
      <c r="AQ1456" s="299">
        <f>AQ1408</f>
        <v>1137079.2</v>
      </c>
      <c r="AR1456" s="299">
        <f>AR1408</f>
        <v>1297589.6000000001</v>
      </c>
      <c r="AT1456" s="299">
        <f>AT1408</f>
        <v>2026299</v>
      </c>
      <c r="AU1456" s="299">
        <f>AU1408</f>
        <v>2123916.5</v>
      </c>
      <c r="AW1456" s="299">
        <f>AW1408</f>
        <v>790103.9</v>
      </c>
      <c r="AX1456" s="299">
        <f>AX1408</f>
        <v>834508.6</v>
      </c>
      <c r="AZ1456" s="299">
        <f>AZ1408</f>
        <v>1234354.5</v>
      </c>
      <c r="BA1456" s="299">
        <f>BA1408</f>
        <v>1372289.1</v>
      </c>
      <c r="BC1456" s="299">
        <f>BC1408</f>
        <v>2282974.9</v>
      </c>
      <c r="BD1456" s="299">
        <f>BD1408</f>
        <v>2433081.2999999998</v>
      </c>
      <c r="BF1456" s="299">
        <f>BF1408</f>
        <v>4606577.7</v>
      </c>
      <c r="BG1456" s="299">
        <f>BG1408</f>
        <v>5100518.5</v>
      </c>
      <c r="BI1456" s="299">
        <f>BI1408</f>
        <v>6907461.4000000004</v>
      </c>
      <c r="BJ1456" s="299">
        <f>BJ1408</f>
        <v>7565174.2000000002</v>
      </c>
      <c r="BL1456" s="299">
        <f>BL1408</f>
        <v>794994.2</v>
      </c>
      <c r="BM1456" s="299">
        <f>BM1408</f>
        <v>843918.6</v>
      </c>
      <c r="BO1456" s="299">
        <f>BO1408</f>
        <v>711933.8</v>
      </c>
      <c r="BP1456" s="299">
        <f>BP1408</f>
        <v>762919.9</v>
      </c>
      <c r="BR1456" s="299">
        <f>BR1408</f>
        <v>1152618.8</v>
      </c>
      <c r="BS1456" s="299">
        <f>BS1408</f>
        <v>1203409</v>
      </c>
      <c r="BU1456" s="299">
        <f>BU1408</f>
        <v>1164087.2</v>
      </c>
      <c r="BV1456" s="299">
        <f>BV1408</f>
        <v>1251224.3999999999</v>
      </c>
      <c r="BX1456" s="299">
        <f>BX1408</f>
        <v>343846.7</v>
      </c>
      <c r="BY1456" s="299">
        <f>BY1408</f>
        <v>382309</v>
      </c>
      <c r="CA1456" s="299">
        <f>CA1408</f>
        <v>898363.7</v>
      </c>
      <c r="CB1456" s="299">
        <f>CB1408</f>
        <v>1139085.2</v>
      </c>
      <c r="CD1456" s="299">
        <f>CD1408</f>
        <v>1035763.7</v>
      </c>
      <c r="CE1456" s="299">
        <f>CE1408</f>
        <v>1129569.7</v>
      </c>
      <c r="CG1456" s="299">
        <f>CG1408</f>
        <v>2450674.1</v>
      </c>
      <c r="CH1456" s="299">
        <f>CH1408</f>
        <v>2654442.5</v>
      </c>
      <c r="CJ1456" s="267">
        <f>CJ1408</f>
        <v>0</v>
      </c>
      <c r="CK1456" s="299">
        <f>CK1408</f>
        <v>0</v>
      </c>
    </row>
    <row r="1457" spans="1:89" ht="30" x14ac:dyDescent="0.25">
      <c r="A1457" s="107"/>
      <c r="B1457" s="16" t="s">
        <v>287</v>
      </c>
      <c r="C1457" s="95" t="s">
        <v>288</v>
      </c>
      <c r="D1457" s="95" t="s">
        <v>1114</v>
      </c>
      <c r="E1457" s="282">
        <v>108913</v>
      </c>
      <c r="F1457" s="282">
        <v>120680</v>
      </c>
      <c r="G1457" s="282">
        <v>122379</v>
      </c>
      <c r="H1457" s="322">
        <f>H1458</f>
        <v>110644.5</v>
      </c>
      <c r="I1457" s="322">
        <f>I1458</f>
        <v>119528.5</v>
      </c>
      <c r="J1457" s="322">
        <f>J1458</f>
        <v>136152.20000000001</v>
      </c>
      <c r="K1457" s="322">
        <f>K1458</f>
        <v>140845.79999999999</v>
      </c>
      <c r="L1457" s="322">
        <f>L1458</f>
        <v>0</v>
      </c>
      <c r="M1457" s="322">
        <f t="shared" ref="M1457:N1457" si="1807">M1458</f>
        <v>0</v>
      </c>
      <c r="N1457" s="322">
        <f t="shared" si="1807"/>
        <v>0</v>
      </c>
      <c r="O1457" s="351"/>
      <c r="Q1457" s="322">
        <f>Q1458</f>
        <v>140845.79999999999</v>
      </c>
      <c r="R1457" s="322">
        <f>R1458</f>
        <v>146511.9</v>
      </c>
      <c r="S1457" s="322">
        <f>S1458</f>
        <v>0</v>
      </c>
      <c r="T1457" s="322">
        <f>T1458</f>
        <v>0</v>
      </c>
      <c r="V1457" s="322">
        <f>V1458</f>
        <v>0</v>
      </c>
      <c r="W1457" s="322">
        <f>W1458</f>
        <v>0</v>
      </c>
      <c r="Y1457" s="322">
        <f>Y1458</f>
        <v>0</v>
      </c>
      <c r="Z1457" s="322">
        <f>Z1458</f>
        <v>0</v>
      </c>
      <c r="AB1457" s="322">
        <f>AB1458</f>
        <v>0</v>
      </c>
      <c r="AC1457" s="322">
        <f>AC1458</f>
        <v>0</v>
      </c>
      <c r="AE1457" s="322">
        <f>AE1458</f>
        <v>0</v>
      </c>
      <c r="AF1457" s="322">
        <f>AF1458</f>
        <v>0</v>
      </c>
      <c r="AH1457" s="322">
        <f>AH1458</f>
        <v>0</v>
      </c>
      <c r="AI1457" s="322">
        <f>AI1458</f>
        <v>0</v>
      </c>
      <c r="AK1457" s="322">
        <f>AK1458</f>
        <v>0</v>
      </c>
      <c r="AL1457" s="322">
        <f>AL1458</f>
        <v>0</v>
      </c>
      <c r="AN1457" s="322">
        <f>AN1458</f>
        <v>0</v>
      </c>
      <c r="AO1457" s="322">
        <f>AO1458</f>
        <v>0</v>
      </c>
      <c r="AQ1457" s="322">
        <f>AQ1458</f>
        <v>0</v>
      </c>
      <c r="AR1457" s="322">
        <f>AR1458</f>
        <v>0</v>
      </c>
      <c r="AT1457" s="322">
        <f>AT1458</f>
        <v>0</v>
      </c>
      <c r="AU1457" s="322">
        <f>AU1458</f>
        <v>0</v>
      </c>
      <c r="AW1457" s="322">
        <f>AW1458</f>
        <v>0</v>
      </c>
      <c r="AX1457" s="322">
        <f>AX1458</f>
        <v>0</v>
      </c>
      <c r="AZ1457" s="322">
        <f>AZ1458</f>
        <v>0</v>
      </c>
      <c r="BA1457" s="322">
        <f>BA1458</f>
        <v>0</v>
      </c>
      <c r="BC1457" s="322">
        <f>BC1458</f>
        <v>27569.200000000001</v>
      </c>
      <c r="BD1457" s="322">
        <f>BD1458</f>
        <v>31451.200000000001</v>
      </c>
      <c r="BF1457" s="322">
        <f>BF1458</f>
        <v>28149.8</v>
      </c>
      <c r="BG1457" s="322">
        <f>BG1458</f>
        <v>28240.5</v>
      </c>
      <c r="BI1457" s="322">
        <f>BI1458</f>
        <v>64331.4</v>
      </c>
      <c r="BJ1457" s="322">
        <f>BJ1458</f>
        <v>63687.199999999997</v>
      </c>
      <c r="BL1457" s="322">
        <f>BL1458</f>
        <v>0</v>
      </c>
      <c r="BM1457" s="322">
        <f>BM1458</f>
        <v>0</v>
      </c>
      <c r="BO1457" s="322">
        <f>BO1458</f>
        <v>0</v>
      </c>
      <c r="BP1457" s="322">
        <f>BP1458</f>
        <v>0</v>
      </c>
      <c r="BR1457" s="322">
        <f>BR1458</f>
        <v>0</v>
      </c>
      <c r="BS1457" s="322">
        <f>BS1458</f>
        <v>0</v>
      </c>
      <c r="BU1457" s="322">
        <f>BU1458</f>
        <v>0</v>
      </c>
      <c r="BV1457" s="322">
        <f>BV1458</f>
        <v>0</v>
      </c>
      <c r="BX1457" s="322">
        <f>BX1458</f>
        <v>0</v>
      </c>
      <c r="BY1457" s="322">
        <f>BY1458</f>
        <v>0</v>
      </c>
      <c r="CA1457" s="322">
        <f>CA1458</f>
        <v>0</v>
      </c>
      <c r="CB1457" s="322">
        <f>CB1458</f>
        <v>0</v>
      </c>
      <c r="CD1457" s="322">
        <f>CD1458</f>
        <v>20795.400000000001</v>
      </c>
      <c r="CE1457" s="322">
        <f>CE1458</f>
        <v>23133</v>
      </c>
      <c r="CG1457" s="322">
        <f>CG1458</f>
        <v>0</v>
      </c>
      <c r="CH1457" s="322">
        <f>CH1458</f>
        <v>0</v>
      </c>
      <c r="CJ1457" s="322">
        <f>CJ1458</f>
        <v>0</v>
      </c>
      <c r="CK1457" s="322">
        <f>CK1458</f>
        <v>0</v>
      </c>
    </row>
    <row r="1458" spans="1:89" ht="30" x14ac:dyDescent="0.25">
      <c r="A1458" s="107"/>
      <c r="B1458" s="312"/>
      <c r="C1458" s="312" t="s">
        <v>1520</v>
      </c>
      <c r="D1458" s="95"/>
      <c r="E1458" s="282"/>
      <c r="F1458" s="282"/>
      <c r="G1458" s="282"/>
      <c r="H1458" s="322">
        <v>110644.5</v>
      </c>
      <c r="I1458" s="322">
        <v>119528.5</v>
      </c>
      <c r="J1458" s="322">
        <f>J1409</f>
        <v>136152.20000000001</v>
      </c>
      <c r="K1458" s="322">
        <f>K1409</f>
        <v>140845.79999999999</v>
      </c>
      <c r="L1458" s="322">
        <f>L1409</f>
        <v>0</v>
      </c>
      <c r="M1458" s="322">
        <f>M1409</f>
        <v>0</v>
      </c>
      <c r="N1458" s="322">
        <f>N1409</f>
        <v>0</v>
      </c>
      <c r="O1458" s="351"/>
      <c r="Q1458" s="299">
        <f>S1458+V1458+Y1458+AB1458+AE1458+AH1458+AK1458+AN1458+AQ1458+AT1458+AW1458+AZ1458+BC1458+BF1458+BI1458+BL1458+BO1458+BR1458+BU1458+BX1458+CA1458+CD1458+CG1458+CJ1458</f>
        <v>140845.79999999999</v>
      </c>
      <c r="R1458" s="299">
        <f>T1458+W1458+Z1458+AC1458+AF1458+AI1458+AL1458+AO1458+AR1458+AU1458+AX1458+BA1458+BD1458+BG1458+BJ1458+BM1458+BP1458+BS1458+BV1458+BY1458+CB1458+CE1458+CH1458+CK1458</f>
        <v>146511.9</v>
      </c>
      <c r="S1458" s="267">
        <f>S1409</f>
        <v>0</v>
      </c>
      <c r="T1458" s="267">
        <f>T1409</f>
        <v>0</v>
      </c>
      <c r="V1458" s="267">
        <f>V1409</f>
        <v>0</v>
      </c>
      <c r="W1458" s="267">
        <f>W1409</f>
        <v>0</v>
      </c>
      <c r="Y1458" s="267">
        <f>Y1409</f>
        <v>0</v>
      </c>
      <c r="Z1458" s="267">
        <f>Z1409</f>
        <v>0</v>
      </c>
      <c r="AB1458" s="267">
        <f>AB1409</f>
        <v>0</v>
      </c>
      <c r="AC1458" s="267">
        <f>AC1409</f>
        <v>0</v>
      </c>
      <c r="AE1458" s="267">
        <f>AE1409</f>
        <v>0</v>
      </c>
      <c r="AF1458" s="267">
        <f>AF1409</f>
        <v>0</v>
      </c>
      <c r="AH1458" s="267">
        <f>AH1409</f>
        <v>0</v>
      </c>
      <c r="AI1458" s="267">
        <f>AI1409</f>
        <v>0</v>
      </c>
      <c r="AK1458" s="267">
        <f>AK1409</f>
        <v>0</v>
      </c>
      <c r="AL1458" s="267">
        <f>AL1409</f>
        <v>0</v>
      </c>
      <c r="AN1458" s="267">
        <f>AN1409</f>
        <v>0</v>
      </c>
      <c r="AO1458" s="267">
        <f>AO1409</f>
        <v>0</v>
      </c>
      <c r="AQ1458" s="267">
        <f>AQ1409</f>
        <v>0</v>
      </c>
      <c r="AR1458" s="267">
        <f>AR1409</f>
        <v>0</v>
      </c>
      <c r="AT1458" s="267">
        <f>AT1409</f>
        <v>0</v>
      </c>
      <c r="AU1458" s="267">
        <f>AU1409</f>
        <v>0</v>
      </c>
      <c r="AW1458" s="267">
        <f>AW1409</f>
        <v>0</v>
      </c>
      <c r="AX1458" s="267">
        <f>AX1409</f>
        <v>0</v>
      </c>
      <c r="AZ1458" s="267">
        <f>AZ1409</f>
        <v>0</v>
      </c>
      <c r="BA1458" s="267">
        <f>BA1409</f>
        <v>0</v>
      </c>
      <c r="BC1458" s="299">
        <f>BC1409</f>
        <v>27569.200000000001</v>
      </c>
      <c r="BD1458" s="299">
        <f>BD1409</f>
        <v>31451.200000000001</v>
      </c>
      <c r="BF1458" s="299">
        <f>BF1409</f>
        <v>28149.8</v>
      </c>
      <c r="BG1458" s="299">
        <f>BG1409</f>
        <v>28240.5</v>
      </c>
      <c r="BI1458" s="299">
        <f>BI1409</f>
        <v>64331.4</v>
      </c>
      <c r="BJ1458" s="299">
        <f>BJ1409</f>
        <v>63687.199999999997</v>
      </c>
      <c r="BL1458" s="267">
        <f>BL1409</f>
        <v>0</v>
      </c>
      <c r="BM1458" s="267">
        <f>BM1409</f>
        <v>0</v>
      </c>
      <c r="BO1458" s="267">
        <f>BO1409</f>
        <v>0</v>
      </c>
      <c r="BP1458" s="267">
        <f>BP1409</f>
        <v>0</v>
      </c>
      <c r="BR1458" s="267">
        <f>BR1409</f>
        <v>0</v>
      </c>
      <c r="BS1458" s="267">
        <f>BS1409</f>
        <v>0</v>
      </c>
      <c r="BU1458" s="267">
        <f>BU1409</f>
        <v>0</v>
      </c>
      <c r="BV1458" s="267">
        <f>BV1409</f>
        <v>0</v>
      </c>
      <c r="BX1458" s="267">
        <f>BX1409</f>
        <v>0</v>
      </c>
      <c r="BY1458" s="267">
        <f>BY1409</f>
        <v>0</v>
      </c>
      <c r="CA1458" s="267">
        <f>CA1409</f>
        <v>0</v>
      </c>
      <c r="CB1458" s="267">
        <f>CB1409</f>
        <v>0</v>
      </c>
      <c r="CD1458" s="299">
        <f>CD1409</f>
        <v>20795.400000000001</v>
      </c>
      <c r="CE1458" s="299">
        <f>CE1409</f>
        <v>23133</v>
      </c>
      <c r="CG1458" s="267">
        <f>CG1409</f>
        <v>0</v>
      </c>
      <c r="CH1458" s="267">
        <f>CH1409</f>
        <v>0</v>
      </c>
      <c r="CJ1458" s="267">
        <f>CJ1409</f>
        <v>0</v>
      </c>
      <c r="CK1458" s="267">
        <f>CK1409</f>
        <v>0</v>
      </c>
    </row>
    <row r="1459" spans="1:89" ht="30" x14ac:dyDescent="0.25">
      <c r="A1459" s="105" t="s">
        <v>270</v>
      </c>
      <c r="B1459" s="290" t="s">
        <v>289</v>
      </c>
      <c r="C1459" s="107"/>
      <c r="D1459" s="107"/>
      <c r="E1459" s="107"/>
      <c r="F1459" s="107"/>
      <c r="G1459" s="107"/>
      <c r="H1459" s="107"/>
      <c r="I1459" s="107"/>
      <c r="J1459" s="107"/>
      <c r="K1459" s="107"/>
      <c r="L1459" s="107"/>
      <c r="M1459" s="107"/>
      <c r="N1459" s="107"/>
    </row>
    <row r="1460" spans="1:89" ht="75" hidden="1" customHeight="1" x14ac:dyDescent="0.25">
      <c r="A1460" s="95" t="s">
        <v>291</v>
      </c>
      <c r="B1460" s="16" t="s">
        <v>290</v>
      </c>
      <c r="C1460" s="95"/>
      <c r="D1460" s="95"/>
      <c r="E1460" s="279"/>
      <c r="F1460" s="279"/>
      <c r="G1460" s="279"/>
      <c r="H1460" s="279"/>
      <c r="I1460" s="279"/>
      <c r="J1460" s="279"/>
      <c r="K1460" s="279"/>
      <c r="L1460" s="279"/>
      <c r="M1460" s="279"/>
      <c r="N1460" s="279"/>
      <c r="O1460" s="281" t="s">
        <v>140</v>
      </c>
    </row>
    <row r="1461" spans="1:89" ht="15" hidden="1" customHeight="1" x14ac:dyDescent="0.25">
      <c r="A1461" s="263"/>
      <c r="B1461" s="96" t="s">
        <v>1182</v>
      </c>
      <c r="C1461" s="107"/>
      <c r="D1461" s="95" t="s">
        <v>8</v>
      </c>
      <c r="E1461" s="279">
        <f t="shared" ref="E1461:J1461" si="1808">((E1467+E1468+E1471)/(E1478+E1479+E1482))*100</f>
        <v>67.638483965014572</v>
      </c>
      <c r="F1461" s="279">
        <f t="shared" si="1808"/>
        <v>67.846607669616517</v>
      </c>
      <c r="G1461" s="279">
        <f t="shared" si="1808"/>
        <v>70</v>
      </c>
      <c r="H1461" s="279">
        <f t="shared" si="1808"/>
        <v>78.571428571428569</v>
      </c>
      <c r="I1461" s="279" t="e">
        <f t="shared" si="1808"/>
        <v>#DIV/0!</v>
      </c>
      <c r="J1461" s="279" t="e">
        <f t="shared" si="1808"/>
        <v>#DIV/0!</v>
      </c>
      <c r="K1461" s="279" t="e">
        <f>((K1467+K1468+K1471)/(K1478+K1479+K1482))*100</f>
        <v>#DIV/0!</v>
      </c>
      <c r="L1461" s="279" t="e">
        <f>((L1467+L1468+L1471)/(L1478+L1479+L1482))*100</f>
        <v>#DIV/0!</v>
      </c>
      <c r="M1461" s="279" t="e">
        <f>((M1467+M1468+M1471)/(M1478+M1479+M1482))*100</f>
        <v>#DIV/0!</v>
      </c>
      <c r="N1461" s="279" t="e">
        <f>((N1467+N1468+N1471)/(N1478+N1479+N1482))*100</f>
        <v>#DIV/0!</v>
      </c>
    </row>
    <row r="1462" spans="1:89" ht="15" hidden="1" customHeight="1" x14ac:dyDescent="0.25">
      <c r="A1462" s="263"/>
      <c r="B1462" s="96" t="s">
        <v>1183</v>
      </c>
      <c r="C1462" s="107"/>
      <c r="D1462" s="95"/>
      <c r="E1462" s="279"/>
      <c r="F1462" s="279"/>
      <c r="G1462" s="279"/>
      <c r="H1462" s="279">
        <f>((H1467+H1471)/(H1478+H1482))*100</f>
        <v>83.333333333333343</v>
      </c>
      <c r="I1462" s="279" t="e">
        <f>((I1467+I1471)/(I1478+I1482))*100</f>
        <v>#DIV/0!</v>
      </c>
      <c r="J1462" s="279" t="e">
        <f>((J1467+J1471)/(J1478+J1482))*100</f>
        <v>#DIV/0!</v>
      </c>
      <c r="K1462" s="279" t="e">
        <f>((K1467+K1471)/(K1478+K1482))*100</f>
        <v>#DIV/0!</v>
      </c>
      <c r="L1462" s="279" t="e">
        <f>((L1467+L1471)/(L1478+L1482))*100</f>
        <v>#DIV/0!</v>
      </c>
      <c r="M1462" s="279" t="e">
        <f t="shared" ref="M1462:N1462" si="1809">((M1467+M1471)/(M1478+M1482))*100</f>
        <v>#DIV/0!</v>
      </c>
      <c r="N1462" s="279" t="e">
        <f t="shared" si="1809"/>
        <v>#DIV/0!</v>
      </c>
    </row>
    <row r="1463" spans="1:89" ht="15" hidden="1" customHeight="1" x14ac:dyDescent="0.25">
      <c r="A1463" s="263"/>
      <c r="B1463" s="96" t="s">
        <v>1185</v>
      </c>
      <c r="C1463" s="107"/>
      <c r="D1463" s="95"/>
      <c r="E1463" s="279"/>
      <c r="F1463" s="279"/>
      <c r="G1463" s="279"/>
      <c r="H1463" s="279">
        <f>((H1468+H1471)/(H1479+H1482))*100</f>
        <v>68</v>
      </c>
      <c r="I1463" s="279" t="e">
        <f>((I1468+I1471)/(I1479+I1482))*100</f>
        <v>#DIV/0!</v>
      </c>
      <c r="J1463" s="279" t="e">
        <f>((J1468+J1471)/(J1479+J1482))*100</f>
        <v>#DIV/0!</v>
      </c>
      <c r="K1463" s="279" t="e">
        <f>((K1468+K1471)/(K1479+K1482))*100</f>
        <v>#DIV/0!</v>
      </c>
      <c r="L1463" s="279" t="e">
        <f>((L1468+L1471)/(L1479+L1482))*100</f>
        <v>#DIV/0!</v>
      </c>
      <c r="M1463" s="279" t="e">
        <f t="shared" ref="M1463:N1463" si="1810">((M1468+M1471)/(M1479+M1482))*100</f>
        <v>#DIV/0!</v>
      </c>
      <c r="N1463" s="279" t="e">
        <f t="shared" si="1810"/>
        <v>#DIV/0!</v>
      </c>
    </row>
    <row r="1464" spans="1:89" ht="15" hidden="1" customHeight="1" x14ac:dyDescent="0.25">
      <c r="A1464" s="263"/>
      <c r="B1464" s="96" t="s">
        <v>1184</v>
      </c>
      <c r="C1464" s="107"/>
      <c r="D1464" s="95" t="s">
        <v>8</v>
      </c>
      <c r="E1464" s="279">
        <f t="shared" ref="E1464:J1464" si="1811">((E1469+E1470)/(E1480+E1481))*100</f>
        <v>60</v>
      </c>
      <c r="F1464" s="279">
        <f t="shared" si="1811"/>
        <v>60</v>
      </c>
      <c r="G1464" s="279">
        <f t="shared" si="1811"/>
        <v>60</v>
      </c>
      <c r="H1464" s="279">
        <f t="shared" si="1811"/>
        <v>75</v>
      </c>
      <c r="I1464" s="279" t="e">
        <f t="shared" si="1811"/>
        <v>#DIV/0!</v>
      </c>
      <c r="J1464" s="279" t="e">
        <f t="shared" si="1811"/>
        <v>#DIV/0!</v>
      </c>
      <c r="K1464" s="279" t="e">
        <f>((K1469+K1470)/(K1480+K1481))*100</f>
        <v>#DIV/0!</v>
      </c>
      <c r="L1464" s="279" t="e">
        <f>((L1469+L1470)/(L1480+L1481))*100</f>
        <v>#DIV/0!</v>
      </c>
      <c r="M1464" s="279" t="e">
        <f>((M1469+M1470)/(M1480+M1481))*100</f>
        <v>#DIV/0!</v>
      </c>
      <c r="N1464" s="279" t="e">
        <f>((N1469+N1470)/(N1480+N1481))*100</f>
        <v>#DIV/0!</v>
      </c>
    </row>
    <row r="1465" spans="1:89" ht="15" hidden="1" customHeight="1" x14ac:dyDescent="0.25">
      <c r="A1465" s="263"/>
      <c r="B1465" s="96" t="s">
        <v>1183</v>
      </c>
      <c r="C1465" s="107"/>
      <c r="D1465" s="95"/>
      <c r="E1465" s="279"/>
      <c r="F1465" s="279"/>
      <c r="G1465" s="279"/>
      <c r="H1465" s="279">
        <f t="shared" ref="H1465:J1466" si="1812">((H1469)/(H1480))*100</f>
        <v>75</v>
      </c>
      <c r="I1465" s="279" t="e">
        <f t="shared" si="1812"/>
        <v>#DIV/0!</v>
      </c>
      <c r="J1465" s="279" t="e">
        <f t="shared" si="1812"/>
        <v>#DIV/0!</v>
      </c>
      <c r="K1465" s="279" t="e">
        <f>((K1469)/(K1480))*100</f>
        <v>#DIV/0!</v>
      </c>
      <c r="L1465" s="279" t="e">
        <f>((L1469)/(L1480))*100</f>
        <v>#DIV/0!</v>
      </c>
      <c r="M1465" s="279" t="e">
        <f t="shared" ref="M1465:N1466" si="1813">((M1469)/(M1480))*100</f>
        <v>#DIV/0!</v>
      </c>
      <c r="N1465" s="279" t="e">
        <f t="shared" si="1813"/>
        <v>#DIV/0!</v>
      </c>
    </row>
    <row r="1466" spans="1:89" ht="15" hidden="1" customHeight="1" x14ac:dyDescent="0.25">
      <c r="A1466" s="263"/>
      <c r="B1466" s="96" t="s">
        <v>1185</v>
      </c>
      <c r="C1466" s="107"/>
      <c r="D1466" s="95"/>
      <c r="E1466" s="279"/>
      <c r="F1466" s="279"/>
      <c r="G1466" s="279"/>
      <c r="H1466" s="279" t="e">
        <f t="shared" si="1812"/>
        <v>#DIV/0!</v>
      </c>
      <c r="I1466" s="279" t="e">
        <f t="shared" si="1812"/>
        <v>#DIV/0!</v>
      </c>
      <c r="J1466" s="279" t="e">
        <f t="shared" si="1812"/>
        <v>#DIV/0!</v>
      </c>
      <c r="K1466" s="279" t="e">
        <f>((K1470)/(K1481))*100</f>
        <v>#DIV/0!</v>
      </c>
      <c r="L1466" s="279" t="e">
        <f>((L1470)/(L1481))*100</f>
        <v>#DIV/0!</v>
      </c>
      <c r="M1466" s="279" t="e">
        <f t="shared" si="1813"/>
        <v>#DIV/0!</v>
      </c>
      <c r="N1466" s="279" t="e">
        <f t="shared" si="1813"/>
        <v>#DIV/0!</v>
      </c>
    </row>
    <row r="1467" spans="1:89" ht="30" hidden="1" customHeight="1" x14ac:dyDescent="0.25">
      <c r="A1467" s="416"/>
      <c r="B1467" s="419" t="s">
        <v>292</v>
      </c>
      <c r="C1467" s="95" t="s">
        <v>1268</v>
      </c>
      <c r="D1467" s="95" t="s">
        <v>1112</v>
      </c>
      <c r="E1467" s="292">
        <v>160</v>
      </c>
      <c r="F1467" s="292">
        <v>161</v>
      </c>
      <c r="G1467" s="292">
        <v>162</v>
      </c>
      <c r="H1467" s="292">
        <f t="shared" ref="H1467:J1468" si="1814">H1473</f>
        <v>185</v>
      </c>
      <c r="I1467" s="292">
        <f t="shared" si="1814"/>
        <v>0</v>
      </c>
      <c r="J1467" s="292">
        <f t="shared" si="1814"/>
        <v>0</v>
      </c>
      <c r="K1467" s="292">
        <f>K1473</f>
        <v>0</v>
      </c>
      <c r="L1467" s="292">
        <f>L1473</f>
        <v>0</v>
      </c>
      <c r="M1467" s="292">
        <f t="shared" ref="M1467:N1468" si="1815">M1473</f>
        <v>0</v>
      </c>
      <c r="N1467" s="292">
        <f t="shared" si="1815"/>
        <v>0</v>
      </c>
    </row>
    <row r="1468" spans="1:89" ht="30" hidden="1" customHeight="1" x14ac:dyDescent="0.25">
      <c r="A1468" s="417"/>
      <c r="B1468" s="420"/>
      <c r="C1468" s="95" t="s">
        <v>1269</v>
      </c>
      <c r="D1468" s="95" t="s">
        <v>1112</v>
      </c>
      <c r="E1468" s="292">
        <v>67</v>
      </c>
      <c r="F1468" s="292">
        <v>66</v>
      </c>
      <c r="G1468" s="292">
        <v>67</v>
      </c>
      <c r="H1468" s="292">
        <f t="shared" si="1814"/>
        <v>68</v>
      </c>
      <c r="I1468" s="292">
        <f t="shared" si="1814"/>
        <v>0</v>
      </c>
      <c r="J1468" s="292">
        <f t="shared" si="1814"/>
        <v>0</v>
      </c>
      <c r="K1468" s="292">
        <f>K1474</f>
        <v>0</v>
      </c>
      <c r="L1468" s="292">
        <f>L1474</f>
        <v>0</v>
      </c>
      <c r="M1468" s="292">
        <f t="shared" si="1815"/>
        <v>0</v>
      </c>
      <c r="N1468" s="292">
        <f t="shared" si="1815"/>
        <v>0</v>
      </c>
    </row>
    <row r="1469" spans="1:89" ht="30" hidden="1" customHeight="1" x14ac:dyDescent="0.25">
      <c r="A1469" s="417"/>
      <c r="B1469" s="420"/>
      <c r="C1469" s="95" t="s">
        <v>1270</v>
      </c>
      <c r="D1469" s="95" t="s">
        <v>1112</v>
      </c>
      <c r="E1469" s="292">
        <v>3</v>
      </c>
      <c r="F1469" s="292">
        <v>3</v>
      </c>
      <c r="G1469" s="292">
        <v>3</v>
      </c>
      <c r="H1469" s="292">
        <f t="shared" ref="H1469:J1470" si="1816">H1476</f>
        <v>3</v>
      </c>
      <c r="I1469" s="292">
        <f t="shared" si="1816"/>
        <v>0</v>
      </c>
      <c r="J1469" s="292">
        <f t="shared" si="1816"/>
        <v>0</v>
      </c>
      <c r="K1469" s="292">
        <f>K1476</f>
        <v>0</v>
      </c>
      <c r="L1469" s="292">
        <f>L1476</f>
        <v>0</v>
      </c>
      <c r="M1469" s="292">
        <f t="shared" ref="M1469:N1470" si="1817">M1476</f>
        <v>0</v>
      </c>
      <c r="N1469" s="292">
        <f t="shared" si="1817"/>
        <v>0</v>
      </c>
    </row>
    <row r="1470" spans="1:89" ht="30" hidden="1" customHeight="1" x14ac:dyDescent="0.25">
      <c r="A1470" s="418"/>
      <c r="B1470" s="421"/>
      <c r="C1470" s="95" t="s">
        <v>1271</v>
      </c>
      <c r="D1470" s="95" t="s">
        <v>1112</v>
      </c>
      <c r="E1470" s="292">
        <v>0</v>
      </c>
      <c r="F1470" s="292">
        <v>0</v>
      </c>
      <c r="G1470" s="292">
        <v>0</v>
      </c>
      <c r="H1470" s="292">
        <f t="shared" si="1816"/>
        <v>0</v>
      </c>
      <c r="I1470" s="292">
        <f t="shared" si="1816"/>
        <v>0</v>
      </c>
      <c r="J1470" s="292">
        <f t="shared" si="1816"/>
        <v>0</v>
      </c>
      <c r="K1470" s="292">
        <f>K1477</f>
        <v>0</v>
      </c>
      <c r="L1470" s="292">
        <f>L1477</f>
        <v>0</v>
      </c>
      <c r="M1470" s="292">
        <f t="shared" si="1817"/>
        <v>0</v>
      </c>
      <c r="N1470" s="292">
        <f t="shared" si="1817"/>
        <v>0</v>
      </c>
    </row>
    <row r="1471" spans="1:89" ht="30" hidden="1" customHeight="1" x14ac:dyDescent="0.25">
      <c r="A1471" s="95"/>
      <c r="B1471" s="16" t="s">
        <v>293</v>
      </c>
      <c r="C1471" s="95" t="s">
        <v>294</v>
      </c>
      <c r="D1471" s="95" t="s">
        <v>1112</v>
      </c>
      <c r="E1471" s="292">
        <v>5</v>
      </c>
      <c r="F1471" s="292">
        <v>3</v>
      </c>
      <c r="G1471" s="292">
        <v>2</v>
      </c>
      <c r="H1471" s="292">
        <v>0</v>
      </c>
      <c r="I1471" s="292"/>
      <c r="J1471" s="292"/>
      <c r="K1471" s="292"/>
      <c r="L1471" s="292"/>
      <c r="M1471" s="292"/>
      <c r="N1471" s="292"/>
    </row>
    <row r="1472" spans="1:89" ht="15" hidden="1" customHeight="1" x14ac:dyDescent="0.25">
      <c r="A1472" s="265"/>
      <c r="B1472" s="262" t="s">
        <v>1182</v>
      </c>
      <c r="C1472" s="95"/>
      <c r="D1472" s="95"/>
      <c r="E1472" s="291"/>
      <c r="F1472" s="291"/>
      <c r="G1472" s="291"/>
      <c r="H1472" s="291">
        <f>H1473+H1474</f>
        <v>253</v>
      </c>
      <c r="I1472" s="291">
        <f>I1473+I1474</f>
        <v>0</v>
      </c>
      <c r="J1472" s="291">
        <f>J1473+J1474</f>
        <v>0</v>
      </c>
      <c r="K1472" s="291">
        <f>K1473+K1474</f>
        <v>0</v>
      </c>
      <c r="L1472" s="291">
        <f>L1473+L1474</f>
        <v>0</v>
      </c>
      <c r="M1472" s="291">
        <f t="shared" ref="M1472:N1472" si="1818">M1473+M1474</f>
        <v>0</v>
      </c>
      <c r="N1472" s="291">
        <f t="shared" si="1818"/>
        <v>0</v>
      </c>
    </row>
    <row r="1473" spans="1:15" ht="45" hidden="1" customHeight="1" x14ac:dyDescent="0.25">
      <c r="A1473" s="265"/>
      <c r="B1473" s="265" t="s">
        <v>1519</v>
      </c>
      <c r="C1473" s="95"/>
      <c r="D1473" s="95"/>
      <c r="E1473" s="291"/>
      <c r="F1473" s="291"/>
      <c r="G1473" s="291"/>
      <c r="H1473" s="291">
        <v>185</v>
      </c>
      <c r="I1473" s="291"/>
      <c r="J1473" s="291"/>
      <c r="K1473" s="291"/>
      <c r="L1473" s="291"/>
      <c r="M1473" s="291"/>
      <c r="N1473" s="291"/>
    </row>
    <row r="1474" spans="1:15" ht="45" hidden="1" customHeight="1" x14ac:dyDescent="0.25">
      <c r="A1474" s="265"/>
      <c r="B1474" s="265" t="s">
        <v>1519</v>
      </c>
      <c r="C1474" s="95"/>
      <c r="D1474" s="95"/>
      <c r="E1474" s="291"/>
      <c r="F1474" s="291"/>
      <c r="G1474" s="291"/>
      <c r="H1474" s="291">
        <v>68</v>
      </c>
      <c r="I1474" s="291"/>
      <c r="J1474" s="291"/>
      <c r="K1474" s="291"/>
      <c r="L1474" s="291"/>
      <c r="M1474" s="291"/>
      <c r="N1474" s="291"/>
    </row>
    <row r="1475" spans="1:15" ht="15" hidden="1" customHeight="1" x14ac:dyDescent="0.25">
      <c r="A1475" s="265"/>
      <c r="B1475" s="262" t="s">
        <v>1184</v>
      </c>
      <c r="C1475" s="95"/>
      <c r="D1475" s="95"/>
      <c r="E1475" s="291"/>
      <c r="F1475" s="291"/>
      <c r="G1475" s="291"/>
      <c r="H1475" s="291">
        <f>H1476+H1477</f>
        <v>3</v>
      </c>
      <c r="I1475" s="291">
        <f>I1476+I1477</f>
        <v>0</v>
      </c>
      <c r="J1475" s="291">
        <f>J1476+J1477</f>
        <v>0</v>
      </c>
      <c r="K1475" s="291">
        <f>K1476+K1477</f>
        <v>0</v>
      </c>
      <c r="L1475" s="291">
        <f>L1476+L1477</f>
        <v>0</v>
      </c>
      <c r="M1475" s="291">
        <f t="shared" ref="M1475:N1475" si="1819">M1476+M1477</f>
        <v>0</v>
      </c>
      <c r="N1475" s="291">
        <f t="shared" si="1819"/>
        <v>0</v>
      </c>
    </row>
    <row r="1476" spans="1:15" ht="45" hidden="1" customHeight="1" x14ac:dyDescent="0.25">
      <c r="A1476" s="265"/>
      <c r="B1476" s="265" t="s">
        <v>1519</v>
      </c>
      <c r="C1476" s="95"/>
      <c r="D1476" s="95"/>
      <c r="E1476" s="291"/>
      <c r="F1476" s="291"/>
      <c r="G1476" s="291"/>
      <c r="H1476" s="291">
        <v>3</v>
      </c>
      <c r="I1476" s="291"/>
      <c r="J1476" s="291"/>
      <c r="K1476" s="291"/>
      <c r="L1476" s="291"/>
      <c r="M1476" s="291"/>
      <c r="N1476" s="291"/>
    </row>
    <row r="1477" spans="1:15" ht="45" hidden="1" customHeight="1" x14ac:dyDescent="0.25">
      <c r="A1477" s="264"/>
      <c r="B1477" s="265" t="s">
        <v>1519</v>
      </c>
      <c r="C1477" s="95"/>
      <c r="D1477" s="95"/>
      <c r="E1477" s="291"/>
      <c r="F1477" s="291"/>
      <c r="G1477" s="291"/>
      <c r="H1477" s="291"/>
      <c r="I1477" s="291"/>
      <c r="J1477" s="291"/>
      <c r="K1477" s="291"/>
      <c r="L1477" s="291"/>
      <c r="M1477" s="291"/>
      <c r="N1477" s="291"/>
    </row>
    <row r="1478" spans="1:15" ht="30" hidden="1" customHeight="1" x14ac:dyDescent="0.25">
      <c r="A1478" s="416"/>
      <c r="B1478" s="419" t="s">
        <v>203</v>
      </c>
      <c r="C1478" s="95" t="s">
        <v>1206</v>
      </c>
      <c r="D1478" s="95" t="s">
        <v>1112</v>
      </c>
      <c r="E1478" s="292">
        <v>223</v>
      </c>
      <c r="F1478" s="292">
        <v>223</v>
      </c>
      <c r="G1478" s="291">
        <v>218</v>
      </c>
      <c r="H1478" s="291">
        <f t="shared" ref="H1478:J1479" si="1820">H1484</f>
        <v>222</v>
      </c>
      <c r="I1478" s="291">
        <f t="shared" si="1820"/>
        <v>0</v>
      </c>
      <c r="J1478" s="291">
        <f t="shared" si="1820"/>
        <v>0</v>
      </c>
      <c r="K1478" s="291">
        <f>K1484</f>
        <v>0</v>
      </c>
      <c r="L1478" s="291">
        <f>L1484</f>
        <v>0</v>
      </c>
      <c r="M1478" s="291">
        <f t="shared" ref="M1478:N1479" si="1821">M1484</f>
        <v>0</v>
      </c>
      <c r="N1478" s="291">
        <f t="shared" si="1821"/>
        <v>0</v>
      </c>
      <c r="O1478" s="281"/>
    </row>
    <row r="1479" spans="1:15" ht="30" hidden="1" customHeight="1" x14ac:dyDescent="0.25">
      <c r="A1479" s="417"/>
      <c r="B1479" s="420"/>
      <c r="C1479" s="95" t="s">
        <v>1262</v>
      </c>
      <c r="D1479" s="95" t="s">
        <v>1112</v>
      </c>
      <c r="E1479" s="292">
        <v>113</v>
      </c>
      <c r="F1479" s="292">
        <v>111</v>
      </c>
      <c r="G1479" s="291">
        <v>108</v>
      </c>
      <c r="H1479" s="291">
        <f t="shared" si="1820"/>
        <v>100</v>
      </c>
      <c r="I1479" s="291">
        <f t="shared" si="1820"/>
        <v>0</v>
      </c>
      <c r="J1479" s="291">
        <f t="shared" si="1820"/>
        <v>0</v>
      </c>
      <c r="K1479" s="291">
        <f>K1485</f>
        <v>0</v>
      </c>
      <c r="L1479" s="291">
        <f>L1485</f>
        <v>0</v>
      </c>
      <c r="M1479" s="291">
        <f t="shared" si="1821"/>
        <v>0</v>
      </c>
      <c r="N1479" s="291">
        <f t="shared" si="1821"/>
        <v>0</v>
      </c>
    </row>
    <row r="1480" spans="1:15" ht="30" hidden="1" customHeight="1" x14ac:dyDescent="0.25">
      <c r="A1480" s="417"/>
      <c r="B1480" s="420"/>
      <c r="C1480" s="95" t="s">
        <v>1207</v>
      </c>
      <c r="D1480" s="95" t="s">
        <v>1112</v>
      </c>
      <c r="E1480" s="292">
        <v>5</v>
      </c>
      <c r="F1480" s="292">
        <v>5</v>
      </c>
      <c r="G1480" s="291">
        <v>5</v>
      </c>
      <c r="H1480" s="291">
        <f t="shared" ref="H1480:J1481" si="1822">H1487</f>
        <v>4</v>
      </c>
      <c r="I1480" s="291">
        <f t="shared" si="1822"/>
        <v>0</v>
      </c>
      <c r="J1480" s="291">
        <f t="shared" si="1822"/>
        <v>0</v>
      </c>
      <c r="K1480" s="291">
        <f>K1487</f>
        <v>0</v>
      </c>
      <c r="L1480" s="291">
        <f>L1487</f>
        <v>0</v>
      </c>
      <c r="M1480" s="291">
        <f t="shared" ref="M1480:N1481" si="1823">M1487</f>
        <v>0</v>
      </c>
      <c r="N1480" s="291">
        <f t="shared" si="1823"/>
        <v>0</v>
      </c>
    </row>
    <row r="1481" spans="1:15" ht="30" hidden="1" customHeight="1" x14ac:dyDescent="0.25">
      <c r="A1481" s="418"/>
      <c r="B1481" s="421"/>
      <c r="C1481" s="95" t="s">
        <v>1263</v>
      </c>
      <c r="D1481" s="95" t="s">
        <v>1112</v>
      </c>
      <c r="E1481" s="292">
        <v>0</v>
      </c>
      <c r="F1481" s="292">
        <v>0</v>
      </c>
      <c r="G1481" s="291">
        <v>0</v>
      </c>
      <c r="H1481" s="291">
        <f t="shared" si="1822"/>
        <v>0</v>
      </c>
      <c r="I1481" s="291">
        <f t="shared" si="1822"/>
        <v>0</v>
      </c>
      <c r="J1481" s="291">
        <f t="shared" si="1822"/>
        <v>0</v>
      </c>
      <c r="K1481" s="291">
        <f>K1488</f>
        <v>0</v>
      </c>
      <c r="L1481" s="291">
        <f>L1488</f>
        <v>0</v>
      </c>
      <c r="M1481" s="291">
        <f t="shared" si="1823"/>
        <v>0</v>
      </c>
      <c r="N1481" s="291">
        <f t="shared" si="1823"/>
        <v>0</v>
      </c>
    </row>
    <row r="1482" spans="1:15" ht="30" hidden="1" customHeight="1" x14ac:dyDescent="0.25">
      <c r="A1482" s="95"/>
      <c r="B1482" s="16" t="s">
        <v>223</v>
      </c>
      <c r="C1482" s="95" t="s">
        <v>205</v>
      </c>
      <c r="D1482" s="95" t="s">
        <v>1112</v>
      </c>
      <c r="E1482" s="292">
        <v>7</v>
      </c>
      <c r="F1482" s="292">
        <v>5</v>
      </c>
      <c r="G1482" s="291">
        <v>4</v>
      </c>
      <c r="H1482" s="291">
        <v>0</v>
      </c>
      <c r="I1482" s="291"/>
      <c r="J1482" s="291"/>
      <c r="K1482" s="291"/>
      <c r="L1482" s="291"/>
      <c r="M1482" s="291"/>
      <c r="N1482" s="291"/>
    </row>
    <row r="1483" spans="1:15" ht="15" hidden="1" customHeight="1" x14ac:dyDescent="0.25">
      <c r="A1483" s="95"/>
      <c r="B1483" s="311" t="s">
        <v>1182</v>
      </c>
      <c r="C1483" s="95"/>
      <c r="D1483" s="95"/>
      <c r="E1483" s="291"/>
      <c r="F1483" s="291"/>
      <c r="G1483" s="291"/>
      <c r="H1483" s="291">
        <f>H1484+H1485</f>
        <v>322</v>
      </c>
      <c r="I1483" s="291">
        <f>I1484+I1485</f>
        <v>0</v>
      </c>
      <c r="J1483" s="291">
        <f>J1484+J1485</f>
        <v>0</v>
      </c>
      <c r="K1483" s="291">
        <f>K1484+K1485</f>
        <v>0</v>
      </c>
      <c r="L1483" s="291">
        <f>L1484+L1485</f>
        <v>0</v>
      </c>
      <c r="M1483" s="291">
        <f t="shared" ref="M1483:N1483" si="1824">M1484+M1485</f>
        <v>0</v>
      </c>
      <c r="N1483" s="291">
        <f t="shared" si="1824"/>
        <v>0</v>
      </c>
    </row>
    <row r="1484" spans="1:15" ht="45" hidden="1" customHeight="1" x14ac:dyDescent="0.25">
      <c r="A1484" s="95"/>
      <c r="B1484" s="263" t="s">
        <v>1515</v>
      </c>
      <c r="C1484" s="95"/>
      <c r="D1484" s="95"/>
      <c r="E1484" s="291"/>
      <c r="F1484" s="291"/>
      <c r="G1484" s="291"/>
      <c r="H1484" s="291">
        <v>222</v>
      </c>
      <c r="I1484" s="291"/>
      <c r="J1484" s="291"/>
      <c r="K1484" s="291"/>
      <c r="L1484" s="291"/>
      <c r="M1484" s="291"/>
      <c r="N1484" s="291"/>
    </row>
    <row r="1485" spans="1:15" ht="45" hidden="1" customHeight="1" x14ac:dyDescent="0.25">
      <c r="A1485" s="95"/>
      <c r="B1485" s="263" t="s">
        <v>1515</v>
      </c>
      <c r="C1485" s="95"/>
      <c r="D1485" s="95"/>
      <c r="E1485" s="291"/>
      <c r="F1485" s="291"/>
      <c r="G1485" s="291"/>
      <c r="H1485" s="291">
        <v>100</v>
      </c>
      <c r="I1485" s="291"/>
      <c r="J1485" s="291"/>
      <c r="K1485" s="291"/>
      <c r="L1485" s="291"/>
      <c r="M1485" s="291"/>
      <c r="N1485" s="291"/>
    </row>
    <row r="1486" spans="1:15" ht="15" hidden="1" customHeight="1" x14ac:dyDescent="0.25">
      <c r="A1486" s="95"/>
      <c r="B1486" s="261" t="s">
        <v>1184</v>
      </c>
      <c r="C1486" s="95"/>
      <c r="D1486" s="95"/>
      <c r="E1486" s="291"/>
      <c r="F1486" s="291"/>
      <c r="G1486" s="291"/>
      <c r="H1486" s="291">
        <f>H1487+H1488</f>
        <v>4</v>
      </c>
      <c r="I1486" s="291">
        <f>I1487+I1488</f>
        <v>0</v>
      </c>
      <c r="J1486" s="291">
        <f>J1487+J1488</f>
        <v>0</v>
      </c>
      <c r="K1486" s="291">
        <f>K1487+K1488</f>
        <v>0</v>
      </c>
      <c r="L1486" s="291">
        <f>L1487+L1488</f>
        <v>0</v>
      </c>
      <c r="M1486" s="291">
        <f t="shared" ref="M1486:N1486" si="1825">M1487+M1488</f>
        <v>0</v>
      </c>
      <c r="N1486" s="291">
        <f t="shared" si="1825"/>
        <v>0</v>
      </c>
    </row>
    <row r="1487" spans="1:15" ht="45" hidden="1" customHeight="1" x14ac:dyDescent="0.25">
      <c r="A1487" s="95"/>
      <c r="B1487" s="263" t="s">
        <v>1515</v>
      </c>
      <c r="C1487" s="95"/>
      <c r="D1487" s="95"/>
      <c r="E1487" s="291"/>
      <c r="F1487" s="291"/>
      <c r="G1487" s="291"/>
      <c r="H1487" s="291">
        <v>4</v>
      </c>
      <c r="I1487" s="291"/>
      <c r="J1487" s="291"/>
      <c r="K1487" s="291"/>
      <c r="L1487" s="291"/>
      <c r="M1487" s="291"/>
      <c r="N1487" s="291"/>
    </row>
    <row r="1488" spans="1:15" ht="45" hidden="1" customHeight="1" x14ac:dyDescent="0.25">
      <c r="A1488" s="95"/>
      <c r="B1488" s="263" t="s">
        <v>1515</v>
      </c>
      <c r="C1488" s="95"/>
      <c r="D1488" s="95"/>
      <c r="E1488" s="291"/>
      <c r="F1488" s="291"/>
      <c r="G1488" s="291"/>
      <c r="H1488" s="291"/>
      <c r="I1488" s="291"/>
      <c r="J1488" s="291"/>
      <c r="K1488" s="291"/>
      <c r="L1488" s="291"/>
      <c r="M1488" s="291"/>
      <c r="N1488" s="291"/>
    </row>
    <row r="1489" spans="1:89" ht="15" hidden="1" customHeight="1" x14ac:dyDescent="0.25">
      <c r="A1489" s="95"/>
      <c r="B1489" s="263"/>
      <c r="C1489" s="95"/>
      <c r="D1489" s="95"/>
      <c r="E1489" s="291"/>
      <c r="F1489" s="291"/>
      <c r="G1489" s="291"/>
      <c r="H1489" s="291"/>
      <c r="I1489" s="291"/>
      <c r="J1489" s="291"/>
      <c r="K1489" s="291"/>
      <c r="L1489" s="291"/>
      <c r="M1489" s="291"/>
      <c r="N1489" s="291"/>
    </row>
    <row r="1490" spans="1:89" ht="15" hidden="1" customHeight="1" x14ac:dyDescent="0.25">
      <c r="A1490" s="95"/>
      <c r="B1490" s="263"/>
      <c r="C1490" s="95"/>
      <c r="D1490" s="95"/>
      <c r="E1490" s="291"/>
      <c r="F1490" s="291"/>
      <c r="G1490" s="291"/>
      <c r="H1490" s="291"/>
      <c r="I1490" s="291"/>
      <c r="J1490" s="291"/>
      <c r="K1490" s="291"/>
      <c r="L1490" s="291"/>
      <c r="M1490" s="291"/>
      <c r="N1490" s="291"/>
    </row>
    <row r="1491" spans="1:89" ht="15" hidden="1" customHeight="1" x14ac:dyDescent="0.25">
      <c r="A1491" s="95"/>
      <c r="B1491" s="263"/>
      <c r="C1491" s="95"/>
      <c r="D1491" s="95"/>
      <c r="E1491" s="291"/>
      <c r="F1491" s="291"/>
      <c r="G1491" s="291"/>
      <c r="H1491" s="291"/>
      <c r="I1491" s="291"/>
      <c r="J1491" s="291"/>
      <c r="K1491" s="291"/>
      <c r="L1491" s="291"/>
      <c r="M1491" s="291"/>
      <c r="N1491" s="291"/>
    </row>
    <row r="1492" spans="1:89" ht="15" hidden="1" customHeight="1" x14ac:dyDescent="0.25">
      <c r="A1492" s="95"/>
      <c r="B1492" s="263"/>
      <c r="C1492" s="95"/>
      <c r="D1492" s="95"/>
      <c r="E1492" s="291"/>
      <c r="F1492" s="291"/>
      <c r="G1492" s="291"/>
      <c r="H1492" s="291"/>
      <c r="I1492" s="291"/>
      <c r="J1492" s="291"/>
      <c r="K1492" s="291"/>
      <c r="L1492" s="291"/>
      <c r="M1492" s="291"/>
      <c r="N1492" s="291"/>
    </row>
    <row r="1493" spans="1:89" ht="15" hidden="1" customHeight="1" x14ac:dyDescent="0.25">
      <c r="A1493" s="95"/>
      <c r="B1493" s="263"/>
      <c r="C1493" s="95"/>
      <c r="D1493" s="95"/>
      <c r="E1493" s="291"/>
      <c r="F1493" s="291"/>
      <c r="G1493" s="291"/>
      <c r="H1493" s="291"/>
      <c r="I1493" s="291"/>
      <c r="J1493" s="291"/>
      <c r="K1493" s="291"/>
      <c r="L1493" s="291"/>
      <c r="M1493" s="291"/>
      <c r="N1493" s="291"/>
    </row>
    <row r="1494" spans="1:89" ht="15" hidden="1" customHeight="1" x14ac:dyDescent="0.25">
      <c r="A1494" s="95"/>
      <c r="B1494" s="263"/>
      <c r="C1494" s="95"/>
      <c r="D1494" s="95"/>
      <c r="E1494" s="291"/>
      <c r="F1494" s="291"/>
      <c r="G1494" s="291"/>
      <c r="H1494" s="291"/>
      <c r="I1494" s="291"/>
      <c r="J1494" s="291"/>
      <c r="K1494" s="291"/>
      <c r="L1494" s="291"/>
      <c r="M1494" s="291"/>
      <c r="N1494" s="291"/>
    </row>
    <row r="1495" spans="1:89" ht="15" hidden="1" customHeight="1" x14ac:dyDescent="0.25">
      <c r="A1495" s="95"/>
      <c r="B1495" s="263"/>
      <c r="C1495" s="95"/>
      <c r="D1495" s="95"/>
      <c r="E1495" s="291"/>
      <c r="F1495" s="291"/>
      <c r="G1495" s="291"/>
      <c r="H1495" s="291"/>
      <c r="I1495" s="291"/>
      <c r="J1495" s="291"/>
      <c r="K1495" s="291"/>
      <c r="L1495" s="291"/>
      <c r="M1495" s="291"/>
      <c r="N1495" s="291"/>
    </row>
    <row r="1496" spans="1:89" ht="15" hidden="1" customHeight="1" x14ac:dyDescent="0.25">
      <c r="A1496" s="95"/>
      <c r="B1496" s="263"/>
      <c r="C1496" s="95"/>
      <c r="D1496" s="95"/>
      <c r="E1496" s="291"/>
      <c r="F1496" s="291"/>
      <c r="G1496" s="291"/>
      <c r="H1496" s="291"/>
      <c r="I1496" s="291"/>
      <c r="J1496" s="291"/>
      <c r="K1496" s="291"/>
      <c r="L1496" s="291"/>
      <c r="M1496" s="291"/>
      <c r="N1496" s="291"/>
    </row>
    <row r="1497" spans="1:89" ht="15" hidden="1" customHeight="1" x14ac:dyDescent="0.25">
      <c r="A1497" s="95"/>
      <c r="B1497" s="263"/>
      <c r="C1497" s="95"/>
      <c r="D1497" s="95"/>
      <c r="E1497" s="291"/>
      <c r="F1497" s="291"/>
      <c r="G1497" s="291"/>
      <c r="H1497" s="291"/>
      <c r="I1497" s="291"/>
      <c r="J1497" s="291"/>
      <c r="K1497" s="291"/>
      <c r="L1497" s="291"/>
      <c r="M1497" s="291"/>
      <c r="N1497" s="291"/>
    </row>
    <row r="1498" spans="1:89" ht="15" hidden="1" customHeight="1" x14ac:dyDescent="0.25">
      <c r="A1498" s="95"/>
      <c r="B1498" s="263"/>
      <c r="C1498" s="95"/>
      <c r="D1498" s="95"/>
      <c r="E1498" s="291"/>
      <c r="F1498" s="291"/>
      <c r="G1498" s="291"/>
      <c r="H1498" s="291"/>
      <c r="I1498" s="291"/>
      <c r="J1498" s="291"/>
      <c r="K1498" s="291"/>
      <c r="L1498" s="291"/>
      <c r="M1498" s="291"/>
      <c r="N1498" s="291"/>
    </row>
    <row r="1499" spans="1:89" ht="15" hidden="1" customHeight="1" x14ac:dyDescent="0.25">
      <c r="A1499" s="95"/>
      <c r="B1499" s="263"/>
      <c r="C1499" s="95"/>
      <c r="D1499" s="95"/>
      <c r="E1499" s="291"/>
      <c r="F1499" s="291"/>
      <c r="G1499" s="291"/>
      <c r="H1499" s="291"/>
      <c r="I1499" s="291"/>
      <c r="J1499" s="291"/>
      <c r="K1499" s="291"/>
      <c r="L1499" s="291"/>
      <c r="M1499" s="291"/>
      <c r="N1499" s="291"/>
    </row>
    <row r="1500" spans="1:89" ht="75" x14ac:dyDescent="0.25">
      <c r="A1500" s="95" t="s">
        <v>280</v>
      </c>
      <c r="B1500" s="16" t="s">
        <v>305</v>
      </c>
      <c r="C1500" s="95"/>
      <c r="D1500" s="95"/>
      <c r="E1500" s="280"/>
      <c r="F1500" s="280"/>
      <c r="G1500" s="280"/>
      <c r="H1500" s="280"/>
      <c r="I1500" s="280"/>
      <c r="J1500" s="280"/>
      <c r="K1500" s="280"/>
      <c r="L1500" s="280"/>
      <c r="M1500" s="280"/>
      <c r="N1500" s="280"/>
      <c r="O1500" s="281" t="s">
        <v>140</v>
      </c>
    </row>
    <row r="1501" spans="1:89" x14ac:dyDescent="0.25">
      <c r="A1501" s="263"/>
      <c r="B1501" s="96" t="s">
        <v>1182</v>
      </c>
      <c r="C1501" s="107"/>
      <c r="D1501" s="95" t="s">
        <v>8</v>
      </c>
      <c r="E1501" s="279">
        <f t="shared" ref="E1501:J1501" si="1826">((E1507+E1508+E1511)/(E1518+E1519+E1522))*100</f>
        <v>91.83673469387756</v>
      </c>
      <c r="F1501" s="279">
        <f t="shared" si="1826"/>
        <v>92.330383480825958</v>
      </c>
      <c r="G1501" s="279">
        <f t="shared" si="1826"/>
        <v>91.818181818181827</v>
      </c>
      <c r="H1501" s="279">
        <f t="shared" si="1826"/>
        <v>94.099378881987576</v>
      </c>
      <c r="I1501" s="279">
        <f t="shared" si="1826"/>
        <v>96.540880503144649</v>
      </c>
      <c r="J1501" s="279">
        <f t="shared" si="1826"/>
        <v>94.444444444444443</v>
      </c>
      <c r="K1501" s="279">
        <f>((K1507+K1508+K1511)/(K1518+K1519+K1522))*100</f>
        <v>94.658119658119659</v>
      </c>
      <c r="L1501" s="279">
        <f>((L1507+L1508+L1511)/(L1518+L1519+L1522))*100</f>
        <v>100</v>
      </c>
      <c r="M1501" s="279">
        <f>((M1507+M1508+M1511)/(M1518+M1519+M1522))*100</f>
        <v>100</v>
      </c>
      <c r="N1501" s="279">
        <f>((N1507+N1508+N1511)/(N1518+N1519+N1522))*100</f>
        <v>100</v>
      </c>
      <c r="Q1501" s="279">
        <f>((Q1507+Q1508+Q1511)/(Q1518+Q1519+Q1522))*100</f>
        <v>94.658119658119659</v>
      </c>
      <c r="R1501" s="279">
        <f>((R1507+R1508+R1511)/(R1518+R1519+R1522))*100</f>
        <v>93.568464730290458</v>
      </c>
      <c r="S1501" s="279">
        <f>((S1507+S1508+S1511)/(S1518+S1519+S1522))*100</f>
        <v>81.25</v>
      </c>
      <c r="T1501" s="279">
        <f>((T1507+T1508+T1511)/(T1518+T1519+T1522))*100</f>
        <v>100</v>
      </c>
      <c r="V1501" s="279">
        <f>((V1507+V1508+V1511)/(V1518+V1519+V1522))*100</f>
        <v>56.25</v>
      </c>
      <c r="W1501" s="279">
        <f>((W1507+W1508+W1511)/(W1518+W1519+W1522))*100</f>
        <v>47.058823529411761</v>
      </c>
      <c r="Y1501" s="279">
        <f>((Y1507+Y1508+Y1511)/(Y1518+Y1519+Y1522))*100</f>
        <v>100</v>
      </c>
      <c r="Z1501" s="279">
        <f>((Z1507+Z1508+Z1511)/(Z1518+Z1519+Z1522))*100</f>
        <v>100</v>
      </c>
      <c r="AB1501" s="279">
        <f>((AB1507+AB1508+AB1511)/(AB1518+AB1519+AB1522))*100</f>
        <v>91.304347826086953</v>
      </c>
      <c r="AC1501" s="279">
        <f>((AC1507+AC1508+AC1511)/(AC1518+AC1519+AC1522))*100</f>
        <v>91.304347826086953</v>
      </c>
      <c r="AE1501" s="279">
        <f>((AE1507+AE1508+AE1511)/(AE1518+AE1519+AE1522))*100</f>
        <v>100</v>
      </c>
      <c r="AF1501" s="279">
        <f>((AF1507+AF1508+AF1511)/(AF1518+AF1519+AF1522))*100</f>
        <v>100</v>
      </c>
      <c r="AH1501" s="279">
        <f>((AH1507+AH1508+AH1511)/(AH1518+AH1519+AH1522))*100</f>
        <v>96.774193548387103</v>
      </c>
      <c r="AI1501" s="279">
        <f>((AI1507+AI1508+AI1511)/(AI1518+AI1519+AI1522))*100</f>
        <v>96.774193548387103</v>
      </c>
      <c r="AK1501" s="279">
        <f>((AK1507+AK1508+AK1511)/(AK1518+AK1519+AK1522))*100</f>
        <v>100</v>
      </c>
      <c r="AL1501" s="279">
        <f>((AL1507+AL1508+AL1511)/(AL1518+AL1519+AL1522))*100</f>
        <v>100</v>
      </c>
      <c r="AN1501" s="279">
        <f>((AN1507+AN1508+AN1511)/(AN1518+AN1519+AN1522))*100</f>
        <v>100</v>
      </c>
      <c r="AO1501" s="279">
        <f>((AO1507+AO1508+AO1511)/(AO1518+AO1519+AO1522))*100</f>
        <v>100</v>
      </c>
      <c r="AQ1501" s="279">
        <f>((AQ1507+AQ1508+AQ1511)/(AQ1518+AQ1519+AQ1522))*100</f>
        <v>96.774193548387103</v>
      </c>
      <c r="AR1501" s="279">
        <f>((AR1507+AR1508+AR1511)/(AR1518+AR1519+AR1522))*100</f>
        <v>83.78378378378379</v>
      </c>
      <c r="AT1501" s="279">
        <f>((AT1507+AT1508+AT1511)/(AT1518+AT1519+AT1522))*100</f>
        <v>100</v>
      </c>
      <c r="AU1501" s="279">
        <f>((AU1507+AU1508+AU1511)/(AU1518+AU1519+AU1522))*100</f>
        <v>100</v>
      </c>
      <c r="AW1501" s="279">
        <f>((AW1507+AW1508+AW1511)/(AW1518+AW1519+AW1522))*100</f>
        <v>100</v>
      </c>
      <c r="AX1501" s="279">
        <f>((AX1507+AX1508+AX1511)/(AX1518+AX1519+AX1522))*100</f>
        <v>87.5</v>
      </c>
      <c r="AZ1501" s="279">
        <f>((AZ1507+AZ1508+AZ1511)/(AZ1518+AZ1519+AZ1522))*100</f>
        <v>100</v>
      </c>
      <c r="BA1501" s="279">
        <f>((BA1507+BA1508+BA1511)/(BA1518+BA1519+BA1522))*100</f>
        <v>100</v>
      </c>
      <c r="BC1501" s="279">
        <f>((BC1507+BC1508+BC1511)/(BC1518+BC1519+BC1522))*100</f>
        <v>86.666666666666671</v>
      </c>
      <c r="BD1501" s="279">
        <f>((BD1507+BD1508+BD1511)/(BD1518+BD1519+BD1522))*100</f>
        <v>86.666666666666671</v>
      </c>
      <c r="BF1501" s="279">
        <f>((BF1507+BF1508+BF1511)/(BF1518+BF1519+BF1522))*100</f>
        <v>100</v>
      </c>
      <c r="BG1501" s="279">
        <f>((BG1507+BG1508+BG1511)/(BG1518+BG1519+BG1522))*100</f>
        <v>100</v>
      </c>
      <c r="BI1501" s="279">
        <f>((BI1507+BI1508+BI1511)/(BI1518+BI1519+BI1522))*100</f>
        <v>93.548387096774192</v>
      </c>
      <c r="BJ1501" s="279">
        <f>((BJ1507+BJ1508+BJ1511)/(BJ1518+BJ1519+BJ1522))*100</f>
        <v>93.650793650793645</v>
      </c>
      <c r="BL1501" s="279">
        <f>((BL1507+BL1508+BL1511)/(BL1518+BL1519+BL1522))*100</f>
        <v>100</v>
      </c>
      <c r="BM1501" s="279">
        <f>((BM1507+BM1508+BM1511)/(BM1518+BM1519+BM1522))*100</f>
        <v>100</v>
      </c>
      <c r="BO1501" s="279">
        <f>((BO1507+BO1508+BO1511)/(BO1518+BO1519+BO1522))*100</f>
        <v>100</v>
      </c>
      <c r="BP1501" s="279">
        <f>((BP1507+BP1508+BP1511)/(BP1518+BP1519+BP1522))*100</f>
        <v>100</v>
      </c>
      <c r="BR1501" s="279">
        <f>((BR1507+BR1508+BR1511)/(BR1518+BR1519+BR1522))*100</f>
        <v>92.857142857142861</v>
      </c>
      <c r="BS1501" s="279">
        <f>((BS1507+BS1508+BS1511)/(BS1518+BS1519+BS1522))*100</f>
        <v>92.857142857142861</v>
      </c>
      <c r="BU1501" s="279">
        <f>((BU1507+BU1508+BU1511)/(BU1518+BU1519+BU1522))*100</f>
        <v>100</v>
      </c>
      <c r="BV1501" s="279">
        <f>((BV1507+BV1508+BV1511)/(BV1518+BV1519+BV1522))*100</f>
        <v>100</v>
      </c>
      <c r="BX1501" s="279">
        <f>((BX1507+BX1508+BX1511)/(BX1518+BX1519+BX1522))*100</f>
        <v>60</v>
      </c>
      <c r="BY1501" s="279">
        <f>((BY1507+BY1508+BY1511)/(BY1518+BY1519+BY1522))*100</f>
        <v>60</v>
      </c>
      <c r="CA1501" s="279">
        <f>((CA1507+CA1508+CA1511)/(CA1518+CA1519+CA1522))*100</f>
        <v>100</v>
      </c>
      <c r="CB1501" s="279">
        <f>((CB1507+CB1508+CB1511)/(CB1518+CB1519+CB1522))*100</f>
        <v>100</v>
      </c>
      <c r="CD1501" s="279">
        <f>((CD1507+CD1508+CD1511)/(CD1518+CD1519+CD1522))*100</f>
        <v>100</v>
      </c>
      <c r="CE1501" s="279">
        <f>((CE1507+CE1508+CE1511)/(CE1518+CE1519+CE1522))*100</f>
        <v>92.307692307692307</v>
      </c>
      <c r="CG1501" s="279">
        <f>((CG1507+CG1508+CG1511)/(CG1518+CG1519+CG1522))*100</f>
        <v>100</v>
      </c>
      <c r="CH1501" s="279">
        <f>((CH1507+CH1508+CH1511)/(CH1518+CH1519+CH1522))*100</f>
        <v>100</v>
      </c>
      <c r="CJ1501" s="279" t="e">
        <f>((CJ1507+CJ1508+CJ1511)/(CJ1518+CJ1519+CJ1522))*100</f>
        <v>#DIV/0!</v>
      </c>
      <c r="CK1501" s="279" t="e">
        <f>((CK1507+CK1508+CK1511)/(CK1518+CK1519+CK1522))*100</f>
        <v>#DIV/0!</v>
      </c>
    </row>
    <row r="1502" spans="1:89" x14ac:dyDescent="0.25">
      <c r="A1502" s="263"/>
      <c r="B1502" s="96" t="s">
        <v>1183</v>
      </c>
      <c r="C1502" s="107"/>
      <c r="D1502" s="95" t="s">
        <v>8</v>
      </c>
      <c r="E1502" s="279"/>
      <c r="F1502" s="279"/>
      <c r="G1502" s="279"/>
      <c r="H1502" s="279">
        <f>((H1507+H1511)/(H1518+H1522))*100</f>
        <v>99.099099099099092</v>
      </c>
      <c r="I1502" s="279">
        <f>((I1507+I1511)/(I1518+I1522))*100</f>
        <v>100</v>
      </c>
      <c r="J1502" s="279">
        <f>((J1507+J1511)/(J1518+J1522))*100</f>
        <v>95.283018867924525</v>
      </c>
      <c r="K1502" s="279">
        <f>((K1507+K1511)/(K1518+K1522))*100</f>
        <v>95.25316455696202</v>
      </c>
      <c r="L1502" s="279">
        <f>((L1507+L1511)/(L1518+L1522))*100</f>
        <v>100</v>
      </c>
      <c r="M1502" s="279">
        <f t="shared" ref="M1502:N1502" si="1827">((M1507+M1511)/(M1518+M1522))*100</f>
        <v>100</v>
      </c>
      <c r="N1502" s="279">
        <f t="shared" si="1827"/>
        <v>100</v>
      </c>
      <c r="Q1502" s="279">
        <f>((Q1507+Q1511)/(Q1518+Q1522))*100</f>
        <v>95.25316455696202</v>
      </c>
      <c r="R1502" s="279">
        <f>((R1507+R1511)/(R1518+R1522))*100</f>
        <v>95.07692307692308</v>
      </c>
      <c r="S1502" s="279">
        <f>((S1507+S1511)/(S1518+S1522))*100</f>
        <v>83.333333333333343</v>
      </c>
      <c r="T1502" s="279">
        <f>((T1507+T1511)/(T1518+T1522))*100</f>
        <v>100</v>
      </c>
      <c r="V1502" s="279">
        <f>((V1507+V1511)/(V1518+V1522))*100</f>
        <v>83.333333333333343</v>
      </c>
      <c r="W1502" s="279">
        <f>((W1507+W1511)/(W1518+W1522))*100</f>
        <v>83.333333333333343</v>
      </c>
      <c r="Y1502" s="279">
        <f>((Y1507+Y1511)/(Y1518+Y1522))*100</f>
        <v>100</v>
      </c>
      <c r="Z1502" s="279">
        <f>((Z1507+Z1511)/(Z1518+Z1522))*100</f>
        <v>100</v>
      </c>
      <c r="AB1502" s="279">
        <f>((AB1507+AB1511)/(AB1518+AB1522))*100</f>
        <v>75</v>
      </c>
      <c r="AC1502" s="279">
        <f>((AC1507+AC1511)/(AC1518+AC1522))*100</f>
        <v>75</v>
      </c>
      <c r="AE1502" s="279">
        <f>((AE1507+AE1511)/(AE1518+AE1522))*100</f>
        <v>100</v>
      </c>
      <c r="AF1502" s="279">
        <f>((AF1507+AF1511)/(AF1518+AF1522))*100</f>
        <v>100</v>
      </c>
      <c r="AH1502" s="279">
        <f>((AH1507+AH1511)/(AH1518+AH1522))*100</f>
        <v>88.888888888888886</v>
      </c>
      <c r="AI1502" s="279">
        <f>((AI1507+AI1511)/(AI1518+AI1522))*100</f>
        <v>88.888888888888886</v>
      </c>
      <c r="AK1502" s="279">
        <f>((AK1507+AK1511)/(AK1518+AK1522))*100</f>
        <v>100</v>
      </c>
      <c r="AL1502" s="279">
        <f>((AL1507+AL1511)/(AL1518+AL1522))*100</f>
        <v>100</v>
      </c>
      <c r="AN1502" s="279">
        <f>((AN1507+AN1511)/(AN1518+AN1522))*100</f>
        <v>100</v>
      </c>
      <c r="AO1502" s="279">
        <f>((AO1507+AO1511)/(AO1518+AO1522))*100</f>
        <v>100</v>
      </c>
      <c r="AQ1502" s="279" t="e">
        <f>((AQ1507+AQ1511)/(AQ1518+AQ1522))*100</f>
        <v>#DIV/0!</v>
      </c>
      <c r="AR1502" s="279" t="e">
        <f>((AR1507+AR1511)/(AR1518+AR1522))*100</f>
        <v>#DIV/0!</v>
      </c>
      <c r="AT1502" s="279">
        <f>((AT1507+AT1511)/(AT1518+AT1522))*100</f>
        <v>100</v>
      </c>
      <c r="AU1502" s="279">
        <f>((AU1507+AU1511)/(AU1518+AU1522))*100</f>
        <v>100</v>
      </c>
      <c r="AW1502" s="279">
        <f>((AW1507+AW1511)/(AW1518+AW1522))*100</f>
        <v>100</v>
      </c>
      <c r="AX1502" s="279">
        <f>((AX1507+AX1511)/(AX1518+AX1522))*100</f>
        <v>87.5</v>
      </c>
      <c r="AZ1502" s="279">
        <f>((AZ1507+AZ1511)/(AZ1518+AZ1522))*100</f>
        <v>100</v>
      </c>
      <c r="BA1502" s="279">
        <f>((BA1507+BA1511)/(BA1518+BA1522))*100</f>
        <v>100</v>
      </c>
      <c r="BC1502" s="279">
        <f>((BC1507+BC1511)/(BC1518+BC1522))*100</f>
        <v>86.666666666666671</v>
      </c>
      <c r="BD1502" s="279">
        <f>((BD1507+BD1511)/(BD1518+BD1522))*100</f>
        <v>86.666666666666671</v>
      </c>
      <c r="BF1502" s="279">
        <f>((BF1507+BF1511)/(BF1518+BF1522))*100</f>
        <v>100</v>
      </c>
      <c r="BG1502" s="279">
        <f>((BG1507+BG1511)/(BG1518+BG1522))*100</f>
        <v>100</v>
      </c>
      <c r="BI1502" s="279">
        <f>((BI1507+BI1511)/(BI1518+BI1522))*100</f>
        <v>93.548387096774192</v>
      </c>
      <c r="BJ1502" s="279">
        <f>((BJ1507+BJ1511)/(BJ1518+BJ1522))*100</f>
        <v>93.650793650793645</v>
      </c>
      <c r="BL1502" s="279">
        <f>((BL1507+BL1511)/(BL1518+BL1522))*100</f>
        <v>100</v>
      </c>
      <c r="BM1502" s="279">
        <f>((BM1507+BM1511)/(BM1518+BM1522))*100</f>
        <v>100</v>
      </c>
      <c r="BO1502" s="279">
        <f>((BO1507+BO1511)/(BO1518+BO1522))*100</f>
        <v>100</v>
      </c>
      <c r="BP1502" s="279">
        <f>((BP1507+BP1511)/(BP1518+BP1522))*100</f>
        <v>100</v>
      </c>
      <c r="BR1502" s="279">
        <f>((BR1507+BR1511)/(BR1518+BR1522))*100</f>
        <v>92.857142857142861</v>
      </c>
      <c r="BS1502" s="279">
        <f>((BS1507+BS1511)/(BS1518+BS1522))*100</f>
        <v>92.857142857142861</v>
      </c>
      <c r="BU1502" s="279">
        <f>((BU1507+BU1511)/(BU1518+BU1522))*100</f>
        <v>100</v>
      </c>
      <c r="BV1502" s="279">
        <f>((BV1507+BV1511)/(BV1518+BV1522))*100</f>
        <v>100</v>
      </c>
      <c r="BX1502" s="279">
        <f>((BX1507+BX1511)/(BX1518+BX1522))*100</f>
        <v>60</v>
      </c>
      <c r="BY1502" s="279">
        <f>((BY1507+BY1511)/(BY1518+BY1522))*100</f>
        <v>60</v>
      </c>
      <c r="CA1502" s="279">
        <f>((CA1507+CA1511)/(CA1518+CA1522))*100</f>
        <v>100</v>
      </c>
      <c r="CB1502" s="279">
        <f>((CB1507+CB1511)/(CB1518+CB1522))*100</f>
        <v>100</v>
      </c>
      <c r="CD1502" s="279">
        <f>((CD1507+CD1511)/(CD1518+CD1522))*100</f>
        <v>100</v>
      </c>
      <c r="CE1502" s="279">
        <f>((CE1507+CE1511)/(CE1518+CE1522))*100</f>
        <v>92.307692307692307</v>
      </c>
      <c r="CG1502" s="279">
        <f>((CG1507+CG1511)/(CG1518+CG1522))*100</f>
        <v>100</v>
      </c>
      <c r="CH1502" s="279">
        <f>((CH1507+CH1511)/(CH1518+CH1522))*100</f>
        <v>100</v>
      </c>
      <c r="CJ1502" s="279" t="e">
        <f>((CJ1507+CJ1511)/(CJ1518+CJ1522))*100</f>
        <v>#DIV/0!</v>
      </c>
      <c r="CK1502" s="279" t="e">
        <f>((CK1507+CK1511)/(CK1518+CK1522))*100</f>
        <v>#DIV/0!</v>
      </c>
    </row>
    <row r="1503" spans="1:89" x14ac:dyDescent="0.25">
      <c r="A1503" s="263"/>
      <c r="B1503" s="96" t="s">
        <v>1185</v>
      </c>
      <c r="C1503" s="107"/>
      <c r="D1503" s="95" t="s">
        <v>8</v>
      </c>
      <c r="E1503" s="279"/>
      <c r="F1503" s="279"/>
      <c r="G1503" s="279"/>
      <c r="H1503" s="279">
        <f>((H1508+H1511)/(H1519+H1522))*100</f>
        <v>83</v>
      </c>
      <c r="I1503" s="279">
        <f>((I1508+I1511)/(I1519+I1522))*100</f>
        <v>88.775510204081627</v>
      </c>
      <c r="J1503" s="279">
        <f>((J1508+J1511)/(J1519+J1522))*100</f>
        <v>92.666666666666657</v>
      </c>
      <c r="K1503" s="279">
        <f>((K1508+K1511)/(K1519+K1522))*100</f>
        <v>93.421052631578945</v>
      </c>
      <c r="L1503" s="279">
        <f>((L1508+L1511)/(L1519+L1522))*100</f>
        <v>100</v>
      </c>
      <c r="M1503" s="279">
        <f t="shared" ref="M1503:N1503" si="1828">((M1508+M1511)/(M1519+M1522))*100</f>
        <v>100</v>
      </c>
      <c r="N1503" s="279">
        <f t="shared" si="1828"/>
        <v>100</v>
      </c>
      <c r="Q1503" s="279">
        <f>((Q1508+Q1511)/(Q1519+Q1522))*100</f>
        <v>93.421052631578945</v>
      </c>
      <c r="R1503" s="279">
        <f>((R1508+R1511)/(R1519+R1522))*100</f>
        <v>90.445859872611464</v>
      </c>
      <c r="S1503" s="279">
        <f>((S1508+S1511)/(S1519+S1522))*100</f>
        <v>80</v>
      </c>
      <c r="T1503" s="279">
        <f>((T1508+T1511)/(T1519+T1522))*100</f>
        <v>100</v>
      </c>
      <c r="V1503" s="279">
        <f>((V1508+V1511)/(V1519+V1522))*100</f>
        <v>40</v>
      </c>
      <c r="W1503" s="279">
        <f>((W1508+W1511)/(W1519+W1522))*100</f>
        <v>27.27272727272727</v>
      </c>
      <c r="Y1503" s="279">
        <f>((Y1508+Y1511)/(Y1519+Y1522))*100</f>
        <v>100</v>
      </c>
      <c r="Z1503" s="279">
        <f>((Z1508+Z1511)/(Z1519+Z1522))*100</f>
        <v>100</v>
      </c>
      <c r="AB1503" s="279">
        <f>((AB1508+AB1511)/(AB1519+AB1522))*100</f>
        <v>94.73684210526315</v>
      </c>
      <c r="AC1503" s="279">
        <f>((AC1508+AC1511)/(AC1519+AC1522))*100</f>
        <v>94.73684210526315</v>
      </c>
      <c r="AE1503" s="279">
        <f>((AE1508+AE1511)/(AE1519+AE1522))*100</f>
        <v>100</v>
      </c>
      <c r="AF1503" s="279">
        <f>((AF1508+AF1511)/(AF1519+AF1522))*100</f>
        <v>100</v>
      </c>
      <c r="AH1503" s="279">
        <f>((AH1508+AH1511)/(AH1519+AH1522))*100</f>
        <v>100</v>
      </c>
      <c r="AI1503" s="279">
        <f>((AI1508+AI1511)/(AI1519+AI1522))*100</f>
        <v>100</v>
      </c>
      <c r="AK1503" s="279">
        <f>((AK1508+AK1511)/(AK1519+AK1522))*100</f>
        <v>100</v>
      </c>
      <c r="AL1503" s="279">
        <f>((AL1508+AL1511)/(AL1519+AL1522))*100</f>
        <v>100</v>
      </c>
      <c r="AN1503" s="279">
        <f>((AN1508+AN1511)/(AN1519+AN1522))*100</f>
        <v>100</v>
      </c>
      <c r="AO1503" s="279">
        <f>((AO1508+AO1511)/(AO1519+AO1522))*100</f>
        <v>100</v>
      </c>
      <c r="AQ1503" s="279">
        <f>((AQ1508+AQ1511)/(AQ1519+AQ1522))*100</f>
        <v>96.774193548387103</v>
      </c>
      <c r="AR1503" s="279">
        <f>((AR1508+AR1511)/(AR1519+AR1522))*100</f>
        <v>83.78378378378379</v>
      </c>
      <c r="AT1503" s="279" t="e">
        <f>((AT1508+AT1511)/(AT1519+AT1522))*100</f>
        <v>#DIV/0!</v>
      </c>
      <c r="AU1503" s="279" t="e">
        <f>((AU1508+AU1511)/(AU1519+AU1522))*100</f>
        <v>#DIV/0!</v>
      </c>
      <c r="AW1503" s="279" t="e">
        <f>((AW1508+AW1511)/(AW1519+AW1522))*100</f>
        <v>#DIV/0!</v>
      </c>
      <c r="AX1503" s="279" t="e">
        <f>((AX1508+AX1511)/(AX1519+AX1522))*100</f>
        <v>#DIV/0!</v>
      </c>
      <c r="AZ1503" s="279" t="e">
        <f>((AZ1508+AZ1511)/(AZ1519+AZ1522))*100</f>
        <v>#DIV/0!</v>
      </c>
      <c r="BA1503" s="279" t="e">
        <f>((BA1508+BA1511)/(BA1519+BA1522))*100</f>
        <v>#DIV/0!</v>
      </c>
      <c r="BC1503" s="279" t="e">
        <f>((BC1508+BC1511)/(BC1519+BC1522))*100</f>
        <v>#DIV/0!</v>
      </c>
      <c r="BD1503" s="279" t="e">
        <f>((BD1508+BD1511)/(BD1519+BD1522))*100</f>
        <v>#DIV/0!</v>
      </c>
      <c r="BF1503" s="279" t="e">
        <f>((BF1508+BF1511)/(BF1519+BF1522))*100</f>
        <v>#DIV/0!</v>
      </c>
      <c r="BG1503" s="279" t="e">
        <f>((BG1508+BG1511)/(BG1519+BG1522))*100</f>
        <v>#DIV/0!</v>
      </c>
      <c r="BI1503" s="279" t="e">
        <f>((BI1508+BI1511)/(BI1519+BI1522))*100</f>
        <v>#DIV/0!</v>
      </c>
      <c r="BJ1503" s="279" t="e">
        <f>((BJ1508+BJ1511)/(BJ1519+BJ1522))*100</f>
        <v>#DIV/0!</v>
      </c>
      <c r="BL1503" s="279" t="e">
        <f>((BL1508+BL1511)/(BL1519+BL1522))*100</f>
        <v>#DIV/0!</v>
      </c>
      <c r="BM1503" s="279" t="e">
        <f>((BM1508+BM1511)/(BM1519+BM1522))*100</f>
        <v>#DIV/0!</v>
      </c>
      <c r="BO1503" s="279" t="e">
        <f>((BO1508+BO1511)/(BO1519+BO1522))*100</f>
        <v>#DIV/0!</v>
      </c>
      <c r="BP1503" s="279" t="e">
        <f>((BP1508+BP1511)/(BP1519+BP1522))*100</f>
        <v>#DIV/0!</v>
      </c>
      <c r="BR1503" s="279" t="e">
        <f>((BR1508+BR1511)/(BR1519+BR1522))*100</f>
        <v>#DIV/0!</v>
      </c>
      <c r="BS1503" s="279" t="e">
        <f>((BS1508+BS1511)/(BS1519+BS1522))*100</f>
        <v>#DIV/0!</v>
      </c>
      <c r="BU1503" s="279" t="e">
        <f>((BU1508+BU1511)/(BU1519+BU1522))*100</f>
        <v>#DIV/0!</v>
      </c>
      <c r="BV1503" s="279" t="e">
        <f>((BV1508+BV1511)/(BV1519+BV1522))*100</f>
        <v>#DIV/0!</v>
      </c>
      <c r="BX1503" s="279" t="e">
        <f>((BX1508+BX1511)/(BX1519+BX1522))*100</f>
        <v>#DIV/0!</v>
      </c>
      <c r="BY1503" s="279" t="e">
        <f>((BY1508+BY1511)/(BY1519+BY1522))*100</f>
        <v>#DIV/0!</v>
      </c>
      <c r="CA1503" s="279" t="e">
        <f>((CA1508+CA1511)/(CA1519+CA1522))*100</f>
        <v>#DIV/0!</v>
      </c>
      <c r="CB1503" s="279" t="e">
        <f>((CB1508+CB1511)/(CB1519+CB1522))*100</f>
        <v>#DIV/0!</v>
      </c>
      <c r="CD1503" s="279" t="e">
        <f>((CD1508+CD1511)/(CD1519+CD1522))*100</f>
        <v>#DIV/0!</v>
      </c>
      <c r="CE1503" s="279" t="e">
        <f>((CE1508+CE1511)/(CE1519+CE1522))*100</f>
        <v>#DIV/0!</v>
      </c>
      <c r="CG1503" s="279">
        <f>((CG1508+CG1511)/(CG1519+CG1522))*100</f>
        <v>100</v>
      </c>
      <c r="CH1503" s="279">
        <f>((CH1508+CH1511)/(CH1519+CH1522))*100</f>
        <v>100</v>
      </c>
      <c r="CJ1503" s="279" t="e">
        <f>((CJ1508+CJ1511)/(CJ1519+CJ1522))*100</f>
        <v>#DIV/0!</v>
      </c>
      <c r="CK1503" s="279" t="e">
        <f>((CK1508+CK1511)/(CK1519+CK1522))*100</f>
        <v>#DIV/0!</v>
      </c>
    </row>
    <row r="1504" spans="1:89" x14ac:dyDescent="0.25">
      <c r="A1504" s="263"/>
      <c r="B1504" s="96" t="s">
        <v>1184</v>
      </c>
      <c r="C1504" s="107"/>
      <c r="D1504" s="95" t="s">
        <v>8</v>
      </c>
      <c r="E1504" s="279">
        <f t="shared" ref="E1504:J1504" si="1829">((E1509+E1510)/(E1520+E1521))*100</f>
        <v>80</v>
      </c>
      <c r="F1504" s="279">
        <f t="shared" si="1829"/>
        <v>60</v>
      </c>
      <c r="G1504" s="279">
        <f t="shared" si="1829"/>
        <v>60</v>
      </c>
      <c r="H1504" s="279">
        <f t="shared" si="1829"/>
        <v>75</v>
      </c>
      <c r="I1504" s="279">
        <f t="shared" si="1829"/>
        <v>75</v>
      </c>
      <c r="J1504" s="279">
        <f t="shared" si="1829"/>
        <v>100</v>
      </c>
      <c r="K1504" s="279">
        <f>((K1509+K1510)/(K1520+K1521))*100</f>
        <v>100</v>
      </c>
      <c r="L1504" s="279" t="e">
        <f>((L1509+L1510)/(L1520+L1521))*100</f>
        <v>#DIV/0!</v>
      </c>
      <c r="M1504" s="279" t="e">
        <f>((M1509+M1510)/(M1520+M1521))*100</f>
        <v>#DIV/0!</v>
      </c>
      <c r="N1504" s="279" t="e">
        <f>((N1509+N1510)/(N1520+N1521))*100</f>
        <v>#DIV/0!</v>
      </c>
      <c r="Q1504" s="279">
        <f>((Q1509+Q1510)/(Q1520+Q1521))*100</f>
        <v>100</v>
      </c>
      <c r="R1504" s="279">
        <f>((R1509+R1510)/(R1520+R1521))*100</f>
        <v>100</v>
      </c>
      <c r="S1504" s="279" t="e">
        <f>((S1509+S1510)/(S1520+S1521))*100</f>
        <v>#DIV/0!</v>
      </c>
      <c r="T1504" s="279" t="e">
        <f>((T1509+T1510)/(T1520+T1521))*100</f>
        <v>#DIV/0!</v>
      </c>
      <c r="V1504" s="279" t="e">
        <f>((V1509+V1510)/(V1520+V1521))*100</f>
        <v>#DIV/0!</v>
      </c>
      <c r="W1504" s="279" t="e">
        <f>((W1509+W1510)/(W1520+W1521))*100</f>
        <v>#DIV/0!</v>
      </c>
      <c r="Y1504" s="279" t="e">
        <f>((Y1509+Y1510)/(Y1520+Y1521))*100</f>
        <v>#DIV/0!</v>
      </c>
      <c r="Z1504" s="279" t="e">
        <f>((Z1509+Z1510)/(Z1520+Z1521))*100</f>
        <v>#DIV/0!</v>
      </c>
      <c r="AB1504" s="279" t="e">
        <f>((AB1509+AB1510)/(AB1520+AB1521))*100</f>
        <v>#DIV/0!</v>
      </c>
      <c r="AC1504" s="279" t="e">
        <f>((AC1509+AC1510)/(AC1520+AC1521))*100</f>
        <v>#DIV/0!</v>
      </c>
      <c r="AE1504" s="279" t="e">
        <f>((AE1509+AE1510)/(AE1520+AE1521))*100</f>
        <v>#DIV/0!</v>
      </c>
      <c r="AF1504" s="279" t="e">
        <f>((AF1509+AF1510)/(AF1520+AF1521))*100</f>
        <v>#DIV/0!</v>
      </c>
      <c r="AH1504" s="279" t="e">
        <f>((AH1509+AH1510)/(AH1520+AH1521))*100</f>
        <v>#DIV/0!</v>
      </c>
      <c r="AI1504" s="279" t="e">
        <f>((AI1509+AI1510)/(AI1520+AI1521))*100</f>
        <v>#DIV/0!</v>
      </c>
      <c r="AK1504" s="279" t="e">
        <f>((AK1509+AK1510)/(AK1520+AK1521))*100</f>
        <v>#DIV/0!</v>
      </c>
      <c r="AL1504" s="279" t="e">
        <f>((AL1509+AL1510)/(AL1520+AL1521))*100</f>
        <v>#DIV/0!</v>
      </c>
      <c r="AN1504" s="279" t="e">
        <f>((AN1509+AN1510)/(AN1520+AN1521))*100</f>
        <v>#DIV/0!</v>
      </c>
      <c r="AO1504" s="279" t="e">
        <f>((AO1509+AO1510)/(AO1520+AO1521))*100</f>
        <v>#DIV/0!</v>
      </c>
      <c r="AQ1504" s="279" t="e">
        <f>((AQ1509+AQ1510)/(AQ1520+AQ1521))*100</f>
        <v>#DIV/0!</v>
      </c>
      <c r="AR1504" s="279" t="e">
        <f>((AR1509+AR1510)/(AR1520+AR1521))*100</f>
        <v>#DIV/0!</v>
      </c>
      <c r="AT1504" s="279" t="e">
        <f>((AT1509+AT1510)/(AT1520+AT1521))*100</f>
        <v>#DIV/0!</v>
      </c>
      <c r="AU1504" s="279" t="e">
        <f>((AU1509+AU1510)/(AU1520+AU1521))*100</f>
        <v>#DIV/0!</v>
      </c>
      <c r="AW1504" s="279" t="e">
        <f>((AW1509+AW1510)/(AW1520+AW1521))*100</f>
        <v>#DIV/0!</v>
      </c>
      <c r="AX1504" s="279" t="e">
        <f>((AX1509+AX1510)/(AX1520+AX1521))*100</f>
        <v>#DIV/0!</v>
      </c>
      <c r="AZ1504" s="279" t="e">
        <f>((AZ1509+AZ1510)/(AZ1520+AZ1521))*100</f>
        <v>#DIV/0!</v>
      </c>
      <c r="BA1504" s="279" t="e">
        <f>((BA1509+BA1510)/(BA1520+BA1521))*100</f>
        <v>#DIV/0!</v>
      </c>
      <c r="BC1504" s="279">
        <f>((BC1509+BC1510)/(BC1520+BC1521))*100</f>
        <v>100</v>
      </c>
      <c r="BD1504" s="279">
        <f>((BD1509+BD1510)/(BD1520+BD1521))*100</f>
        <v>100</v>
      </c>
      <c r="BF1504" s="279">
        <f>((BF1509+BF1510)/(BF1520+BF1521))*100</f>
        <v>100</v>
      </c>
      <c r="BG1504" s="279">
        <f>((BG1509+BG1510)/(BG1520+BG1521))*100</f>
        <v>100</v>
      </c>
      <c r="BI1504" s="279">
        <f>((BI1509+BI1510)/(BI1520+BI1521))*100</f>
        <v>100</v>
      </c>
      <c r="BJ1504" s="279">
        <f>((BJ1509+BJ1510)/(BJ1520+BJ1521))*100</f>
        <v>100</v>
      </c>
      <c r="BL1504" s="279" t="e">
        <f>((BL1509+BL1510)/(BL1520+BL1521))*100</f>
        <v>#DIV/0!</v>
      </c>
      <c r="BM1504" s="279" t="e">
        <f>((BM1509+BM1510)/(BM1520+BM1521))*100</f>
        <v>#DIV/0!</v>
      </c>
      <c r="BO1504" s="279" t="e">
        <f>((BO1509+BO1510)/(BO1520+BO1521))*100</f>
        <v>#DIV/0!</v>
      </c>
      <c r="BP1504" s="279" t="e">
        <f>((BP1509+BP1510)/(BP1520+BP1521))*100</f>
        <v>#DIV/0!</v>
      </c>
      <c r="BR1504" s="279" t="e">
        <f>((BR1509+BR1510)/(BR1520+BR1521))*100</f>
        <v>#DIV/0!</v>
      </c>
      <c r="BS1504" s="279" t="e">
        <f>((BS1509+BS1510)/(BS1520+BS1521))*100</f>
        <v>#DIV/0!</v>
      </c>
      <c r="BU1504" s="279" t="e">
        <f>((BU1509+BU1510)/(BU1520+BU1521))*100</f>
        <v>#DIV/0!</v>
      </c>
      <c r="BV1504" s="279" t="e">
        <f>((BV1509+BV1510)/(BV1520+BV1521))*100</f>
        <v>#DIV/0!</v>
      </c>
      <c r="BX1504" s="279" t="e">
        <f>((BX1509+BX1510)/(BX1520+BX1521))*100</f>
        <v>#DIV/0!</v>
      </c>
      <c r="BY1504" s="279" t="e">
        <f>((BY1509+BY1510)/(BY1520+BY1521))*100</f>
        <v>#DIV/0!</v>
      </c>
      <c r="CA1504" s="279" t="e">
        <f>((CA1509+CA1510)/(CA1520+CA1521))*100</f>
        <v>#DIV/0!</v>
      </c>
      <c r="CB1504" s="279" t="e">
        <f>((CB1509+CB1510)/(CB1520+CB1521))*100</f>
        <v>#DIV/0!</v>
      </c>
      <c r="CD1504" s="279">
        <f>((CD1509+CD1510)/(CD1520+CD1521))*100</f>
        <v>100</v>
      </c>
      <c r="CE1504" s="279">
        <f>((CE1509+CE1510)/(CE1520+CE1521))*100</f>
        <v>100</v>
      </c>
      <c r="CG1504" s="279" t="e">
        <f>((CG1509+CG1510)/(CG1520+CG1521))*100</f>
        <v>#DIV/0!</v>
      </c>
      <c r="CH1504" s="279" t="e">
        <f>((CH1509+CH1510)/(CH1520+CH1521))*100</f>
        <v>#DIV/0!</v>
      </c>
      <c r="CJ1504" s="279" t="e">
        <f>((CJ1509+CJ1510)/(CJ1520+CJ1521))*100</f>
        <v>#DIV/0!</v>
      </c>
      <c r="CK1504" s="279" t="e">
        <f>((CK1509+CK1510)/(CK1520+CK1521))*100</f>
        <v>#DIV/0!</v>
      </c>
    </row>
    <row r="1505" spans="1:89" x14ac:dyDescent="0.25">
      <c r="A1505" s="263"/>
      <c r="B1505" s="96" t="s">
        <v>1183</v>
      </c>
      <c r="C1505" s="107"/>
      <c r="D1505" s="95" t="s">
        <v>8</v>
      </c>
      <c r="E1505" s="279"/>
      <c r="F1505" s="279"/>
      <c r="G1505" s="279"/>
      <c r="H1505" s="279">
        <f t="shared" ref="H1505:J1506" si="1830">((H1509)/(H1520))*100</f>
        <v>75</v>
      </c>
      <c r="I1505" s="279">
        <f t="shared" si="1830"/>
        <v>75</v>
      </c>
      <c r="J1505" s="279">
        <f t="shared" si="1830"/>
        <v>100</v>
      </c>
      <c r="K1505" s="279">
        <f>((K1509)/(K1520))*100</f>
        <v>100</v>
      </c>
      <c r="L1505" s="279" t="e">
        <f>((L1509)/(L1520))*100</f>
        <v>#DIV/0!</v>
      </c>
      <c r="M1505" s="279" t="e">
        <f t="shared" ref="M1505:N1506" si="1831">((M1509)/(M1520))*100</f>
        <v>#DIV/0!</v>
      </c>
      <c r="N1505" s="279" t="e">
        <f t="shared" si="1831"/>
        <v>#DIV/0!</v>
      </c>
      <c r="Q1505" s="279">
        <f t="shared" ref="Q1505:T1506" si="1832">((Q1509)/(Q1520))*100</f>
        <v>100</v>
      </c>
      <c r="R1505" s="279">
        <f t="shared" si="1832"/>
        <v>100</v>
      </c>
      <c r="S1505" s="279" t="e">
        <f t="shared" si="1832"/>
        <v>#DIV/0!</v>
      </c>
      <c r="T1505" s="279" t="e">
        <f t="shared" si="1832"/>
        <v>#DIV/0!</v>
      </c>
      <c r="V1505" s="279" t="e">
        <f>((V1509)/(V1520))*100</f>
        <v>#DIV/0!</v>
      </c>
      <c r="W1505" s="279" t="e">
        <f>((W1509)/(W1520))*100</f>
        <v>#DIV/0!</v>
      </c>
      <c r="Y1505" s="279" t="e">
        <f>((Y1509)/(Y1520))*100</f>
        <v>#DIV/0!</v>
      </c>
      <c r="Z1505" s="279" t="e">
        <f>((Z1509)/(Z1520))*100</f>
        <v>#DIV/0!</v>
      </c>
      <c r="AB1505" s="279" t="e">
        <f>((AB1509)/(AB1520))*100</f>
        <v>#DIV/0!</v>
      </c>
      <c r="AC1505" s="279" t="e">
        <f>((AC1509)/(AC1520))*100</f>
        <v>#DIV/0!</v>
      </c>
      <c r="AE1505" s="279" t="e">
        <f>((AE1509)/(AE1520))*100</f>
        <v>#DIV/0!</v>
      </c>
      <c r="AF1505" s="279" t="e">
        <f>((AF1509)/(AF1520))*100</f>
        <v>#DIV/0!</v>
      </c>
      <c r="AH1505" s="279" t="e">
        <f>((AH1509)/(AH1520))*100</f>
        <v>#DIV/0!</v>
      </c>
      <c r="AI1505" s="279" t="e">
        <f>((AI1509)/(AI1520))*100</f>
        <v>#DIV/0!</v>
      </c>
      <c r="AK1505" s="279" t="e">
        <f>((AK1509)/(AK1520))*100</f>
        <v>#DIV/0!</v>
      </c>
      <c r="AL1505" s="279" t="e">
        <f>((AL1509)/(AL1520))*100</f>
        <v>#DIV/0!</v>
      </c>
      <c r="AN1505" s="279" t="e">
        <f>((AN1509)/(AN1520))*100</f>
        <v>#DIV/0!</v>
      </c>
      <c r="AO1505" s="279" t="e">
        <f>((AO1509)/(AO1520))*100</f>
        <v>#DIV/0!</v>
      </c>
      <c r="AQ1505" s="279" t="e">
        <f>((AQ1509)/(AQ1520))*100</f>
        <v>#DIV/0!</v>
      </c>
      <c r="AR1505" s="279" t="e">
        <f>((AR1509)/(AR1520))*100</f>
        <v>#DIV/0!</v>
      </c>
      <c r="AT1505" s="279" t="e">
        <f>((AT1509)/(AT1520))*100</f>
        <v>#DIV/0!</v>
      </c>
      <c r="AU1505" s="279" t="e">
        <f>((AU1509)/(AU1520))*100</f>
        <v>#DIV/0!</v>
      </c>
      <c r="AW1505" s="279" t="e">
        <f>((AW1509)/(AW1520))*100</f>
        <v>#DIV/0!</v>
      </c>
      <c r="AX1505" s="279" t="e">
        <f>((AX1509)/(AX1520))*100</f>
        <v>#DIV/0!</v>
      </c>
      <c r="AZ1505" s="279" t="e">
        <f>((AZ1509)/(AZ1520))*100</f>
        <v>#DIV/0!</v>
      </c>
      <c r="BA1505" s="279" t="e">
        <f>((BA1509)/(BA1520))*100</f>
        <v>#DIV/0!</v>
      </c>
      <c r="BC1505" s="279">
        <f>((BC1509)/(BC1520))*100</f>
        <v>100</v>
      </c>
      <c r="BD1505" s="279">
        <f>((BD1509)/(BD1520))*100</f>
        <v>100</v>
      </c>
      <c r="BF1505" s="279">
        <f>((BF1509)/(BF1520))*100</f>
        <v>100</v>
      </c>
      <c r="BG1505" s="279">
        <f>((BG1509)/(BG1520))*100</f>
        <v>100</v>
      </c>
      <c r="BI1505" s="279">
        <f>((BI1509)/(BI1520))*100</f>
        <v>100</v>
      </c>
      <c r="BJ1505" s="279">
        <f>((BJ1509)/(BJ1520))*100</f>
        <v>100</v>
      </c>
      <c r="BL1505" s="279" t="e">
        <f>((BL1509)/(BL1520))*100</f>
        <v>#DIV/0!</v>
      </c>
      <c r="BM1505" s="279" t="e">
        <f>((BM1509)/(BM1520))*100</f>
        <v>#DIV/0!</v>
      </c>
      <c r="BO1505" s="279" t="e">
        <f>((BO1509)/(BO1520))*100</f>
        <v>#DIV/0!</v>
      </c>
      <c r="BP1505" s="279" t="e">
        <f>((BP1509)/(BP1520))*100</f>
        <v>#DIV/0!</v>
      </c>
      <c r="BR1505" s="279" t="e">
        <f>((BR1509)/(BR1520))*100</f>
        <v>#DIV/0!</v>
      </c>
      <c r="BS1505" s="279" t="e">
        <f>((BS1509)/(BS1520))*100</f>
        <v>#DIV/0!</v>
      </c>
      <c r="BU1505" s="279" t="e">
        <f>((BU1509)/(BU1520))*100</f>
        <v>#DIV/0!</v>
      </c>
      <c r="BV1505" s="279" t="e">
        <f>((BV1509)/(BV1520))*100</f>
        <v>#DIV/0!</v>
      </c>
      <c r="BX1505" s="279" t="e">
        <f>((BX1509)/(BX1520))*100</f>
        <v>#DIV/0!</v>
      </c>
      <c r="BY1505" s="279" t="e">
        <f>((BY1509)/(BY1520))*100</f>
        <v>#DIV/0!</v>
      </c>
      <c r="CA1505" s="279" t="e">
        <f>((CA1509)/(CA1520))*100</f>
        <v>#DIV/0!</v>
      </c>
      <c r="CB1505" s="279" t="e">
        <f>((CB1509)/(CB1520))*100</f>
        <v>#DIV/0!</v>
      </c>
      <c r="CD1505" s="279">
        <f>((CD1509)/(CD1520))*100</f>
        <v>100</v>
      </c>
      <c r="CE1505" s="279">
        <f>((CE1509)/(CE1520))*100</f>
        <v>100</v>
      </c>
      <c r="CG1505" s="279" t="e">
        <f>((CG1509)/(CG1520))*100</f>
        <v>#DIV/0!</v>
      </c>
      <c r="CH1505" s="279" t="e">
        <f>((CH1509)/(CH1520))*100</f>
        <v>#DIV/0!</v>
      </c>
      <c r="CJ1505" s="279" t="e">
        <f>((CJ1509)/(CJ1520))*100</f>
        <v>#DIV/0!</v>
      </c>
      <c r="CK1505" s="279" t="e">
        <f>((CK1509)/(CK1520))*100</f>
        <v>#DIV/0!</v>
      </c>
    </row>
    <row r="1506" spans="1:89" x14ac:dyDescent="0.25">
      <c r="A1506" s="263"/>
      <c r="B1506" s="96" t="s">
        <v>1185</v>
      </c>
      <c r="C1506" s="107"/>
      <c r="D1506" s="95" t="s">
        <v>8</v>
      </c>
      <c r="E1506" s="279"/>
      <c r="F1506" s="279"/>
      <c r="G1506" s="279"/>
      <c r="H1506" s="279" t="e">
        <f t="shared" si="1830"/>
        <v>#DIV/0!</v>
      </c>
      <c r="I1506" s="279" t="e">
        <f t="shared" si="1830"/>
        <v>#DIV/0!</v>
      </c>
      <c r="J1506" s="279" t="e">
        <f t="shared" si="1830"/>
        <v>#DIV/0!</v>
      </c>
      <c r="K1506" s="279" t="e">
        <f>((K1510)/(K1521))*100</f>
        <v>#DIV/0!</v>
      </c>
      <c r="L1506" s="279" t="e">
        <f>((L1510)/(L1521))*100</f>
        <v>#DIV/0!</v>
      </c>
      <c r="M1506" s="279" t="e">
        <f t="shared" si="1831"/>
        <v>#DIV/0!</v>
      </c>
      <c r="N1506" s="279" t="e">
        <f t="shared" si="1831"/>
        <v>#DIV/0!</v>
      </c>
      <c r="Q1506" s="279" t="e">
        <f t="shared" si="1832"/>
        <v>#DIV/0!</v>
      </c>
      <c r="R1506" s="279" t="e">
        <f t="shared" si="1832"/>
        <v>#DIV/0!</v>
      </c>
      <c r="S1506" s="279" t="e">
        <f t="shared" si="1832"/>
        <v>#DIV/0!</v>
      </c>
      <c r="T1506" s="279" t="e">
        <f t="shared" si="1832"/>
        <v>#DIV/0!</v>
      </c>
      <c r="V1506" s="279" t="e">
        <f>((V1510)/(V1521))*100</f>
        <v>#DIV/0!</v>
      </c>
      <c r="W1506" s="279" t="e">
        <f>((W1510)/(W1521))*100</f>
        <v>#DIV/0!</v>
      </c>
      <c r="Y1506" s="279" t="e">
        <f>((Y1510)/(Y1521))*100</f>
        <v>#DIV/0!</v>
      </c>
      <c r="Z1506" s="279" t="e">
        <f>((Z1510)/(Z1521))*100</f>
        <v>#DIV/0!</v>
      </c>
      <c r="AB1506" s="279" t="e">
        <f>((AB1510)/(AB1521))*100</f>
        <v>#DIV/0!</v>
      </c>
      <c r="AC1506" s="279" t="e">
        <f>((AC1510)/(AC1521))*100</f>
        <v>#DIV/0!</v>
      </c>
      <c r="AE1506" s="279" t="e">
        <f>((AE1510)/(AE1521))*100</f>
        <v>#DIV/0!</v>
      </c>
      <c r="AF1506" s="279" t="e">
        <f>((AF1510)/(AF1521))*100</f>
        <v>#DIV/0!</v>
      </c>
      <c r="AH1506" s="279" t="e">
        <f>((AH1510)/(AH1521))*100</f>
        <v>#DIV/0!</v>
      </c>
      <c r="AI1506" s="279" t="e">
        <f>((AI1510)/(AI1521))*100</f>
        <v>#DIV/0!</v>
      </c>
      <c r="AK1506" s="279" t="e">
        <f>((AK1510)/(AK1521))*100</f>
        <v>#DIV/0!</v>
      </c>
      <c r="AL1506" s="279" t="e">
        <f>((AL1510)/(AL1521))*100</f>
        <v>#DIV/0!</v>
      </c>
      <c r="AN1506" s="279" t="e">
        <f>((AN1510)/(AN1521))*100</f>
        <v>#DIV/0!</v>
      </c>
      <c r="AO1506" s="279" t="e">
        <f>((AO1510)/(AO1521))*100</f>
        <v>#DIV/0!</v>
      </c>
      <c r="AQ1506" s="279" t="e">
        <f>((AQ1510)/(AQ1521))*100</f>
        <v>#DIV/0!</v>
      </c>
      <c r="AR1506" s="279" t="e">
        <f>((AR1510)/(AR1521))*100</f>
        <v>#DIV/0!</v>
      </c>
      <c r="AT1506" s="279" t="e">
        <f>((AT1510)/(AT1521))*100</f>
        <v>#DIV/0!</v>
      </c>
      <c r="AU1506" s="279" t="e">
        <f>((AU1510)/(AU1521))*100</f>
        <v>#DIV/0!</v>
      </c>
      <c r="AW1506" s="279" t="e">
        <f>((AW1510)/(AW1521))*100</f>
        <v>#DIV/0!</v>
      </c>
      <c r="AX1506" s="279" t="e">
        <f>((AX1510)/(AX1521))*100</f>
        <v>#DIV/0!</v>
      </c>
      <c r="AZ1506" s="279" t="e">
        <f>((AZ1510)/(AZ1521))*100</f>
        <v>#DIV/0!</v>
      </c>
      <c r="BA1506" s="279" t="e">
        <f>((BA1510)/(BA1521))*100</f>
        <v>#DIV/0!</v>
      </c>
      <c r="BC1506" s="279" t="e">
        <f>((BC1510)/(BC1521))*100</f>
        <v>#DIV/0!</v>
      </c>
      <c r="BD1506" s="279" t="e">
        <f>((BD1510)/(BD1521))*100</f>
        <v>#DIV/0!</v>
      </c>
      <c r="BF1506" s="279" t="e">
        <f>((BF1510)/(BF1521))*100</f>
        <v>#DIV/0!</v>
      </c>
      <c r="BG1506" s="279" t="e">
        <f>((BG1510)/(BG1521))*100</f>
        <v>#DIV/0!</v>
      </c>
      <c r="BI1506" s="279" t="e">
        <f>((BI1510)/(BI1521))*100</f>
        <v>#DIV/0!</v>
      </c>
      <c r="BJ1506" s="279" t="e">
        <f>((BJ1510)/(BJ1521))*100</f>
        <v>#DIV/0!</v>
      </c>
      <c r="BL1506" s="279" t="e">
        <f>((BL1510)/(BL1521))*100</f>
        <v>#DIV/0!</v>
      </c>
      <c r="BM1506" s="279" t="e">
        <f>((BM1510)/(BM1521))*100</f>
        <v>#DIV/0!</v>
      </c>
      <c r="BO1506" s="279" t="e">
        <f>((BO1510)/(BO1521))*100</f>
        <v>#DIV/0!</v>
      </c>
      <c r="BP1506" s="279" t="e">
        <f>((BP1510)/(BP1521))*100</f>
        <v>#DIV/0!</v>
      </c>
      <c r="BR1506" s="279" t="e">
        <f>((BR1510)/(BR1521))*100</f>
        <v>#DIV/0!</v>
      </c>
      <c r="BS1506" s="279" t="e">
        <f>((BS1510)/(BS1521))*100</f>
        <v>#DIV/0!</v>
      </c>
      <c r="BU1506" s="279" t="e">
        <f>((BU1510)/(BU1521))*100</f>
        <v>#DIV/0!</v>
      </c>
      <c r="BV1506" s="279" t="e">
        <f>((BV1510)/(BV1521))*100</f>
        <v>#DIV/0!</v>
      </c>
      <c r="BX1506" s="279" t="e">
        <f>((BX1510)/(BX1521))*100</f>
        <v>#DIV/0!</v>
      </c>
      <c r="BY1506" s="279" t="e">
        <f>((BY1510)/(BY1521))*100</f>
        <v>#DIV/0!</v>
      </c>
      <c r="CA1506" s="279" t="e">
        <f>((CA1510)/(CA1521))*100</f>
        <v>#DIV/0!</v>
      </c>
      <c r="CB1506" s="279" t="e">
        <f>((CB1510)/(CB1521))*100</f>
        <v>#DIV/0!</v>
      </c>
      <c r="CD1506" s="279" t="e">
        <f>((CD1510)/(CD1521))*100</f>
        <v>#DIV/0!</v>
      </c>
      <c r="CE1506" s="279" t="e">
        <f>((CE1510)/(CE1521))*100</f>
        <v>#DIV/0!</v>
      </c>
      <c r="CG1506" s="279" t="e">
        <f>((CG1510)/(CG1521))*100</f>
        <v>#DIV/0!</v>
      </c>
      <c r="CH1506" s="279" t="e">
        <f>((CH1510)/(CH1521))*100</f>
        <v>#DIV/0!</v>
      </c>
      <c r="CJ1506" s="279" t="e">
        <f>((CJ1510)/(CJ1521))*100</f>
        <v>#DIV/0!</v>
      </c>
      <c r="CK1506" s="279" t="e">
        <f>((CK1510)/(CK1521))*100</f>
        <v>#DIV/0!</v>
      </c>
    </row>
    <row r="1507" spans="1:89" ht="30" x14ac:dyDescent="0.25">
      <c r="A1507" s="416"/>
      <c r="B1507" s="419" t="s">
        <v>306</v>
      </c>
      <c r="C1507" s="95" t="s">
        <v>1280</v>
      </c>
      <c r="D1507" s="95" t="s">
        <v>1112</v>
      </c>
      <c r="E1507" s="292">
        <v>215</v>
      </c>
      <c r="F1507" s="292">
        <v>218</v>
      </c>
      <c r="G1507" s="292">
        <v>212</v>
      </c>
      <c r="H1507" s="292">
        <f>H1513</f>
        <v>220</v>
      </c>
      <c r="I1507" s="292">
        <f>I1513</f>
        <v>220</v>
      </c>
      <c r="J1507" s="292">
        <f>J1513</f>
        <v>303</v>
      </c>
      <c r="K1507" s="292">
        <f>K1513</f>
        <v>301</v>
      </c>
      <c r="L1507" s="292">
        <f>L1513</f>
        <v>5</v>
      </c>
      <c r="M1507" s="292">
        <f t="shared" ref="M1507:N1507" si="1833">M1513</f>
        <v>5</v>
      </c>
      <c r="N1507" s="292">
        <f t="shared" si="1833"/>
        <v>5</v>
      </c>
      <c r="Q1507" s="292">
        <f t="shared" ref="Q1507:T1508" si="1834">Q1513</f>
        <v>301</v>
      </c>
      <c r="R1507" s="292">
        <f t="shared" si="1834"/>
        <v>309</v>
      </c>
      <c r="S1507" s="292">
        <f t="shared" si="1834"/>
        <v>5</v>
      </c>
      <c r="T1507" s="292">
        <f t="shared" si="1834"/>
        <v>7</v>
      </c>
      <c r="V1507" s="292">
        <f>V1513</f>
        <v>5</v>
      </c>
      <c r="W1507" s="292">
        <f>W1513</f>
        <v>5</v>
      </c>
      <c r="Y1507" s="292">
        <f>Y1513</f>
        <v>6</v>
      </c>
      <c r="Z1507" s="292">
        <f>Z1513</f>
        <v>6</v>
      </c>
      <c r="AB1507" s="292">
        <f>AB1513</f>
        <v>3</v>
      </c>
      <c r="AC1507" s="292">
        <f>AC1513</f>
        <v>3</v>
      </c>
      <c r="AE1507" s="292">
        <f>AE1513</f>
        <v>9</v>
      </c>
      <c r="AF1507" s="292">
        <f>AF1513</f>
        <v>11</v>
      </c>
      <c r="AH1507" s="292">
        <f>AH1513</f>
        <v>8</v>
      </c>
      <c r="AI1507" s="292">
        <f>AI1513</f>
        <v>8</v>
      </c>
      <c r="AK1507" s="292">
        <f>AK1513</f>
        <v>13</v>
      </c>
      <c r="AL1507" s="292">
        <f>AL1513</f>
        <v>13</v>
      </c>
      <c r="AN1507" s="292">
        <f>AN1513</f>
        <v>15</v>
      </c>
      <c r="AO1507" s="292">
        <f>AO1513</f>
        <v>15</v>
      </c>
      <c r="AQ1507" s="292">
        <f>AQ1513</f>
        <v>0</v>
      </c>
      <c r="AR1507" s="292">
        <f>AR1513</f>
        <v>0</v>
      </c>
      <c r="AT1507" s="292">
        <f>AT1513</f>
        <v>13</v>
      </c>
      <c r="AU1507" s="292">
        <f>AU1513</f>
        <v>13</v>
      </c>
      <c r="AW1507" s="292">
        <f>AW1513</f>
        <v>7</v>
      </c>
      <c r="AX1507" s="292">
        <f>AX1513</f>
        <v>7</v>
      </c>
      <c r="AZ1507" s="292">
        <f>AZ1513</f>
        <v>12</v>
      </c>
      <c r="BA1507" s="292">
        <f>BA1513</f>
        <v>12</v>
      </c>
      <c r="BC1507" s="292">
        <f>BC1513</f>
        <v>26</v>
      </c>
      <c r="BD1507" s="292">
        <f>BD1513</f>
        <v>26</v>
      </c>
      <c r="BF1507" s="292">
        <f>BF1513</f>
        <v>35</v>
      </c>
      <c r="BG1507" s="292">
        <f>BG1513</f>
        <v>38</v>
      </c>
      <c r="BI1507" s="292">
        <f>BI1513</f>
        <v>58</v>
      </c>
      <c r="BJ1507" s="292">
        <f>BJ1513</f>
        <v>59</v>
      </c>
      <c r="BL1507" s="292">
        <f>BL1513</f>
        <v>7</v>
      </c>
      <c r="BM1507" s="292">
        <f>BM1513</f>
        <v>7</v>
      </c>
      <c r="BO1507" s="292">
        <f>BO1513</f>
        <v>8</v>
      </c>
      <c r="BP1507" s="292">
        <f>BP1513</f>
        <v>8</v>
      </c>
      <c r="BR1507" s="292">
        <f>BR1513</f>
        <v>13</v>
      </c>
      <c r="BS1507" s="292">
        <f>BS1513</f>
        <v>13</v>
      </c>
      <c r="BU1507" s="292">
        <f>BU1513</f>
        <v>9</v>
      </c>
      <c r="BV1507" s="292">
        <f>BV1513</f>
        <v>8</v>
      </c>
      <c r="BX1507" s="292">
        <f>BX1513</f>
        <v>3</v>
      </c>
      <c r="BY1507" s="292">
        <f>BY1513</f>
        <v>3</v>
      </c>
      <c r="CA1507" s="292">
        <f>CA1513</f>
        <v>10</v>
      </c>
      <c r="CB1507" s="292">
        <f>CB1513</f>
        <v>11</v>
      </c>
      <c r="CD1507" s="292">
        <f>CD1513</f>
        <v>12</v>
      </c>
      <c r="CE1507" s="292">
        <f>CE1513</f>
        <v>12</v>
      </c>
      <c r="CG1507" s="292">
        <f>CG1513</f>
        <v>24</v>
      </c>
      <c r="CH1507" s="292">
        <f>CH1513</f>
        <v>24</v>
      </c>
      <c r="CJ1507" s="292">
        <f>CJ1513</f>
        <v>0</v>
      </c>
      <c r="CK1507" s="292">
        <f>CK1513</f>
        <v>0</v>
      </c>
    </row>
    <row r="1508" spans="1:89" ht="30" x14ac:dyDescent="0.25">
      <c r="A1508" s="417"/>
      <c r="B1508" s="420"/>
      <c r="C1508" s="95" t="s">
        <v>1281</v>
      </c>
      <c r="D1508" s="95" t="s">
        <v>1112</v>
      </c>
      <c r="E1508" s="292">
        <v>94</v>
      </c>
      <c r="F1508" s="292">
        <v>92</v>
      </c>
      <c r="G1508" s="292">
        <v>88</v>
      </c>
      <c r="H1508" s="292">
        <f>H1514</f>
        <v>83</v>
      </c>
      <c r="I1508" s="292">
        <v>87</v>
      </c>
      <c r="J1508" s="292">
        <f>J1514</f>
        <v>139</v>
      </c>
      <c r="K1508" s="292">
        <f>K1514</f>
        <v>142</v>
      </c>
      <c r="L1508" s="292">
        <f>L1514</f>
        <v>13</v>
      </c>
      <c r="M1508" s="292">
        <f>M1514</f>
        <v>13</v>
      </c>
      <c r="N1508" s="292">
        <f>N1514</f>
        <v>13</v>
      </c>
      <c r="Q1508" s="292">
        <f t="shared" si="1834"/>
        <v>142</v>
      </c>
      <c r="R1508" s="292">
        <f t="shared" si="1834"/>
        <v>142</v>
      </c>
      <c r="S1508" s="292">
        <f t="shared" si="1834"/>
        <v>8</v>
      </c>
      <c r="T1508" s="292">
        <f t="shared" si="1834"/>
        <v>10</v>
      </c>
      <c r="V1508" s="292">
        <f>V1514</f>
        <v>4</v>
      </c>
      <c r="W1508" s="292">
        <f>W1514</f>
        <v>3</v>
      </c>
      <c r="Y1508" s="292">
        <f>Y1514</f>
        <v>15</v>
      </c>
      <c r="Z1508" s="292">
        <f>Z1514</f>
        <v>15</v>
      </c>
      <c r="AB1508" s="292">
        <f>AB1514</f>
        <v>18</v>
      </c>
      <c r="AC1508" s="292">
        <f>AC1514</f>
        <v>18</v>
      </c>
      <c r="AE1508" s="292">
        <f>AE1514</f>
        <v>20</v>
      </c>
      <c r="AF1508" s="292">
        <f>AF1514</f>
        <v>18</v>
      </c>
      <c r="AH1508" s="292">
        <f>AH1514</f>
        <v>22</v>
      </c>
      <c r="AI1508" s="292">
        <f>AI1514</f>
        <v>22</v>
      </c>
      <c r="AK1508" s="292">
        <f>AK1514</f>
        <v>2</v>
      </c>
      <c r="AL1508" s="292">
        <f>AL1514</f>
        <v>2</v>
      </c>
      <c r="AN1508" s="292">
        <f>AN1514</f>
        <v>18</v>
      </c>
      <c r="AO1508" s="292">
        <f>AO1514</f>
        <v>18</v>
      </c>
      <c r="AQ1508" s="292">
        <f>AQ1514</f>
        <v>30</v>
      </c>
      <c r="AR1508" s="292">
        <f>AR1514</f>
        <v>31</v>
      </c>
      <c r="AT1508" s="292">
        <f>AT1514</f>
        <v>0</v>
      </c>
      <c r="AU1508" s="292">
        <f>AU1514</f>
        <v>0</v>
      </c>
      <c r="AW1508" s="292">
        <f>AW1514</f>
        <v>0</v>
      </c>
      <c r="AX1508" s="292">
        <f>AX1514</f>
        <v>0</v>
      </c>
      <c r="AZ1508" s="292">
        <f>AZ1514</f>
        <v>0</v>
      </c>
      <c r="BA1508" s="292">
        <f>BA1514</f>
        <v>0</v>
      </c>
      <c r="BC1508" s="292">
        <f>BC1514</f>
        <v>0</v>
      </c>
      <c r="BD1508" s="292">
        <f>BD1514</f>
        <v>0</v>
      </c>
      <c r="BF1508" s="292">
        <f>BF1514</f>
        <v>0</v>
      </c>
      <c r="BG1508" s="292">
        <f>BG1514</f>
        <v>0</v>
      </c>
      <c r="BI1508" s="292">
        <f>BI1514</f>
        <v>0</v>
      </c>
      <c r="BJ1508" s="292">
        <f>BJ1514</f>
        <v>0</v>
      </c>
      <c r="BL1508" s="292">
        <f>BL1514</f>
        <v>0</v>
      </c>
      <c r="BM1508" s="292">
        <f>BM1514</f>
        <v>0</v>
      </c>
      <c r="BO1508" s="292">
        <f>BO1514</f>
        <v>0</v>
      </c>
      <c r="BP1508" s="292">
        <f>BP1514</f>
        <v>0</v>
      </c>
      <c r="BR1508" s="292">
        <f>BR1514</f>
        <v>0</v>
      </c>
      <c r="BS1508" s="292">
        <f>BS1514</f>
        <v>0</v>
      </c>
      <c r="BU1508" s="292">
        <f>BU1514</f>
        <v>0</v>
      </c>
      <c r="BV1508" s="292">
        <f>BV1514</f>
        <v>0</v>
      </c>
      <c r="BX1508" s="292">
        <f>BX1514</f>
        <v>0</v>
      </c>
      <c r="BY1508" s="292">
        <f>BY1514</f>
        <v>0</v>
      </c>
      <c r="CA1508" s="292">
        <f>CA1514</f>
        <v>0</v>
      </c>
      <c r="CB1508" s="292">
        <f>CB1514</f>
        <v>0</v>
      </c>
      <c r="CD1508" s="292">
        <f>CD1514</f>
        <v>0</v>
      </c>
      <c r="CE1508" s="292">
        <f>CE1514</f>
        <v>0</v>
      </c>
      <c r="CG1508" s="292">
        <f>CG1514</f>
        <v>5</v>
      </c>
      <c r="CH1508" s="292">
        <f>CH1514</f>
        <v>5</v>
      </c>
      <c r="CJ1508" s="292">
        <f>CJ1514</f>
        <v>0</v>
      </c>
      <c r="CK1508" s="292">
        <f>CK1514</f>
        <v>0</v>
      </c>
    </row>
    <row r="1509" spans="1:89" ht="30" x14ac:dyDescent="0.25">
      <c r="A1509" s="417"/>
      <c r="B1509" s="420"/>
      <c r="C1509" s="95" t="s">
        <v>1282</v>
      </c>
      <c r="D1509" s="95" t="s">
        <v>1112</v>
      </c>
      <c r="E1509" s="292">
        <v>4</v>
      </c>
      <c r="F1509" s="292">
        <v>3</v>
      </c>
      <c r="G1509" s="292">
        <v>3</v>
      </c>
      <c r="H1509" s="292">
        <f t="shared" ref="H1509:J1510" si="1835">H1516</f>
        <v>3</v>
      </c>
      <c r="I1509" s="292">
        <f t="shared" si="1835"/>
        <v>3</v>
      </c>
      <c r="J1509" s="292">
        <f t="shared" si="1835"/>
        <v>6</v>
      </c>
      <c r="K1509" s="292">
        <f>K1516</f>
        <v>6</v>
      </c>
      <c r="L1509" s="292">
        <f>L1516</f>
        <v>0</v>
      </c>
      <c r="M1509" s="292">
        <f t="shared" ref="M1509:N1510" si="1836">M1516</f>
        <v>0</v>
      </c>
      <c r="N1509" s="292">
        <f t="shared" si="1836"/>
        <v>0</v>
      </c>
      <c r="Q1509" s="292">
        <f t="shared" ref="Q1509:T1510" si="1837">Q1516</f>
        <v>6</v>
      </c>
      <c r="R1509" s="292">
        <f t="shared" si="1837"/>
        <v>6</v>
      </c>
      <c r="S1509" s="292">
        <f t="shared" si="1837"/>
        <v>0</v>
      </c>
      <c r="T1509" s="292">
        <f t="shared" si="1837"/>
        <v>0</v>
      </c>
      <c r="V1509" s="292">
        <f>V1516</f>
        <v>0</v>
      </c>
      <c r="W1509" s="292">
        <f>W1516</f>
        <v>0</v>
      </c>
      <c r="Y1509" s="292">
        <f>Y1516</f>
        <v>0</v>
      </c>
      <c r="Z1509" s="292">
        <f>Z1516</f>
        <v>0</v>
      </c>
      <c r="AB1509" s="292">
        <f>AB1516</f>
        <v>0</v>
      </c>
      <c r="AC1509" s="292">
        <f>AC1516</f>
        <v>0</v>
      </c>
      <c r="AE1509" s="292">
        <f>AE1516</f>
        <v>0</v>
      </c>
      <c r="AF1509" s="292">
        <f>AF1516</f>
        <v>0</v>
      </c>
      <c r="AH1509" s="292">
        <f>AH1516</f>
        <v>0</v>
      </c>
      <c r="AI1509" s="292">
        <f>AI1516</f>
        <v>0</v>
      </c>
      <c r="AK1509" s="292">
        <f>AK1516</f>
        <v>0</v>
      </c>
      <c r="AL1509" s="292">
        <f>AL1516</f>
        <v>0</v>
      </c>
      <c r="AN1509" s="292">
        <f>AN1516</f>
        <v>0</v>
      </c>
      <c r="AO1509" s="292">
        <f>AO1516</f>
        <v>0</v>
      </c>
      <c r="AQ1509" s="292">
        <f>AQ1516</f>
        <v>0</v>
      </c>
      <c r="AR1509" s="292">
        <f>AR1516</f>
        <v>0</v>
      </c>
      <c r="AT1509" s="292">
        <f>AT1516</f>
        <v>0</v>
      </c>
      <c r="AU1509" s="292">
        <f>AU1516</f>
        <v>0</v>
      </c>
      <c r="AW1509" s="292">
        <f>AW1516</f>
        <v>0</v>
      </c>
      <c r="AX1509" s="292">
        <f>AX1516</f>
        <v>0</v>
      </c>
      <c r="AZ1509" s="292">
        <f>AZ1516</f>
        <v>0</v>
      </c>
      <c r="BA1509" s="292">
        <f>BA1516</f>
        <v>0</v>
      </c>
      <c r="BC1509" s="292">
        <f>BC1516</f>
        <v>1</v>
      </c>
      <c r="BD1509" s="292">
        <f>BD1516</f>
        <v>1</v>
      </c>
      <c r="BF1509" s="292">
        <f>BF1516</f>
        <v>1</v>
      </c>
      <c r="BG1509" s="292">
        <f>BG1516</f>
        <v>1</v>
      </c>
      <c r="BI1509" s="292">
        <f>BI1516</f>
        <v>1</v>
      </c>
      <c r="BJ1509" s="292">
        <f>BJ1516</f>
        <v>1</v>
      </c>
      <c r="BL1509" s="292">
        <f>BL1516</f>
        <v>0</v>
      </c>
      <c r="BM1509" s="292">
        <f>BM1516</f>
        <v>0</v>
      </c>
      <c r="BO1509" s="292">
        <f>BO1516</f>
        <v>0</v>
      </c>
      <c r="BP1509" s="292">
        <f>BP1516</f>
        <v>0</v>
      </c>
      <c r="BR1509" s="292">
        <f>BR1516</f>
        <v>0</v>
      </c>
      <c r="BS1509" s="292">
        <f>BS1516</f>
        <v>0</v>
      </c>
      <c r="BU1509" s="292">
        <f>BU1516</f>
        <v>0</v>
      </c>
      <c r="BV1509" s="292">
        <f>BV1516</f>
        <v>0</v>
      </c>
      <c r="BX1509" s="292">
        <f>BX1516</f>
        <v>0</v>
      </c>
      <c r="BY1509" s="292">
        <f>BY1516</f>
        <v>0</v>
      </c>
      <c r="CA1509" s="292">
        <f>CA1516</f>
        <v>0</v>
      </c>
      <c r="CB1509" s="292">
        <f>CB1516</f>
        <v>0</v>
      </c>
      <c r="CD1509" s="292">
        <f>CD1516</f>
        <v>3</v>
      </c>
      <c r="CE1509" s="292">
        <f>CE1516</f>
        <v>3</v>
      </c>
      <c r="CG1509" s="292">
        <f>CG1516</f>
        <v>0</v>
      </c>
      <c r="CH1509" s="292">
        <f>CH1516</f>
        <v>0</v>
      </c>
      <c r="CJ1509" s="292">
        <f>CJ1516</f>
        <v>0</v>
      </c>
      <c r="CK1509" s="292">
        <f>CK1516</f>
        <v>0</v>
      </c>
    </row>
    <row r="1510" spans="1:89" ht="30" x14ac:dyDescent="0.25">
      <c r="A1510" s="418"/>
      <c r="B1510" s="421"/>
      <c r="C1510" s="95" t="s">
        <v>1283</v>
      </c>
      <c r="D1510" s="95" t="s">
        <v>1112</v>
      </c>
      <c r="E1510" s="292">
        <v>0</v>
      </c>
      <c r="F1510" s="292">
        <v>0</v>
      </c>
      <c r="G1510" s="292">
        <v>0</v>
      </c>
      <c r="H1510" s="292">
        <f t="shared" si="1835"/>
        <v>0</v>
      </c>
      <c r="I1510" s="292">
        <f t="shared" si="1835"/>
        <v>0</v>
      </c>
      <c r="J1510" s="292">
        <f t="shared" si="1835"/>
        <v>0</v>
      </c>
      <c r="K1510" s="292">
        <f>K1517</f>
        <v>0</v>
      </c>
      <c r="L1510" s="292">
        <f>L1517</f>
        <v>0</v>
      </c>
      <c r="M1510" s="292">
        <f t="shared" si="1836"/>
        <v>0</v>
      </c>
      <c r="N1510" s="292">
        <f t="shared" si="1836"/>
        <v>0</v>
      </c>
      <c r="Q1510" s="292">
        <f t="shared" si="1837"/>
        <v>0</v>
      </c>
      <c r="R1510" s="292">
        <f t="shared" si="1837"/>
        <v>0</v>
      </c>
      <c r="S1510" s="292">
        <f t="shared" si="1837"/>
        <v>0</v>
      </c>
      <c r="T1510" s="292">
        <f t="shared" si="1837"/>
        <v>0</v>
      </c>
      <c r="V1510" s="292">
        <f>V1517</f>
        <v>0</v>
      </c>
      <c r="W1510" s="292">
        <f>W1517</f>
        <v>0</v>
      </c>
      <c r="Y1510" s="292">
        <f>Y1517</f>
        <v>0</v>
      </c>
      <c r="Z1510" s="292">
        <f>Z1517</f>
        <v>0</v>
      </c>
      <c r="AB1510" s="292">
        <f>AB1517</f>
        <v>0</v>
      </c>
      <c r="AC1510" s="292">
        <f>AC1517</f>
        <v>0</v>
      </c>
      <c r="AE1510" s="292">
        <f>AE1517</f>
        <v>0</v>
      </c>
      <c r="AF1510" s="292">
        <f>AF1517</f>
        <v>0</v>
      </c>
      <c r="AH1510" s="292">
        <f>AH1517</f>
        <v>0</v>
      </c>
      <c r="AI1510" s="292">
        <f>AI1517</f>
        <v>0</v>
      </c>
      <c r="AK1510" s="292">
        <f>AK1517</f>
        <v>0</v>
      </c>
      <c r="AL1510" s="292">
        <f>AL1517</f>
        <v>0</v>
      </c>
      <c r="AN1510" s="292">
        <f>AN1517</f>
        <v>0</v>
      </c>
      <c r="AO1510" s="292">
        <f>AO1517</f>
        <v>0</v>
      </c>
      <c r="AQ1510" s="292">
        <f>AQ1517</f>
        <v>0</v>
      </c>
      <c r="AR1510" s="292">
        <f>AR1517</f>
        <v>0</v>
      </c>
      <c r="AT1510" s="292">
        <f>AT1517</f>
        <v>0</v>
      </c>
      <c r="AU1510" s="292">
        <f>AU1517</f>
        <v>0</v>
      </c>
      <c r="AW1510" s="292">
        <f>AW1517</f>
        <v>0</v>
      </c>
      <c r="AX1510" s="292">
        <f>AX1517</f>
        <v>0</v>
      </c>
      <c r="AZ1510" s="292">
        <f>AZ1517</f>
        <v>0</v>
      </c>
      <c r="BA1510" s="292">
        <f>BA1517</f>
        <v>0</v>
      </c>
      <c r="BC1510" s="292">
        <f>BC1517</f>
        <v>0</v>
      </c>
      <c r="BD1510" s="292">
        <f>BD1517</f>
        <v>0</v>
      </c>
      <c r="BF1510" s="292">
        <f>BF1517</f>
        <v>0</v>
      </c>
      <c r="BG1510" s="292">
        <f>BG1517</f>
        <v>0</v>
      </c>
      <c r="BI1510" s="292">
        <f>BI1517</f>
        <v>0</v>
      </c>
      <c r="BJ1510" s="292">
        <f>BJ1517</f>
        <v>0</v>
      </c>
      <c r="BL1510" s="292">
        <f>BL1517</f>
        <v>0</v>
      </c>
      <c r="BM1510" s="292">
        <f>BM1517</f>
        <v>0</v>
      </c>
      <c r="BO1510" s="292">
        <f>BO1517</f>
        <v>0</v>
      </c>
      <c r="BP1510" s="292">
        <f>BP1517</f>
        <v>0</v>
      </c>
      <c r="BR1510" s="292">
        <f>BR1517</f>
        <v>0</v>
      </c>
      <c r="BS1510" s="292">
        <f>BS1517</f>
        <v>0</v>
      </c>
      <c r="BU1510" s="292">
        <f>BU1517</f>
        <v>0</v>
      </c>
      <c r="BV1510" s="292">
        <f>BV1517</f>
        <v>0</v>
      </c>
      <c r="BX1510" s="292">
        <f>BX1517</f>
        <v>0</v>
      </c>
      <c r="BY1510" s="292">
        <f>BY1517</f>
        <v>0</v>
      </c>
      <c r="CA1510" s="292">
        <f>CA1517</f>
        <v>0</v>
      </c>
      <c r="CB1510" s="292">
        <f>CB1517</f>
        <v>0</v>
      </c>
      <c r="CD1510" s="292">
        <f>CD1517</f>
        <v>0</v>
      </c>
      <c r="CE1510" s="292">
        <f>CE1517</f>
        <v>0</v>
      </c>
      <c r="CG1510" s="292">
        <f>CG1517</f>
        <v>0</v>
      </c>
      <c r="CH1510" s="292">
        <f>CH1517</f>
        <v>0</v>
      </c>
      <c r="CJ1510" s="292">
        <f>CJ1517</f>
        <v>0</v>
      </c>
      <c r="CK1510" s="292">
        <f>CK1517</f>
        <v>0</v>
      </c>
    </row>
    <row r="1511" spans="1:89" ht="30" x14ac:dyDescent="0.25">
      <c r="A1511" s="95"/>
      <c r="B1511" s="16" t="s">
        <v>307</v>
      </c>
      <c r="C1511" s="95" t="s">
        <v>308</v>
      </c>
      <c r="D1511" s="95" t="s">
        <v>1112</v>
      </c>
      <c r="E1511" s="292">
        <v>6</v>
      </c>
      <c r="F1511" s="292">
        <v>3</v>
      </c>
      <c r="G1511" s="292">
        <v>3</v>
      </c>
      <c r="H1511" s="292">
        <v>0</v>
      </c>
      <c r="I1511" s="292">
        <v>0</v>
      </c>
      <c r="J1511" s="292">
        <v>0</v>
      </c>
      <c r="K1511" s="292">
        <v>0</v>
      </c>
      <c r="L1511" s="292">
        <v>0</v>
      </c>
      <c r="M1511" s="292">
        <v>0</v>
      </c>
      <c r="N1511" s="292">
        <v>0</v>
      </c>
      <c r="Q1511" s="292">
        <v>0</v>
      </c>
      <c r="R1511" s="292">
        <v>0</v>
      </c>
      <c r="S1511" s="292">
        <v>0</v>
      </c>
      <c r="T1511" s="292">
        <v>0</v>
      </c>
      <c r="V1511" s="292">
        <v>0</v>
      </c>
      <c r="W1511" s="292">
        <v>0</v>
      </c>
      <c r="Y1511" s="292">
        <v>0</v>
      </c>
      <c r="Z1511" s="292">
        <v>0</v>
      </c>
      <c r="AB1511" s="292">
        <v>0</v>
      </c>
      <c r="AC1511" s="292">
        <v>0</v>
      </c>
      <c r="AE1511" s="292">
        <v>0</v>
      </c>
      <c r="AF1511" s="292">
        <v>0</v>
      </c>
      <c r="AH1511" s="292">
        <v>0</v>
      </c>
      <c r="AI1511" s="292">
        <v>0</v>
      </c>
      <c r="AK1511" s="292">
        <v>0</v>
      </c>
      <c r="AL1511" s="292">
        <v>0</v>
      </c>
      <c r="AN1511" s="292">
        <v>0</v>
      </c>
      <c r="AO1511" s="292">
        <v>0</v>
      </c>
      <c r="AQ1511" s="292">
        <v>0</v>
      </c>
      <c r="AR1511" s="292">
        <v>0</v>
      </c>
      <c r="AT1511" s="292">
        <v>0</v>
      </c>
      <c r="AU1511" s="292">
        <v>0</v>
      </c>
      <c r="AW1511" s="292">
        <v>0</v>
      </c>
      <c r="AX1511" s="292">
        <v>0</v>
      </c>
      <c r="AZ1511" s="292">
        <v>0</v>
      </c>
      <c r="BA1511" s="292">
        <v>0</v>
      </c>
      <c r="BC1511" s="292">
        <v>0</v>
      </c>
      <c r="BD1511" s="292">
        <v>0</v>
      </c>
      <c r="BF1511" s="292">
        <v>0</v>
      </c>
      <c r="BG1511" s="292">
        <v>0</v>
      </c>
      <c r="BI1511" s="292">
        <v>0</v>
      </c>
      <c r="BJ1511" s="292">
        <v>0</v>
      </c>
      <c r="BL1511" s="292">
        <v>0</v>
      </c>
      <c r="BM1511" s="292">
        <v>0</v>
      </c>
      <c r="BO1511" s="292">
        <v>0</v>
      </c>
      <c r="BP1511" s="292">
        <v>0</v>
      </c>
      <c r="BR1511" s="292">
        <v>0</v>
      </c>
      <c r="BS1511" s="292">
        <v>0</v>
      </c>
      <c r="BU1511" s="292">
        <v>0</v>
      </c>
      <c r="BV1511" s="292">
        <v>0</v>
      </c>
      <c r="BX1511" s="292">
        <v>0</v>
      </c>
      <c r="BY1511" s="292">
        <v>0</v>
      </c>
      <c r="CA1511" s="292">
        <v>0</v>
      </c>
      <c r="CB1511" s="292">
        <v>0</v>
      </c>
      <c r="CD1511" s="292">
        <v>0</v>
      </c>
      <c r="CE1511" s="292">
        <v>0</v>
      </c>
      <c r="CG1511" s="292">
        <v>0</v>
      </c>
      <c r="CH1511" s="292">
        <v>0</v>
      </c>
      <c r="CJ1511" s="292">
        <v>0</v>
      </c>
      <c r="CK1511" s="292">
        <v>0</v>
      </c>
    </row>
    <row r="1512" spans="1:89" x14ac:dyDescent="0.25">
      <c r="A1512" s="265"/>
      <c r="B1512" s="262" t="s">
        <v>1182</v>
      </c>
      <c r="C1512" s="95"/>
      <c r="D1512" s="95"/>
      <c r="E1512" s="291"/>
      <c r="F1512" s="291"/>
      <c r="G1512" s="291"/>
      <c r="H1512" s="291">
        <f>H1513+H1514</f>
        <v>303</v>
      </c>
      <c r="I1512" s="291">
        <f>I1513+I1514</f>
        <v>308</v>
      </c>
      <c r="J1512" s="291">
        <f>J1513+J1514</f>
        <v>442</v>
      </c>
      <c r="K1512" s="291">
        <f>K1513+K1514</f>
        <v>443</v>
      </c>
      <c r="L1512" s="291">
        <f>L1513+L1514</f>
        <v>18</v>
      </c>
      <c r="M1512" s="291">
        <f t="shared" ref="M1512:N1512" si="1838">M1513+M1514</f>
        <v>18</v>
      </c>
      <c r="N1512" s="291">
        <f t="shared" si="1838"/>
        <v>18</v>
      </c>
      <c r="Q1512" s="291">
        <f>Q1513+Q1514</f>
        <v>443</v>
      </c>
      <c r="R1512" s="291">
        <f>R1513+R1514</f>
        <v>451</v>
      </c>
      <c r="S1512" s="291">
        <f>S1513+S1514</f>
        <v>13</v>
      </c>
      <c r="T1512" s="291">
        <f>T1513+T1514</f>
        <v>17</v>
      </c>
      <c r="V1512" s="291">
        <f>V1513+V1514</f>
        <v>9</v>
      </c>
      <c r="W1512" s="291">
        <f>W1513+W1514</f>
        <v>8</v>
      </c>
      <c r="Y1512" s="291">
        <f>Y1513+Y1514</f>
        <v>21</v>
      </c>
      <c r="Z1512" s="291">
        <f>Z1513+Z1514</f>
        <v>21</v>
      </c>
      <c r="AB1512" s="291">
        <f>AB1513+AB1514</f>
        <v>21</v>
      </c>
      <c r="AC1512" s="291">
        <f>AC1513+AC1514</f>
        <v>21</v>
      </c>
      <c r="AE1512" s="291">
        <f>AE1513+AE1514</f>
        <v>29</v>
      </c>
      <c r="AF1512" s="291">
        <f>AF1513+AF1514</f>
        <v>29</v>
      </c>
      <c r="AH1512" s="291">
        <f>AH1513+AH1514</f>
        <v>30</v>
      </c>
      <c r="AI1512" s="291">
        <f>AI1513+AI1514</f>
        <v>30</v>
      </c>
      <c r="AK1512" s="291">
        <f>AK1513+AK1514</f>
        <v>15</v>
      </c>
      <c r="AL1512" s="291">
        <f>AL1513+AL1514</f>
        <v>15</v>
      </c>
      <c r="AN1512" s="291">
        <f>AN1513+AN1514</f>
        <v>33</v>
      </c>
      <c r="AO1512" s="291">
        <f>AO1513+AO1514</f>
        <v>33</v>
      </c>
      <c r="AQ1512" s="291">
        <f>AQ1513+AQ1514</f>
        <v>30</v>
      </c>
      <c r="AR1512" s="291">
        <f>AR1513+AR1514</f>
        <v>31</v>
      </c>
      <c r="AT1512" s="291">
        <f>AT1513+AT1514</f>
        <v>13</v>
      </c>
      <c r="AU1512" s="291">
        <f>AU1513+AU1514</f>
        <v>13</v>
      </c>
      <c r="AW1512" s="291">
        <f>AW1513+AW1514</f>
        <v>7</v>
      </c>
      <c r="AX1512" s="291">
        <f>AX1513+AX1514</f>
        <v>7</v>
      </c>
      <c r="AZ1512" s="291">
        <f>AZ1513+AZ1514</f>
        <v>12</v>
      </c>
      <c r="BA1512" s="291">
        <f>BA1513+BA1514</f>
        <v>12</v>
      </c>
      <c r="BC1512" s="291">
        <f>BC1513+BC1514</f>
        <v>26</v>
      </c>
      <c r="BD1512" s="291">
        <f>BD1513+BD1514</f>
        <v>26</v>
      </c>
      <c r="BF1512" s="291">
        <f>BF1513+BF1514</f>
        <v>35</v>
      </c>
      <c r="BG1512" s="291">
        <f>BG1513+BG1514</f>
        <v>38</v>
      </c>
      <c r="BI1512" s="291">
        <f>BI1513+BI1514</f>
        <v>58</v>
      </c>
      <c r="BJ1512" s="291">
        <f>BJ1513+BJ1514</f>
        <v>59</v>
      </c>
      <c r="BL1512" s="291">
        <f>BL1513+BL1514</f>
        <v>7</v>
      </c>
      <c r="BM1512" s="291">
        <f>BM1513+BM1514</f>
        <v>7</v>
      </c>
      <c r="BO1512" s="291">
        <f>BO1513+BO1514</f>
        <v>8</v>
      </c>
      <c r="BP1512" s="291">
        <f>BP1513+BP1514</f>
        <v>8</v>
      </c>
      <c r="BR1512" s="291">
        <f>BR1513+BR1514</f>
        <v>13</v>
      </c>
      <c r="BS1512" s="291">
        <f>BS1513+BS1514</f>
        <v>13</v>
      </c>
      <c r="BU1512" s="291">
        <f>BU1513+BU1514</f>
        <v>9</v>
      </c>
      <c r="BV1512" s="291">
        <f>BV1513+BV1514</f>
        <v>8</v>
      </c>
      <c r="BX1512" s="291">
        <f>BX1513+BX1514</f>
        <v>3</v>
      </c>
      <c r="BY1512" s="291">
        <f>BY1513+BY1514</f>
        <v>3</v>
      </c>
      <c r="CA1512" s="291">
        <f>CA1513+CA1514</f>
        <v>10</v>
      </c>
      <c r="CB1512" s="291">
        <f>CB1513+CB1514</f>
        <v>11</v>
      </c>
      <c r="CD1512" s="291">
        <f>CD1513+CD1514</f>
        <v>12</v>
      </c>
      <c r="CE1512" s="291">
        <f>CE1513+CE1514</f>
        <v>12</v>
      </c>
      <c r="CG1512" s="291">
        <f>CG1513+CG1514</f>
        <v>29</v>
      </c>
      <c r="CH1512" s="291">
        <f>CH1513+CH1514</f>
        <v>29</v>
      </c>
      <c r="CJ1512" s="291">
        <f>CJ1513+CJ1514</f>
        <v>0</v>
      </c>
      <c r="CK1512" s="291">
        <f>CK1513+CK1514</f>
        <v>0</v>
      </c>
    </row>
    <row r="1513" spans="1:89" ht="60" x14ac:dyDescent="0.25">
      <c r="A1513" s="265"/>
      <c r="B1513" s="265"/>
      <c r="C1513" s="265" t="s">
        <v>2764</v>
      </c>
      <c r="D1513" s="95" t="s">
        <v>1112</v>
      </c>
      <c r="E1513" s="291"/>
      <c r="F1513" s="291"/>
      <c r="G1513" s="291"/>
      <c r="H1513" s="291">
        <v>220</v>
      </c>
      <c r="I1513" s="291">
        <v>220</v>
      </c>
      <c r="J1513" s="291">
        <v>303</v>
      </c>
      <c r="K1513" s="291">
        <v>301</v>
      </c>
      <c r="L1513" s="291">
        <v>5</v>
      </c>
      <c r="M1513" s="291">
        <v>5</v>
      </c>
      <c r="N1513" s="291">
        <v>5</v>
      </c>
      <c r="O1513" s="283"/>
      <c r="P1513" s="296"/>
      <c r="Q1513" s="283">
        <f>S1513+V1513+Y1513+AB1513+AE1513+AH1513+AK1513+AN1513+AQ1513+AT1513+AW1513+AZ1513+BC1513+BF1513+BI1513+BL1513+BO1513+BR1513+BU1513+BX1513+CA1513+CD1513+CG1513+CJ1513</f>
        <v>301</v>
      </c>
      <c r="R1513" s="283">
        <f>T1513+W1513+Z1513+AC1513+AF1513+AI1513+AL1513+AO1513+AR1513+AU1513+AX1513+BA1513+BD1513+BG1513+BJ1513+BM1513+BP1513+BS1513+BV1513+BY1513+CB1513+CE1513+CH1513+CK1513</f>
        <v>309</v>
      </c>
      <c r="S1513" s="267">
        <v>5</v>
      </c>
      <c r="T1513" s="267">
        <v>7</v>
      </c>
      <c r="V1513" s="267">
        <v>5</v>
      </c>
      <c r="W1513" s="267">
        <v>5</v>
      </c>
      <c r="Y1513" s="267">
        <v>6</v>
      </c>
      <c r="Z1513" s="267">
        <v>6</v>
      </c>
      <c r="AB1513" s="267">
        <v>3</v>
      </c>
      <c r="AC1513" s="267">
        <v>3</v>
      </c>
      <c r="AE1513" s="267">
        <v>9</v>
      </c>
      <c r="AF1513" s="267">
        <v>11</v>
      </c>
      <c r="AH1513" s="267">
        <v>8</v>
      </c>
      <c r="AI1513" s="267">
        <v>8</v>
      </c>
      <c r="AK1513" s="267">
        <v>13</v>
      </c>
      <c r="AL1513" s="267">
        <v>13</v>
      </c>
      <c r="AN1513" s="267">
        <v>15</v>
      </c>
      <c r="AO1513" s="267">
        <v>15</v>
      </c>
      <c r="AQ1513" s="267">
        <v>0</v>
      </c>
      <c r="AR1513" s="267">
        <v>0</v>
      </c>
      <c r="AT1513" s="267">
        <v>13</v>
      </c>
      <c r="AU1513" s="267">
        <v>13</v>
      </c>
      <c r="AW1513" s="267">
        <v>7</v>
      </c>
      <c r="AX1513" s="267">
        <v>7</v>
      </c>
      <c r="AZ1513" s="267">
        <v>12</v>
      </c>
      <c r="BA1513" s="267">
        <v>12</v>
      </c>
      <c r="BC1513" s="267">
        <v>26</v>
      </c>
      <c r="BD1513" s="267">
        <v>26</v>
      </c>
      <c r="BF1513" s="267">
        <v>35</v>
      </c>
      <c r="BG1513" s="267">
        <v>38</v>
      </c>
      <c r="BI1513" s="267">
        <v>58</v>
      </c>
      <c r="BJ1513" s="267">
        <v>59</v>
      </c>
      <c r="BL1513" s="267">
        <v>7</v>
      </c>
      <c r="BM1513" s="267">
        <v>7</v>
      </c>
      <c r="BO1513" s="267">
        <v>8</v>
      </c>
      <c r="BP1513" s="267">
        <v>8</v>
      </c>
      <c r="BR1513" s="267">
        <v>13</v>
      </c>
      <c r="BS1513" s="267">
        <v>13</v>
      </c>
      <c r="BU1513" s="267">
        <v>9</v>
      </c>
      <c r="BV1513" s="267">
        <v>8</v>
      </c>
      <c r="BX1513" s="267">
        <v>3</v>
      </c>
      <c r="BY1513" s="267">
        <v>3</v>
      </c>
      <c r="CA1513" s="267">
        <v>10</v>
      </c>
      <c r="CB1513" s="267">
        <v>11</v>
      </c>
      <c r="CD1513" s="267">
        <v>12</v>
      </c>
      <c r="CE1513" s="267">
        <v>12</v>
      </c>
      <c r="CG1513" s="267">
        <v>24</v>
      </c>
      <c r="CH1513" s="267">
        <v>24</v>
      </c>
      <c r="CJ1513" s="267">
        <v>0</v>
      </c>
      <c r="CK1513" s="267">
        <v>0</v>
      </c>
    </row>
    <row r="1514" spans="1:89" ht="60" x14ac:dyDescent="0.25">
      <c r="A1514" s="265"/>
      <c r="B1514" s="265"/>
      <c r="C1514" s="265" t="s">
        <v>2764</v>
      </c>
      <c r="D1514" s="95" t="s">
        <v>1112</v>
      </c>
      <c r="E1514" s="291"/>
      <c r="F1514" s="291"/>
      <c r="G1514" s="291"/>
      <c r="H1514" s="291">
        <v>83</v>
      </c>
      <c r="I1514" s="291">
        <v>88</v>
      </c>
      <c r="J1514" s="291">
        <v>139</v>
      </c>
      <c r="K1514" s="291">
        <v>142</v>
      </c>
      <c r="L1514" s="291">
        <v>13</v>
      </c>
      <c r="M1514" s="291">
        <v>13</v>
      </c>
      <c r="N1514" s="291">
        <v>13</v>
      </c>
      <c r="O1514" s="283"/>
      <c r="P1514" s="296"/>
      <c r="Q1514" s="283">
        <f>S1514+V1514+Y1514+AB1514+AE1514+AH1514+AK1514+AN1514+AQ1514+AT1514+AW1514+AZ1514+BC1514+BF1514+BI1514+BL1514+BO1514+BR1514+BU1514+BX1514+CA1514+CD1514+CG1514+CJ1514</f>
        <v>142</v>
      </c>
      <c r="R1514" s="283">
        <f>T1514+W1514+Z1514+AC1514+AF1514+AI1514+AL1514+AO1514+AR1514+AU1514+AX1514+BA1514+BD1514+BG1514+BJ1514+BM1514+BP1514+BS1514+BV1514+BY1514+CB1514+CE1514+CH1514+CK1514</f>
        <v>142</v>
      </c>
      <c r="S1514" s="267">
        <v>8</v>
      </c>
      <c r="T1514" s="267">
        <v>10</v>
      </c>
      <c r="V1514" s="267">
        <v>4</v>
      </c>
      <c r="W1514" s="267">
        <v>3</v>
      </c>
      <c r="Y1514" s="267">
        <v>15</v>
      </c>
      <c r="Z1514" s="267">
        <v>15</v>
      </c>
      <c r="AB1514" s="267">
        <v>18</v>
      </c>
      <c r="AC1514" s="267">
        <v>18</v>
      </c>
      <c r="AE1514" s="267">
        <v>20</v>
      </c>
      <c r="AF1514" s="267">
        <v>18</v>
      </c>
      <c r="AH1514" s="267">
        <v>22</v>
      </c>
      <c r="AI1514" s="267">
        <v>22</v>
      </c>
      <c r="AK1514" s="267">
        <v>2</v>
      </c>
      <c r="AL1514" s="267">
        <v>2</v>
      </c>
      <c r="AN1514" s="267">
        <v>18</v>
      </c>
      <c r="AO1514" s="267">
        <v>18</v>
      </c>
      <c r="AQ1514" s="267">
        <v>30</v>
      </c>
      <c r="AR1514" s="267">
        <v>31</v>
      </c>
      <c r="AT1514" s="267">
        <v>0</v>
      </c>
      <c r="AU1514" s="267">
        <v>0</v>
      </c>
      <c r="AW1514" s="267">
        <v>0</v>
      </c>
      <c r="AX1514" s="267">
        <v>0</v>
      </c>
      <c r="AZ1514" s="267">
        <v>0</v>
      </c>
      <c r="BA1514" s="267">
        <v>0</v>
      </c>
      <c r="BC1514" s="267">
        <v>0</v>
      </c>
      <c r="BD1514" s="267">
        <v>0</v>
      </c>
      <c r="BF1514" s="267">
        <v>0</v>
      </c>
      <c r="BG1514" s="267">
        <v>0</v>
      </c>
      <c r="BI1514" s="267">
        <v>0</v>
      </c>
      <c r="BJ1514" s="267">
        <v>0</v>
      </c>
      <c r="BL1514" s="267">
        <v>0</v>
      </c>
      <c r="BM1514" s="267">
        <v>0</v>
      </c>
      <c r="BO1514" s="267">
        <v>0</v>
      </c>
      <c r="BP1514" s="267">
        <v>0</v>
      </c>
      <c r="BR1514" s="267">
        <v>0</v>
      </c>
      <c r="BS1514" s="267">
        <v>0</v>
      </c>
      <c r="BU1514" s="267">
        <v>0</v>
      </c>
      <c r="BV1514" s="267">
        <v>0</v>
      </c>
      <c r="BX1514" s="267">
        <v>0</v>
      </c>
      <c r="BY1514" s="267">
        <v>0</v>
      </c>
      <c r="CA1514" s="267">
        <v>0</v>
      </c>
      <c r="CB1514" s="267">
        <v>0</v>
      </c>
      <c r="CD1514" s="267">
        <v>0</v>
      </c>
      <c r="CE1514" s="267">
        <v>0</v>
      </c>
      <c r="CG1514" s="267">
        <v>5</v>
      </c>
      <c r="CH1514" s="267">
        <v>5</v>
      </c>
      <c r="CJ1514" s="267">
        <v>0</v>
      </c>
      <c r="CK1514" s="267">
        <v>0</v>
      </c>
    </row>
    <row r="1515" spans="1:89" x14ac:dyDescent="0.25">
      <c r="A1515" s="265"/>
      <c r="B1515" s="262" t="s">
        <v>1184</v>
      </c>
      <c r="C1515" s="95"/>
      <c r="D1515" s="95"/>
      <c r="E1515" s="291"/>
      <c r="F1515" s="291"/>
      <c r="G1515" s="291"/>
      <c r="H1515" s="291">
        <f>H1516+H1517</f>
        <v>3</v>
      </c>
      <c r="I1515" s="291">
        <f>I1516+I1517</f>
        <v>3</v>
      </c>
      <c r="J1515" s="291">
        <f>J1516+J1517</f>
        <v>6</v>
      </c>
      <c r="K1515" s="291">
        <f>K1516+K1517</f>
        <v>6</v>
      </c>
      <c r="L1515" s="291">
        <f>L1516+L1517</f>
        <v>0</v>
      </c>
      <c r="M1515" s="291">
        <f t="shared" ref="M1515:N1515" si="1839">M1516+M1517</f>
        <v>0</v>
      </c>
      <c r="N1515" s="291">
        <f t="shared" si="1839"/>
        <v>0</v>
      </c>
    </row>
    <row r="1516" spans="1:89" ht="60" x14ac:dyDescent="0.25">
      <c r="A1516" s="265"/>
      <c r="B1516" s="265"/>
      <c r="C1516" s="265" t="s">
        <v>2764</v>
      </c>
      <c r="D1516" s="95" t="s">
        <v>1112</v>
      </c>
      <c r="E1516" s="291"/>
      <c r="F1516" s="291"/>
      <c r="G1516" s="291"/>
      <c r="H1516" s="291">
        <v>3</v>
      </c>
      <c r="I1516" s="291">
        <v>3</v>
      </c>
      <c r="J1516" s="291">
        <v>6</v>
      </c>
      <c r="K1516" s="291">
        <v>6</v>
      </c>
      <c r="L1516" s="291">
        <v>0</v>
      </c>
      <c r="M1516" s="291">
        <v>0</v>
      </c>
      <c r="N1516" s="291">
        <v>0</v>
      </c>
      <c r="Q1516" s="283">
        <f>S1516+V1516+Y1516+AB1516+AE1516+AH1516+AK1516+AN1516+AQ1516+AT1516+AW1516+AZ1516+BC1516+BF1516+BI1516+BL1516+BO1516+BR1516+BU1516+BX1516+CA1516+CD1516+CG1516+CJ1516</f>
        <v>6</v>
      </c>
      <c r="R1516" s="283">
        <f>T1516+W1516+Z1516+AC1516+AF1516+AI1516+AL1516+AO1516+AR1516+AU1516+AX1516+BA1516+BD1516+BG1516+BJ1516+BM1516+BP1516+BS1516+BV1516+BY1516+CB1516+CE1516+CH1516+CK1516</f>
        <v>6</v>
      </c>
      <c r="S1516" s="267">
        <v>0</v>
      </c>
      <c r="T1516" s="267">
        <v>0</v>
      </c>
      <c r="V1516" s="267">
        <v>0</v>
      </c>
      <c r="W1516" s="267">
        <v>0</v>
      </c>
      <c r="Y1516" s="267">
        <v>0</v>
      </c>
      <c r="Z1516" s="267">
        <v>0</v>
      </c>
      <c r="AB1516" s="267">
        <v>0</v>
      </c>
      <c r="AC1516" s="267">
        <v>0</v>
      </c>
      <c r="AE1516" s="267">
        <v>0</v>
      </c>
      <c r="AF1516" s="267">
        <v>0</v>
      </c>
      <c r="AH1516" s="267">
        <v>0</v>
      </c>
      <c r="AI1516" s="267">
        <v>0</v>
      </c>
      <c r="AK1516" s="267">
        <v>0</v>
      </c>
      <c r="AL1516" s="267">
        <v>0</v>
      </c>
      <c r="AN1516" s="267">
        <v>0</v>
      </c>
      <c r="AO1516" s="267">
        <v>0</v>
      </c>
      <c r="AQ1516" s="267">
        <v>0</v>
      </c>
      <c r="AR1516" s="267">
        <v>0</v>
      </c>
      <c r="AT1516" s="267">
        <v>0</v>
      </c>
      <c r="AU1516" s="267">
        <v>0</v>
      </c>
      <c r="AW1516" s="267">
        <v>0</v>
      </c>
      <c r="AX1516" s="267">
        <v>0</v>
      </c>
      <c r="AZ1516" s="267">
        <v>0</v>
      </c>
      <c r="BA1516" s="267">
        <v>0</v>
      </c>
      <c r="BC1516" s="267">
        <v>1</v>
      </c>
      <c r="BD1516" s="267">
        <v>1</v>
      </c>
      <c r="BF1516" s="267">
        <v>1</v>
      </c>
      <c r="BG1516" s="267">
        <v>1</v>
      </c>
      <c r="BI1516" s="267">
        <v>1</v>
      </c>
      <c r="BJ1516" s="267">
        <v>1</v>
      </c>
      <c r="BL1516" s="267">
        <v>0</v>
      </c>
      <c r="BM1516" s="267">
        <v>0</v>
      </c>
      <c r="BO1516" s="267">
        <v>0</v>
      </c>
      <c r="BP1516" s="267">
        <v>0</v>
      </c>
      <c r="BR1516" s="267">
        <v>0</v>
      </c>
      <c r="BS1516" s="267">
        <v>0</v>
      </c>
      <c r="BU1516" s="267">
        <v>0</v>
      </c>
      <c r="BV1516" s="267">
        <v>0</v>
      </c>
      <c r="BX1516" s="267">
        <v>0</v>
      </c>
      <c r="BY1516" s="267">
        <v>0</v>
      </c>
      <c r="CA1516" s="267">
        <v>0</v>
      </c>
      <c r="CB1516" s="267">
        <v>0</v>
      </c>
      <c r="CD1516" s="267">
        <v>3</v>
      </c>
      <c r="CE1516" s="267">
        <v>3</v>
      </c>
      <c r="CG1516" s="267">
        <v>0</v>
      </c>
      <c r="CH1516" s="267">
        <v>0</v>
      </c>
      <c r="CJ1516" s="267">
        <v>0</v>
      </c>
      <c r="CK1516" s="267">
        <v>0</v>
      </c>
    </row>
    <row r="1517" spans="1:89" ht="60" x14ac:dyDescent="0.25">
      <c r="A1517" s="264"/>
      <c r="B1517" s="265"/>
      <c r="C1517" s="265" t="s">
        <v>2764</v>
      </c>
      <c r="D1517" s="95" t="s">
        <v>1112</v>
      </c>
      <c r="E1517" s="291"/>
      <c r="F1517" s="291"/>
      <c r="G1517" s="291"/>
      <c r="H1517" s="291">
        <v>0</v>
      </c>
      <c r="I1517" s="291">
        <v>0</v>
      </c>
      <c r="J1517" s="291">
        <v>0</v>
      </c>
      <c r="K1517" s="291">
        <v>0</v>
      </c>
      <c r="L1517" s="291">
        <v>0</v>
      </c>
      <c r="M1517" s="291">
        <v>0</v>
      </c>
      <c r="N1517" s="291">
        <v>0</v>
      </c>
      <c r="Q1517" s="283">
        <f>S1517+V1517+Y1517+AB1517+AE1517+AH1517+AK1517+AN1517+AQ1517+AT1517+AW1517+AZ1517+BC1517+BF1517+BI1517+BL1517+BO1517+BR1517+BU1517+BX1517+CA1517+CD1517+CG1517+CJ1517</f>
        <v>0</v>
      </c>
      <c r="R1517" s="283">
        <f>T1517+W1517+Z1517+AC1517+AF1517+AI1517+AL1517+AO1517+AR1517+AU1517+AX1517+BA1517+BD1517+BG1517+BJ1517+BM1517+BP1517+BS1517+BV1517+BY1517+CB1517+CE1517+CH1517+CK1517</f>
        <v>0</v>
      </c>
      <c r="S1517" s="267">
        <v>0</v>
      </c>
      <c r="T1517" s="267">
        <v>0</v>
      </c>
      <c r="V1517" s="267">
        <v>0</v>
      </c>
      <c r="W1517" s="267">
        <v>0</v>
      </c>
      <c r="Y1517" s="267">
        <v>0</v>
      </c>
      <c r="Z1517" s="267">
        <v>0</v>
      </c>
      <c r="AB1517" s="267">
        <v>0</v>
      </c>
      <c r="AC1517" s="267">
        <v>0</v>
      </c>
      <c r="AE1517" s="267">
        <v>0</v>
      </c>
      <c r="AF1517" s="267">
        <v>0</v>
      </c>
      <c r="AH1517" s="267">
        <v>0</v>
      </c>
      <c r="AI1517" s="267">
        <v>0</v>
      </c>
      <c r="AK1517" s="267">
        <v>0</v>
      </c>
      <c r="AL1517" s="267">
        <v>0</v>
      </c>
      <c r="AN1517" s="267">
        <v>0</v>
      </c>
      <c r="AO1517" s="267">
        <v>0</v>
      </c>
      <c r="AQ1517" s="267">
        <v>0</v>
      </c>
      <c r="AR1517" s="267">
        <v>0</v>
      </c>
      <c r="AT1517" s="267">
        <v>0</v>
      </c>
      <c r="AU1517" s="267">
        <v>0</v>
      </c>
      <c r="AW1517" s="267">
        <v>0</v>
      </c>
      <c r="AX1517" s="267">
        <v>0</v>
      </c>
      <c r="AZ1517" s="267">
        <v>0</v>
      </c>
      <c r="BA1517" s="267">
        <v>0</v>
      </c>
      <c r="BC1517" s="267">
        <v>0</v>
      </c>
      <c r="BD1517" s="267">
        <v>0</v>
      </c>
      <c r="BF1517" s="267">
        <v>0</v>
      </c>
      <c r="BG1517" s="267">
        <v>0</v>
      </c>
      <c r="BI1517" s="267">
        <v>0</v>
      </c>
      <c r="BJ1517" s="267">
        <v>0</v>
      </c>
      <c r="BL1517" s="267">
        <v>0</v>
      </c>
      <c r="BM1517" s="267">
        <v>0</v>
      </c>
      <c r="BO1517" s="267">
        <v>0</v>
      </c>
      <c r="BP1517" s="267">
        <v>0</v>
      </c>
      <c r="BR1517" s="267">
        <v>0</v>
      </c>
      <c r="BS1517" s="267">
        <v>0</v>
      </c>
      <c r="BU1517" s="267">
        <v>0</v>
      </c>
      <c r="BV1517" s="267">
        <v>0</v>
      </c>
      <c r="BX1517" s="267">
        <v>0</v>
      </c>
      <c r="BY1517" s="267">
        <v>0</v>
      </c>
      <c r="CA1517" s="267">
        <v>0</v>
      </c>
      <c r="CB1517" s="267">
        <v>0</v>
      </c>
      <c r="CD1517" s="267">
        <v>0</v>
      </c>
      <c r="CE1517" s="267">
        <v>0</v>
      </c>
      <c r="CG1517" s="267">
        <v>0</v>
      </c>
      <c r="CH1517" s="267">
        <v>0</v>
      </c>
      <c r="CJ1517" s="267">
        <v>0</v>
      </c>
      <c r="CK1517" s="267">
        <v>0</v>
      </c>
    </row>
    <row r="1518" spans="1:89" ht="30" x14ac:dyDescent="0.25">
      <c r="A1518" s="416"/>
      <c r="B1518" s="419" t="s">
        <v>203</v>
      </c>
      <c r="C1518" s="95" t="s">
        <v>1206</v>
      </c>
      <c r="D1518" s="95" t="s">
        <v>1112</v>
      </c>
      <c r="E1518" s="292">
        <v>223</v>
      </c>
      <c r="F1518" s="292">
        <v>223</v>
      </c>
      <c r="G1518" s="291">
        <v>218</v>
      </c>
      <c r="H1518" s="291">
        <f t="shared" ref="H1518:K1519" si="1840">H1524</f>
        <v>222</v>
      </c>
      <c r="I1518" s="291">
        <f t="shared" si="1840"/>
        <v>220</v>
      </c>
      <c r="J1518" s="291">
        <f t="shared" si="1840"/>
        <v>318</v>
      </c>
      <c r="K1518" s="291">
        <f t="shared" si="1840"/>
        <v>316</v>
      </c>
      <c r="L1518" s="291">
        <f t="shared" ref="L1518:M1519" si="1841">L1524</f>
        <v>5</v>
      </c>
      <c r="M1518" s="291">
        <f t="shared" si="1841"/>
        <v>5</v>
      </c>
      <c r="N1518" s="291">
        <f t="shared" ref="N1518" si="1842">N1524</f>
        <v>5</v>
      </c>
      <c r="O1518" s="281"/>
      <c r="Q1518" s="291">
        <f t="shared" ref="Q1518:T1519" si="1843">Q1524</f>
        <v>316</v>
      </c>
      <c r="R1518" s="291">
        <f t="shared" si="1843"/>
        <v>325</v>
      </c>
      <c r="S1518" s="291">
        <f t="shared" si="1843"/>
        <v>6</v>
      </c>
      <c r="T1518" s="291">
        <f t="shared" si="1843"/>
        <v>7</v>
      </c>
      <c r="V1518" s="291">
        <f>V1524</f>
        <v>6</v>
      </c>
      <c r="W1518" s="291">
        <f>W1524</f>
        <v>6</v>
      </c>
      <c r="Y1518" s="291">
        <f>Y1524</f>
        <v>6</v>
      </c>
      <c r="Z1518" s="291">
        <f>Z1524</f>
        <v>6</v>
      </c>
      <c r="AB1518" s="291">
        <f>AB1524</f>
        <v>4</v>
      </c>
      <c r="AC1518" s="291">
        <f>AC1524</f>
        <v>4</v>
      </c>
      <c r="AE1518" s="291">
        <f>AE1524</f>
        <v>9</v>
      </c>
      <c r="AF1518" s="291">
        <f>AF1524</f>
        <v>11</v>
      </c>
      <c r="AH1518" s="291">
        <f>AH1524</f>
        <v>9</v>
      </c>
      <c r="AI1518" s="291">
        <f>AI1524</f>
        <v>9</v>
      </c>
      <c r="AK1518" s="291">
        <f>AK1524</f>
        <v>13</v>
      </c>
      <c r="AL1518" s="291">
        <f>AL1524</f>
        <v>13</v>
      </c>
      <c r="AN1518" s="291">
        <f>AN1524</f>
        <v>15</v>
      </c>
      <c r="AO1518" s="291">
        <f>AO1524</f>
        <v>15</v>
      </c>
      <c r="AQ1518" s="291">
        <f>AQ1524</f>
        <v>0</v>
      </c>
      <c r="AR1518" s="291">
        <f>AR1524</f>
        <v>0</v>
      </c>
      <c r="AT1518" s="291">
        <f>AT1524</f>
        <v>13</v>
      </c>
      <c r="AU1518" s="291">
        <f>AU1524</f>
        <v>13</v>
      </c>
      <c r="AW1518" s="291">
        <f>AW1524</f>
        <v>7</v>
      </c>
      <c r="AX1518" s="291">
        <f>AX1524</f>
        <v>8</v>
      </c>
      <c r="AZ1518" s="291">
        <f>AZ1524</f>
        <v>12</v>
      </c>
      <c r="BA1518" s="291">
        <f>BA1524</f>
        <v>12</v>
      </c>
      <c r="BC1518" s="291">
        <f>BC1524</f>
        <v>30</v>
      </c>
      <c r="BD1518" s="291">
        <f>BD1524</f>
        <v>30</v>
      </c>
      <c r="BF1518" s="291">
        <f>BF1524</f>
        <v>35</v>
      </c>
      <c r="BG1518" s="291">
        <f>BG1524</f>
        <v>38</v>
      </c>
      <c r="BI1518" s="291">
        <f>BI1524</f>
        <v>62</v>
      </c>
      <c r="BJ1518" s="291">
        <f>BJ1524</f>
        <v>63</v>
      </c>
      <c r="BL1518" s="291">
        <f>BL1524</f>
        <v>7</v>
      </c>
      <c r="BM1518" s="291">
        <f>BM1524</f>
        <v>7</v>
      </c>
      <c r="BO1518" s="291">
        <f>BO1524</f>
        <v>8</v>
      </c>
      <c r="BP1518" s="291">
        <f>BP1524</f>
        <v>8</v>
      </c>
      <c r="BR1518" s="291">
        <f>BR1524</f>
        <v>14</v>
      </c>
      <c r="BS1518" s="291">
        <f>BS1524</f>
        <v>14</v>
      </c>
      <c r="BU1518" s="291">
        <f>BU1524</f>
        <v>9</v>
      </c>
      <c r="BV1518" s="291">
        <f>BV1524</f>
        <v>8</v>
      </c>
      <c r="BX1518" s="291">
        <f>BX1524</f>
        <v>5</v>
      </c>
      <c r="BY1518" s="291">
        <f>BY1524</f>
        <v>5</v>
      </c>
      <c r="CA1518" s="291">
        <f>CA1524</f>
        <v>10</v>
      </c>
      <c r="CB1518" s="291">
        <f>CB1524</f>
        <v>11</v>
      </c>
      <c r="CD1518" s="291">
        <f>CD1524</f>
        <v>12</v>
      </c>
      <c r="CE1518" s="291">
        <f>CE1524</f>
        <v>13</v>
      </c>
      <c r="CG1518" s="291">
        <f>CG1524</f>
        <v>24</v>
      </c>
      <c r="CH1518" s="291">
        <f>CH1524</f>
        <v>24</v>
      </c>
      <c r="CJ1518" s="291">
        <f>CJ1524</f>
        <v>0</v>
      </c>
      <c r="CK1518" s="291">
        <f>CK1524</f>
        <v>0</v>
      </c>
    </row>
    <row r="1519" spans="1:89" ht="30" x14ac:dyDescent="0.25">
      <c r="A1519" s="417"/>
      <c r="B1519" s="420"/>
      <c r="C1519" s="95" t="s">
        <v>1262</v>
      </c>
      <c r="D1519" s="95" t="s">
        <v>1112</v>
      </c>
      <c r="E1519" s="292">
        <v>113</v>
      </c>
      <c r="F1519" s="292">
        <v>111</v>
      </c>
      <c r="G1519" s="291">
        <v>108</v>
      </c>
      <c r="H1519" s="291">
        <f t="shared" si="1840"/>
        <v>100</v>
      </c>
      <c r="I1519" s="291">
        <f t="shared" si="1840"/>
        <v>98</v>
      </c>
      <c r="J1519" s="291">
        <f t="shared" si="1840"/>
        <v>150</v>
      </c>
      <c r="K1519" s="291">
        <f t="shared" si="1840"/>
        <v>152</v>
      </c>
      <c r="L1519" s="291">
        <f t="shared" ref="L1519" si="1844">L1525</f>
        <v>13</v>
      </c>
      <c r="M1519" s="291">
        <f t="shared" si="1841"/>
        <v>13</v>
      </c>
      <c r="N1519" s="291">
        <f t="shared" ref="N1519" si="1845">N1525</f>
        <v>13</v>
      </c>
      <c r="Q1519" s="291">
        <f t="shared" si="1843"/>
        <v>152</v>
      </c>
      <c r="R1519" s="291">
        <f t="shared" si="1843"/>
        <v>157</v>
      </c>
      <c r="S1519" s="291">
        <f t="shared" si="1843"/>
        <v>10</v>
      </c>
      <c r="T1519" s="291">
        <f t="shared" si="1843"/>
        <v>10</v>
      </c>
      <c r="V1519" s="291">
        <f>V1525</f>
        <v>10</v>
      </c>
      <c r="W1519" s="291">
        <f>W1525</f>
        <v>11</v>
      </c>
      <c r="Y1519" s="291">
        <f>Y1525</f>
        <v>15</v>
      </c>
      <c r="Z1519" s="291">
        <f>Z1525</f>
        <v>15</v>
      </c>
      <c r="AB1519" s="291">
        <f>AB1525</f>
        <v>19</v>
      </c>
      <c r="AC1519" s="291">
        <f>AC1525</f>
        <v>19</v>
      </c>
      <c r="AE1519" s="291">
        <f>AE1525</f>
        <v>20</v>
      </c>
      <c r="AF1519" s="291">
        <f>AF1525</f>
        <v>18</v>
      </c>
      <c r="AH1519" s="291">
        <f>AH1525</f>
        <v>22</v>
      </c>
      <c r="AI1519" s="291">
        <f>AI1525</f>
        <v>22</v>
      </c>
      <c r="AK1519" s="291">
        <f>AK1525</f>
        <v>2</v>
      </c>
      <c r="AL1519" s="291">
        <f>AL1525</f>
        <v>2</v>
      </c>
      <c r="AN1519" s="291">
        <f>AN1525</f>
        <v>18</v>
      </c>
      <c r="AO1519" s="291">
        <f>AO1525</f>
        <v>18</v>
      </c>
      <c r="AQ1519" s="291">
        <f>AQ1525</f>
        <v>31</v>
      </c>
      <c r="AR1519" s="291">
        <f>AR1525</f>
        <v>37</v>
      </c>
      <c r="AT1519" s="291">
        <f>AT1525</f>
        <v>0</v>
      </c>
      <c r="AU1519" s="291">
        <f>AU1525</f>
        <v>0</v>
      </c>
      <c r="AW1519" s="291">
        <f>AW1525</f>
        <v>0</v>
      </c>
      <c r="AX1519" s="291">
        <f>AX1525</f>
        <v>0</v>
      </c>
      <c r="AZ1519" s="291">
        <f>AZ1525</f>
        <v>0</v>
      </c>
      <c r="BA1519" s="291">
        <f>BA1525</f>
        <v>0</v>
      </c>
      <c r="BC1519" s="291">
        <f>BC1525</f>
        <v>0</v>
      </c>
      <c r="BD1519" s="291">
        <f>BD1525</f>
        <v>0</v>
      </c>
      <c r="BF1519" s="291">
        <f>BF1525</f>
        <v>0</v>
      </c>
      <c r="BG1519" s="291">
        <f>BG1525</f>
        <v>0</v>
      </c>
      <c r="BI1519" s="291">
        <f>BI1525</f>
        <v>0</v>
      </c>
      <c r="BJ1519" s="291">
        <f>BJ1525</f>
        <v>0</v>
      </c>
      <c r="BL1519" s="291">
        <f>BL1525</f>
        <v>0</v>
      </c>
      <c r="BM1519" s="291">
        <f>BM1525</f>
        <v>0</v>
      </c>
      <c r="BO1519" s="291">
        <f>BO1525</f>
        <v>0</v>
      </c>
      <c r="BP1519" s="291">
        <f>BP1525</f>
        <v>0</v>
      </c>
      <c r="BR1519" s="291">
        <f>BR1525</f>
        <v>0</v>
      </c>
      <c r="BS1519" s="291">
        <f>BS1525</f>
        <v>0</v>
      </c>
      <c r="BU1519" s="291">
        <f>BU1525</f>
        <v>0</v>
      </c>
      <c r="BV1519" s="291">
        <f>BV1525</f>
        <v>0</v>
      </c>
      <c r="BX1519" s="291">
        <f>BX1525</f>
        <v>0</v>
      </c>
      <c r="BY1519" s="291">
        <f>BY1525</f>
        <v>0</v>
      </c>
      <c r="CA1519" s="291">
        <f>CA1525</f>
        <v>0</v>
      </c>
      <c r="CB1519" s="291">
        <f>CB1525</f>
        <v>0</v>
      </c>
      <c r="CD1519" s="291">
        <f>CD1525</f>
        <v>0</v>
      </c>
      <c r="CE1519" s="291">
        <f>CE1525</f>
        <v>0</v>
      </c>
      <c r="CG1519" s="291">
        <f>CG1525</f>
        <v>5</v>
      </c>
      <c r="CH1519" s="291">
        <f>CH1525</f>
        <v>5</v>
      </c>
      <c r="CJ1519" s="291">
        <f>CJ1525</f>
        <v>0</v>
      </c>
      <c r="CK1519" s="291">
        <f>CK1525</f>
        <v>0</v>
      </c>
    </row>
    <row r="1520" spans="1:89" ht="30" x14ac:dyDescent="0.25">
      <c r="A1520" s="417"/>
      <c r="B1520" s="420"/>
      <c r="C1520" s="95" t="s">
        <v>1207</v>
      </c>
      <c r="D1520" s="95" t="s">
        <v>1112</v>
      </c>
      <c r="E1520" s="292">
        <v>5</v>
      </c>
      <c r="F1520" s="292">
        <v>5</v>
      </c>
      <c r="G1520" s="291">
        <v>5</v>
      </c>
      <c r="H1520" s="291">
        <f t="shared" ref="H1520:J1521" si="1846">H1527</f>
        <v>4</v>
      </c>
      <c r="I1520" s="291">
        <f t="shared" si="1846"/>
        <v>4</v>
      </c>
      <c r="J1520" s="291">
        <f>J1527</f>
        <v>6</v>
      </c>
      <c r="K1520" s="291">
        <f>K1527</f>
        <v>6</v>
      </c>
      <c r="L1520" s="291">
        <f>L1527</f>
        <v>0</v>
      </c>
      <c r="M1520" s="291">
        <f>M1527</f>
        <v>0</v>
      </c>
      <c r="N1520" s="291">
        <f>N1527</f>
        <v>0</v>
      </c>
      <c r="Q1520" s="291">
        <f t="shared" ref="Q1520:T1521" si="1847">Q1527</f>
        <v>6</v>
      </c>
      <c r="R1520" s="291">
        <f t="shared" si="1847"/>
        <v>6</v>
      </c>
      <c r="S1520" s="291">
        <f t="shared" si="1847"/>
        <v>0</v>
      </c>
      <c r="T1520" s="291">
        <f t="shared" si="1847"/>
        <v>0</v>
      </c>
      <c r="V1520" s="291">
        <f>V1527</f>
        <v>0</v>
      </c>
      <c r="W1520" s="291">
        <f>W1527</f>
        <v>0</v>
      </c>
      <c r="Y1520" s="291">
        <f>Y1527</f>
        <v>0</v>
      </c>
      <c r="Z1520" s="291">
        <f>Z1527</f>
        <v>0</v>
      </c>
      <c r="AB1520" s="291">
        <f>AB1527</f>
        <v>0</v>
      </c>
      <c r="AC1520" s="291">
        <f>AC1527</f>
        <v>0</v>
      </c>
      <c r="AE1520" s="291">
        <f>AE1527</f>
        <v>0</v>
      </c>
      <c r="AF1520" s="291">
        <f>AF1527</f>
        <v>0</v>
      </c>
      <c r="AH1520" s="291">
        <f>AH1527</f>
        <v>0</v>
      </c>
      <c r="AI1520" s="291">
        <f>AI1527</f>
        <v>0</v>
      </c>
      <c r="AK1520" s="291">
        <f>AK1527</f>
        <v>0</v>
      </c>
      <c r="AL1520" s="291">
        <f>AL1527</f>
        <v>0</v>
      </c>
      <c r="AN1520" s="291">
        <f>AN1527</f>
        <v>0</v>
      </c>
      <c r="AO1520" s="291">
        <f>AO1527</f>
        <v>0</v>
      </c>
      <c r="AQ1520" s="291">
        <f>AQ1527</f>
        <v>0</v>
      </c>
      <c r="AR1520" s="291">
        <f>AR1527</f>
        <v>0</v>
      </c>
      <c r="AT1520" s="291">
        <f>AT1527</f>
        <v>0</v>
      </c>
      <c r="AU1520" s="291">
        <f>AU1527</f>
        <v>0</v>
      </c>
      <c r="AW1520" s="291">
        <f>AW1527</f>
        <v>0</v>
      </c>
      <c r="AX1520" s="291">
        <f>AX1527</f>
        <v>0</v>
      </c>
      <c r="AZ1520" s="291">
        <f>AZ1527</f>
        <v>0</v>
      </c>
      <c r="BA1520" s="291">
        <f>BA1527</f>
        <v>0</v>
      </c>
      <c r="BC1520" s="291">
        <f>BC1527</f>
        <v>1</v>
      </c>
      <c r="BD1520" s="291">
        <f>BD1527</f>
        <v>1</v>
      </c>
      <c r="BF1520" s="291">
        <f>BF1527</f>
        <v>1</v>
      </c>
      <c r="BG1520" s="291">
        <f>BG1527</f>
        <v>1</v>
      </c>
      <c r="BI1520" s="291">
        <f>BI1527</f>
        <v>1</v>
      </c>
      <c r="BJ1520" s="291">
        <f>BJ1527</f>
        <v>1</v>
      </c>
      <c r="BL1520" s="291">
        <f>BL1527</f>
        <v>0</v>
      </c>
      <c r="BM1520" s="291">
        <f>BM1527</f>
        <v>0</v>
      </c>
      <c r="BO1520" s="291">
        <f>BO1527</f>
        <v>0</v>
      </c>
      <c r="BP1520" s="291">
        <f>BP1527</f>
        <v>0</v>
      </c>
      <c r="BR1520" s="291">
        <f>BR1527</f>
        <v>0</v>
      </c>
      <c r="BS1520" s="291">
        <f>BS1527</f>
        <v>0</v>
      </c>
      <c r="BU1520" s="291">
        <f>BU1527</f>
        <v>0</v>
      </c>
      <c r="BV1520" s="291">
        <f>BV1527</f>
        <v>0</v>
      </c>
      <c r="BX1520" s="291">
        <f>BX1527</f>
        <v>0</v>
      </c>
      <c r="BY1520" s="291">
        <f>BY1527</f>
        <v>0</v>
      </c>
      <c r="CA1520" s="291">
        <f>CA1527</f>
        <v>0</v>
      </c>
      <c r="CB1520" s="291">
        <f>CB1527</f>
        <v>0</v>
      </c>
      <c r="CD1520" s="291">
        <f>CD1527</f>
        <v>3</v>
      </c>
      <c r="CE1520" s="291">
        <f>CE1527</f>
        <v>3</v>
      </c>
      <c r="CG1520" s="291">
        <f>CG1527</f>
        <v>0</v>
      </c>
      <c r="CH1520" s="291">
        <f>CH1527</f>
        <v>0</v>
      </c>
      <c r="CJ1520" s="291">
        <f>CJ1527</f>
        <v>0</v>
      </c>
      <c r="CK1520" s="291">
        <f>CK1527</f>
        <v>0</v>
      </c>
    </row>
    <row r="1521" spans="1:89" ht="30" x14ac:dyDescent="0.25">
      <c r="A1521" s="418"/>
      <c r="B1521" s="421"/>
      <c r="C1521" s="95" t="s">
        <v>1263</v>
      </c>
      <c r="D1521" s="95" t="s">
        <v>1112</v>
      </c>
      <c r="E1521" s="292">
        <v>0</v>
      </c>
      <c r="F1521" s="292">
        <v>0</v>
      </c>
      <c r="G1521" s="291">
        <v>0</v>
      </c>
      <c r="H1521" s="291">
        <f t="shared" si="1846"/>
        <v>0</v>
      </c>
      <c r="I1521" s="291">
        <f t="shared" si="1846"/>
        <v>0</v>
      </c>
      <c r="J1521" s="291">
        <f t="shared" si="1846"/>
        <v>0</v>
      </c>
      <c r="K1521" s="291">
        <f>K1528</f>
        <v>0</v>
      </c>
      <c r="L1521" s="291">
        <f>L1528</f>
        <v>0</v>
      </c>
      <c r="M1521" s="291">
        <f>M1528</f>
        <v>0</v>
      </c>
      <c r="N1521" s="291">
        <f>N1528</f>
        <v>0</v>
      </c>
      <c r="Q1521" s="291">
        <f t="shared" si="1847"/>
        <v>0</v>
      </c>
      <c r="R1521" s="291">
        <f t="shared" si="1847"/>
        <v>0</v>
      </c>
      <c r="S1521" s="291">
        <f t="shared" si="1847"/>
        <v>0</v>
      </c>
      <c r="T1521" s="291">
        <f t="shared" si="1847"/>
        <v>0</v>
      </c>
      <c r="V1521" s="291">
        <f>V1528</f>
        <v>0</v>
      </c>
      <c r="W1521" s="291">
        <f>W1528</f>
        <v>0</v>
      </c>
      <c r="Y1521" s="291">
        <f>Y1528</f>
        <v>0</v>
      </c>
      <c r="Z1521" s="291">
        <f>Z1528</f>
        <v>0</v>
      </c>
      <c r="AB1521" s="291">
        <f>AB1528</f>
        <v>0</v>
      </c>
      <c r="AC1521" s="291">
        <f>AC1528</f>
        <v>0</v>
      </c>
      <c r="AE1521" s="291">
        <f>AE1528</f>
        <v>0</v>
      </c>
      <c r="AF1521" s="291">
        <f>AF1528</f>
        <v>0</v>
      </c>
      <c r="AH1521" s="291">
        <f>AH1528</f>
        <v>0</v>
      </c>
      <c r="AI1521" s="291">
        <f>AI1528</f>
        <v>0</v>
      </c>
      <c r="AK1521" s="291">
        <f>AK1528</f>
        <v>0</v>
      </c>
      <c r="AL1521" s="291">
        <f>AL1528</f>
        <v>0</v>
      </c>
      <c r="AN1521" s="291">
        <f>AN1528</f>
        <v>0</v>
      </c>
      <c r="AO1521" s="291">
        <f>AO1528</f>
        <v>0</v>
      </c>
      <c r="AQ1521" s="291">
        <f>AQ1528</f>
        <v>0</v>
      </c>
      <c r="AR1521" s="291">
        <f>AR1528</f>
        <v>0</v>
      </c>
      <c r="AT1521" s="291">
        <f>AT1528</f>
        <v>0</v>
      </c>
      <c r="AU1521" s="291">
        <f>AU1528</f>
        <v>0</v>
      </c>
      <c r="AW1521" s="291">
        <f>AW1528</f>
        <v>0</v>
      </c>
      <c r="AX1521" s="291">
        <f>AX1528</f>
        <v>0</v>
      </c>
      <c r="AZ1521" s="291">
        <f>AZ1528</f>
        <v>0</v>
      </c>
      <c r="BA1521" s="291">
        <f>BA1528</f>
        <v>0</v>
      </c>
      <c r="BC1521" s="291">
        <f>BC1528</f>
        <v>0</v>
      </c>
      <c r="BD1521" s="291">
        <f>BD1528</f>
        <v>0</v>
      </c>
      <c r="BF1521" s="291">
        <f>BF1528</f>
        <v>0</v>
      </c>
      <c r="BG1521" s="291">
        <f>BG1528</f>
        <v>0</v>
      </c>
      <c r="BI1521" s="291">
        <f>BI1528</f>
        <v>0</v>
      </c>
      <c r="BJ1521" s="291">
        <f>BJ1528</f>
        <v>0</v>
      </c>
      <c r="BL1521" s="291">
        <f>BL1528</f>
        <v>0</v>
      </c>
      <c r="BM1521" s="291">
        <f>BM1528</f>
        <v>0</v>
      </c>
      <c r="BO1521" s="291">
        <f>BO1528</f>
        <v>0</v>
      </c>
      <c r="BP1521" s="291">
        <f>BP1528</f>
        <v>0</v>
      </c>
      <c r="BR1521" s="291">
        <f>BR1528</f>
        <v>0</v>
      </c>
      <c r="BS1521" s="291">
        <f>BS1528</f>
        <v>0</v>
      </c>
      <c r="BU1521" s="291">
        <f>BU1528</f>
        <v>0</v>
      </c>
      <c r="BV1521" s="291">
        <f>BV1528</f>
        <v>0</v>
      </c>
      <c r="BX1521" s="291">
        <f>BX1528</f>
        <v>0</v>
      </c>
      <c r="BY1521" s="291">
        <f>BY1528</f>
        <v>0</v>
      </c>
      <c r="CA1521" s="291">
        <f>CA1528</f>
        <v>0</v>
      </c>
      <c r="CB1521" s="291">
        <f>CB1528</f>
        <v>0</v>
      </c>
      <c r="CD1521" s="291">
        <f>CD1528</f>
        <v>0</v>
      </c>
      <c r="CE1521" s="291">
        <f>CE1528</f>
        <v>0</v>
      </c>
      <c r="CG1521" s="291">
        <f>CG1528</f>
        <v>0</v>
      </c>
      <c r="CH1521" s="291">
        <f>CH1528</f>
        <v>0</v>
      </c>
      <c r="CJ1521" s="291">
        <f>CJ1528</f>
        <v>0</v>
      </c>
      <c r="CK1521" s="291">
        <f>CK1528</f>
        <v>0</v>
      </c>
    </row>
    <row r="1522" spans="1:89" ht="30" x14ac:dyDescent="0.25">
      <c r="A1522" s="95"/>
      <c r="B1522" s="16" t="s">
        <v>223</v>
      </c>
      <c r="C1522" s="95" t="s">
        <v>205</v>
      </c>
      <c r="D1522" s="95" t="s">
        <v>1112</v>
      </c>
      <c r="E1522" s="292">
        <v>7</v>
      </c>
      <c r="F1522" s="292">
        <v>5</v>
      </c>
      <c r="G1522" s="291">
        <v>4</v>
      </c>
      <c r="H1522" s="291">
        <v>0</v>
      </c>
      <c r="I1522" s="291">
        <v>0</v>
      </c>
      <c r="J1522" s="291">
        <v>0</v>
      </c>
      <c r="K1522" s="291">
        <v>0</v>
      </c>
      <c r="L1522" s="291">
        <v>0</v>
      </c>
      <c r="M1522" s="291">
        <v>0</v>
      </c>
      <c r="N1522" s="291">
        <v>0</v>
      </c>
      <c r="Q1522" s="291">
        <v>0</v>
      </c>
      <c r="R1522" s="291">
        <v>0</v>
      </c>
      <c r="S1522" s="291">
        <v>0</v>
      </c>
      <c r="T1522" s="291">
        <v>0</v>
      </c>
      <c r="V1522" s="291">
        <v>0</v>
      </c>
      <c r="W1522" s="291">
        <v>0</v>
      </c>
      <c r="Y1522" s="291">
        <v>0</v>
      </c>
      <c r="Z1522" s="291">
        <v>0</v>
      </c>
      <c r="AB1522" s="291">
        <v>0</v>
      </c>
      <c r="AC1522" s="291">
        <v>0</v>
      </c>
      <c r="AE1522" s="291">
        <v>0</v>
      </c>
      <c r="AF1522" s="291">
        <v>0</v>
      </c>
      <c r="AH1522" s="291">
        <v>0</v>
      </c>
      <c r="AI1522" s="291">
        <v>0</v>
      </c>
      <c r="AK1522" s="291">
        <v>0</v>
      </c>
      <c r="AL1522" s="291">
        <v>0</v>
      </c>
      <c r="AN1522" s="291">
        <v>0</v>
      </c>
      <c r="AO1522" s="291">
        <v>0</v>
      </c>
      <c r="AQ1522" s="291">
        <v>0</v>
      </c>
      <c r="AR1522" s="291">
        <v>0</v>
      </c>
      <c r="AT1522" s="291">
        <v>0</v>
      </c>
      <c r="AU1522" s="291">
        <v>0</v>
      </c>
      <c r="AW1522" s="291">
        <v>0</v>
      </c>
      <c r="AX1522" s="291">
        <v>0</v>
      </c>
      <c r="AZ1522" s="291">
        <v>0</v>
      </c>
      <c r="BA1522" s="291">
        <v>0</v>
      </c>
      <c r="BC1522" s="291">
        <v>0</v>
      </c>
      <c r="BD1522" s="291">
        <v>0</v>
      </c>
      <c r="BF1522" s="291">
        <v>0</v>
      </c>
      <c r="BG1522" s="291">
        <v>0</v>
      </c>
      <c r="BI1522" s="291">
        <v>0</v>
      </c>
      <c r="BJ1522" s="291">
        <v>0</v>
      </c>
      <c r="BL1522" s="291">
        <v>0</v>
      </c>
      <c r="BM1522" s="291">
        <v>0</v>
      </c>
      <c r="BO1522" s="291">
        <v>0</v>
      </c>
      <c r="BP1522" s="291">
        <v>0</v>
      </c>
      <c r="BR1522" s="291">
        <v>0</v>
      </c>
      <c r="BS1522" s="291">
        <v>0</v>
      </c>
      <c r="BU1522" s="291">
        <v>0</v>
      </c>
      <c r="BV1522" s="291">
        <v>0</v>
      </c>
      <c r="BX1522" s="291">
        <v>0</v>
      </c>
      <c r="BY1522" s="291">
        <v>0</v>
      </c>
      <c r="CA1522" s="291">
        <v>0</v>
      </c>
      <c r="CB1522" s="291">
        <v>0</v>
      </c>
      <c r="CD1522" s="291">
        <v>0</v>
      </c>
      <c r="CE1522" s="291">
        <v>0</v>
      </c>
      <c r="CG1522" s="291">
        <v>0</v>
      </c>
      <c r="CH1522" s="291">
        <v>0</v>
      </c>
      <c r="CJ1522" s="291">
        <v>0</v>
      </c>
      <c r="CK1522" s="291">
        <v>0</v>
      </c>
    </row>
    <row r="1523" spans="1:89" x14ac:dyDescent="0.25">
      <c r="A1523" s="95"/>
      <c r="B1523" s="311" t="s">
        <v>1182</v>
      </c>
      <c r="C1523" s="95"/>
      <c r="D1523" s="95"/>
      <c r="E1523" s="291"/>
      <c r="F1523" s="291"/>
      <c r="G1523" s="291"/>
      <c r="H1523" s="291">
        <f>H1524+H1525</f>
        <v>322</v>
      </c>
      <c r="I1523" s="291">
        <f>I1524+I1525</f>
        <v>318</v>
      </c>
      <c r="J1523" s="291">
        <f>J1524+J1525</f>
        <v>468</v>
      </c>
      <c r="K1523" s="291">
        <f>K1524+K1525</f>
        <v>468</v>
      </c>
      <c r="L1523" s="291">
        <f>L1524+L1525</f>
        <v>18</v>
      </c>
      <c r="M1523" s="291">
        <f t="shared" ref="M1523:N1523" si="1848">M1524+M1525</f>
        <v>18</v>
      </c>
      <c r="N1523" s="291">
        <f t="shared" si="1848"/>
        <v>18</v>
      </c>
      <c r="Q1523" s="291">
        <f>Q1524+Q1525</f>
        <v>468</v>
      </c>
      <c r="R1523" s="291">
        <f>R1524+R1525</f>
        <v>482</v>
      </c>
      <c r="S1523" s="291">
        <f>S1524+S1525</f>
        <v>16</v>
      </c>
      <c r="T1523" s="291">
        <f>T1524+T1525</f>
        <v>17</v>
      </c>
      <c r="V1523" s="291">
        <f>V1524+V1525</f>
        <v>16</v>
      </c>
      <c r="W1523" s="291">
        <f>W1524+W1525</f>
        <v>17</v>
      </c>
      <c r="Y1523" s="291">
        <f>Y1524+Y1525</f>
        <v>21</v>
      </c>
      <c r="Z1523" s="291">
        <f>Z1524+Z1525</f>
        <v>21</v>
      </c>
      <c r="AB1523" s="291">
        <f>AB1524+AB1525</f>
        <v>23</v>
      </c>
      <c r="AC1523" s="291">
        <f>AC1524+AC1525</f>
        <v>23</v>
      </c>
      <c r="AE1523" s="291">
        <f>AE1524+AE1525</f>
        <v>29</v>
      </c>
      <c r="AF1523" s="291">
        <f>AF1524+AF1525</f>
        <v>29</v>
      </c>
      <c r="AH1523" s="291">
        <f>AH1524+AH1525</f>
        <v>31</v>
      </c>
      <c r="AI1523" s="291">
        <f>AI1524+AI1525</f>
        <v>31</v>
      </c>
      <c r="AK1523" s="291">
        <f>AK1524+AK1525</f>
        <v>15</v>
      </c>
      <c r="AL1523" s="291">
        <f>AL1524+AL1525</f>
        <v>15</v>
      </c>
      <c r="AN1523" s="291">
        <f>AN1524+AN1525</f>
        <v>33</v>
      </c>
      <c r="AO1523" s="291">
        <f>AO1524+AO1525</f>
        <v>33</v>
      </c>
      <c r="AQ1523" s="291">
        <f>AQ1524+AQ1525</f>
        <v>31</v>
      </c>
      <c r="AR1523" s="291">
        <f>AR1524+AR1525</f>
        <v>37</v>
      </c>
      <c r="AT1523" s="291">
        <f>AT1524+AT1525</f>
        <v>13</v>
      </c>
      <c r="AU1523" s="291">
        <f>AU1524+AU1525</f>
        <v>13</v>
      </c>
      <c r="AW1523" s="291">
        <f>AW1524+AW1525</f>
        <v>7</v>
      </c>
      <c r="AX1523" s="291">
        <f>AX1524+AX1525</f>
        <v>8</v>
      </c>
      <c r="AZ1523" s="291">
        <f>AZ1524+AZ1525</f>
        <v>12</v>
      </c>
      <c r="BA1523" s="291">
        <f>BA1524+BA1525</f>
        <v>12</v>
      </c>
      <c r="BC1523" s="291">
        <f>BC1524+BC1525</f>
        <v>30</v>
      </c>
      <c r="BD1523" s="291">
        <f>BD1524+BD1525</f>
        <v>30</v>
      </c>
      <c r="BF1523" s="291">
        <f>BF1524+BF1525</f>
        <v>35</v>
      </c>
      <c r="BG1523" s="291">
        <f>BG1524+BG1525</f>
        <v>38</v>
      </c>
      <c r="BI1523" s="291">
        <f>BI1524+BI1525</f>
        <v>62</v>
      </c>
      <c r="BJ1523" s="291">
        <f>BJ1524+BJ1525</f>
        <v>63</v>
      </c>
      <c r="BL1523" s="291">
        <f>BL1524+BL1525</f>
        <v>7</v>
      </c>
      <c r="BM1523" s="291">
        <f>BM1524+BM1525</f>
        <v>7</v>
      </c>
      <c r="BO1523" s="291">
        <f>BO1524+BO1525</f>
        <v>8</v>
      </c>
      <c r="BP1523" s="291">
        <f>BP1524+BP1525</f>
        <v>8</v>
      </c>
      <c r="BR1523" s="291">
        <f>BR1524+BR1525</f>
        <v>14</v>
      </c>
      <c r="BS1523" s="291">
        <f>BS1524+BS1525</f>
        <v>14</v>
      </c>
      <c r="BU1523" s="291">
        <f>BU1524+BU1525</f>
        <v>9</v>
      </c>
      <c r="BV1523" s="291">
        <f>BV1524+BV1525</f>
        <v>8</v>
      </c>
      <c r="BX1523" s="291">
        <f>BX1524+BX1525</f>
        <v>5</v>
      </c>
      <c r="BY1523" s="291">
        <f>BY1524+BY1525</f>
        <v>5</v>
      </c>
      <c r="CA1523" s="291">
        <f>CA1524+CA1525</f>
        <v>10</v>
      </c>
      <c r="CB1523" s="291">
        <f>CB1524+CB1525</f>
        <v>11</v>
      </c>
      <c r="CD1523" s="291">
        <f>CD1524+CD1525</f>
        <v>12</v>
      </c>
      <c r="CE1523" s="291">
        <f>CE1524+CE1525</f>
        <v>13</v>
      </c>
      <c r="CG1523" s="291">
        <f>CG1524+CG1525</f>
        <v>29</v>
      </c>
      <c r="CH1523" s="291">
        <f>CH1524+CH1525</f>
        <v>29</v>
      </c>
      <c r="CJ1523" s="291">
        <f>CJ1524+CJ1525</f>
        <v>0</v>
      </c>
      <c r="CK1523" s="291">
        <f>CK1524+CK1525</f>
        <v>0</v>
      </c>
    </row>
    <row r="1524" spans="1:89" ht="60" x14ac:dyDescent="0.25">
      <c r="A1524" s="95"/>
      <c r="B1524" s="263"/>
      <c r="C1524" s="312" t="s">
        <v>2756</v>
      </c>
      <c r="D1524" s="95" t="s">
        <v>1112</v>
      </c>
      <c r="E1524" s="291"/>
      <c r="F1524" s="291"/>
      <c r="G1524" s="291"/>
      <c r="H1524" s="291">
        <v>222</v>
      </c>
      <c r="I1524" s="291">
        <v>220</v>
      </c>
      <c r="J1524" s="291">
        <f t="shared" ref="J1524:M1525" si="1849">J804</f>
        <v>318</v>
      </c>
      <c r="K1524" s="291">
        <f t="shared" si="1849"/>
        <v>316</v>
      </c>
      <c r="L1524" s="291">
        <f t="shared" si="1849"/>
        <v>5</v>
      </c>
      <c r="M1524" s="291">
        <f t="shared" si="1849"/>
        <v>5</v>
      </c>
      <c r="N1524" s="291">
        <f t="shared" ref="N1524" si="1850">N804</f>
        <v>5</v>
      </c>
      <c r="Q1524" s="283">
        <f>S1524+V1524+Y1524+AB1524+AE1524+AH1524+AK1524+AN1524+AQ1524+AT1524+AW1524+AZ1524+BC1524+BF1524+BI1524+BL1524+BO1524+BR1524+BU1524+BX1524+CA1524+CD1524+CG1524+CJ1524</f>
        <v>316</v>
      </c>
      <c r="R1524" s="283">
        <f>T1524+W1524+Z1524+AC1524+AF1524+AI1524+AL1524+AO1524+AR1524+AU1524+AX1524+BA1524+BD1524+BG1524+BJ1524+BM1524+BP1524+BS1524+BV1524+BY1524+CB1524+CE1524+CH1524+CK1524</f>
        <v>325</v>
      </c>
      <c r="S1524" s="267">
        <f>S804</f>
        <v>6</v>
      </c>
      <c r="T1524" s="267">
        <f>T804</f>
        <v>7</v>
      </c>
      <c r="V1524" s="267">
        <f>V804</f>
        <v>6</v>
      </c>
      <c r="W1524" s="267">
        <f>W804</f>
        <v>6</v>
      </c>
      <c r="Y1524" s="267">
        <f>Y804</f>
        <v>6</v>
      </c>
      <c r="Z1524" s="267">
        <f>Z804</f>
        <v>6</v>
      </c>
      <c r="AB1524" s="267">
        <f>AB804</f>
        <v>4</v>
      </c>
      <c r="AC1524" s="267">
        <f>AC804</f>
        <v>4</v>
      </c>
      <c r="AE1524" s="267">
        <f>AE804</f>
        <v>9</v>
      </c>
      <c r="AF1524" s="267">
        <f>AF804</f>
        <v>11</v>
      </c>
      <c r="AH1524" s="267">
        <f>AH804</f>
        <v>9</v>
      </c>
      <c r="AI1524" s="267">
        <f>AI804</f>
        <v>9</v>
      </c>
      <c r="AK1524" s="267">
        <f>AK804</f>
        <v>13</v>
      </c>
      <c r="AL1524" s="267">
        <f>AL804</f>
        <v>13</v>
      </c>
      <c r="AN1524" s="267">
        <f>AN804</f>
        <v>15</v>
      </c>
      <c r="AO1524" s="267">
        <f>AO804</f>
        <v>15</v>
      </c>
      <c r="AQ1524" s="267">
        <f>AQ804</f>
        <v>0</v>
      </c>
      <c r="AR1524" s="267">
        <f>AR804</f>
        <v>0</v>
      </c>
      <c r="AT1524" s="267">
        <f>AT804</f>
        <v>13</v>
      </c>
      <c r="AU1524" s="267">
        <f>AU804</f>
        <v>13</v>
      </c>
      <c r="AW1524" s="267">
        <f>AW804</f>
        <v>7</v>
      </c>
      <c r="AX1524" s="267">
        <f>AX804</f>
        <v>8</v>
      </c>
      <c r="AZ1524" s="267">
        <f>AZ804</f>
        <v>12</v>
      </c>
      <c r="BA1524" s="267">
        <f>BA804</f>
        <v>12</v>
      </c>
      <c r="BC1524" s="267">
        <f>BC804</f>
        <v>30</v>
      </c>
      <c r="BD1524" s="267">
        <f>BD804</f>
        <v>30</v>
      </c>
      <c r="BF1524" s="267">
        <f>BF804</f>
        <v>35</v>
      </c>
      <c r="BG1524" s="267">
        <f>BG804</f>
        <v>38</v>
      </c>
      <c r="BI1524" s="267">
        <f>BI804</f>
        <v>62</v>
      </c>
      <c r="BJ1524" s="267">
        <f>BJ804</f>
        <v>63</v>
      </c>
      <c r="BL1524" s="267">
        <f>BL804</f>
        <v>7</v>
      </c>
      <c r="BM1524" s="267">
        <f>BM804</f>
        <v>7</v>
      </c>
      <c r="BO1524" s="267">
        <f>BO804</f>
        <v>8</v>
      </c>
      <c r="BP1524" s="267">
        <f>BP804</f>
        <v>8</v>
      </c>
      <c r="BR1524" s="267">
        <f>BR804</f>
        <v>14</v>
      </c>
      <c r="BS1524" s="267">
        <f>BS804</f>
        <v>14</v>
      </c>
      <c r="BU1524" s="267">
        <f>BU804</f>
        <v>9</v>
      </c>
      <c r="BV1524" s="267">
        <f>BV804</f>
        <v>8</v>
      </c>
      <c r="BX1524" s="267">
        <f>BX804</f>
        <v>5</v>
      </c>
      <c r="BY1524" s="267">
        <f>BY804</f>
        <v>5</v>
      </c>
      <c r="CA1524" s="267">
        <f>CA804</f>
        <v>10</v>
      </c>
      <c r="CB1524" s="267">
        <f>CB804</f>
        <v>11</v>
      </c>
      <c r="CD1524" s="267">
        <f>CD804</f>
        <v>12</v>
      </c>
      <c r="CE1524" s="267">
        <f>CE804</f>
        <v>13</v>
      </c>
      <c r="CG1524" s="267">
        <f>CG804</f>
        <v>24</v>
      </c>
      <c r="CH1524" s="267">
        <f>CH804</f>
        <v>24</v>
      </c>
      <c r="CJ1524" s="267">
        <f>CJ804</f>
        <v>0</v>
      </c>
      <c r="CK1524" s="267">
        <f>CK804</f>
        <v>0</v>
      </c>
    </row>
    <row r="1525" spans="1:89" ht="60" x14ac:dyDescent="0.25">
      <c r="A1525" s="95"/>
      <c r="B1525" s="263"/>
      <c r="C1525" s="312" t="s">
        <v>2756</v>
      </c>
      <c r="D1525" s="95" t="s">
        <v>1112</v>
      </c>
      <c r="E1525" s="291"/>
      <c r="F1525" s="291"/>
      <c r="G1525" s="291"/>
      <c r="H1525" s="291">
        <v>100</v>
      </c>
      <c r="I1525" s="291">
        <v>98</v>
      </c>
      <c r="J1525" s="291">
        <f t="shared" si="1849"/>
        <v>150</v>
      </c>
      <c r="K1525" s="291">
        <f t="shared" si="1849"/>
        <v>152</v>
      </c>
      <c r="L1525" s="291">
        <f t="shared" si="1849"/>
        <v>13</v>
      </c>
      <c r="M1525" s="291">
        <f t="shared" si="1849"/>
        <v>13</v>
      </c>
      <c r="N1525" s="291">
        <f t="shared" ref="N1525" si="1851">N805</f>
        <v>13</v>
      </c>
      <c r="Q1525" s="283">
        <f>S1525+V1525+Y1525+AB1525+AE1525+AH1525+AK1525+AN1525+AQ1525+AT1525+AW1525+AZ1525+BC1525+BF1525+BI1525+BL1525+BO1525+BR1525+BU1525+BX1525+CA1525+CD1525+CG1525+CJ1525</f>
        <v>152</v>
      </c>
      <c r="R1525" s="283">
        <f>T1525+W1525+Z1525+AC1525+AF1525+AI1525+AL1525+AO1525+AR1525+AU1525+AX1525+BA1525+BD1525+BG1525+BJ1525+BM1525+BP1525+BS1525+BV1525+BY1525+CB1525+CE1525+CH1525+CK1525</f>
        <v>157</v>
      </c>
      <c r="S1525" s="267">
        <f>S805</f>
        <v>10</v>
      </c>
      <c r="T1525" s="267">
        <f>T805</f>
        <v>10</v>
      </c>
      <c r="V1525" s="267">
        <f>V805</f>
        <v>10</v>
      </c>
      <c r="W1525" s="267">
        <f>W805</f>
        <v>11</v>
      </c>
      <c r="Y1525" s="267">
        <f>Y805</f>
        <v>15</v>
      </c>
      <c r="Z1525" s="267">
        <f>Z805</f>
        <v>15</v>
      </c>
      <c r="AB1525" s="267">
        <f>AB805</f>
        <v>19</v>
      </c>
      <c r="AC1525" s="267">
        <f>AC805</f>
        <v>19</v>
      </c>
      <c r="AE1525" s="267">
        <f>AE805</f>
        <v>20</v>
      </c>
      <c r="AF1525" s="267">
        <f>AF805</f>
        <v>18</v>
      </c>
      <c r="AH1525" s="267">
        <f>AH805</f>
        <v>22</v>
      </c>
      <c r="AI1525" s="267">
        <f>AI805</f>
        <v>22</v>
      </c>
      <c r="AK1525" s="267">
        <f>AK805</f>
        <v>2</v>
      </c>
      <c r="AL1525" s="267">
        <f>AL805</f>
        <v>2</v>
      </c>
      <c r="AN1525" s="267">
        <f>AN805</f>
        <v>18</v>
      </c>
      <c r="AO1525" s="267">
        <f>AO805</f>
        <v>18</v>
      </c>
      <c r="AQ1525" s="267">
        <f>AQ805</f>
        <v>31</v>
      </c>
      <c r="AR1525" s="267">
        <f>AR805</f>
        <v>37</v>
      </c>
      <c r="AT1525" s="267">
        <f>AT805</f>
        <v>0</v>
      </c>
      <c r="AU1525" s="267">
        <f>AU805</f>
        <v>0</v>
      </c>
      <c r="AW1525" s="267">
        <f>AW805</f>
        <v>0</v>
      </c>
      <c r="AX1525" s="267">
        <f>AX805</f>
        <v>0</v>
      </c>
      <c r="AZ1525" s="267">
        <f>AZ805</f>
        <v>0</v>
      </c>
      <c r="BA1525" s="267">
        <f>BA805</f>
        <v>0</v>
      </c>
      <c r="BC1525" s="267">
        <f>BC805</f>
        <v>0</v>
      </c>
      <c r="BD1525" s="267">
        <f>BD805</f>
        <v>0</v>
      </c>
      <c r="BF1525" s="267">
        <f>BF805</f>
        <v>0</v>
      </c>
      <c r="BG1525" s="267">
        <f>BG805</f>
        <v>0</v>
      </c>
      <c r="BI1525" s="267">
        <f>BI805</f>
        <v>0</v>
      </c>
      <c r="BJ1525" s="267">
        <f>BJ805</f>
        <v>0</v>
      </c>
      <c r="BL1525" s="267">
        <f>BL805</f>
        <v>0</v>
      </c>
      <c r="BM1525" s="267">
        <f>BM805</f>
        <v>0</v>
      </c>
      <c r="BO1525" s="267">
        <f>BO805</f>
        <v>0</v>
      </c>
      <c r="BP1525" s="267">
        <f>BP805</f>
        <v>0</v>
      </c>
      <c r="BR1525" s="267">
        <f>BR805</f>
        <v>0</v>
      </c>
      <c r="BS1525" s="267">
        <f>BS805</f>
        <v>0</v>
      </c>
      <c r="BU1525" s="267">
        <f>BU805</f>
        <v>0</v>
      </c>
      <c r="BV1525" s="267">
        <f>BV805</f>
        <v>0</v>
      </c>
      <c r="BX1525" s="267">
        <f>BX805</f>
        <v>0</v>
      </c>
      <c r="BY1525" s="267">
        <f>BY805</f>
        <v>0</v>
      </c>
      <c r="CA1525" s="267">
        <f>CA805</f>
        <v>0</v>
      </c>
      <c r="CB1525" s="267">
        <f>CB805</f>
        <v>0</v>
      </c>
      <c r="CD1525" s="267">
        <f>CD805</f>
        <v>0</v>
      </c>
      <c r="CE1525" s="267">
        <f>CE805</f>
        <v>0</v>
      </c>
      <c r="CG1525" s="267">
        <f>CG805</f>
        <v>5</v>
      </c>
      <c r="CH1525" s="267">
        <f>CH805</f>
        <v>5</v>
      </c>
      <c r="CJ1525" s="267">
        <f>CJ805</f>
        <v>0</v>
      </c>
      <c r="CK1525" s="267">
        <f>CK805</f>
        <v>0</v>
      </c>
    </row>
    <row r="1526" spans="1:89" x14ac:dyDescent="0.25">
      <c r="A1526" s="95"/>
      <c r="B1526" s="261" t="s">
        <v>1184</v>
      </c>
      <c r="C1526" s="95"/>
      <c r="D1526" s="95"/>
      <c r="E1526" s="291"/>
      <c r="F1526" s="291"/>
      <c r="G1526" s="291"/>
      <c r="H1526" s="291">
        <f>H1527+H1528</f>
        <v>4</v>
      </c>
      <c r="I1526" s="291">
        <f>I1527+I1528</f>
        <v>4</v>
      </c>
      <c r="J1526" s="291">
        <f>J1527+J1528</f>
        <v>6</v>
      </c>
      <c r="K1526" s="291">
        <f>K1527+K1528</f>
        <v>6</v>
      </c>
      <c r="L1526" s="291">
        <f>L1527+L1528</f>
        <v>0</v>
      </c>
      <c r="M1526" s="291">
        <f t="shared" ref="M1526:N1526" si="1852">M1527+M1528</f>
        <v>0</v>
      </c>
      <c r="N1526" s="291">
        <f t="shared" si="1852"/>
        <v>0</v>
      </c>
    </row>
    <row r="1527" spans="1:89" ht="60" x14ac:dyDescent="0.25">
      <c r="A1527" s="95"/>
      <c r="B1527" s="263"/>
      <c r="C1527" s="312" t="s">
        <v>2756</v>
      </c>
      <c r="D1527" s="95" t="s">
        <v>1112</v>
      </c>
      <c r="E1527" s="291"/>
      <c r="F1527" s="291"/>
      <c r="G1527" s="291"/>
      <c r="H1527" s="291">
        <v>4</v>
      </c>
      <c r="I1527" s="291">
        <v>4</v>
      </c>
      <c r="J1527" s="291">
        <f t="shared" ref="J1527:M1528" si="1853">J813</f>
        <v>6</v>
      </c>
      <c r="K1527" s="291">
        <f t="shared" si="1853"/>
        <v>6</v>
      </c>
      <c r="L1527" s="291">
        <f t="shared" si="1853"/>
        <v>0</v>
      </c>
      <c r="M1527" s="291">
        <f t="shared" si="1853"/>
        <v>0</v>
      </c>
      <c r="N1527" s="291">
        <f t="shared" ref="N1527" si="1854">N813</f>
        <v>0</v>
      </c>
      <c r="Q1527" s="283">
        <f>S1527+V1527+Y1527+AB1527+AE1527+AH1527+AK1527+AN1527+AQ1527+AT1527+AW1527+AZ1527+BC1527+BF1527+BI1527+BL1527+BO1527+BR1527+BU1527+BX1527+CA1527+CD1527+CG1527+CJ1527</f>
        <v>6</v>
      </c>
      <c r="R1527" s="283">
        <f>T1527+W1527+Z1527+AC1527+AF1527+AI1527+AL1527+AO1527+AR1527+AU1527+AX1527+BA1527+BD1527+BG1527+BJ1527+BM1527+BP1527+BS1527+BV1527+BY1527+CB1527+CE1527+CH1527+CK1527</f>
        <v>6</v>
      </c>
      <c r="S1527" s="267">
        <f>S813</f>
        <v>0</v>
      </c>
      <c r="T1527" s="267">
        <f>T813</f>
        <v>0</v>
      </c>
      <c r="V1527" s="267">
        <f>V813</f>
        <v>0</v>
      </c>
      <c r="W1527" s="267">
        <f>W813</f>
        <v>0</v>
      </c>
      <c r="Y1527" s="267">
        <f>Y813</f>
        <v>0</v>
      </c>
      <c r="Z1527" s="267">
        <f>Z813</f>
        <v>0</v>
      </c>
      <c r="AB1527" s="267">
        <f>AB813</f>
        <v>0</v>
      </c>
      <c r="AC1527" s="267">
        <f>AC813</f>
        <v>0</v>
      </c>
      <c r="AE1527" s="267">
        <f>AE813</f>
        <v>0</v>
      </c>
      <c r="AF1527" s="267">
        <f>AF813</f>
        <v>0</v>
      </c>
      <c r="AH1527" s="267">
        <f>AH813</f>
        <v>0</v>
      </c>
      <c r="AI1527" s="267">
        <f>AI813</f>
        <v>0</v>
      </c>
      <c r="AK1527" s="267">
        <f>AK813</f>
        <v>0</v>
      </c>
      <c r="AL1527" s="267">
        <f>AL813</f>
        <v>0</v>
      </c>
      <c r="AN1527" s="267">
        <f>AN813</f>
        <v>0</v>
      </c>
      <c r="AO1527" s="267">
        <f>AO813</f>
        <v>0</v>
      </c>
      <c r="AQ1527" s="267">
        <f>AQ813</f>
        <v>0</v>
      </c>
      <c r="AR1527" s="267">
        <f>AR813</f>
        <v>0</v>
      </c>
      <c r="AT1527" s="267">
        <f>AT813</f>
        <v>0</v>
      </c>
      <c r="AU1527" s="267">
        <f>AU813</f>
        <v>0</v>
      </c>
      <c r="AW1527" s="267">
        <f>AW813</f>
        <v>0</v>
      </c>
      <c r="AX1527" s="267">
        <f>AX813</f>
        <v>0</v>
      </c>
      <c r="AZ1527" s="267">
        <f>AZ813</f>
        <v>0</v>
      </c>
      <c r="BA1527" s="267">
        <f>BA813</f>
        <v>0</v>
      </c>
      <c r="BC1527" s="267">
        <f>BC813</f>
        <v>1</v>
      </c>
      <c r="BD1527" s="267">
        <f>BD813</f>
        <v>1</v>
      </c>
      <c r="BF1527" s="267">
        <f>BF813</f>
        <v>1</v>
      </c>
      <c r="BG1527" s="267">
        <f>BG813</f>
        <v>1</v>
      </c>
      <c r="BI1527" s="267">
        <f>BI813</f>
        <v>1</v>
      </c>
      <c r="BJ1527" s="267">
        <f>BJ813</f>
        <v>1</v>
      </c>
      <c r="BL1527" s="267">
        <f>BL813</f>
        <v>0</v>
      </c>
      <c r="BM1527" s="267">
        <f>BM813</f>
        <v>0</v>
      </c>
      <c r="BO1527" s="267">
        <f>BO813</f>
        <v>0</v>
      </c>
      <c r="BP1527" s="267">
        <f>BP813</f>
        <v>0</v>
      </c>
      <c r="BR1527" s="267">
        <f>BR813</f>
        <v>0</v>
      </c>
      <c r="BS1527" s="267">
        <f>BS813</f>
        <v>0</v>
      </c>
      <c r="BU1527" s="267">
        <f>BU813</f>
        <v>0</v>
      </c>
      <c r="BV1527" s="267">
        <f>BV813</f>
        <v>0</v>
      </c>
      <c r="BX1527" s="267">
        <f>BX813</f>
        <v>0</v>
      </c>
      <c r="BY1527" s="267">
        <f>BY813</f>
        <v>0</v>
      </c>
      <c r="CA1527" s="267">
        <f>CA813</f>
        <v>0</v>
      </c>
      <c r="CB1527" s="267">
        <f>CB813</f>
        <v>0</v>
      </c>
      <c r="CD1527" s="267">
        <f>CD813</f>
        <v>3</v>
      </c>
      <c r="CE1527" s="267">
        <f>CE813</f>
        <v>3</v>
      </c>
      <c r="CG1527" s="267">
        <f>CG813</f>
        <v>0</v>
      </c>
      <c r="CH1527" s="267">
        <f>CH813</f>
        <v>0</v>
      </c>
      <c r="CJ1527" s="267">
        <f>CJ813</f>
        <v>0</v>
      </c>
      <c r="CK1527" s="267">
        <f>CK813</f>
        <v>0</v>
      </c>
    </row>
    <row r="1528" spans="1:89" ht="60" x14ac:dyDescent="0.25">
      <c r="A1528" s="95"/>
      <c r="B1528" s="263"/>
      <c r="C1528" s="312" t="s">
        <v>2756</v>
      </c>
      <c r="D1528" s="95" t="s">
        <v>1112</v>
      </c>
      <c r="E1528" s="291"/>
      <c r="F1528" s="291"/>
      <c r="G1528" s="291"/>
      <c r="H1528" s="291">
        <v>0</v>
      </c>
      <c r="I1528" s="291">
        <v>0</v>
      </c>
      <c r="J1528" s="291">
        <f t="shared" si="1853"/>
        <v>0</v>
      </c>
      <c r="K1528" s="291">
        <f t="shared" si="1853"/>
        <v>0</v>
      </c>
      <c r="L1528" s="291">
        <f t="shared" si="1853"/>
        <v>0</v>
      </c>
      <c r="M1528" s="291">
        <f t="shared" si="1853"/>
        <v>0</v>
      </c>
      <c r="N1528" s="291">
        <f t="shared" ref="N1528" si="1855">N814</f>
        <v>0</v>
      </c>
      <c r="Q1528" s="283">
        <f>S1528+V1528+Y1528+AB1528+AE1528+AH1528+AK1528+AN1528+AQ1528+AT1528+AW1528+AZ1528+BC1528+BF1528+BI1528+BL1528+BO1528+BR1528+BU1528+BX1528+CA1528+CD1528+CG1528+CJ1528</f>
        <v>0</v>
      </c>
      <c r="R1528" s="283">
        <f>T1528+W1528+Z1528+AC1528+AF1528+AI1528+AL1528+AO1528+AR1528+AU1528+AX1528+BA1528+BD1528+BG1528+BJ1528+BM1528+BP1528+BS1528+BV1528+BY1528+CB1528+CE1528+CH1528+CK1528</f>
        <v>0</v>
      </c>
      <c r="S1528" s="267">
        <f>S814</f>
        <v>0</v>
      </c>
      <c r="T1528" s="267">
        <f>T814</f>
        <v>0</v>
      </c>
      <c r="V1528" s="267">
        <f>V814</f>
        <v>0</v>
      </c>
      <c r="W1528" s="267">
        <f>W814</f>
        <v>0</v>
      </c>
      <c r="Y1528" s="267">
        <f>Y814</f>
        <v>0</v>
      </c>
      <c r="Z1528" s="267">
        <f>Z814</f>
        <v>0</v>
      </c>
      <c r="AB1528" s="267">
        <f>AB814</f>
        <v>0</v>
      </c>
      <c r="AC1528" s="267">
        <f>AC814</f>
        <v>0</v>
      </c>
      <c r="AE1528" s="267">
        <f>AE814</f>
        <v>0</v>
      </c>
      <c r="AF1528" s="267">
        <f>AF814</f>
        <v>0</v>
      </c>
      <c r="AH1528" s="267">
        <f>AH814</f>
        <v>0</v>
      </c>
      <c r="AI1528" s="267">
        <f>AI814</f>
        <v>0</v>
      </c>
      <c r="AK1528" s="267">
        <f>AK814</f>
        <v>0</v>
      </c>
      <c r="AL1528" s="267">
        <f>AL814</f>
        <v>0</v>
      </c>
      <c r="AN1528" s="267">
        <f>AN814</f>
        <v>0</v>
      </c>
      <c r="AO1528" s="267">
        <f>AO814</f>
        <v>0</v>
      </c>
      <c r="AQ1528" s="267">
        <f>AQ814</f>
        <v>0</v>
      </c>
      <c r="AR1528" s="267">
        <f>AR814</f>
        <v>0</v>
      </c>
      <c r="AT1528" s="267">
        <f>AT814</f>
        <v>0</v>
      </c>
      <c r="AU1528" s="267">
        <f>AU814</f>
        <v>0</v>
      </c>
      <c r="AW1528" s="267">
        <f>AW814</f>
        <v>0</v>
      </c>
      <c r="AX1528" s="267">
        <f>AX814</f>
        <v>0</v>
      </c>
      <c r="AZ1528" s="267">
        <f>AZ814</f>
        <v>0</v>
      </c>
      <c r="BA1528" s="267">
        <f>BA814</f>
        <v>0</v>
      </c>
      <c r="BC1528" s="267">
        <f>BC814</f>
        <v>0</v>
      </c>
      <c r="BD1528" s="267">
        <f>BD814</f>
        <v>0</v>
      </c>
      <c r="BF1528" s="267">
        <f>BF814</f>
        <v>0</v>
      </c>
      <c r="BG1528" s="267">
        <f>BG814</f>
        <v>0</v>
      </c>
      <c r="BI1528" s="267">
        <f>BI814</f>
        <v>0</v>
      </c>
      <c r="BJ1528" s="267">
        <f>BJ814</f>
        <v>0</v>
      </c>
      <c r="BL1528" s="267">
        <f>BL814</f>
        <v>0</v>
      </c>
      <c r="BM1528" s="267">
        <f>BM814</f>
        <v>0</v>
      </c>
      <c r="BO1528" s="267">
        <f>BO814</f>
        <v>0</v>
      </c>
      <c r="BP1528" s="267">
        <f>BP814</f>
        <v>0</v>
      </c>
      <c r="BR1528" s="267">
        <f>BR814</f>
        <v>0</v>
      </c>
      <c r="BS1528" s="267">
        <f>BS814</f>
        <v>0</v>
      </c>
      <c r="BU1528" s="267">
        <f>BU814</f>
        <v>0</v>
      </c>
      <c r="BV1528" s="267">
        <f>BV814</f>
        <v>0</v>
      </c>
      <c r="BX1528" s="267">
        <f>BX814</f>
        <v>0</v>
      </c>
      <c r="BY1528" s="267">
        <f>BY814</f>
        <v>0</v>
      </c>
      <c r="CA1528" s="267">
        <f>CA814</f>
        <v>0</v>
      </c>
      <c r="CB1528" s="267">
        <f>CB814</f>
        <v>0</v>
      </c>
      <c r="CD1528" s="267">
        <f>CD814</f>
        <v>0</v>
      </c>
      <c r="CE1528" s="267">
        <f>CE814</f>
        <v>0</v>
      </c>
      <c r="CG1528" s="267">
        <f>CG814</f>
        <v>0</v>
      </c>
      <c r="CH1528" s="267">
        <f>CH814</f>
        <v>0</v>
      </c>
      <c r="CJ1528" s="267">
        <f>CJ814</f>
        <v>0</v>
      </c>
      <c r="CK1528" s="267">
        <f>CK814</f>
        <v>0</v>
      </c>
    </row>
    <row r="1529" spans="1:89" ht="75" hidden="1" x14ac:dyDescent="0.25">
      <c r="A1529" s="95" t="s">
        <v>296</v>
      </c>
      <c r="B1529" s="16" t="s">
        <v>295</v>
      </c>
      <c r="C1529" s="95"/>
      <c r="D1529" s="95"/>
      <c r="E1529" s="279"/>
      <c r="F1529" s="279"/>
      <c r="G1529" s="279"/>
      <c r="H1529" s="279"/>
      <c r="I1529" s="279"/>
      <c r="J1529" s="279"/>
      <c r="K1529" s="279"/>
      <c r="L1529" s="279"/>
      <c r="M1529" s="279"/>
      <c r="N1529" s="279"/>
      <c r="O1529" s="281" t="s">
        <v>140</v>
      </c>
    </row>
    <row r="1530" spans="1:89" hidden="1" x14ac:dyDescent="0.25">
      <c r="A1530" s="263"/>
      <c r="B1530" s="96" t="s">
        <v>1182</v>
      </c>
      <c r="C1530" s="107"/>
      <c r="D1530" s="95" t="s">
        <v>8</v>
      </c>
      <c r="E1530" s="279">
        <f t="shared" ref="E1530:J1530" si="1856">((E1536+E1537+E1540)/(E1547+E1548+E1551))*100</f>
        <v>94.169096209912539</v>
      </c>
      <c r="F1530" s="279">
        <f t="shared" si="1856"/>
        <v>93.805309734513273</v>
      </c>
      <c r="G1530" s="279">
        <f t="shared" si="1856"/>
        <v>95.757575757575751</v>
      </c>
      <c r="H1530" s="279">
        <f t="shared" si="1856"/>
        <v>97.204968944099377</v>
      </c>
      <c r="I1530" s="279" t="e">
        <f t="shared" si="1856"/>
        <v>#DIV/0!</v>
      </c>
      <c r="J1530" s="279" t="e">
        <f t="shared" si="1856"/>
        <v>#DIV/0!</v>
      </c>
      <c r="K1530" s="279" t="e">
        <f>((K1536+K1537+K1540)/(K1547+K1548+K1551))*100</f>
        <v>#DIV/0!</v>
      </c>
      <c r="L1530" s="279" t="e">
        <f>((L1536+L1537+L1540)/(L1547+L1548+L1551))*100</f>
        <v>#DIV/0!</v>
      </c>
      <c r="M1530" s="279" t="e">
        <f>((M1536+M1537+M1540)/(M1547+M1548+M1551))*100</f>
        <v>#DIV/0!</v>
      </c>
      <c r="N1530" s="279" t="e">
        <f>((N1536+N1537+N1540)/(N1547+N1548+N1551))*100</f>
        <v>#DIV/0!</v>
      </c>
    </row>
    <row r="1531" spans="1:89" hidden="1" x14ac:dyDescent="0.25">
      <c r="A1531" s="263"/>
      <c r="B1531" s="96" t="s">
        <v>1183</v>
      </c>
      <c r="C1531" s="107"/>
      <c r="D1531" s="95"/>
      <c r="E1531" s="279"/>
      <c r="F1531" s="279"/>
      <c r="G1531" s="279"/>
      <c r="H1531" s="279">
        <f>((H1536+H1540)/(H1547+H1551))*100</f>
        <v>97.747747747747752</v>
      </c>
      <c r="I1531" s="279" t="e">
        <f>((I1536+I1540)/(I1547+I1551))*100</f>
        <v>#DIV/0!</v>
      </c>
      <c r="J1531" s="279" t="e">
        <f>((J1536+J1540)/(J1547+J1551))*100</f>
        <v>#DIV/0!</v>
      </c>
      <c r="K1531" s="279" t="e">
        <f>((K1536+K1540)/(K1547+K1551))*100</f>
        <v>#DIV/0!</v>
      </c>
      <c r="L1531" s="279" t="e">
        <f>((L1536+L1540)/(L1547+L1551))*100</f>
        <v>#DIV/0!</v>
      </c>
      <c r="M1531" s="279" t="e">
        <f t="shared" ref="M1531:N1531" si="1857">((M1536+M1540)/(M1547+M1551))*100</f>
        <v>#DIV/0!</v>
      </c>
      <c r="N1531" s="279" t="e">
        <f t="shared" si="1857"/>
        <v>#DIV/0!</v>
      </c>
    </row>
    <row r="1532" spans="1:89" hidden="1" x14ac:dyDescent="0.25">
      <c r="A1532" s="263"/>
      <c r="B1532" s="96" t="s">
        <v>1185</v>
      </c>
      <c r="C1532" s="107"/>
      <c r="D1532" s="95"/>
      <c r="E1532" s="279"/>
      <c r="F1532" s="279"/>
      <c r="G1532" s="279"/>
      <c r="H1532" s="279">
        <f>((H1537+H1540)/(H1548+H1551))*100</f>
        <v>96</v>
      </c>
      <c r="I1532" s="279" t="e">
        <f>((I1537+I1540)/(I1548+I1551))*100</f>
        <v>#DIV/0!</v>
      </c>
      <c r="J1532" s="279" t="e">
        <f>((J1537+J1540)/(J1548+J1551))*100</f>
        <v>#DIV/0!</v>
      </c>
      <c r="K1532" s="279" t="e">
        <f>((K1537+K1540)/(K1548+K1551))*100</f>
        <v>#DIV/0!</v>
      </c>
      <c r="L1532" s="279" t="e">
        <f>((L1537+L1540)/(L1548+L1551))*100</f>
        <v>#DIV/0!</v>
      </c>
      <c r="M1532" s="279" t="e">
        <f t="shared" ref="M1532:N1532" si="1858">((M1537+M1540)/(M1548+M1551))*100</f>
        <v>#DIV/0!</v>
      </c>
      <c r="N1532" s="279" t="e">
        <f t="shared" si="1858"/>
        <v>#DIV/0!</v>
      </c>
    </row>
    <row r="1533" spans="1:89" hidden="1" x14ac:dyDescent="0.25">
      <c r="A1533" s="263"/>
      <c r="B1533" s="96" t="s">
        <v>1184</v>
      </c>
      <c r="C1533" s="107"/>
      <c r="D1533" s="95" t="s">
        <v>8</v>
      </c>
      <c r="E1533" s="279">
        <f t="shared" ref="E1533:J1533" si="1859">((E1538+E1539)/(E1549+E1550))*100</f>
        <v>100</v>
      </c>
      <c r="F1533" s="279">
        <f t="shared" si="1859"/>
        <v>100</v>
      </c>
      <c r="G1533" s="279">
        <f t="shared" si="1859"/>
        <v>100</v>
      </c>
      <c r="H1533" s="279">
        <f t="shared" si="1859"/>
        <v>100</v>
      </c>
      <c r="I1533" s="279" t="e">
        <f t="shared" si="1859"/>
        <v>#DIV/0!</v>
      </c>
      <c r="J1533" s="279" t="e">
        <f t="shared" si="1859"/>
        <v>#DIV/0!</v>
      </c>
      <c r="K1533" s="279" t="e">
        <f>((K1538+K1539)/(K1549+K1550))*100</f>
        <v>#DIV/0!</v>
      </c>
      <c r="L1533" s="279" t="e">
        <f>((L1538+L1539)/(L1549+L1550))*100</f>
        <v>#DIV/0!</v>
      </c>
      <c r="M1533" s="279" t="e">
        <f>((M1538+M1539)/(M1549+M1550))*100</f>
        <v>#DIV/0!</v>
      </c>
      <c r="N1533" s="279" t="e">
        <f>((N1538+N1539)/(N1549+N1550))*100</f>
        <v>#DIV/0!</v>
      </c>
    </row>
    <row r="1534" spans="1:89" hidden="1" x14ac:dyDescent="0.25">
      <c r="A1534" s="263"/>
      <c r="B1534" s="96" t="s">
        <v>1183</v>
      </c>
      <c r="C1534" s="107"/>
      <c r="D1534" s="95"/>
      <c r="E1534" s="279"/>
      <c r="F1534" s="279"/>
      <c r="G1534" s="279"/>
      <c r="H1534" s="279">
        <f t="shared" ref="H1534:J1535" si="1860">((H1538)/(H1549))*100</f>
        <v>100</v>
      </c>
      <c r="I1534" s="279" t="e">
        <f t="shared" si="1860"/>
        <v>#DIV/0!</v>
      </c>
      <c r="J1534" s="279" t="e">
        <f t="shared" si="1860"/>
        <v>#DIV/0!</v>
      </c>
      <c r="K1534" s="279" t="e">
        <f>((K1538)/(K1549))*100</f>
        <v>#DIV/0!</v>
      </c>
      <c r="L1534" s="279" t="e">
        <f>((L1538)/(L1549))*100</f>
        <v>#DIV/0!</v>
      </c>
      <c r="M1534" s="279" t="e">
        <f t="shared" ref="M1534:N1535" si="1861">((M1538)/(M1549))*100</f>
        <v>#DIV/0!</v>
      </c>
      <c r="N1534" s="279" t="e">
        <f t="shared" si="1861"/>
        <v>#DIV/0!</v>
      </c>
    </row>
    <row r="1535" spans="1:89" hidden="1" x14ac:dyDescent="0.25">
      <c r="A1535" s="263"/>
      <c r="B1535" s="96" t="s">
        <v>1185</v>
      </c>
      <c r="C1535" s="107"/>
      <c r="D1535" s="95"/>
      <c r="E1535" s="279"/>
      <c r="F1535" s="279"/>
      <c r="G1535" s="279"/>
      <c r="H1535" s="279" t="e">
        <f t="shared" si="1860"/>
        <v>#DIV/0!</v>
      </c>
      <c r="I1535" s="279" t="e">
        <f t="shared" si="1860"/>
        <v>#DIV/0!</v>
      </c>
      <c r="J1535" s="279" t="e">
        <f t="shared" si="1860"/>
        <v>#DIV/0!</v>
      </c>
      <c r="K1535" s="279" t="e">
        <f>((K1539)/(K1550))*100</f>
        <v>#DIV/0!</v>
      </c>
      <c r="L1535" s="279" t="e">
        <f>((L1539)/(L1550))*100</f>
        <v>#DIV/0!</v>
      </c>
      <c r="M1535" s="279" t="e">
        <f t="shared" si="1861"/>
        <v>#DIV/0!</v>
      </c>
      <c r="N1535" s="279" t="e">
        <f t="shared" si="1861"/>
        <v>#DIV/0!</v>
      </c>
    </row>
    <row r="1536" spans="1:89" ht="30" hidden="1" x14ac:dyDescent="0.25">
      <c r="A1536" s="416"/>
      <c r="B1536" s="419" t="s">
        <v>297</v>
      </c>
      <c r="C1536" s="95" t="s">
        <v>1272</v>
      </c>
      <c r="D1536" s="95" t="s">
        <v>1112</v>
      </c>
      <c r="E1536" s="291">
        <v>217</v>
      </c>
      <c r="F1536" s="291">
        <v>216</v>
      </c>
      <c r="G1536" s="291">
        <v>213</v>
      </c>
      <c r="H1536" s="291">
        <f t="shared" ref="H1536:J1537" si="1862">H1542</f>
        <v>217</v>
      </c>
      <c r="I1536" s="291">
        <f t="shared" si="1862"/>
        <v>0</v>
      </c>
      <c r="J1536" s="291">
        <f t="shared" si="1862"/>
        <v>0</v>
      </c>
      <c r="K1536" s="291">
        <f>K1542</f>
        <v>0</v>
      </c>
      <c r="L1536" s="291">
        <f>L1542</f>
        <v>0</v>
      </c>
      <c r="M1536" s="291">
        <f t="shared" ref="M1536:N1537" si="1863">M1542</f>
        <v>0</v>
      </c>
      <c r="N1536" s="291">
        <f t="shared" si="1863"/>
        <v>0</v>
      </c>
    </row>
    <row r="1537" spans="1:15" ht="30" hidden="1" x14ac:dyDescent="0.25">
      <c r="A1537" s="417"/>
      <c r="B1537" s="420"/>
      <c r="C1537" s="95" t="s">
        <v>1273</v>
      </c>
      <c r="D1537" s="95" t="s">
        <v>1112</v>
      </c>
      <c r="E1537" s="291">
        <v>100</v>
      </c>
      <c r="F1537" s="291">
        <v>98</v>
      </c>
      <c r="G1537" s="291">
        <v>100</v>
      </c>
      <c r="H1537" s="291">
        <f t="shared" si="1862"/>
        <v>96</v>
      </c>
      <c r="I1537" s="291">
        <f t="shared" si="1862"/>
        <v>0</v>
      </c>
      <c r="J1537" s="291">
        <f t="shared" si="1862"/>
        <v>0</v>
      </c>
      <c r="K1537" s="291">
        <f>K1543</f>
        <v>0</v>
      </c>
      <c r="L1537" s="291">
        <f>L1543</f>
        <v>0</v>
      </c>
      <c r="M1537" s="291">
        <f t="shared" si="1863"/>
        <v>0</v>
      </c>
      <c r="N1537" s="291">
        <f t="shared" si="1863"/>
        <v>0</v>
      </c>
    </row>
    <row r="1538" spans="1:15" ht="30" hidden="1" x14ac:dyDescent="0.25">
      <c r="A1538" s="417"/>
      <c r="B1538" s="420"/>
      <c r="C1538" s="95" t="s">
        <v>1274</v>
      </c>
      <c r="D1538" s="95" t="s">
        <v>1112</v>
      </c>
      <c r="E1538" s="291">
        <v>5</v>
      </c>
      <c r="F1538" s="291">
        <v>5</v>
      </c>
      <c r="G1538" s="291">
        <v>5</v>
      </c>
      <c r="H1538" s="291">
        <f t="shared" ref="H1538:J1539" si="1864">H1545</f>
        <v>4</v>
      </c>
      <c r="I1538" s="291">
        <f t="shared" si="1864"/>
        <v>0</v>
      </c>
      <c r="J1538" s="291">
        <f t="shared" si="1864"/>
        <v>0</v>
      </c>
      <c r="K1538" s="291">
        <f>K1545</f>
        <v>0</v>
      </c>
      <c r="L1538" s="291">
        <f>L1545</f>
        <v>0</v>
      </c>
      <c r="M1538" s="291">
        <f t="shared" ref="M1538:N1539" si="1865">M1545</f>
        <v>0</v>
      </c>
      <c r="N1538" s="291">
        <f t="shared" si="1865"/>
        <v>0</v>
      </c>
    </row>
    <row r="1539" spans="1:15" ht="30" hidden="1" x14ac:dyDescent="0.25">
      <c r="A1539" s="418"/>
      <c r="B1539" s="421"/>
      <c r="C1539" s="95" t="s">
        <v>1275</v>
      </c>
      <c r="D1539" s="95" t="s">
        <v>1112</v>
      </c>
      <c r="E1539" s="291">
        <v>0</v>
      </c>
      <c r="F1539" s="291">
        <v>0</v>
      </c>
      <c r="G1539" s="291">
        <v>0</v>
      </c>
      <c r="H1539" s="291">
        <f t="shared" si="1864"/>
        <v>0</v>
      </c>
      <c r="I1539" s="291">
        <f t="shared" si="1864"/>
        <v>0</v>
      </c>
      <c r="J1539" s="291">
        <f t="shared" si="1864"/>
        <v>0</v>
      </c>
      <c r="K1539" s="291">
        <f>K1546</f>
        <v>0</v>
      </c>
      <c r="L1539" s="291">
        <f>L1546</f>
        <v>0</v>
      </c>
      <c r="M1539" s="291">
        <f t="shared" si="1865"/>
        <v>0</v>
      </c>
      <c r="N1539" s="291">
        <f t="shared" si="1865"/>
        <v>0</v>
      </c>
    </row>
    <row r="1540" spans="1:15" ht="30" hidden="1" x14ac:dyDescent="0.25">
      <c r="A1540" s="95"/>
      <c r="B1540" s="16" t="s">
        <v>298</v>
      </c>
      <c r="C1540" s="95" t="s">
        <v>299</v>
      </c>
      <c r="D1540" s="95" t="s">
        <v>1112</v>
      </c>
      <c r="E1540" s="291">
        <v>6</v>
      </c>
      <c r="F1540" s="291">
        <v>4</v>
      </c>
      <c r="G1540" s="291">
        <v>3</v>
      </c>
      <c r="H1540" s="291">
        <v>0</v>
      </c>
      <c r="I1540" s="291"/>
      <c r="J1540" s="291"/>
      <c r="K1540" s="291"/>
      <c r="L1540" s="291"/>
      <c r="M1540" s="291"/>
      <c r="N1540" s="291"/>
    </row>
    <row r="1541" spans="1:15" hidden="1" x14ac:dyDescent="0.25">
      <c r="A1541" s="265"/>
      <c r="B1541" s="262" t="s">
        <v>1182</v>
      </c>
      <c r="C1541" s="95"/>
      <c r="D1541" s="95"/>
      <c r="E1541" s="291"/>
      <c r="F1541" s="291"/>
      <c r="G1541" s="291"/>
      <c r="H1541" s="291">
        <f>H1542+H1543</f>
        <v>313</v>
      </c>
      <c r="I1541" s="291">
        <f>I1542+I1543</f>
        <v>0</v>
      </c>
      <c r="J1541" s="291">
        <f>J1542+J1543</f>
        <v>0</v>
      </c>
      <c r="K1541" s="291">
        <f>K1542+K1543</f>
        <v>0</v>
      </c>
      <c r="L1541" s="291">
        <f>L1542+L1543</f>
        <v>0</v>
      </c>
      <c r="M1541" s="291">
        <f t="shared" ref="M1541:N1541" si="1866">M1542+M1543</f>
        <v>0</v>
      </c>
      <c r="N1541" s="291">
        <f t="shared" si="1866"/>
        <v>0</v>
      </c>
    </row>
    <row r="1542" spans="1:15" ht="45" hidden="1" x14ac:dyDescent="0.25">
      <c r="A1542" s="265"/>
      <c r="B1542" s="265" t="s">
        <v>1518</v>
      </c>
      <c r="C1542" s="95"/>
      <c r="D1542" s="95"/>
      <c r="E1542" s="291"/>
      <c r="F1542" s="291"/>
      <c r="G1542" s="291"/>
      <c r="H1542" s="291">
        <v>217</v>
      </c>
      <c r="I1542" s="291"/>
      <c r="J1542" s="291"/>
      <c r="K1542" s="291"/>
      <c r="L1542" s="291"/>
      <c r="M1542" s="291"/>
      <c r="N1542" s="291"/>
    </row>
    <row r="1543" spans="1:15" ht="45" hidden="1" x14ac:dyDescent="0.25">
      <c r="A1543" s="265"/>
      <c r="B1543" s="265" t="s">
        <v>1518</v>
      </c>
      <c r="C1543" s="95"/>
      <c r="D1543" s="95"/>
      <c r="E1543" s="291"/>
      <c r="F1543" s="291"/>
      <c r="G1543" s="291"/>
      <c r="H1543" s="291">
        <v>96</v>
      </c>
      <c r="I1543" s="291"/>
      <c r="J1543" s="291"/>
      <c r="K1543" s="291"/>
      <c r="L1543" s="291"/>
      <c r="M1543" s="291"/>
      <c r="N1543" s="291"/>
    </row>
    <row r="1544" spans="1:15" hidden="1" x14ac:dyDescent="0.25">
      <c r="A1544" s="265"/>
      <c r="B1544" s="262" t="s">
        <v>1184</v>
      </c>
      <c r="C1544" s="95"/>
      <c r="D1544" s="95"/>
      <c r="E1544" s="291"/>
      <c r="F1544" s="291"/>
      <c r="G1544" s="291"/>
      <c r="H1544" s="291">
        <f>H1545+H1546</f>
        <v>4</v>
      </c>
      <c r="I1544" s="291">
        <f>I1545+I1546</f>
        <v>0</v>
      </c>
      <c r="J1544" s="291">
        <f>J1545+J1546</f>
        <v>0</v>
      </c>
      <c r="K1544" s="291">
        <f>K1545+K1546</f>
        <v>0</v>
      </c>
      <c r="L1544" s="291">
        <f>L1545+L1546</f>
        <v>0</v>
      </c>
      <c r="M1544" s="291">
        <f t="shared" ref="M1544:N1544" si="1867">M1545+M1546</f>
        <v>0</v>
      </c>
      <c r="N1544" s="291">
        <f t="shared" si="1867"/>
        <v>0</v>
      </c>
    </row>
    <row r="1545" spans="1:15" ht="45" hidden="1" x14ac:dyDescent="0.25">
      <c r="A1545" s="265"/>
      <c r="B1545" s="265" t="s">
        <v>1518</v>
      </c>
      <c r="C1545" s="95"/>
      <c r="D1545" s="95"/>
      <c r="E1545" s="291"/>
      <c r="F1545" s="291"/>
      <c r="G1545" s="291"/>
      <c r="H1545" s="291">
        <v>4</v>
      </c>
      <c r="I1545" s="291"/>
      <c r="J1545" s="291"/>
      <c r="K1545" s="291"/>
      <c r="L1545" s="291"/>
      <c r="M1545" s="291"/>
      <c r="N1545" s="291"/>
    </row>
    <row r="1546" spans="1:15" ht="45" hidden="1" x14ac:dyDescent="0.25">
      <c r="A1546" s="264"/>
      <c r="B1546" s="265" t="s">
        <v>1518</v>
      </c>
      <c r="C1546" s="95"/>
      <c r="D1546" s="95"/>
      <c r="E1546" s="291"/>
      <c r="F1546" s="291"/>
      <c r="G1546" s="291"/>
      <c r="H1546" s="291">
        <v>0</v>
      </c>
      <c r="I1546" s="291"/>
      <c r="J1546" s="291"/>
      <c r="K1546" s="291"/>
      <c r="L1546" s="291"/>
      <c r="M1546" s="291"/>
      <c r="N1546" s="291"/>
    </row>
    <row r="1547" spans="1:15" ht="30" hidden="1" x14ac:dyDescent="0.25">
      <c r="A1547" s="416"/>
      <c r="B1547" s="419" t="s">
        <v>203</v>
      </c>
      <c r="C1547" s="95" t="s">
        <v>1206</v>
      </c>
      <c r="D1547" s="95" t="s">
        <v>1112</v>
      </c>
      <c r="E1547" s="291">
        <v>223</v>
      </c>
      <c r="F1547" s="291">
        <v>223</v>
      </c>
      <c r="G1547" s="291">
        <v>218</v>
      </c>
      <c r="H1547" s="291">
        <f t="shared" ref="H1547:J1548" si="1868">H1553</f>
        <v>222</v>
      </c>
      <c r="I1547" s="291">
        <f t="shared" si="1868"/>
        <v>0</v>
      </c>
      <c r="J1547" s="291">
        <f t="shared" si="1868"/>
        <v>0</v>
      </c>
      <c r="K1547" s="291">
        <f>K1553</f>
        <v>0</v>
      </c>
      <c r="L1547" s="291">
        <f>L1553</f>
        <v>0</v>
      </c>
      <c r="M1547" s="291">
        <f t="shared" ref="M1547:N1548" si="1869">M1553</f>
        <v>0</v>
      </c>
      <c r="N1547" s="291">
        <f t="shared" si="1869"/>
        <v>0</v>
      </c>
      <c r="O1547" s="281"/>
    </row>
    <row r="1548" spans="1:15" ht="30" hidden="1" x14ac:dyDescent="0.25">
      <c r="A1548" s="417"/>
      <c r="B1548" s="420"/>
      <c r="C1548" s="95" t="s">
        <v>1262</v>
      </c>
      <c r="D1548" s="95" t="s">
        <v>1112</v>
      </c>
      <c r="E1548" s="291">
        <v>113</v>
      </c>
      <c r="F1548" s="291">
        <v>111</v>
      </c>
      <c r="G1548" s="291">
        <v>108</v>
      </c>
      <c r="H1548" s="291">
        <f t="shared" si="1868"/>
        <v>100</v>
      </c>
      <c r="I1548" s="291">
        <f t="shared" si="1868"/>
        <v>0</v>
      </c>
      <c r="J1548" s="291">
        <f t="shared" si="1868"/>
        <v>0</v>
      </c>
      <c r="K1548" s="291">
        <f>K1554</f>
        <v>0</v>
      </c>
      <c r="L1548" s="291">
        <f>L1554</f>
        <v>0</v>
      </c>
      <c r="M1548" s="291">
        <f t="shared" si="1869"/>
        <v>0</v>
      </c>
      <c r="N1548" s="291">
        <f t="shared" si="1869"/>
        <v>0</v>
      </c>
    </row>
    <row r="1549" spans="1:15" ht="30" hidden="1" x14ac:dyDescent="0.25">
      <c r="A1549" s="417"/>
      <c r="B1549" s="420"/>
      <c r="C1549" s="95" t="s">
        <v>1207</v>
      </c>
      <c r="D1549" s="95" t="s">
        <v>1112</v>
      </c>
      <c r="E1549" s="291">
        <v>5</v>
      </c>
      <c r="F1549" s="291">
        <v>5</v>
      </c>
      <c r="G1549" s="291">
        <v>5</v>
      </c>
      <c r="H1549" s="291">
        <f t="shared" ref="H1549:J1550" si="1870">H1556</f>
        <v>4</v>
      </c>
      <c r="I1549" s="291">
        <f t="shared" si="1870"/>
        <v>0</v>
      </c>
      <c r="J1549" s="291">
        <f t="shared" si="1870"/>
        <v>0</v>
      </c>
      <c r="K1549" s="291">
        <f>K1556</f>
        <v>0</v>
      </c>
      <c r="L1549" s="291">
        <f>L1556</f>
        <v>0</v>
      </c>
      <c r="M1549" s="291">
        <f t="shared" ref="M1549:N1550" si="1871">M1556</f>
        <v>0</v>
      </c>
      <c r="N1549" s="291">
        <f t="shared" si="1871"/>
        <v>0</v>
      </c>
    </row>
    <row r="1550" spans="1:15" ht="30" hidden="1" x14ac:dyDescent="0.25">
      <c r="A1550" s="418"/>
      <c r="B1550" s="421"/>
      <c r="C1550" s="95" t="s">
        <v>1263</v>
      </c>
      <c r="D1550" s="95" t="s">
        <v>1112</v>
      </c>
      <c r="E1550" s="291">
        <v>0</v>
      </c>
      <c r="F1550" s="291">
        <v>0</v>
      </c>
      <c r="G1550" s="291">
        <v>0</v>
      </c>
      <c r="H1550" s="291">
        <f t="shared" si="1870"/>
        <v>0</v>
      </c>
      <c r="I1550" s="291">
        <f t="shared" si="1870"/>
        <v>0</v>
      </c>
      <c r="J1550" s="291">
        <f t="shared" si="1870"/>
        <v>0</v>
      </c>
      <c r="K1550" s="291">
        <f>K1557</f>
        <v>0</v>
      </c>
      <c r="L1550" s="291">
        <f>L1557</f>
        <v>0</v>
      </c>
      <c r="M1550" s="291">
        <f t="shared" si="1871"/>
        <v>0</v>
      </c>
      <c r="N1550" s="291">
        <f t="shared" si="1871"/>
        <v>0</v>
      </c>
    </row>
    <row r="1551" spans="1:15" ht="30" hidden="1" x14ac:dyDescent="0.25">
      <c r="A1551" s="95"/>
      <c r="B1551" s="16" t="s">
        <v>223</v>
      </c>
      <c r="C1551" s="95" t="s">
        <v>205</v>
      </c>
      <c r="D1551" s="95" t="s">
        <v>1112</v>
      </c>
      <c r="E1551" s="291">
        <v>7</v>
      </c>
      <c r="F1551" s="291">
        <v>5</v>
      </c>
      <c r="G1551" s="291">
        <v>4</v>
      </c>
      <c r="H1551" s="291">
        <v>0</v>
      </c>
      <c r="I1551" s="291"/>
      <c r="J1551" s="291"/>
      <c r="K1551" s="291"/>
      <c r="L1551" s="291"/>
      <c r="M1551" s="291"/>
      <c r="N1551" s="291"/>
    </row>
    <row r="1552" spans="1:15" hidden="1" x14ac:dyDescent="0.25">
      <c r="A1552" s="95"/>
      <c r="B1552" s="311" t="s">
        <v>1182</v>
      </c>
      <c r="C1552" s="95"/>
      <c r="D1552" s="95"/>
      <c r="E1552" s="291"/>
      <c r="F1552" s="291"/>
      <c r="G1552" s="291"/>
      <c r="H1552" s="291">
        <f>H1553+H1554</f>
        <v>322</v>
      </c>
      <c r="I1552" s="291">
        <f>I1553+I1554</f>
        <v>0</v>
      </c>
      <c r="J1552" s="291">
        <f>J1553+J1554</f>
        <v>0</v>
      </c>
      <c r="K1552" s="291">
        <f>K1553+K1554</f>
        <v>0</v>
      </c>
      <c r="L1552" s="291">
        <f>L1553+L1554</f>
        <v>0</v>
      </c>
      <c r="M1552" s="291">
        <f t="shared" ref="M1552:N1552" si="1872">M1553+M1554</f>
        <v>0</v>
      </c>
      <c r="N1552" s="291">
        <f t="shared" si="1872"/>
        <v>0</v>
      </c>
    </row>
    <row r="1553" spans="1:15" ht="45" hidden="1" x14ac:dyDescent="0.25">
      <c r="A1553" s="95"/>
      <c r="B1553" s="263" t="s">
        <v>1515</v>
      </c>
      <c r="C1553" s="95"/>
      <c r="D1553" s="95"/>
      <c r="E1553" s="291"/>
      <c r="F1553" s="291"/>
      <c r="G1553" s="291"/>
      <c r="H1553" s="291">
        <v>222</v>
      </c>
      <c r="I1553" s="291"/>
      <c r="J1553" s="291"/>
      <c r="K1553" s="291"/>
      <c r="L1553" s="291"/>
      <c r="M1553" s="291"/>
      <c r="N1553" s="291"/>
    </row>
    <row r="1554" spans="1:15" hidden="1" x14ac:dyDescent="0.25">
      <c r="A1554" s="95"/>
      <c r="B1554" s="263"/>
      <c r="C1554" s="95"/>
      <c r="D1554" s="95"/>
      <c r="E1554" s="291"/>
      <c r="F1554" s="291"/>
      <c r="G1554" s="291"/>
      <c r="H1554" s="291">
        <v>100</v>
      </c>
      <c r="I1554" s="291"/>
      <c r="J1554" s="291"/>
      <c r="K1554" s="291"/>
      <c r="L1554" s="291"/>
      <c r="M1554" s="291"/>
      <c r="N1554" s="291"/>
    </row>
    <row r="1555" spans="1:15" hidden="1" x14ac:dyDescent="0.25">
      <c r="A1555" s="95"/>
      <c r="B1555" s="261" t="s">
        <v>1184</v>
      </c>
      <c r="C1555" s="95"/>
      <c r="D1555" s="95"/>
      <c r="E1555" s="291"/>
      <c r="F1555" s="291"/>
      <c r="G1555" s="291"/>
      <c r="H1555" s="291">
        <f>H1556+H1557</f>
        <v>4</v>
      </c>
      <c r="I1555" s="291">
        <f>I1556+I1557</f>
        <v>0</v>
      </c>
      <c r="J1555" s="291">
        <f>J1556+J1557</f>
        <v>0</v>
      </c>
      <c r="K1555" s="291">
        <f>K1556+K1557</f>
        <v>0</v>
      </c>
      <c r="L1555" s="291">
        <f>L1556+L1557</f>
        <v>0</v>
      </c>
      <c r="M1555" s="291">
        <f t="shared" ref="M1555:N1555" si="1873">M1556+M1557</f>
        <v>0</v>
      </c>
      <c r="N1555" s="291">
        <f t="shared" si="1873"/>
        <v>0</v>
      </c>
    </row>
    <row r="1556" spans="1:15" ht="45" hidden="1" x14ac:dyDescent="0.25">
      <c r="A1556" s="95"/>
      <c r="B1556" s="263" t="s">
        <v>1515</v>
      </c>
      <c r="C1556" s="95"/>
      <c r="D1556" s="95"/>
      <c r="E1556" s="291"/>
      <c r="F1556" s="291"/>
      <c r="G1556" s="291"/>
      <c r="H1556" s="291">
        <v>4</v>
      </c>
      <c r="I1556" s="291"/>
      <c r="J1556" s="291"/>
      <c r="K1556" s="291"/>
      <c r="L1556" s="291"/>
      <c r="M1556" s="291"/>
      <c r="N1556" s="291"/>
    </row>
    <row r="1557" spans="1:15" hidden="1" x14ac:dyDescent="0.25">
      <c r="A1557" s="95"/>
      <c r="B1557" s="263"/>
      <c r="C1557" s="95"/>
      <c r="D1557" s="95"/>
      <c r="E1557" s="291"/>
      <c r="F1557" s="291"/>
      <c r="G1557" s="291"/>
      <c r="H1557" s="291">
        <v>0</v>
      </c>
      <c r="I1557" s="291"/>
      <c r="J1557" s="291"/>
      <c r="K1557" s="291"/>
      <c r="L1557" s="291"/>
      <c r="M1557" s="291"/>
      <c r="N1557" s="291"/>
    </row>
    <row r="1558" spans="1:15" ht="75" hidden="1" x14ac:dyDescent="0.25">
      <c r="A1558" s="95" t="s">
        <v>301</v>
      </c>
      <c r="B1558" s="16" t="s">
        <v>300</v>
      </c>
      <c r="C1558" s="95"/>
      <c r="D1558" s="95"/>
      <c r="E1558" s="280"/>
      <c r="F1558" s="280"/>
      <c r="G1558" s="280"/>
      <c r="H1558" s="280"/>
      <c r="I1558" s="280"/>
      <c r="J1558" s="280"/>
      <c r="K1558" s="280"/>
      <c r="L1558" s="280"/>
      <c r="M1558" s="280"/>
      <c r="N1558" s="280"/>
      <c r="O1558" s="281" t="s">
        <v>140</v>
      </c>
    </row>
    <row r="1559" spans="1:15" hidden="1" x14ac:dyDescent="0.25">
      <c r="A1559" s="263"/>
      <c r="B1559" s="96" t="s">
        <v>1182</v>
      </c>
      <c r="C1559" s="107"/>
      <c r="D1559" s="95" t="s">
        <v>8</v>
      </c>
      <c r="E1559" s="279">
        <f t="shared" ref="E1559:J1559" si="1874">((E1565+E1566+E1569)/(E1576+E1577+E1580))*100</f>
        <v>81.341107871720126</v>
      </c>
      <c r="F1559" s="279">
        <f t="shared" si="1874"/>
        <v>83.48082595870207</v>
      </c>
      <c r="G1559" s="279">
        <f t="shared" si="1874"/>
        <v>85.151515151515156</v>
      </c>
      <c r="H1559" s="279">
        <f t="shared" si="1874"/>
        <v>97.204968944099377</v>
      </c>
      <c r="I1559" s="279" t="e">
        <f t="shared" si="1874"/>
        <v>#DIV/0!</v>
      </c>
      <c r="J1559" s="279" t="e">
        <f t="shared" si="1874"/>
        <v>#DIV/0!</v>
      </c>
      <c r="K1559" s="279" t="e">
        <f>((K1565+K1566+K1569)/(K1576+K1577+K1580))*100</f>
        <v>#DIV/0!</v>
      </c>
      <c r="L1559" s="279" t="e">
        <f>((L1565+L1566+L1569)/(L1576+L1577+L1580))*100</f>
        <v>#DIV/0!</v>
      </c>
      <c r="M1559" s="279" t="e">
        <f>((M1565+M1566+M1569)/(M1576+M1577+M1580))*100</f>
        <v>#DIV/0!</v>
      </c>
      <c r="N1559" s="279" t="e">
        <f>((N1565+N1566+N1569)/(N1576+N1577+N1580))*100</f>
        <v>#DIV/0!</v>
      </c>
    </row>
    <row r="1560" spans="1:15" hidden="1" x14ac:dyDescent="0.25">
      <c r="A1560" s="263"/>
      <c r="B1560" s="96" t="s">
        <v>1183</v>
      </c>
      <c r="C1560" s="107"/>
      <c r="D1560" s="95"/>
      <c r="E1560" s="279"/>
      <c r="F1560" s="279"/>
      <c r="G1560" s="279"/>
      <c r="H1560" s="279">
        <f>((H1565+H1569)/(H1576+H1580))*100</f>
        <v>98.198198198198199</v>
      </c>
      <c r="I1560" s="279" t="e">
        <f>((I1565+I1569)/(I1576+I1580))*100</f>
        <v>#DIV/0!</v>
      </c>
      <c r="J1560" s="279" t="e">
        <f>((J1565+J1569)/(J1576+J1580))*100</f>
        <v>#DIV/0!</v>
      </c>
      <c r="K1560" s="279" t="e">
        <f>((K1565+K1569)/(K1576+K1580))*100</f>
        <v>#DIV/0!</v>
      </c>
      <c r="L1560" s="279" t="e">
        <f>((L1565+L1569)/(L1576+L1580))*100</f>
        <v>#DIV/0!</v>
      </c>
      <c r="M1560" s="279" t="e">
        <f t="shared" ref="M1560:N1560" si="1875">((M1565+M1569)/(M1576+M1580))*100</f>
        <v>#DIV/0!</v>
      </c>
      <c r="N1560" s="279" t="e">
        <f t="shared" si="1875"/>
        <v>#DIV/0!</v>
      </c>
    </row>
    <row r="1561" spans="1:15" hidden="1" x14ac:dyDescent="0.25">
      <c r="A1561" s="263"/>
      <c r="B1561" s="96" t="s">
        <v>1185</v>
      </c>
      <c r="C1561" s="107"/>
      <c r="D1561" s="95"/>
      <c r="E1561" s="279"/>
      <c r="F1561" s="279"/>
      <c r="G1561" s="279"/>
      <c r="H1561" s="279">
        <f>((H1566+H1569)/(H1577+H1580))*100</f>
        <v>95</v>
      </c>
      <c r="I1561" s="279" t="e">
        <f>((I1566+I1569)/(I1577+I1580))*100</f>
        <v>#DIV/0!</v>
      </c>
      <c r="J1561" s="279" t="e">
        <f>((J1566+J1569)/(J1577+J1580))*100</f>
        <v>#DIV/0!</v>
      </c>
      <c r="K1561" s="279" t="e">
        <f>((K1566+K1569)/(K1577+K1580))*100</f>
        <v>#DIV/0!</v>
      </c>
      <c r="L1561" s="279" t="e">
        <f>((L1566+L1569)/(L1577+L1580))*100</f>
        <v>#DIV/0!</v>
      </c>
      <c r="M1561" s="279" t="e">
        <f t="shared" ref="M1561:N1561" si="1876">((M1566+M1569)/(M1577+M1580))*100</f>
        <v>#DIV/0!</v>
      </c>
      <c r="N1561" s="279" t="e">
        <f t="shared" si="1876"/>
        <v>#DIV/0!</v>
      </c>
    </row>
    <row r="1562" spans="1:15" hidden="1" x14ac:dyDescent="0.25">
      <c r="A1562" s="263"/>
      <c r="B1562" s="96" t="s">
        <v>1184</v>
      </c>
      <c r="C1562" s="107"/>
      <c r="D1562" s="95" t="s">
        <v>8</v>
      </c>
      <c r="E1562" s="279">
        <f t="shared" ref="E1562:J1562" si="1877">((E1567+E1568)/(E1578+E1579))*100</f>
        <v>100</v>
      </c>
      <c r="F1562" s="279">
        <f t="shared" si="1877"/>
        <v>100</v>
      </c>
      <c r="G1562" s="279">
        <f t="shared" si="1877"/>
        <v>100</v>
      </c>
      <c r="H1562" s="279">
        <f t="shared" si="1877"/>
        <v>100</v>
      </c>
      <c r="I1562" s="279" t="e">
        <f t="shared" si="1877"/>
        <v>#DIV/0!</v>
      </c>
      <c r="J1562" s="279" t="e">
        <f t="shared" si="1877"/>
        <v>#DIV/0!</v>
      </c>
      <c r="K1562" s="279" t="e">
        <f>((K1567+K1568)/(K1578+K1579))*100</f>
        <v>#DIV/0!</v>
      </c>
      <c r="L1562" s="279" t="e">
        <f>((L1567+L1568)/(L1578+L1579))*100</f>
        <v>#DIV/0!</v>
      </c>
      <c r="M1562" s="279" t="e">
        <f>((M1567+M1568)/(M1578+M1579))*100</f>
        <v>#DIV/0!</v>
      </c>
      <c r="N1562" s="279" t="e">
        <f>((N1567+N1568)/(N1578+N1579))*100</f>
        <v>#DIV/0!</v>
      </c>
    </row>
    <row r="1563" spans="1:15" hidden="1" x14ac:dyDescent="0.25">
      <c r="A1563" s="263"/>
      <c r="B1563" s="96" t="s">
        <v>1183</v>
      </c>
      <c r="C1563" s="107"/>
      <c r="D1563" s="95"/>
      <c r="E1563" s="279"/>
      <c r="F1563" s="279"/>
      <c r="G1563" s="279"/>
      <c r="H1563" s="279">
        <f t="shared" ref="H1563:J1564" si="1878">((H1567)/(H1578))*100</f>
        <v>100</v>
      </c>
      <c r="I1563" s="279" t="e">
        <f t="shared" si="1878"/>
        <v>#DIV/0!</v>
      </c>
      <c r="J1563" s="279" t="e">
        <f t="shared" si="1878"/>
        <v>#DIV/0!</v>
      </c>
      <c r="K1563" s="279" t="e">
        <f>((K1567)/(K1578))*100</f>
        <v>#DIV/0!</v>
      </c>
      <c r="L1563" s="279" t="e">
        <f>((L1567)/(L1578))*100</f>
        <v>#DIV/0!</v>
      </c>
      <c r="M1563" s="279" t="e">
        <f t="shared" ref="M1563:N1564" si="1879">((M1567)/(M1578))*100</f>
        <v>#DIV/0!</v>
      </c>
      <c r="N1563" s="279" t="e">
        <f t="shared" si="1879"/>
        <v>#DIV/0!</v>
      </c>
    </row>
    <row r="1564" spans="1:15" hidden="1" x14ac:dyDescent="0.25">
      <c r="A1564" s="263"/>
      <c r="B1564" s="96" t="s">
        <v>1185</v>
      </c>
      <c r="C1564" s="107"/>
      <c r="D1564" s="95"/>
      <c r="E1564" s="279"/>
      <c r="F1564" s="279"/>
      <c r="G1564" s="279"/>
      <c r="H1564" s="279" t="e">
        <f t="shared" si="1878"/>
        <v>#DIV/0!</v>
      </c>
      <c r="I1564" s="279" t="e">
        <f t="shared" si="1878"/>
        <v>#DIV/0!</v>
      </c>
      <c r="J1564" s="279" t="e">
        <f t="shared" si="1878"/>
        <v>#DIV/0!</v>
      </c>
      <c r="K1564" s="279" t="e">
        <f>((K1568)/(K1579))*100</f>
        <v>#DIV/0!</v>
      </c>
      <c r="L1564" s="279" t="e">
        <f>((L1568)/(L1579))*100</f>
        <v>#DIV/0!</v>
      </c>
      <c r="M1564" s="279" t="e">
        <f t="shared" si="1879"/>
        <v>#DIV/0!</v>
      </c>
      <c r="N1564" s="279" t="e">
        <f t="shared" si="1879"/>
        <v>#DIV/0!</v>
      </c>
    </row>
    <row r="1565" spans="1:15" ht="30" hidden="1" x14ac:dyDescent="0.25">
      <c r="A1565" s="416"/>
      <c r="B1565" s="419" t="s">
        <v>302</v>
      </c>
      <c r="C1565" s="95" t="s">
        <v>1276</v>
      </c>
      <c r="D1565" s="95" t="s">
        <v>1112</v>
      </c>
      <c r="E1565" s="292">
        <v>214</v>
      </c>
      <c r="F1565" s="292">
        <v>216</v>
      </c>
      <c r="G1565" s="292">
        <v>210</v>
      </c>
      <c r="H1565" s="292">
        <f t="shared" ref="H1565:J1566" si="1880">H1571</f>
        <v>218</v>
      </c>
      <c r="I1565" s="292">
        <f t="shared" si="1880"/>
        <v>0</v>
      </c>
      <c r="J1565" s="292">
        <f t="shared" si="1880"/>
        <v>0</v>
      </c>
      <c r="K1565" s="292">
        <f>K1571</f>
        <v>0</v>
      </c>
      <c r="L1565" s="292">
        <f>L1571</f>
        <v>0</v>
      </c>
      <c r="M1565" s="292">
        <f t="shared" ref="M1565:N1566" si="1881">M1571</f>
        <v>0</v>
      </c>
      <c r="N1565" s="292">
        <f t="shared" si="1881"/>
        <v>0</v>
      </c>
    </row>
    <row r="1566" spans="1:15" ht="30" hidden="1" x14ac:dyDescent="0.25">
      <c r="A1566" s="417"/>
      <c r="B1566" s="420"/>
      <c r="C1566" s="95" t="s">
        <v>1277</v>
      </c>
      <c r="D1566" s="95" t="s">
        <v>1112</v>
      </c>
      <c r="E1566" s="292">
        <v>59</v>
      </c>
      <c r="F1566" s="292">
        <v>63</v>
      </c>
      <c r="G1566" s="292">
        <v>68</v>
      </c>
      <c r="H1566" s="292">
        <f t="shared" si="1880"/>
        <v>95</v>
      </c>
      <c r="I1566" s="292">
        <f t="shared" si="1880"/>
        <v>0</v>
      </c>
      <c r="J1566" s="292">
        <f t="shared" si="1880"/>
        <v>0</v>
      </c>
      <c r="K1566" s="292">
        <f>K1572</f>
        <v>0</v>
      </c>
      <c r="L1566" s="292">
        <f>L1572</f>
        <v>0</v>
      </c>
      <c r="M1566" s="292">
        <f t="shared" si="1881"/>
        <v>0</v>
      </c>
      <c r="N1566" s="292">
        <f t="shared" si="1881"/>
        <v>0</v>
      </c>
    </row>
    <row r="1567" spans="1:15" ht="30" hidden="1" x14ac:dyDescent="0.25">
      <c r="A1567" s="417"/>
      <c r="B1567" s="420"/>
      <c r="C1567" s="95" t="s">
        <v>1278</v>
      </c>
      <c r="D1567" s="95" t="s">
        <v>1112</v>
      </c>
      <c r="E1567" s="292">
        <v>5</v>
      </c>
      <c r="F1567" s="292">
        <v>5</v>
      </c>
      <c r="G1567" s="292">
        <v>5</v>
      </c>
      <c r="H1567" s="292">
        <f t="shared" ref="H1567:J1568" si="1882">H1574</f>
        <v>4</v>
      </c>
      <c r="I1567" s="292">
        <f t="shared" si="1882"/>
        <v>0</v>
      </c>
      <c r="J1567" s="292">
        <f t="shared" si="1882"/>
        <v>0</v>
      </c>
      <c r="K1567" s="292">
        <f>K1574</f>
        <v>0</v>
      </c>
      <c r="L1567" s="292">
        <f>L1574</f>
        <v>0</v>
      </c>
      <c r="M1567" s="292">
        <f t="shared" ref="M1567:N1568" si="1883">M1574</f>
        <v>0</v>
      </c>
      <c r="N1567" s="292">
        <f t="shared" si="1883"/>
        <v>0</v>
      </c>
    </row>
    <row r="1568" spans="1:15" ht="30" hidden="1" x14ac:dyDescent="0.25">
      <c r="A1568" s="418"/>
      <c r="B1568" s="421"/>
      <c r="C1568" s="95" t="s">
        <v>1279</v>
      </c>
      <c r="D1568" s="95" t="s">
        <v>1112</v>
      </c>
      <c r="E1568" s="292">
        <v>0</v>
      </c>
      <c r="F1568" s="292">
        <v>0</v>
      </c>
      <c r="G1568" s="292">
        <v>0</v>
      </c>
      <c r="H1568" s="292">
        <f t="shared" si="1882"/>
        <v>0</v>
      </c>
      <c r="I1568" s="292">
        <f t="shared" si="1882"/>
        <v>0</v>
      </c>
      <c r="J1568" s="292">
        <f t="shared" si="1882"/>
        <v>0</v>
      </c>
      <c r="K1568" s="292">
        <f>K1575</f>
        <v>0</v>
      </c>
      <c r="L1568" s="292">
        <f>L1575</f>
        <v>0</v>
      </c>
      <c r="M1568" s="292">
        <f t="shared" si="1883"/>
        <v>0</v>
      </c>
      <c r="N1568" s="292">
        <f t="shared" si="1883"/>
        <v>0</v>
      </c>
    </row>
    <row r="1569" spans="1:15" ht="30" hidden="1" x14ac:dyDescent="0.25">
      <c r="A1569" s="95"/>
      <c r="B1569" s="16" t="s">
        <v>303</v>
      </c>
      <c r="C1569" s="95" t="s">
        <v>304</v>
      </c>
      <c r="D1569" s="95" t="s">
        <v>1112</v>
      </c>
      <c r="E1569" s="292">
        <v>6</v>
      </c>
      <c r="F1569" s="292">
        <v>4</v>
      </c>
      <c r="G1569" s="292">
        <v>3</v>
      </c>
      <c r="H1569" s="292">
        <v>0</v>
      </c>
      <c r="I1569" s="292"/>
      <c r="J1569" s="292"/>
      <c r="K1569" s="292"/>
      <c r="L1569" s="292"/>
      <c r="M1569" s="292"/>
      <c r="N1569" s="292"/>
    </row>
    <row r="1570" spans="1:15" hidden="1" x14ac:dyDescent="0.25">
      <c r="A1570" s="265"/>
      <c r="B1570" s="262" t="s">
        <v>1182</v>
      </c>
      <c r="C1570" s="95"/>
      <c r="D1570" s="95"/>
      <c r="E1570" s="291"/>
      <c r="F1570" s="291"/>
      <c r="G1570" s="291"/>
      <c r="H1570" s="291">
        <f>H1571+H1572</f>
        <v>313</v>
      </c>
      <c r="I1570" s="291">
        <f>I1571+I1572</f>
        <v>0</v>
      </c>
      <c r="J1570" s="291">
        <f>J1571+J1572</f>
        <v>0</v>
      </c>
      <c r="K1570" s="291">
        <f>K1571+K1572</f>
        <v>0</v>
      </c>
      <c r="L1570" s="291">
        <f>L1571+L1572</f>
        <v>0</v>
      </c>
      <c r="M1570" s="291">
        <f t="shared" ref="M1570:N1570" si="1884">M1571+M1572</f>
        <v>0</v>
      </c>
      <c r="N1570" s="291">
        <f t="shared" si="1884"/>
        <v>0</v>
      </c>
    </row>
    <row r="1571" spans="1:15" ht="45" hidden="1" x14ac:dyDescent="0.25">
      <c r="A1571" s="265"/>
      <c r="B1571" s="265" t="s">
        <v>1517</v>
      </c>
      <c r="C1571" s="95"/>
      <c r="D1571" s="95"/>
      <c r="E1571" s="291"/>
      <c r="F1571" s="291"/>
      <c r="G1571" s="291"/>
      <c r="H1571" s="291">
        <v>218</v>
      </c>
      <c r="I1571" s="291"/>
      <c r="J1571" s="291"/>
      <c r="K1571" s="291"/>
      <c r="L1571" s="291"/>
      <c r="M1571" s="291"/>
      <c r="N1571" s="291"/>
    </row>
    <row r="1572" spans="1:15" ht="45" hidden="1" x14ac:dyDescent="0.25">
      <c r="A1572" s="265"/>
      <c r="B1572" s="265" t="s">
        <v>1517</v>
      </c>
      <c r="C1572" s="95"/>
      <c r="D1572" s="95"/>
      <c r="E1572" s="291"/>
      <c r="F1572" s="291"/>
      <c r="G1572" s="291"/>
      <c r="H1572" s="291">
        <v>95</v>
      </c>
      <c r="I1572" s="291"/>
      <c r="J1572" s="291"/>
      <c r="K1572" s="291"/>
      <c r="L1572" s="291"/>
      <c r="M1572" s="291"/>
      <c r="N1572" s="291"/>
    </row>
    <row r="1573" spans="1:15" hidden="1" x14ac:dyDescent="0.25">
      <c r="A1573" s="265"/>
      <c r="B1573" s="262" t="s">
        <v>1184</v>
      </c>
      <c r="C1573" s="95"/>
      <c r="D1573" s="95"/>
      <c r="E1573" s="291"/>
      <c r="F1573" s="291"/>
      <c r="G1573" s="291"/>
      <c r="H1573" s="291">
        <f>H1574+H1575</f>
        <v>4</v>
      </c>
      <c r="I1573" s="291">
        <f>I1574+I1575</f>
        <v>0</v>
      </c>
      <c r="J1573" s="291">
        <f>J1574+J1575</f>
        <v>0</v>
      </c>
      <c r="K1573" s="291">
        <f>K1574+K1575</f>
        <v>0</v>
      </c>
      <c r="L1573" s="291">
        <f>L1574+L1575</f>
        <v>0</v>
      </c>
      <c r="M1573" s="291">
        <f t="shared" ref="M1573:N1573" si="1885">M1574+M1575</f>
        <v>0</v>
      </c>
      <c r="N1573" s="291">
        <f t="shared" si="1885"/>
        <v>0</v>
      </c>
    </row>
    <row r="1574" spans="1:15" ht="45" hidden="1" x14ac:dyDescent="0.25">
      <c r="A1574" s="265"/>
      <c r="B1574" s="265" t="s">
        <v>1517</v>
      </c>
      <c r="C1574" s="95"/>
      <c r="D1574" s="95"/>
      <c r="E1574" s="291"/>
      <c r="F1574" s="291"/>
      <c r="G1574" s="291"/>
      <c r="H1574" s="291">
        <v>4</v>
      </c>
      <c r="I1574" s="291"/>
      <c r="J1574" s="291"/>
      <c r="K1574" s="291"/>
      <c r="L1574" s="291"/>
      <c r="M1574" s="291"/>
      <c r="N1574" s="291"/>
    </row>
    <row r="1575" spans="1:15" ht="45" hidden="1" x14ac:dyDescent="0.25">
      <c r="A1575" s="264"/>
      <c r="B1575" s="265" t="s">
        <v>1517</v>
      </c>
      <c r="C1575" s="95"/>
      <c r="D1575" s="95"/>
      <c r="E1575" s="291"/>
      <c r="F1575" s="291"/>
      <c r="G1575" s="291"/>
      <c r="H1575" s="291">
        <v>0</v>
      </c>
      <c r="I1575" s="291"/>
      <c r="J1575" s="291"/>
      <c r="K1575" s="291"/>
      <c r="L1575" s="291"/>
      <c r="M1575" s="291"/>
      <c r="N1575" s="291"/>
    </row>
    <row r="1576" spans="1:15" ht="30" hidden="1" x14ac:dyDescent="0.25">
      <c r="A1576" s="416"/>
      <c r="B1576" s="419" t="s">
        <v>203</v>
      </c>
      <c r="C1576" s="95" t="s">
        <v>1206</v>
      </c>
      <c r="D1576" s="95" t="s">
        <v>1112</v>
      </c>
      <c r="E1576" s="292">
        <v>223</v>
      </c>
      <c r="F1576" s="292">
        <v>223</v>
      </c>
      <c r="G1576" s="291">
        <v>218</v>
      </c>
      <c r="H1576" s="291">
        <f t="shared" ref="H1576:J1577" si="1886">H1582</f>
        <v>222</v>
      </c>
      <c r="I1576" s="291">
        <f t="shared" si="1886"/>
        <v>0</v>
      </c>
      <c r="J1576" s="291">
        <f t="shared" si="1886"/>
        <v>0</v>
      </c>
      <c r="K1576" s="291">
        <f>K1582</f>
        <v>0</v>
      </c>
      <c r="L1576" s="291">
        <f>L1582</f>
        <v>0</v>
      </c>
      <c r="M1576" s="291">
        <f t="shared" ref="M1576:N1577" si="1887">M1582</f>
        <v>0</v>
      </c>
      <c r="N1576" s="291">
        <f t="shared" si="1887"/>
        <v>0</v>
      </c>
      <c r="O1576" s="281"/>
    </row>
    <row r="1577" spans="1:15" ht="30" hidden="1" x14ac:dyDescent="0.25">
      <c r="A1577" s="417"/>
      <c r="B1577" s="420"/>
      <c r="C1577" s="95" t="s">
        <v>1262</v>
      </c>
      <c r="D1577" s="95" t="s">
        <v>1112</v>
      </c>
      <c r="E1577" s="292">
        <v>113</v>
      </c>
      <c r="F1577" s="292">
        <v>111</v>
      </c>
      <c r="G1577" s="291">
        <v>108</v>
      </c>
      <c r="H1577" s="291">
        <f t="shared" si="1886"/>
        <v>100</v>
      </c>
      <c r="I1577" s="291">
        <f t="shared" si="1886"/>
        <v>0</v>
      </c>
      <c r="J1577" s="291">
        <f t="shared" si="1886"/>
        <v>0</v>
      </c>
      <c r="K1577" s="291">
        <f>K1583</f>
        <v>0</v>
      </c>
      <c r="L1577" s="291">
        <f>L1583</f>
        <v>0</v>
      </c>
      <c r="M1577" s="291">
        <f t="shared" si="1887"/>
        <v>0</v>
      </c>
      <c r="N1577" s="291">
        <f t="shared" si="1887"/>
        <v>0</v>
      </c>
    </row>
    <row r="1578" spans="1:15" ht="30" hidden="1" x14ac:dyDescent="0.25">
      <c r="A1578" s="417"/>
      <c r="B1578" s="420"/>
      <c r="C1578" s="95" t="s">
        <v>1207</v>
      </c>
      <c r="D1578" s="95" t="s">
        <v>1112</v>
      </c>
      <c r="E1578" s="292">
        <v>5</v>
      </c>
      <c r="F1578" s="292">
        <v>5</v>
      </c>
      <c r="G1578" s="291">
        <v>5</v>
      </c>
      <c r="H1578" s="291">
        <f t="shared" ref="H1578:J1579" si="1888">H1585</f>
        <v>4</v>
      </c>
      <c r="I1578" s="291">
        <f t="shared" si="1888"/>
        <v>0</v>
      </c>
      <c r="J1578" s="291">
        <f t="shared" si="1888"/>
        <v>0</v>
      </c>
      <c r="K1578" s="291">
        <f>K1585</f>
        <v>0</v>
      </c>
      <c r="L1578" s="291">
        <f>L1585</f>
        <v>0</v>
      </c>
      <c r="M1578" s="291">
        <f t="shared" ref="M1578:N1579" si="1889">M1585</f>
        <v>0</v>
      </c>
      <c r="N1578" s="291">
        <f t="shared" si="1889"/>
        <v>0</v>
      </c>
    </row>
    <row r="1579" spans="1:15" ht="30" hidden="1" x14ac:dyDescent="0.25">
      <c r="A1579" s="418"/>
      <c r="B1579" s="421"/>
      <c r="C1579" s="95" t="s">
        <v>1263</v>
      </c>
      <c r="D1579" s="95" t="s">
        <v>1112</v>
      </c>
      <c r="E1579" s="292">
        <v>0</v>
      </c>
      <c r="F1579" s="292">
        <v>0</v>
      </c>
      <c r="G1579" s="291">
        <v>0</v>
      </c>
      <c r="H1579" s="291">
        <f t="shared" si="1888"/>
        <v>0</v>
      </c>
      <c r="I1579" s="291">
        <f t="shared" si="1888"/>
        <v>0</v>
      </c>
      <c r="J1579" s="291">
        <f t="shared" si="1888"/>
        <v>0</v>
      </c>
      <c r="K1579" s="291">
        <f>K1586</f>
        <v>0</v>
      </c>
      <c r="L1579" s="291">
        <f>L1586</f>
        <v>0</v>
      </c>
      <c r="M1579" s="291">
        <f t="shared" si="1889"/>
        <v>0</v>
      </c>
      <c r="N1579" s="291">
        <f t="shared" si="1889"/>
        <v>0</v>
      </c>
    </row>
    <row r="1580" spans="1:15" ht="30" hidden="1" x14ac:dyDescent="0.25">
      <c r="A1580" s="95"/>
      <c r="B1580" s="16" t="s">
        <v>223</v>
      </c>
      <c r="C1580" s="95" t="s">
        <v>205</v>
      </c>
      <c r="D1580" s="95" t="s">
        <v>1112</v>
      </c>
      <c r="E1580" s="292">
        <v>7</v>
      </c>
      <c r="F1580" s="292">
        <v>5</v>
      </c>
      <c r="G1580" s="291">
        <v>4</v>
      </c>
      <c r="H1580" s="291">
        <v>0</v>
      </c>
      <c r="I1580" s="291"/>
      <c r="J1580" s="291"/>
      <c r="K1580" s="291"/>
      <c r="L1580" s="291"/>
      <c r="M1580" s="291"/>
      <c r="N1580" s="291"/>
    </row>
    <row r="1581" spans="1:15" hidden="1" x14ac:dyDescent="0.25">
      <c r="A1581" s="95"/>
      <c r="B1581" s="311" t="s">
        <v>1182</v>
      </c>
      <c r="C1581" s="95"/>
      <c r="D1581" s="95"/>
      <c r="E1581" s="291"/>
      <c r="F1581" s="291"/>
      <c r="G1581" s="291"/>
      <c r="H1581" s="291">
        <f>H1582+H1583</f>
        <v>322</v>
      </c>
      <c r="I1581" s="291">
        <f>I1582+I1583</f>
        <v>0</v>
      </c>
      <c r="J1581" s="291">
        <f>J1582+J1583</f>
        <v>0</v>
      </c>
      <c r="K1581" s="291">
        <f>K1582+K1583</f>
        <v>0</v>
      </c>
      <c r="L1581" s="291">
        <f>L1582+L1583</f>
        <v>0</v>
      </c>
      <c r="M1581" s="291">
        <f t="shared" ref="M1581:N1581" si="1890">M1582+M1583</f>
        <v>0</v>
      </c>
      <c r="N1581" s="291">
        <f t="shared" si="1890"/>
        <v>0</v>
      </c>
    </row>
    <row r="1582" spans="1:15" ht="45" hidden="1" x14ac:dyDescent="0.25">
      <c r="A1582" s="95"/>
      <c r="B1582" s="263" t="s">
        <v>1515</v>
      </c>
      <c r="C1582" s="95"/>
      <c r="D1582" s="95"/>
      <c r="E1582" s="291"/>
      <c r="F1582" s="291"/>
      <c r="G1582" s="291"/>
      <c r="H1582" s="291">
        <v>222</v>
      </c>
      <c r="I1582" s="291"/>
      <c r="J1582" s="291"/>
      <c r="K1582" s="291"/>
      <c r="L1582" s="291"/>
      <c r="M1582" s="291"/>
      <c r="N1582" s="291"/>
    </row>
    <row r="1583" spans="1:15" ht="45" hidden="1" x14ac:dyDescent="0.25">
      <c r="A1583" s="95"/>
      <c r="B1583" s="263" t="s">
        <v>1515</v>
      </c>
      <c r="C1583" s="95"/>
      <c r="D1583" s="95"/>
      <c r="E1583" s="291"/>
      <c r="F1583" s="291"/>
      <c r="G1583" s="291"/>
      <c r="H1583" s="291">
        <v>100</v>
      </c>
      <c r="I1583" s="291"/>
      <c r="J1583" s="291"/>
      <c r="K1583" s="291"/>
      <c r="L1583" s="291"/>
      <c r="M1583" s="291"/>
      <c r="N1583" s="291"/>
    </row>
    <row r="1584" spans="1:15" hidden="1" x14ac:dyDescent="0.25">
      <c r="A1584" s="95"/>
      <c r="B1584" s="261" t="s">
        <v>1184</v>
      </c>
      <c r="C1584" s="95"/>
      <c r="D1584" s="95"/>
      <c r="E1584" s="291"/>
      <c r="F1584" s="291"/>
      <c r="G1584" s="291"/>
      <c r="H1584" s="291">
        <f>H1585+H1586</f>
        <v>4</v>
      </c>
      <c r="I1584" s="291">
        <f>I1585+I1586</f>
        <v>0</v>
      </c>
      <c r="J1584" s="291">
        <f>J1585+J1586</f>
        <v>0</v>
      </c>
      <c r="K1584" s="291">
        <f>K1585+K1586</f>
        <v>0</v>
      </c>
      <c r="L1584" s="291">
        <f>L1585+L1586</f>
        <v>0</v>
      </c>
      <c r="M1584" s="291">
        <f t="shared" ref="M1584:N1584" si="1891">M1585+M1586</f>
        <v>0</v>
      </c>
      <c r="N1584" s="291">
        <f t="shared" si="1891"/>
        <v>0</v>
      </c>
    </row>
    <row r="1585" spans="1:15" ht="45" hidden="1" x14ac:dyDescent="0.25">
      <c r="A1585" s="95"/>
      <c r="B1585" s="263" t="s">
        <v>1515</v>
      </c>
      <c r="C1585" s="95"/>
      <c r="D1585" s="95"/>
      <c r="E1585" s="291"/>
      <c r="F1585" s="291"/>
      <c r="G1585" s="291"/>
      <c r="H1585" s="291">
        <v>4</v>
      </c>
      <c r="I1585" s="291"/>
      <c r="J1585" s="291"/>
      <c r="K1585" s="291"/>
      <c r="L1585" s="291"/>
      <c r="M1585" s="291"/>
      <c r="N1585" s="291"/>
    </row>
    <row r="1586" spans="1:15" ht="45" hidden="1" x14ac:dyDescent="0.25">
      <c r="A1586" s="95"/>
      <c r="B1586" s="263" t="s">
        <v>1515</v>
      </c>
      <c r="C1586" s="95"/>
      <c r="D1586" s="95"/>
      <c r="E1586" s="291"/>
      <c r="F1586" s="291"/>
      <c r="G1586" s="291"/>
      <c r="H1586" s="291">
        <v>0</v>
      </c>
      <c r="I1586" s="291"/>
      <c r="J1586" s="291"/>
      <c r="K1586" s="291"/>
      <c r="L1586" s="291"/>
      <c r="M1586" s="291"/>
      <c r="N1586" s="291"/>
    </row>
    <row r="1587" spans="1:15" ht="75" hidden="1" x14ac:dyDescent="0.25">
      <c r="A1587" s="95" t="s">
        <v>309</v>
      </c>
      <c r="B1587" s="16" t="s">
        <v>310</v>
      </c>
      <c r="C1587" s="95"/>
      <c r="D1587" s="95"/>
      <c r="E1587" s="280"/>
      <c r="F1587" s="280"/>
      <c r="G1587" s="280"/>
      <c r="H1587" s="280"/>
      <c r="I1587" s="280"/>
      <c r="J1587" s="280"/>
      <c r="K1587" s="280"/>
      <c r="L1587" s="280"/>
      <c r="M1587" s="280"/>
      <c r="N1587" s="280"/>
      <c r="O1587" s="281" t="s">
        <v>196</v>
      </c>
    </row>
    <row r="1588" spans="1:15" hidden="1" x14ac:dyDescent="0.25">
      <c r="A1588" s="263"/>
      <c r="B1588" s="96" t="s">
        <v>1182</v>
      </c>
      <c r="C1588" s="107"/>
      <c r="D1588" s="95" t="s">
        <v>8</v>
      </c>
      <c r="E1588" s="279">
        <f t="shared" ref="E1588:J1588" si="1892">((E1594+E1595+E1598)/(E1605+E1606+E1609))*100</f>
        <v>91.83673469387756</v>
      </c>
      <c r="F1588" s="279">
        <f t="shared" si="1892"/>
        <v>94.395280235988196</v>
      </c>
      <c r="G1588" s="279">
        <f t="shared" si="1892"/>
        <v>97.27272727272728</v>
      </c>
      <c r="H1588" s="279">
        <f t="shared" si="1892"/>
        <v>99.689440993788821</v>
      </c>
      <c r="I1588" s="279" t="e">
        <f t="shared" si="1892"/>
        <v>#DIV/0!</v>
      </c>
      <c r="J1588" s="279" t="e">
        <f t="shared" si="1892"/>
        <v>#DIV/0!</v>
      </c>
      <c r="K1588" s="279" t="e">
        <f>((K1594+K1595+K1598)/(K1605+K1606+K1609))*100</f>
        <v>#DIV/0!</v>
      </c>
      <c r="L1588" s="279" t="e">
        <f>((L1594+L1595+L1598)/(L1605+L1606+L1609))*100</f>
        <v>#DIV/0!</v>
      </c>
      <c r="M1588" s="279" t="e">
        <f>((M1594+M1595+M1598)/(M1605+M1606+M1609))*100</f>
        <v>#DIV/0!</v>
      </c>
      <c r="N1588" s="279" t="e">
        <f>((N1594+N1595+N1598)/(N1605+N1606+N1609))*100</f>
        <v>#DIV/0!</v>
      </c>
    </row>
    <row r="1589" spans="1:15" hidden="1" x14ac:dyDescent="0.25">
      <c r="A1589" s="263"/>
      <c r="B1589" s="96" t="s">
        <v>1183</v>
      </c>
      <c r="C1589" s="107"/>
      <c r="D1589" s="95"/>
      <c r="E1589" s="279"/>
      <c r="F1589" s="279"/>
      <c r="G1589" s="279"/>
      <c r="H1589" s="279">
        <f>((H1594+H1598)/(H1605+H1609))*100</f>
        <v>100</v>
      </c>
      <c r="I1589" s="279" t="e">
        <f>((I1594+I1598)/(I1605+I1609))*100</f>
        <v>#DIV/0!</v>
      </c>
      <c r="J1589" s="279" t="e">
        <f>((J1594+J1598)/(J1605+J1609))*100</f>
        <v>#DIV/0!</v>
      </c>
      <c r="K1589" s="279" t="e">
        <f>((K1594+K1598)/(K1605+K1609))*100</f>
        <v>#DIV/0!</v>
      </c>
      <c r="L1589" s="279" t="e">
        <f>((L1594+L1598)/(L1605+L1609))*100</f>
        <v>#DIV/0!</v>
      </c>
      <c r="M1589" s="279" t="e">
        <f t="shared" ref="M1589:N1589" si="1893">((M1594+M1598)/(M1605+M1609))*100</f>
        <v>#DIV/0!</v>
      </c>
      <c r="N1589" s="279" t="e">
        <f t="shared" si="1893"/>
        <v>#DIV/0!</v>
      </c>
    </row>
    <row r="1590" spans="1:15" hidden="1" x14ac:dyDescent="0.25">
      <c r="A1590" s="263"/>
      <c r="B1590" s="96" t="s">
        <v>1185</v>
      </c>
      <c r="C1590" s="107"/>
      <c r="D1590" s="95"/>
      <c r="E1590" s="279"/>
      <c r="F1590" s="279"/>
      <c r="G1590" s="279"/>
      <c r="H1590" s="279">
        <f>((H1595+H1598)/(H1606+H1609))*100</f>
        <v>99</v>
      </c>
      <c r="I1590" s="279" t="e">
        <f>((I1595+I1598)/(I1606+I1609))*100</f>
        <v>#DIV/0!</v>
      </c>
      <c r="J1590" s="279" t="e">
        <f>((J1595+J1598)/(J1606+J1609))*100</f>
        <v>#DIV/0!</v>
      </c>
      <c r="K1590" s="279" t="e">
        <f>((K1595+K1598)/(K1606+K1609))*100</f>
        <v>#DIV/0!</v>
      </c>
      <c r="L1590" s="279" t="e">
        <f>((L1595+L1598)/(L1606+L1609))*100</f>
        <v>#DIV/0!</v>
      </c>
      <c r="M1590" s="279" t="e">
        <f t="shared" ref="M1590:N1590" si="1894">((M1595+M1598)/(M1606+M1609))*100</f>
        <v>#DIV/0!</v>
      </c>
      <c r="N1590" s="279" t="e">
        <f t="shared" si="1894"/>
        <v>#DIV/0!</v>
      </c>
    </row>
    <row r="1591" spans="1:15" hidden="1" x14ac:dyDescent="0.25">
      <c r="A1591" s="263"/>
      <c r="B1591" s="96" t="s">
        <v>1184</v>
      </c>
      <c r="C1591" s="107"/>
      <c r="D1591" s="95" t="s">
        <v>8</v>
      </c>
      <c r="E1591" s="279">
        <f t="shared" ref="E1591:J1591" si="1895">((E1596+E1597)/(E1607+E1608))*100</f>
        <v>80</v>
      </c>
      <c r="F1591" s="279">
        <f t="shared" si="1895"/>
        <v>60</v>
      </c>
      <c r="G1591" s="279">
        <f t="shared" si="1895"/>
        <v>60</v>
      </c>
      <c r="H1591" s="279">
        <f t="shared" si="1895"/>
        <v>100</v>
      </c>
      <c r="I1591" s="279" t="e">
        <f t="shared" si="1895"/>
        <v>#DIV/0!</v>
      </c>
      <c r="J1591" s="279" t="e">
        <f t="shared" si="1895"/>
        <v>#DIV/0!</v>
      </c>
      <c r="K1591" s="279" t="e">
        <f>((K1596+K1597)/(K1607+K1608))*100</f>
        <v>#DIV/0!</v>
      </c>
      <c r="L1591" s="279" t="e">
        <f>((L1596+L1597)/(L1607+L1608))*100</f>
        <v>#DIV/0!</v>
      </c>
      <c r="M1591" s="279" t="e">
        <f>((M1596+M1597)/(M1607+M1608))*100</f>
        <v>#DIV/0!</v>
      </c>
      <c r="N1591" s="279" t="e">
        <f>((N1596+N1597)/(N1607+N1608))*100</f>
        <v>#DIV/0!</v>
      </c>
    </row>
    <row r="1592" spans="1:15" hidden="1" x14ac:dyDescent="0.25">
      <c r="A1592" s="263"/>
      <c r="B1592" s="96" t="s">
        <v>1183</v>
      </c>
      <c r="C1592" s="107"/>
      <c r="D1592" s="95"/>
      <c r="E1592" s="279"/>
      <c r="F1592" s="279"/>
      <c r="G1592" s="279"/>
      <c r="H1592" s="279">
        <f t="shared" ref="H1592:J1593" si="1896">((H1596)/(H1607))*100</f>
        <v>100</v>
      </c>
      <c r="I1592" s="279" t="e">
        <f t="shared" si="1896"/>
        <v>#DIV/0!</v>
      </c>
      <c r="J1592" s="279" t="e">
        <f t="shared" si="1896"/>
        <v>#DIV/0!</v>
      </c>
      <c r="K1592" s="279" t="e">
        <f>((K1596)/(K1607))*100</f>
        <v>#DIV/0!</v>
      </c>
      <c r="L1592" s="279" t="e">
        <f>((L1596)/(L1607))*100</f>
        <v>#DIV/0!</v>
      </c>
      <c r="M1592" s="279" t="e">
        <f t="shared" ref="M1592:N1593" si="1897">((M1596)/(M1607))*100</f>
        <v>#DIV/0!</v>
      </c>
      <c r="N1592" s="279" t="e">
        <f t="shared" si="1897"/>
        <v>#DIV/0!</v>
      </c>
    </row>
    <row r="1593" spans="1:15" hidden="1" x14ac:dyDescent="0.25">
      <c r="A1593" s="263"/>
      <c r="B1593" s="96" t="s">
        <v>1185</v>
      </c>
      <c r="C1593" s="107"/>
      <c r="D1593" s="95"/>
      <c r="E1593" s="279"/>
      <c r="F1593" s="279"/>
      <c r="G1593" s="279"/>
      <c r="H1593" s="279" t="e">
        <f t="shared" si="1896"/>
        <v>#DIV/0!</v>
      </c>
      <c r="I1593" s="279" t="e">
        <f t="shared" si="1896"/>
        <v>#DIV/0!</v>
      </c>
      <c r="J1593" s="279" t="e">
        <f t="shared" si="1896"/>
        <v>#DIV/0!</v>
      </c>
      <c r="K1593" s="279" t="e">
        <f>((K1597)/(K1608))*100</f>
        <v>#DIV/0!</v>
      </c>
      <c r="L1593" s="279" t="e">
        <f>((L1597)/(L1608))*100</f>
        <v>#DIV/0!</v>
      </c>
      <c r="M1593" s="279" t="e">
        <f t="shared" si="1897"/>
        <v>#DIV/0!</v>
      </c>
      <c r="N1593" s="279" t="e">
        <f t="shared" si="1897"/>
        <v>#DIV/0!</v>
      </c>
    </row>
    <row r="1594" spans="1:15" ht="30" hidden="1" x14ac:dyDescent="0.25">
      <c r="A1594" s="416"/>
      <c r="B1594" s="419" t="s">
        <v>311</v>
      </c>
      <c r="C1594" s="95" t="s">
        <v>1284</v>
      </c>
      <c r="D1594" s="95" t="s">
        <v>1112</v>
      </c>
      <c r="E1594" s="291">
        <v>216</v>
      </c>
      <c r="F1594" s="291">
        <v>216</v>
      </c>
      <c r="G1594" s="291">
        <v>217</v>
      </c>
      <c r="H1594" s="291">
        <f t="shared" ref="H1594:J1595" si="1898">H1600</f>
        <v>222</v>
      </c>
      <c r="I1594" s="291">
        <f t="shared" si="1898"/>
        <v>0</v>
      </c>
      <c r="J1594" s="291">
        <f t="shared" si="1898"/>
        <v>0</v>
      </c>
      <c r="K1594" s="291">
        <f>K1600</f>
        <v>0</v>
      </c>
      <c r="L1594" s="291">
        <f>L1600</f>
        <v>0</v>
      </c>
      <c r="M1594" s="291">
        <f t="shared" ref="M1594:N1595" si="1899">M1600</f>
        <v>0</v>
      </c>
      <c r="N1594" s="291">
        <f t="shared" si="1899"/>
        <v>0</v>
      </c>
    </row>
    <row r="1595" spans="1:15" ht="30" hidden="1" x14ac:dyDescent="0.25">
      <c r="A1595" s="417"/>
      <c r="B1595" s="420"/>
      <c r="C1595" s="95" t="s">
        <v>1285</v>
      </c>
      <c r="D1595" s="95" t="s">
        <v>1112</v>
      </c>
      <c r="E1595" s="291">
        <v>93</v>
      </c>
      <c r="F1595" s="291">
        <v>100</v>
      </c>
      <c r="G1595" s="291">
        <v>101</v>
      </c>
      <c r="H1595" s="291">
        <f t="shared" si="1898"/>
        <v>99</v>
      </c>
      <c r="I1595" s="291">
        <f t="shared" si="1898"/>
        <v>0</v>
      </c>
      <c r="J1595" s="291">
        <f t="shared" si="1898"/>
        <v>0</v>
      </c>
      <c r="K1595" s="291">
        <f>K1601</f>
        <v>0</v>
      </c>
      <c r="L1595" s="291">
        <f>L1601</f>
        <v>0</v>
      </c>
      <c r="M1595" s="291">
        <f t="shared" si="1899"/>
        <v>0</v>
      </c>
      <c r="N1595" s="291">
        <f t="shared" si="1899"/>
        <v>0</v>
      </c>
    </row>
    <row r="1596" spans="1:15" ht="30" hidden="1" x14ac:dyDescent="0.25">
      <c r="A1596" s="417"/>
      <c r="B1596" s="420"/>
      <c r="C1596" s="95" t="s">
        <v>1286</v>
      </c>
      <c r="D1596" s="95" t="s">
        <v>1112</v>
      </c>
      <c r="E1596" s="291">
        <v>4</v>
      </c>
      <c r="F1596" s="291">
        <v>3</v>
      </c>
      <c r="G1596" s="291">
        <v>3</v>
      </c>
      <c r="H1596" s="291">
        <f t="shared" ref="H1596:J1597" si="1900">H1603</f>
        <v>4</v>
      </c>
      <c r="I1596" s="291">
        <f t="shared" si="1900"/>
        <v>0</v>
      </c>
      <c r="J1596" s="291">
        <f t="shared" si="1900"/>
        <v>0</v>
      </c>
      <c r="K1596" s="291">
        <f>K1603</f>
        <v>0</v>
      </c>
      <c r="L1596" s="291">
        <f>L1603</f>
        <v>0</v>
      </c>
      <c r="M1596" s="291">
        <f t="shared" ref="M1596:N1597" si="1901">M1603</f>
        <v>0</v>
      </c>
      <c r="N1596" s="291">
        <f t="shared" si="1901"/>
        <v>0</v>
      </c>
    </row>
    <row r="1597" spans="1:15" ht="30" hidden="1" x14ac:dyDescent="0.25">
      <c r="A1597" s="418"/>
      <c r="B1597" s="421"/>
      <c r="C1597" s="95" t="s">
        <v>1287</v>
      </c>
      <c r="D1597" s="95" t="s">
        <v>1112</v>
      </c>
      <c r="E1597" s="291">
        <v>0</v>
      </c>
      <c r="F1597" s="291">
        <v>0</v>
      </c>
      <c r="G1597" s="291">
        <v>0</v>
      </c>
      <c r="H1597" s="291">
        <f t="shared" si="1900"/>
        <v>0</v>
      </c>
      <c r="I1597" s="291">
        <f t="shared" si="1900"/>
        <v>0</v>
      </c>
      <c r="J1597" s="291">
        <f t="shared" si="1900"/>
        <v>0</v>
      </c>
      <c r="K1597" s="291">
        <f>K1604</f>
        <v>0</v>
      </c>
      <c r="L1597" s="291">
        <f>L1604</f>
        <v>0</v>
      </c>
      <c r="M1597" s="291">
        <f t="shared" si="1901"/>
        <v>0</v>
      </c>
      <c r="N1597" s="291">
        <f t="shared" si="1901"/>
        <v>0</v>
      </c>
    </row>
    <row r="1598" spans="1:15" ht="30" hidden="1" x14ac:dyDescent="0.25">
      <c r="A1598" s="95"/>
      <c r="B1598" s="16" t="s">
        <v>312</v>
      </c>
      <c r="C1598" s="95" t="s">
        <v>313</v>
      </c>
      <c r="D1598" s="95" t="s">
        <v>1112</v>
      </c>
      <c r="E1598" s="291">
        <v>6</v>
      </c>
      <c r="F1598" s="291">
        <v>4</v>
      </c>
      <c r="G1598" s="291">
        <v>3</v>
      </c>
      <c r="H1598" s="291">
        <v>0</v>
      </c>
      <c r="I1598" s="291"/>
      <c r="J1598" s="291"/>
      <c r="K1598" s="291"/>
      <c r="L1598" s="291"/>
      <c r="M1598" s="291"/>
      <c r="N1598" s="291"/>
    </row>
    <row r="1599" spans="1:15" hidden="1" x14ac:dyDescent="0.25">
      <c r="A1599" s="265"/>
      <c r="B1599" s="262" t="s">
        <v>1182</v>
      </c>
      <c r="C1599" s="95"/>
      <c r="D1599" s="95"/>
      <c r="E1599" s="291"/>
      <c r="F1599" s="291"/>
      <c r="G1599" s="291"/>
      <c r="H1599" s="291">
        <f>H1600+H1601</f>
        <v>321</v>
      </c>
      <c r="I1599" s="291">
        <f>I1600+I1601</f>
        <v>0</v>
      </c>
      <c r="J1599" s="291">
        <f>J1600+J1601</f>
        <v>0</v>
      </c>
      <c r="K1599" s="291">
        <f>K1600+K1601</f>
        <v>0</v>
      </c>
      <c r="L1599" s="291">
        <f>L1600+L1601</f>
        <v>0</v>
      </c>
      <c r="M1599" s="291">
        <f t="shared" ref="M1599:N1599" si="1902">M1600+M1601</f>
        <v>0</v>
      </c>
      <c r="N1599" s="291">
        <f t="shared" si="1902"/>
        <v>0</v>
      </c>
    </row>
    <row r="1600" spans="1:15" ht="45" hidden="1" x14ac:dyDescent="0.25">
      <c r="A1600" s="265"/>
      <c r="B1600" s="265" t="s">
        <v>1516</v>
      </c>
      <c r="C1600" s="95"/>
      <c r="D1600" s="95"/>
      <c r="E1600" s="291"/>
      <c r="F1600" s="291"/>
      <c r="G1600" s="291"/>
      <c r="H1600" s="291">
        <v>222</v>
      </c>
      <c r="I1600" s="291"/>
      <c r="J1600" s="291"/>
      <c r="K1600" s="291"/>
      <c r="L1600" s="291"/>
      <c r="M1600" s="291"/>
      <c r="N1600" s="291"/>
    </row>
    <row r="1601" spans="1:15" ht="45" hidden="1" x14ac:dyDescent="0.25">
      <c r="A1601" s="265"/>
      <c r="B1601" s="265" t="s">
        <v>1516</v>
      </c>
      <c r="C1601" s="95"/>
      <c r="D1601" s="95"/>
      <c r="E1601" s="291"/>
      <c r="F1601" s="291"/>
      <c r="G1601" s="291"/>
      <c r="H1601" s="291">
        <v>99</v>
      </c>
      <c r="I1601" s="291"/>
      <c r="J1601" s="291"/>
      <c r="K1601" s="291"/>
      <c r="L1601" s="291"/>
      <c r="M1601" s="291"/>
      <c r="N1601" s="291"/>
    </row>
    <row r="1602" spans="1:15" hidden="1" x14ac:dyDescent="0.25">
      <c r="A1602" s="265"/>
      <c r="B1602" s="262" t="s">
        <v>1184</v>
      </c>
      <c r="C1602" s="95"/>
      <c r="D1602" s="95"/>
      <c r="E1602" s="291"/>
      <c r="F1602" s="291"/>
      <c r="G1602" s="291"/>
      <c r="H1602" s="291">
        <f>H1603+H1604</f>
        <v>4</v>
      </c>
      <c r="I1602" s="291">
        <f>I1603+I1604</f>
        <v>0</v>
      </c>
      <c r="J1602" s="291">
        <f>J1603+J1604</f>
        <v>0</v>
      </c>
      <c r="K1602" s="291">
        <f>K1603+K1604</f>
        <v>0</v>
      </c>
      <c r="L1602" s="291">
        <f>L1603+L1604</f>
        <v>0</v>
      </c>
      <c r="M1602" s="291">
        <f t="shared" ref="M1602:N1602" si="1903">M1603+M1604</f>
        <v>0</v>
      </c>
      <c r="N1602" s="291">
        <f t="shared" si="1903"/>
        <v>0</v>
      </c>
    </row>
    <row r="1603" spans="1:15" ht="45" hidden="1" x14ac:dyDescent="0.25">
      <c r="A1603" s="265"/>
      <c r="B1603" s="265" t="s">
        <v>1516</v>
      </c>
      <c r="C1603" s="95"/>
      <c r="D1603" s="95"/>
      <c r="E1603" s="291"/>
      <c r="F1603" s="291"/>
      <c r="G1603" s="291"/>
      <c r="H1603" s="291">
        <v>4</v>
      </c>
      <c r="I1603" s="291"/>
      <c r="J1603" s="291"/>
      <c r="K1603" s="291"/>
      <c r="L1603" s="291"/>
      <c r="M1603" s="291"/>
      <c r="N1603" s="291"/>
    </row>
    <row r="1604" spans="1:15" ht="45" hidden="1" x14ac:dyDescent="0.25">
      <c r="A1604" s="264"/>
      <c r="B1604" s="265" t="s">
        <v>1516</v>
      </c>
      <c r="C1604" s="95"/>
      <c r="D1604" s="95"/>
      <c r="E1604" s="291"/>
      <c r="F1604" s="291"/>
      <c r="G1604" s="291"/>
      <c r="H1604" s="291">
        <v>0</v>
      </c>
      <c r="I1604" s="291"/>
      <c r="J1604" s="291"/>
      <c r="K1604" s="291"/>
      <c r="L1604" s="291"/>
      <c r="M1604" s="291"/>
      <c r="N1604" s="291"/>
    </row>
    <row r="1605" spans="1:15" ht="30" hidden="1" x14ac:dyDescent="0.25">
      <c r="A1605" s="416"/>
      <c r="B1605" s="419" t="s">
        <v>203</v>
      </c>
      <c r="C1605" s="95" t="s">
        <v>1206</v>
      </c>
      <c r="D1605" s="95" t="s">
        <v>1112</v>
      </c>
      <c r="E1605" s="291">
        <v>223</v>
      </c>
      <c r="F1605" s="291">
        <v>223</v>
      </c>
      <c r="G1605" s="291">
        <v>218</v>
      </c>
      <c r="H1605" s="291">
        <f t="shared" ref="H1605:J1606" si="1904">H1611</f>
        <v>222</v>
      </c>
      <c r="I1605" s="291">
        <f t="shared" si="1904"/>
        <v>0</v>
      </c>
      <c r="J1605" s="291">
        <f t="shared" si="1904"/>
        <v>0</v>
      </c>
      <c r="K1605" s="291">
        <f>K1611</f>
        <v>0</v>
      </c>
      <c r="L1605" s="291">
        <f>L1611</f>
        <v>0</v>
      </c>
      <c r="M1605" s="291">
        <f t="shared" ref="M1605:N1606" si="1905">M1611</f>
        <v>0</v>
      </c>
      <c r="N1605" s="291">
        <f t="shared" si="1905"/>
        <v>0</v>
      </c>
      <c r="O1605" s="281"/>
    </row>
    <row r="1606" spans="1:15" ht="30" hidden="1" x14ac:dyDescent="0.25">
      <c r="A1606" s="417"/>
      <c r="B1606" s="420"/>
      <c r="C1606" s="95" t="s">
        <v>1262</v>
      </c>
      <c r="D1606" s="95" t="s">
        <v>1112</v>
      </c>
      <c r="E1606" s="291">
        <v>113</v>
      </c>
      <c r="F1606" s="291">
        <v>111</v>
      </c>
      <c r="G1606" s="291">
        <v>108</v>
      </c>
      <c r="H1606" s="291">
        <f t="shared" si="1904"/>
        <v>100</v>
      </c>
      <c r="I1606" s="291">
        <f t="shared" si="1904"/>
        <v>0</v>
      </c>
      <c r="J1606" s="291">
        <f t="shared" si="1904"/>
        <v>0</v>
      </c>
      <c r="K1606" s="291">
        <f>K1612</f>
        <v>0</v>
      </c>
      <c r="L1606" s="291">
        <f>L1612</f>
        <v>0</v>
      </c>
      <c r="M1606" s="291">
        <f t="shared" si="1905"/>
        <v>0</v>
      </c>
      <c r="N1606" s="291">
        <f t="shared" si="1905"/>
        <v>0</v>
      </c>
    </row>
    <row r="1607" spans="1:15" ht="30" hidden="1" x14ac:dyDescent="0.25">
      <c r="A1607" s="417"/>
      <c r="B1607" s="420"/>
      <c r="C1607" s="95" t="s">
        <v>1207</v>
      </c>
      <c r="D1607" s="95" t="s">
        <v>1112</v>
      </c>
      <c r="E1607" s="291">
        <v>5</v>
      </c>
      <c r="F1607" s="291">
        <v>5</v>
      </c>
      <c r="G1607" s="291">
        <v>5</v>
      </c>
      <c r="H1607" s="291">
        <f>H1614</f>
        <v>4</v>
      </c>
      <c r="I1607" s="291">
        <f>I1614</f>
        <v>0</v>
      </c>
      <c r="J1607" s="291">
        <f>J1614</f>
        <v>0</v>
      </c>
      <c r="K1607" s="291">
        <f>K1614</f>
        <v>0</v>
      </c>
      <c r="L1607" s="291">
        <f>L1614</f>
        <v>0</v>
      </c>
      <c r="M1607" s="291">
        <f t="shared" ref="M1607:N1607" si="1906">M1614</f>
        <v>0</v>
      </c>
      <c r="N1607" s="291">
        <f t="shared" si="1906"/>
        <v>0</v>
      </c>
    </row>
    <row r="1608" spans="1:15" ht="30" hidden="1" x14ac:dyDescent="0.25">
      <c r="A1608" s="418"/>
      <c r="B1608" s="421"/>
      <c r="C1608" s="95" t="s">
        <v>1263</v>
      </c>
      <c r="D1608" s="95" t="s">
        <v>1112</v>
      </c>
      <c r="E1608" s="291">
        <v>0</v>
      </c>
      <c r="F1608" s="291">
        <v>0</v>
      </c>
      <c r="G1608" s="291">
        <v>0</v>
      </c>
      <c r="H1608" s="291">
        <f>H1615</f>
        <v>0</v>
      </c>
      <c r="I1608" s="291"/>
      <c r="J1608" s="291"/>
      <c r="K1608" s="291"/>
      <c r="L1608" s="291"/>
      <c r="M1608" s="291"/>
      <c r="N1608" s="291"/>
    </row>
    <row r="1609" spans="1:15" ht="30" hidden="1" x14ac:dyDescent="0.25">
      <c r="A1609" s="95"/>
      <c r="B1609" s="16" t="s">
        <v>223</v>
      </c>
      <c r="C1609" s="95" t="s">
        <v>205</v>
      </c>
      <c r="D1609" s="95" t="s">
        <v>1112</v>
      </c>
      <c r="E1609" s="291">
        <v>7</v>
      </c>
      <c r="F1609" s="291">
        <v>5</v>
      </c>
      <c r="G1609" s="291">
        <v>4</v>
      </c>
      <c r="H1609" s="291">
        <v>0</v>
      </c>
      <c r="I1609" s="291"/>
      <c r="J1609" s="291"/>
      <c r="K1609" s="291"/>
      <c r="L1609" s="291"/>
      <c r="M1609" s="291"/>
      <c r="N1609" s="291"/>
    </row>
    <row r="1610" spans="1:15" hidden="1" x14ac:dyDescent="0.25">
      <c r="A1610" s="95"/>
      <c r="B1610" s="311" t="s">
        <v>1182</v>
      </c>
      <c r="C1610" s="95"/>
      <c r="D1610" s="95"/>
      <c r="E1610" s="291"/>
      <c r="F1610" s="291"/>
      <c r="G1610" s="291"/>
      <c r="H1610" s="291">
        <f>H1611+H1612</f>
        <v>322</v>
      </c>
      <c r="I1610" s="291">
        <f>I1611+I1612</f>
        <v>0</v>
      </c>
      <c r="J1610" s="291">
        <f>J1611+J1612</f>
        <v>0</v>
      </c>
      <c r="K1610" s="291">
        <f>K1611+K1612</f>
        <v>0</v>
      </c>
      <c r="L1610" s="291">
        <f>L1611+L1612</f>
        <v>0</v>
      </c>
      <c r="M1610" s="291">
        <f t="shared" ref="M1610:N1610" si="1907">M1611+M1612</f>
        <v>0</v>
      </c>
      <c r="N1610" s="291">
        <f t="shared" si="1907"/>
        <v>0</v>
      </c>
    </row>
    <row r="1611" spans="1:15" ht="45" hidden="1" x14ac:dyDescent="0.25">
      <c r="A1611" s="95"/>
      <c r="B1611" s="263" t="s">
        <v>1515</v>
      </c>
      <c r="C1611" s="95"/>
      <c r="D1611" s="95"/>
      <c r="E1611" s="291"/>
      <c r="F1611" s="291"/>
      <c r="G1611" s="291"/>
      <c r="H1611" s="291">
        <v>222</v>
      </c>
      <c r="I1611" s="291"/>
      <c r="J1611" s="291"/>
      <c r="K1611" s="291"/>
      <c r="L1611" s="291"/>
      <c r="M1611" s="291"/>
      <c r="N1611" s="291"/>
    </row>
    <row r="1612" spans="1:15" ht="45" hidden="1" x14ac:dyDescent="0.25">
      <c r="A1612" s="95"/>
      <c r="B1612" s="263" t="s">
        <v>1515</v>
      </c>
      <c r="C1612" s="95"/>
      <c r="D1612" s="95"/>
      <c r="E1612" s="291"/>
      <c r="F1612" s="291"/>
      <c r="G1612" s="291"/>
      <c r="H1612" s="291">
        <v>100</v>
      </c>
      <c r="I1612" s="291"/>
      <c r="J1612" s="291"/>
      <c r="K1612" s="291"/>
      <c r="L1612" s="291"/>
      <c r="M1612" s="291"/>
      <c r="N1612" s="291"/>
    </row>
    <row r="1613" spans="1:15" hidden="1" x14ac:dyDescent="0.25">
      <c r="A1613" s="95"/>
      <c r="B1613" s="261" t="s">
        <v>1184</v>
      </c>
      <c r="C1613" s="95"/>
      <c r="D1613" s="95"/>
      <c r="E1613" s="291"/>
      <c r="F1613" s="291"/>
      <c r="G1613" s="291"/>
      <c r="H1613" s="291">
        <f>H1614+H1615</f>
        <v>4</v>
      </c>
      <c r="I1613" s="291">
        <f>I1614+I1615</f>
        <v>0</v>
      </c>
      <c r="J1613" s="291">
        <f>J1614+J1615</f>
        <v>0</v>
      </c>
      <c r="K1613" s="291">
        <f>K1614+K1615</f>
        <v>0</v>
      </c>
      <c r="L1613" s="291">
        <f>L1614+L1615</f>
        <v>0</v>
      </c>
      <c r="M1613" s="291">
        <f t="shared" ref="M1613:N1613" si="1908">M1614+M1615</f>
        <v>0</v>
      </c>
      <c r="N1613" s="291">
        <f t="shared" si="1908"/>
        <v>0</v>
      </c>
    </row>
    <row r="1614" spans="1:15" ht="45" hidden="1" x14ac:dyDescent="0.25">
      <c r="A1614" s="95"/>
      <c r="B1614" s="263" t="s">
        <v>1515</v>
      </c>
      <c r="C1614" s="95"/>
      <c r="D1614" s="95"/>
      <c r="E1614" s="291"/>
      <c r="F1614" s="291"/>
      <c r="G1614" s="291"/>
      <c r="H1614" s="291">
        <v>4</v>
      </c>
      <c r="I1614" s="291"/>
      <c r="J1614" s="291"/>
      <c r="K1614" s="291"/>
      <c r="L1614" s="291"/>
      <c r="M1614" s="291"/>
      <c r="N1614" s="291"/>
    </row>
    <row r="1615" spans="1:15" ht="45" hidden="1" x14ac:dyDescent="0.25">
      <c r="A1615" s="95"/>
      <c r="B1615" s="263" t="s">
        <v>1515</v>
      </c>
      <c r="C1615" s="95"/>
      <c r="D1615" s="95"/>
      <c r="E1615" s="291"/>
      <c r="F1615" s="291"/>
      <c r="G1615" s="291"/>
      <c r="H1615" s="291">
        <v>0</v>
      </c>
      <c r="I1615" s="291"/>
      <c r="J1615" s="291"/>
      <c r="K1615" s="291"/>
      <c r="L1615" s="291"/>
      <c r="M1615" s="291"/>
      <c r="N1615" s="291"/>
    </row>
    <row r="1616" spans="1:15" ht="90" x14ac:dyDescent="0.25">
      <c r="A1616" s="95" t="s">
        <v>279</v>
      </c>
      <c r="B1616" s="96" t="s">
        <v>1720</v>
      </c>
      <c r="C1616" s="95"/>
      <c r="D1616" s="95" t="s">
        <v>8</v>
      </c>
      <c r="E1616" s="279"/>
      <c r="F1616" s="279"/>
      <c r="G1616" s="279"/>
      <c r="H1616" s="279"/>
      <c r="I1616" s="279"/>
      <c r="J1616" s="279"/>
      <c r="K1616" s="279"/>
      <c r="L1616" s="279"/>
      <c r="M1616" s="279"/>
      <c r="N1616" s="279"/>
      <c r="O1616" s="281" t="s">
        <v>140</v>
      </c>
    </row>
    <row r="1617" spans="1:89" x14ac:dyDescent="0.25">
      <c r="A1617" s="263"/>
      <c r="B1617" s="96" t="s">
        <v>1182</v>
      </c>
      <c r="C1617" s="107"/>
      <c r="D1617" s="95" t="s">
        <v>8</v>
      </c>
      <c r="E1617" s="279">
        <f t="shared" ref="E1617:J1617" si="1909">((E1623+E1624+E1627)/(E1634+E1635+E1638))*100</f>
        <v>0.29154518950437319</v>
      </c>
      <c r="F1617" s="279">
        <f t="shared" si="1909"/>
        <v>0</v>
      </c>
      <c r="G1617" s="279">
        <f t="shared" si="1909"/>
        <v>0</v>
      </c>
      <c r="H1617" s="279">
        <f t="shared" si="1909"/>
        <v>0</v>
      </c>
      <c r="I1617" s="279">
        <f t="shared" si="1909"/>
        <v>0</v>
      </c>
      <c r="J1617" s="279">
        <f t="shared" si="1909"/>
        <v>0</v>
      </c>
      <c r="K1617" s="279">
        <f>((K1623+K1624+K1627)/(K1634+K1635+K1638))*100</f>
        <v>0</v>
      </c>
      <c r="L1617" s="279">
        <f>((L1623+L1624+L1627)/(L1634+L1635+L1638))*100</f>
        <v>0</v>
      </c>
      <c r="M1617" s="279">
        <f>((M1623+M1624+M1627)/(M1634+M1635+M1638))*100</f>
        <v>0</v>
      </c>
      <c r="N1617" s="279">
        <f>((N1623+N1624+N1627)/(N1634+N1635+N1638))*100</f>
        <v>0</v>
      </c>
      <c r="Q1617" s="279">
        <f>((Q1623+Q1624+Q1627)/(Q1634+Q1635+Q1638))*100</f>
        <v>0</v>
      </c>
      <c r="R1617" s="279">
        <f>((R1623+R1624+R1627)/(R1634+R1635+R1638))*100</f>
        <v>0</v>
      </c>
      <c r="S1617" s="279">
        <f>((S1623+S1624+S1627)/(S1634+S1635+S1638))*100</f>
        <v>0</v>
      </c>
      <c r="T1617" s="279">
        <f>((T1623+T1624+T1627)/(T1634+T1635+T1638))*100</f>
        <v>0</v>
      </c>
      <c r="V1617" s="279">
        <f>((V1623+V1624+V1627)/(V1634+V1635+V1638))*100</f>
        <v>0</v>
      </c>
      <c r="W1617" s="279">
        <f>((W1623+W1624+W1627)/(W1634+W1635+W1638))*100</f>
        <v>0</v>
      </c>
      <c r="Y1617" s="279">
        <f>((Y1623+Y1624+Y1627)/(Y1634+Y1635+Y1638))*100</f>
        <v>0</v>
      </c>
      <c r="Z1617" s="279">
        <f>((Z1623+Z1624+Z1627)/(Z1634+Z1635+Z1638))*100</f>
        <v>0</v>
      </c>
      <c r="AB1617" s="279">
        <f>((AB1623+AB1624+AB1627)/(AB1634+AB1635+AB1638))*100</f>
        <v>0</v>
      </c>
      <c r="AC1617" s="279">
        <f>((AC1623+AC1624+AC1627)/(AC1634+AC1635+AC1638))*100</f>
        <v>0</v>
      </c>
      <c r="AE1617" s="279">
        <f>((AE1623+AE1624+AE1627)/(AE1634+AE1635+AE1638))*100</f>
        <v>0</v>
      </c>
      <c r="AF1617" s="279">
        <f>((AF1623+AF1624+AF1627)/(AF1634+AF1635+AF1638))*100</f>
        <v>0</v>
      </c>
      <c r="AH1617" s="279">
        <f>((AH1623+AH1624+AH1627)/(AH1634+AH1635+AH1638))*100</f>
        <v>0</v>
      </c>
      <c r="AI1617" s="279">
        <f>((AI1623+AI1624+AI1627)/(AI1634+AI1635+AI1638))*100</f>
        <v>0</v>
      </c>
      <c r="AK1617" s="279">
        <f>((AK1623+AK1624+AK1627)/(AK1634+AK1635+AK1638))*100</f>
        <v>0</v>
      </c>
      <c r="AL1617" s="279">
        <f>((AL1623+AL1624+AL1627)/(AL1634+AL1635+AL1638))*100</f>
        <v>0</v>
      </c>
      <c r="AN1617" s="279">
        <f>((AN1623+AN1624+AN1627)/(AN1634+AN1635+AN1638))*100</f>
        <v>0</v>
      </c>
      <c r="AO1617" s="279">
        <f>((AO1623+AO1624+AO1627)/(AO1634+AO1635+AO1638))*100</f>
        <v>0</v>
      </c>
      <c r="AQ1617" s="279">
        <f>((AQ1623+AQ1624+AQ1627)/(AQ1634+AQ1635+AQ1638))*100</f>
        <v>0</v>
      </c>
      <c r="AR1617" s="279">
        <f>((AR1623+AR1624+AR1627)/(AR1634+AR1635+AR1638))*100</f>
        <v>0</v>
      </c>
      <c r="AT1617" s="279">
        <f>((AT1623+AT1624+AT1627)/(AT1634+AT1635+AT1638))*100</f>
        <v>0</v>
      </c>
      <c r="AU1617" s="279">
        <f>((AU1623+AU1624+AU1627)/(AU1634+AU1635+AU1638))*100</f>
        <v>0</v>
      </c>
      <c r="AW1617" s="279">
        <f>((AW1623+AW1624+AW1627)/(AW1634+AW1635+AW1638))*100</f>
        <v>0</v>
      </c>
      <c r="AX1617" s="279">
        <f>((AX1623+AX1624+AX1627)/(AX1634+AX1635+AX1638))*100</f>
        <v>0</v>
      </c>
      <c r="AZ1617" s="279">
        <f>((AZ1623+AZ1624+AZ1627)/(AZ1634+AZ1635+AZ1638))*100</f>
        <v>0</v>
      </c>
      <c r="BA1617" s="279">
        <f>((BA1623+BA1624+BA1627)/(BA1634+BA1635+BA1638))*100</f>
        <v>0</v>
      </c>
      <c r="BC1617" s="279">
        <f>((BC1623+BC1624+BC1627)/(BC1634+BC1635+BC1638))*100</f>
        <v>0</v>
      </c>
      <c r="BD1617" s="279">
        <f>((BD1623+BD1624+BD1627)/(BD1634+BD1635+BD1638))*100</f>
        <v>0</v>
      </c>
      <c r="BF1617" s="279">
        <f>((BF1623+BF1624+BF1627)/(BF1634+BF1635+BF1638))*100</f>
        <v>0</v>
      </c>
      <c r="BG1617" s="279">
        <f>((BG1623+BG1624+BG1627)/(BG1634+BG1635+BG1638))*100</f>
        <v>0</v>
      </c>
      <c r="BI1617" s="279">
        <f>((BI1623+BI1624+BI1627)/(BI1634+BI1635+BI1638))*100</f>
        <v>0</v>
      </c>
      <c r="BJ1617" s="279">
        <f>((BJ1623+BJ1624+BJ1627)/(BJ1634+BJ1635+BJ1638))*100</f>
        <v>0</v>
      </c>
      <c r="BL1617" s="279">
        <f>((BL1623+BL1624+BL1627)/(BL1634+BL1635+BL1638))*100</f>
        <v>0</v>
      </c>
      <c r="BM1617" s="279">
        <f>((BM1623+BM1624+BM1627)/(BM1634+BM1635+BM1638))*100</f>
        <v>0</v>
      </c>
      <c r="BO1617" s="279">
        <f>((BO1623+BO1624+BO1627)/(BO1634+BO1635+BO1638))*100</f>
        <v>0</v>
      </c>
      <c r="BP1617" s="279">
        <f>((BP1623+BP1624+BP1627)/(BP1634+BP1635+BP1638))*100</f>
        <v>0</v>
      </c>
      <c r="BR1617" s="279">
        <f>((BR1623+BR1624+BR1627)/(BR1634+BR1635+BR1638))*100</f>
        <v>0</v>
      </c>
      <c r="BS1617" s="279">
        <f>((BS1623+BS1624+BS1627)/(BS1634+BS1635+BS1638))*100</f>
        <v>0</v>
      </c>
      <c r="BU1617" s="279">
        <f>((BU1623+BU1624+BU1627)/(BU1634+BU1635+BU1638))*100</f>
        <v>0</v>
      </c>
      <c r="BV1617" s="279">
        <f>((BV1623+BV1624+BV1627)/(BV1634+BV1635+BV1638))*100</f>
        <v>0</v>
      </c>
      <c r="BX1617" s="279">
        <f>((BX1623+BX1624+BX1627)/(BX1634+BX1635+BX1638))*100</f>
        <v>0</v>
      </c>
      <c r="BY1617" s="279">
        <f>((BY1623+BY1624+BY1627)/(BY1634+BY1635+BY1638))*100</f>
        <v>0</v>
      </c>
      <c r="CA1617" s="279">
        <f>((CA1623+CA1624+CA1627)/(CA1634+CA1635+CA1638))*100</f>
        <v>0</v>
      </c>
      <c r="CB1617" s="279">
        <f>((CB1623+CB1624+CB1627)/(CB1634+CB1635+CB1638))*100</f>
        <v>0</v>
      </c>
      <c r="CD1617" s="279">
        <f>((CD1623+CD1624+CD1627)/(CD1634+CD1635+CD1638))*100</f>
        <v>0</v>
      </c>
      <c r="CE1617" s="279">
        <f>((CE1623+CE1624+CE1627)/(CE1634+CE1635+CE1638))*100</f>
        <v>0</v>
      </c>
      <c r="CG1617" s="279">
        <f>((CG1623+CG1624+CG1627)/(CG1634+CG1635+CG1638))*100</f>
        <v>0</v>
      </c>
      <c r="CH1617" s="279">
        <f>((CH1623+CH1624+CH1627)/(CH1634+CH1635+CH1638))*100</f>
        <v>0</v>
      </c>
      <c r="CJ1617" s="279" t="e">
        <f>((CJ1623+CJ1624+CJ1627)/(CJ1634+CJ1635+CJ1638))*100</f>
        <v>#DIV/0!</v>
      </c>
      <c r="CK1617" s="279" t="e">
        <f>((CK1623+CK1624+CK1627)/(CK1634+CK1635+CK1638))*100</f>
        <v>#DIV/0!</v>
      </c>
    </row>
    <row r="1618" spans="1:89" x14ac:dyDescent="0.25">
      <c r="A1618" s="263"/>
      <c r="B1618" s="96" t="s">
        <v>1183</v>
      </c>
      <c r="C1618" s="107"/>
      <c r="D1618" s="95" t="s">
        <v>8</v>
      </c>
      <c r="E1618" s="279"/>
      <c r="F1618" s="279"/>
      <c r="G1618" s="279"/>
      <c r="H1618" s="279">
        <f>((H1623+H1627)/(H1634+H1638))*100</f>
        <v>0</v>
      </c>
      <c r="I1618" s="279">
        <f>((I1623+I1627)/(I1634+I1638))*100</f>
        <v>0</v>
      </c>
      <c r="J1618" s="279">
        <f>((J1623+J1627)/(J1634+J1638))*100</f>
        <v>0</v>
      </c>
      <c r="K1618" s="279">
        <f>((K1623+K1627)/(K1634+K1638))*100</f>
        <v>0</v>
      </c>
      <c r="L1618" s="279">
        <f>((L1623+L1627)/(L1634+L1638))*100</f>
        <v>0</v>
      </c>
      <c r="M1618" s="279">
        <f t="shared" ref="M1618:N1618" si="1910">((M1623+M1627)/(M1634+M1638))*100</f>
        <v>0</v>
      </c>
      <c r="N1618" s="279">
        <f t="shared" si="1910"/>
        <v>0</v>
      </c>
      <c r="Q1618" s="279">
        <f>((Q1623+Q1627)/(Q1634+Q1638))*100</f>
        <v>0</v>
      </c>
      <c r="R1618" s="279">
        <f>((R1623+R1627)/(R1634+R1638))*100</f>
        <v>0</v>
      </c>
      <c r="S1618" s="279">
        <f>((S1623+S1627)/(S1634+S1638))*100</f>
        <v>0</v>
      </c>
      <c r="T1618" s="279">
        <f>((T1623+T1627)/(T1634+T1638))*100</f>
        <v>0</v>
      </c>
      <c r="V1618" s="279">
        <f>((V1623+V1627)/(V1634+V1638))*100</f>
        <v>0</v>
      </c>
      <c r="W1618" s="279">
        <f>((W1623+W1627)/(W1634+W1638))*100</f>
        <v>0</v>
      </c>
      <c r="Y1618" s="279">
        <f>((Y1623+Y1627)/(Y1634+Y1638))*100</f>
        <v>0</v>
      </c>
      <c r="Z1618" s="279">
        <f>((Z1623+Z1627)/(Z1634+Z1638))*100</f>
        <v>0</v>
      </c>
      <c r="AB1618" s="279">
        <f>((AB1623+AB1627)/(AB1634+AB1638))*100</f>
        <v>0</v>
      </c>
      <c r="AC1618" s="279">
        <f>((AC1623+AC1627)/(AC1634+AC1638))*100</f>
        <v>0</v>
      </c>
      <c r="AE1618" s="279">
        <f>((AE1623+AE1627)/(AE1634+AE1638))*100</f>
        <v>0</v>
      </c>
      <c r="AF1618" s="279">
        <f>((AF1623+AF1627)/(AF1634+AF1638))*100</f>
        <v>0</v>
      </c>
      <c r="AH1618" s="279">
        <f>((AH1623+AH1627)/(AH1634+AH1638))*100</f>
        <v>0</v>
      </c>
      <c r="AI1618" s="279">
        <f>((AI1623+AI1627)/(AI1634+AI1638))*100</f>
        <v>0</v>
      </c>
      <c r="AK1618" s="279">
        <f>((AK1623+AK1627)/(AK1634+AK1638))*100</f>
        <v>0</v>
      </c>
      <c r="AL1618" s="279">
        <f>((AL1623+AL1627)/(AL1634+AL1638))*100</f>
        <v>0</v>
      </c>
      <c r="AN1618" s="279">
        <f>((AN1623+AN1627)/(AN1634+AN1638))*100</f>
        <v>0</v>
      </c>
      <c r="AO1618" s="279">
        <f>((AO1623+AO1627)/(AO1634+AO1638))*100</f>
        <v>0</v>
      </c>
      <c r="AQ1618" s="279" t="e">
        <f>((AQ1623+AQ1627)/(AQ1634+AQ1638))*100</f>
        <v>#DIV/0!</v>
      </c>
      <c r="AR1618" s="279" t="e">
        <f>((AR1623+AR1627)/(AR1634+AR1638))*100</f>
        <v>#DIV/0!</v>
      </c>
      <c r="AT1618" s="279">
        <f>((AT1623+AT1627)/(AT1634+AT1638))*100</f>
        <v>0</v>
      </c>
      <c r="AU1618" s="279">
        <f>((AU1623+AU1627)/(AU1634+AU1638))*100</f>
        <v>0</v>
      </c>
      <c r="AW1618" s="279">
        <f>((AW1623+AW1627)/(AW1634+AW1638))*100</f>
        <v>0</v>
      </c>
      <c r="AX1618" s="279">
        <f>((AX1623+AX1627)/(AX1634+AX1638))*100</f>
        <v>0</v>
      </c>
      <c r="AZ1618" s="279">
        <f>((AZ1623+AZ1627)/(AZ1634+AZ1638))*100</f>
        <v>0</v>
      </c>
      <c r="BA1618" s="279">
        <f>((BA1623+BA1627)/(BA1634+BA1638))*100</f>
        <v>0</v>
      </c>
      <c r="BC1618" s="279">
        <f>((BC1623+BC1627)/(BC1634+BC1638))*100</f>
        <v>0</v>
      </c>
      <c r="BD1618" s="279">
        <f>((BD1623+BD1627)/(BD1634+BD1638))*100</f>
        <v>0</v>
      </c>
      <c r="BF1618" s="279">
        <f>((BF1623+BF1627)/(BF1634+BF1638))*100</f>
        <v>0</v>
      </c>
      <c r="BG1618" s="279">
        <f>((BG1623+BG1627)/(BG1634+BG1638))*100</f>
        <v>0</v>
      </c>
      <c r="BI1618" s="279">
        <f>((BI1623+BI1627)/(BI1634+BI1638))*100</f>
        <v>0</v>
      </c>
      <c r="BJ1618" s="279">
        <f>((BJ1623+BJ1627)/(BJ1634+BJ1638))*100</f>
        <v>0</v>
      </c>
      <c r="BL1618" s="279">
        <f>((BL1623+BL1627)/(BL1634+BL1638))*100</f>
        <v>0</v>
      </c>
      <c r="BM1618" s="279">
        <f>((BM1623+BM1627)/(BM1634+BM1638))*100</f>
        <v>0</v>
      </c>
      <c r="BO1618" s="279">
        <f>((BO1623+BO1627)/(BO1634+BO1638))*100</f>
        <v>0</v>
      </c>
      <c r="BP1618" s="279">
        <f>((BP1623+BP1627)/(BP1634+BP1638))*100</f>
        <v>0</v>
      </c>
      <c r="BR1618" s="279">
        <f>((BR1623+BR1627)/(BR1634+BR1638))*100</f>
        <v>0</v>
      </c>
      <c r="BS1618" s="279">
        <f>((BS1623+BS1627)/(BS1634+BS1638))*100</f>
        <v>0</v>
      </c>
      <c r="BU1618" s="279">
        <f>((BU1623+BU1627)/(BU1634+BU1638))*100</f>
        <v>0</v>
      </c>
      <c r="BV1618" s="279">
        <f>((BV1623+BV1627)/(BV1634+BV1638))*100</f>
        <v>0</v>
      </c>
      <c r="BX1618" s="279">
        <f>((BX1623+BX1627)/(BX1634+BX1638))*100</f>
        <v>0</v>
      </c>
      <c r="BY1618" s="279">
        <f>((BY1623+BY1627)/(BY1634+BY1638))*100</f>
        <v>0</v>
      </c>
      <c r="CA1618" s="279">
        <f>((CA1623+CA1627)/(CA1634+CA1638))*100</f>
        <v>0</v>
      </c>
      <c r="CB1618" s="279">
        <f>((CB1623+CB1627)/(CB1634+CB1638))*100</f>
        <v>0</v>
      </c>
      <c r="CD1618" s="279">
        <f>((CD1623+CD1627)/(CD1634+CD1638))*100</f>
        <v>0</v>
      </c>
      <c r="CE1618" s="279">
        <f>((CE1623+CE1627)/(CE1634+CE1638))*100</f>
        <v>0</v>
      </c>
      <c r="CG1618" s="279">
        <f>((CG1623+CG1627)/(CG1634+CG1638))*100</f>
        <v>0</v>
      </c>
      <c r="CH1618" s="279">
        <f>((CH1623+CH1627)/(CH1634+CH1638))*100</f>
        <v>0</v>
      </c>
      <c r="CJ1618" s="279" t="e">
        <f>((CJ1623+CJ1627)/(CJ1634+CJ1638))*100</f>
        <v>#DIV/0!</v>
      </c>
      <c r="CK1618" s="279" t="e">
        <f>((CK1623+CK1627)/(CK1634+CK1638))*100</f>
        <v>#DIV/0!</v>
      </c>
    </row>
    <row r="1619" spans="1:89" x14ac:dyDescent="0.25">
      <c r="A1619" s="263"/>
      <c r="B1619" s="96" t="s">
        <v>1185</v>
      </c>
      <c r="C1619" s="107"/>
      <c r="D1619" s="95" t="s">
        <v>8</v>
      </c>
      <c r="E1619" s="279"/>
      <c r="F1619" s="279"/>
      <c r="G1619" s="279"/>
      <c r="H1619" s="279">
        <f>((H1624+H1627)/(H1635+H1638))*100</f>
        <v>0</v>
      </c>
      <c r="I1619" s="279">
        <f>((I1624+I1627)/(I1635+I1638))*100</f>
        <v>0</v>
      </c>
      <c r="J1619" s="279">
        <f>((J1624+J1627)/(J1635+J1638))*100</f>
        <v>0</v>
      </c>
      <c r="K1619" s="279">
        <f>((K1624+K1627)/(K1635+K1638))*100</f>
        <v>0</v>
      </c>
      <c r="L1619" s="279">
        <f>((L1624+L1627)/(L1635+L1638))*100</f>
        <v>0</v>
      </c>
      <c r="M1619" s="279">
        <f t="shared" ref="M1619:N1619" si="1911">((M1624+M1627)/(M1635+M1638))*100</f>
        <v>0</v>
      </c>
      <c r="N1619" s="279">
        <f t="shared" si="1911"/>
        <v>0</v>
      </c>
      <c r="Q1619" s="279">
        <f>((Q1624+Q1627)/(Q1635+Q1638))*100</f>
        <v>0</v>
      </c>
      <c r="R1619" s="279">
        <f>((R1624+R1627)/(R1635+R1638))*100</f>
        <v>0</v>
      </c>
      <c r="S1619" s="279">
        <f>((S1624+S1627)/(S1635+S1638))*100</f>
        <v>0</v>
      </c>
      <c r="T1619" s="279">
        <f>((T1624+T1627)/(T1635+T1638))*100</f>
        <v>0</v>
      </c>
      <c r="V1619" s="279">
        <f>((V1624+V1627)/(V1635+V1638))*100</f>
        <v>0</v>
      </c>
      <c r="W1619" s="279">
        <f>((W1624+W1627)/(W1635+W1638))*100</f>
        <v>0</v>
      </c>
      <c r="Y1619" s="279">
        <f>((Y1624+Y1627)/(Y1635+Y1638))*100</f>
        <v>0</v>
      </c>
      <c r="Z1619" s="279">
        <f>((Z1624+Z1627)/(Z1635+Z1638))*100</f>
        <v>0</v>
      </c>
      <c r="AB1619" s="279">
        <f>((AB1624+AB1627)/(AB1635+AB1638))*100</f>
        <v>0</v>
      </c>
      <c r="AC1619" s="279">
        <f>((AC1624+AC1627)/(AC1635+AC1638))*100</f>
        <v>0</v>
      </c>
      <c r="AE1619" s="279">
        <f>((AE1624+AE1627)/(AE1635+AE1638))*100</f>
        <v>0</v>
      </c>
      <c r="AF1619" s="279">
        <f>((AF1624+AF1627)/(AF1635+AF1638))*100</f>
        <v>0</v>
      </c>
      <c r="AH1619" s="279">
        <f>((AH1624+AH1627)/(AH1635+AH1638))*100</f>
        <v>0</v>
      </c>
      <c r="AI1619" s="279">
        <f>((AI1624+AI1627)/(AI1635+AI1638))*100</f>
        <v>0</v>
      </c>
      <c r="AK1619" s="279">
        <f>((AK1624+AK1627)/(AK1635+AK1638))*100</f>
        <v>0</v>
      </c>
      <c r="AL1619" s="279">
        <f>((AL1624+AL1627)/(AL1635+AL1638))*100</f>
        <v>0</v>
      </c>
      <c r="AN1619" s="279">
        <f>((AN1624+AN1627)/(AN1635+AN1638))*100</f>
        <v>0</v>
      </c>
      <c r="AO1619" s="279">
        <f>((AO1624+AO1627)/(AO1635+AO1638))*100</f>
        <v>0</v>
      </c>
      <c r="AQ1619" s="279">
        <f>((AQ1624+AQ1627)/(AQ1635+AQ1638))*100</f>
        <v>0</v>
      </c>
      <c r="AR1619" s="279">
        <f>((AR1624+AR1627)/(AR1635+AR1638))*100</f>
        <v>0</v>
      </c>
      <c r="AT1619" s="279" t="e">
        <f>((AT1624+AT1627)/(AT1635+AT1638))*100</f>
        <v>#DIV/0!</v>
      </c>
      <c r="AU1619" s="279" t="e">
        <f>((AU1624+AU1627)/(AU1635+AU1638))*100</f>
        <v>#DIV/0!</v>
      </c>
      <c r="AW1619" s="279" t="e">
        <f>((AW1624+AW1627)/(AW1635+AW1638))*100</f>
        <v>#DIV/0!</v>
      </c>
      <c r="AX1619" s="279" t="e">
        <f>((AX1624+AX1627)/(AX1635+AX1638))*100</f>
        <v>#DIV/0!</v>
      </c>
      <c r="AZ1619" s="279" t="e">
        <f>((AZ1624+AZ1627)/(AZ1635+AZ1638))*100</f>
        <v>#DIV/0!</v>
      </c>
      <c r="BA1619" s="279" t="e">
        <f>((BA1624+BA1627)/(BA1635+BA1638))*100</f>
        <v>#DIV/0!</v>
      </c>
      <c r="BC1619" s="279" t="e">
        <f>((BC1624+BC1627)/(BC1635+BC1638))*100</f>
        <v>#DIV/0!</v>
      </c>
      <c r="BD1619" s="279" t="e">
        <f>((BD1624+BD1627)/(BD1635+BD1638))*100</f>
        <v>#DIV/0!</v>
      </c>
      <c r="BF1619" s="279" t="e">
        <f>((BF1624+BF1627)/(BF1635+BF1638))*100</f>
        <v>#DIV/0!</v>
      </c>
      <c r="BG1619" s="279" t="e">
        <f>((BG1624+BG1627)/(BG1635+BG1638))*100</f>
        <v>#DIV/0!</v>
      </c>
      <c r="BI1619" s="279" t="e">
        <f>((BI1624+BI1627)/(BI1635+BI1638))*100</f>
        <v>#DIV/0!</v>
      </c>
      <c r="BJ1619" s="279" t="e">
        <f>((BJ1624+BJ1627)/(BJ1635+BJ1638))*100</f>
        <v>#DIV/0!</v>
      </c>
      <c r="BL1619" s="279" t="e">
        <f>((BL1624+BL1627)/(BL1635+BL1638))*100</f>
        <v>#DIV/0!</v>
      </c>
      <c r="BM1619" s="279" t="e">
        <f>((BM1624+BM1627)/(BM1635+BM1638))*100</f>
        <v>#DIV/0!</v>
      </c>
      <c r="BO1619" s="279" t="e">
        <f>((BO1624+BO1627)/(BO1635+BO1638))*100</f>
        <v>#DIV/0!</v>
      </c>
      <c r="BP1619" s="279" t="e">
        <f>((BP1624+BP1627)/(BP1635+BP1638))*100</f>
        <v>#DIV/0!</v>
      </c>
      <c r="BR1619" s="279" t="e">
        <f>((BR1624+BR1627)/(BR1635+BR1638))*100</f>
        <v>#DIV/0!</v>
      </c>
      <c r="BS1619" s="279" t="e">
        <f>((BS1624+BS1627)/(BS1635+BS1638))*100</f>
        <v>#DIV/0!</v>
      </c>
      <c r="BU1619" s="279" t="e">
        <f>((BU1624+BU1627)/(BU1635+BU1638))*100</f>
        <v>#DIV/0!</v>
      </c>
      <c r="BV1619" s="279" t="e">
        <f>((BV1624+BV1627)/(BV1635+BV1638))*100</f>
        <v>#DIV/0!</v>
      </c>
      <c r="BX1619" s="279" t="e">
        <f>((BX1624+BX1627)/(BX1635+BX1638))*100</f>
        <v>#DIV/0!</v>
      </c>
      <c r="BY1619" s="279" t="e">
        <f>((BY1624+BY1627)/(BY1635+BY1638))*100</f>
        <v>#DIV/0!</v>
      </c>
      <c r="CA1619" s="279" t="e">
        <f>((CA1624+CA1627)/(CA1635+CA1638))*100</f>
        <v>#DIV/0!</v>
      </c>
      <c r="CB1619" s="279" t="e">
        <f>((CB1624+CB1627)/(CB1635+CB1638))*100</f>
        <v>#DIV/0!</v>
      </c>
      <c r="CD1619" s="279" t="e">
        <f>((CD1624+CD1627)/(CD1635+CD1638))*100</f>
        <v>#DIV/0!</v>
      </c>
      <c r="CE1619" s="279" t="e">
        <f>((CE1624+CE1627)/(CE1635+CE1638))*100</f>
        <v>#DIV/0!</v>
      </c>
      <c r="CG1619" s="279">
        <f>((CG1624+CG1627)/(CG1635+CG1638))*100</f>
        <v>0</v>
      </c>
      <c r="CH1619" s="279">
        <f>((CH1624+CH1627)/(CH1635+CH1638))*100</f>
        <v>0</v>
      </c>
      <c r="CJ1619" s="279" t="e">
        <f>((CJ1624+CJ1627)/(CJ1635+CJ1638))*100</f>
        <v>#DIV/0!</v>
      </c>
      <c r="CK1619" s="279" t="e">
        <f>((CK1624+CK1627)/(CK1635+CK1638))*100</f>
        <v>#DIV/0!</v>
      </c>
    </row>
    <row r="1620" spans="1:89" x14ac:dyDescent="0.25">
      <c r="A1620" s="263"/>
      <c r="B1620" s="96" t="s">
        <v>1184</v>
      </c>
      <c r="C1620" s="107"/>
      <c r="D1620" s="95" t="s">
        <v>8</v>
      </c>
      <c r="E1620" s="279">
        <f t="shared" ref="E1620:J1620" si="1912">((E1625+E1626)/(E1636+E1637))*100</f>
        <v>0</v>
      </c>
      <c r="F1620" s="279">
        <f t="shared" si="1912"/>
        <v>0</v>
      </c>
      <c r="G1620" s="279">
        <f t="shared" si="1912"/>
        <v>0</v>
      </c>
      <c r="H1620" s="279">
        <f t="shared" si="1912"/>
        <v>0</v>
      </c>
      <c r="I1620" s="279">
        <f t="shared" si="1912"/>
        <v>0</v>
      </c>
      <c r="J1620" s="279">
        <f t="shared" si="1912"/>
        <v>0</v>
      </c>
      <c r="K1620" s="279">
        <f>((K1625+K1626)/(K1636+K1637))*100</f>
        <v>0</v>
      </c>
      <c r="L1620" s="279" t="e">
        <f>((L1625+L1626)/(L1636+L1637))*100</f>
        <v>#DIV/0!</v>
      </c>
      <c r="M1620" s="279" t="e">
        <f>((M1625+M1626)/(M1636+M1637))*100</f>
        <v>#DIV/0!</v>
      </c>
      <c r="N1620" s="279" t="e">
        <f>((N1625+N1626)/(N1636+N1637))*100</f>
        <v>#DIV/0!</v>
      </c>
      <c r="Q1620" s="279">
        <f>((Q1625+Q1626)/(Q1636+Q1637))*100</f>
        <v>0</v>
      </c>
      <c r="R1620" s="279">
        <f>((R1625+R1626)/(R1636+R1637))*100</f>
        <v>0</v>
      </c>
      <c r="S1620" s="279" t="e">
        <f>((S1625+S1626)/(S1636+S1637))*100</f>
        <v>#DIV/0!</v>
      </c>
      <c r="T1620" s="279" t="e">
        <f>((T1625+T1626)/(T1636+T1637))*100</f>
        <v>#DIV/0!</v>
      </c>
      <c r="V1620" s="279" t="e">
        <f>((V1625+V1626)/(V1636+V1637))*100</f>
        <v>#DIV/0!</v>
      </c>
      <c r="W1620" s="279" t="e">
        <f>((W1625+W1626)/(W1636+W1637))*100</f>
        <v>#DIV/0!</v>
      </c>
      <c r="Y1620" s="279" t="e">
        <f>((Y1625+Y1626)/(Y1636+Y1637))*100</f>
        <v>#DIV/0!</v>
      </c>
      <c r="Z1620" s="279" t="e">
        <f>((Z1625+Z1626)/(Z1636+Z1637))*100</f>
        <v>#DIV/0!</v>
      </c>
      <c r="AB1620" s="279" t="e">
        <f>((AB1625+AB1626)/(AB1636+AB1637))*100</f>
        <v>#DIV/0!</v>
      </c>
      <c r="AC1620" s="279" t="e">
        <f>((AC1625+AC1626)/(AC1636+AC1637))*100</f>
        <v>#DIV/0!</v>
      </c>
      <c r="AE1620" s="279" t="e">
        <f>((AE1625+AE1626)/(AE1636+AE1637))*100</f>
        <v>#DIV/0!</v>
      </c>
      <c r="AF1620" s="279" t="e">
        <f>((AF1625+AF1626)/(AF1636+AF1637))*100</f>
        <v>#DIV/0!</v>
      </c>
      <c r="AH1620" s="279" t="e">
        <f>((AH1625+AH1626)/(AH1636+AH1637))*100</f>
        <v>#DIV/0!</v>
      </c>
      <c r="AI1620" s="279" t="e">
        <f>((AI1625+AI1626)/(AI1636+AI1637))*100</f>
        <v>#DIV/0!</v>
      </c>
      <c r="AK1620" s="279" t="e">
        <f>((AK1625+AK1626)/(AK1636+AK1637))*100</f>
        <v>#DIV/0!</v>
      </c>
      <c r="AL1620" s="279" t="e">
        <f>((AL1625+AL1626)/(AL1636+AL1637))*100</f>
        <v>#DIV/0!</v>
      </c>
      <c r="AN1620" s="279" t="e">
        <f>((AN1625+AN1626)/(AN1636+AN1637))*100</f>
        <v>#DIV/0!</v>
      </c>
      <c r="AO1620" s="279" t="e">
        <f>((AO1625+AO1626)/(AO1636+AO1637))*100</f>
        <v>#DIV/0!</v>
      </c>
      <c r="AQ1620" s="279" t="e">
        <f>((AQ1625+AQ1626)/(AQ1636+AQ1637))*100</f>
        <v>#DIV/0!</v>
      </c>
      <c r="AR1620" s="279" t="e">
        <f>((AR1625+AR1626)/(AR1636+AR1637))*100</f>
        <v>#DIV/0!</v>
      </c>
      <c r="AT1620" s="279" t="e">
        <f>((AT1625+AT1626)/(AT1636+AT1637))*100</f>
        <v>#DIV/0!</v>
      </c>
      <c r="AU1620" s="279" t="e">
        <f>((AU1625+AU1626)/(AU1636+AU1637))*100</f>
        <v>#DIV/0!</v>
      </c>
      <c r="AW1620" s="279" t="e">
        <f>((AW1625+AW1626)/(AW1636+AW1637))*100</f>
        <v>#DIV/0!</v>
      </c>
      <c r="AX1620" s="279" t="e">
        <f>((AX1625+AX1626)/(AX1636+AX1637))*100</f>
        <v>#DIV/0!</v>
      </c>
      <c r="AZ1620" s="279" t="e">
        <f>((AZ1625+AZ1626)/(AZ1636+AZ1637))*100</f>
        <v>#DIV/0!</v>
      </c>
      <c r="BA1620" s="279" t="e">
        <f>((BA1625+BA1626)/(BA1636+BA1637))*100</f>
        <v>#DIV/0!</v>
      </c>
      <c r="BC1620" s="279">
        <f>((BC1625+BC1626)/(BC1636+BC1637))*100</f>
        <v>0</v>
      </c>
      <c r="BD1620" s="279">
        <f>((BD1625+BD1626)/(BD1636+BD1637))*100</f>
        <v>0</v>
      </c>
      <c r="BF1620" s="279">
        <f>((BF1625+BF1626)/(BF1636+BF1637))*100</f>
        <v>0</v>
      </c>
      <c r="BG1620" s="279">
        <f>((BG1625+BG1626)/(BG1636+BG1637))*100</f>
        <v>0</v>
      </c>
      <c r="BI1620" s="279">
        <f>((BI1625+BI1626)/(BI1636+BI1637))*100</f>
        <v>0</v>
      </c>
      <c r="BJ1620" s="279">
        <f>((BJ1625+BJ1626)/(BJ1636+BJ1637))*100</f>
        <v>0</v>
      </c>
      <c r="BL1620" s="279" t="e">
        <f>((BL1625+BL1626)/(BL1636+BL1637))*100</f>
        <v>#DIV/0!</v>
      </c>
      <c r="BM1620" s="279" t="e">
        <f>((BM1625+BM1626)/(BM1636+BM1637))*100</f>
        <v>#DIV/0!</v>
      </c>
      <c r="BO1620" s="279" t="e">
        <f>((BO1625+BO1626)/(BO1636+BO1637))*100</f>
        <v>#DIV/0!</v>
      </c>
      <c r="BP1620" s="279" t="e">
        <f>((BP1625+BP1626)/(BP1636+BP1637))*100</f>
        <v>#DIV/0!</v>
      </c>
      <c r="BR1620" s="279" t="e">
        <f>((BR1625+BR1626)/(BR1636+BR1637))*100</f>
        <v>#DIV/0!</v>
      </c>
      <c r="BS1620" s="279" t="e">
        <f>((BS1625+BS1626)/(BS1636+BS1637))*100</f>
        <v>#DIV/0!</v>
      </c>
      <c r="BU1620" s="279" t="e">
        <f>((BU1625+BU1626)/(BU1636+BU1637))*100</f>
        <v>#DIV/0!</v>
      </c>
      <c r="BV1620" s="279" t="e">
        <f>((BV1625+BV1626)/(BV1636+BV1637))*100</f>
        <v>#DIV/0!</v>
      </c>
      <c r="BX1620" s="279" t="e">
        <f>((BX1625+BX1626)/(BX1636+BX1637))*100</f>
        <v>#DIV/0!</v>
      </c>
      <c r="BY1620" s="279" t="e">
        <f>((BY1625+BY1626)/(BY1636+BY1637))*100</f>
        <v>#DIV/0!</v>
      </c>
      <c r="CA1620" s="279" t="e">
        <f>((CA1625+CA1626)/(CA1636+CA1637))*100</f>
        <v>#DIV/0!</v>
      </c>
      <c r="CB1620" s="279" t="e">
        <f>((CB1625+CB1626)/(CB1636+CB1637))*100</f>
        <v>#DIV/0!</v>
      </c>
      <c r="CD1620" s="279">
        <f>((CD1625+CD1626)/(CD1636+CD1637))*100</f>
        <v>0</v>
      </c>
      <c r="CE1620" s="279">
        <f>((CE1625+CE1626)/(CE1636+CE1637))*100</f>
        <v>0</v>
      </c>
      <c r="CG1620" s="279" t="e">
        <f>((CG1625+CG1626)/(CG1636+CG1637))*100</f>
        <v>#DIV/0!</v>
      </c>
      <c r="CH1620" s="279" t="e">
        <f>((CH1625+CH1626)/(CH1636+CH1637))*100</f>
        <v>#DIV/0!</v>
      </c>
      <c r="CJ1620" s="279" t="e">
        <f>((CJ1625+CJ1626)/(CJ1636+CJ1637))*100</f>
        <v>#DIV/0!</v>
      </c>
      <c r="CK1620" s="279" t="e">
        <f>((CK1625+CK1626)/(CK1636+CK1637))*100</f>
        <v>#DIV/0!</v>
      </c>
    </row>
    <row r="1621" spans="1:89" x14ac:dyDescent="0.25">
      <c r="A1621" s="263"/>
      <c r="B1621" s="96" t="s">
        <v>1183</v>
      </c>
      <c r="C1621" s="107"/>
      <c r="D1621" s="95" t="s">
        <v>8</v>
      </c>
      <c r="E1621" s="279"/>
      <c r="F1621" s="279"/>
      <c r="G1621" s="279"/>
      <c r="H1621" s="279">
        <f t="shared" ref="H1621:J1622" si="1913">((H1625)/(H1636))*100</f>
        <v>0</v>
      </c>
      <c r="I1621" s="279">
        <f t="shared" si="1913"/>
        <v>0</v>
      </c>
      <c r="J1621" s="279">
        <f t="shared" si="1913"/>
        <v>0</v>
      </c>
      <c r="K1621" s="279">
        <f>((K1625)/(K1636))*100</f>
        <v>0</v>
      </c>
      <c r="L1621" s="279" t="e">
        <f>((L1625)/(L1636))*100</f>
        <v>#DIV/0!</v>
      </c>
      <c r="M1621" s="279" t="e">
        <f t="shared" ref="M1621:N1622" si="1914">((M1625)/(M1636))*100</f>
        <v>#DIV/0!</v>
      </c>
      <c r="N1621" s="279" t="e">
        <f t="shared" si="1914"/>
        <v>#DIV/0!</v>
      </c>
      <c r="Q1621" s="279">
        <f t="shared" ref="Q1621:T1622" si="1915">((Q1625)/(Q1636))*100</f>
        <v>0</v>
      </c>
      <c r="R1621" s="279">
        <f t="shared" si="1915"/>
        <v>0</v>
      </c>
      <c r="S1621" s="279" t="e">
        <f t="shared" si="1915"/>
        <v>#DIV/0!</v>
      </c>
      <c r="T1621" s="279" t="e">
        <f t="shared" si="1915"/>
        <v>#DIV/0!</v>
      </c>
      <c r="V1621" s="279" t="e">
        <f>((V1625)/(V1636))*100</f>
        <v>#DIV/0!</v>
      </c>
      <c r="W1621" s="279" t="e">
        <f>((W1625)/(W1636))*100</f>
        <v>#DIV/0!</v>
      </c>
      <c r="Y1621" s="279" t="e">
        <f>((Y1625)/(Y1636))*100</f>
        <v>#DIV/0!</v>
      </c>
      <c r="Z1621" s="279" t="e">
        <f>((Z1625)/(Z1636))*100</f>
        <v>#DIV/0!</v>
      </c>
      <c r="AB1621" s="279" t="e">
        <f>((AB1625)/(AB1636))*100</f>
        <v>#DIV/0!</v>
      </c>
      <c r="AC1621" s="279" t="e">
        <f>((AC1625)/(AC1636))*100</f>
        <v>#DIV/0!</v>
      </c>
      <c r="AE1621" s="279" t="e">
        <f>((AE1625)/(AE1636))*100</f>
        <v>#DIV/0!</v>
      </c>
      <c r="AF1621" s="279" t="e">
        <f>((AF1625)/(AF1636))*100</f>
        <v>#DIV/0!</v>
      </c>
      <c r="AH1621" s="279" t="e">
        <f>((AH1625)/(AH1636))*100</f>
        <v>#DIV/0!</v>
      </c>
      <c r="AI1621" s="279" t="e">
        <f>((AI1625)/(AI1636))*100</f>
        <v>#DIV/0!</v>
      </c>
      <c r="AK1621" s="279" t="e">
        <f>((AK1625)/(AK1636))*100</f>
        <v>#DIV/0!</v>
      </c>
      <c r="AL1621" s="279" t="e">
        <f>((AL1625)/(AL1636))*100</f>
        <v>#DIV/0!</v>
      </c>
      <c r="AN1621" s="279" t="e">
        <f>((AN1625)/(AN1636))*100</f>
        <v>#DIV/0!</v>
      </c>
      <c r="AO1621" s="279" t="e">
        <f>((AO1625)/(AO1636))*100</f>
        <v>#DIV/0!</v>
      </c>
      <c r="AQ1621" s="279" t="e">
        <f>((AQ1625)/(AQ1636))*100</f>
        <v>#DIV/0!</v>
      </c>
      <c r="AR1621" s="279" t="e">
        <f>((AR1625)/(AR1636))*100</f>
        <v>#DIV/0!</v>
      </c>
      <c r="AT1621" s="279" t="e">
        <f>((AT1625)/(AT1636))*100</f>
        <v>#DIV/0!</v>
      </c>
      <c r="AU1621" s="279" t="e">
        <f>((AU1625)/(AU1636))*100</f>
        <v>#DIV/0!</v>
      </c>
      <c r="AW1621" s="279" t="e">
        <f>((AW1625)/(AW1636))*100</f>
        <v>#DIV/0!</v>
      </c>
      <c r="AX1621" s="279" t="e">
        <f>((AX1625)/(AX1636))*100</f>
        <v>#DIV/0!</v>
      </c>
      <c r="AZ1621" s="279" t="e">
        <f>((AZ1625)/(AZ1636))*100</f>
        <v>#DIV/0!</v>
      </c>
      <c r="BA1621" s="279" t="e">
        <f>((BA1625)/(BA1636))*100</f>
        <v>#DIV/0!</v>
      </c>
      <c r="BC1621" s="279">
        <f>((BC1625)/(BC1636))*100</f>
        <v>0</v>
      </c>
      <c r="BD1621" s="279">
        <f>((BD1625)/(BD1636))*100</f>
        <v>0</v>
      </c>
      <c r="BF1621" s="279">
        <f>((BF1625)/(BF1636))*100</f>
        <v>0</v>
      </c>
      <c r="BG1621" s="279">
        <f>((BG1625)/(BG1636))*100</f>
        <v>0</v>
      </c>
      <c r="BI1621" s="279">
        <f>((BI1625)/(BI1636))*100</f>
        <v>0</v>
      </c>
      <c r="BJ1621" s="279">
        <f>((BJ1625)/(BJ1636))*100</f>
        <v>0</v>
      </c>
      <c r="BL1621" s="279" t="e">
        <f>((BL1625)/(BL1636))*100</f>
        <v>#DIV/0!</v>
      </c>
      <c r="BM1621" s="279" t="e">
        <f>((BM1625)/(BM1636))*100</f>
        <v>#DIV/0!</v>
      </c>
      <c r="BO1621" s="279" t="e">
        <f>((BO1625)/(BO1636))*100</f>
        <v>#DIV/0!</v>
      </c>
      <c r="BP1621" s="279" t="e">
        <f>((BP1625)/(BP1636))*100</f>
        <v>#DIV/0!</v>
      </c>
      <c r="BR1621" s="279" t="e">
        <f>((BR1625)/(BR1636))*100</f>
        <v>#DIV/0!</v>
      </c>
      <c r="BS1621" s="279" t="e">
        <f>((BS1625)/(BS1636))*100</f>
        <v>#DIV/0!</v>
      </c>
      <c r="BU1621" s="279" t="e">
        <f>((BU1625)/(BU1636))*100</f>
        <v>#DIV/0!</v>
      </c>
      <c r="BV1621" s="279" t="e">
        <f>((BV1625)/(BV1636))*100</f>
        <v>#DIV/0!</v>
      </c>
      <c r="BX1621" s="279" t="e">
        <f>((BX1625)/(BX1636))*100</f>
        <v>#DIV/0!</v>
      </c>
      <c r="BY1621" s="279" t="e">
        <f>((BY1625)/(BY1636))*100</f>
        <v>#DIV/0!</v>
      </c>
      <c r="CA1621" s="279" t="e">
        <f>((CA1625)/(CA1636))*100</f>
        <v>#DIV/0!</v>
      </c>
      <c r="CB1621" s="279" t="e">
        <f>((CB1625)/(CB1636))*100</f>
        <v>#DIV/0!</v>
      </c>
      <c r="CD1621" s="279">
        <f>((CD1625)/(CD1636))*100</f>
        <v>0</v>
      </c>
      <c r="CE1621" s="279">
        <f>((CE1625)/(CE1636))*100</f>
        <v>0</v>
      </c>
      <c r="CG1621" s="279" t="e">
        <f>((CG1625)/(CG1636))*100</f>
        <v>#DIV/0!</v>
      </c>
      <c r="CH1621" s="279" t="e">
        <f>((CH1625)/(CH1636))*100</f>
        <v>#DIV/0!</v>
      </c>
      <c r="CJ1621" s="279" t="e">
        <f>((CJ1625)/(CJ1636))*100</f>
        <v>#DIV/0!</v>
      </c>
      <c r="CK1621" s="279" t="e">
        <f>((CK1625)/(CK1636))*100</f>
        <v>#DIV/0!</v>
      </c>
    </row>
    <row r="1622" spans="1:89" x14ac:dyDescent="0.25">
      <c r="A1622" s="263"/>
      <c r="B1622" s="96" t="s">
        <v>1185</v>
      </c>
      <c r="C1622" s="107"/>
      <c r="D1622" s="95" t="s">
        <v>8</v>
      </c>
      <c r="E1622" s="279"/>
      <c r="F1622" s="279"/>
      <c r="G1622" s="279"/>
      <c r="H1622" s="279" t="e">
        <f t="shared" si="1913"/>
        <v>#DIV/0!</v>
      </c>
      <c r="I1622" s="279" t="e">
        <f t="shared" si="1913"/>
        <v>#DIV/0!</v>
      </c>
      <c r="J1622" s="279" t="e">
        <f t="shared" si="1913"/>
        <v>#DIV/0!</v>
      </c>
      <c r="K1622" s="279" t="e">
        <f>((K1626)/(K1637))*100</f>
        <v>#DIV/0!</v>
      </c>
      <c r="L1622" s="279" t="e">
        <f>((L1626)/(L1637))*100</f>
        <v>#DIV/0!</v>
      </c>
      <c r="M1622" s="279" t="e">
        <f t="shared" si="1914"/>
        <v>#DIV/0!</v>
      </c>
      <c r="N1622" s="279" t="e">
        <f t="shared" si="1914"/>
        <v>#DIV/0!</v>
      </c>
      <c r="Q1622" s="279" t="e">
        <f t="shared" si="1915"/>
        <v>#DIV/0!</v>
      </c>
      <c r="R1622" s="279" t="e">
        <f t="shared" si="1915"/>
        <v>#DIV/0!</v>
      </c>
      <c r="S1622" s="279" t="e">
        <f t="shared" si="1915"/>
        <v>#DIV/0!</v>
      </c>
      <c r="T1622" s="279" t="e">
        <f t="shared" si="1915"/>
        <v>#DIV/0!</v>
      </c>
      <c r="V1622" s="279" t="e">
        <f>((V1626)/(V1637))*100</f>
        <v>#DIV/0!</v>
      </c>
      <c r="W1622" s="279" t="e">
        <f>((W1626)/(W1637))*100</f>
        <v>#DIV/0!</v>
      </c>
      <c r="Y1622" s="279" t="e">
        <f>((Y1626)/(Y1637))*100</f>
        <v>#DIV/0!</v>
      </c>
      <c r="Z1622" s="279" t="e">
        <f>((Z1626)/(Z1637))*100</f>
        <v>#DIV/0!</v>
      </c>
      <c r="AB1622" s="279" t="e">
        <f>((AB1626)/(AB1637))*100</f>
        <v>#DIV/0!</v>
      </c>
      <c r="AC1622" s="279" t="e">
        <f>((AC1626)/(AC1637))*100</f>
        <v>#DIV/0!</v>
      </c>
      <c r="AE1622" s="279" t="e">
        <f>((AE1626)/(AE1637))*100</f>
        <v>#DIV/0!</v>
      </c>
      <c r="AF1622" s="279" t="e">
        <f>((AF1626)/(AF1637))*100</f>
        <v>#DIV/0!</v>
      </c>
      <c r="AH1622" s="279" t="e">
        <f>((AH1626)/(AH1637))*100</f>
        <v>#DIV/0!</v>
      </c>
      <c r="AI1622" s="279" t="e">
        <f>((AI1626)/(AI1637))*100</f>
        <v>#DIV/0!</v>
      </c>
      <c r="AK1622" s="279" t="e">
        <f>((AK1626)/(AK1637))*100</f>
        <v>#DIV/0!</v>
      </c>
      <c r="AL1622" s="279" t="e">
        <f>((AL1626)/(AL1637))*100</f>
        <v>#DIV/0!</v>
      </c>
      <c r="AN1622" s="279" t="e">
        <f>((AN1626)/(AN1637))*100</f>
        <v>#DIV/0!</v>
      </c>
      <c r="AO1622" s="279" t="e">
        <f>((AO1626)/(AO1637))*100</f>
        <v>#DIV/0!</v>
      </c>
      <c r="AQ1622" s="279" t="e">
        <f>((AQ1626)/(AQ1637))*100</f>
        <v>#DIV/0!</v>
      </c>
      <c r="AR1622" s="279" t="e">
        <f>((AR1626)/(AR1637))*100</f>
        <v>#DIV/0!</v>
      </c>
      <c r="AT1622" s="279" t="e">
        <f>((AT1626)/(AT1637))*100</f>
        <v>#DIV/0!</v>
      </c>
      <c r="AU1622" s="279" t="e">
        <f>((AU1626)/(AU1637))*100</f>
        <v>#DIV/0!</v>
      </c>
      <c r="AW1622" s="279" t="e">
        <f>((AW1626)/(AW1637))*100</f>
        <v>#DIV/0!</v>
      </c>
      <c r="AX1622" s="279" t="e">
        <f>((AX1626)/(AX1637))*100</f>
        <v>#DIV/0!</v>
      </c>
      <c r="AZ1622" s="279" t="e">
        <f>((AZ1626)/(AZ1637))*100</f>
        <v>#DIV/0!</v>
      </c>
      <c r="BA1622" s="279" t="e">
        <f>((BA1626)/(BA1637))*100</f>
        <v>#DIV/0!</v>
      </c>
      <c r="BC1622" s="279" t="e">
        <f>((BC1626)/(BC1637))*100</f>
        <v>#DIV/0!</v>
      </c>
      <c r="BD1622" s="279" t="e">
        <f>((BD1626)/(BD1637))*100</f>
        <v>#DIV/0!</v>
      </c>
      <c r="BF1622" s="279" t="e">
        <f>((BF1626)/(BF1637))*100</f>
        <v>#DIV/0!</v>
      </c>
      <c r="BG1622" s="279" t="e">
        <f>((BG1626)/(BG1637))*100</f>
        <v>#DIV/0!</v>
      </c>
      <c r="BI1622" s="279" t="e">
        <f>((BI1626)/(BI1637))*100</f>
        <v>#DIV/0!</v>
      </c>
      <c r="BJ1622" s="279" t="e">
        <f>((BJ1626)/(BJ1637))*100</f>
        <v>#DIV/0!</v>
      </c>
      <c r="BL1622" s="279" t="e">
        <f>((BL1626)/(BL1637))*100</f>
        <v>#DIV/0!</v>
      </c>
      <c r="BM1622" s="279" t="e">
        <f>((BM1626)/(BM1637))*100</f>
        <v>#DIV/0!</v>
      </c>
      <c r="BO1622" s="279" t="e">
        <f>((BO1626)/(BO1637))*100</f>
        <v>#DIV/0!</v>
      </c>
      <c r="BP1622" s="279" t="e">
        <f>((BP1626)/(BP1637))*100</f>
        <v>#DIV/0!</v>
      </c>
      <c r="BR1622" s="279" t="e">
        <f>((BR1626)/(BR1637))*100</f>
        <v>#DIV/0!</v>
      </c>
      <c r="BS1622" s="279" t="e">
        <f>((BS1626)/(BS1637))*100</f>
        <v>#DIV/0!</v>
      </c>
      <c r="BU1622" s="279" t="e">
        <f>((BU1626)/(BU1637))*100</f>
        <v>#DIV/0!</v>
      </c>
      <c r="BV1622" s="279" t="e">
        <f>((BV1626)/(BV1637))*100</f>
        <v>#DIV/0!</v>
      </c>
      <c r="BX1622" s="279" t="e">
        <f>((BX1626)/(BX1637))*100</f>
        <v>#DIV/0!</v>
      </c>
      <c r="BY1622" s="279" t="e">
        <f>((BY1626)/(BY1637))*100</f>
        <v>#DIV/0!</v>
      </c>
      <c r="CA1622" s="279" t="e">
        <f>((CA1626)/(CA1637))*100</f>
        <v>#DIV/0!</v>
      </c>
      <c r="CB1622" s="279" t="e">
        <f>((CB1626)/(CB1637))*100</f>
        <v>#DIV/0!</v>
      </c>
      <c r="CD1622" s="279" t="e">
        <f>((CD1626)/(CD1637))*100</f>
        <v>#DIV/0!</v>
      </c>
      <c r="CE1622" s="279" t="e">
        <f>((CE1626)/(CE1637))*100</f>
        <v>#DIV/0!</v>
      </c>
      <c r="CG1622" s="279" t="e">
        <f>((CG1626)/(CG1637))*100</f>
        <v>#DIV/0!</v>
      </c>
      <c r="CH1622" s="279" t="e">
        <f>((CH1626)/(CH1637))*100</f>
        <v>#DIV/0!</v>
      </c>
      <c r="CJ1622" s="279" t="e">
        <f>((CJ1626)/(CJ1637))*100</f>
        <v>#DIV/0!</v>
      </c>
      <c r="CK1622" s="279" t="e">
        <f>((CK1626)/(CK1637))*100</f>
        <v>#DIV/0!</v>
      </c>
    </row>
    <row r="1623" spans="1:89" ht="30" x14ac:dyDescent="0.25">
      <c r="A1623" s="416"/>
      <c r="B1623" s="419" t="s">
        <v>314</v>
      </c>
      <c r="C1623" s="95" t="s">
        <v>1288</v>
      </c>
      <c r="D1623" s="95" t="s">
        <v>1112</v>
      </c>
      <c r="E1623" s="291">
        <v>0</v>
      </c>
      <c r="F1623" s="291">
        <v>0</v>
      </c>
      <c r="G1623" s="291">
        <v>0</v>
      </c>
      <c r="H1623" s="291">
        <f t="shared" ref="H1623:J1624" si="1916">H1629</f>
        <v>0</v>
      </c>
      <c r="I1623" s="291">
        <f t="shared" si="1916"/>
        <v>0</v>
      </c>
      <c r="J1623" s="291">
        <f t="shared" si="1916"/>
        <v>0</v>
      </c>
      <c r="K1623" s="291">
        <f>K1629</f>
        <v>0</v>
      </c>
      <c r="L1623" s="291">
        <f>L1629</f>
        <v>0</v>
      </c>
      <c r="M1623" s="291">
        <f t="shared" ref="M1623:N1624" si="1917">M1629</f>
        <v>0</v>
      </c>
      <c r="N1623" s="291">
        <f t="shared" si="1917"/>
        <v>0</v>
      </c>
      <c r="Q1623" s="291">
        <f t="shared" ref="Q1623:T1624" si="1918">Q1629</f>
        <v>0</v>
      </c>
      <c r="R1623" s="291">
        <f t="shared" si="1918"/>
        <v>0</v>
      </c>
      <c r="S1623" s="291">
        <f t="shared" si="1918"/>
        <v>0</v>
      </c>
      <c r="T1623" s="291">
        <f t="shared" si="1918"/>
        <v>0</v>
      </c>
      <c r="V1623" s="291">
        <f>V1629</f>
        <v>0</v>
      </c>
      <c r="W1623" s="291">
        <f>W1629</f>
        <v>0</v>
      </c>
      <c r="Y1623" s="291">
        <f>Y1629</f>
        <v>0</v>
      </c>
      <c r="Z1623" s="291">
        <f>Z1629</f>
        <v>0</v>
      </c>
      <c r="AB1623" s="291">
        <f>AB1629</f>
        <v>0</v>
      </c>
      <c r="AC1623" s="291">
        <f>AC1629</f>
        <v>0</v>
      </c>
      <c r="AE1623" s="291">
        <f>AE1629</f>
        <v>0</v>
      </c>
      <c r="AF1623" s="291">
        <f>AF1629</f>
        <v>0</v>
      </c>
      <c r="AH1623" s="291">
        <f>AH1629</f>
        <v>0</v>
      </c>
      <c r="AI1623" s="291">
        <f>AI1629</f>
        <v>0</v>
      </c>
      <c r="AK1623" s="291">
        <f>AK1629</f>
        <v>0</v>
      </c>
      <c r="AL1623" s="291">
        <f>AL1629</f>
        <v>0</v>
      </c>
      <c r="AN1623" s="291">
        <f>AN1629</f>
        <v>0</v>
      </c>
      <c r="AO1623" s="291">
        <f>AO1629</f>
        <v>0</v>
      </c>
      <c r="AQ1623" s="291">
        <f>AQ1629</f>
        <v>0</v>
      </c>
      <c r="AR1623" s="291">
        <f>AR1629</f>
        <v>0</v>
      </c>
      <c r="AT1623" s="291">
        <f>AT1629</f>
        <v>0</v>
      </c>
      <c r="AU1623" s="291">
        <f>AU1629</f>
        <v>0</v>
      </c>
      <c r="AW1623" s="291">
        <f>AW1629</f>
        <v>0</v>
      </c>
      <c r="AX1623" s="291">
        <f>AX1629</f>
        <v>0</v>
      </c>
      <c r="AZ1623" s="291">
        <f>AZ1629</f>
        <v>0</v>
      </c>
      <c r="BA1623" s="291">
        <f>BA1629</f>
        <v>0</v>
      </c>
      <c r="BC1623" s="291">
        <f>BC1629</f>
        <v>0</v>
      </c>
      <c r="BD1623" s="291">
        <f>BD1629</f>
        <v>0</v>
      </c>
      <c r="BF1623" s="291">
        <f>BF1629</f>
        <v>0</v>
      </c>
      <c r="BG1623" s="291">
        <f>BG1629</f>
        <v>0</v>
      </c>
      <c r="BI1623" s="291">
        <f>BI1629</f>
        <v>0</v>
      </c>
      <c r="BJ1623" s="291">
        <f>BJ1629</f>
        <v>0</v>
      </c>
      <c r="BL1623" s="291">
        <f>BL1629</f>
        <v>0</v>
      </c>
      <c r="BM1623" s="291">
        <f>BM1629</f>
        <v>0</v>
      </c>
      <c r="BO1623" s="291">
        <f>BO1629</f>
        <v>0</v>
      </c>
      <c r="BP1623" s="291">
        <f>BP1629</f>
        <v>0</v>
      </c>
      <c r="BR1623" s="291">
        <f>BR1629</f>
        <v>0</v>
      </c>
      <c r="BS1623" s="291">
        <f>BS1629</f>
        <v>0</v>
      </c>
      <c r="BU1623" s="291">
        <f>BU1629</f>
        <v>0</v>
      </c>
      <c r="BV1623" s="291">
        <f>BV1629</f>
        <v>0</v>
      </c>
      <c r="BX1623" s="291">
        <f>BX1629</f>
        <v>0</v>
      </c>
      <c r="BY1623" s="291">
        <f>BY1629</f>
        <v>0</v>
      </c>
      <c r="CA1623" s="291">
        <f>CA1629</f>
        <v>0</v>
      </c>
      <c r="CB1623" s="291">
        <f>CB1629</f>
        <v>0</v>
      </c>
      <c r="CD1623" s="291">
        <f>CD1629</f>
        <v>0</v>
      </c>
      <c r="CE1623" s="291">
        <f>CE1629</f>
        <v>0</v>
      </c>
      <c r="CG1623" s="291">
        <f>CG1629</f>
        <v>0</v>
      </c>
      <c r="CH1623" s="291">
        <f>CH1629</f>
        <v>0</v>
      </c>
      <c r="CJ1623" s="291">
        <f>CJ1629</f>
        <v>0</v>
      </c>
      <c r="CK1623" s="291">
        <f>CK1629</f>
        <v>0</v>
      </c>
    </row>
    <row r="1624" spans="1:89" ht="30" x14ac:dyDescent="0.25">
      <c r="A1624" s="417"/>
      <c r="B1624" s="420"/>
      <c r="C1624" s="95" t="s">
        <v>1289</v>
      </c>
      <c r="D1624" s="95" t="s">
        <v>1112</v>
      </c>
      <c r="E1624" s="291">
        <v>1</v>
      </c>
      <c r="F1624" s="291">
        <v>0</v>
      </c>
      <c r="G1624" s="291">
        <v>0</v>
      </c>
      <c r="H1624" s="291">
        <f t="shared" si="1916"/>
        <v>0</v>
      </c>
      <c r="I1624" s="291">
        <f t="shared" si="1916"/>
        <v>0</v>
      </c>
      <c r="J1624" s="291">
        <f t="shared" si="1916"/>
        <v>0</v>
      </c>
      <c r="K1624" s="291">
        <f>K1630</f>
        <v>0</v>
      </c>
      <c r="L1624" s="291">
        <f>L1630</f>
        <v>0</v>
      </c>
      <c r="M1624" s="291">
        <f t="shared" si="1917"/>
        <v>0</v>
      </c>
      <c r="N1624" s="291">
        <f t="shared" si="1917"/>
        <v>0</v>
      </c>
      <c r="Q1624" s="291">
        <f t="shared" si="1918"/>
        <v>0</v>
      </c>
      <c r="R1624" s="291">
        <f t="shared" si="1918"/>
        <v>0</v>
      </c>
      <c r="S1624" s="291">
        <f t="shared" si="1918"/>
        <v>0</v>
      </c>
      <c r="T1624" s="291">
        <f t="shared" si="1918"/>
        <v>0</v>
      </c>
      <c r="V1624" s="291">
        <f>V1630</f>
        <v>0</v>
      </c>
      <c r="W1624" s="291">
        <f>W1630</f>
        <v>0</v>
      </c>
      <c r="Y1624" s="291">
        <f>Y1630</f>
        <v>0</v>
      </c>
      <c r="Z1624" s="291">
        <f>Z1630</f>
        <v>0</v>
      </c>
      <c r="AB1624" s="291">
        <f>AB1630</f>
        <v>0</v>
      </c>
      <c r="AC1624" s="291">
        <f>AC1630</f>
        <v>0</v>
      </c>
      <c r="AE1624" s="291">
        <f>AE1630</f>
        <v>0</v>
      </c>
      <c r="AF1624" s="291">
        <f>AF1630</f>
        <v>0</v>
      </c>
      <c r="AH1624" s="291">
        <f>AH1630</f>
        <v>0</v>
      </c>
      <c r="AI1624" s="291">
        <f>AI1630</f>
        <v>0</v>
      </c>
      <c r="AK1624" s="291">
        <f>AK1630</f>
        <v>0</v>
      </c>
      <c r="AL1624" s="291">
        <f>AL1630</f>
        <v>0</v>
      </c>
      <c r="AN1624" s="291">
        <f>AN1630</f>
        <v>0</v>
      </c>
      <c r="AO1624" s="291">
        <f>AO1630</f>
        <v>0</v>
      </c>
      <c r="AQ1624" s="291">
        <f>AQ1630</f>
        <v>0</v>
      </c>
      <c r="AR1624" s="291">
        <f>AR1630</f>
        <v>0</v>
      </c>
      <c r="AT1624" s="291">
        <f>AT1630</f>
        <v>0</v>
      </c>
      <c r="AU1624" s="291">
        <f>AU1630</f>
        <v>0</v>
      </c>
      <c r="AW1624" s="291">
        <f>AW1630</f>
        <v>0</v>
      </c>
      <c r="AX1624" s="291">
        <f>AX1630</f>
        <v>0</v>
      </c>
      <c r="AZ1624" s="291">
        <f>AZ1630</f>
        <v>0</v>
      </c>
      <c r="BA1624" s="291">
        <f>BA1630</f>
        <v>0</v>
      </c>
      <c r="BC1624" s="291">
        <f>BC1630</f>
        <v>0</v>
      </c>
      <c r="BD1624" s="291">
        <f>BD1630</f>
        <v>0</v>
      </c>
      <c r="BF1624" s="291">
        <f>BF1630</f>
        <v>0</v>
      </c>
      <c r="BG1624" s="291">
        <f>BG1630</f>
        <v>0</v>
      </c>
      <c r="BI1624" s="291">
        <f>BI1630</f>
        <v>0</v>
      </c>
      <c r="BJ1624" s="291">
        <f>BJ1630</f>
        <v>0</v>
      </c>
      <c r="BL1624" s="291">
        <f>BL1630</f>
        <v>0</v>
      </c>
      <c r="BM1624" s="291">
        <f>BM1630</f>
        <v>0</v>
      </c>
      <c r="BO1624" s="291">
        <f>BO1630</f>
        <v>0</v>
      </c>
      <c r="BP1624" s="291">
        <f>BP1630</f>
        <v>0</v>
      </c>
      <c r="BR1624" s="291">
        <f>BR1630</f>
        <v>0</v>
      </c>
      <c r="BS1624" s="291">
        <f>BS1630</f>
        <v>0</v>
      </c>
      <c r="BU1624" s="291">
        <f>BU1630</f>
        <v>0</v>
      </c>
      <c r="BV1624" s="291">
        <f>BV1630</f>
        <v>0</v>
      </c>
      <c r="BX1624" s="291">
        <f>BX1630</f>
        <v>0</v>
      </c>
      <c r="BY1624" s="291">
        <f>BY1630</f>
        <v>0</v>
      </c>
      <c r="CA1624" s="291">
        <f>CA1630</f>
        <v>0</v>
      </c>
      <c r="CB1624" s="291">
        <f>CB1630</f>
        <v>0</v>
      </c>
      <c r="CD1624" s="291">
        <f>CD1630</f>
        <v>0</v>
      </c>
      <c r="CE1624" s="291">
        <f>CE1630</f>
        <v>0</v>
      </c>
      <c r="CG1624" s="291">
        <f>CG1630</f>
        <v>0</v>
      </c>
      <c r="CH1624" s="291">
        <f>CH1630</f>
        <v>0</v>
      </c>
      <c r="CJ1624" s="291">
        <f>CJ1630</f>
        <v>0</v>
      </c>
      <c r="CK1624" s="291">
        <f>CK1630</f>
        <v>0</v>
      </c>
    </row>
    <row r="1625" spans="1:89" ht="30" x14ac:dyDescent="0.25">
      <c r="A1625" s="417"/>
      <c r="B1625" s="420"/>
      <c r="C1625" s="95" t="s">
        <v>1290</v>
      </c>
      <c r="D1625" s="95" t="s">
        <v>1112</v>
      </c>
      <c r="E1625" s="291">
        <v>0</v>
      </c>
      <c r="F1625" s="291">
        <v>0</v>
      </c>
      <c r="G1625" s="291">
        <v>0</v>
      </c>
      <c r="H1625" s="291">
        <f t="shared" ref="H1625:J1626" si="1919">H1632</f>
        <v>0</v>
      </c>
      <c r="I1625" s="291">
        <f t="shared" si="1919"/>
        <v>0</v>
      </c>
      <c r="J1625" s="291">
        <f t="shared" si="1919"/>
        <v>0</v>
      </c>
      <c r="K1625" s="291">
        <f>K1632</f>
        <v>0</v>
      </c>
      <c r="L1625" s="291">
        <f>L1632</f>
        <v>0</v>
      </c>
      <c r="M1625" s="291">
        <f t="shared" ref="M1625:N1626" si="1920">M1632</f>
        <v>0</v>
      </c>
      <c r="N1625" s="291">
        <f t="shared" si="1920"/>
        <v>0</v>
      </c>
      <c r="Q1625" s="291">
        <f t="shared" ref="Q1625:T1626" si="1921">Q1632</f>
        <v>0</v>
      </c>
      <c r="R1625" s="291">
        <f t="shared" si="1921"/>
        <v>0</v>
      </c>
      <c r="S1625" s="291">
        <f t="shared" si="1921"/>
        <v>0</v>
      </c>
      <c r="T1625" s="291">
        <f t="shared" si="1921"/>
        <v>0</v>
      </c>
      <c r="V1625" s="291">
        <f>V1632</f>
        <v>0</v>
      </c>
      <c r="W1625" s="291">
        <f>W1632</f>
        <v>0</v>
      </c>
      <c r="Y1625" s="291">
        <f>Y1632</f>
        <v>0</v>
      </c>
      <c r="Z1625" s="291">
        <f>Z1632</f>
        <v>0</v>
      </c>
      <c r="AB1625" s="291">
        <f>AB1632</f>
        <v>0</v>
      </c>
      <c r="AC1625" s="291">
        <f>AC1632</f>
        <v>0</v>
      </c>
      <c r="AE1625" s="291">
        <f>AE1632</f>
        <v>0</v>
      </c>
      <c r="AF1625" s="291">
        <f>AF1632</f>
        <v>0</v>
      </c>
      <c r="AH1625" s="291">
        <f>AH1632</f>
        <v>0</v>
      </c>
      <c r="AI1625" s="291">
        <f>AI1632</f>
        <v>0</v>
      </c>
      <c r="AK1625" s="291">
        <f>AK1632</f>
        <v>0</v>
      </c>
      <c r="AL1625" s="291">
        <f>AL1632</f>
        <v>0</v>
      </c>
      <c r="AN1625" s="291">
        <f>AN1632</f>
        <v>0</v>
      </c>
      <c r="AO1625" s="291">
        <f>AO1632</f>
        <v>0</v>
      </c>
      <c r="AQ1625" s="291">
        <f>AQ1632</f>
        <v>0</v>
      </c>
      <c r="AR1625" s="291">
        <f>AR1632</f>
        <v>0</v>
      </c>
      <c r="AT1625" s="291">
        <f>AT1632</f>
        <v>0</v>
      </c>
      <c r="AU1625" s="291">
        <f>AU1632</f>
        <v>0</v>
      </c>
      <c r="AW1625" s="291">
        <f>AW1632</f>
        <v>0</v>
      </c>
      <c r="AX1625" s="291">
        <f>AX1632</f>
        <v>0</v>
      </c>
      <c r="AZ1625" s="291">
        <f>AZ1632</f>
        <v>0</v>
      </c>
      <c r="BA1625" s="291">
        <f>BA1632</f>
        <v>0</v>
      </c>
      <c r="BC1625" s="291">
        <f>BC1632</f>
        <v>0</v>
      </c>
      <c r="BD1625" s="291">
        <f>BD1632</f>
        <v>0</v>
      </c>
      <c r="BF1625" s="291">
        <f>BF1632</f>
        <v>0</v>
      </c>
      <c r="BG1625" s="291">
        <f>BG1632</f>
        <v>0</v>
      </c>
      <c r="BI1625" s="291">
        <f>BI1632</f>
        <v>0</v>
      </c>
      <c r="BJ1625" s="291">
        <f>BJ1632</f>
        <v>0</v>
      </c>
      <c r="BL1625" s="291">
        <f>BL1632</f>
        <v>0</v>
      </c>
      <c r="BM1625" s="291">
        <f>BM1632</f>
        <v>0</v>
      </c>
      <c r="BO1625" s="291">
        <f>BO1632</f>
        <v>0</v>
      </c>
      <c r="BP1625" s="291">
        <f>BP1632</f>
        <v>0</v>
      </c>
      <c r="BR1625" s="291">
        <f>BR1632</f>
        <v>0</v>
      </c>
      <c r="BS1625" s="291">
        <f>BS1632</f>
        <v>0</v>
      </c>
      <c r="BU1625" s="291">
        <f>BU1632</f>
        <v>0</v>
      </c>
      <c r="BV1625" s="291">
        <f>BV1632</f>
        <v>0</v>
      </c>
      <c r="BX1625" s="291">
        <f>BX1632</f>
        <v>0</v>
      </c>
      <c r="BY1625" s="291">
        <f>BY1632</f>
        <v>0</v>
      </c>
      <c r="CA1625" s="291">
        <f>CA1632</f>
        <v>0</v>
      </c>
      <c r="CB1625" s="291">
        <f>CB1632</f>
        <v>0</v>
      </c>
      <c r="CD1625" s="291">
        <f>CD1632</f>
        <v>0</v>
      </c>
      <c r="CE1625" s="291">
        <f>CE1632</f>
        <v>0</v>
      </c>
      <c r="CG1625" s="291">
        <f>CG1632</f>
        <v>0</v>
      </c>
      <c r="CH1625" s="291">
        <f>CH1632</f>
        <v>0</v>
      </c>
      <c r="CJ1625" s="291">
        <f>CJ1632</f>
        <v>0</v>
      </c>
      <c r="CK1625" s="291">
        <f>CK1632</f>
        <v>0</v>
      </c>
    </row>
    <row r="1626" spans="1:89" ht="30" x14ac:dyDescent="0.25">
      <c r="A1626" s="418"/>
      <c r="B1626" s="421"/>
      <c r="C1626" s="95" t="s">
        <v>1291</v>
      </c>
      <c r="D1626" s="95" t="s">
        <v>1112</v>
      </c>
      <c r="E1626" s="291">
        <v>0</v>
      </c>
      <c r="F1626" s="291">
        <v>0</v>
      </c>
      <c r="G1626" s="291">
        <v>0</v>
      </c>
      <c r="H1626" s="291">
        <f t="shared" si="1919"/>
        <v>0</v>
      </c>
      <c r="I1626" s="291">
        <f t="shared" si="1919"/>
        <v>0</v>
      </c>
      <c r="J1626" s="291">
        <f t="shared" si="1919"/>
        <v>0</v>
      </c>
      <c r="K1626" s="291">
        <f>K1633</f>
        <v>0</v>
      </c>
      <c r="L1626" s="291">
        <f>L1633</f>
        <v>0</v>
      </c>
      <c r="M1626" s="291">
        <f t="shared" si="1920"/>
        <v>0</v>
      </c>
      <c r="N1626" s="291">
        <f t="shared" si="1920"/>
        <v>0</v>
      </c>
      <c r="Q1626" s="291">
        <f t="shared" si="1921"/>
        <v>0</v>
      </c>
      <c r="R1626" s="291">
        <f t="shared" si="1921"/>
        <v>0</v>
      </c>
      <c r="S1626" s="291">
        <f t="shared" si="1921"/>
        <v>0</v>
      </c>
      <c r="T1626" s="291">
        <f t="shared" si="1921"/>
        <v>0</v>
      </c>
      <c r="V1626" s="291">
        <f>V1633</f>
        <v>0</v>
      </c>
      <c r="W1626" s="291">
        <f>W1633</f>
        <v>0</v>
      </c>
      <c r="Y1626" s="291">
        <f>Y1633</f>
        <v>0</v>
      </c>
      <c r="Z1626" s="291">
        <f>Z1633</f>
        <v>0</v>
      </c>
      <c r="AB1626" s="291">
        <f>AB1633</f>
        <v>0</v>
      </c>
      <c r="AC1626" s="291">
        <f>AC1633</f>
        <v>0</v>
      </c>
      <c r="AE1626" s="291">
        <f>AE1633</f>
        <v>0</v>
      </c>
      <c r="AF1626" s="291">
        <f>AF1633</f>
        <v>0</v>
      </c>
      <c r="AH1626" s="291">
        <f>AH1633</f>
        <v>0</v>
      </c>
      <c r="AI1626" s="291">
        <f>AI1633</f>
        <v>0</v>
      </c>
      <c r="AK1626" s="291">
        <f>AK1633</f>
        <v>0</v>
      </c>
      <c r="AL1626" s="291">
        <f>AL1633</f>
        <v>0</v>
      </c>
      <c r="AN1626" s="291">
        <f>AN1633</f>
        <v>0</v>
      </c>
      <c r="AO1626" s="291">
        <f>AO1633</f>
        <v>0</v>
      </c>
      <c r="AQ1626" s="291">
        <f>AQ1633</f>
        <v>0</v>
      </c>
      <c r="AR1626" s="291">
        <f>AR1633</f>
        <v>0</v>
      </c>
      <c r="AT1626" s="291">
        <f>AT1633</f>
        <v>0</v>
      </c>
      <c r="AU1626" s="291">
        <f>AU1633</f>
        <v>0</v>
      </c>
      <c r="AW1626" s="291">
        <f>AW1633</f>
        <v>0</v>
      </c>
      <c r="AX1626" s="291">
        <f>AX1633</f>
        <v>0</v>
      </c>
      <c r="AZ1626" s="291">
        <f>AZ1633</f>
        <v>0</v>
      </c>
      <c r="BA1626" s="291">
        <f>BA1633</f>
        <v>0</v>
      </c>
      <c r="BC1626" s="291">
        <f>BC1633</f>
        <v>0</v>
      </c>
      <c r="BD1626" s="291">
        <f>BD1633</f>
        <v>0</v>
      </c>
      <c r="BF1626" s="291">
        <f>BF1633</f>
        <v>0</v>
      </c>
      <c r="BG1626" s="291">
        <f>BG1633</f>
        <v>0</v>
      </c>
      <c r="BI1626" s="291">
        <f>BI1633</f>
        <v>0</v>
      </c>
      <c r="BJ1626" s="291">
        <f>BJ1633</f>
        <v>0</v>
      </c>
      <c r="BL1626" s="291">
        <f>BL1633</f>
        <v>0</v>
      </c>
      <c r="BM1626" s="291">
        <f>BM1633</f>
        <v>0</v>
      </c>
      <c r="BO1626" s="291">
        <f>BO1633</f>
        <v>0</v>
      </c>
      <c r="BP1626" s="291">
        <f>BP1633</f>
        <v>0</v>
      </c>
      <c r="BR1626" s="291">
        <f>BR1633</f>
        <v>0</v>
      </c>
      <c r="BS1626" s="291">
        <f>BS1633</f>
        <v>0</v>
      </c>
      <c r="BU1626" s="291">
        <f>BU1633</f>
        <v>0</v>
      </c>
      <c r="BV1626" s="291">
        <f>BV1633</f>
        <v>0</v>
      </c>
      <c r="BX1626" s="291">
        <f>BX1633</f>
        <v>0</v>
      </c>
      <c r="BY1626" s="291">
        <f>BY1633</f>
        <v>0</v>
      </c>
      <c r="CA1626" s="291">
        <f>CA1633</f>
        <v>0</v>
      </c>
      <c r="CB1626" s="291">
        <f>CB1633</f>
        <v>0</v>
      </c>
      <c r="CD1626" s="291">
        <f>CD1633</f>
        <v>0</v>
      </c>
      <c r="CE1626" s="291">
        <f>CE1633</f>
        <v>0</v>
      </c>
      <c r="CG1626" s="291">
        <f>CG1633</f>
        <v>0</v>
      </c>
      <c r="CH1626" s="291">
        <f>CH1633</f>
        <v>0</v>
      </c>
      <c r="CJ1626" s="291">
        <f>CJ1633</f>
        <v>0</v>
      </c>
      <c r="CK1626" s="291">
        <f>CK1633</f>
        <v>0</v>
      </c>
    </row>
    <row r="1627" spans="1:89" ht="30" x14ac:dyDescent="0.25">
      <c r="A1627" s="95"/>
      <c r="B1627" s="16" t="s">
        <v>315</v>
      </c>
      <c r="C1627" s="95" t="s">
        <v>316</v>
      </c>
      <c r="D1627" s="95" t="s">
        <v>1112</v>
      </c>
      <c r="E1627" s="291">
        <v>0</v>
      </c>
      <c r="F1627" s="291">
        <v>0</v>
      </c>
      <c r="G1627" s="291">
        <v>0</v>
      </c>
      <c r="H1627" s="291">
        <v>0</v>
      </c>
      <c r="I1627" s="291">
        <v>0</v>
      </c>
      <c r="J1627" s="291">
        <v>0</v>
      </c>
      <c r="K1627" s="291">
        <v>0</v>
      </c>
      <c r="L1627" s="291">
        <v>0</v>
      </c>
      <c r="M1627" s="291">
        <v>0</v>
      </c>
      <c r="N1627" s="291">
        <v>0</v>
      </c>
      <c r="Q1627" s="291">
        <v>0</v>
      </c>
      <c r="R1627" s="291">
        <v>0</v>
      </c>
      <c r="S1627" s="291">
        <v>0</v>
      </c>
      <c r="T1627" s="291">
        <v>0</v>
      </c>
      <c r="V1627" s="291">
        <v>0</v>
      </c>
      <c r="W1627" s="291">
        <v>0</v>
      </c>
      <c r="Y1627" s="291">
        <v>0</v>
      </c>
      <c r="Z1627" s="291">
        <v>0</v>
      </c>
      <c r="AB1627" s="291">
        <v>0</v>
      </c>
      <c r="AC1627" s="291">
        <v>0</v>
      </c>
      <c r="AE1627" s="291">
        <v>0</v>
      </c>
      <c r="AF1627" s="291">
        <v>0</v>
      </c>
      <c r="AH1627" s="291">
        <v>0</v>
      </c>
      <c r="AI1627" s="291">
        <v>0</v>
      </c>
      <c r="AK1627" s="291">
        <v>0</v>
      </c>
      <c r="AL1627" s="291">
        <v>0</v>
      </c>
      <c r="AN1627" s="291">
        <v>0</v>
      </c>
      <c r="AO1627" s="291">
        <v>0</v>
      </c>
      <c r="AQ1627" s="291">
        <v>0</v>
      </c>
      <c r="AR1627" s="291">
        <v>0</v>
      </c>
      <c r="AT1627" s="291">
        <v>0</v>
      </c>
      <c r="AU1627" s="291">
        <v>0</v>
      </c>
      <c r="AW1627" s="291">
        <v>0</v>
      </c>
      <c r="AX1627" s="291">
        <v>0</v>
      </c>
      <c r="AZ1627" s="291">
        <v>0</v>
      </c>
      <c r="BA1627" s="291">
        <v>0</v>
      </c>
      <c r="BC1627" s="291">
        <v>0</v>
      </c>
      <c r="BD1627" s="291">
        <v>0</v>
      </c>
      <c r="BF1627" s="291">
        <v>0</v>
      </c>
      <c r="BG1627" s="291">
        <v>0</v>
      </c>
      <c r="BI1627" s="291">
        <v>0</v>
      </c>
      <c r="BJ1627" s="291">
        <v>0</v>
      </c>
      <c r="BL1627" s="291">
        <v>0</v>
      </c>
      <c r="BM1627" s="291">
        <v>0</v>
      </c>
      <c r="BO1627" s="291">
        <v>0</v>
      </c>
      <c r="BP1627" s="291">
        <v>0</v>
      </c>
      <c r="BR1627" s="291">
        <v>0</v>
      </c>
      <c r="BS1627" s="291">
        <v>0</v>
      </c>
      <c r="BU1627" s="291">
        <v>0</v>
      </c>
      <c r="BV1627" s="291">
        <v>0</v>
      </c>
      <c r="BX1627" s="291">
        <v>0</v>
      </c>
      <c r="BY1627" s="291">
        <v>0</v>
      </c>
      <c r="CA1627" s="291">
        <v>0</v>
      </c>
      <c r="CB1627" s="291">
        <v>0</v>
      </c>
      <c r="CD1627" s="291">
        <v>0</v>
      </c>
      <c r="CE1627" s="291">
        <v>0</v>
      </c>
      <c r="CG1627" s="291">
        <v>0</v>
      </c>
      <c r="CH1627" s="291">
        <v>0</v>
      </c>
      <c r="CJ1627" s="291">
        <v>0</v>
      </c>
      <c r="CK1627" s="291">
        <v>0</v>
      </c>
    </row>
    <row r="1628" spans="1:89" x14ac:dyDescent="0.25">
      <c r="A1628" s="263"/>
      <c r="B1628" s="311" t="s">
        <v>1182</v>
      </c>
      <c r="C1628" s="95"/>
      <c r="D1628" s="95"/>
      <c r="E1628" s="291"/>
      <c r="F1628" s="291"/>
      <c r="G1628" s="291"/>
      <c r="H1628" s="291">
        <f>H1629+H1630</f>
        <v>0</v>
      </c>
      <c r="I1628" s="291">
        <f>I1629+I1630</f>
        <v>0</v>
      </c>
      <c r="J1628" s="291">
        <f>J1629+J1630</f>
        <v>0</v>
      </c>
      <c r="K1628" s="291">
        <f>K1629+K1630</f>
        <v>0</v>
      </c>
      <c r="L1628" s="291">
        <f>L1629+L1630</f>
        <v>0</v>
      </c>
      <c r="M1628" s="291">
        <f t="shared" ref="M1628:N1628" si="1922">M1629+M1630</f>
        <v>0</v>
      </c>
      <c r="N1628" s="291">
        <f t="shared" si="1922"/>
        <v>0</v>
      </c>
      <c r="Q1628" s="291">
        <f>Q1629+Q1630</f>
        <v>0</v>
      </c>
      <c r="R1628" s="291">
        <f>R1629+R1630</f>
        <v>0</v>
      </c>
      <c r="S1628" s="291">
        <f>S1629+S1630</f>
        <v>0</v>
      </c>
      <c r="T1628" s="291">
        <f>T1629+T1630</f>
        <v>0</v>
      </c>
      <c r="V1628" s="291">
        <f>V1629+V1630</f>
        <v>0</v>
      </c>
      <c r="W1628" s="291">
        <f>W1629+W1630</f>
        <v>0</v>
      </c>
      <c r="Y1628" s="291">
        <f>Y1629+Y1630</f>
        <v>0</v>
      </c>
      <c r="Z1628" s="291">
        <f>Z1629+Z1630</f>
        <v>0</v>
      </c>
      <c r="AB1628" s="291">
        <f>AB1629+AB1630</f>
        <v>0</v>
      </c>
      <c r="AC1628" s="291">
        <f>AC1629+AC1630</f>
        <v>0</v>
      </c>
      <c r="AE1628" s="291">
        <f>AE1629+AE1630</f>
        <v>0</v>
      </c>
      <c r="AF1628" s="291">
        <f>AF1629+AF1630</f>
        <v>0</v>
      </c>
      <c r="AH1628" s="291">
        <f>AH1629+AH1630</f>
        <v>0</v>
      </c>
      <c r="AI1628" s="291">
        <f>AI1629+AI1630</f>
        <v>0</v>
      </c>
      <c r="AK1628" s="291">
        <f>AK1629+AK1630</f>
        <v>0</v>
      </c>
      <c r="AL1628" s="291">
        <f>AL1629+AL1630</f>
        <v>0</v>
      </c>
      <c r="AN1628" s="291">
        <f>AN1629+AN1630</f>
        <v>0</v>
      </c>
      <c r="AO1628" s="291">
        <f>AO1629+AO1630</f>
        <v>0</v>
      </c>
      <c r="AQ1628" s="291">
        <f>AQ1629+AQ1630</f>
        <v>0</v>
      </c>
      <c r="AR1628" s="291">
        <f>AR1629+AR1630</f>
        <v>0</v>
      </c>
      <c r="AT1628" s="291">
        <f>AT1629+AT1630</f>
        <v>0</v>
      </c>
      <c r="AU1628" s="291">
        <f>AU1629+AU1630</f>
        <v>0</v>
      </c>
      <c r="AW1628" s="291">
        <f>AW1629+AW1630</f>
        <v>0</v>
      </c>
      <c r="AX1628" s="291">
        <f>AX1629+AX1630</f>
        <v>0</v>
      </c>
      <c r="AZ1628" s="291">
        <f>AZ1629+AZ1630</f>
        <v>0</v>
      </c>
      <c r="BA1628" s="291">
        <f>BA1629+BA1630</f>
        <v>0</v>
      </c>
      <c r="BC1628" s="291">
        <f>BC1629+BC1630</f>
        <v>0</v>
      </c>
      <c r="BD1628" s="291">
        <f>BD1629+BD1630</f>
        <v>0</v>
      </c>
      <c r="BF1628" s="291">
        <f>BF1629+BF1630</f>
        <v>0</v>
      </c>
      <c r="BG1628" s="291">
        <f>BG1629+BG1630</f>
        <v>0</v>
      </c>
      <c r="BI1628" s="291">
        <f>BI1629+BI1630</f>
        <v>0</v>
      </c>
      <c r="BJ1628" s="291">
        <f>BJ1629+BJ1630</f>
        <v>0</v>
      </c>
      <c r="BL1628" s="291">
        <f>BL1629+BL1630</f>
        <v>0</v>
      </c>
      <c r="BM1628" s="291">
        <f>BM1629+BM1630</f>
        <v>0</v>
      </c>
      <c r="BO1628" s="291">
        <f>BO1629+BO1630</f>
        <v>0</v>
      </c>
      <c r="BP1628" s="291">
        <f>BP1629+BP1630</f>
        <v>0</v>
      </c>
      <c r="BR1628" s="291">
        <f>BR1629+BR1630</f>
        <v>0</v>
      </c>
      <c r="BS1628" s="291">
        <f>BS1629+BS1630</f>
        <v>0</v>
      </c>
      <c r="BU1628" s="291">
        <f>BU1629+BU1630</f>
        <v>0</v>
      </c>
      <c r="BV1628" s="291">
        <f>BV1629+BV1630</f>
        <v>0</v>
      </c>
      <c r="BX1628" s="291">
        <f>BX1629+BX1630</f>
        <v>0</v>
      </c>
      <c r="BY1628" s="291">
        <f>BY1629+BY1630</f>
        <v>0</v>
      </c>
      <c r="CA1628" s="291">
        <f>CA1629+CA1630</f>
        <v>0</v>
      </c>
      <c r="CB1628" s="291">
        <f>CB1629+CB1630</f>
        <v>0</v>
      </c>
      <c r="CD1628" s="291">
        <f>CD1629+CD1630</f>
        <v>0</v>
      </c>
      <c r="CE1628" s="291">
        <f>CE1629+CE1630</f>
        <v>0</v>
      </c>
      <c r="CG1628" s="291">
        <f>CG1629+CG1630</f>
        <v>0</v>
      </c>
      <c r="CH1628" s="291">
        <f>CH1629+CH1630</f>
        <v>0</v>
      </c>
      <c r="CJ1628" s="291">
        <f>CJ1629+CJ1630</f>
        <v>0</v>
      </c>
      <c r="CK1628" s="291">
        <f>CK1629+CK1630</f>
        <v>0</v>
      </c>
    </row>
    <row r="1629" spans="1:89" ht="60" x14ac:dyDescent="0.25">
      <c r="A1629" s="263"/>
      <c r="B1629" s="263"/>
      <c r="C1629" s="263" t="s">
        <v>2765</v>
      </c>
      <c r="D1629" s="95" t="s">
        <v>1112</v>
      </c>
      <c r="E1629" s="291"/>
      <c r="F1629" s="291"/>
      <c r="G1629" s="291"/>
      <c r="H1629" s="291">
        <v>0</v>
      </c>
      <c r="I1629" s="291">
        <v>0</v>
      </c>
      <c r="J1629" s="291">
        <v>0</v>
      </c>
      <c r="K1629" s="291">
        <v>0</v>
      </c>
      <c r="L1629" s="291">
        <v>0</v>
      </c>
      <c r="M1629" s="291">
        <v>0</v>
      </c>
      <c r="N1629" s="291">
        <v>0</v>
      </c>
      <c r="Q1629" s="283">
        <f>S1629+V1629+Y1629+AB1629+AE1629+AH1629+AK1629+AN1629+AQ1629+AT1629+AW1629+AZ1629+BC1629+BF1629+BI1629+BL1629+BO1629+BR1629+BU1629+BX1629+CA1629+CD1629+CG1629+CJ1629</f>
        <v>0</v>
      </c>
      <c r="R1629" s="283">
        <f>T1629+W1629+Z1629+AC1629+AF1629+AI1629+AL1629+AO1629+AR1629+AU1629+AX1629+BA1629+BD1629+BG1629+BJ1629+BM1629+BP1629+BS1629+BV1629+BY1629+CB1629+CE1629+CH1629+CK1629</f>
        <v>0</v>
      </c>
      <c r="S1629" s="267">
        <v>0</v>
      </c>
      <c r="T1629" s="267">
        <v>0</v>
      </c>
      <c r="V1629" s="267">
        <v>0</v>
      </c>
      <c r="W1629" s="267">
        <v>0</v>
      </c>
      <c r="Y1629" s="267">
        <v>0</v>
      </c>
      <c r="Z1629" s="267">
        <v>0</v>
      </c>
      <c r="AB1629" s="267">
        <v>0</v>
      </c>
      <c r="AC1629" s="267">
        <v>0</v>
      </c>
      <c r="AE1629" s="267">
        <v>0</v>
      </c>
      <c r="AF1629" s="267">
        <v>0</v>
      </c>
      <c r="AH1629" s="267">
        <v>0</v>
      </c>
      <c r="AI1629" s="267">
        <v>0</v>
      </c>
      <c r="AK1629" s="267">
        <v>0</v>
      </c>
      <c r="AL1629" s="267">
        <v>0</v>
      </c>
      <c r="AN1629" s="267">
        <v>0</v>
      </c>
      <c r="AO1629" s="267">
        <v>0</v>
      </c>
      <c r="AQ1629" s="267">
        <v>0</v>
      </c>
      <c r="AR1629" s="267">
        <v>0</v>
      </c>
      <c r="AT1629" s="267">
        <v>0</v>
      </c>
      <c r="AU1629" s="267">
        <v>0</v>
      </c>
      <c r="AW1629" s="267">
        <v>0</v>
      </c>
      <c r="AX1629" s="267">
        <v>0</v>
      </c>
      <c r="AZ1629" s="267">
        <v>0</v>
      </c>
      <c r="BA1629" s="267">
        <v>0</v>
      </c>
      <c r="BC1629" s="267">
        <v>0</v>
      </c>
      <c r="BD1629" s="267">
        <v>0</v>
      </c>
      <c r="BF1629" s="267">
        <v>0</v>
      </c>
      <c r="BG1629" s="267">
        <v>0</v>
      </c>
      <c r="BI1629" s="267">
        <v>0</v>
      </c>
      <c r="BJ1629" s="267">
        <v>0</v>
      </c>
      <c r="BL1629" s="267">
        <v>0</v>
      </c>
      <c r="BM1629" s="267">
        <v>0</v>
      </c>
      <c r="BO1629" s="267">
        <v>0</v>
      </c>
      <c r="BP1629" s="267">
        <v>0</v>
      </c>
      <c r="BR1629" s="267">
        <v>0</v>
      </c>
      <c r="BS1629" s="267">
        <v>0</v>
      </c>
      <c r="BU1629" s="267">
        <v>0</v>
      </c>
      <c r="BV1629" s="267">
        <v>0</v>
      </c>
      <c r="BX1629" s="267">
        <v>0</v>
      </c>
      <c r="BY1629" s="267">
        <v>0</v>
      </c>
      <c r="CA1629" s="267">
        <v>0</v>
      </c>
      <c r="CB1629" s="267">
        <v>0</v>
      </c>
      <c r="CD1629" s="267">
        <v>0</v>
      </c>
      <c r="CE1629" s="267">
        <v>0</v>
      </c>
      <c r="CG1629" s="267">
        <v>0</v>
      </c>
      <c r="CH1629" s="267">
        <v>0</v>
      </c>
      <c r="CJ1629" s="267">
        <v>0</v>
      </c>
      <c r="CK1629" s="267">
        <v>0</v>
      </c>
    </row>
    <row r="1630" spans="1:89" ht="60" x14ac:dyDescent="0.25">
      <c r="A1630" s="263"/>
      <c r="B1630" s="263"/>
      <c r="C1630" s="263" t="s">
        <v>2765</v>
      </c>
      <c r="D1630" s="95" t="s">
        <v>1112</v>
      </c>
      <c r="E1630" s="291"/>
      <c r="F1630" s="291"/>
      <c r="G1630" s="291"/>
      <c r="H1630" s="291">
        <v>0</v>
      </c>
      <c r="I1630" s="291">
        <v>0</v>
      </c>
      <c r="J1630" s="291">
        <v>0</v>
      </c>
      <c r="K1630" s="291">
        <v>0</v>
      </c>
      <c r="L1630" s="291">
        <v>0</v>
      </c>
      <c r="M1630" s="291">
        <v>0</v>
      </c>
      <c r="N1630" s="291">
        <v>0</v>
      </c>
      <c r="Q1630" s="283">
        <f>S1630+V1630+Y1630+AB1630+AE1630+AH1630+AK1630+AN1630+AQ1630+AT1630+AW1630+AZ1630+BC1630+BF1630+BI1630+BL1630+BO1630+BR1630+BU1630+BX1630+CA1630+CD1630+CG1630+CJ1630</f>
        <v>0</v>
      </c>
      <c r="R1630" s="283">
        <f>T1630+W1630+Z1630+AC1630+AF1630+AI1630+AL1630+AO1630+AR1630+AU1630+AX1630+BA1630+BD1630+BG1630+BJ1630+BM1630+BP1630+BS1630+BV1630+BY1630+CB1630+CE1630+CH1630+CK1630</f>
        <v>0</v>
      </c>
      <c r="S1630" s="267">
        <v>0</v>
      </c>
      <c r="T1630" s="267">
        <v>0</v>
      </c>
      <c r="V1630" s="267">
        <v>0</v>
      </c>
      <c r="W1630" s="267">
        <v>0</v>
      </c>
      <c r="Y1630" s="267">
        <v>0</v>
      </c>
      <c r="Z1630" s="267">
        <v>0</v>
      </c>
      <c r="AB1630" s="267">
        <v>0</v>
      </c>
      <c r="AC1630" s="267">
        <v>0</v>
      </c>
      <c r="AE1630" s="267">
        <v>0</v>
      </c>
      <c r="AF1630" s="267">
        <v>0</v>
      </c>
      <c r="AH1630" s="267">
        <v>0</v>
      </c>
      <c r="AI1630" s="267">
        <v>0</v>
      </c>
      <c r="AK1630" s="267">
        <v>0</v>
      </c>
      <c r="AL1630" s="267">
        <v>0</v>
      </c>
      <c r="AN1630" s="267">
        <v>0</v>
      </c>
      <c r="AO1630" s="267">
        <v>0</v>
      </c>
      <c r="AQ1630" s="267">
        <v>0</v>
      </c>
      <c r="AR1630" s="267">
        <v>0</v>
      </c>
      <c r="AT1630" s="267">
        <v>0</v>
      </c>
      <c r="AU1630" s="267">
        <v>0</v>
      </c>
      <c r="AW1630" s="267">
        <v>0</v>
      </c>
      <c r="AX1630" s="267">
        <v>0</v>
      </c>
      <c r="AZ1630" s="267">
        <v>0</v>
      </c>
      <c r="BA1630" s="267">
        <v>0</v>
      </c>
      <c r="BC1630" s="267">
        <v>0</v>
      </c>
      <c r="BD1630" s="267">
        <v>0</v>
      </c>
      <c r="BF1630" s="267">
        <v>0</v>
      </c>
      <c r="BG1630" s="267">
        <v>0</v>
      </c>
      <c r="BI1630" s="267">
        <v>0</v>
      </c>
      <c r="BJ1630" s="267">
        <v>0</v>
      </c>
      <c r="BL1630" s="267">
        <v>0</v>
      </c>
      <c r="BM1630" s="267">
        <v>0</v>
      </c>
      <c r="BO1630" s="267">
        <v>0</v>
      </c>
      <c r="BP1630" s="267">
        <v>0</v>
      </c>
      <c r="BR1630" s="267">
        <v>0</v>
      </c>
      <c r="BS1630" s="267">
        <v>0</v>
      </c>
      <c r="BU1630" s="267">
        <v>0</v>
      </c>
      <c r="BV1630" s="267">
        <v>0</v>
      </c>
      <c r="BX1630" s="267">
        <v>0</v>
      </c>
      <c r="BY1630" s="267">
        <v>0</v>
      </c>
      <c r="CA1630" s="267">
        <v>0</v>
      </c>
      <c r="CB1630" s="267">
        <v>0</v>
      </c>
      <c r="CD1630" s="267">
        <v>0</v>
      </c>
      <c r="CE1630" s="267">
        <v>0</v>
      </c>
      <c r="CG1630" s="267">
        <v>0</v>
      </c>
      <c r="CH1630" s="267">
        <v>0</v>
      </c>
      <c r="CJ1630" s="267">
        <v>0</v>
      </c>
      <c r="CK1630" s="267">
        <v>0</v>
      </c>
    </row>
    <row r="1631" spans="1:89" x14ac:dyDescent="0.25">
      <c r="A1631" s="263"/>
      <c r="B1631" s="261" t="s">
        <v>1184</v>
      </c>
      <c r="C1631" s="95"/>
      <c r="D1631" s="95"/>
      <c r="E1631" s="291"/>
      <c r="F1631" s="291"/>
      <c r="G1631" s="291"/>
      <c r="H1631" s="291">
        <f>H1632+H1633</f>
        <v>0</v>
      </c>
      <c r="I1631" s="291">
        <f>I1632+I1633</f>
        <v>0</v>
      </c>
      <c r="J1631" s="291">
        <f>J1632+J1633</f>
        <v>0</v>
      </c>
      <c r="K1631" s="291">
        <f>K1632+K1633</f>
        <v>0</v>
      </c>
      <c r="L1631" s="291">
        <f>L1632+L1633</f>
        <v>0</v>
      </c>
      <c r="M1631" s="291">
        <f t="shared" ref="M1631:N1631" si="1923">M1632+M1633</f>
        <v>0</v>
      </c>
      <c r="N1631" s="291">
        <f t="shared" si="1923"/>
        <v>0</v>
      </c>
      <c r="Q1631" s="283"/>
      <c r="R1631" s="283"/>
    </row>
    <row r="1632" spans="1:89" ht="60" x14ac:dyDescent="0.25">
      <c r="A1632" s="263"/>
      <c r="B1632" s="263"/>
      <c r="C1632" s="263" t="s">
        <v>2765</v>
      </c>
      <c r="D1632" s="95" t="s">
        <v>1112</v>
      </c>
      <c r="E1632" s="291"/>
      <c r="F1632" s="291"/>
      <c r="G1632" s="291"/>
      <c r="H1632" s="291">
        <v>0</v>
      </c>
      <c r="I1632" s="291">
        <v>0</v>
      </c>
      <c r="J1632" s="291">
        <v>0</v>
      </c>
      <c r="K1632" s="291">
        <v>0</v>
      </c>
      <c r="L1632" s="291">
        <v>0</v>
      </c>
      <c r="M1632" s="291">
        <v>0</v>
      </c>
      <c r="N1632" s="291">
        <v>0</v>
      </c>
      <c r="Q1632" s="283">
        <f>S1632+V1632+Y1632+AB1632+AE1632+AH1632+AK1632+AN1632+AQ1632+AT1632+AW1632+AZ1632+BC1632+BF1632+BI1632+BL1632+BO1632+BR1632+BU1632+BX1632+CA1632+CD1632+CG1632+CJ1632</f>
        <v>0</v>
      </c>
      <c r="R1632" s="283">
        <f>T1632+W1632+Z1632+AC1632+AF1632+AI1632+AL1632+AO1632+AR1632+AU1632+AX1632+BA1632+BD1632+BG1632+BJ1632+BM1632+BP1632+BS1632+BV1632+BY1632+CB1632+CE1632+CH1632+CK1632</f>
        <v>0</v>
      </c>
      <c r="S1632" s="267">
        <v>0</v>
      </c>
      <c r="T1632" s="267">
        <v>0</v>
      </c>
      <c r="V1632" s="267">
        <v>0</v>
      </c>
      <c r="W1632" s="267">
        <v>0</v>
      </c>
      <c r="Y1632" s="267">
        <v>0</v>
      </c>
      <c r="Z1632" s="267">
        <v>0</v>
      </c>
      <c r="AB1632" s="267">
        <v>0</v>
      </c>
      <c r="AC1632" s="267">
        <v>0</v>
      </c>
      <c r="AE1632" s="267">
        <v>0</v>
      </c>
      <c r="AF1632" s="267">
        <v>0</v>
      </c>
      <c r="AH1632" s="267">
        <v>0</v>
      </c>
      <c r="AI1632" s="267">
        <v>0</v>
      </c>
      <c r="AK1632" s="267">
        <v>0</v>
      </c>
      <c r="AL1632" s="267">
        <v>0</v>
      </c>
      <c r="AN1632" s="267">
        <v>0</v>
      </c>
      <c r="AO1632" s="267">
        <v>0</v>
      </c>
      <c r="AQ1632" s="267">
        <v>0</v>
      </c>
      <c r="AR1632" s="267">
        <v>0</v>
      </c>
      <c r="AT1632" s="267">
        <v>0</v>
      </c>
      <c r="AU1632" s="267">
        <v>0</v>
      </c>
      <c r="AW1632" s="267">
        <v>0</v>
      </c>
      <c r="AX1632" s="267">
        <v>0</v>
      </c>
      <c r="AZ1632" s="267">
        <v>0</v>
      </c>
      <c r="BA1632" s="267">
        <v>0</v>
      </c>
      <c r="BC1632" s="267">
        <v>0</v>
      </c>
      <c r="BD1632" s="267">
        <v>0</v>
      </c>
      <c r="BF1632" s="267">
        <v>0</v>
      </c>
      <c r="BG1632" s="267">
        <v>0</v>
      </c>
      <c r="BI1632" s="267">
        <v>0</v>
      </c>
      <c r="BJ1632" s="267">
        <v>0</v>
      </c>
      <c r="BL1632" s="267">
        <v>0</v>
      </c>
      <c r="BM1632" s="267">
        <v>0</v>
      </c>
      <c r="BO1632" s="267">
        <v>0</v>
      </c>
      <c r="BP1632" s="267">
        <v>0</v>
      </c>
      <c r="BR1632" s="267">
        <v>0</v>
      </c>
      <c r="BS1632" s="267">
        <v>0</v>
      </c>
      <c r="BU1632" s="267">
        <v>0</v>
      </c>
      <c r="BV1632" s="267">
        <v>0</v>
      </c>
      <c r="BX1632" s="267">
        <v>0</v>
      </c>
      <c r="BY1632" s="267">
        <v>0</v>
      </c>
      <c r="CA1632" s="267">
        <v>0</v>
      </c>
      <c r="CB1632" s="267">
        <v>0</v>
      </c>
      <c r="CD1632" s="267">
        <v>0</v>
      </c>
      <c r="CE1632" s="267">
        <v>0</v>
      </c>
      <c r="CG1632" s="267">
        <v>0</v>
      </c>
      <c r="CH1632" s="267">
        <v>0</v>
      </c>
      <c r="CJ1632" s="267">
        <v>0</v>
      </c>
      <c r="CK1632" s="267">
        <v>0</v>
      </c>
    </row>
    <row r="1633" spans="1:89" ht="60" x14ac:dyDescent="0.25">
      <c r="A1633" s="263"/>
      <c r="B1633" s="263"/>
      <c r="C1633" s="263" t="s">
        <v>2765</v>
      </c>
      <c r="D1633" s="95" t="s">
        <v>1112</v>
      </c>
      <c r="E1633" s="291"/>
      <c r="F1633" s="291"/>
      <c r="G1633" s="291"/>
      <c r="H1633" s="291">
        <v>0</v>
      </c>
      <c r="I1633" s="291">
        <v>0</v>
      </c>
      <c r="J1633" s="291">
        <v>0</v>
      </c>
      <c r="K1633" s="291">
        <v>0</v>
      </c>
      <c r="L1633" s="291">
        <v>0</v>
      </c>
      <c r="M1633" s="291">
        <v>0</v>
      </c>
      <c r="N1633" s="291">
        <v>0</v>
      </c>
      <c r="Q1633" s="283">
        <f>S1633+V1633+Y1633+AB1633+AE1633+AH1633+AK1633+AN1633+AQ1633+AT1633+AW1633+AZ1633+BC1633+BF1633+BI1633+BL1633+BO1633+BR1633+BU1633+BX1633+CA1633+CD1633+CG1633+CJ1633</f>
        <v>0</v>
      </c>
      <c r="R1633" s="283">
        <f>T1633+W1633+Z1633+AC1633+AF1633+AI1633+AL1633+AO1633+AR1633+AU1633+AX1633+BA1633+BD1633+BG1633+BJ1633+BM1633+BP1633+BS1633+BV1633+BY1633+CB1633+CE1633+CH1633+CK1633</f>
        <v>0</v>
      </c>
      <c r="S1633" s="267">
        <v>0</v>
      </c>
      <c r="T1633" s="267">
        <v>0</v>
      </c>
      <c r="V1633" s="267">
        <v>0</v>
      </c>
      <c r="W1633" s="267">
        <v>0</v>
      </c>
      <c r="Y1633" s="267">
        <v>0</v>
      </c>
      <c r="Z1633" s="267">
        <v>0</v>
      </c>
      <c r="AB1633" s="267">
        <v>0</v>
      </c>
      <c r="AC1633" s="267">
        <v>0</v>
      </c>
      <c r="AE1633" s="267">
        <v>0</v>
      </c>
      <c r="AF1633" s="267">
        <v>0</v>
      </c>
      <c r="AH1633" s="267">
        <v>0</v>
      </c>
      <c r="AI1633" s="267">
        <v>0</v>
      </c>
      <c r="AK1633" s="267">
        <v>0</v>
      </c>
      <c r="AL1633" s="267">
        <v>0</v>
      </c>
      <c r="AN1633" s="267">
        <v>0</v>
      </c>
      <c r="AO1633" s="267">
        <v>0</v>
      </c>
      <c r="AQ1633" s="267">
        <v>0</v>
      </c>
      <c r="AR1633" s="267">
        <v>0</v>
      </c>
      <c r="AT1633" s="267">
        <v>0</v>
      </c>
      <c r="AU1633" s="267">
        <v>0</v>
      </c>
      <c r="AW1633" s="267">
        <v>0</v>
      </c>
      <c r="AX1633" s="267">
        <v>0</v>
      </c>
      <c r="AZ1633" s="267">
        <v>0</v>
      </c>
      <c r="BA1633" s="267">
        <v>0</v>
      </c>
      <c r="BC1633" s="267">
        <v>0</v>
      </c>
      <c r="BD1633" s="267">
        <v>0</v>
      </c>
      <c r="BF1633" s="267">
        <v>0</v>
      </c>
      <c r="BG1633" s="267">
        <v>0</v>
      </c>
      <c r="BI1633" s="267">
        <v>0</v>
      </c>
      <c r="BJ1633" s="267">
        <v>0</v>
      </c>
      <c r="BL1633" s="267">
        <v>0</v>
      </c>
      <c r="BM1633" s="267">
        <v>0</v>
      </c>
      <c r="BO1633" s="267">
        <v>0</v>
      </c>
      <c r="BP1633" s="267">
        <v>0</v>
      </c>
      <c r="BR1633" s="267">
        <v>0</v>
      </c>
      <c r="BS1633" s="267">
        <v>0</v>
      </c>
      <c r="BU1633" s="267">
        <v>0</v>
      </c>
      <c r="BV1633" s="267">
        <v>0</v>
      </c>
      <c r="BX1633" s="267">
        <v>0</v>
      </c>
      <c r="BY1633" s="267">
        <v>0</v>
      </c>
      <c r="CA1633" s="267">
        <v>0</v>
      </c>
      <c r="CB1633" s="267">
        <v>0</v>
      </c>
      <c r="CD1633" s="267">
        <v>0</v>
      </c>
      <c r="CE1633" s="267">
        <v>0</v>
      </c>
      <c r="CG1633" s="267">
        <v>0</v>
      </c>
      <c r="CH1633" s="267">
        <v>0</v>
      </c>
      <c r="CJ1633" s="267">
        <v>0</v>
      </c>
      <c r="CK1633" s="267">
        <v>0</v>
      </c>
    </row>
    <row r="1634" spans="1:89" ht="30" x14ac:dyDescent="0.25">
      <c r="A1634" s="416"/>
      <c r="B1634" s="419" t="s">
        <v>203</v>
      </c>
      <c r="C1634" s="95" t="s">
        <v>1206</v>
      </c>
      <c r="D1634" s="95" t="s">
        <v>1112</v>
      </c>
      <c r="E1634" s="291">
        <v>223</v>
      </c>
      <c r="F1634" s="291">
        <v>223</v>
      </c>
      <c r="G1634" s="291">
        <v>218</v>
      </c>
      <c r="H1634" s="291">
        <f t="shared" ref="H1634:J1635" si="1924">H1640</f>
        <v>222</v>
      </c>
      <c r="I1634" s="291">
        <f t="shared" si="1924"/>
        <v>220</v>
      </c>
      <c r="J1634" s="291">
        <f t="shared" si="1924"/>
        <v>318</v>
      </c>
      <c r="K1634" s="291">
        <f>K1640</f>
        <v>316</v>
      </c>
      <c r="L1634" s="291">
        <f>L1640</f>
        <v>5</v>
      </c>
      <c r="M1634" s="291">
        <f t="shared" ref="M1634:N1635" si="1925">M1640</f>
        <v>5</v>
      </c>
      <c r="N1634" s="291">
        <f t="shared" si="1925"/>
        <v>5</v>
      </c>
      <c r="O1634" s="281"/>
      <c r="Q1634" s="291">
        <f t="shared" ref="Q1634:T1635" si="1926">Q1640</f>
        <v>316</v>
      </c>
      <c r="R1634" s="291">
        <f t="shared" si="1926"/>
        <v>325</v>
      </c>
      <c r="S1634" s="291">
        <f t="shared" si="1926"/>
        <v>6</v>
      </c>
      <c r="T1634" s="291">
        <f t="shared" si="1926"/>
        <v>7</v>
      </c>
      <c r="V1634" s="291">
        <f>V1640</f>
        <v>6</v>
      </c>
      <c r="W1634" s="291">
        <f>W1640</f>
        <v>6</v>
      </c>
      <c r="Y1634" s="291">
        <f>Y1640</f>
        <v>6</v>
      </c>
      <c r="Z1634" s="291">
        <f>Z1640</f>
        <v>6</v>
      </c>
      <c r="AB1634" s="291">
        <f>AB1640</f>
        <v>4</v>
      </c>
      <c r="AC1634" s="291">
        <f>AC1640</f>
        <v>4</v>
      </c>
      <c r="AE1634" s="291">
        <f>AE1640</f>
        <v>9</v>
      </c>
      <c r="AF1634" s="291">
        <f>AF1640</f>
        <v>11</v>
      </c>
      <c r="AH1634" s="291">
        <f>AH1640</f>
        <v>9</v>
      </c>
      <c r="AI1634" s="291">
        <f>AI1640</f>
        <v>9</v>
      </c>
      <c r="AK1634" s="291">
        <f>AK1640</f>
        <v>13</v>
      </c>
      <c r="AL1634" s="291">
        <f>AL1640</f>
        <v>13</v>
      </c>
      <c r="AN1634" s="291">
        <f>AN1640</f>
        <v>15</v>
      </c>
      <c r="AO1634" s="291">
        <f>AO1640</f>
        <v>15</v>
      </c>
      <c r="AQ1634" s="291">
        <f>AQ1640</f>
        <v>0</v>
      </c>
      <c r="AR1634" s="291">
        <f>AR1640</f>
        <v>0</v>
      </c>
      <c r="AT1634" s="291">
        <f>AT1640</f>
        <v>13</v>
      </c>
      <c r="AU1634" s="291">
        <f>AU1640</f>
        <v>13</v>
      </c>
      <c r="AW1634" s="291">
        <f>AW1640</f>
        <v>7</v>
      </c>
      <c r="AX1634" s="291">
        <f>AX1640</f>
        <v>8</v>
      </c>
      <c r="AZ1634" s="291">
        <f>AZ1640</f>
        <v>12</v>
      </c>
      <c r="BA1634" s="291">
        <f>BA1640</f>
        <v>12</v>
      </c>
      <c r="BC1634" s="291">
        <f>BC1640</f>
        <v>30</v>
      </c>
      <c r="BD1634" s="291">
        <f>BD1640</f>
        <v>30</v>
      </c>
      <c r="BF1634" s="291">
        <f>BF1640</f>
        <v>35</v>
      </c>
      <c r="BG1634" s="291">
        <f>BG1640</f>
        <v>38</v>
      </c>
      <c r="BI1634" s="291">
        <f>BI1640</f>
        <v>62</v>
      </c>
      <c r="BJ1634" s="291">
        <f>BJ1640</f>
        <v>63</v>
      </c>
      <c r="BL1634" s="291">
        <f>BL1640</f>
        <v>7</v>
      </c>
      <c r="BM1634" s="291">
        <f>BM1640</f>
        <v>7</v>
      </c>
      <c r="BO1634" s="291">
        <f>BO1640</f>
        <v>8</v>
      </c>
      <c r="BP1634" s="291">
        <f>BP1640</f>
        <v>8</v>
      </c>
      <c r="BR1634" s="291">
        <f>BR1640</f>
        <v>14</v>
      </c>
      <c r="BS1634" s="291">
        <f>BS1640</f>
        <v>14</v>
      </c>
      <c r="BU1634" s="291">
        <f>BU1640</f>
        <v>9</v>
      </c>
      <c r="BV1634" s="291">
        <f>BV1640</f>
        <v>8</v>
      </c>
      <c r="BX1634" s="291">
        <f>BX1640</f>
        <v>5</v>
      </c>
      <c r="BY1634" s="291">
        <f>BY1640</f>
        <v>5</v>
      </c>
      <c r="CA1634" s="291">
        <f>CA1640</f>
        <v>10</v>
      </c>
      <c r="CB1634" s="291">
        <f>CB1640</f>
        <v>11</v>
      </c>
      <c r="CD1634" s="291">
        <f>CD1640</f>
        <v>12</v>
      </c>
      <c r="CE1634" s="291">
        <f>CE1640</f>
        <v>13</v>
      </c>
      <c r="CG1634" s="291">
        <f>CG1640</f>
        <v>24</v>
      </c>
      <c r="CH1634" s="291">
        <f>CH1640</f>
        <v>24</v>
      </c>
      <c r="CJ1634" s="291">
        <f>CJ1640</f>
        <v>0</v>
      </c>
      <c r="CK1634" s="291">
        <f>CK1640</f>
        <v>0</v>
      </c>
    </row>
    <row r="1635" spans="1:89" ht="30" x14ac:dyDescent="0.25">
      <c r="A1635" s="417"/>
      <c r="B1635" s="420"/>
      <c r="C1635" s="95" t="s">
        <v>1262</v>
      </c>
      <c r="D1635" s="95" t="s">
        <v>1112</v>
      </c>
      <c r="E1635" s="291">
        <v>113</v>
      </c>
      <c r="F1635" s="291">
        <v>111</v>
      </c>
      <c r="G1635" s="291">
        <v>108</v>
      </c>
      <c r="H1635" s="291">
        <f t="shared" si="1924"/>
        <v>100</v>
      </c>
      <c r="I1635" s="291">
        <f t="shared" si="1924"/>
        <v>98</v>
      </c>
      <c r="J1635" s="291">
        <f t="shared" si="1924"/>
        <v>150</v>
      </c>
      <c r="K1635" s="291">
        <f>K1641</f>
        <v>152</v>
      </c>
      <c r="L1635" s="291">
        <f>L1641</f>
        <v>13</v>
      </c>
      <c r="M1635" s="291">
        <f t="shared" si="1925"/>
        <v>13</v>
      </c>
      <c r="N1635" s="291">
        <f t="shared" si="1925"/>
        <v>13</v>
      </c>
      <c r="Q1635" s="291">
        <f t="shared" si="1926"/>
        <v>152</v>
      </c>
      <c r="R1635" s="291">
        <f t="shared" si="1926"/>
        <v>157</v>
      </c>
      <c r="S1635" s="291">
        <f t="shared" si="1926"/>
        <v>10</v>
      </c>
      <c r="T1635" s="291">
        <f t="shared" si="1926"/>
        <v>10</v>
      </c>
      <c r="V1635" s="291">
        <f>V1641</f>
        <v>10</v>
      </c>
      <c r="W1635" s="291">
        <f>W1641</f>
        <v>11</v>
      </c>
      <c r="Y1635" s="291">
        <f>Y1641</f>
        <v>15</v>
      </c>
      <c r="Z1635" s="291">
        <f>Z1641</f>
        <v>15</v>
      </c>
      <c r="AB1635" s="291">
        <f>AB1641</f>
        <v>19</v>
      </c>
      <c r="AC1635" s="291">
        <f>AC1641</f>
        <v>19</v>
      </c>
      <c r="AE1635" s="291">
        <f>AE1641</f>
        <v>20</v>
      </c>
      <c r="AF1635" s="291">
        <f>AF1641</f>
        <v>18</v>
      </c>
      <c r="AH1635" s="291">
        <f>AH1641</f>
        <v>22</v>
      </c>
      <c r="AI1635" s="291">
        <f>AI1641</f>
        <v>22</v>
      </c>
      <c r="AK1635" s="291">
        <f>AK1641</f>
        <v>2</v>
      </c>
      <c r="AL1635" s="291">
        <f>AL1641</f>
        <v>2</v>
      </c>
      <c r="AN1635" s="291">
        <f>AN1641</f>
        <v>18</v>
      </c>
      <c r="AO1635" s="291">
        <f>AO1641</f>
        <v>18</v>
      </c>
      <c r="AQ1635" s="291">
        <f>AQ1641</f>
        <v>31</v>
      </c>
      <c r="AR1635" s="291">
        <f>AR1641</f>
        <v>37</v>
      </c>
      <c r="AT1635" s="291">
        <f>AT1641</f>
        <v>0</v>
      </c>
      <c r="AU1635" s="291">
        <f>AU1641</f>
        <v>0</v>
      </c>
      <c r="AW1635" s="291">
        <f>AW1641</f>
        <v>0</v>
      </c>
      <c r="AX1635" s="291">
        <f>AX1641</f>
        <v>0</v>
      </c>
      <c r="AZ1635" s="291">
        <f>AZ1641</f>
        <v>0</v>
      </c>
      <c r="BA1635" s="291">
        <f>BA1641</f>
        <v>0</v>
      </c>
      <c r="BC1635" s="291">
        <f>BC1641</f>
        <v>0</v>
      </c>
      <c r="BD1635" s="291">
        <f>BD1641</f>
        <v>0</v>
      </c>
      <c r="BF1635" s="291">
        <f>BF1641</f>
        <v>0</v>
      </c>
      <c r="BG1635" s="291">
        <f>BG1641</f>
        <v>0</v>
      </c>
      <c r="BI1635" s="291">
        <f>BI1641</f>
        <v>0</v>
      </c>
      <c r="BJ1635" s="291">
        <f>BJ1641</f>
        <v>0</v>
      </c>
      <c r="BL1635" s="291">
        <f>BL1641</f>
        <v>0</v>
      </c>
      <c r="BM1635" s="291">
        <f>BM1641</f>
        <v>0</v>
      </c>
      <c r="BO1635" s="291">
        <f>BO1641</f>
        <v>0</v>
      </c>
      <c r="BP1635" s="291">
        <f>BP1641</f>
        <v>0</v>
      </c>
      <c r="BR1635" s="291">
        <f>BR1641</f>
        <v>0</v>
      </c>
      <c r="BS1635" s="291">
        <f>BS1641</f>
        <v>0</v>
      </c>
      <c r="BU1635" s="291">
        <f>BU1641</f>
        <v>0</v>
      </c>
      <c r="BV1635" s="291">
        <f>BV1641</f>
        <v>0</v>
      </c>
      <c r="BX1635" s="291">
        <f>BX1641</f>
        <v>0</v>
      </c>
      <c r="BY1635" s="291">
        <f>BY1641</f>
        <v>0</v>
      </c>
      <c r="CA1635" s="291">
        <f>CA1641</f>
        <v>0</v>
      </c>
      <c r="CB1635" s="291">
        <f>CB1641</f>
        <v>0</v>
      </c>
      <c r="CD1635" s="291">
        <f>CD1641</f>
        <v>0</v>
      </c>
      <c r="CE1635" s="291">
        <f>CE1641</f>
        <v>0</v>
      </c>
      <c r="CG1635" s="291">
        <f>CG1641</f>
        <v>5</v>
      </c>
      <c r="CH1635" s="291">
        <f>CH1641</f>
        <v>5</v>
      </c>
      <c r="CJ1635" s="291">
        <f>CJ1641</f>
        <v>0</v>
      </c>
      <c r="CK1635" s="291">
        <f>CK1641</f>
        <v>0</v>
      </c>
    </row>
    <row r="1636" spans="1:89" ht="30" x14ac:dyDescent="0.25">
      <c r="A1636" s="417"/>
      <c r="B1636" s="420"/>
      <c r="C1636" s="95" t="s">
        <v>1207</v>
      </c>
      <c r="D1636" s="95" t="s">
        <v>1112</v>
      </c>
      <c r="E1636" s="291">
        <v>5</v>
      </c>
      <c r="F1636" s="291">
        <v>5</v>
      </c>
      <c r="G1636" s="291">
        <v>5</v>
      </c>
      <c r="H1636" s="291">
        <f t="shared" ref="H1636:J1637" si="1927">H1643</f>
        <v>4</v>
      </c>
      <c r="I1636" s="291">
        <f t="shared" si="1927"/>
        <v>4</v>
      </c>
      <c r="J1636" s="291">
        <f t="shared" si="1927"/>
        <v>6</v>
      </c>
      <c r="K1636" s="291">
        <f>K1643</f>
        <v>6</v>
      </c>
      <c r="L1636" s="291">
        <f>L1643</f>
        <v>0</v>
      </c>
      <c r="M1636" s="291">
        <f t="shared" ref="M1636:N1637" si="1928">M1643</f>
        <v>0</v>
      </c>
      <c r="N1636" s="291">
        <f t="shared" si="1928"/>
        <v>0</v>
      </c>
      <c r="Q1636" s="291">
        <f t="shared" ref="Q1636:T1637" si="1929">Q1643</f>
        <v>6</v>
      </c>
      <c r="R1636" s="291">
        <f t="shared" si="1929"/>
        <v>6</v>
      </c>
      <c r="S1636" s="291">
        <f t="shared" si="1929"/>
        <v>0</v>
      </c>
      <c r="T1636" s="291">
        <f t="shared" si="1929"/>
        <v>0</v>
      </c>
      <c r="V1636" s="291">
        <f>V1643</f>
        <v>0</v>
      </c>
      <c r="W1636" s="291">
        <f>W1643</f>
        <v>0</v>
      </c>
      <c r="Y1636" s="291">
        <f>Y1643</f>
        <v>0</v>
      </c>
      <c r="Z1636" s="291">
        <f>Z1643</f>
        <v>0</v>
      </c>
      <c r="AB1636" s="291">
        <f>AB1643</f>
        <v>0</v>
      </c>
      <c r="AC1636" s="291">
        <f>AC1643</f>
        <v>0</v>
      </c>
      <c r="AE1636" s="291">
        <f>AE1643</f>
        <v>0</v>
      </c>
      <c r="AF1636" s="291">
        <f>AF1643</f>
        <v>0</v>
      </c>
      <c r="AH1636" s="291">
        <f>AH1643</f>
        <v>0</v>
      </c>
      <c r="AI1636" s="291">
        <f>AI1643</f>
        <v>0</v>
      </c>
      <c r="AK1636" s="291">
        <f>AK1643</f>
        <v>0</v>
      </c>
      <c r="AL1636" s="291">
        <f>AL1643</f>
        <v>0</v>
      </c>
      <c r="AN1636" s="291">
        <f>AN1643</f>
        <v>0</v>
      </c>
      <c r="AO1636" s="291">
        <f>AO1643</f>
        <v>0</v>
      </c>
      <c r="AQ1636" s="291">
        <f>AQ1643</f>
        <v>0</v>
      </c>
      <c r="AR1636" s="291">
        <f>AR1643</f>
        <v>0</v>
      </c>
      <c r="AT1636" s="291">
        <f>AT1643</f>
        <v>0</v>
      </c>
      <c r="AU1636" s="291">
        <f>AU1643</f>
        <v>0</v>
      </c>
      <c r="AW1636" s="291">
        <f>AW1643</f>
        <v>0</v>
      </c>
      <c r="AX1636" s="291">
        <f>AX1643</f>
        <v>0</v>
      </c>
      <c r="AZ1636" s="291">
        <f>AZ1643</f>
        <v>0</v>
      </c>
      <c r="BA1636" s="291">
        <f>BA1643</f>
        <v>0</v>
      </c>
      <c r="BC1636" s="291">
        <f>BC1643</f>
        <v>1</v>
      </c>
      <c r="BD1636" s="291">
        <f>BD1643</f>
        <v>1</v>
      </c>
      <c r="BF1636" s="291">
        <f>BF1643</f>
        <v>1</v>
      </c>
      <c r="BG1636" s="291">
        <f>BG1643</f>
        <v>1</v>
      </c>
      <c r="BI1636" s="291">
        <f>BI1643</f>
        <v>1</v>
      </c>
      <c r="BJ1636" s="291">
        <f>BJ1643</f>
        <v>1</v>
      </c>
      <c r="BL1636" s="291">
        <f>BL1643</f>
        <v>0</v>
      </c>
      <c r="BM1636" s="291">
        <f>BM1643</f>
        <v>0</v>
      </c>
      <c r="BO1636" s="291">
        <f>BO1643</f>
        <v>0</v>
      </c>
      <c r="BP1636" s="291">
        <f>BP1643</f>
        <v>0</v>
      </c>
      <c r="BR1636" s="291">
        <f>BR1643</f>
        <v>0</v>
      </c>
      <c r="BS1636" s="291">
        <f>BS1643</f>
        <v>0</v>
      </c>
      <c r="BU1636" s="291">
        <f>BU1643</f>
        <v>0</v>
      </c>
      <c r="BV1636" s="291">
        <f>BV1643</f>
        <v>0</v>
      </c>
      <c r="BX1636" s="291">
        <f>BX1643</f>
        <v>0</v>
      </c>
      <c r="BY1636" s="291">
        <f>BY1643</f>
        <v>0</v>
      </c>
      <c r="CA1636" s="291">
        <f>CA1643</f>
        <v>0</v>
      </c>
      <c r="CB1636" s="291">
        <f>CB1643</f>
        <v>0</v>
      </c>
      <c r="CD1636" s="291">
        <f>CD1643</f>
        <v>3</v>
      </c>
      <c r="CE1636" s="291">
        <f>CE1643</f>
        <v>3</v>
      </c>
      <c r="CG1636" s="291">
        <f>CG1643</f>
        <v>0</v>
      </c>
      <c r="CH1636" s="291">
        <f>CH1643</f>
        <v>0</v>
      </c>
      <c r="CJ1636" s="291">
        <f>CJ1643</f>
        <v>0</v>
      </c>
      <c r="CK1636" s="291">
        <f>CK1643</f>
        <v>0</v>
      </c>
    </row>
    <row r="1637" spans="1:89" ht="30" x14ac:dyDescent="0.25">
      <c r="A1637" s="418"/>
      <c r="B1637" s="421"/>
      <c r="C1637" s="95" t="s">
        <v>1263</v>
      </c>
      <c r="D1637" s="95" t="s">
        <v>1112</v>
      </c>
      <c r="E1637" s="291">
        <v>0</v>
      </c>
      <c r="F1637" s="291">
        <v>0</v>
      </c>
      <c r="G1637" s="291">
        <v>0</v>
      </c>
      <c r="H1637" s="291">
        <f t="shared" si="1927"/>
        <v>0</v>
      </c>
      <c r="I1637" s="291">
        <f t="shared" si="1927"/>
        <v>0</v>
      </c>
      <c r="J1637" s="291">
        <f t="shared" si="1927"/>
        <v>0</v>
      </c>
      <c r="K1637" s="291">
        <f>K1644</f>
        <v>0</v>
      </c>
      <c r="L1637" s="291">
        <f>L1644</f>
        <v>0</v>
      </c>
      <c r="M1637" s="291">
        <f t="shared" si="1928"/>
        <v>0</v>
      </c>
      <c r="N1637" s="291">
        <f t="shared" si="1928"/>
        <v>0</v>
      </c>
      <c r="Q1637" s="291">
        <f t="shared" si="1929"/>
        <v>0</v>
      </c>
      <c r="R1637" s="291">
        <f t="shared" si="1929"/>
        <v>0</v>
      </c>
      <c r="S1637" s="291">
        <f t="shared" si="1929"/>
        <v>0</v>
      </c>
      <c r="T1637" s="291">
        <f t="shared" si="1929"/>
        <v>0</v>
      </c>
      <c r="V1637" s="291">
        <f>V1644</f>
        <v>0</v>
      </c>
      <c r="W1637" s="291">
        <f>W1644</f>
        <v>0</v>
      </c>
      <c r="Y1637" s="291">
        <f>Y1644</f>
        <v>0</v>
      </c>
      <c r="Z1637" s="291">
        <f>Z1644</f>
        <v>0</v>
      </c>
      <c r="AB1637" s="291">
        <f>AB1644</f>
        <v>0</v>
      </c>
      <c r="AC1637" s="291">
        <f>AC1644</f>
        <v>0</v>
      </c>
      <c r="AE1637" s="291">
        <f>AE1644</f>
        <v>0</v>
      </c>
      <c r="AF1637" s="291">
        <f>AF1644</f>
        <v>0</v>
      </c>
      <c r="AH1637" s="291">
        <f>AH1644</f>
        <v>0</v>
      </c>
      <c r="AI1637" s="291">
        <f>AI1644</f>
        <v>0</v>
      </c>
      <c r="AK1637" s="291">
        <f>AK1644</f>
        <v>0</v>
      </c>
      <c r="AL1637" s="291">
        <f>AL1644</f>
        <v>0</v>
      </c>
      <c r="AN1637" s="291">
        <f>AN1644</f>
        <v>0</v>
      </c>
      <c r="AO1637" s="291">
        <f>AO1644</f>
        <v>0</v>
      </c>
      <c r="AQ1637" s="291">
        <f>AQ1644</f>
        <v>0</v>
      </c>
      <c r="AR1637" s="291">
        <f>AR1644</f>
        <v>0</v>
      </c>
      <c r="AT1637" s="291">
        <f>AT1644</f>
        <v>0</v>
      </c>
      <c r="AU1637" s="291">
        <f>AU1644</f>
        <v>0</v>
      </c>
      <c r="AW1637" s="291">
        <f>AW1644</f>
        <v>0</v>
      </c>
      <c r="AX1637" s="291">
        <f>AX1644</f>
        <v>0</v>
      </c>
      <c r="AZ1637" s="291">
        <f>AZ1644</f>
        <v>0</v>
      </c>
      <c r="BA1637" s="291">
        <f>BA1644</f>
        <v>0</v>
      </c>
      <c r="BC1637" s="291">
        <f>BC1644</f>
        <v>0</v>
      </c>
      <c r="BD1637" s="291">
        <f>BD1644</f>
        <v>0</v>
      </c>
      <c r="BF1637" s="291">
        <f>BF1644</f>
        <v>0</v>
      </c>
      <c r="BG1637" s="291">
        <f>BG1644</f>
        <v>0</v>
      </c>
      <c r="BI1637" s="291">
        <f>BI1644</f>
        <v>0</v>
      </c>
      <c r="BJ1637" s="291">
        <f>BJ1644</f>
        <v>0</v>
      </c>
      <c r="BL1637" s="291">
        <f>BL1644</f>
        <v>0</v>
      </c>
      <c r="BM1637" s="291">
        <f>BM1644</f>
        <v>0</v>
      </c>
      <c r="BO1637" s="291">
        <f>BO1644</f>
        <v>0</v>
      </c>
      <c r="BP1637" s="291">
        <f>BP1644</f>
        <v>0</v>
      </c>
      <c r="BR1637" s="291">
        <f>BR1644</f>
        <v>0</v>
      </c>
      <c r="BS1637" s="291">
        <f>BS1644</f>
        <v>0</v>
      </c>
      <c r="BU1637" s="291">
        <f>BU1644</f>
        <v>0</v>
      </c>
      <c r="BV1637" s="291">
        <f>BV1644</f>
        <v>0</v>
      </c>
      <c r="BX1637" s="291">
        <f>BX1644</f>
        <v>0</v>
      </c>
      <c r="BY1637" s="291">
        <f>BY1644</f>
        <v>0</v>
      </c>
      <c r="CA1637" s="291">
        <f>CA1644</f>
        <v>0</v>
      </c>
      <c r="CB1637" s="291">
        <f>CB1644</f>
        <v>0</v>
      </c>
      <c r="CD1637" s="291">
        <f>CD1644</f>
        <v>0</v>
      </c>
      <c r="CE1637" s="291">
        <f>CE1644</f>
        <v>0</v>
      </c>
      <c r="CG1637" s="291">
        <f>CG1644</f>
        <v>0</v>
      </c>
      <c r="CH1637" s="291">
        <f>CH1644</f>
        <v>0</v>
      </c>
      <c r="CJ1637" s="291">
        <f>CJ1644</f>
        <v>0</v>
      </c>
      <c r="CK1637" s="291">
        <f>CK1644</f>
        <v>0</v>
      </c>
    </row>
    <row r="1638" spans="1:89" ht="30" x14ac:dyDescent="0.25">
      <c r="A1638" s="95"/>
      <c r="B1638" s="16" t="s">
        <v>223</v>
      </c>
      <c r="C1638" s="95" t="s">
        <v>205</v>
      </c>
      <c r="D1638" s="95" t="s">
        <v>1112</v>
      </c>
      <c r="E1638" s="291">
        <v>7</v>
      </c>
      <c r="F1638" s="291">
        <v>5</v>
      </c>
      <c r="G1638" s="291">
        <v>4</v>
      </c>
      <c r="H1638" s="291">
        <v>0</v>
      </c>
      <c r="I1638" s="291">
        <v>0</v>
      </c>
      <c r="J1638" s="291">
        <v>0</v>
      </c>
      <c r="K1638" s="291">
        <v>0</v>
      </c>
      <c r="L1638" s="291">
        <v>0</v>
      </c>
      <c r="M1638" s="291">
        <v>0</v>
      </c>
      <c r="N1638" s="291">
        <v>0</v>
      </c>
      <c r="Q1638" s="291">
        <v>0</v>
      </c>
      <c r="R1638" s="291">
        <v>0</v>
      </c>
      <c r="S1638" s="291">
        <v>0</v>
      </c>
      <c r="T1638" s="291">
        <v>0</v>
      </c>
      <c r="V1638" s="291">
        <v>0</v>
      </c>
      <c r="W1638" s="291">
        <v>0</v>
      </c>
      <c r="Y1638" s="291">
        <v>0</v>
      </c>
      <c r="Z1638" s="291">
        <v>0</v>
      </c>
      <c r="AB1638" s="291">
        <v>0</v>
      </c>
      <c r="AC1638" s="291">
        <v>0</v>
      </c>
      <c r="AE1638" s="291">
        <v>0</v>
      </c>
      <c r="AF1638" s="291">
        <v>0</v>
      </c>
      <c r="AH1638" s="291">
        <v>0</v>
      </c>
      <c r="AI1638" s="291">
        <v>0</v>
      </c>
      <c r="AK1638" s="291">
        <v>0</v>
      </c>
      <c r="AL1638" s="291">
        <v>0</v>
      </c>
      <c r="AN1638" s="291">
        <v>0</v>
      </c>
      <c r="AO1638" s="291">
        <v>0</v>
      </c>
      <c r="AQ1638" s="291">
        <v>0</v>
      </c>
      <c r="AR1638" s="291">
        <v>0</v>
      </c>
      <c r="AT1638" s="291">
        <v>0</v>
      </c>
      <c r="AU1638" s="291">
        <v>0</v>
      </c>
      <c r="AW1638" s="291">
        <v>0</v>
      </c>
      <c r="AX1638" s="291">
        <v>0</v>
      </c>
      <c r="AZ1638" s="291">
        <v>0</v>
      </c>
      <c r="BA1638" s="291">
        <v>0</v>
      </c>
      <c r="BC1638" s="291">
        <v>0</v>
      </c>
      <c r="BD1638" s="291">
        <v>0</v>
      </c>
      <c r="BF1638" s="291">
        <v>0</v>
      </c>
      <c r="BG1638" s="291">
        <v>0</v>
      </c>
      <c r="BI1638" s="291">
        <v>0</v>
      </c>
      <c r="BJ1638" s="291">
        <v>0</v>
      </c>
      <c r="BL1638" s="291">
        <v>0</v>
      </c>
      <c r="BM1638" s="291">
        <v>0</v>
      </c>
      <c r="BO1638" s="291">
        <v>0</v>
      </c>
      <c r="BP1638" s="291">
        <v>0</v>
      </c>
      <c r="BR1638" s="291">
        <v>0</v>
      </c>
      <c r="BS1638" s="291">
        <v>0</v>
      </c>
      <c r="BU1638" s="291">
        <v>0</v>
      </c>
      <c r="BV1638" s="291">
        <v>0</v>
      </c>
      <c r="BX1638" s="291">
        <v>0</v>
      </c>
      <c r="BY1638" s="291">
        <v>0</v>
      </c>
      <c r="CA1638" s="291">
        <v>0</v>
      </c>
      <c r="CB1638" s="291">
        <v>0</v>
      </c>
      <c r="CD1638" s="291">
        <v>0</v>
      </c>
      <c r="CE1638" s="291">
        <v>0</v>
      </c>
      <c r="CG1638" s="291">
        <v>0</v>
      </c>
      <c r="CH1638" s="291">
        <v>0</v>
      </c>
      <c r="CJ1638" s="291">
        <v>0</v>
      </c>
      <c r="CK1638" s="291">
        <v>0</v>
      </c>
    </row>
    <row r="1639" spans="1:89" x14ac:dyDescent="0.25">
      <c r="A1639" s="95"/>
      <c r="B1639" s="311" t="s">
        <v>1182</v>
      </c>
      <c r="C1639" s="95"/>
      <c r="D1639" s="95"/>
      <c r="E1639" s="291"/>
      <c r="F1639" s="291"/>
      <c r="G1639" s="291"/>
      <c r="H1639" s="291">
        <f>H1640+H1641</f>
        <v>322</v>
      </c>
      <c r="I1639" s="291">
        <f>I1640+I1641</f>
        <v>318</v>
      </c>
      <c r="J1639" s="291">
        <f>J1640+J1641</f>
        <v>468</v>
      </c>
      <c r="K1639" s="291">
        <f>K1640+K1641</f>
        <v>468</v>
      </c>
      <c r="L1639" s="291">
        <f>L1640+L1641</f>
        <v>18</v>
      </c>
      <c r="M1639" s="291">
        <f t="shared" ref="M1639:N1639" si="1930">M1640+M1641</f>
        <v>18</v>
      </c>
      <c r="N1639" s="291">
        <f t="shared" si="1930"/>
        <v>18</v>
      </c>
      <c r="Q1639" s="291">
        <f>Q1640+Q1641</f>
        <v>468</v>
      </c>
      <c r="R1639" s="291">
        <f>R1640+R1641</f>
        <v>482</v>
      </c>
      <c r="S1639" s="291">
        <f>S1640+S1641</f>
        <v>16</v>
      </c>
      <c r="T1639" s="291">
        <f>T1640+T1641</f>
        <v>17</v>
      </c>
      <c r="V1639" s="291">
        <f>V1640+V1641</f>
        <v>16</v>
      </c>
      <c r="W1639" s="291">
        <f>W1640+W1641</f>
        <v>17</v>
      </c>
      <c r="Y1639" s="291">
        <f>Y1640+Y1641</f>
        <v>21</v>
      </c>
      <c r="Z1639" s="291">
        <f>Z1640+Z1641</f>
        <v>21</v>
      </c>
      <c r="AB1639" s="291">
        <f>AB1640+AB1641</f>
        <v>23</v>
      </c>
      <c r="AC1639" s="291">
        <f>AC1640+AC1641</f>
        <v>23</v>
      </c>
      <c r="AE1639" s="291">
        <f>AE1640+AE1641</f>
        <v>29</v>
      </c>
      <c r="AF1639" s="291">
        <f>AF1640+AF1641</f>
        <v>29</v>
      </c>
      <c r="AH1639" s="291">
        <f>AH1640+AH1641</f>
        <v>31</v>
      </c>
      <c r="AI1639" s="291">
        <f>AI1640+AI1641</f>
        <v>31</v>
      </c>
      <c r="AK1639" s="291">
        <f>AK1640+AK1641</f>
        <v>15</v>
      </c>
      <c r="AL1639" s="291">
        <f>AL1640+AL1641</f>
        <v>15</v>
      </c>
      <c r="AN1639" s="291">
        <f>AN1640+AN1641</f>
        <v>33</v>
      </c>
      <c r="AO1639" s="291">
        <f>AO1640+AO1641</f>
        <v>33</v>
      </c>
      <c r="AQ1639" s="291">
        <f>AQ1640+AQ1641</f>
        <v>31</v>
      </c>
      <c r="AR1639" s="291">
        <f>AR1640+AR1641</f>
        <v>37</v>
      </c>
      <c r="AT1639" s="291">
        <f>AT1640+AT1641</f>
        <v>13</v>
      </c>
      <c r="AU1639" s="291">
        <f>AU1640+AU1641</f>
        <v>13</v>
      </c>
      <c r="AW1639" s="291">
        <f>AW1640+AW1641</f>
        <v>7</v>
      </c>
      <c r="AX1639" s="291">
        <f>AX1640+AX1641</f>
        <v>8</v>
      </c>
      <c r="AZ1639" s="291">
        <f>AZ1640+AZ1641</f>
        <v>12</v>
      </c>
      <c r="BA1639" s="291">
        <f>BA1640+BA1641</f>
        <v>12</v>
      </c>
      <c r="BC1639" s="291">
        <f>BC1640+BC1641</f>
        <v>30</v>
      </c>
      <c r="BD1639" s="291">
        <f>BD1640+BD1641</f>
        <v>30</v>
      </c>
      <c r="BF1639" s="291">
        <f>BF1640+BF1641</f>
        <v>35</v>
      </c>
      <c r="BG1639" s="291">
        <f>BG1640+BG1641</f>
        <v>38</v>
      </c>
      <c r="BI1639" s="291">
        <f>BI1640+BI1641</f>
        <v>62</v>
      </c>
      <c r="BJ1639" s="291">
        <f>BJ1640+BJ1641</f>
        <v>63</v>
      </c>
      <c r="BL1639" s="291">
        <f>BL1640+BL1641</f>
        <v>7</v>
      </c>
      <c r="BM1639" s="291">
        <f>BM1640+BM1641</f>
        <v>7</v>
      </c>
      <c r="BO1639" s="291">
        <f>BO1640+BO1641</f>
        <v>8</v>
      </c>
      <c r="BP1639" s="291">
        <f>BP1640+BP1641</f>
        <v>8</v>
      </c>
      <c r="BR1639" s="291">
        <f>BR1640+BR1641</f>
        <v>14</v>
      </c>
      <c r="BS1639" s="291">
        <f>BS1640+BS1641</f>
        <v>14</v>
      </c>
      <c r="BU1639" s="291">
        <f>BU1640+BU1641</f>
        <v>9</v>
      </c>
      <c r="BV1639" s="291">
        <f>BV1640+BV1641</f>
        <v>8</v>
      </c>
      <c r="BX1639" s="291">
        <f>BX1640+BX1641</f>
        <v>5</v>
      </c>
      <c r="BY1639" s="291">
        <f>BY1640+BY1641</f>
        <v>5</v>
      </c>
      <c r="CA1639" s="291">
        <f>CA1640+CA1641</f>
        <v>10</v>
      </c>
      <c r="CB1639" s="291">
        <f>CB1640+CB1641</f>
        <v>11</v>
      </c>
      <c r="CD1639" s="291">
        <f>CD1640+CD1641</f>
        <v>12</v>
      </c>
      <c r="CE1639" s="291">
        <f>CE1640+CE1641</f>
        <v>13</v>
      </c>
      <c r="CG1639" s="291">
        <f>CG1640+CG1641</f>
        <v>29</v>
      </c>
      <c r="CH1639" s="291">
        <f>CH1640+CH1641</f>
        <v>29</v>
      </c>
      <c r="CJ1639" s="291">
        <f>CJ1640+CJ1641</f>
        <v>0</v>
      </c>
      <c r="CK1639" s="291">
        <f>CK1640+CK1641</f>
        <v>0</v>
      </c>
    </row>
    <row r="1640" spans="1:89" ht="60" x14ac:dyDescent="0.25">
      <c r="A1640" s="95"/>
      <c r="B1640" s="263"/>
      <c r="C1640" s="312" t="s">
        <v>2756</v>
      </c>
      <c r="D1640" s="95" t="s">
        <v>1112</v>
      </c>
      <c r="E1640" s="291"/>
      <c r="F1640" s="291"/>
      <c r="G1640" s="291"/>
      <c r="H1640" s="291">
        <v>222</v>
      </c>
      <c r="I1640" s="291">
        <v>220</v>
      </c>
      <c r="J1640" s="291">
        <f t="shared" ref="J1640:M1641" si="1931">J1524</f>
        <v>318</v>
      </c>
      <c r="K1640" s="291">
        <f t="shared" si="1931"/>
        <v>316</v>
      </c>
      <c r="L1640" s="291">
        <f t="shared" si="1931"/>
        <v>5</v>
      </c>
      <c r="M1640" s="291">
        <f t="shared" si="1931"/>
        <v>5</v>
      </c>
      <c r="N1640" s="291">
        <f t="shared" ref="N1640" si="1932">N1524</f>
        <v>5</v>
      </c>
      <c r="Q1640" s="283">
        <f>S1640+V1640+Y1640+AB1640+AE1640+AH1640+AK1640+AN1640+AQ1640+AT1640+AW1640+AZ1640+BC1640+BF1640+BI1640+BL1640+BO1640+BR1640+BU1640+BX1640+CA1640+CD1640+CG1640+CJ1640</f>
        <v>316</v>
      </c>
      <c r="R1640" s="283">
        <f>T1640+W1640+Z1640+AC1640+AF1640+AI1640+AL1640+AO1640+AR1640+AU1640+AX1640+BA1640+BD1640+BG1640+BJ1640+BM1640+BP1640+BS1640+BV1640+BY1640+CB1640+CE1640+CH1640+CK1640</f>
        <v>325</v>
      </c>
      <c r="S1640" s="267">
        <f>S1524</f>
        <v>6</v>
      </c>
      <c r="T1640" s="267">
        <f>T1524</f>
        <v>7</v>
      </c>
      <c r="V1640" s="267">
        <f>V1524</f>
        <v>6</v>
      </c>
      <c r="W1640" s="267">
        <f>W1524</f>
        <v>6</v>
      </c>
      <c r="Y1640" s="267">
        <f>Y1524</f>
        <v>6</v>
      </c>
      <c r="Z1640" s="267">
        <f>Z1524</f>
        <v>6</v>
      </c>
      <c r="AB1640" s="267">
        <f>AB1524</f>
        <v>4</v>
      </c>
      <c r="AC1640" s="267">
        <f>AC1524</f>
        <v>4</v>
      </c>
      <c r="AE1640" s="267">
        <f>AE1524</f>
        <v>9</v>
      </c>
      <c r="AF1640" s="267">
        <f>AF1524</f>
        <v>11</v>
      </c>
      <c r="AH1640" s="267">
        <f>AH1524</f>
        <v>9</v>
      </c>
      <c r="AI1640" s="267">
        <f>AI1524</f>
        <v>9</v>
      </c>
      <c r="AK1640" s="267">
        <f>AK1524</f>
        <v>13</v>
      </c>
      <c r="AL1640" s="267">
        <f>AL1524</f>
        <v>13</v>
      </c>
      <c r="AN1640" s="267">
        <f>AN1524</f>
        <v>15</v>
      </c>
      <c r="AO1640" s="267">
        <f>AO1524</f>
        <v>15</v>
      </c>
      <c r="AQ1640" s="267">
        <f>AQ1524</f>
        <v>0</v>
      </c>
      <c r="AR1640" s="267">
        <f>AR1524</f>
        <v>0</v>
      </c>
      <c r="AT1640" s="267">
        <f>AT1524</f>
        <v>13</v>
      </c>
      <c r="AU1640" s="267">
        <f>AU1524</f>
        <v>13</v>
      </c>
      <c r="AW1640" s="267">
        <f>AW1524</f>
        <v>7</v>
      </c>
      <c r="AX1640" s="267">
        <f>AX1524</f>
        <v>8</v>
      </c>
      <c r="AZ1640" s="267">
        <f>AZ1524</f>
        <v>12</v>
      </c>
      <c r="BA1640" s="267">
        <f>BA1524</f>
        <v>12</v>
      </c>
      <c r="BC1640" s="267">
        <f>BC1524</f>
        <v>30</v>
      </c>
      <c r="BD1640" s="267">
        <f>BD1524</f>
        <v>30</v>
      </c>
      <c r="BF1640" s="267">
        <f>BF1524</f>
        <v>35</v>
      </c>
      <c r="BG1640" s="267">
        <f>BG1524</f>
        <v>38</v>
      </c>
      <c r="BI1640" s="267">
        <f>BI1524</f>
        <v>62</v>
      </c>
      <c r="BJ1640" s="267">
        <f>BJ1524</f>
        <v>63</v>
      </c>
      <c r="BL1640" s="267">
        <f>BL1524</f>
        <v>7</v>
      </c>
      <c r="BM1640" s="267">
        <f>BM1524</f>
        <v>7</v>
      </c>
      <c r="BO1640" s="267">
        <f>BO1524</f>
        <v>8</v>
      </c>
      <c r="BP1640" s="267">
        <f>BP1524</f>
        <v>8</v>
      </c>
      <c r="BR1640" s="267">
        <f>BR1524</f>
        <v>14</v>
      </c>
      <c r="BS1640" s="267">
        <f>BS1524</f>
        <v>14</v>
      </c>
      <c r="BU1640" s="267">
        <f>BU1524</f>
        <v>9</v>
      </c>
      <c r="BV1640" s="267">
        <f>BV1524</f>
        <v>8</v>
      </c>
      <c r="BX1640" s="267">
        <f>BX1524</f>
        <v>5</v>
      </c>
      <c r="BY1640" s="267">
        <f>BY1524</f>
        <v>5</v>
      </c>
      <c r="CA1640" s="267">
        <f>CA1524</f>
        <v>10</v>
      </c>
      <c r="CB1640" s="267">
        <f>CB1524</f>
        <v>11</v>
      </c>
      <c r="CD1640" s="267">
        <f>CD1524</f>
        <v>12</v>
      </c>
      <c r="CE1640" s="267">
        <f>CE1524</f>
        <v>13</v>
      </c>
      <c r="CG1640" s="267">
        <f>CG1524</f>
        <v>24</v>
      </c>
      <c r="CH1640" s="267">
        <f>CH1524</f>
        <v>24</v>
      </c>
      <c r="CJ1640" s="267">
        <f>CJ1524</f>
        <v>0</v>
      </c>
      <c r="CK1640" s="267">
        <f>CK1524</f>
        <v>0</v>
      </c>
    </row>
    <row r="1641" spans="1:89" ht="60" x14ac:dyDescent="0.25">
      <c r="A1641" s="95"/>
      <c r="B1641" s="263"/>
      <c r="C1641" s="312" t="s">
        <v>2756</v>
      </c>
      <c r="D1641" s="95" t="s">
        <v>1112</v>
      </c>
      <c r="E1641" s="291"/>
      <c r="F1641" s="291"/>
      <c r="G1641" s="291"/>
      <c r="H1641" s="291">
        <v>100</v>
      </c>
      <c r="I1641" s="291">
        <v>98</v>
      </c>
      <c r="J1641" s="291">
        <f t="shared" si="1931"/>
        <v>150</v>
      </c>
      <c r="K1641" s="291">
        <f t="shared" si="1931"/>
        <v>152</v>
      </c>
      <c r="L1641" s="291">
        <f t="shared" si="1931"/>
        <v>13</v>
      </c>
      <c r="M1641" s="291">
        <f t="shared" si="1931"/>
        <v>13</v>
      </c>
      <c r="N1641" s="291">
        <f t="shared" ref="N1641" si="1933">N1525</f>
        <v>13</v>
      </c>
      <c r="Q1641" s="283">
        <f>S1641+V1641+Y1641+AB1641+AE1641+AH1641+AK1641+AN1641+AQ1641+AT1641+AW1641+AZ1641+BC1641+BF1641+BI1641+BL1641+BO1641+BR1641+BU1641+BX1641+CA1641+CD1641+CG1641+CJ1641</f>
        <v>152</v>
      </c>
      <c r="R1641" s="283">
        <f>T1641+W1641+Z1641+AC1641+AF1641+AI1641+AL1641+AO1641+AR1641+AU1641+AX1641+BA1641+BD1641+BG1641+BJ1641+BM1641+BP1641+BS1641+BV1641+BY1641+CB1641+CE1641+CH1641+CK1641</f>
        <v>157</v>
      </c>
      <c r="S1641" s="267">
        <f>S1525</f>
        <v>10</v>
      </c>
      <c r="T1641" s="267">
        <f>T1525</f>
        <v>10</v>
      </c>
      <c r="V1641" s="267">
        <f>V1525</f>
        <v>10</v>
      </c>
      <c r="W1641" s="267">
        <f>W1525</f>
        <v>11</v>
      </c>
      <c r="Y1641" s="267">
        <f>Y1525</f>
        <v>15</v>
      </c>
      <c r="Z1641" s="267">
        <f>Z1525</f>
        <v>15</v>
      </c>
      <c r="AB1641" s="267">
        <f>AB1525</f>
        <v>19</v>
      </c>
      <c r="AC1641" s="267">
        <f>AC1525</f>
        <v>19</v>
      </c>
      <c r="AE1641" s="267">
        <f>AE1525</f>
        <v>20</v>
      </c>
      <c r="AF1641" s="267">
        <f>AF1525</f>
        <v>18</v>
      </c>
      <c r="AH1641" s="267">
        <f>AH1525</f>
        <v>22</v>
      </c>
      <c r="AI1641" s="267">
        <f>AI1525</f>
        <v>22</v>
      </c>
      <c r="AK1641" s="267">
        <f>AK1525</f>
        <v>2</v>
      </c>
      <c r="AL1641" s="267">
        <f>AL1525</f>
        <v>2</v>
      </c>
      <c r="AN1641" s="267">
        <f>AN1525</f>
        <v>18</v>
      </c>
      <c r="AO1641" s="267">
        <f>AO1525</f>
        <v>18</v>
      </c>
      <c r="AQ1641" s="267">
        <f>AQ1525</f>
        <v>31</v>
      </c>
      <c r="AR1641" s="267">
        <f>AR1525</f>
        <v>37</v>
      </c>
      <c r="AT1641" s="267">
        <f>AT1525</f>
        <v>0</v>
      </c>
      <c r="AU1641" s="267">
        <f>AU1525</f>
        <v>0</v>
      </c>
      <c r="AW1641" s="267">
        <f>AW1525</f>
        <v>0</v>
      </c>
      <c r="AX1641" s="267">
        <f>AX1525</f>
        <v>0</v>
      </c>
      <c r="AZ1641" s="267">
        <f>AZ1525</f>
        <v>0</v>
      </c>
      <c r="BA1641" s="267">
        <f>BA1525</f>
        <v>0</v>
      </c>
      <c r="BC1641" s="267">
        <f>BC1525</f>
        <v>0</v>
      </c>
      <c r="BD1641" s="267">
        <f>BD1525</f>
        <v>0</v>
      </c>
      <c r="BF1641" s="267">
        <f>BF1525</f>
        <v>0</v>
      </c>
      <c r="BG1641" s="267">
        <f>BG1525</f>
        <v>0</v>
      </c>
      <c r="BI1641" s="267">
        <f>BI1525</f>
        <v>0</v>
      </c>
      <c r="BJ1641" s="267">
        <f>BJ1525</f>
        <v>0</v>
      </c>
      <c r="BL1641" s="267">
        <f>BL1525</f>
        <v>0</v>
      </c>
      <c r="BM1641" s="267">
        <f>BM1525</f>
        <v>0</v>
      </c>
      <c r="BO1641" s="267">
        <f>BO1525</f>
        <v>0</v>
      </c>
      <c r="BP1641" s="267">
        <f>BP1525</f>
        <v>0</v>
      </c>
      <c r="BR1641" s="267">
        <f>BR1525</f>
        <v>0</v>
      </c>
      <c r="BS1641" s="267">
        <f>BS1525</f>
        <v>0</v>
      </c>
      <c r="BU1641" s="267">
        <f>BU1525</f>
        <v>0</v>
      </c>
      <c r="BV1641" s="267">
        <f>BV1525</f>
        <v>0</v>
      </c>
      <c r="BX1641" s="267">
        <f>BX1525</f>
        <v>0</v>
      </c>
      <c r="BY1641" s="267">
        <f>BY1525</f>
        <v>0</v>
      </c>
      <c r="CA1641" s="267">
        <f>CA1525</f>
        <v>0</v>
      </c>
      <c r="CB1641" s="267">
        <f>CB1525</f>
        <v>0</v>
      </c>
      <c r="CD1641" s="267">
        <f>CD1525</f>
        <v>0</v>
      </c>
      <c r="CE1641" s="267">
        <f>CE1525</f>
        <v>0</v>
      </c>
      <c r="CG1641" s="267">
        <f>CG1525</f>
        <v>5</v>
      </c>
      <c r="CH1641" s="267">
        <f>CH1525</f>
        <v>5</v>
      </c>
      <c r="CJ1641" s="267">
        <f>CJ1525</f>
        <v>0</v>
      </c>
      <c r="CK1641" s="267">
        <f>CK1525</f>
        <v>0</v>
      </c>
    </row>
    <row r="1642" spans="1:89" x14ac:dyDescent="0.25">
      <c r="A1642" s="95"/>
      <c r="B1642" s="261" t="s">
        <v>1184</v>
      </c>
      <c r="C1642" s="95"/>
      <c r="D1642" s="95"/>
      <c r="E1642" s="291"/>
      <c r="F1642" s="291"/>
      <c r="G1642" s="291"/>
      <c r="H1642" s="291">
        <f>H1643+H1644</f>
        <v>4</v>
      </c>
      <c r="I1642" s="291">
        <f>I1643+I1644</f>
        <v>4</v>
      </c>
      <c r="J1642" s="291">
        <f>J1643+J1644</f>
        <v>6</v>
      </c>
      <c r="K1642" s="291">
        <f>K1643+K1644</f>
        <v>6</v>
      </c>
      <c r="L1642" s="291">
        <f>L1643+L1644</f>
        <v>0</v>
      </c>
      <c r="M1642" s="291">
        <f t="shared" ref="M1642:N1642" si="1934">M1643+M1644</f>
        <v>0</v>
      </c>
      <c r="N1642" s="291">
        <f t="shared" si="1934"/>
        <v>0</v>
      </c>
    </row>
    <row r="1643" spans="1:89" ht="60" x14ac:dyDescent="0.25">
      <c r="A1643" s="95"/>
      <c r="B1643" s="263"/>
      <c r="C1643" s="312" t="s">
        <v>2756</v>
      </c>
      <c r="D1643" s="95" t="s">
        <v>1112</v>
      </c>
      <c r="E1643" s="291"/>
      <c r="F1643" s="291"/>
      <c r="G1643" s="291"/>
      <c r="H1643" s="291">
        <v>4</v>
      </c>
      <c r="I1643" s="291">
        <v>4</v>
      </c>
      <c r="J1643" s="291">
        <f t="shared" ref="J1643:M1644" si="1935">J1527</f>
        <v>6</v>
      </c>
      <c r="K1643" s="291">
        <f t="shared" si="1935"/>
        <v>6</v>
      </c>
      <c r="L1643" s="291">
        <f t="shared" si="1935"/>
        <v>0</v>
      </c>
      <c r="M1643" s="291">
        <f t="shared" si="1935"/>
        <v>0</v>
      </c>
      <c r="N1643" s="291">
        <f t="shared" ref="N1643" si="1936">N1527</f>
        <v>0</v>
      </c>
      <c r="Q1643" s="283">
        <f>S1643+V1643+Y1643+AB1643+AE1643+AH1643+AK1643+AN1643+AQ1643+AT1643+AW1643+AZ1643+BC1643+BF1643+BI1643+BL1643+BO1643+BR1643+BU1643+BX1643+CA1643+CD1643+CG1643+CJ1643</f>
        <v>6</v>
      </c>
      <c r="R1643" s="283">
        <f>T1643+W1643+Z1643+AC1643+AF1643+AI1643+AL1643+AO1643+AR1643+AU1643+AX1643+BA1643+BD1643+BG1643+BJ1643+BM1643+BP1643+BS1643+BV1643+BY1643+CB1643+CE1643+CH1643+CK1643</f>
        <v>6</v>
      </c>
      <c r="S1643" s="267">
        <f>S1527</f>
        <v>0</v>
      </c>
      <c r="T1643" s="267">
        <f>T1527</f>
        <v>0</v>
      </c>
      <c r="V1643" s="267">
        <f>V1527</f>
        <v>0</v>
      </c>
      <c r="W1643" s="267">
        <f>W1527</f>
        <v>0</v>
      </c>
      <c r="Y1643" s="267">
        <f>Y1527</f>
        <v>0</v>
      </c>
      <c r="Z1643" s="267">
        <f>Z1527</f>
        <v>0</v>
      </c>
      <c r="AB1643" s="267">
        <f>AB1527</f>
        <v>0</v>
      </c>
      <c r="AC1643" s="267">
        <f>AC1527</f>
        <v>0</v>
      </c>
      <c r="AE1643" s="267">
        <f>AE1527</f>
        <v>0</v>
      </c>
      <c r="AF1643" s="267">
        <f>AF1527</f>
        <v>0</v>
      </c>
      <c r="AH1643" s="267">
        <f>AH1527</f>
        <v>0</v>
      </c>
      <c r="AI1643" s="267">
        <f>AI1527</f>
        <v>0</v>
      </c>
      <c r="AK1643" s="267">
        <f>AK1527</f>
        <v>0</v>
      </c>
      <c r="AL1643" s="267">
        <f>AL1527</f>
        <v>0</v>
      </c>
      <c r="AN1643" s="267">
        <f>AN1527</f>
        <v>0</v>
      </c>
      <c r="AO1643" s="267">
        <f>AO1527</f>
        <v>0</v>
      </c>
      <c r="AQ1643" s="267">
        <f>AQ1527</f>
        <v>0</v>
      </c>
      <c r="AR1643" s="267">
        <f>AR1527</f>
        <v>0</v>
      </c>
      <c r="AT1643" s="267">
        <f>AT1527</f>
        <v>0</v>
      </c>
      <c r="AU1643" s="267">
        <f>AU1527</f>
        <v>0</v>
      </c>
      <c r="AW1643" s="267">
        <f>AW1527</f>
        <v>0</v>
      </c>
      <c r="AX1643" s="267">
        <f>AX1527</f>
        <v>0</v>
      </c>
      <c r="AZ1643" s="267">
        <f>AZ1527</f>
        <v>0</v>
      </c>
      <c r="BA1643" s="267">
        <f>BA1527</f>
        <v>0</v>
      </c>
      <c r="BC1643" s="267">
        <f>BC1527</f>
        <v>1</v>
      </c>
      <c r="BD1643" s="267">
        <f>BD1527</f>
        <v>1</v>
      </c>
      <c r="BF1643" s="267">
        <f>BF1527</f>
        <v>1</v>
      </c>
      <c r="BG1643" s="267">
        <f>BG1527</f>
        <v>1</v>
      </c>
      <c r="BI1643" s="267">
        <f>BI1527</f>
        <v>1</v>
      </c>
      <c r="BJ1643" s="267">
        <f>BJ1527</f>
        <v>1</v>
      </c>
      <c r="BL1643" s="267">
        <f>BL1527</f>
        <v>0</v>
      </c>
      <c r="BM1643" s="267">
        <f>BM1527</f>
        <v>0</v>
      </c>
      <c r="BO1643" s="267">
        <f>BO1527</f>
        <v>0</v>
      </c>
      <c r="BP1643" s="267">
        <f>BP1527</f>
        <v>0</v>
      </c>
      <c r="BR1643" s="267">
        <f>BR1527</f>
        <v>0</v>
      </c>
      <c r="BS1643" s="267">
        <f>BS1527</f>
        <v>0</v>
      </c>
      <c r="BU1643" s="267">
        <f>BU1527</f>
        <v>0</v>
      </c>
      <c r="BV1643" s="267">
        <f>BV1527</f>
        <v>0</v>
      </c>
      <c r="BX1643" s="267">
        <f>BX1527</f>
        <v>0</v>
      </c>
      <c r="BY1643" s="267">
        <f>BY1527</f>
        <v>0</v>
      </c>
      <c r="CA1643" s="267">
        <f>CA1527</f>
        <v>0</v>
      </c>
      <c r="CB1643" s="267">
        <f>CB1527</f>
        <v>0</v>
      </c>
      <c r="CD1643" s="267">
        <f>CD1527</f>
        <v>3</v>
      </c>
      <c r="CE1643" s="267">
        <f>CE1527</f>
        <v>3</v>
      </c>
      <c r="CG1643" s="267">
        <f>CG1527</f>
        <v>0</v>
      </c>
      <c r="CH1643" s="267">
        <f>CH1527</f>
        <v>0</v>
      </c>
      <c r="CJ1643" s="267">
        <f>CJ1527</f>
        <v>0</v>
      </c>
      <c r="CK1643" s="267">
        <f>CK1527</f>
        <v>0</v>
      </c>
    </row>
    <row r="1644" spans="1:89" ht="60" x14ac:dyDescent="0.25">
      <c r="A1644" s="95"/>
      <c r="B1644" s="263"/>
      <c r="C1644" s="312" t="s">
        <v>2756</v>
      </c>
      <c r="D1644" s="95" t="s">
        <v>1112</v>
      </c>
      <c r="E1644" s="291"/>
      <c r="F1644" s="291"/>
      <c r="G1644" s="291"/>
      <c r="H1644" s="291">
        <v>0</v>
      </c>
      <c r="I1644" s="291">
        <v>0</v>
      </c>
      <c r="J1644" s="291">
        <f t="shared" si="1935"/>
        <v>0</v>
      </c>
      <c r="K1644" s="291">
        <f t="shared" si="1935"/>
        <v>0</v>
      </c>
      <c r="L1644" s="291">
        <f t="shared" si="1935"/>
        <v>0</v>
      </c>
      <c r="M1644" s="291">
        <f t="shared" si="1935"/>
        <v>0</v>
      </c>
      <c r="N1644" s="291">
        <f t="shared" ref="N1644" si="1937">N1528</f>
        <v>0</v>
      </c>
      <c r="Q1644" s="283">
        <f>S1644+V1644+Y1644+AB1644+AE1644+AH1644+AK1644+AN1644+AQ1644+AT1644+AW1644+AZ1644+BC1644+BF1644+BI1644+BL1644+BO1644+BR1644+BU1644+BX1644+CA1644+CD1644+CG1644+CJ1644</f>
        <v>0</v>
      </c>
      <c r="R1644" s="283">
        <f>T1644+W1644+Z1644+AC1644+AF1644+AI1644+AL1644+AO1644+AR1644+AU1644+AX1644+BA1644+BD1644+BG1644+BJ1644+BM1644+BP1644+BS1644+BV1644+BY1644+CB1644+CE1644+CH1644+CK1644</f>
        <v>0</v>
      </c>
      <c r="S1644" s="267">
        <f>S1528</f>
        <v>0</v>
      </c>
      <c r="T1644" s="267">
        <f>T1528</f>
        <v>0</v>
      </c>
      <c r="V1644" s="267">
        <f>V1528</f>
        <v>0</v>
      </c>
      <c r="W1644" s="267">
        <f>W1528</f>
        <v>0</v>
      </c>
      <c r="Y1644" s="267">
        <f>Y1528</f>
        <v>0</v>
      </c>
      <c r="Z1644" s="267">
        <f>Z1528</f>
        <v>0</v>
      </c>
      <c r="AB1644" s="267">
        <f>AB1528</f>
        <v>0</v>
      </c>
      <c r="AC1644" s="267">
        <f>AC1528</f>
        <v>0</v>
      </c>
      <c r="AE1644" s="267">
        <f>AE1528</f>
        <v>0</v>
      </c>
      <c r="AF1644" s="267">
        <f>AF1528</f>
        <v>0</v>
      </c>
      <c r="AH1644" s="267">
        <f>AH1528</f>
        <v>0</v>
      </c>
      <c r="AI1644" s="267">
        <f>AI1528</f>
        <v>0</v>
      </c>
      <c r="AK1644" s="267">
        <f>AK1528</f>
        <v>0</v>
      </c>
      <c r="AL1644" s="267">
        <f>AL1528</f>
        <v>0</v>
      </c>
      <c r="AN1644" s="267">
        <f>AN1528</f>
        <v>0</v>
      </c>
      <c r="AO1644" s="267">
        <f>AO1528</f>
        <v>0</v>
      </c>
      <c r="AQ1644" s="267">
        <f>AQ1528</f>
        <v>0</v>
      </c>
      <c r="AR1644" s="267">
        <f>AR1528</f>
        <v>0</v>
      </c>
      <c r="AT1644" s="267">
        <f>AT1528</f>
        <v>0</v>
      </c>
      <c r="AU1644" s="267">
        <f>AU1528</f>
        <v>0</v>
      </c>
      <c r="AW1644" s="267">
        <f>AW1528</f>
        <v>0</v>
      </c>
      <c r="AX1644" s="267">
        <f>AX1528</f>
        <v>0</v>
      </c>
      <c r="AZ1644" s="267">
        <f>AZ1528</f>
        <v>0</v>
      </c>
      <c r="BA1644" s="267">
        <f>BA1528</f>
        <v>0</v>
      </c>
      <c r="BC1644" s="267">
        <f>BC1528</f>
        <v>0</v>
      </c>
      <c r="BD1644" s="267">
        <f>BD1528</f>
        <v>0</v>
      </c>
      <c r="BF1644" s="267">
        <f>BF1528</f>
        <v>0</v>
      </c>
      <c r="BG1644" s="267">
        <f>BG1528</f>
        <v>0</v>
      </c>
      <c r="BI1644" s="267">
        <f>BI1528</f>
        <v>0</v>
      </c>
      <c r="BJ1644" s="267">
        <f>BJ1528</f>
        <v>0</v>
      </c>
      <c r="BL1644" s="267">
        <f>BL1528</f>
        <v>0</v>
      </c>
      <c r="BM1644" s="267">
        <f>BM1528</f>
        <v>0</v>
      </c>
      <c r="BO1644" s="267">
        <f>BO1528</f>
        <v>0</v>
      </c>
      <c r="BP1644" s="267">
        <f>BP1528</f>
        <v>0</v>
      </c>
      <c r="BR1644" s="267">
        <f>BR1528</f>
        <v>0</v>
      </c>
      <c r="BS1644" s="267">
        <f>BS1528</f>
        <v>0</v>
      </c>
      <c r="BU1644" s="267">
        <f>BU1528</f>
        <v>0</v>
      </c>
      <c r="BV1644" s="267">
        <f>BV1528</f>
        <v>0</v>
      </c>
      <c r="BX1644" s="267">
        <f>BX1528</f>
        <v>0</v>
      </c>
      <c r="BY1644" s="267">
        <f>BY1528</f>
        <v>0</v>
      </c>
      <c r="CA1644" s="267">
        <f>CA1528</f>
        <v>0</v>
      </c>
      <c r="CB1644" s="267">
        <f>CB1528</f>
        <v>0</v>
      </c>
      <c r="CD1644" s="267">
        <f>CD1528</f>
        <v>0</v>
      </c>
      <c r="CE1644" s="267">
        <f>CE1528</f>
        <v>0</v>
      </c>
      <c r="CG1644" s="267">
        <f>CG1528</f>
        <v>0</v>
      </c>
      <c r="CH1644" s="267">
        <f>CH1528</f>
        <v>0</v>
      </c>
      <c r="CJ1644" s="267">
        <f>CJ1528</f>
        <v>0</v>
      </c>
      <c r="CK1644" s="267">
        <f>CK1528</f>
        <v>0</v>
      </c>
    </row>
    <row r="1645" spans="1:89" ht="90" x14ac:dyDescent="0.25">
      <c r="A1645" s="95" t="s">
        <v>2551</v>
      </c>
      <c r="B1645" s="96" t="s">
        <v>1721</v>
      </c>
      <c r="C1645" s="95"/>
      <c r="D1645" s="95"/>
      <c r="E1645" s="280"/>
      <c r="F1645" s="280"/>
      <c r="G1645" s="280"/>
      <c r="H1645" s="280"/>
      <c r="I1645" s="280"/>
      <c r="J1645" s="280"/>
      <c r="K1645" s="280"/>
      <c r="L1645" s="280"/>
      <c r="M1645" s="280"/>
      <c r="N1645" s="280"/>
      <c r="O1645" s="281" t="s">
        <v>140</v>
      </c>
    </row>
    <row r="1646" spans="1:89" x14ac:dyDescent="0.25">
      <c r="A1646" s="263"/>
      <c r="B1646" s="96" t="s">
        <v>1182</v>
      </c>
      <c r="C1646" s="107"/>
      <c r="D1646" s="95" t="s">
        <v>8</v>
      </c>
      <c r="E1646" s="279">
        <f t="shared" ref="E1646:K1646" si="1938">((E1652+E1653+E1656)/(E1663+E1664+E1667))*100</f>
        <v>11.370262390670554</v>
      </c>
      <c r="F1646" s="279">
        <f t="shared" si="1938"/>
        <v>10.029498525073747</v>
      </c>
      <c r="G1646" s="279">
        <f t="shared" si="1938"/>
        <v>8.7878787878787872</v>
      </c>
      <c r="H1646" s="279">
        <f t="shared" si="1938"/>
        <v>8.3850931677018643</v>
      </c>
      <c r="I1646" s="279">
        <f t="shared" si="1938"/>
        <v>6.2893081761006293</v>
      </c>
      <c r="J1646" s="279">
        <f t="shared" si="1938"/>
        <v>5.1282051282051277</v>
      </c>
      <c r="K1646" s="279">
        <f t="shared" si="1938"/>
        <v>2.9914529914529915</v>
      </c>
      <c r="L1646" s="279">
        <f t="shared" ref="L1646:M1646" si="1939">((L1652+L1653+L1656)/(L1663+L1664+L1667))*100</f>
        <v>0</v>
      </c>
      <c r="M1646" s="279">
        <f t="shared" si="1939"/>
        <v>0</v>
      </c>
      <c r="N1646" s="279">
        <f t="shared" ref="N1646" si="1940">((N1652+N1653+N1656)/(N1663+N1664+N1667))*100</f>
        <v>0</v>
      </c>
      <c r="Q1646" s="279">
        <f>((Q1652+Q1653+Q1656)/(Q1663+Q1664+Q1667))*100</f>
        <v>2.9914529914529915</v>
      </c>
      <c r="R1646" s="279">
        <f>((R1652+R1653+R1656)/(R1663+R1664+R1667))*100</f>
        <v>3.3195020746887969</v>
      </c>
      <c r="S1646" s="279">
        <f>((S1652+S1653+S1656)/(S1663+S1664+S1667))*100</f>
        <v>0</v>
      </c>
      <c r="T1646" s="279">
        <f>((T1652+T1653+T1656)/(T1663+T1664+T1667))*100</f>
        <v>0</v>
      </c>
      <c r="V1646" s="279">
        <f>((V1652+V1653+V1656)/(V1663+V1664+V1667))*100</f>
        <v>0</v>
      </c>
      <c r="W1646" s="279">
        <f>((W1652+W1653+W1656)/(W1663+W1664+W1667))*100</f>
        <v>0</v>
      </c>
      <c r="Y1646" s="279">
        <f>((Y1652+Y1653+Y1656)/(Y1663+Y1664+Y1667))*100</f>
        <v>0</v>
      </c>
      <c r="Z1646" s="279">
        <f>((Z1652+Z1653+Z1656)/(Z1663+Z1664+Z1667))*100</f>
        <v>0</v>
      </c>
      <c r="AB1646" s="279">
        <f>((AB1652+AB1653+AB1656)/(AB1663+AB1664+AB1667))*100</f>
        <v>0</v>
      </c>
      <c r="AC1646" s="279">
        <f>((AC1652+AC1653+AC1656)/(AC1663+AC1664+AC1667))*100</f>
        <v>0</v>
      </c>
      <c r="AE1646" s="279">
        <f>((AE1652+AE1653+AE1656)/(AE1663+AE1664+AE1667))*100</f>
        <v>0</v>
      </c>
      <c r="AF1646" s="279">
        <f>((AF1652+AF1653+AF1656)/(AF1663+AF1664+AF1667))*100</f>
        <v>0</v>
      </c>
      <c r="AH1646" s="279">
        <f>((AH1652+AH1653+AH1656)/(AH1663+AH1664+AH1667))*100</f>
        <v>0</v>
      </c>
      <c r="AI1646" s="279">
        <f>((AI1652+AI1653+AI1656)/(AI1663+AI1664+AI1667))*100</f>
        <v>0</v>
      </c>
      <c r="AK1646" s="279">
        <f>((AK1652+AK1653+AK1656)/(AK1663+AK1664+AK1667))*100</f>
        <v>33.333333333333329</v>
      </c>
      <c r="AL1646" s="279">
        <f>((AL1652+AL1653+AL1656)/(AL1663+AL1664+AL1667))*100</f>
        <v>33.333333333333329</v>
      </c>
      <c r="AN1646" s="279">
        <f>((AN1652+AN1653+AN1656)/(AN1663+AN1664+AN1667))*100</f>
        <v>0</v>
      </c>
      <c r="AO1646" s="279">
        <f>((AO1652+AO1653+AO1656)/(AO1663+AO1664+AO1667))*100</f>
        <v>0</v>
      </c>
      <c r="AQ1646" s="279">
        <f>((AQ1652+AQ1653+AQ1656)/(AQ1663+AQ1664+AQ1667))*100</f>
        <v>9.67741935483871</v>
      </c>
      <c r="AR1646" s="279">
        <f>((AR1652+AR1653+AR1656)/(AR1663+AR1664+AR1667))*100</f>
        <v>13.513513513513514</v>
      </c>
      <c r="AT1646" s="279">
        <f>((AT1652+AT1653+AT1656)/(AT1663+AT1664+AT1667))*100</f>
        <v>0</v>
      </c>
      <c r="AU1646" s="279">
        <f>((AU1652+AU1653+AU1656)/(AU1663+AU1664+AU1667))*100</f>
        <v>0</v>
      </c>
      <c r="AW1646" s="279">
        <f>((AW1652+AW1653+AW1656)/(AW1663+AW1664+AW1667))*100</f>
        <v>0</v>
      </c>
      <c r="AX1646" s="279">
        <f>((AX1652+AX1653+AX1656)/(AX1663+AX1664+AX1667))*100</f>
        <v>0</v>
      </c>
      <c r="AZ1646" s="279">
        <f>((AZ1652+AZ1653+AZ1656)/(AZ1663+AZ1664+AZ1667))*100</f>
        <v>0</v>
      </c>
      <c r="BA1646" s="279">
        <f>((BA1652+BA1653+BA1656)/(BA1663+BA1664+BA1667))*100</f>
        <v>0</v>
      </c>
      <c r="BC1646" s="279">
        <f>((BC1652+BC1653+BC1656)/(BC1663+BC1664+BC1667))*100</f>
        <v>0</v>
      </c>
      <c r="BD1646" s="279">
        <f>((BD1652+BD1653+BD1656)/(BD1663+BD1664+BD1667))*100</f>
        <v>0</v>
      </c>
      <c r="BF1646" s="279">
        <f>((BF1652+BF1653+BF1656)/(BF1663+BF1664+BF1667))*100</f>
        <v>0</v>
      </c>
      <c r="BG1646" s="279">
        <f>((BG1652+BG1653+BG1656)/(BG1663+BG1664+BG1667))*100</f>
        <v>0</v>
      </c>
      <c r="BI1646" s="279">
        <f>((BI1652+BI1653+BI1656)/(BI1663+BI1664+BI1667))*100</f>
        <v>1.6129032258064515</v>
      </c>
      <c r="BJ1646" s="279">
        <f>((BJ1652+BJ1653+BJ1656)/(BJ1663+BJ1664+BJ1667))*100</f>
        <v>1.5873015873015872</v>
      </c>
      <c r="BL1646" s="279">
        <f>((BL1652+BL1653+BL1656)/(BL1663+BL1664+BL1667))*100</f>
        <v>0</v>
      </c>
      <c r="BM1646" s="279">
        <f>((BM1652+BM1653+BM1656)/(BM1663+BM1664+BM1667))*100</f>
        <v>0</v>
      </c>
      <c r="BO1646" s="279">
        <f>((BO1652+BO1653+BO1656)/(BO1663+BO1664+BO1667))*100</f>
        <v>12.5</v>
      </c>
      <c r="BP1646" s="279">
        <f>((BP1652+BP1653+BP1656)/(BP1663+BP1664+BP1667))*100</f>
        <v>12.5</v>
      </c>
      <c r="BR1646" s="279">
        <f>((BR1652+BR1653+BR1656)/(BR1663+BR1664+BR1667))*100</f>
        <v>7.1428571428571423</v>
      </c>
      <c r="BS1646" s="279">
        <f>((BS1652+BS1653+BS1656)/(BS1663+BS1664+BS1667))*100</f>
        <v>7.1428571428571423</v>
      </c>
      <c r="BU1646" s="279">
        <f>((BU1652+BU1653+BU1656)/(BU1663+BU1664+BU1667))*100</f>
        <v>0</v>
      </c>
      <c r="BV1646" s="279">
        <f>((BV1652+BV1653+BV1656)/(BV1663+BV1664+BV1667))*100</f>
        <v>0</v>
      </c>
      <c r="BX1646" s="279">
        <f>((BX1652+BX1653+BX1656)/(BX1663+BX1664+BX1667))*100</f>
        <v>0</v>
      </c>
      <c r="BY1646" s="279">
        <f>((BY1652+BY1653+BY1656)/(BY1663+BY1664+BY1667))*100</f>
        <v>0</v>
      </c>
      <c r="CA1646" s="279">
        <f>((CA1652+CA1653+CA1656)/(CA1663+CA1664+CA1667))*100</f>
        <v>0</v>
      </c>
      <c r="CB1646" s="279">
        <f>((CB1652+CB1653+CB1656)/(CB1663+CB1664+CB1667))*100</f>
        <v>0</v>
      </c>
      <c r="CD1646" s="279">
        <f>((CD1652+CD1653+CD1656)/(CD1663+CD1664+CD1667))*100</f>
        <v>0</v>
      </c>
      <c r="CE1646" s="279">
        <f>((CE1652+CE1653+CE1656)/(CE1663+CE1664+CE1667))*100</f>
        <v>0</v>
      </c>
      <c r="CG1646" s="279">
        <f>((CG1652+CG1653+CG1656)/(CG1663+CG1664+CG1667))*100</f>
        <v>10.344827586206897</v>
      </c>
      <c r="CH1646" s="279">
        <f>((CH1652+CH1653+CH1656)/(CH1663+CH1664+CH1667))*100</f>
        <v>10.344827586206897</v>
      </c>
      <c r="CJ1646" s="279" t="e">
        <f>((CJ1652+CJ1653+CJ1656)/(CJ1663+CJ1664+CJ1667))*100</f>
        <v>#DIV/0!</v>
      </c>
      <c r="CK1646" s="279" t="e">
        <f>((CK1652+CK1653+CK1656)/(CK1663+CK1664+CK1667))*100</f>
        <v>#DIV/0!</v>
      </c>
    </row>
    <row r="1647" spans="1:89" x14ac:dyDescent="0.25">
      <c r="A1647" s="263"/>
      <c r="B1647" s="96" t="s">
        <v>1183</v>
      </c>
      <c r="C1647" s="107"/>
      <c r="D1647" s="95"/>
      <c r="E1647" s="279"/>
      <c r="F1647" s="279"/>
      <c r="G1647" s="279"/>
      <c r="H1647" s="279">
        <f>((H1652+H1656)/(H1663+H1667))*100</f>
        <v>8.5585585585585591</v>
      </c>
      <c r="I1647" s="279">
        <f>((I1652+I1656)/(I1663+I1667))*100</f>
        <v>5.9090909090909092</v>
      </c>
      <c r="J1647" s="279">
        <f>((J1652+J1656)/(J1663+J1667))*100</f>
        <v>4.4025157232704402</v>
      </c>
      <c r="K1647" s="279">
        <f>((K1652+K1656)/(K1663+K1667))*100</f>
        <v>3.1645569620253164</v>
      </c>
      <c r="L1647" s="279">
        <f>((L1652+L1656)/(L1663+L1667))*100</f>
        <v>0</v>
      </c>
      <c r="M1647" s="279">
        <f t="shared" ref="M1647:N1647" si="1941">((M1652+M1656)/(M1663+M1667))*100</f>
        <v>0</v>
      </c>
      <c r="N1647" s="279">
        <f t="shared" si="1941"/>
        <v>0</v>
      </c>
      <c r="Q1647" s="279">
        <f>((Q1652+Q1656)/(Q1663+Q1667))*100</f>
        <v>3.1645569620253164</v>
      </c>
      <c r="R1647" s="279">
        <f>((R1652+R1656)/(R1663+R1667))*100</f>
        <v>3.0769230769230771</v>
      </c>
      <c r="S1647" s="279">
        <f>((S1652+S1656)/(S1663+S1667))*100</f>
        <v>0</v>
      </c>
      <c r="T1647" s="279">
        <f>((T1652+T1656)/(T1663+T1667))*100</f>
        <v>0</v>
      </c>
      <c r="V1647" s="279">
        <f>((V1652+V1656)/(V1663+V1667))*100</f>
        <v>0</v>
      </c>
      <c r="W1647" s="279">
        <f>((W1652+W1656)/(W1663+W1667))*100</f>
        <v>0</v>
      </c>
      <c r="Y1647" s="279">
        <f>((Y1652+Y1656)/(Y1663+Y1667))*100</f>
        <v>0</v>
      </c>
      <c r="Z1647" s="279">
        <f>((Z1652+Z1656)/(Z1663+Z1667))*100</f>
        <v>0</v>
      </c>
      <c r="AB1647" s="279">
        <f>((AB1652+AB1656)/(AB1663+AB1667))*100</f>
        <v>0</v>
      </c>
      <c r="AC1647" s="279">
        <f>((AC1652+AC1656)/(AC1663+AC1667))*100</f>
        <v>0</v>
      </c>
      <c r="AE1647" s="279">
        <f>((AE1652+AE1656)/(AE1663+AE1667))*100</f>
        <v>0</v>
      </c>
      <c r="AF1647" s="279">
        <f>((AF1652+AF1656)/(AF1663+AF1667))*100</f>
        <v>0</v>
      </c>
      <c r="AH1647" s="279">
        <f>((AH1652+AH1656)/(AH1663+AH1667))*100</f>
        <v>0</v>
      </c>
      <c r="AI1647" s="279">
        <f>((AI1652+AI1656)/(AI1663+AI1667))*100</f>
        <v>0</v>
      </c>
      <c r="AK1647" s="279">
        <f>((AK1652+AK1656)/(AK1663+AK1667))*100</f>
        <v>30.76923076923077</v>
      </c>
      <c r="AL1647" s="279">
        <f>((AL1652+AL1656)/(AL1663+AL1667))*100</f>
        <v>30.76923076923077</v>
      </c>
      <c r="AN1647" s="279">
        <f>((AN1652+AN1656)/(AN1663+AN1667))*100</f>
        <v>0</v>
      </c>
      <c r="AO1647" s="279">
        <f>((AO1652+AO1656)/(AO1663+AO1667))*100</f>
        <v>0</v>
      </c>
      <c r="AQ1647" s="279" t="e">
        <f>((AQ1652+AQ1656)/(AQ1663+AQ1667))*100</f>
        <v>#DIV/0!</v>
      </c>
      <c r="AR1647" s="279" t="e">
        <f>((AR1652+AR1656)/(AR1663+AR1667))*100</f>
        <v>#DIV/0!</v>
      </c>
      <c r="AT1647" s="279">
        <f>((AT1652+AT1656)/(AT1663+AT1667))*100</f>
        <v>0</v>
      </c>
      <c r="AU1647" s="279">
        <f>((AU1652+AU1656)/(AU1663+AU1667))*100</f>
        <v>0</v>
      </c>
      <c r="AW1647" s="279">
        <f>((AW1652+AW1656)/(AW1663+AW1667))*100</f>
        <v>0</v>
      </c>
      <c r="AX1647" s="279">
        <f>((AX1652+AX1656)/(AX1663+AX1667))*100</f>
        <v>0</v>
      </c>
      <c r="AZ1647" s="279">
        <f>((AZ1652+AZ1656)/(AZ1663+AZ1667))*100</f>
        <v>0</v>
      </c>
      <c r="BA1647" s="279">
        <f>((BA1652+BA1656)/(BA1663+BA1667))*100</f>
        <v>0</v>
      </c>
      <c r="BC1647" s="279">
        <f>((BC1652+BC1656)/(BC1663+BC1667))*100</f>
        <v>0</v>
      </c>
      <c r="BD1647" s="279">
        <f>((BD1652+BD1656)/(BD1663+BD1667))*100</f>
        <v>0</v>
      </c>
      <c r="BF1647" s="279">
        <f>((BF1652+BF1656)/(BF1663+BF1667))*100</f>
        <v>0</v>
      </c>
      <c r="BG1647" s="279">
        <f>((BG1652+BG1656)/(BG1663+BG1667))*100</f>
        <v>0</v>
      </c>
      <c r="BI1647" s="279">
        <f>((BI1652+BI1656)/(BI1663+BI1667))*100</f>
        <v>1.6129032258064515</v>
      </c>
      <c r="BJ1647" s="279">
        <f>((BJ1652+BJ1656)/(BJ1663+BJ1667))*100</f>
        <v>1.5873015873015872</v>
      </c>
      <c r="BL1647" s="279">
        <f>((BL1652+BL1656)/(BL1663+BL1667))*100</f>
        <v>0</v>
      </c>
      <c r="BM1647" s="279">
        <f>((BM1652+BM1656)/(BM1663+BM1667))*100</f>
        <v>0</v>
      </c>
      <c r="BO1647" s="279">
        <f>((BO1652+BO1656)/(BO1663+BO1667))*100</f>
        <v>12.5</v>
      </c>
      <c r="BP1647" s="279">
        <f>((BP1652+BP1656)/(BP1663+BP1667))*100</f>
        <v>12.5</v>
      </c>
      <c r="BR1647" s="279">
        <f>((BR1652+BR1656)/(BR1663+BR1667))*100</f>
        <v>7.1428571428571423</v>
      </c>
      <c r="BS1647" s="279">
        <f>((BS1652+BS1656)/(BS1663+BS1667))*100</f>
        <v>7.1428571428571423</v>
      </c>
      <c r="BU1647" s="279">
        <f>((BU1652+BU1656)/(BU1663+BU1667))*100</f>
        <v>0</v>
      </c>
      <c r="BV1647" s="279">
        <f>((BV1652+BV1656)/(BV1663+BV1667))*100</f>
        <v>0</v>
      </c>
      <c r="BX1647" s="279">
        <f>((BX1652+BX1656)/(BX1663+BX1667))*100</f>
        <v>0</v>
      </c>
      <c r="BY1647" s="279">
        <f>((BY1652+BY1656)/(BY1663+BY1667))*100</f>
        <v>0</v>
      </c>
      <c r="CA1647" s="279">
        <f>((CA1652+CA1656)/(CA1663+CA1667))*100</f>
        <v>0</v>
      </c>
      <c r="CB1647" s="279">
        <f>((CB1652+CB1656)/(CB1663+CB1667))*100</f>
        <v>0</v>
      </c>
      <c r="CD1647" s="279">
        <f>((CD1652+CD1656)/(CD1663+CD1667))*100</f>
        <v>0</v>
      </c>
      <c r="CE1647" s="279">
        <f>((CE1652+CE1656)/(CE1663+CE1667))*100</f>
        <v>0</v>
      </c>
      <c r="CG1647" s="279">
        <f>((CG1652+CG1656)/(CG1663+CG1667))*100</f>
        <v>12.5</v>
      </c>
      <c r="CH1647" s="279">
        <f>((CH1652+CH1656)/(CH1663+CH1667))*100</f>
        <v>12.5</v>
      </c>
      <c r="CJ1647" s="279" t="e">
        <f>((CJ1652+CJ1656)/(CJ1663+CJ1667))*100</f>
        <v>#DIV/0!</v>
      </c>
      <c r="CK1647" s="279" t="e">
        <f>((CK1652+CK1656)/(CK1663+CK1667))*100</f>
        <v>#DIV/0!</v>
      </c>
    </row>
    <row r="1648" spans="1:89" x14ac:dyDescent="0.25">
      <c r="A1648" s="263"/>
      <c r="B1648" s="96" t="s">
        <v>1185</v>
      </c>
      <c r="C1648" s="107"/>
      <c r="D1648" s="95"/>
      <c r="E1648" s="279"/>
      <c r="F1648" s="279"/>
      <c r="G1648" s="279"/>
      <c r="H1648" s="279">
        <f>((H1653+H1656)/(H1664+H1667))*100</f>
        <v>8</v>
      </c>
      <c r="I1648" s="279">
        <f>((I1653+I1656)/(I1664+I1667))*100</f>
        <v>7.1428571428571423</v>
      </c>
      <c r="J1648" s="279">
        <f>((J1653+J1656)/(J1664+J1667))*100</f>
        <v>6.666666666666667</v>
      </c>
      <c r="K1648" s="279">
        <f>((K1653+K1656)/(K1664+K1667))*100</f>
        <v>2.6315789473684208</v>
      </c>
      <c r="L1648" s="279">
        <f>((L1653+L1656)/(L1664+L1667))*100</f>
        <v>0</v>
      </c>
      <c r="M1648" s="279">
        <f t="shared" ref="M1648:N1648" si="1942">((M1653+M1656)/(M1664+M1667))*100</f>
        <v>0</v>
      </c>
      <c r="N1648" s="279">
        <f t="shared" si="1942"/>
        <v>0</v>
      </c>
      <c r="Q1648" s="279">
        <f>((Q1653+Q1656)/(Q1664+Q1667))*100</f>
        <v>2.6315789473684208</v>
      </c>
      <c r="R1648" s="279">
        <f>((R1653+R1656)/(R1664+R1667))*100</f>
        <v>3.8216560509554141</v>
      </c>
      <c r="S1648" s="279">
        <f>((S1653+S1656)/(S1664+S1667))*100</f>
        <v>0</v>
      </c>
      <c r="T1648" s="279">
        <f>((T1653+T1656)/(T1664+T1667))*100</f>
        <v>0</v>
      </c>
      <c r="V1648" s="279">
        <f>((V1653+V1656)/(V1664+V1667))*100</f>
        <v>0</v>
      </c>
      <c r="W1648" s="279">
        <f>((W1653+W1656)/(W1664+W1667))*100</f>
        <v>0</v>
      </c>
      <c r="Y1648" s="279">
        <f>((Y1653+Y1656)/(Y1664+Y1667))*100</f>
        <v>0</v>
      </c>
      <c r="Z1648" s="279">
        <f>((Z1653+Z1656)/(Z1664+Z1667))*100</f>
        <v>0</v>
      </c>
      <c r="AB1648" s="279">
        <f>((AB1653+AB1656)/(AB1664+AB1667))*100</f>
        <v>0</v>
      </c>
      <c r="AC1648" s="279">
        <f>((AC1653+AC1656)/(AC1664+AC1667))*100</f>
        <v>0</v>
      </c>
      <c r="AE1648" s="279">
        <f>((AE1653+AE1656)/(AE1664+AE1667))*100</f>
        <v>0</v>
      </c>
      <c r="AF1648" s="279">
        <f>((AF1653+AF1656)/(AF1664+AF1667))*100</f>
        <v>0</v>
      </c>
      <c r="AH1648" s="279">
        <f>((AH1653+AH1656)/(AH1664+AH1667))*100</f>
        <v>0</v>
      </c>
      <c r="AI1648" s="279">
        <f>((AI1653+AI1656)/(AI1664+AI1667))*100</f>
        <v>0</v>
      </c>
      <c r="AK1648" s="279">
        <f>((AK1653+AK1656)/(AK1664+AK1667))*100</f>
        <v>50</v>
      </c>
      <c r="AL1648" s="279">
        <f>((AL1653+AL1656)/(AL1664+AL1667))*100</f>
        <v>50</v>
      </c>
      <c r="AN1648" s="279">
        <f>((AN1653+AN1656)/(AN1664+AN1667))*100</f>
        <v>0</v>
      </c>
      <c r="AO1648" s="279">
        <f>((AO1653+AO1656)/(AO1664+AO1667))*100</f>
        <v>0</v>
      </c>
      <c r="AQ1648" s="279">
        <f>((AQ1653+AQ1656)/(AQ1664+AQ1667))*100</f>
        <v>9.67741935483871</v>
      </c>
      <c r="AR1648" s="279">
        <f>((AR1653+AR1656)/(AR1664+AR1667))*100</f>
        <v>13.513513513513514</v>
      </c>
      <c r="AT1648" s="279" t="e">
        <f>((AT1653+AT1656)/(AT1664+AT1667))*100</f>
        <v>#DIV/0!</v>
      </c>
      <c r="AU1648" s="279" t="e">
        <f>((AU1653+AU1656)/(AU1664+AU1667))*100</f>
        <v>#DIV/0!</v>
      </c>
      <c r="AW1648" s="279" t="e">
        <f>((AW1653+AW1656)/(AW1664+AW1667))*100</f>
        <v>#DIV/0!</v>
      </c>
      <c r="AX1648" s="279" t="e">
        <f>((AX1653+AX1656)/(AX1664+AX1667))*100</f>
        <v>#DIV/0!</v>
      </c>
      <c r="AZ1648" s="279" t="e">
        <f>((AZ1653+AZ1656)/(AZ1664+AZ1667))*100</f>
        <v>#DIV/0!</v>
      </c>
      <c r="BA1648" s="279" t="e">
        <f>((BA1653+BA1656)/(BA1664+BA1667))*100</f>
        <v>#DIV/0!</v>
      </c>
      <c r="BC1648" s="279" t="e">
        <f>((BC1653+BC1656)/(BC1664+BC1667))*100</f>
        <v>#DIV/0!</v>
      </c>
      <c r="BD1648" s="279" t="e">
        <f>((BD1653+BD1656)/(BD1664+BD1667))*100</f>
        <v>#DIV/0!</v>
      </c>
      <c r="BF1648" s="279" t="e">
        <f>((BF1653+BF1656)/(BF1664+BF1667))*100</f>
        <v>#DIV/0!</v>
      </c>
      <c r="BG1648" s="279" t="e">
        <f>((BG1653+BG1656)/(BG1664+BG1667))*100</f>
        <v>#DIV/0!</v>
      </c>
      <c r="BI1648" s="279" t="e">
        <f>((BI1653+BI1656)/(BI1664+BI1667))*100</f>
        <v>#DIV/0!</v>
      </c>
      <c r="BJ1648" s="279" t="e">
        <f>((BJ1653+BJ1656)/(BJ1664+BJ1667))*100</f>
        <v>#DIV/0!</v>
      </c>
      <c r="BL1648" s="279" t="e">
        <f>((BL1653+BL1656)/(BL1664+BL1667))*100</f>
        <v>#DIV/0!</v>
      </c>
      <c r="BM1648" s="279" t="e">
        <f>((BM1653+BM1656)/(BM1664+BM1667))*100</f>
        <v>#DIV/0!</v>
      </c>
      <c r="BO1648" s="279" t="e">
        <f>((BO1653+BO1656)/(BO1664+BO1667))*100</f>
        <v>#DIV/0!</v>
      </c>
      <c r="BP1648" s="279" t="e">
        <f>((BP1653+BP1656)/(BP1664+BP1667))*100</f>
        <v>#DIV/0!</v>
      </c>
      <c r="BR1648" s="279" t="e">
        <f>((BR1653+BR1656)/(BR1664+BR1667))*100</f>
        <v>#DIV/0!</v>
      </c>
      <c r="BS1648" s="279" t="e">
        <f>((BS1653+BS1656)/(BS1664+BS1667))*100</f>
        <v>#DIV/0!</v>
      </c>
      <c r="BU1648" s="279" t="e">
        <f>((BU1653+BU1656)/(BU1664+BU1667))*100</f>
        <v>#DIV/0!</v>
      </c>
      <c r="BV1648" s="279" t="e">
        <f>((BV1653+BV1656)/(BV1664+BV1667))*100</f>
        <v>#DIV/0!</v>
      </c>
      <c r="BX1648" s="279" t="e">
        <f>((BX1653+BX1656)/(BX1664+BX1667))*100</f>
        <v>#DIV/0!</v>
      </c>
      <c r="BY1648" s="279" t="e">
        <f>((BY1653+BY1656)/(BY1664+BY1667))*100</f>
        <v>#DIV/0!</v>
      </c>
      <c r="CA1648" s="279" t="e">
        <f>((CA1653+CA1656)/(CA1664+CA1667))*100</f>
        <v>#DIV/0!</v>
      </c>
      <c r="CB1648" s="279" t="e">
        <f>((CB1653+CB1656)/(CB1664+CB1667))*100</f>
        <v>#DIV/0!</v>
      </c>
      <c r="CD1648" s="279" t="e">
        <f>((CD1653+CD1656)/(CD1664+CD1667))*100</f>
        <v>#DIV/0!</v>
      </c>
      <c r="CE1648" s="279" t="e">
        <f>((CE1653+CE1656)/(CE1664+CE1667))*100</f>
        <v>#DIV/0!</v>
      </c>
      <c r="CG1648" s="279">
        <f>((CG1653+CG1656)/(CG1664+CG1667))*100</f>
        <v>0</v>
      </c>
      <c r="CH1648" s="279">
        <f>((CH1653+CH1656)/(CH1664+CH1667))*100</f>
        <v>0</v>
      </c>
      <c r="CJ1648" s="279" t="e">
        <f>((CJ1653+CJ1656)/(CJ1664+CJ1667))*100</f>
        <v>#DIV/0!</v>
      </c>
      <c r="CK1648" s="279" t="e">
        <f>((CK1653+CK1656)/(CK1664+CK1667))*100</f>
        <v>#DIV/0!</v>
      </c>
    </row>
    <row r="1649" spans="1:89" x14ac:dyDescent="0.25">
      <c r="A1649" s="263"/>
      <c r="B1649" s="96" t="s">
        <v>1184</v>
      </c>
      <c r="C1649" s="107"/>
      <c r="D1649" s="95" t="s">
        <v>8</v>
      </c>
      <c r="E1649" s="279">
        <f t="shared" ref="E1649:J1649" si="1943">((E1654+E1655)/(E1665+E1666))*100</f>
        <v>0</v>
      </c>
      <c r="F1649" s="279">
        <f t="shared" si="1943"/>
        <v>0</v>
      </c>
      <c r="G1649" s="279">
        <f t="shared" si="1943"/>
        <v>20</v>
      </c>
      <c r="H1649" s="279">
        <f t="shared" si="1943"/>
        <v>0</v>
      </c>
      <c r="I1649" s="279">
        <f t="shared" si="1943"/>
        <v>0</v>
      </c>
      <c r="J1649" s="279">
        <f t="shared" si="1943"/>
        <v>0</v>
      </c>
      <c r="K1649" s="279">
        <f>((K1654+K1655)/(K1665+K1666))*100</f>
        <v>0</v>
      </c>
      <c r="L1649" s="279" t="e">
        <f>((L1654+L1655)/(L1665+L1666))*100</f>
        <v>#DIV/0!</v>
      </c>
      <c r="M1649" s="279" t="e">
        <f>((M1654+M1655)/(M1665+M1666))*100</f>
        <v>#DIV/0!</v>
      </c>
      <c r="N1649" s="279" t="e">
        <f>((N1654+N1655)/(N1665+N1666))*100</f>
        <v>#DIV/0!</v>
      </c>
      <c r="Q1649" s="279">
        <f>((Q1654+Q1655)/(Q1665+Q1666))*100</f>
        <v>0</v>
      </c>
      <c r="R1649" s="279">
        <f>((R1654+R1655)/(R1665+R1666))*100</f>
        <v>0</v>
      </c>
      <c r="S1649" s="279" t="e">
        <f>((S1654+S1655)/(S1665+S1666))*100</f>
        <v>#DIV/0!</v>
      </c>
      <c r="T1649" s="279" t="e">
        <f>((T1654+T1655)/(T1665+T1666))*100</f>
        <v>#DIV/0!</v>
      </c>
      <c r="V1649" s="279" t="e">
        <f>((V1654+V1655)/(V1665+V1666))*100</f>
        <v>#DIV/0!</v>
      </c>
      <c r="W1649" s="279" t="e">
        <f>((W1654+W1655)/(W1665+W1666))*100</f>
        <v>#DIV/0!</v>
      </c>
      <c r="Y1649" s="279" t="e">
        <f>((Y1654+Y1655)/(Y1665+Y1666))*100</f>
        <v>#DIV/0!</v>
      </c>
      <c r="Z1649" s="279" t="e">
        <f>((Z1654+Z1655)/(Z1665+Z1666))*100</f>
        <v>#DIV/0!</v>
      </c>
      <c r="AB1649" s="279" t="e">
        <f>((AB1654+AB1655)/(AB1665+AB1666))*100</f>
        <v>#DIV/0!</v>
      </c>
      <c r="AC1649" s="279" t="e">
        <f>((AC1654+AC1655)/(AC1665+AC1666))*100</f>
        <v>#DIV/0!</v>
      </c>
      <c r="AE1649" s="279" t="e">
        <f>((AE1654+AE1655)/(AE1665+AE1666))*100</f>
        <v>#DIV/0!</v>
      </c>
      <c r="AF1649" s="279" t="e">
        <f>((AF1654+AF1655)/(AF1665+AF1666))*100</f>
        <v>#DIV/0!</v>
      </c>
      <c r="AH1649" s="279" t="e">
        <f>((AH1654+AH1655)/(AH1665+AH1666))*100</f>
        <v>#DIV/0!</v>
      </c>
      <c r="AI1649" s="279" t="e">
        <f>((AI1654+AI1655)/(AI1665+AI1666))*100</f>
        <v>#DIV/0!</v>
      </c>
      <c r="AK1649" s="279" t="e">
        <f>((AK1654+AK1655)/(AK1665+AK1666))*100</f>
        <v>#DIV/0!</v>
      </c>
      <c r="AL1649" s="279" t="e">
        <f>((AL1654+AL1655)/(AL1665+AL1666))*100</f>
        <v>#DIV/0!</v>
      </c>
      <c r="AN1649" s="279" t="e">
        <f>((AN1654+AN1655)/(AN1665+AN1666))*100</f>
        <v>#DIV/0!</v>
      </c>
      <c r="AO1649" s="279" t="e">
        <f>((AO1654+AO1655)/(AO1665+AO1666))*100</f>
        <v>#DIV/0!</v>
      </c>
      <c r="AQ1649" s="279" t="e">
        <f>((AQ1654+AQ1655)/(AQ1665+AQ1666))*100</f>
        <v>#DIV/0!</v>
      </c>
      <c r="AR1649" s="279" t="e">
        <f>((AR1654+AR1655)/(AR1665+AR1666))*100</f>
        <v>#DIV/0!</v>
      </c>
      <c r="AT1649" s="279" t="e">
        <f>((AT1654+AT1655)/(AT1665+AT1666))*100</f>
        <v>#DIV/0!</v>
      </c>
      <c r="AU1649" s="279" t="e">
        <f>((AU1654+AU1655)/(AU1665+AU1666))*100</f>
        <v>#DIV/0!</v>
      </c>
      <c r="AW1649" s="279" t="e">
        <f>((AW1654+AW1655)/(AW1665+AW1666))*100</f>
        <v>#DIV/0!</v>
      </c>
      <c r="AX1649" s="279" t="e">
        <f>((AX1654+AX1655)/(AX1665+AX1666))*100</f>
        <v>#DIV/0!</v>
      </c>
      <c r="AZ1649" s="279" t="e">
        <f>((AZ1654+AZ1655)/(AZ1665+AZ1666))*100</f>
        <v>#DIV/0!</v>
      </c>
      <c r="BA1649" s="279" t="e">
        <f>((BA1654+BA1655)/(BA1665+BA1666))*100</f>
        <v>#DIV/0!</v>
      </c>
      <c r="BC1649" s="279">
        <f>((BC1654+BC1655)/(BC1665+BC1666))*100</f>
        <v>0</v>
      </c>
      <c r="BD1649" s="279">
        <f>((BD1654+BD1655)/(BD1665+BD1666))*100</f>
        <v>0</v>
      </c>
      <c r="BF1649" s="279">
        <f>((BF1654+BF1655)/(BF1665+BF1666))*100</f>
        <v>0</v>
      </c>
      <c r="BG1649" s="279">
        <f>((BG1654+BG1655)/(BG1665+BG1666))*100</f>
        <v>0</v>
      </c>
      <c r="BI1649" s="279">
        <f>((BI1654+BI1655)/(BI1665+BI1666))*100</f>
        <v>0</v>
      </c>
      <c r="BJ1649" s="279">
        <f>((BJ1654+BJ1655)/(BJ1665+BJ1666))*100</f>
        <v>0</v>
      </c>
      <c r="BL1649" s="279" t="e">
        <f>((BL1654+BL1655)/(BL1665+BL1666))*100</f>
        <v>#DIV/0!</v>
      </c>
      <c r="BM1649" s="279" t="e">
        <f>((BM1654+BM1655)/(BM1665+BM1666))*100</f>
        <v>#DIV/0!</v>
      </c>
      <c r="BO1649" s="279" t="e">
        <f>((BO1654+BO1655)/(BO1665+BO1666))*100</f>
        <v>#DIV/0!</v>
      </c>
      <c r="BP1649" s="279" t="e">
        <f>((BP1654+BP1655)/(BP1665+BP1666))*100</f>
        <v>#DIV/0!</v>
      </c>
      <c r="BR1649" s="279" t="e">
        <f>((BR1654+BR1655)/(BR1665+BR1666))*100</f>
        <v>#DIV/0!</v>
      </c>
      <c r="BS1649" s="279" t="e">
        <f>((BS1654+BS1655)/(BS1665+BS1666))*100</f>
        <v>#DIV/0!</v>
      </c>
      <c r="BU1649" s="279" t="e">
        <f>((BU1654+BU1655)/(BU1665+BU1666))*100</f>
        <v>#DIV/0!</v>
      </c>
      <c r="BV1649" s="279" t="e">
        <f>((BV1654+BV1655)/(BV1665+BV1666))*100</f>
        <v>#DIV/0!</v>
      </c>
      <c r="BX1649" s="279" t="e">
        <f>((BX1654+BX1655)/(BX1665+BX1666))*100</f>
        <v>#DIV/0!</v>
      </c>
      <c r="BY1649" s="279" t="e">
        <f>((BY1654+BY1655)/(BY1665+BY1666))*100</f>
        <v>#DIV/0!</v>
      </c>
      <c r="CA1649" s="279" t="e">
        <f>((CA1654+CA1655)/(CA1665+CA1666))*100</f>
        <v>#DIV/0!</v>
      </c>
      <c r="CB1649" s="279" t="e">
        <f>((CB1654+CB1655)/(CB1665+CB1666))*100</f>
        <v>#DIV/0!</v>
      </c>
      <c r="CD1649" s="279">
        <f>((CD1654+CD1655)/(CD1665+CD1666))*100</f>
        <v>0</v>
      </c>
      <c r="CE1649" s="279">
        <f>((CE1654+CE1655)/(CE1665+CE1666))*100</f>
        <v>0</v>
      </c>
      <c r="CG1649" s="279" t="e">
        <f>((CG1654+CG1655)/(CG1665+CG1666))*100</f>
        <v>#DIV/0!</v>
      </c>
      <c r="CH1649" s="279" t="e">
        <f>((CH1654+CH1655)/(CH1665+CH1666))*100</f>
        <v>#DIV/0!</v>
      </c>
      <c r="CJ1649" s="279" t="e">
        <f>((CJ1654+CJ1655)/(CJ1665+CJ1666))*100</f>
        <v>#DIV/0!</v>
      </c>
      <c r="CK1649" s="279" t="e">
        <f>((CK1654+CK1655)/(CK1665+CK1666))*100</f>
        <v>#DIV/0!</v>
      </c>
    </row>
    <row r="1650" spans="1:89" x14ac:dyDescent="0.25">
      <c r="A1650" s="263"/>
      <c r="B1650" s="96" t="s">
        <v>1183</v>
      </c>
      <c r="C1650" s="107"/>
      <c r="D1650" s="95"/>
      <c r="E1650" s="279"/>
      <c r="F1650" s="279"/>
      <c r="G1650" s="279"/>
      <c r="H1650" s="279">
        <f t="shared" ref="H1650:J1651" si="1944">((H1654)/(H1665))*100</f>
        <v>0</v>
      </c>
      <c r="I1650" s="279">
        <f t="shared" si="1944"/>
        <v>0</v>
      </c>
      <c r="J1650" s="279">
        <f t="shared" si="1944"/>
        <v>0</v>
      </c>
      <c r="K1650" s="279">
        <f>((K1654)/(K1665))*100</f>
        <v>0</v>
      </c>
      <c r="L1650" s="279" t="e">
        <f>((L1654)/(L1665))*100</f>
        <v>#DIV/0!</v>
      </c>
      <c r="M1650" s="279" t="e">
        <f t="shared" ref="M1650:N1651" si="1945">((M1654)/(M1665))*100</f>
        <v>#DIV/0!</v>
      </c>
      <c r="N1650" s="279" t="e">
        <f t="shared" si="1945"/>
        <v>#DIV/0!</v>
      </c>
      <c r="Q1650" s="279">
        <f t="shared" ref="Q1650:T1651" si="1946">((Q1654)/(Q1665))*100</f>
        <v>0</v>
      </c>
      <c r="R1650" s="279">
        <f t="shared" si="1946"/>
        <v>0</v>
      </c>
      <c r="S1650" s="279" t="e">
        <f t="shared" si="1946"/>
        <v>#DIV/0!</v>
      </c>
      <c r="T1650" s="279" t="e">
        <f t="shared" si="1946"/>
        <v>#DIV/0!</v>
      </c>
      <c r="V1650" s="279" t="e">
        <f>((V1654)/(V1665))*100</f>
        <v>#DIV/0!</v>
      </c>
      <c r="W1650" s="279" t="e">
        <f>((W1654)/(W1665))*100</f>
        <v>#DIV/0!</v>
      </c>
      <c r="Y1650" s="279" t="e">
        <f>((Y1654)/(Y1665))*100</f>
        <v>#DIV/0!</v>
      </c>
      <c r="Z1650" s="279" t="e">
        <f>((Z1654)/(Z1665))*100</f>
        <v>#DIV/0!</v>
      </c>
      <c r="AB1650" s="279" t="e">
        <f>((AB1654)/(AB1665))*100</f>
        <v>#DIV/0!</v>
      </c>
      <c r="AC1650" s="279" t="e">
        <f>((AC1654)/(AC1665))*100</f>
        <v>#DIV/0!</v>
      </c>
      <c r="AE1650" s="279" t="e">
        <f>((AE1654)/(AE1665))*100</f>
        <v>#DIV/0!</v>
      </c>
      <c r="AF1650" s="279" t="e">
        <f>((AF1654)/(AF1665))*100</f>
        <v>#DIV/0!</v>
      </c>
      <c r="AH1650" s="279" t="e">
        <f>((AH1654)/(AH1665))*100</f>
        <v>#DIV/0!</v>
      </c>
      <c r="AI1650" s="279" t="e">
        <f>((AI1654)/(AI1665))*100</f>
        <v>#DIV/0!</v>
      </c>
      <c r="AK1650" s="279" t="e">
        <f>((AK1654)/(AK1665))*100</f>
        <v>#DIV/0!</v>
      </c>
      <c r="AL1650" s="279" t="e">
        <f>((AL1654)/(AL1665))*100</f>
        <v>#DIV/0!</v>
      </c>
      <c r="AN1650" s="279" t="e">
        <f>((AN1654)/(AN1665))*100</f>
        <v>#DIV/0!</v>
      </c>
      <c r="AO1650" s="279" t="e">
        <f>((AO1654)/(AO1665))*100</f>
        <v>#DIV/0!</v>
      </c>
      <c r="AQ1650" s="279" t="e">
        <f>((AQ1654)/(AQ1665))*100</f>
        <v>#DIV/0!</v>
      </c>
      <c r="AR1650" s="279" t="e">
        <f>((AR1654)/(AR1665))*100</f>
        <v>#DIV/0!</v>
      </c>
      <c r="AT1650" s="279" t="e">
        <f>((AT1654)/(AT1665))*100</f>
        <v>#DIV/0!</v>
      </c>
      <c r="AU1650" s="279" t="e">
        <f>((AU1654)/(AU1665))*100</f>
        <v>#DIV/0!</v>
      </c>
      <c r="AW1650" s="279" t="e">
        <f>((AW1654)/(AW1665))*100</f>
        <v>#DIV/0!</v>
      </c>
      <c r="AX1650" s="279" t="e">
        <f>((AX1654)/(AX1665))*100</f>
        <v>#DIV/0!</v>
      </c>
      <c r="AZ1650" s="279" t="e">
        <f>((AZ1654)/(AZ1665))*100</f>
        <v>#DIV/0!</v>
      </c>
      <c r="BA1650" s="279" t="e">
        <f>((BA1654)/(BA1665))*100</f>
        <v>#DIV/0!</v>
      </c>
      <c r="BC1650" s="279">
        <f>((BC1654)/(BC1665))*100</f>
        <v>0</v>
      </c>
      <c r="BD1650" s="279">
        <f>((BD1654)/(BD1665))*100</f>
        <v>0</v>
      </c>
      <c r="BF1650" s="279">
        <f>((BF1654)/(BF1665))*100</f>
        <v>0</v>
      </c>
      <c r="BG1650" s="279">
        <f>((BG1654)/(BG1665))*100</f>
        <v>0</v>
      </c>
      <c r="BI1650" s="279">
        <f>((BI1654)/(BI1665))*100</f>
        <v>0</v>
      </c>
      <c r="BJ1650" s="279">
        <f>((BJ1654)/(BJ1665))*100</f>
        <v>0</v>
      </c>
      <c r="BL1650" s="279" t="e">
        <f>((BL1654)/(BL1665))*100</f>
        <v>#DIV/0!</v>
      </c>
      <c r="BM1650" s="279" t="e">
        <f>((BM1654)/(BM1665))*100</f>
        <v>#DIV/0!</v>
      </c>
      <c r="BO1650" s="279" t="e">
        <f>((BO1654)/(BO1665))*100</f>
        <v>#DIV/0!</v>
      </c>
      <c r="BP1650" s="279" t="e">
        <f>((BP1654)/(BP1665))*100</f>
        <v>#DIV/0!</v>
      </c>
      <c r="BR1650" s="279" t="e">
        <f>((BR1654)/(BR1665))*100</f>
        <v>#DIV/0!</v>
      </c>
      <c r="BS1650" s="279" t="e">
        <f>((BS1654)/(BS1665))*100</f>
        <v>#DIV/0!</v>
      </c>
      <c r="BU1650" s="279" t="e">
        <f>((BU1654)/(BU1665))*100</f>
        <v>#DIV/0!</v>
      </c>
      <c r="BV1650" s="279" t="e">
        <f>((BV1654)/(BV1665))*100</f>
        <v>#DIV/0!</v>
      </c>
      <c r="BX1650" s="279" t="e">
        <f>((BX1654)/(BX1665))*100</f>
        <v>#DIV/0!</v>
      </c>
      <c r="BY1650" s="279" t="e">
        <f>((BY1654)/(BY1665))*100</f>
        <v>#DIV/0!</v>
      </c>
      <c r="CA1650" s="279" t="e">
        <f>((CA1654)/(CA1665))*100</f>
        <v>#DIV/0!</v>
      </c>
      <c r="CB1650" s="279" t="e">
        <f>((CB1654)/(CB1665))*100</f>
        <v>#DIV/0!</v>
      </c>
      <c r="CD1650" s="279">
        <f>((CD1654)/(CD1665))*100</f>
        <v>0</v>
      </c>
      <c r="CE1650" s="279">
        <f>((CE1654)/(CE1665))*100</f>
        <v>0</v>
      </c>
      <c r="CG1650" s="279" t="e">
        <f>((CG1654)/(CG1665))*100</f>
        <v>#DIV/0!</v>
      </c>
      <c r="CH1650" s="279" t="e">
        <f>((CH1654)/(CH1665))*100</f>
        <v>#DIV/0!</v>
      </c>
      <c r="CJ1650" s="279" t="e">
        <f>((CJ1654)/(CJ1665))*100</f>
        <v>#DIV/0!</v>
      </c>
      <c r="CK1650" s="279" t="e">
        <f>((CK1654)/(CK1665))*100</f>
        <v>#DIV/0!</v>
      </c>
    </row>
    <row r="1651" spans="1:89" x14ac:dyDescent="0.25">
      <c r="A1651" s="263"/>
      <c r="B1651" s="96" t="s">
        <v>1185</v>
      </c>
      <c r="C1651" s="107"/>
      <c r="D1651" s="95"/>
      <c r="E1651" s="279"/>
      <c r="F1651" s="279"/>
      <c r="G1651" s="279"/>
      <c r="H1651" s="279" t="e">
        <f t="shared" si="1944"/>
        <v>#DIV/0!</v>
      </c>
      <c r="I1651" s="279" t="e">
        <f t="shared" si="1944"/>
        <v>#DIV/0!</v>
      </c>
      <c r="J1651" s="279" t="e">
        <f t="shared" si="1944"/>
        <v>#DIV/0!</v>
      </c>
      <c r="K1651" s="279" t="e">
        <f>((K1655)/(K1666))*100</f>
        <v>#DIV/0!</v>
      </c>
      <c r="L1651" s="279" t="e">
        <f>((L1655)/(L1666))*100</f>
        <v>#DIV/0!</v>
      </c>
      <c r="M1651" s="279" t="e">
        <f t="shared" si="1945"/>
        <v>#DIV/0!</v>
      </c>
      <c r="N1651" s="279" t="e">
        <f t="shared" si="1945"/>
        <v>#DIV/0!</v>
      </c>
      <c r="Q1651" s="279" t="e">
        <f t="shared" si="1946"/>
        <v>#DIV/0!</v>
      </c>
      <c r="R1651" s="279" t="e">
        <f t="shared" si="1946"/>
        <v>#DIV/0!</v>
      </c>
      <c r="S1651" s="279" t="e">
        <f t="shared" si="1946"/>
        <v>#DIV/0!</v>
      </c>
      <c r="T1651" s="279" t="e">
        <f t="shared" si="1946"/>
        <v>#DIV/0!</v>
      </c>
      <c r="V1651" s="279" t="e">
        <f>((V1655)/(V1666))*100</f>
        <v>#DIV/0!</v>
      </c>
      <c r="W1651" s="279" t="e">
        <f>((W1655)/(W1666))*100</f>
        <v>#DIV/0!</v>
      </c>
      <c r="Y1651" s="279" t="e">
        <f>((Y1655)/(Y1666))*100</f>
        <v>#DIV/0!</v>
      </c>
      <c r="Z1651" s="279" t="e">
        <f>((Z1655)/(Z1666))*100</f>
        <v>#DIV/0!</v>
      </c>
      <c r="AB1651" s="279" t="e">
        <f>((AB1655)/(AB1666))*100</f>
        <v>#DIV/0!</v>
      </c>
      <c r="AC1651" s="279" t="e">
        <f>((AC1655)/(AC1666))*100</f>
        <v>#DIV/0!</v>
      </c>
      <c r="AE1651" s="279" t="e">
        <f>((AE1655)/(AE1666))*100</f>
        <v>#DIV/0!</v>
      </c>
      <c r="AF1651" s="279" t="e">
        <f>((AF1655)/(AF1666))*100</f>
        <v>#DIV/0!</v>
      </c>
      <c r="AH1651" s="279" t="e">
        <f>((AH1655)/(AH1666))*100</f>
        <v>#DIV/0!</v>
      </c>
      <c r="AI1651" s="279" t="e">
        <f>((AI1655)/(AI1666))*100</f>
        <v>#DIV/0!</v>
      </c>
      <c r="AK1651" s="279" t="e">
        <f>((AK1655)/(AK1666))*100</f>
        <v>#DIV/0!</v>
      </c>
      <c r="AL1651" s="279" t="e">
        <f>((AL1655)/(AL1666))*100</f>
        <v>#DIV/0!</v>
      </c>
      <c r="AN1651" s="279" t="e">
        <f>((AN1655)/(AN1666))*100</f>
        <v>#DIV/0!</v>
      </c>
      <c r="AO1651" s="279" t="e">
        <f>((AO1655)/(AO1666))*100</f>
        <v>#DIV/0!</v>
      </c>
      <c r="AQ1651" s="279" t="e">
        <f>((AQ1655)/(AQ1666))*100</f>
        <v>#DIV/0!</v>
      </c>
      <c r="AR1651" s="279" t="e">
        <f>((AR1655)/(AR1666))*100</f>
        <v>#DIV/0!</v>
      </c>
      <c r="AT1651" s="279" t="e">
        <f>((AT1655)/(AT1666))*100</f>
        <v>#DIV/0!</v>
      </c>
      <c r="AU1651" s="279" t="e">
        <f>((AU1655)/(AU1666))*100</f>
        <v>#DIV/0!</v>
      </c>
      <c r="AW1651" s="279" t="e">
        <f>((AW1655)/(AW1666))*100</f>
        <v>#DIV/0!</v>
      </c>
      <c r="AX1651" s="279" t="e">
        <f>((AX1655)/(AX1666))*100</f>
        <v>#DIV/0!</v>
      </c>
      <c r="AZ1651" s="279" t="e">
        <f>((AZ1655)/(AZ1666))*100</f>
        <v>#DIV/0!</v>
      </c>
      <c r="BA1651" s="279" t="e">
        <f>((BA1655)/(BA1666))*100</f>
        <v>#DIV/0!</v>
      </c>
      <c r="BC1651" s="279" t="e">
        <f>((BC1655)/(BC1666))*100</f>
        <v>#DIV/0!</v>
      </c>
      <c r="BD1651" s="279" t="e">
        <f>((BD1655)/(BD1666))*100</f>
        <v>#DIV/0!</v>
      </c>
      <c r="BF1651" s="279" t="e">
        <f>((BF1655)/(BF1666))*100</f>
        <v>#DIV/0!</v>
      </c>
      <c r="BG1651" s="279" t="e">
        <f>((BG1655)/(BG1666))*100</f>
        <v>#DIV/0!</v>
      </c>
      <c r="BI1651" s="279" t="e">
        <f>((BI1655)/(BI1666))*100</f>
        <v>#DIV/0!</v>
      </c>
      <c r="BJ1651" s="279" t="e">
        <f>((BJ1655)/(BJ1666))*100</f>
        <v>#DIV/0!</v>
      </c>
      <c r="BL1651" s="279" t="e">
        <f>((BL1655)/(BL1666))*100</f>
        <v>#DIV/0!</v>
      </c>
      <c r="BM1651" s="279" t="e">
        <f>((BM1655)/(BM1666))*100</f>
        <v>#DIV/0!</v>
      </c>
      <c r="BO1651" s="279" t="e">
        <f>((BO1655)/(BO1666))*100</f>
        <v>#DIV/0!</v>
      </c>
      <c r="BP1651" s="279" t="e">
        <f>((BP1655)/(BP1666))*100</f>
        <v>#DIV/0!</v>
      </c>
      <c r="BR1651" s="279" t="e">
        <f>((BR1655)/(BR1666))*100</f>
        <v>#DIV/0!</v>
      </c>
      <c r="BS1651" s="279" t="e">
        <f>((BS1655)/(BS1666))*100</f>
        <v>#DIV/0!</v>
      </c>
      <c r="BU1651" s="279" t="e">
        <f>((BU1655)/(BU1666))*100</f>
        <v>#DIV/0!</v>
      </c>
      <c r="BV1651" s="279" t="e">
        <f>((BV1655)/(BV1666))*100</f>
        <v>#DIV/0!</v>
      </c>
      <c r="BX1651" s="279" t="e">
        <f>((BX1655)/(BX1666))*100</f>
        <v>#DIV/0!</v>
      </c>
      <c r="BY1651" s="279" t="e">
        <f>((BY1655)/(BY1666))*100</f>
        <v>#DIV/0!</v>
      </c>
      <c r="CA1651" s="279" t="e">
        <f>((CA1655)/(CA1666))*100</f>
        <v>#DIV/0!</v>
      </c>
      <c r="CB1651" s="279" t="e">
        <f>((CB1655)/(CB1666))*100</f>
        <v>#DIV/0!</v>
      </c>
      <c r="CD1651" s="279" t="e">
        <f>((CD1655)/(CD1666))*100</f>
        <v>#DIV/0!</v>
      </c>
      <c r="CE1651" s="279" t="e">
        <f>((CE1655)/(CE1666))*100</f>
        <v>#DIV/0!</v>
      </c>
      <c r="CG1651" s="279" t="e">
        <f>((CG1655)/(CG1666))*100</f>
        <v>#DIV/0!</v>
      </c>
      <c r="CH1651" s="279" t="e">
        <f>((CH1655)/(CH1666))*100</f>
        <v>#DIV/0!</v>
      </c>
      <c r="CJ1651" s="279" t="e">
        <f>((CJ1655)/(CJ1666))*100</f>
        <v>#DIV/0!</v>
      </c>
      <c r="CK1651" s="279" t="e">
        <f>((CK1655)/(CK1666))*100</f>
        <v>#DIV/0!</v>
      </c>
    </row>
    <row r="1652" spans="1:89" ht="30" x14ac:dyDescent="0.25">
      <c r="A1652" s="416"/>
      <c r="B1652" s="419" t="s">
        <v>317</v>
      </c>
      <c r="C1652" s="95" t="s">
        <v>1292</v>
      </c>
      <c r="D1652" s="95" t="s">
        <v>1112</v>
      </c>
      <c r="E1652" s="291">
        <v>24</v>
      </c>
      <c r="F1652" s="291">
        <v>20</v>
      </c>
      <c r="G1652" s="291">
        <v>19</v>
      </c>
      <c r="H1652" s="291">
        <f t="shared" ref="H1652:J1653" si="1947">H1658</f>
        <v>19</v>
      </c>
      <c r="I1652" s="291">
        <f t="shared" si="1947"/>
        <v>13</v>
      </c>
      <c r="J1652" s="291">
        <f t="shared" si="1947"/>
        <v>14</v>
      </c>
      <c r="K1652" s="291">
        <f>K1658</f>
        <v>10</v>
      </c>
      <c r="L1652" s="291">
        <f>L1658</f>
        <v>0</v>
      </c>
      <c r="M1652" s="291">
        <f t="shared" ref="M1652:N1653" si="1948">M1658</f>
        <v>0</v>
      </c>
      <c r="N1652" s="291">
        <f t="shared" si="1948"/>
        <v>0</v>
      </c>
      <c r="Q1652" s="291">
        <f t="shared" ref="Q1652:T1653" si="1949">Q1658</f>
        <v>10</v>
      </c>
      <c r="R1652" s="291">
        <f t="shared" si="1949"/>
        <v>10</v>
      </c>
      <c r="S1652" s="291">
        <f t="shared" si="1949"/>
        <v>0</v>
      </c>
      <c r="T1652" s="291">
        <f t="shared" si="1949"/>
        <v>0</v>
      </c>
      <c r="V1652" s="291">
        <f>V1658</f>
        <v>0</v>
      </c>
      <c r="W1652" s="291">
        <f>W1658</f>
        <v>0</v>
      </c>
      <c r="Y1652" s="291">
        <f>Y1658</f>
        <v>0</v>
      </c>
      <c r="Z1652" s="291">
        <f>Z1658</f>
        <v>0</v>
      </c>
      <c r="AB1652" s="291">
        <f>AB1658</f>
        <v>0</v>
      </c>
      <c r="AC1652" s="291">
        <f>AC1658</f>
        <v>0</v>
      </c>
      <c r="AE1652" s="291">
        <f>AE1658</f>
        <v>0</v>
      </c>
      <c r="AF1652" s="291">
        <f>AF1658</f>
        <v>0</v>
      </c>
      <c r="AH1652" s="291">
        <f>AH1658</f>
        <v>0</v>
      </c>
      <c r="AI1652" s="291">
        <f>AI1658</f>
        <v>0</v>
      </c>
      <c r="AK1652" s="291">
        <f>AK1658</f>
        <v>4</v>
      </c>
      <c r="AL1652" s="291">
        <f>AL1658</f>
        <v>4</v>
      </c>
      <c r="AN1652" s="291">
        <f>AN1658</f>
        <v>0</v>
      </c>
      <c r="AO1652" s="291">
        <f>AO1658</f>
        <v>0</v>
      </c>
      <c r="AQ1652" s="291">
        <f>AQ1658</f>
        <v>0</v>
      </c>
      <c r="AR1652" s="291">
        <f>AR1658</f>
        <v>0</v>
      </c>
      <c r="AT1652" s="291">
        <f>AT1658</f>
        <v>0</v>
      </c>
      <c r="AU1652" s="291">
        <f>AU1658</f>
        <v>0</v>
      </c>
      <c r="AW1652" s="291">
        <f>AW1658</f>
        <v>0</v>
      </c>
      <c r="AX1652" s="291">
        <f>AX1658</f>
        <v>0</v>
      </c>
      <c r="AZ1652" s="291">
        <f>AZ1658</f>
        <v>0</v>
      </c>
      <c r="BA1652" s="291">
        <f>BA1658</f>
        <v>0</v>
      </c>
      <c r="BC1652" s="291">
        <f>BC1658</f>
        <v>0</v>
      </c>
      <c r="BD1652" s="291">
        <f>BD1658</f>
        <v>0</v>
      </c>
      <c r="BF1652" s="291">
        <f>BF1658</f>
        <v>0</v>
      </c>
      <c r="BG1652" s="291">
        <f>BG1658</f>
        <v>0</v>
      </c>
      <c r="BI1652" s="291">
        <f>BI1658</f>
        <v>1</v>
      </c>
      <c r="BJ1652" s="291">
        <f>BJ1658</f>
        <v>1</v>
      </c>
      <c r="BL1652" s="291">
        <f>BL1658</f>
        <v>0</v>
      </c>
      <c r="BM1652" s="291">
        <f>BM1658</f>
        <v>0</v>
      </c>
      <c r="BO1652" s="291">
        <f>BO1658</f>
        <v>1</v>
      </c>
      <c r="BP1652" s="291">
        <f>BP1658</f>
        <v>1</v>
      </c>
      <c r="BR1652" s="291">
        <f>BR1658</f>
        <v>1</v>
      </c>
      <c r="BS1652" s="291">
        <f>BS1658</f>
        <v>1</v>
      </c>
      <c r="BU1652" s="291">
        <f>BU1658</f>
        <v>0</v>
      </c>
      <c r="BV1652" s="291">
        <f>BV1658</f>
        <v>0</v>
      </c>
      <c r="BX1652" s="291">
        <f>BX1658</f>
        <v>0</v>
      </c>
      <c r="BY1652" s="291">
        <f>BY1658</f>
        <v>0</v>
      </c>
      <c r="CA1652" s="291">
        <f>CA1658</f>
        <v>0</v>
      </c>
      <c r="CB1652" s="291">
        <f>CB1658</f>
        <v>0</v>
      </c>
      <c r="CD1652" s="291">
        <f>CD1658</f>
        <v>0</v>
      </c>
      <c r="CE1652" s="291">
        <f>CE1658</f>
        <v>0</v>
      </c>
      <c r="CG1652" s="291">
        <f>CG1658</f>
        <v>3</v>
      </c>
      <c r="CH1652" s="291">
        <f>CH1658</f>
        <v>3</v>
      </c>
      <c r="CJ1652" s="291">
        <f>CJ1658</f>
        <v>0</v>
      </c>
      <c r="CK1652" s="291">
        <f>CK1658</f>
        <v>0</v>
      </c>
    </row>
    <row r="1653" spans="1:89" ht="30" x14ac:dyDescent="0.25">
      <c r="A1653" s="417"/>
      <c r="B1653" s="420"/>
      <c r="C1653" s="95" t="s">
        <v>1293</v>
      </c>
      <c r="D1653" s="95" t="s">
        <v>1112</v>
      </c>
      <c r="E1653" s="291">
        <v>13</v>
      </c>
      <c r="F1653" s="291">
        <v>13</v>
      </c>
      <c r="G1653" s="291">
        <v>9</v>
      </c>
      <c r="H1653" s="291">
        <f t="shared" si="1947"/>
        <v>8</v>
      </c>
      <c r="I1653" s="291">
        <f t="shared" si="1947"/>
        <v>7</v>
      </c>
      <c r="J1653" s="291">
        <f t="shared" si="1947"/>
        <v>10</v>
      </c>
      <c r="K1653" s="291">
        <f>K1659</f>
        <v>4</v>
      </c>
      <c r="L1653" s="291">
        <f>L1659</f>
        <v>0</v>
      </c>
      <c r="M1653" s="291">
        <f t="shared" si="1948"/>
        <v>0</v>
      </c>
      <c r="N1653" s="291">
        <f t="shared" si="1948"/>
        <v>0</v>
      </c>
      <c r="Q1653" s="291">
        <f t="shared" si="1949"/>
        <v>4</v>
      </c>
      <c r="R1653" s="291">
        <f t="shared" si="1949"/>
        <v>6</v>
      </c>
      <c r="S1653" s="291">
        <f t="shared" si="1949"/>
        <v>0</v>
      </c>
      <c r="T1653" s="291">
        <f t="shared" si="1949"/>
        <v>0</v>
      </c>
      <c r="V1653" s="291">
        <f>V1659</f>
        <v>0</v>
      </c>
      <c r="W1653" s="291">
        <f>W1659</f>
        <v>0</v>
      </c>
      <c r="Y1653" s="291">
        <f>Y1659</f>
        <v>0</v>
      </c>
      <c r="Z1653" s="291">
        <f>Z1659</f>
        <v>0</v>
      </c>
      <c r="AB1653" s="291">
        <f>AB1659</f>
        <v>0</v>
      </c>
      <c r="AC1653" s="291">
        <f>AC1659</f>
        <v>0</v>
      </c>
      <c r="AE1653" s="291">
        <f>AE1659</f>
        <v>0</v>
      </c>
      <c r="AF1653" s="291">
        <f>AF1659</f>
        <v>0</v>
      </c>
      <c r="AH1653" s="291">
        <f>AH1659</f>
        <v>0</v>
      </c>
      <c r="AI1653" s="291">
        <f>AI1659</f>
        <v>0</v>
      </c>
      <c r="AK1653" s="291">
        <f>AK1659</f>
        <v>1</v>
      </c>
      <c r="AL1653" s="291">
        <f>AL1659</f>
        <v>1</v>
      </c>
      <c r="AN1653" s="291">
        <f>AN1659</f>
        <v>0</v>
      </c>
      <c r="AO1653" s="291">
        <f>AO1659</f>
        <v>0</v>
      </c>
      <c r="AQ1653" s="291">
        <f>AQ1659</f>
        <v>3</v>
      </c>
      <c r="AR1653" s="291">
        <f>AR1659</f>
        <v>5</v>
      </c>
      <c r="AT1653" s="291">
        <f>AT1659</f>
        <v>0</v>
      </c>
      <c r="AU1653" s="291">
        <f>AU1659</f>
        <v>0</v>
      </c>
      <c r="AW1653" s="291">
        <f>AW1659</f>
        <v>0</v>
      </c>
      <c r="AX1653" s="291">
        <f>AX1659</f>
        <v>0</v>
      </c>
      <c r="AZ1653" s="291">
        <f>AZ1659</f>
        <v>0</v>
      </c>
      <c r="BA1653" s="291">
        <f>BA1659</f>
        <v>0</v>
      </c>
      <c r="BC1653" s="291">
        <f>BC1659</f>
        <v>0</v>
      </c>
      <c r="BD1653" s="291">
        <f>BD1659</f>
        <v>0</v>
      </c>
      <c r="BF1653" s="291">
        <f>BF1659</f>
        <v>0</v>
      </c>
      <c r="BG1653" s="291">
        <f>BG1659</f>
        <v>0</v>
      </c>
      <c r="BI1653" s="291">
        <f>BI1659</f>
        <v>0</v>
      </c>
      <c r="BJ1653" s="291">
        <f>BJ1659</f>
        <v>0</v>
      </c>
      <c r="BL1653" s="291">
        <f>BL1659</f>
        <v>0</v>
      </c>
      <c r="BM1653" s="291">
        <f>BM1659</f>
        <v>0</v>
      </c>
      <c r="BO1653" s="291">
        <f>BO1659</f>
        <v>0</v>
      </c>
      <c r="BP1653" s="291">
        <f>BP1659</f>
        <v>0</v>
      </c>
      <c r="BR1653" s="291">
        <f>BR1659</f>
        <v>0</v>
      </c>
      <c r="BS1653" s="291">
        <f>BS1659</f>
        <v>0</v>
      </c>
      <c r="BU1653" s="291">
        <f>BU1659</f>
        <v>0</v>
      </c>
      <c r="BV1653" s="291">
        <f>BV1659</f>
        <v>0</v>
      </c>
      <c r="BX1653" s="291">
        <f>BX1659</f>
        <v>0</v>
      </c>
      <c r="BY1653" s="291">
        <f>BY1659</f>
        <v>0</v>
      </c>
      <c r="CA1653" s="291">
        <f>CA1659</f>
        <v>0</v>
      </c>
      <c r="CB1653" s="291">
        <f>CB1659</f>
        <v>0</v>
      </c>
      <c r="CD1653" s="291">
        <f>CD1659</f>
        <v>0</v>
      </c>
      <c r="CE1653" s="291">
        <f>CE1659</f>
        <v>0</v>
      </c>
      <c r="CG1653" s="291">
        <f>CG1659</f>
        <v>0</v>
      </c>
      <c r="CH1653" s="291">
        <f>CH1659</f>
        <v>0</v>
      </c>
      <c r="CJ1653" s="291">
        <f>CJ1659</f>
        <v>0</v>
      </c>
      <c r="CK1653" s="291">
        <f>CK1659</f>
        <v>0</v>
      </c>
    </row>
    <row r="1654" spans="1:89" ht="30" x14ac:dyDescent="0.25">
      <c r="A1654" s="417"/>
      <c r="B1654" s="420"/>
      <c r="C1654" s="95" t="s">
        <v>1294</v>
      </c>
      <c r="D1654" s="95" t="s">
        <v>1112</v>
      </c>
      <c r="E1654" s="291">
        <v>0</v>
      </c>
      <c r="F1654" s="291">
        <v>0</v>
      </c>
      <c r="G1654" s="291">
        <v>1</v>
      </c>
      <c r="H1654" s="291">
        <f t="shared" ref="H1654:J1655" si="1950">H1661</f>
        <v>0</v>
      </c>
      <c r="I1654" s="291">
        <f t="shared" si="1950"/>
        <v>0</v>
      </c>
      <c r="J1654" s="291">
        <f t="shared" si="1950"/>
        <v>0</v>
      </c>
      <c r="K1654" s="291">
        <f>K1661</f>
        <v>0</v>
      </c>
      <c r="L1654" s="291">
        <f>L1661</f>
        <v>0</v>
      </c>
      <c r="M1654" s="291">
        <f t="shared" ref="M1654:N1655" si="1951">M1661</f>
        <v>0</v>
      </c>
      <c r="N1654" s="291">
        <f t="shared" si="1951"/>
        <v>0</v>
      </c>
      <c r="Q1654" s="291">
        <f t="shared" ref="Q1654:T1655" si="1952">Q1661</f>
        <v>0</v>
      </c>
      <c r="R1654" s="291">
        <f t="shared" si="1952"/>
        <v>0</v>
      </c>
      <c r="S1654" s="291">
        <f t="shared" si="1952"/>
        <v>0</v>
      </c>
      <c r="T1654" s="291">
        <f t="shared" si="1952"/>
        <v>0</v>
      </c>
      <c r="V1654" s="291">
        <f>V1661</f>
        <v>0</v>
      </c>
      <c r="W1654" s="291">
        <f>W1661</f>
        <v>0</v>
      </c>
      <c r="Y1654" s="291">
        <f>Y1661</f>
        <v>0</v>
      </c>
      <c r="Z1654" s="291">
        <f>Z1661</f>
        <v>0</v>
      </c>
      <c r="AB1654" s="291">
        <f>AB1661</f>
        <v>0</v>
      </c>
      <c r="AC1654" s="291">
        <f>AC1661</f>
        <v>0</v>
      </c>
      <c r="AE1654" s="291">
        <f>AE1661</f>
        <v>0</v>
      </c>
      <c r="AF1654" s="291">
        <f>AF1661</f>
        <v>0</v>
      </c>
      <c r="AH1654" s="291">
        <f>AH1661</f>
        <v>0</v>
      </c>
      <c r="AI1654" s="291">
        <f>AI1661</f>
        <v>0</v>
      </c>
      <c r="AK1654" s="291">
        <f>AK1661</f>
        <v>0</v>
      </c>
      <c r="AL1654" s="291">
        <f>AL1661</f>
        <v>0</v>
      </c>
      <c r="AN1654" s="291">
        <f>AN1661</f>
        <v>0</v>
      </c>
      <c r="AO1654" s="291">
        <f>AO1661</f>
        <v>0</v>
      </c>
      <c r="AQ1654" s="291">
        <f>AQ1661</f>
        <v>0</v>
      </c>
      <c r="AR1654" s="291">
        <f>AR1661</f>
        <v>0</v>
      </c>
      <c r="AT1654" s="291">
        <f>AT1661</f>
        <v>0</v>
      </c>
      <c r="AU1654" s="291">
        <f>AU1661</f>
        <v>0</v>
      </c>
      <c r="AW1654" s="291">
        <f>AW1661</f>
        <v>0</v>
      </c>
      <c r="AX1654" s="291">
        <f>AX1661</f>
        <v>0</v>
      </c>
      <c r="AZ1654" s="291">
        <f>AZ1661</f>
        <v>0</v>
      </c>
      <c r="BA1654" s="291">
        <f>BA1661</f>
        <v>0</v>
      </c>
      <c r="BC1654" s="291">
        <f>BC1661</f>
        <v>0</v>
      </c>
      <c r="BD1654" s="291">
        <f>BD1661</f>
        <v>0</v>
      </c>
      <c r="BF1654" s="291">
        <f>BF1661</f>
        <v>0</v>
      </c>
      <c r="BG1654" s="291">
        <f>BG1661</f>
        <v>0</v>
      </c>
      <c r="BI1654" s="291">
        <f>BI1661</f>
        <v>0</v>
      </c>
      <c r="BJ1654" s="291">
        <f>BJ1661</f>
        <v>0</v>
      </c>
      <c r="BL1654" s="291">
        <f>BL1661</f>
        <v>0</v>
      </c>
      <c r="BM1654" s="291">
        <f>BM1661</f>
        <v>0</v>
      </c>
      <c r="BO1654" s="291">
        <f>BO1661</f>
        <v>0</v>
      </c>
      <c r="BP1654" s="291">
        <f>BP1661</f>
        <v>0</v>
      </c>
      <c r="BR1654" s="291">
        <f>BR1661</f>
        <v>0</v>
      </c>
      <c r="BS1654" s="291">
        <f>BS1661</f>
        <v>0</v>
      </c>
      <c r="BU1654" s="291">
        <f>BU1661</f>
        <v>0</v>
      </c>
      <c r="BV1654" s="291">
        <f>BV1661</f>
        <v>0</v>
      </c>
      <c r="BX1654" s="291">
        <f>BX1661</f>
        <v>0</v>
      </c>
      <c r="BY1654" s="291">
        <f>BY1661</f>
        <v>0</v>
      </c>
      <c r="CA1654" s="291">
        <f>CA1661</f>
        <v>0</v>
      </c>
      <c r="CB1654" s="291">
        <f>CB1661</f>
        <v>0</v>
      </c>
      <c r="CD1654" s="291">
        <f>CD1661</f>
        <v>0</v>
      </c>
      <c r="CE1654" s="291">
        <f>CE1661</f>
        <v>0</v>
      </c>
      <c r="CG1654" s="291">
        <f>CG1661</f>
        <v>0</v>
      </c>
      <c r="CH1654" s="291">
        <f>CH1661</f>
        <v>0</v>
      </c>
      <c r="CJ1654" s="291">
        <f>CJ1661</f>
        <v>0</v>
      </c>
      <c r="CK1654" s="291">
        <f>CK1661</f>
        <v>0</v>
      </c>
    </row>
    <row r="1655" spans="1:89" ht="30" x14ac:dyDescent="0.25">
      <c r="A1655" s="418"/>
      <c r="B1655" s="421"/>
      <c r="C1655" s="95" t="s">
        <v>1295</v>
      </c>
      <c r="D1655" s="95" t="s">
        <v>1112</v>
      </c>
      <c r="E1655" s="291">
        <v>0</v>
      </c>
      <c r="F1655" s="291">
        <v>0</v>
      </c>
      <c r="G1655" s="291">
        <v>0</v>
      </c>
      <c r="H1655" s="291">
        <f t="shared" si="1950"/>
        <v>0</v>
      </c>
      <c r="I1655" s="291">
        <f t="shared" si="1950"/>
        <v>0</v>
      </c>
      <c r="J1655" s="291">
        <f>J1662</f>
        <v>0</v>
      </c>
      <c r="K1655" s="291">
        <f>K1662</f>
        <v>0</v>
      </c>
      <c r="L1655" s="291">
        <f>L1662</f>
        <v>0</v>
      </c>
      <c r="M1655" s="291">
        <f t="shared" si="1951"/>
        <v>0</v>
      </c>
      <c r="N1655" s="291">
        <f t="shared" si="1951"/>
        <v>0</v>
      </c>
      <c r="Q1655" s="291">
        <f t="shared" si="1952"/>
        <v>0</v>
      </c>
      <c r="R1655" s="291">
        <f t="shared" si="1952"/>
        <v>0</v>
      </c>
      <c r="S1655" s="291">
        <f t="shared" si="1952"/>
        <v>0</v>
      </c>
      <c r="T1655" s="291">
        <f t="shared" si="1952"/>
        <v>0</v>
      </c>
      <c r="V1655" s="291">
        <f>V1662</f>
        <v>0</v>
      </c>
      <c r="W1655" s="291">
        <f>W1662</f>
        <v>0</v>
      </c>
      <c r="Y1655" s="291">
        <f>Y1662</f>
        <v>0</v>
      </c>
      <c r="Z1655" s="291">
        <f>Z1662</f>
        <v>0</v>
      </c>
      <c r="AB1655" s="291">
        <f>AB1662</f>
        <v>0</v>
      </c>
      <c r="AC1655" s="291">
        <f>AC1662</f>
        <v>0</v>
      </c>
      <c r="AE1655" s="291">
        <f>AE1662</f>
        <v>0</v>
      </c>
      <c r="AF1655" s="291">
        <f>AF1662</f>
        <v>0</v>
      </c>
      <c r="AH1655" s="291">
        <f>AH1662</f>
        <v>0</v>
      </c>
      <c r="AI1655" s="291">
        <f>AI1662</f>
        <v>0</v>
      </c>
      <c r="AK1655" s="291">
        <f>AK1662</f>
        <v>0</v>
      </c>
      <c r="AL1655" s="291">
        <f>AL1662</f>
        <v>0</v>
      </c>
      <c r="AN1655" s="291">
        <f>AN1662</f>
        <v>0</v>
      </c>
      <c r="AO1655" s="291">
        <f>AO1662</f>
        <v>0</v>
      </c>
      <c r="AQ1655" s="291">
        <f>AQ1662</f>
        <v>0</v>
      </c>
      <c r="AR1655" s="291">
        <f>AR1662</f>
        <v>0</v>
      </c>
      <c r="AT1655" s="291">
        <f>AT1662</f>
        <v>0</v>
      </c>
      <c r="AU1655" s="291">
        <f>AU1662</f>
        <v>0</v>
      </c>
      <c r="AW1655" s="291">
        <f>AW1662</f>
        <v>0</v>
      </c>
      <c r="AX1655" s="291">
        <f>AX1662</f>
        <v>0</v>
      </c>
      <c r="AZ1655" s="291">
        <f>AZ1662</f>
        <v>0</v>
      </c>
      <c r="BA1655" s="291">
        <f>BA1662</f>
        <v>0</v>
      </c>
      <c r="BC1655" s="291">
        <f>BC1662</f>
        <v>0</v>
      </c>
      <c r="BD1655" s="291">
        <f>BD1662</f>
        <v>0</v>
      </c>
      <c r="BF1655" s="291">
        <f>BF1662</f>
        <v>0</v>
      </c>
      <c r="BG1655" s="291">
        <f>BG1662</f>
        <v>0</v>
      </c>
      <c r="BI1655" s="291">
        <f>BI1662</f>
        <v>0</v>
      </c>
      <c r="BJ1655" s="291">
        <f>BJ1662</f>
        <v>0</v>
      </c>
      <c r="BL1655" s="291">
        <f>BL1662</f>
        <v>0</v>
      </c>
      <c r="BM1655" s="291">
        <f>BM1662</f>
        <v>0</v>
      </c>
      <c r="BO1655" s="291">
        <f>BO1662</f>
        <v>0</v>
      </c>
      <c r="BP1655" s="291">
        <f>BP1662</f>
        <v>0</v>
      </c>
      <c r="BR1655" s="291">
        <f>BR1662</f>
        <v>0</v>
      </c>
      <c r="BS1655" s="291">
        <f>BS1662</f>
        <v>0</v>
      </c>
      <c r="BU1655" s="291">
        <f>BU1662</f>
        <v>0</v>
      </c>
      <c r="BV1655" s="291">
        <f>BV1662</f>
        <v>0</v>
      </c>
      <c r="BX1655" s="291">
        <f>BX1662</f>
        <v>0</v>
      </c>
      <c r="BY1655" s="291">
        <f>BY1662</f>
        <v>0</v>
      </c>
      <c r="CA1655" s="291">
        <f>CA1662</f>
        <v>0</v>
      </c>
      <c r="CB1655" s="291">
        <f>CB1662</f>
        <v>0</v>
      </c>
      <c r="CD1655" s="291">
        <f>CD1662</f>
        <v>0</v>
      </c>
      <c r="CE1655" s="291">
        <f>CE1662</f>
        <v>0</v>
      </c>
      <c r="CG1655" s="291">
        <f>CG1662</f>
        <v>0</v>
      </c>
      <c r="CH1655" s="291">
        <f>CH1662</f>
        <v>0</v>
      </c>
      <c r="CJ1655" s="291">
        <f>CJ1662</f>
        <v>0</v>
      </c>
      <c r="CK1655" s="291">
        <f>CK1662</f>
        <v>0</v>
      </c>
    </row>
    <row r="1656" spans="1:89" ht="30" x14ac:dyDescent="0.25">
      <c r="A1656" s="95"/>
      <c r="B1656" s="16" t="s">
        <v>318</v>
      </c>
      <c r="C1656" s="95" t="s">
        <v>319</v>
      </c>
      <c r="D1656" s="95" t="s">
        <v>1112</v>
      </c>
      <c r="E1656" s="291">
        <v>2</v>
      </c>
      <c r="F1656" s="291">
        <v>1</v>
      </c>
      <c r="G1656" s="291">
        <v>1</v>
      </c>
      <c r="H1656" s="291">
        <v>0</v>
      </c>
      <c r="I1656" s="291">
        <v>0</v>
      </c>
      <c r="J1656" s="291">
        <v>0</v>
      </c>
      <c r="K1656" s="291">
        <v>0</v>
      </c>
      <c r="L1656" s="291">
        <v>0</v>
      </c>
      <c r="M1656" s="291">
        <v>0</v>
      </c>
      <c r="N1656" s="291">
        <v>0</v>
      </c>
      <c r="Q1656" s="291">
        <v>0</v>
      </c>
      <c r="R1656" s="291">
        <v>0</v>
      </c>
      <c r="S1656" s="291">
        <v>0</v>
      </c>
      <c r="T1656" s="291">
        <v>0</v>
      </c>
      <c r="V1656" s="291">
        <v>0</v>
      </c>
      <c r="W1656" s="291">
        <v>0</v>
      </c>
      <c r="Y1656" s="291">
        <v>0</v>
      </c>
      <c r="Z1656" s="291">
        <v>0</v>
      </c>
      <c r="AB1656" s="291">
        <v>0</v>
      </c>
      <c r="AC1656" s="291">
        <v>0</v>
      </c>
      <c r="AE1656" s="291">
        <v>0</v>
      </c>
      <c r="AF1656" s="291">
        <v>0</v>
      </c>
      <c r="AH1656" s="291">
        <v>0</v>
      </c>
      <c r="AI1656" s="291">
        <v>0</v>
      </c>
      <c r="AK1656" s="291">
        <v>0</v>
      </c>
      <c r="AL1656" s="291">
        <v>0</v>
      </c>
      <c r="AN1656" s="291">
        <v>0</v>
      </c>
      <c r="AO1656" s="291">
        <v>0</v>
      </c>
      <c r="AQ1656" s="291">
        <v>0</v>
      </c>
      <c r="AR1656" s="291">
        <v>0</v>
      </c>
      <c r="AT1656" s="291">
        <v>0</v>
      </c>
      <c r="AU1656" s="291">
        <v>0</v>
      </c>
      <c r="AW1656" s="291">
        <v>0</v>
      </c>
      <c r="AX1656" s="291">
        <v>0</v>
      </c>
      <c r="AZ1656" s="291">
        <v>0</v>
      </c>
      <c r="BA1656" s="291">
        <v>0</v>
      </c>
      <c r="BC1656" s="291">
        <v>0</v>
      </c>
      <c r="BD1656" s="291">
        <v>0</v>
      </c>
      <c r="BF1656" s="291">
        <v>0</v>
      </c>
      <c r="BG1656" s="291">
        <v>0</v>
      </c>
      <c r="BI1656" s="291">
        <v>0</v>
      </c>
      <c r="BJ1656" s="291">
        <v>0</v>
      </c>
      <c r="BL1656" s="291">
        <v>0</v>
      </c>
      <c r="BM1656" s="291">
        <v>0</v>
      </c>
      <c r="BO1656" s="291">
        <v>0</v>
      </c>
      <c r="BP1656" s="291">
        <v>0</v>
      </c>
      <c r="BR1656" s="291">
        <v>0</v>
      </c>
      <c r="BS1656" s="291">
        <v>0</v>
      </c>
      <c r="BU1656" s="291">
        <v>0</v>
      </c>
      <c r="BV1656" s="291">
        <v>0</v>
      </c>
      <c r="BX1656" s="291">
        <v>0</v>
      </c>
      <c r="BY1656" s="291">
        <v>0</v>
      </c>
      <c r="CA1656" s="291">
        <v>0</v>
      </c>
      <c r="CB1656" s="291">
        <v>0</v>
      </c>
      <c r="CD1656" s="291">
        <v>0</v>
      </c>
      <c r="CE1656" s="291">
        <v>0</v>
      </c>
      <c r="CG1656" s="291">
        <v>0</v>
      </c>
      <c r="CH1656" s="291">
        <v>0</v>
      </c>
      <c r="CJ1656" s="291">
        <v>0</v>
      </c>
      <c r="CK1656" s="291">
        <v>0</v>
      </c>
    </row>
    <row r="1657" spans="1:89" x14ac:dyDescent="0.25">
      <c r="A1657" s="265"/>
      <c r="B1657" s="262" t="s">
        <v>1182</v>
      </c>
      <c r="C1657" s="95"/>
      <c r="D1657" s="95"/>
      <c r="E1657" s="291"/>
      <c r="F1657" s="291"/>
      <c r="G1657" s="291"/>
      <c r="H1657" s="291">
        <f>H1658+H1659</f>
        <v>27</v>
      </c>
      <c r="I1657" s="291">
        <f>I1658+I1659</f>
        <v>20</v>
      </c>
      <c r="J1657" s="291">
        <f>J1658+J1659</f>
        <v>24</v>
      </c>
      <c r="K1657" s="291">
        <f>K1658+K1659</f>
        <v>14</v>
      </c>
      <c r="L1657" s="291">
        <f>L1658+L1659</f>
        <v>0</v>
      </c>
      <c r="M1657" s="291">
        <f t="shared" ref="M1657:N1657" si="1953">M1658+M1659</f>
        <v>0</v>
      </c>
      <c r="N1657" s="291">
        <f t="shared" si="1953"/>
        <v>0</v>
      </c>
      <c r="Q1657" s="291">
        <f>Q1658+Q1659</f>
        <v>14</v>
      </c>
      <c r="R1657" s="291">
        <f>R1658+R1659</f>
        <v>16</v>
      </c>
      <c r="S1657" s="291">
        <f>S1658+S1659</f>
        <v>0</v>
      </c>
      <c r="T1657" s="291">
        <f>T1658+T1659</f>
        <v>0</v>
      </c>
      <c r="V1657" s="291">
        <f>V1658+V1659</f>
        <v>0</v>
      </c>
      <c r="W1657" s="291">
        <f>W1658+W1659</f>
        <v>0</v>
      </c>
      <c r="Y1657" s="291">
        <f>Y1658+Y1659</f>
        <v>0</v>
      </c>
      <c r="Z1657" s="291">
        <f>Z1658+Z1659</f>
        <v>0</v>
      </c>
      <c r="AB1657" s="291">
        <f>AB1658+AB1659</f>
        <v>0</v>
      </c>
      <c r="AC1657" s="291">
        <f>AC1658+AC1659</f>
        <v>0</v>
      </c>
      <c r="AE1657" s="291">
        <f>AE1658+AE1659</f>
        <v>0</v>
      </c>
      <c r="AF1657" s="291">
        <f>AF1658+AF1659</f>
        <v>0</v>
      </c>
      <c r="AH1657" s="291">
        <f>AH1658+AH1659</f>
        <v>0</v>
      </c>
      <c r="AI1657" s="291">
        <f>AI1658+AI1659</f>
        <v>0</v>
      </c>
      <c r="AK1657" s="291">
        <f>AK1658+AK1659</f>
        <v>5</v>
      </c>
      <c r="AL1657" s="291">
        <f>AL1658+AL1659</f>
        <v>5</v>
      </c>
      <c r="AN1657" s="291">
        <f>AN1658+AN1659</f>
        <v>0</v>
      </c>
      <c r="AO1657" s="291">
        <f>AO1658+AO1659</f>
        <v>0</v>
      </c>
      <c r="AQ1657" s="291">
        <f>AQ1658+AQ1659</f>
        <v>3</v>
      </c>
      <c r="AR1657" s="291">
        <f>AR1658+AR1659</f>
        <v>5</v>
      </c>
      <c r="AT1657" s="291">
        <f>AT1658+AT1659</f>
        <v>0</v>
      </c>
      <c r="AU1657" s="291">
        <f>AU1658+AU1659</f>
        <v>0</v>
      </c>
      <c r="AW1657" s="291">
        <f>AW1658+AW1659</f>
        <v>0</v>
      </c>
      <c r="AX1657" s="291">
        <f>AX1658+AX1659</f>
        <v>0</v>
      </c>
      <c r="AZ1657" s="291">
        <f>AZ1658+AZ1659</f>
        <v>0</v>
      </c>
      <c r="BA1657" s="291">
        <f>BA1658+BA1659</f>
        <v>0</v>
      </c>
      <c r="BC1657" s="291">
        <f>BC1658+BC1659</f>
        <v>0</v>
      </c>
      <c r="BD1657" s="291">
        <f>BD1658+BD1659</f>
        <v>0</v>
      </c>
      <c r="BF1657" s="291">
        <f>BF1658+BF1659</f>
        <v>0</v>
      </c>
      <c r="BG1657" s="291">
        <f>BG1658+BG1659</f>
        <v>0</v>
      </c>
      <c r="BI1657" s="291">
        <f>BI1658+BI1659</f>
        <v>1</v>
      </c>
      <c r="BJ1657" s="291">
        <f>BJ1658+BJ1659</f>
        <v>1</v>
      </c>
      <c r="BL1657" s="291">
        <f>BL1658+BL1659</f>
        <v>0</v>
      </c>
      <c r="BM1657" s="291">
        <f>BM1658+BM1659</f>
        <v>0</v>
      </c>
      <c r="BO1657" s="291">
        <f>BO1658+BO1659</f>
        <v>1</v>
      </c>
      <c r="BP1657" s="291">
        <f>BP1658+BP1659</f>
        <v>1</v>
      </c>
      <c r="BR1657" s="291">
        <f>BR1658+BR1659</f>
        <v>1</v>
      </c>
      <c r="BS1657" s="291">
        <f>BS1658+BS1659</f>
        <v>1</v>
      </c>
      <c r="BU1657" s="291">
        <f>BU1658+BU1659</f>
        <v>0</v>
      </c>
      <c r="BV1657" s="291">
        <f>BV1658+BV1659</f>
        <v>0</v>
      </c>
      <c r="BX1657" s="291">
        <f>BX1658+BX1659</f>
        <v>0</v>
      </c>
      <c r="BY1657" s="291">
        <f>BY1658+BY1659</f>
        <v>0</v>
      </c>
      <c r="CA1657" s="291">
        <f>CA1658+CA1659</f>
        <v>0</v>
      </c>
      <c r="CB1657" s="291">
        <f>CB1658+CB1659</f>
        <v>0</v>
      </c>
      <c r="CD1657" s="291">
        <f>CD1658+CD1659</f>
        <v>0</v>
      </c>
      <c r="CE1657" s="291">
        <f>CE1658+CE1659</f>
        <v>0</v>
      </c>
      <c r="CG1657" s="291">
        <f>CG1658+CG1659</f>
        <v>3</v>
      </c>
      <c r="CH1657" s="291">
        <f>CH1658+CH1659</f>
        <v>3</v>
      </c>
      <c r="CJ1657" s="291">
        <f>CJ1658+CJ1659</f>
        <v>0</v>
      </c>
      <c r="CK1657" s="291">
        <f>CK1658+CK1659</f>
        <v>0</v>
      </c>
    </row>
    <row r="1658" spans="1:89" ht="60" x14ac:dyDescent="0.25">
      <c r="A1658" s="265"/>
      <c r="B1658" s="312"/>
      <c r="C1658" s="312" t="s">
        <v>2766</v>
      </c>
      <c r="D1658" s="95" t="s">
        <v>1112</v>
      </c>
      <c r="E1658" s="291"/>
      <c r="F1658" s="291"/>
      <c r="G1658" s="291"/>
      <c r="H1658" s="291">
        <v>19</v>
      </c>
      <c r="I1658" s="291">
        <v>13</v>
      </c>
      <c r="J1658" s="291">
        <v>14</v>
      </c>
      <c r="K1658" s="291">
        <v>10</v>
      </c>
      <c r="L1658" s="291">
        <v>0</v>
      </c>
      <c r="M1658" s="291">
        <v>0</v>
      </c>
      <c r="N1658" s="291">
        <v>0</v>
      </c>
      <c r="O1658" s="283"/>
      <c r="P1658" s="283"/>
      <c r="Q1658" s="283">
        <f>S1658+V1658+Y1658+AB1658+AE1658+AH1658+AK1658+AN1658+AQ1658+AT1658+AW1658+AZ1658+BC1658+BF1658+BI1658+BL1658+BO1658+BR1658+BU1658+BX1658+CA1658+CD1658+CG1658+CJ1658</f>
        <v>10</v>
      </c>
      <c r="R1658" s="283">
        <f>T1658+W1658+Z1658+AC1658+AF1658+AI1658+AL1658+AO1658+AR1658+AU1658+AX1658+BA1658+BD1658+BG1658+BJ1658+BM1658+BP1658+BS1658+BV1658+BY1658+CB1658+CE1658+CH1658+CK1658</f>
        <v>10</v>
      </c>
      <c r="S1658" s="283">
        <v>0</v>
      </c>
      <c r="T1658" s="283">
        <v>0</v>
      </c>
      <c r="U1658" s="283"/>
      <c r="V1658" s="283">
        <v>0</v>
      </c>
      <c r="W1658" s="283">
        <v>0</v>
      </c>
      <c r="X1658" s="283"/>
      <c r="Y1658" s="283">
        <v>0</v>
      </c>
      <c r="Z1658" s="283">
        <v>0</v>
      </c>
      <c r="AA1658" s="283"/>
      <c r="AB1658" s="283">
        <v>0</v>
      </c>
      <c r="AC1658" s="283">
        <v>0</v>
      </c>
      <c r="AD1658" s="283"/>
      <c r="AE1658" s="283">
        <v>0</v>
      </c>
      <c r="AF1658" s="283">
        <v>0</v>
      </c>
      <c r="AG1658" s="283"/>
      <c r="AH1658" s="283">
        <v>0</v>
      </c>
      <c r="AI1658" s="283">
        <v>0</v>
      </c>
      <c r="AJ1658" s="283"/>
      <c r="AK1658" s="283">
        <v>4</v>
      </c>
      <c r="AL1658" s="283">
        <v>4</v>
      </c>
      <c r="AM1658" s="283"/>
      <c r="AN1658" s="283">
        <v>0</v>
      </c>
      <c r="AO1658" s="283">
        <v>0</v>
      </c>
      <c r="AP1658" s="283"/>
      <c r="AQ1658" s="283">
        <v>0</v>
      </c>
      <c r="AR1658" s="283">
        <v>0</v>
      </c>
      <c r="AS1658" s="283"/>
      <c r="AT1658" s="283">
        <v>0</v>
      </c>
      <c r="AU1658" s="283">
        <v>0</v>
      </c>
      <c r="AV1658" s="283"/>
      <c r="AW1658" s="283">
        <v>0</v>
      </c>
      <c r="AX1658" s="283">
        <v>0</v>
      </c>
      <c r="AY1658" s="283"/>
      <c r="AZ1658" s="283">
        <v>0</v>
      </c>
      <c r="BA1658" s="283">
        <v>0</v>
      </c>
      <c r="BB1658" s="283"/>
      <c r="BC1658" s="283">
        <v>0</v>
      </c>
      <c r="BD1658" s="283">
        <v>0</v>
      </c>
      <c r="BE1658" s="283"/>
      <c r="BF1658" s="283">
        <v>0</v>
      </c>
      <c r="BG1658" s="283">
        <v>0</v>
      </c>
      <c r="BH1658" s="283"/>
      <c r="BI1658" s="283">
        <v>1</v>
      </c>
      <c r="BJ1658" s="283">
        <v>1</v>
      </c>
      <c r="BK1658" s="283"/>
      <c r="BL1658" s="283">
        <v>0</v>
      </c>
      <c r="BM1658" s="283">
        <v>0</v>
      </c>
      <c r="BN1658" s="283"/>
      <c r="BO1658" s="283">
        <v>1</v>
      </c>
      <c r="BP1658" s="283">
        <v>1</v>
      </c>
      <c r="BQ1658" s="283"/>
      <c r="BR1658" s="283">
        <v>1</v>
      </c>
      <c r="BS1658" s="283">
        <v>1</v>
      </c>
      <c r="BT1658" s="283"/>
      <c r="BU1658" s="283">
        <v>0</v>
      </c>
      <c r="BV1658" s="283">
        <v>0</v>
      </c>
      <c r="BW1658" s="283"/>
      <c r="BX1658" s="283">
        <v>0</v>
      </c>
      <c r="BY1658" s="283">
        <v>0</v>
      </c>
      <c r="BZ1658" s="283"/>
      <c r="CA1658" s="283">
        <v>0</v>
      </c>
      <c r="CB1658" s="283">
        <v>0</v>
      </c>
      <c r="CC1658" s="283"/>
      <c r="CD1658" s="283">
        <v>0</v>
      </c>
      <c r="CE1658" s="283">
        <v>0</v>
      </c>
      <c r="CF1658" s="283"/>
      <c r="CG1658" s="283">
        <v>3</v>
      </c>
      <c r="CH1658" s="283">
        <v>3</v>
      </c>
      <c r="CI1658" s="283"/>
      <c r="CJ1658" s="283">
        <v>0</v>
      </c>
      <c r="CK1658" s="283">
        <v>0</v>
      </c>
    </row>
    <row r="1659" spans="1:89" ht="60" x14ac:dyDescent="0.25">
      <c r="A1659" s="265"/>
      <c r="B1659" s="312"/>
      <c r="C1659" s="312" t="s">
        <v>2766</v>
      </c>
      <c r="D1659" s="95" t="s">
        <v>1112</v>
      </c>
      <c r="E1659" s="291"/>
      <c r="F1659" s="291"/>
      <c r="G1659" s="291"/>
      <c r="H1659" s="291">
        <v>8</v>
      </c>
      <c r="I1659" s="291">
        <v>7</v>
      </c>
      <c r="J1659" s="291">
        <v>10</v>
      </c>
      <c r="K1659" s="291">
        <v>4</v>
      </c>
      <c r="L1659" s="291">
        <v>0</v>
      </c>
      <c r="M1659" s="291">
        <v>0</v>
      </c>
      <c r="N1659" s="291">
        <v>0</v>
      </c>
      <c r="O1659" s="283"/>
      <c r="P1659" s="283"/>
      <c r="Q1659" s="283">
        <f>S1659+V1659+Y1659+AB1659+AE1659+AH1659+AK1659+AN1659+AQ1659+AT1659+AW1659+AZ1659+BC1659+BF1659+BI1659+BL1659+BO1659+BR1659+BU1659+BX1659+CA1659+CD1659+CG1659+CJ1659</f>
        <v>4</v>
      </c>
      <c r="R1659" s="283">
        <f>T1659+W1659+Z1659+AC1659+AF1659+AI1659+AL1659+AO1659+AR1659+AU1659+AX1659+BA1659+BD1659+BG1659+BJ1659+BM1659+BP1659+BS1659+BV1659+BY1659+CB1659+CE1659+CH1659+CK1659</f>
        <v>6</v>
      </c>
      <c r="S1659" s="283">
        <v>0</v>
      </c>
      <c r="T1659" s="283">
        <v>0</v>
      </c>
      <c r="U1659" s="283"/>
      <c r="V1659" s="283">
        <v>0</v>
      </c>
      <c r="W1659" s="283">
        <v>0</v>
      </c>
      <c r="X1659" s="283"/>
      <c r="Y1659" s="283">
        <v>0</v>
      </c>
      <c r="Z1659" s="283">
        <v>0</v>
      </c>
      <c r="AA1659" s="283"/>
      <c r="AB1659" s="283">
        <v>0</v>
      </c>
      <c r="AC1659" s="283">
        <v>0</v>
      </c>
      <c r="AD1659" s="283"/>
      <c r="AE1659" s="283">
        <v>0</v>
      </c>
      <c r="AF1659" s="283">
        <v>0</v>
      </c>
      <c r="AG1659" s="283"/>
      <c r="AH1659" s="283">
        <v>0</v>
      </c>
      <c r="AI1659" s="283">
        <v>0</v>
      </c>
      <c r="AJ1659" s="283"/>
      <c r="AK1659" s="283">
        <v>1</v>
      </c>
      <c r="AL1659" s="283">
        <v>1</v>
      </c>
      <c r="AM1659" s="283"/>
      <c r="AN1659" s="283">
        <v>0</v>
      </c>
      <c r="AO1659" s="283">
        <v>0</v>
      </c>
      <c r="AP1659" s="283"/>
      <c r="AQ1659" s="283">
        <v>3</v>
      </c>
      <c r="AR1659" s="283">
        <v>5</v>
      </c>
      <c r="AS1659" s="283"/>
      <c r="AT1659" s="283">
        <v>0</v>
      </c>
      <c r="AU1659" s="283">
        <v>0</v>
      </c>
      <c r="AV1659" s="283"/>
      <c r="AW1659" s="283">
        <v>0</v>
      </c>
      <c r="AX1659" s="283">
        <v>0</v>
      </c>
      <c r="AY1659" s="283"/>
      <c r="AZ1659" s="283">
        <v>0</v>
      </c>
      <c r="BA1659" s="283">
        <v>0</v>
      </c>
      <c r="BB1659" s="283"/>
      <c r="BC1659" s="283">
        <v>0</v>
      </c>
      <c r="BD1659" s="283">
        <v>0</v>
      </c>
      <c r="BE1659" s="283"/>
      <c r="BF1659" s="283">
        <v>0</v>
      </c>
      <c r="BG1659" s="283">
        <v>0</v>
      </c>
      <c r="BH1659" s="283"/>
      <c r="BI1659" s="283">
        <v>0</v>
      </c>
      <c r="BJ1659" s="283">
        <v>0</v>
      </c>
      <c r="BK1659" s="283"/>
      <c r="BL1659" s="283">
        <v>0</v>
      </c>
      <c r="BM1659" s="283">
        <v>0</v>
      </c>
      <c r="BN1659" s="283"/>
      <c r="BO1659" s="283">
        <v>0</v>
      </c>
      <c r="BP1659" s="283">
        <v>0</v>
      </c>
      <c r="BQ1659" s="283"/>
      <c r="BR1659" s="283">
        <v>0</v>
      </c>
      <c r="BS1659" s="283">
        <v>0</v>
      </c>
      <c r="BT1659" s="283"/>
      <c r="BU1659" s="283">
        <v>0</v>
      </c>
      <c r="BV1659" s="283">
        <v>0</v>
      </c>
      <c r="BW1659" s="283"/>
      <c r="BX1659" s="283">
        <v>0</v>
      </c>
      <c r="BY1659" s="283">
        <v>0</v>
      </c>
      <c r="BZ1659" s="283"/>
      <c r="CA1659" s="283">
        <v>0</v>
      </c>
      <c r="CB1659" s="283">
        <v>0</v>
      </c>
      <c r="CC1659" s="283"/>
      <c r="CD1659" s="283">
        <v>0</v>
      </c>
      <c r="CE1659" s="283">
        <v>0</v>
      </c>
      <c r="CF1659" s="283"/>
      <c r="CG1659" s="283">
        <v>0</v>
      </c>
      <c r="CH1659" s="283">
        <v>0</v>
      </c>
      <c r="CI1659" s="283"/>
      <c r="CJ1659" s="267">
        <v>0</v>
      </c>
      <c r="CK1659" s="267">
        <v>0</v>
      </c>
    </row>
    <row r="1660" spans="1:89" x14ac:dyDescent="0.25">
      <c r="A1660" s="265"/>
      <c r="B1660" s="262" t="s">
        <v>1184</v>
      </c>
      <c r="C1660" s="95"/>
      <c r="D1660" s="95"/>
      <c r="E1660" s="291"/>
      <c r="F1660" s="291"/>
      <c r="G1660" s="291"/>
      <c r="H1660" s="291">
        <f>H1661+H1662</f>
        <v>0</v>
      </c>
      <c r="I1660" s="291">
        <f>I1661+I1662</f>
        <v>0</v>
      </c>
      <c r="J1660" s="291">
        <f>J1661+J1662</f>
        <v>0</v>
      </c>
      <c r="K1660" s="291">
        <f>K1661+K1662</f>
        <v>0</v>
      </c>
      <c r="L1660" s="291">
        <f>L1661+L1662</f>
        <v>0</v>
      </c>
      <c r="M1660" s="291">
        <f t="shared" ref="M1660:N1660" si="1954">M1661+M1662</f>
        <v>0</v>
      </c>
      <c r="N1660" s="291">
        <f t="shared" si="1954"/>
        <v>0</v>
      </c>
    </row>
    <row r="1661" spans="1:89" ht="60" x14ac:dyDescent="0.25">
      <c r="A1661" s="265"/>
      <c r="B1661" s="312"/>
      <c r="C1661" s="312" t="s">
        <v>2766</v>
      </c>
      <c r="D1661" s="95" t="s">
        <v>1112</v>
      </c>
      <c r="E1661" s="291"/>
      <c r="F1661" s="291"/>
      <c r="G1661" s="291"/>
      <c r="H1661" s="291">
        <v>0</v>
      </c>
      <c r="I1661" s="291">
        <v>0</v>
      </c>
      <c r="J1661" s="291">
        <v>0</v>
      </c>
      <c r="K1661" s="291">
        <v>0</v>
      </c>
      <c r="L1661" s="291">
        <v>0</v>
      </c>
      <c r="M1661" s="291">
        <v>0</v>
      </c>
      <c r="N1661" s="291">
        <v>0</v>
      </c>
      <c r="Q1661" s="283">
        <f>S1661+V1661+Y1661+AB1661+AE1661+AH1661+AK1661+AN1661+AQ1661+AT1661+AW1661+AZ1661+BC1661+BF1661+BI1661+BL1661+BO1661+BR1661+BU1661+BX1661+CA1661+CD1661+CG1661+CJ1661</f>
        <v>0</v>
      </c>
      <c r="R1661" s="283">
        <f>T1661+W1661+Z1661+AC1661+AF1661+AI1661+AL1661+AO1661+AR1661+AU1661+AX1661+BA1661+BD1661+BG1661+BJ1661+BM1661+BP1661+BS1661+BV1661+BY1661+CB1661+CE1661+CH1661+CK1661</f>
        <v>0</v>
      </c>
      <c r="S1661" s="267">
        <v>0</v>
      </c>
      <c r="T1661" s="267">
        <v>0</v>
      </c>
      <c r="V1661" s="267">
        <v>0</v>
      </c>
      <c r="W1661" s="267">
        <v>0</v>
      </c>
      <c r="Y1661" s="267">
        <v>0</v>
      </c>
      <c r="Z1661" s="267">
        <v>0</v>
      </c>
      <c r="AB1661" s="267">
        <v>0</v>
      </c>
      <c r="AC1661" s="267">
        <v>0</v>
      </c>
      <c r="AE1661" s="267">
        <v>0</v>
      </c>
      <c r="AF1661" s="267">
        <v>0</v>
      </c>
      <c r="AH1661" s="267">
        <v>0</v>
      </c>
      <c r="AI1661" s="267">
        <v>0</v>
      </c>
      <c r="AK1661" s="267">
        <v>0</v>
      </c>
      <c r="AL1661" s="267">
        <v>0</v>
      </c>
      <c r="AN1661" s="267">
        <v>0</v>
      </c>
      <c r="AO1661" s="267">
        <v>0</v>
      </c>
      <c r="AQ1661" s="267">
        <v>0</v>
      </c>
      <c r="AR1661" s="267">
        <v>0</v>
      </c>
      <c r="AT1661" s="267">
        <v>0</v>
      </c>
      <c r="AU1661" s="267">
        <v>0</v>
      </c>
      <c r="AW1661" s="267">
        <v>0</v>
      </c>
      <c r="AX1661" s="267">
        <v>0</v>
      </c>
      <c r="AZ1661" s="267">
        <v>0</v>
      </c>
      <c r="BA1661" s="267">
        <v>0</v>
      </c>
      <c r="BC1661" s="267">
        <v>0</v>
      </c>
      <c r="BD1661" s="267">
        <v>0</v>
      </c>
      <c r="BF1661" s="267">
        <v>0</v>
      </c>
      <c r="BG1661" s="267">
        <v>0</v>
      </c>
      <c r="BI1661" s="267">
        <v>0</v>
      </c>
      <c r="BJ1661" s="267">
        <v>0</v>
      </c>
      <c r="BL1661" s="267">
        <v>0</v>
      </c>
      <c r="BM1661" s="267">
        <v>0</v>
      </c>
      <c r="BO1661" s="267">
        <v>0</v>
      </c>
      <c r="BP1661" s="267">
        <v>0</v>
      </c>
      <c r="BR1661" s="267">
        <v>0</v>
      </c>
      <c r="BS1661" s="267">
        <v>0</v>
      </c>
      <c r="BU1661" s="267">
        <v>0</v>
      </c>
      <c r="BV1661" s="267">
        <v>0</v>
      </c>
      <c r="BX1661" s="267">
        <v>0</v>
      </c>
      <c r="BY1661" s="267">
        <v>0</v>
      </c>
      <c r="CA1661" s="267">
        <v>0</v>
      </c>
      <c r="CB1661" s="267">
        <v>0</v>
      </c>
      <c r="CD1661" s="267">
        <v>0</v>
      </c>
      <c r="CE1661" s="267">
        <v>0</v>
      </c>
      <c r="CG1661" s="267">
        <v>0</v>
      </c>
      <c r="CH1661" s="267">
        <v>0</v>
      </c>
      <c r="CJ1661" s="267">
        <v>0</v>
      </c>
      <c r="CK1661" s="267">
        <v>0</v>
      </c>
    </row>
    <row r="1662" spans="1:89" ht="60" x14ac:dyDescent="0.25">
      <c r="A1662" s="264"/>
      <c r="B1662" s="312"/>
      <c r="C1662" s="312" t="s">
        <v>2766</v>
      </c>
      <c r="D1662" s="95" t="s">
        <v>1112</v>
      </c>
      <c r="E1662" s="291"/>
      <c r="F1662" s="291"/>
      <c r="G1662" s="291"/>
      <c r="H1662" s="291">
        <v>0</v>
      </c>
      <c r="I1662" s="291">
        <v>0</v>
      </c>
      <c r="J1662" s="291">
        <v>0</v>
      </c>
      <c r="K1662" s="291">
        <v>0</v>
      </c>
      <c r="L1662" s="291">
        <v>0</v>
      </c>
      <c r="M1662" s="291">
        <v>0</v>
      </c>
      <c r="N1662" s="291">
        <v>0</v>
      </c>
      <c r="Q1662" s="283">
        <f>S1662+V1662+Y1662+AB1662+AE1662+AH1662+AK1662+AN1662+AQ1662+AT1662+AW1662+AZ1662+BC1662+BF1662+BI1662+BL1662+BO1662+BR1662+BU1662+BX1662+CA1662+CD1662+CG1662+CJ1662</f>
        <v>0</v>
      </c>
      <c r="R1662" s="283">
        <f>T1662+W1662+Z1662+AC1662+AF1662+AI1662+AL1662+AO1662+AR1662+AU1662+AX1662+BA1662+BD1662+BG1662+BJ1662+BM1662+BP1662+BS1662+BV1662+BY1662+CB1662+CE1662+CH1662+CK1662</f>
        <v>0</v>
      </c>
      <c r="S1662" s="267">
        <v>0</v>
      </c>
      <c r="T1662" s="267">
        <v>0</v>
      </c>
      <c r="V1662" s="267">
        <v>0</v>
      </c>
      <c r="W1662" s="267">
        <v>0</v>
      </c>
      <c r="Y1662" s="267">
        <v>0</v>
      </c>
      <c r="Z1662" s="267">
        <v>0</v>
      </c>
      <c r="AB1662" s="267">
        <v>0</v>
      </c>
      <c r="AC1662" s="267">
        <v>0</v>
      </c>
      <c r="AE1662" s="267">
        <v>0</v>
      </c>
      <c r="AF1662" s="267">
        <v>0</v>
      </c>
      <c r="AH1662" s="267">
        <v>0</v>
      </c>
      <c r="AI1662" s="267">
        <v>0</v>
      </c>
      <c r="AK1662" s="267">
        <v>0</v>
      </c>
      <c r="AL1662" s="267">
        <v>0</v>
      </c>
      <c r="AN1662" s="267">
        <v>0</v>
      </c>
      <c r="AO1662" s="267">
        <v>0</v>
      </c>
      <c r="AQ1662" s="267">
        <v>0</v>
      </c>
      <c r="AR1662" s="267">
        <v>0</v>
      </c>
      <c r="AT1662" s="267">
        <v>0</v>
      </c>
      <c r="AU1662" s="267">
        <v>0</v>
      </c>
      <c r="AW1662" s="267">
        <v>0</v>
      </c>
      <c r="AX1662" s="267">
        <v>0</v>
      </c>
      <c r="AZ1662" s="267">
        <v>0</v>
      </c>
      <c r="BA1662" s="267">
        <v>0</v>
      </c>
      <c r="BC1662" s="267">
        <v>0</v>
      </c>
      <c r="BD1662" s="267">
        <v>0</v>
      </c>
      <c r="BF1662" s="267">
        <v>0</v>
      </c>
      <c r="BG1662" s="267">
        <v>0</v>
      </c>
      <c r="BI1662" s="267">
        <v>0</v>
      </c>
      <c r="BJ1662" s="267">
        <v>0</v>
      </c>
      <c r="BL1662" s="267">
        <v>0</v>
      </c>
      <c r="BM1662" s="267">
        <v>0</v>
      </c>
      <c r="BO1662" s="267">
        <v>0</v>
      </c>
      <c r="BP1662" s="267">
        <v>0</v>
      </c>
      <c r="BR1662" s="267">
        <v>0</v>
      </c>
      <c r="BS1662" s="267">
        <v>0</v>
      </c>
      <c r="BU1662" s="267">
        <v>0</v>
      </c>
      <c r="BV1662" s="267">
        <v>0</v>
      </c>
      <c r="BX1662" s="267">
        <v>0</v>
      </c>
      <c r="BY1662" s="267">
        <v>0</v>
      </c>
      <c r="CA1662" s="267">
        <v>0</v>
      </c>
      <c r="CB1662" s="267">
        <v>0</v>
      </c>
      <c r="CD1662" s="267">
        <v>0</v>
      </c>
      <c r="CE1662" s="267">
        <v>0</v>
      </c>
      <c r="CG1662" s="267">
        <v>0</v>
      </c>
      <c r="CH1662" s="267">
        <v>0</v>
      </c>
      <c r="CJ1662" s="267">
        <v>0</v>
      </c>
      <c r="CK1662" s="267">
        <v>0</v>
      </c>
    </row>
    <row r="1663" spans="1:89" ht="30" x14ac:dyDescent="0.25">
      <c r="A1663" s="416"/>
      <c r="B1663" s="419" t="s">
        <v>203</v>
      </c>
      <c r="C1663" s="95" t="s">
        <v>1206</v>
      </c>
      <c r="D1663" s="95" t="s">
        <v>1112</v>
      </c>
      <c r="E1663" s="291">
        <v>223</v>
      </c>
      <c r="F1663" s="291">
        <v>223</v>
      </c>
      <c r="G1663" s="291">
        <v>218</v>
      </c>
      <c r="H1663" s="291">
        <f t="shared" ref="H1663:K1664" si="1955">H1669</f>
        <v>222</v>
      </c>
      <c r="I1663" s="291">
        <f t="shared" si="1955"/>
        <v>220</v>
      </c>
      <c r="J1663" s="291">
        <f t="shared" si="1955"/>
        <v>318</v>
      </c>
      <c r="K1663" s="291">
        <f t="shared" si="1955"/>
        <v>316</v>
      </c>
      <c r="L1663" s="291">
        <f t="shared" ref="L1663:N1664" si="1956">L1669</f>
        <v>5</v>
      </c>
      <c r="M1663" s="291">
        <f t="shared" si="1956"/>
        <v>5</v>
      </c>
      <c r="N1663" s="291">
        <f t="shared" si="1956"/>
        <v>5</v>
      </c>
      <c r="Q1663" s="291">
        <f t="shared" ref="Q1663:T1664" si="1957">Q1669</f>
        <v>316</v>
      </c>
      <c r="R1663" s="291">
        <f t="shared" si="1957"/>
        <v>325</v>
      </c>
      <c r="S1663" s="291">
        <f t="shared" si="1957"/>
        <v>6</v>
      </c>
      <c r="T1663" s="291">
        <f t="shared" si="1957"/>
        <v>7</v>
      </c>
      <c r="V1663" s="291">
        <f>V1669</f>
        <v>6</v>
      </c>
      <c r="W1663" s="291">
        <f>W1669</f>
        <v>6</v>
      </c>
      <c r="Y1663" s="291">
        <f>Y1669</f>
        <v>6</v>
      </c>
      <c r="Z1663" s="291">
        <f>Z1669</f>
        <v>6</v>
      </c>
      <c r="AB1663" s="291">
        <f>AB1669</f>
        <v>4</v>
      </c>
      <c r="AC1663" s="291">
        <f>AC1669</f>
        <v>4</v>
      </c>
      <c r="AE1663" s="291">
        <f>AE1669</f>
        <v>9</v>
      </c>
      <c r="AF1663" s="291">
        <f>AF1669</f>
        <v>11</v>
      </c>
      <c r="AH1663" s="291">
        <f>AH1669</f>
        <v>9</v>
      </c>
      <c r="AI1663" s="291">
        <f>AI1669</f>
        <v>9</v>
      </c>
      <c r="AK1663" s="291">
        <f>AK1669</f>
        <v>13</v>
      </c>
      <c r="AL1663" s="291">
        <f>AL1669</f>
        <v>13</v>
      </c>
      <c r="AN1663" s="291">
        <f>AN1669</f>
        <v>15</v>
      </c>
      <c r="AO1663" s="291">
        <f>AO1669</f>
        <v>15</v>
      </c>
      <c r="AQ1663" s="291">
        <f>AQ1669</f>
        <v>0</v>
      </c>
      <c r="AR1663" s="291">
        <f>AR1669</f>
        <v>0</v>
      </c>
      <c r="AT1663" s="291">
        <f>AT1669</f>
        <v>13</v>
      </c>
      <c r="AU1663" s="291">
        <f>AU1669</f>
        <v>13</v>
      </c>
      <c r="AW1663" s="291">
        <f>AW1669</f>
        <v>7</v>
      </c>
      <c r="AX1663" s="291">
        <f>AX1669</f>
        <v>8</v>
      </c>
      <c r="AZ1663" s="291">
        <f>AZ1669</f>
        <v>12</v>
      </c>
      <c r="BA1663" s="291">
        <f>BA1669</f>
        <v>12</v>
      </c>
      <c r="BC1663" s="291">
        <f>BC1669</f>
        <v>30</v>
      </c>
      <c r="BD1663" s="291">
        <f>BD1669</f>
        <v>30</v>
      </c>
      <c r="BF1663" s="291">
        <f>BF1669</f>
        <v>35</v>
      </c>
      <c r="BG1663" s="291">
        <f>BG1669</f>
        <v>38</v>
      </c>
      <c r="BI1663" s="291">
        <f>BI1669</f>
        <v>62</v>
      </c>
      <c r="BJ1663" s="291">
        <f>BJ1669</f>
        <v>63</v>
      </c>
      <c r="BL1663" s="291">
        <f>BL1669</f>
        <v>7</v>
      </c>
      <c r="BM1663" s="291">
        <f>BM1669</f>
        <v>7</v>
      </c>
      <c r="BO1663" s="291">
        <f>BO1669</f>
        <v>8</v>
      </c>
      <c r="BP1663" s="291">
        <f>BP1669</f>
        <v>8</v>
      </c>
      <c r="BR1663" s="291">
        <f>BR1669</f>
        <v>14</v>
      </c>
      <c r="BS1663" s="291">
        <f>BS1669</f>
        <v>14</v>
      </c>
      <c r="BU1663" s="291">
        <f>BU1669</f>
        <v>9</v>
      </c>
      <c r="BV1663" s="291">
        <f>BV1669</f>
        <v>8</v>
      </c>
      <c r="BX1663" s="291">
        <f>BX1669</f>
        <v>5</v>
      </c>
      <c r="BY1663" s="291">
        <f>BY1669</f>
        <v>5</v>
      </c>
      <c r="CA1663" s="291">
        <f>CA1669</f>
        <v>10</v>
      </c>
      <c r="CB1663" s="291">
        <f>CB1669</f>
        <v>11</v>
      </c>
      <c r="CD1663" s="291">
        <f>CD1669</f>
        <v>12</v>
      </c>
      <c r="CE1663" s="291">
        <f>CE1669</f>
        <v>13</v>
      </c>
      <c r="CG1663" s="291">
        <f>CG1669</f>
        <v>24</v>
      </c>
      <c r="CH1663" s="291">
        <f>CH1669</f>
        <v>24</v>
      </c>
      <c r="CJ1663" s="291">
        <f>CJ1669</f>
        <v>0</v>
      </c>
      <c r="CK1663" s="291">
        <f>CK1669</f>
        <v>0</v>
      </c>
    </row>
    <row r="1664" spans="1:89" ht="30" x14ac:dyDescent="0.25">
      <c r="A1664" s="417"/>
      <c r="B1664" s="420"/>
      <c r="C1664" s="95" t="s">
        <v>1262</v>
      </c>
      <c r="D1664" s="95" t="s">
        <v>1112</v>
      </c>
      <c r="E1664" s="291">
        <v>113</v>
      </c>
      <c r="F1664" s="291">
        <v>111</v>
      </c>
      <c r="G1664" s="291">
        <v>108</v>
      </c>
      <c r="H1664" s="291">
        <f t="shared" si="1955"/>
        <v>100</v>
      </c>
      <c r="I1664" s="291">
        <f t="shared" si="1955"/>
        <v>98</v>
      </c>
      <c r="J1664" s="291">
        <f t="shared" si="1955"/>
        <v>150</v>
      </c>
      <c r="K1664" s="291">
        <f t="shared" si="1955"/>
        <v>152</v>
      </c>
      <c r="L1664" s="291">
        <f t="shared" si="1956"/>
        <v>13</v>
      </c>
      <c r="M1664" s="291">
        <f t="shared" si="1956"/>
        <v>13</v>
      </c>
      <c r="N1664" s="291">
        <f t="shared" si="1956"/>
        <v>13</v>
      </c>
      <c r="Q1664" s="291">
        <f t="shared" si="1957"/>
        <v>152</v>
      </c>
      <c r="R1664" s="291">
        <f t="shared" si="1957"/>
        <v>157</v>
      </c>
      <c r="S1664" s="291">
        <f t="shared" si="1957"/>
        <v>10</v>
      </c>
      <c r="T1664" s="291">
        <f t="shared" si="1957"/>
        <v>10</v>
      </c>
      <c r="V1664" s="291">
        <f>V1670</f>
        <v>10</v>
      </c>
      <c r="W1664" s="291">
        <f>W1670</f>
        <v>11</v>
      </c>
      <c r="Y1664" s="291">
        <f>Y1670</f>
        <v>15</v>
      </c>
      <c r="Z1664" s="291">
        <f>Z1670</f>
        <v>15</v>
      </c>
      <c r="AB1664" s="291">
        <f>AB1670</f>
        <v>19</v>
      </c>
      <c r="AC1664" s="291">
        <f>AC1670</f>
        <v>19</v>
      </c>
      <c r="AE1664" s="291">
        <f>AE1670</f>
        <v>20</v>
      </c>
      <c r="AF1664" s="291">
        <f>AF1670</f>
        <v>18</v>
      </c>
      <c r="AH1664" s="291">
        <f>AH1670</f>
        <v>22</v>
      </c>
      <c r="AI1664" s="291">
        <f>AI1670</f>
        <v>22</v>
      </c>
      <c r="AK1664" s="291">
        <f>AK1670</f>
        <v>2</v>
      </c>
      <c r="AL1664" s="291">
        <f>AL1670</f>
        <v>2</v>
      </c>
      <c r="AN1664" s="291">
        <f>AN1670</f>
        <v>18</v>
      </c>
      <c r="AO1664" s="291">
        <f>AO1670</f>
        <v>18</v>
      </c>
      <c r="AQ1664" s="291">
        <f>AQ1670</f>
        <v>31</v>
      </c>
      <c r="AR1664" s="291">
        <f>AR1670</f>
        <v>37</v>
      </c>
      <c r="AT1664" s="291">
        <f>AT1670</f>
        <v>0</v>
      </c>
      <c r="AU1664" s="291">
        <f>AU1670</f>
        <v>0</v>
      </c>
      <c r="AW1664" s="291">
        <f>AW1670</f>
        <v>0</v>
      </c>
      <c r="AX1664" s="291">
        <f>AX1670</f>
        <v>0</v>
      </c>
      <c r="AZ1664" s="291">
        <f>AZ1670</f>
        <v>0</v>
      </c>
      <c r="BA1664" s="291">
        <f>BA1670</f>
        <v>0</v>
      </c>
      <c r="BC1664" s="291">
        <f>BC1670</f>
        <v>0</v>
      </c>
      <c r="BD1664" s="291">
        <f>BD1670</f>
        <v>0</v>
      </c>
      <c r="BF1664" s="291">
        <f>BF1670</f>
        <v>0</v>
      </c>
      <c r="BG1664" s="291">
        <f>BG1670</f>
        <v>0</v>
      </c>
      <c r="BI1664" s="291">
        <f>BI1670</f>
        <v>0</v>
      </c>
      <c r="BJ1664" s="291">
        <f>BJ1670</f>
        <v>0</v>
      </c>
      <c r="BL1664" s="291">
        <f>BL1670</f>
        <v>0</v>
      </c>
      <c r="BM1664" s="291">
        <f>BM1670</f>
        <v>0</v>
      </c>
      <c r="BO1664" s="291">
        <f>BO1670</f>
        <v>0</v>
      </c>
      <c r="BP1664" s="291">
        <f>BP1670</f>
        <v>0</v>
      </c>
      <c r="BR1664" s="291">
        <f>BR1670</f>
        <v>0</v>
      </c>
      <c r="BS1664" s="291">
        <f>BS1670</f>
        <v>0</v>
      </c>
      <c r="BU1664" s="291">
        <f>BU1670</f>
        <v>0</v>
      </c>
      <c r="BV1664" s="291">
        <f>BV1670</f>
        <v>0</v>
      </c>
      <c r="BX1664" s="291">
        <f>BX1670</f>
        <v>0</v>
      </c>
      <c r="BY1664" s="291">
        <f>BY1670</f>
        <v>0</v>
      </c>
      <c r="CA1664" s="291">
        <f>CA1670</f>
        <v>0</v>
      </c>
      <c r="CB1664" s="291">
        <f>CB1670</f>
        <v>0</v>
      </c>
      <c r="CD1664" s="291">
        <f>CD1670</f>
        <v>0</v>
      </c>
      <c r="CE1664" s="291">
        <f>CE1670</f>
        <v>0</v>
      </c>
      <c r="CG1664" s="291">
        <f>CG1670</f>
        <v>5</v>
      </c>
      <c r="CH1664" s="291">
        <f>CH1670</f>
        <v>5</v>
      </c>
      <c r="CJ1664" s="291">
        <f>CJ1670</f>
        <v>0</v>
      </c>
      <c r="CK1664" s="291">
        <f>CK1670</f>
        <v>0</v>
      </c>
    </row>
    <row r="1665" spans="1:89" ht="30" x14ac:dyDescent="0.25">
      <c r="A1665" s="417"/>
      <c r="B1665" s="420"/>
      <c r="C1665" s="95" t="s">
        <v>1207</v>
      </c>
      <c r="D1665" s="95" t="s">
        <v>1112</v>
      </c>
      <c r="E1665" s="291">
        <v>5</v>
      </c>
      <c r="F1665" s="291">
        <v>5</v>
      </c>
      <c r="G1665" s="291">
        <v>5</v>
      </c>
      <c r="H1665" s="291">
        <f t="shared" ref="H1665:J1666" si="1958">H1672</f>
        <v>4</v>
      </c>
      <c r="I1665" s="291">
        <f t="shared" si="1958"/>
        <v>4</v>
      </c>
      <c r="J1665" s="291">
        <f>J1672</f>
        <v>6</v>
      </c>
      <c r="K1665" s="291">
        <f>K1672</f>
        <v>6</v>
      </c>
      <c r="L1665" s="291">
        <f>L1672</f>
        <v>0</v>
      </c>
      <c r="M1665" s="291">
        <f>M1672</f>
        <v>0</v>
      </c>
      <c r="N1665" s="291">
        <f>N1672</f>
        <v>0</v>
      </c>
      <c r="Q1665" s="291">
        <f t="shared" ref="Q1665:T1666" si="1959">Q1672</f>
        <v>6</v>
      </c>
      <c r="R1665" s="291">
        <f t="shared" si="1959"/>
        <v>6</v>
      </c>
      <c r="S1665" s="291">
        <f t="shared" si="1959"/>
        <v>0</v>
      </c>
      <c r="T1665" s="291">
        <f t="shared" si="1959"/>
        <v>0</v>
      </c>
      <c r="V1665" s="291">
        <f>V1672</f>
        <v>0</v>
      </c>
      <c r="W1665" s="291">
        <f>W1672</f>
        <v>0</v>
      </c>
      <c r="Y1665" s="291">
        <f>Y1672</f>
        <v>0</v>
      </c>
      <c r="Z1665" s="291">
        <f>Z1672</f>
        <v>0</v>
      </c>
      <c r="AB1665" s="291">
        <f>AB1672</f>
        <v>0</v>
      </c>
      <c r="AC1665" s="291">
        <f>AC1672</f>
        <v>0</v>
      </c>
      <c r="AE1665" s="291">
        <f>AE1672</f>
        <v>0</v>
      </c>
      <c r="AF1665" s="291">
        <f>AF1672</f>
        <v>0</v>
      </c>
      <c r="AH1665" s="291">
        <f>AH1672</f>
        <v>0</v>
      </c>
      <c r="AI1665" s="291">
        <f>AI1672</f>
        <v>0</v>
      </c>
      <c r="AK1665" s="291">
        <f>AK1672</f>
        <v>0</v>
      </c>
      <c r="AL1665" s="291">
        <f>AL1672</f>
        <v>0</v>
      </c>
      <c r="AN1665" s="291">
        <f>AN1672</f>
        <v>0</v>
      </c>
      <c r="AO1665" s="291">
        <f>AO1672</f>
        <v>0</v>
      </c>
      <c r="AQ1665" s="291">
        <f>AQ1672</f>
        <v>0</v>
      </c>
      <c r="AR1665" s="291">
        <f>AR1672</f>
        <v>0</v>
      </c>
      <c r="AT1665" s="291">
        <f>AT1672</f>
        <v>0</v>
      </c>
      <c r="AU1665" s="291">
        <f>AU1672</f>
        <v>0</v>
      </c>
      <c r="AW1665" s="291">
        <f>AW1672</f>
        <v>0</v>
      </c>
      <c r="AX1665" s="291">
        <f>AX1672</f>
        <v>0</v>
      </c>
      <c r="AZ1665" s="291">
        <f>AZ1672</f>
        <v>0</v>
      </c>
      <c r="BA1665" s="291">
        <f>BA1672</f>
        <v>0</v>
      </c>
      <c r="BC1665" s="291">
        <f>BC1672</f>
        <v>1</v>
      </c>
      <c r="BD1665" s="291">
        <f>BD1672</f>
        <v>1</v>
      </c>
      <c r="BF1665" s="291">
        <f>BF1672</f>
        <v>1</v>
      </c>
      <c r="BG1665" s="291">
        <f>BG1672</f>
        <v>1</v>
      </c>
      <c r="BI1665" s="291">
        <f>BI1672</f>
        <v>1</v>
      </c>
      <c r="BJ1665" s="291">
        <f>BJ1672</f>
        <v>1</v>
      </c>
      <c r="BL1665" s="291">
        <f>BL1672</f>
        <v>0</v>
      </c>
      <c r="BM1665" s="291">
        <f>BM1672</f>
        <v>0</v>
      </c>
      <c r="BO1665" s="291">
        <f>BO1672</f>
        <v>0</v>
      </c>
      <c r="BP1665" s="291">
        <f>BP1672</f>
        <v>0</v>
      </c>
      <c r="BR1665" s="291">
        <f>BR1672</f>
        <v>0</v>
      </c>
      <c r="BS1665" s="291">
        <f>BS1672</f>
        <v>0</v>
      </c>
      <c r="BU1665" s="291">
        <f>BU1672</f>
        <v>0</v>
      </c>
      <c r="BV1665" s="291">
        <f>BV1672</f>
        <v>0</v>
      </c>
      <c r="BX1665" s="291">
        <f>BX1672</f>
        <v>0</v>
      </c>
      <c r="BY1665" s="291">
        <f>BY1672</f>
        <v>0</v>
      </c>
      <c r="CA1665" s="291">
        <f>CA1672</f>
        <v>0</v>
      </c>
      <c r="CB1665" s="291">
        <f>CB1672</f>
        <v>0</v>
      </c>
      <c r="CD1665" s="291">
        <f>CD1672</f>
        <v>3</v>
      </c>
      <c r="CE1665" s="291">
        <f>CE1672</f>
        <v>3</v>
      </c>
      <c r="CG1665" s="291">
        <f>CG1672</f>
        <v>0</v>
      </c>
      <c r="CH1665" s="291">
        <f>CH1672</f>
        <v>0</v>
      </c>
      <c r="CJ1665" s="291">
        <f>CJ1672</f>
        <v>0</v>
      </c>
      <c r="CK1665" s="291">
        <f>CK1672</f>
        <v>0</v>
      </c>
    </row>
    <row r="1666" spans="1:89" ht="30" x14ac:dyDescent="0.25">
      <c r="A1666" s="418"/>
      <c r="B1666" s="421"/>
      <c r="C1666" s="95" t="s">
        <v>1263</v>
      </c>
      <c r="D1666" s="95" t="s">
        <v>1112</v>
      </c>
      <c r="E1666" s="291">
        <v>0</v>
      </c>
      <c r="F1666" s="291">
        <v>0</v>
      </c>
      <c r="G1666" s="291">
        <v>0</v>
      </c>
      <c r="H1666" s="291">
        <f t="shared" si="1958"/>
        <v>0</v>
      </c>
      <c r="I1666" s="291">
        <f t="shared" si="1958"/>
        <v>0</v>
      </c>
      <c r="J1666" s="291">
        <f t="shared" si="1958"/>
        <v>0</v>
      </c>
      <c r="K1666" s="291">
        <f>K1673</f>
        <v>0</v>
      </c>
      <c r="L1666" s="291">
        <f>L1673</f>
        <v>0</v>
      </c>
      <c r="M1666" s="291">
        <f>M1673</f>
        <v>0</v>
      </c>
      <c r="N1666" s="291">
        <f>N1673</f>
        <v>0</v>
      </c>
      <c r="Q1666" s="291">
        <f t="shared" si="1959"/>
        <v>0</v>
      </c>
      <c r="R1666" s="291">
        <f t="shared" si="1959"/>
        <v>0</v>
      </c>
      <c r="S1666" s="291">
        <f t="shared" si="1959"/>
        <v>0</v>
      </c>
      <c r="T1666" s="291">
        <f t="shared" si="1959"/>
        <v>0</v>
      </c>
      <c r="V1666" s="291">
        <f>V1673</f>
        <v>0</v>
      </c>
      <c r="W1666" s="291">
        <f>W1673</f>
        <v>0</v>
      </c>
      <c r="Y1666" s="291">
        <f>Y1673</f>
        <v>0</v>
      </c>
      <c r="Z1666" s="291">
        <f>Z1673</f>
        <v>0</v>
      </c>
      <c r="AB1666" s="291">
        <f>AB1673</f>
        <v>0</v>
      </c>
      <c r="AC1666" s="291">
        <f>AC1673</f>
        <v>0</v>
      </c>
      <c r="AE1666" s="291">
        <f>AE1673</f>
        <v>0</v>
      </c>
      <c r="AF1666" s="291">
        <f>AF1673</f>
        <v>0</v>
      </c>
      <c r="AH1666" s="291">
        <f>AH1673</f>
        <v>0</v>
      </c>
      <c r="AI1666" s="291">
        <f>AI1673</f>
        <v>0</v>
      </c>
      <c r="AK1666" s="291">
        <f>AK1673</f>
        <v>0</v>
      </c>
      <c r="AL1666" s="291">
        <f>AL1673</f>
        <v>0</v>
      </c>
      <c r="AN1666" s="291">
        <f>AN1673</f>
        <v>0</v>
      </c>
      <c r="AO1666" s="291">
        <f>AO1673</f>
        <v>0</v>
      </c>
      <c r="AQ1666" s="291">
        <f>AQ1673</f>
        <v>0</v>
      </c>
      <c r="AR1666" s="291">
        <f>AR1673</f>
        <v>0</v>
      </c>
      <c r="AT1666" s="291">
        <f>AT1673</f>
        <v>0</v>
      </c>
      <c r="AU1666" s="291">
        <f>AU1673</f>
        <v>0</v>
      </c>
      <c r="AW1666" s="291">
        <f>AW1673</f>
        <v>0</v>
      </c>
      <c r="AX1666" s="291">
        <f>AX1673</f>
        <v>0</v>
      </c>
      <c r="AZ1666" s="291">
        <f>AZ1673</f>
        <v>0</v>
      </c>
      <c r="BA1666" s="291">
        <f>BA1673</f>
        <v>0</v>
      </c>
      <c r="BC1666" s="291">
        <f>BC1673</f>
        <v>0</v>
      </c>
      <c r="BD1666" s="291">
        <f>BD1673</f>
        <v>0</v>
      </c>
      <c r="BF1666" s="291">
        <f>BF1673</f>
        <v>0</v>
      </c>
      <c r="BG1666" s="291">
        <f>BG1673</f>
        <v>0</v>
      </c>
      <c r="BI1666" s="291">
        <f>BI1673</f>
        <v>0</v>
      </c>
      <c r="BJ1666" s="291">
        <f>BJ1673</f>
        <v>0</v>
      </c>
      <c r="BL1666" s="291">
        <f>BL1673</f>
        <v>0</v>
      </c>
      <c r="BM1666" s="291">
        <f>BM1673</f>
        <v>0</v>
      </c>
      <c r="BO1666" s="291">
        <f>BO1673</f>
        <v>0</v>
      </c>
      <c r="BP1666" s="291">
        <f>BP1673</f>
        <v>0</v>
      </c>
      <c r="BR1666" s="291">
        <f>BR1673</f>
        <v>0</v>
      </c>
      <c r="BS1666" s="291">
        <f>BS1673</f>
        <v>0</v>
      </c>
      <c r="BU1666" s="291">
        <f>BU1673</f>
        <v>0</v>
      </c>
      <c r="BV1666" s="291">
        <f>BV1673</f>
        <v>0</v>
      </c>
      <c r="BX1666" s="291">
        <f>BX1673</f>
        <v>0</v>
      </c>
      <c r="BY1666" s="291">
        <f>BY1673</f>
        <v>0</v>
      </c>
      <c r="CA1666" s="291">
        <f>CA1673</f>
        <v>0</v>
      </c>
      <c r="CB1666" s="291">
        <f>CB1673</f>
        <v>0</v>
      </c>
      <c r="CD1666" s="291">
        <f>CD1673</f>
        <v>0</v>
      </c>
      <c r="CE1666" s="291">
        <f>CE1673</f>
        <v>0</v>
      </c>
      <c r="CG1666" s="291">
        <f>CG1673</f>
        <v>0</v>
      </c>
      <c r="CH1666" s="291">
        <f>CH1673</f>
        <v>0</v>
      </c>
      <c r="CJ1666" s="291">
        <f>CJ1673</f>
        <v>0</v>
      </c>
      <c r="CK1666" s="291">
        <f>CK1673</f>
        <v>0</v>
      </c>
    </row>
    <row r="1667" spans="1:89" ht="30" x14ac:dyDescent="0.25">
      <c r="A1667" s="95"/>
      <c r="B1667" s="16" t="s">
        <v>223</v>
      </c>
      <c r="C1667" s="95" t="s">
        <v>205</v>
      </c>
      <c r="D1667" s="95" t="s">
        <v>1112</v>
      </c>
      <c r="E1667" s="291">
        <v>7</v>
      </c>
      <c r="F1667" s="291">
        <v>5</v>
      </c>
      <c r="G1667" s="291">
        <v>4</v>
      </c>
      <c r="H1667" s="291">
        <v>0</v>
      </c>
      <c r="I1667" s="291">
        <v>0</v>
      </c>
      <c r="J1667" s="291">
        <v>0</v>
      </c>
      <c r="K1667" s="291">
        <v>0</v>
      </c>
      <c r="L1667" s="291">
        <v>0</v>
      </c>
      <c r="M1667" s="291">
        <v>0</v>
      </c>
      <c r="N1667" s="291">
        <v>0</v>
      </c>
      <c r="Q1667" s="291">
        <v>0</v>
      </c>
      <c r="R1667" s="291">
        <v>0</v>
      </c>
      <c r="S1667" s="291">
        <v>0</v>
      </c>
      <c r="T1667" s="291">
        <v>0</v>
      </c>
      <c r="V1667" s="291">
        <v>0</v>
      </c>
      <c r="W1667" s="291">
        <v>0</v>
      </c>
      <c r="Y1667" s="291">
        <v>0</v>
      </c>
      <c r="Z1667" s="291">
        <v>0</v>
      </c>
      <c r="AB1667" s="291">
        <v>0</v>
      </c>
      <c r="AC1667" s="291">
        <v>0</v>
      </c>
      <c r="AE1667" s="291">
        <v>0</v>
      </c>
      <c r="AF1667" s="291">
        <v>0</v>
      </c>
      <c r="AH1667" s="291">
        <v>0</v>
      </c>
      <c r="AI1667" s="291">
        <v>0</v>
      </c>
      <c r="AK1667" s="291">
        <v>0</v>
      </c>
      <c r="AL1667" s="291">
        <v>0</v>
      </c>
      <c r="AN1667" s="291">
        <v>0</v>
      </c>
      <c r="AO1667" s="291">
        <v>0</v>
      </c>
      <c r="AQ1667" s="291">
        <v>0</v>
      </c>
      <c r="AR1667" s="291">
        <v>0</v>
      </c>
      <c r="AT1667" s="291">
        <v>0</v>
      </c>
      <c r="AU1667" s="291">
        <v>0</v>
      </c>
      <c r="AW1667" s="291">
        <v>0</v>
      </c>
      <c r="AX1667" s="291">
        <v>0</v>
      </c>
      <c r="AZ1667" s="291">
        <v>0</v>
      </c>
      <c r="BA1667" s="291">
        <v>0</v>
      </c>
      <c r="BC1667" s="291">
        <v>0</v>
      </c>
      <c r="BD1667" s="291">
        <v>0</v>
      </c>
      <c r="BF1667" s="291">
        <v>0</v>
      </c>
      <c r="BG1667" s="291">
        <v>0</v>
      </c>
      <c r="BI1667" s="291">
        <v>0</v>
      </c>
      <c r="BJ1667" s="291">
        <v>0</v>
      </c>
      <c r="BL1667" s="291">
        <v>0</v>
      </c>
      <c r="BM1667" s="291">
        <v>0</v>
      </c>
      <c r="BO1667" s="291">
        <v>0</v>
      </c>
      <c r="BP1667" s="291">
        <v>0</v>
      </c>
      <c r="BR1667" s="291">
        <v>0</v>
      </c>
      <c r="BS1667" s="291">
        <v>0</v>
      </c>
      <c r="BU1667" s="291">
        <v>0</v>
      </c>
      <c r="BV1667" s="291">
        <v>0</v>
      </c>
      <c r="BX1667" s="291">
        <v>0</v>
      </c>
      <c r="BY1667" s="291">
        <v>0</v>
      </c>
      <c r="CA1667" s="291">
        <v>0</v>
      </c>
      <c r="CB1667" s="291">
        <v>0</v>
      </c>
      <c r="CD1667" s="291">
        <v>0</v>
      </c>
      <c r="CE1667" s="291">
        <v>0</v>
      </c>
      <c r="CG1667" s="291">
        <v>0</v>
      </c>
      <c r="CH1667" s="291">
        <v>0</v>
      </c>
      <c r="CJ1667" s="291">
        <v>0</v>
      </c>
      <c r="CK1667" s="291">
        <v>0</v>
      </c>
    </row>
    <row r="1668" spans="1:89" x14ac:dyDescent="0.25">
      <c r="A1668" s="95"/>
      <c r="B1668" s="16" t="s">
        <v>1182</v>
      </c>
      <c r="C1668" s="95"/>
      <c r="D1668" s="95"/>
      <c r="E1668" s="291"/>
      <c r="F1668" s="291"/>
      <c r="G1668" s="291"/>
      <c r="H1668" s="291">
        <f>H1669+H1670</f>
        <v>322</v>
      </c>
      <c r="I1668" s="291">
        <f>I1669+I1670</f>
        <v>318</v>
      </c>
      <c r="J1668" s="291">
        <f>J1669+J1670</f>
        <v>468</v>
      </c>
      <c r="K1668" s="291">
        <f>K1669+K1670</f>
        <v>468</v>
      </c>
      <c r="L1668" s="291">
        <f>L1669+L1670</f>
        <v>18</v>
      </c>
      <c r="M1668" s="291">
        <f t="shared" ref="M1668:N1668" si="1960">M1669+M1670</f>
        <v>18</v>
      </c>
      <c r="N1668" s="291">
        <f t="shared" si="1960"/>
        <v>18</v>
      </c>
      <c r="Q1668" s="291">
        <f>Q1669+Q1670</f>
        <v>468</v>
      </c>
      <c r="R1668" s="291">
        <f>R1669+R1670</f>
        <v>482</v>
      </c>
      <c r="S1668" s="291">
        <f>S1669+S1670</f>
        <v>16</v>
      </c>
      <c r="T1668" s="291">
        <f>T1669+T1670</f>
        <v>17</v>
      </c>
      <c r="V1668" s="291">
        <f>V1669+V1670</f>
        <v>16</v>
      </c>
      <c r="W1668" s="291">
        <f>W1669+W1670</f>
        <v>17</v>
      </c>
      <c r="Y1668" s="291">
        <f>Y1669+Y1670</f>
        <v>21</v>
      </c>
      <c r="Z1668" s="291">
        <f>Z1669+Z1670</f>
        <v>21</v>
      </c>
      <c r="AB1668" s="291">
        <f>AB1669+AB1670</f>
        <v>23</v>
      </c>
      <c r="AC1668" s="291">
        <f>AC1669+AC1670</f>
        <v>23</v>
      </c>
      <c r="AE1668" s="291">
        <f>AE1669+AE1670</f>
        <v>29</v>
      </c>
      <c r="AF1668" s="291">
        <f>AF1669+AF1670</f>
        <v>29</v>
      </c>
      <c r="AH1668" s="291">
        <f>AH1669+AH1670</f>
        <v>31</v>
      </c>
      <c r="AI1668" s="291">
        <f>AI1669+AI1670</f>
        <v>31</v>
      </c>
      <c r="AK1668" s="291">
        <f>AK1669+AK1670</f>
        <v>15</v>
      </c>
      <c r="AL1668" s="291">
        <f>AL1669+AL1670</f>
        <v>15</v>
      </c>
      <c r="AN1668" s="291">
        <f>AN1669+AN1670</f>
        <v>33</v>
      </c>
      <c r="AO1668" s="291">
        <f>AO1669+AO1670</f>
        <v>33</v>
      </c>
      <c r="AQ1668" s="291">
        <f>AQ1669+AQ1670</f>
        <v>31</v>
      </c>
      <c r="AR1668" s="291">
        <f>AR1669+AR1670</f>
        <v>37</v>
      </c>
      <c r="AT1668" s="291">
        <f>AT1669+AT1670</f>
        <v>13</v>
      </c>
      <c r="AU1668" s="291">
        <f>AU1669+AU1670</f>
        <v>13</v>
      </c>
      <c r="AW1668" s="291">
        <f>AW1669+AW1670</f>
        <v>7</v>
      </c>
      <c r="AX1668" s="291">
        <f>AX1669+AX1670</f>
        <v>8</v>
      </c>
      <c r="AZ1668" s="291">
        <f>AZ1669+AZ1670</f>
        <v>12</v>
      </c>
      <c r="BA1668" s="291">
        <f>BA1669+BA1670</f>
        <v>12</v>
      </c>
      <c r="BC1668" s="291">
        <f>BC1669+BC1670</f>
        <v>30</v>
      </c>
      <c r="BD1668" s="291">
        <f>BD1669+BD1670</f>
        <v>30</v>
      </c>
      <c r="BF1668" s="291">
        <f>BF1669+BF1670</f>
        <v>35</v>
      </c>
      <c r="BG1668" s="291">
        <f>BG1669+BG1670</f>
        <v>38</v>
      </c>
      <c r="BI1668" s="291">
        <f>BI1669+BI1670</f>
        <v>62</v>
      </c>
      <c r="BJ1668" s="291">
        <f>BJ1669+BJ1670</f>
        <v>63</v>
      </c>
      <c r="BL1668" s="291">
        <f>BL1669+BL1670</f>
        <v>7</v>
      </c>
      <c r="BM1668" s="291">
        <f>BM1669+BM1670</f>
        <v>7</v>
      </c>
      <c r="BO1668" s="291">
        <f>BO1669+BO1670</f>
        <v>8</v>
      </c>
      <c r="BP1668" s="291">
        <f>BP1669+BP1670</f>
        <v>8</v>
      </c>
      <c r="BR1668" s="291">
        <f>BR1669+BR1670</f>
        <v>14</v>
      </c>
      <c r="BS1668" s="291">
        <f>BS1669+BS1670</f>
        <v>14</v>
      </c>
      <c r="BU1668" s="291">
        <f>BU1669+BU1670</f>
        <v>9</v>
      </c>
      <c r="BV1668" s="291">
        <f>BV1669+BV1670</f>
        <v>8</v>
      </c>
      <c r="BX1668" s="291">
        <f>BX1669+BX1670</f>
        <v>5</v>
      </c>
      <c r="BY1668" s="291">
        <f>BY1669+BY1670</f>
        <v>5</v>
      </c>
      <c r="CA1668" s="291">
        <f>CA1669+CA1670</f>
        <v>10</v>
      </c>
      <c r="CB1668" s="291">
        <f>CB1669+CB1670</f>
        <v>11</v>
      </c>
      <c r="CD1668" s="291">
        <f>CD1669+CD1670</f>
        <v>12</v>
      </c>
      <c r="CE1668" s="291">
        <f>CE1669+CE1670</f>
        <v>13</v>
      </c>
      <c r="CG1668" s="291">
        <f>CG1669+CG1670</f>
        <v>29</v>
      </c>
      <c r="CH1668" s="291">
        <f>CH1669+CH1670</f>
        <v>29</v>
      </c>
      <c r="CJ1668" s="291">
        <f>CJ1669+CJ1670</f>
        <v>0</v>
      </c>
      <c r="CK1668" s="291">
        <f>CK1669+CK1670</f>
        <v>0</v>
      </c>
    </row>
    <row r="1669" spans="1:89" ht="60" x14ac:dyDescent="0.25">
      <c r="A1669" s="95"/>
      <c r="B1669" s="312"/>
      <c r="C1669" s="312" t="s">
        <v>2756</v>
      </c>
      <c r="D1669" s="95" t="s">
        <v>1112</v>
      </c>
      <c r="E1669" s="291"/>
      <c r="F1669" s="291"/>
      <c r="G1669" s="291"/>
      <c r="H1669" s="291">
        <v>222</v>
      </c>
      <c r="I1669" s="291">
        <v>220</v>
      </c>
      <c r="J1669" s="291">
        <f t="shared" ref="J1669:M1670" si="1961">J1640</f>
        <v>318</v>
      </c>
      <c r="K1669" s="291">
        <f t="shared" si="1961"/>
        <v>316</v>
      </c>
      <c r="L1669" s="291">
        <f t="shared" si="1961"/>
        <v>5</v>
      </c>
      <c r="M1669" s="291">
        <f t="shared" si="1961"/>
        <v>5</v>
      </c>
      <c r="N1669" s="291">
        <f t="shared" ref="N1669" si="1962">N1640</f>
        <v>5</v>
      </c>
      <c r="Q1669" s="283">
        <f>S1669+V1669+Y1669+AB1669+AE1669+AH1669+AK1669+AN1669+AQ1669+AT1669+AW1669+AZ1669+BC1669+BF1669+BI1669+BL1669+BO1669+BR1669+BU1669+BX1669+CA1669+CD1669+CG1669+CJ1669</f>
        <v>316</v>
      </c>
      <c r="R1669" s="283">
        <f>T1669+W1669+Z1669+AC1669+AF1669+AI1669+AL1669+AO1669+AR1669+AU1669+AX1669+BA1669+BD1669+BG1669+BJ1669+BM1669+BP1669+BS1669+BV1669+BY1669+CB1669+CE1669+CH1669+CK1669</f>
        <v>325</v>
      </c>
      <c r="S1669" s="267">
        <f>S1640</f>
        <v>6</v>
      </c>
      <c r="T1669" s="267">
        <f>T1640</f>
        <v>7</v>
      </c>
      <c r="V1669" s="267">
        <f>V1640</f>
        <v>6</v>
      </c>
      <c r="W1669" s="267">
        <f>W1640</f>
        <v>6</v>
      </c>
      <c r="Y1669" s="267">
        <f>Y1640</f>
        <v>6</v>
      </c>
      <c r="Z1669" s="267">
        <f>Z1640</f>
        <v>6</v>
      </c>
      <c r="AB1669" s="267">
        <f>AB1640</f>
        <v>4</v>
      </c>
      <c r="AC1669" s="267">
        <f>AC1640</f>
        <v>4</v>
      </c>
      <c r="AE1669" s="267">
        <f>AE1640</f>
        <v>9</v>
      </c>
      <c r="AF1669" s="267">
        <f>AF1640</f>
        <v>11</v>
      </c>
      <c r="AH1669" s="267">
        <f>AH1640</f>
        <v>9</v>
      </c>
      <c r="AI1669" s="267">
        <f>AI1640</f>
        <v>9</v>
      </c>
      <c r="AK1669" s="267">
        <f>AK1640</f>
        <v>13</v>
      </c>
      <c r="AL1669" s="267">
        <f>AL1640</f>
        <v>13</v>
      </c>
      <c r="AN1669" s="267">
        <f>AN1640</f>
        <v>15</v>
      </c>
      <c r="AO1669" s="267">
        <f>AO1640</f>
        <v>15</v>
      </c>
      <c r="AQ1669" s="267">
        <f>AQ1640</f>
        <v>0</v>
      </c>
      <c r="AR1669" s="267">
        <f>AR1640</f>
        <v>0</v>
      </c>
      <c r="AT1669" s="267">
        <f>AT1640</f>
        <v>13</v>
      </c>
      <c r="AU1669" s="267">
        <f>AU1640</f>
        <v>13</v>
      </c>
      <c r="AW1669" s="267">
        <f>AW1640</f>
        <v>7</v>
      </c>
      <c r="AX1669" s="267">
        <f>AX1640</f>
        <v>8</v>
      </c>
      <c r="AZ1669" s="267">
        <f>AZ1640</f>
        <v>12</v>
      </c>
      <c r="BA1669" s="267">
        <f>BA1640</f>
        <v>12</v>
      </c>
      <c r="BC1669" s="267">
        <f>BC1640</f>
        <v>30</v>
      </c>
      <c r="BD1669" s="267">
        <f>BD1640</f>
        <v>30</v>
      </c>
      <c r="BF1669" s="267">
        <f>BF1640</f>
        <v>35</v>
      </c>
      <c r="BG1669" s="267">
        <f>BG1640</f>
        <v>38</v>
      </c>
      <c r="BI1669" s="267">
        <f>BI1640</f>
        <v>62</v>
      </c>
      <c r="BJ1669" s="267">
        <f>BJ1640</f>
        <v>63</v>
      </c>
      <c r="BL1669" s="267">
        <f>BL1640</f>
        <v>7</v>
      </c>
      <c r="BM1669" s="267">
        <f>BM1640</f>
        <v>7</v>
      </c>
      <c r="BO1669" s="267">
        <f>BO1640</f>
        <v>8</v>
      </c>
      <c r="BP1669" s="267">
        <f>BP1640</f>
        <v>8</v>
      </c>
      <c r="BR1669" s="267">
        <f>BR1640</f>
        <v>14</v>
      </c>
      <c r="BS1669" s="267">
        <f>BS1640</f>
        <v>14</v>
      </c>
      <c r="BU1669" s="267">
        <f>BU1640</f>
        <v>9</v>
      </c>
      <c r="BV1669" s="267">
        <f>BV1640</f>
        <v>8</v>
      </c>
      <c r="BX1669" s="267">
        <f>BX1640</f>
        <v>5</v>
      </c>
      <c r="BY1669" s="267">
        <f>BY1640</f>
        <v>5</v>
      </c>
      <c r="CA1669" s="267">
        <f>CA1640</f>
        <v>10</v>
      </c>
      <c r="CB1669" s="267">
        <f>CB1640</f>
        <v>11</v>
      </c>
      <c r="CD1669" s="267">
        <f>CD1640</f>
        <v>12</v>
      </c>
      <c r="CE1669" s="267">
        <f>CE1640</f>
        <v>13</v>
      </c>
      <c r="CG1669" s="267">
        <f>CG1640</f>
        <v>24</v>
      </c>
      <c r="CH1669" s="267">
        <f>CH1640</f>
        <v>24</v>
      </c>
      <c r="CJ1669" s="267">
        <f>CJ1640</f>
        <v>0</v>
      </c>
      <c r="CK1669" s="267">
        <f>CK1640</f>
        <v>0</v>
      </c>
    </row>
    <row r="1670" spans="1:89" ht="60" x14ac:dyDescent="0.25">
      <c r="A1670" s="95"/>
      <c r="B1670" s="312"/>
      <c r="C1670" s="312" t="s">
        <v>2756</v>
      </c>
      <c r="D1670" s="95" t="s">
        <v>1112</v>
      </c>
      <c r="E1670" s="291"/>
      <c r="F1670" s="291"/>
      <c r="G1670" s="291"/>
      <c r="H1670" s="291">
        <v>100</v>
      </c>
      <c r="I1670" s="291">
        <v>98</v>
      </c>
      <c r="J1670" s="291">
        <f t="shared" si="1961"/>
        <v>150</v>
      </c>
      <c r="K1670" s="291">
        <f t="shared" si="1961"/>
        <v>152</v>
      </c>
      <c r="L1670" s="291">
        <f t="shared" si="1961"/>
        <v>13</v>
      </c>
      <c r="M1670" s="291">
        <f t="shared" si="1961"/>
        <v>13</v>
      </c>
      <c r="N1670" s="291">
        <f t="shared" ref="N1670" si="1963">N1641</f>
        <v>13</v>
      </c>
      <c r="Q1670" s="283">
        <f>S1670+V1670+Y1670+AB1670+AE1670+AH1670+AK1670+AN1670+AQ1670+AT1670+AW1670+AZ1670+BC1670+BF1670+BI1670+BL1670+BO1670+BR1670+BU1670+BX1670+CA1670+CD1670+CG1670+CJ1670</f>
        <v>152</v>
      </c>
      <c r="R1670" s="283">
        <f>T1670+W1670+Z1670+AC1670+AF1670+AI1670+AL1670+AO1670+AR1670+AU1670+AX1670+BA1670+BD1670+BG1670+BJ1670+BM1670+BP1670+BS1670+BV1670+BY1670+CB1670+CE1670+CH1670+CK1670</f>
        <v>157</v>
      </c>
      <c r="S1670" s="267">
        <f>S1641</f>
        <v>10</v>
      </c>
      <c r="T1670" s="267">
        <f>T1641</f>
        <v>10</v>
      </c>
      <c r="V1670" s="267">
        <f>V1641</f>
        <v>10</v>
      </c>
      <c r="W1670" s="267">
        <f>W1641</f>
        <v>11</v>
      </c>
      <c r="Y1670" s="267">
        <f>Y1641</f>
        <v>15</v>
      </c>
      <c r="Z1670" s="267">
        <f>Z1641</f>
        <v>15</v>
      </c>
      <c r="AB1670" s="267">
        <f>AB1641</f>
        <v>19</v>
      </c>
      <c r="AC1670" s="267">
        <f>AC1641</f>
        <v>19</v>
      </c>
      <c r="AE1670" s="267">
        <f>AE1641</f>
        <v>20</v>
      </c>
      <c r="AF1670" s="267">
        <f>AF1641</f>
        <v>18</v>
      </c>
      <c r="AH1670" s="267">
        <f>AH1641</f>
        <v>22</v>
      </c>
      <c r="AI1670" s="267">
        <f>AI1641</f>
        <v>22</v>
      </c>
      <c r="AK1670" s="267">
        <f>AK1641</f>
        <v>2</v>
      </c>
      <c r="AL1670" s="267">
        <f>AL1641</f>
        <v>2</v>
      </c>
      <c r="AN1670" s="267">
        <f>AN1641</f>
        <v>18</v>
      </c>
      <c r="AO1670" s="267">
        <f>AO1641</f>
        <v>18</v>
      </c>
      <c r="AQ1670" s="267">
        <f>AQ1641</f>
        <v>31</v>
      </c>
      <c r="AR1670" s="267">
        <f>AR1641</f>
        <v>37</v>
      </c>
      <c r="AT1670" s="267">
        <f>AT1641</f>
        <v>0</v>
      </c>
      <c r="AU1670" s="267">
        <f>AU1641</f>
        <v>0</v>
      </c>
      <c r="AW1670" s="267">
        <f>AW1641</f>
        <v>0</v>
      </c>
      <c r="AX1670" s="267">
        <f>AX1641</f>
        <v>0</v>
      </c>
      <c r="AZ1670" s="267">
        <f>AZ1641</f>
        <v>0</v>
      </c>
      <c r="BA1670" s="267">
        <f>BA1641</f>
        <v>0</v>
      </c>
      <c r="BC1670" s="267">
        <f>BC1641</f>
        <v>0</v>
      </c>
      <c r="BD1670" s="267">
        <f>BD1641</f>
        <v>0</v>
      </c>
      <c r="BF1670" s="267">
        <f>BF1641</f>
        <v>0</v>
      </c>
      <c r="BG1670" s="267">
        <f>BG1641</f>
        <v>0</v>
      </c>
      <c r="BI1670" s="267">
        <f>BI1641</f>
        <v>0</v>
      </c>
      <c r="BJ1670" s="267">
        <f>BJ1641</f>
        <v>0</v>
      </c>
      <c r="BL1670" s="267">
        <f>BL1641</f>
        <v>0</v>
      </c>
      <c r="BM1670" s="267">
        <f>BM1641</f>
        <v>0</v>
      </c>
      <c r="BO1670" s="267">
        <f>BO1641</f>
        <v>0</v>
      </c>
      <c r="BP1670" s="267">
        <f>BP1641</f>
        <v>0</v>
      </c>
      <c r="BR1670" s="267">
        <f>BR1641</f>
        <v>0</v>
      </c>
      <c r="BS1670" s="267">
        <f>BS1641</f>
        <v>0</v>
      </c>
      <c r="BU1670" s="267">
        <f>BU1641</f>
        <v>0</v>
      </c>
      <c r="BV1670" s="267">
        <f>BV1641</f>
        <v>0</v>
      </c>
      <c r="BX1670" s="267">
        <f>BX1641</f>
        <v>0</v>
      </c>
      <c r="BY1670" s="267">
        <f>BY1641</f>
        <v>0</v>
      </c>
      <c r="CA1670" s="267">
        <f>CA1641</f>
        <v>0</v>
      </c>
      <c r="CB1670" s="267">
        <f>CB1641</f>
        <v>0</v>
      </c>
      <c r="CD1670" s="267">
        <f>CD1641</f>
        <v>0</v>
      </c>
      <c r="CE1670" s="267">
        <f>CE1641</f>
        <v>0</v>
      </c>
      <c r="CG1670" s="267">
        <f>CG1641</f>
        <v>5</v>
      </c>
      <c r="CH1670" s="267">
        <f>CH1641</f>
        <v>5</v>
      </c>
      <c r="CJ1670" s="267">
        <f>CJ1641</f>
        <v>0</v>
      </c>
      <c r="CK1670" s="267">
        <f>CK1641</f>
        <v>0</v>
      </c>
    </row>
    <row r="1671" spans="1:89" x14ac:dyDescent="0.25">
      <c r="A1671" s="95"/>
      <c r="B1671" s="16" t="s">
        <v>1184</v>
      </c>
      <c r="C1671" s="95"/>
      <c r="D1671" s="95"/>
      <c r="E1671" s="291"/>
      <c r="F1671" s="291"/>
      <c r="G1671" s="291"/>
      <c r="H1671" s="291">
        <f>H1672+H1673</f>
        <v>4</v>
      </c>
      <c r="I1671" s="291">
        <f>I1672+I1673</f>
        <v>4</v>
      </c>
      <c r="J1671" s="291">
        <f>J1672+J1673</f>
        <v>6</v>
      </c>
      <c r="K1671" s="291">
        <f>K1672+K1673</f>
        <v>6</v>
      </c>
      <c r="L1671" s="291">
        <f>L1672+L1673</f>
        <v>0</v>
      </c>
      <c r="M1671" s="291">
        <f t="shared" ref="M1671:N1671" si="1964">M1672+M1673</f>
        <v>0</v>
      </c>
      <c r="N1671" s="291">
        <f t="shared" si="1964"/>
        <v>0</v>
      </c>
    </row>
    <row r="1672" spans="1:89" ht="60" x14ac:dyDescent="0.25">
      <c r="A1672" s="95"/>
      <c r="B1672" s="95"/>
      <c r="C1672" s="312" t="s">
        <v>2756</v>
      </c>
      <c r="D1672" s="95" t="s">
        <v>1112</v>
      </c>
      <c r="E1672" s="291"/>
      <c r="F1672" s="291"/>
      <c r="G1672" s="291"/>
      <c r="H1672" s="291">
        <v>4</v>
      </c>
      <c r="I1672" s="291">
        <v>4</v>
      </c>
      <c r="J1672" s="291">
        <f t="shared" ref="J1672:M1673" si="1965">J1643</f>
        <v>6</v>
      </c>
      <c r="K1672" s="291">
        <f t="shared" si="1965"/>
        <v>6</v>
      </c>
      <c r="L1672" s="291">
        <f t="shared" si="1965"/>
        <v>0</v>
      </c>
      <c r="M1672" s="291">
        <f t="shared" si="1965"/>
        <v>0</v>
      </c>
      <c r="N1672" s="291">
        <f t="shared" ref="N1672" si="1966">N1643</f>
        <v>0</v>
      </c>
      <c r="Q1672" s="283">
        <f>S1672+V1672+Y1672+AB1672+AE1672+AH1672+AK1672+AN1672+AQ1672+AT1672+AW1672+AZ1672+BC1672+BF1672+BI1672+BL1672+BO1672+BR1672+BU1672+BX1672+CA1672+CD1672+CG1672+CJ1672</f>
        <v>6</v>
      </c>
      <c r="R1672" s="283">
        <f>T1672+W1672+Z1672+AC1672+AF1672+AI1672+AL1672+AO1672+AR1672+AU1672+AX1672+BA1672+BD1672+BG1672+BJ1672+BM1672+BP1672+BS1672+BV1672+BY1672+CB1672+CE1672+CH1672+CK1672</f>
        <v>6</v>
      </c>
      <c r="S1672" s="267">
        <f>S1643</f>
        <v>0</v>
      </c>
      <c r="T1672" s="267">
        <f>T1643</f>
        <v>0</v>
      </c>
      <c r="V1672" s="267">
        <f>V1643</f>
        <v>0</v>
      </c>
      <c r="W1672" s="267">
        <f>W1643</f>
        <v>0</v>
      </c>
      <c r="Y1672" s="267">
        <f>Y1643</f>
        <v>0</v>
      </c>
      <c r="Z1672" s="267">
        <f>Z1643</f>
        <v>0</v>
      </c>
      <c r="AB1672" s="267">
        <f>AB1643</f>
        <v>0</v>
      </c>
      <c r="AC1672" s="267">
        <f>AC1643</f>
        <v>0</v>
      </c>
      <c r="AE1672" s="267">
        <f>AE1643</f>
        <v>0</v>
      </c>
      <c r="AF1672" s="267">
        <f>AF1643</f>
        <v>0</v>
      </c>
      <c r="AH1672" s="267">
        <f>AH1643</f>
        <v>0</v>
      </c>
      <c r="AI1672" s="267">
        <f>AI1643</f>
        <v>0</v>
      </c>
      <c r="AK1672" s="267">
        <f>AK1643</f>
        <v>0</v>
      </c>
      <c r="AL1672" s="267">
        <f>AL1643</f>
        <v>0</v>
      </c>
      <c r="AN1672" s="267">
        <f>AN1643</f>
        <v>0</v>
      </c>
      <c r="AO1672" s="267">
        <f>AO1643</f>
        <v>0</v>
      </c>
      <c r="AQ1672" s="267">
        <f>AQ1643</f>
        <v>0</v>
      </c>
      <c r="AR1672" s="267">
        <f>AR1643</f>
        <v>0</v>
      </c>
      <c r="AT1672" s="267">
        <f>AT1643</f>
        <v>0</v>
      </c>
      <c r="AU1672" s="267">
        <f>AU1643</f>
        <v>0</v>
      </c>
      <c r="AW1672" s="267">
        <f>AW1643</f>
        <v>0</v>
      </c>
      <c r="AX1672" s="267">
        <f>AX1643</f>
        <v>0</v>
      </c>
      <c r="AZ1672" s="267">
        <f>AZ1643</f>
        <v>0</v>
      </c>
      <c r="BA1672" s="267">
        <f>BA1643</f>
        <v>0</v>
      </c>
      <c r="BC1672" s="267">
        <f>BC1643</f>
        <v>1</v>
      </c>
      <c r="BD1672" s="267">
        <f>BD1643</f>
        <v>1</v>
      </c>
      <c r="BF1672" s="267">
        <f>BF1643</f>
        <v>1</v>
      </c>
      <c r="BG1672" s="267">
        <f>BG1643</f>
        <v>1</v>
      </c>
      <c r="BI1672" s="267">
        <f>BI1643</f>
        <v>1</v>
      </c>
      <c r="BJ1672" s="267">
        <f>BJ1643</f>
        <v>1</v>
      </c>
      <c r="BL1672" s="267">
        <f>BL1643</f>
        <v>0</v>
      </c>
      <c r="BM1672" s="267">
        <f>BM1643</f>
        <v>0</v>
      </c>
      <c r="BO1672" s="267">
        <f>BO1643</f>
        <v>0</v>
      </c>
      <c r="BP1672" s="267">
        <f>BP1643</f>
        <v>0</v>
      </c>
      <c r="BR1672" s="267">
        <f>BR1643</f>
        <v>0</v>
      </c>
      <c r="BS1672" s="267">
        <f>BS1643</f>
        <v>0</v>
      </c>
      <c r="BU1672" s="267">
        <f>BU1643</f>
        <v>0</v>
      </c>
      <c r="BV1672" s="267">
        <f>BV1643</f>
        <v>0</v>
      </c>
      <c r="BX1672" s="267">
        <f>BX1643</f>
        <v>0</v>
      </c>
      <c r="BY1672" s="267">
        <f>BY1643</f>
        <v>0</v>
      </c>
      <c r="CA1672" s="267">
        <f>CA1643</f>
        <v>0</v>
      </c>
      <c r="CB1672" s="267">
        <f>CB1643</f>
        <v>0</v>
      </c>
      <c r="CD1672" s="267">
        <f>CD1643</f>
        <v>3</v>
      </c>
      <c r="CE1672" s="267">
        <f>CE1643</f>
        <v>3</v>
      </c>
      <c r="CG1672" s="267">
        <f>CG1643</f>
        <v>0</v>
      </c>
      <c r="CH1672" s="267">
        <f>CH1643</f>
        <v>0</v>
      </c>
      <c r="CJ1672" s="267">
        <f>CJ1643</f>
        <v>0</v>
      </c>
      <c r="CK1672" s="267">
        <f>CK1643</f>
        <v>0</v>
      </c>
    </row>
    <row r="1673" spans="1:89" ht="60" x14ac:dyDescent="0.25">
      <c r="A1673" s="95"/>
      <c r="B1673" s="95"/>
      <c r="C1673" s="312" t="s">
        <v>2756</v>
      </c>
      <c r="D1673" s="95" t="s">
        <v>1112</v>
      </c>
      <c r="E1673" s="291"/>
      <c r="F1673" s="291"/>
      <c r="G1673" s="291"/>
      <c r="H1673" s="291">
        <v>0</v>
      </c>
      <c r="I1673" s="291">
        <v>0</v>
      </c>
      <c r="J1673" s="291">
        <f t="shared" si="1965"/>
        <v>0</v>
      </c>
      <c r="K1673" s="291">
        <f t="shared" si="1965"/>
        <v>0</v>
      </c>
      <c r="L1673" s="291">
        <f t="shared" si="1965"/>
        <v>0</v>
      </c>
      <c r="M1673" s="291">
        <f t="shared" si="1965"/>
        <v>0</v>
      </c>
      <c r="N1673" s="291">
        <f t="shared" ref="N1673" si="1967">N1644</f>
        <v>0</v>
      </c>
      <c r="P1673" s="296"/>
      <c r="Q1673" s="283">
        <f>S1673+V1673+Y1673+AB1673+AE1673+AH1673+AK1673+AN1673+AQ1673+AT1673+AW1673+AZ1673+BC1673+BF1673+BI1673+BL1673+BO1673+BR1673+BU1673+BX1673+CA1673+CD1673+CG1673+CJ1673</f>
        <v>0</v>
      </c>
      <c r="R1673" s="283">
        <f>T1673+W1673+Z1673+AC1673+AF1673+AI1673+AL1673+AO1673+AR1673+AU1673+AX1673+BA1673+BD1673+BG1673+BJ1673+BM1673+BP1673+BS1673+BV1673+BY1673+CB1673+CE1673+CH1673+CK1673</f>
        <v>0</v>
      </c>
      <c r="S1673" s="267">
        <f>S1644</f>
        <v>0</v>
      </c>
      <c r="T1673" s="267">
        <f>T1644</f>
        <v>0</v>
      </c>
      <c r="V1673" s="267">
        <f>V1644</f>
        <v>0</v>
      </c>
      <c r="W1673" s="267">
        <f>W1644</f>
        <v>0</v>
      </c>
      <c r="Y1673" s="267">
        <f>Y1644</f>
        <v>0</v>
      </c>
      <c r="Z1673" s="267">
        <f>Z1644</f>
        <v>0</v>
      </c>
      <c r="AB1673" s="267">
        <f>AB1644</f>
        <v>0</v>
      </c>
      <c r="AC1673" s="267">
        <f>AC1644</f>
        <v>0</v>
      </c>
      <c r="AE1673" s="267">
        <f>AE1644</f>
        <v>0</v>
      </c>
      <c r="AF1673" s="267">
        <f>AF1644</f>
        <v>0</v>
      </c>
      <c r="AH1673" s="267">
        <f>AH1644</f>
        <v>0</v>
      </c>
      <c r="AI1673" s="267">
        <f>AI1644</f>
        <v>0</v>
      </c>
      <c r="AK1673" s="267">
        <f>AK1644</f>
        <v>0</v>
      </c>
      <c r="AL1673" s="267">
        <f>AL1644</f>
        <v>0</v>
      </c>
      <c r="AN1673" s="267">
        <f>AN1644</f>
        <v>0</v>
      </c>
      <c r="AO1673" s="267">
        <f>AO1644</f>
        <v>0</v>
      </c>
      <c r="AQ1673" s="267">
        <f>AQ1644</f>
        <v>0</v>
      </c>
      <c r="AR1673" s="267">
        <f>AR1644</f>
        <v>0</v>
      </c>
      <c r="AT1673" s="267">
        <f>AT1644</f>
        <v>0</v>
      </c>
      <c r="AU1673" s="267">
        <f>AU1644</f>
        <v>0</v>
      </c>
      <c r="AW1673" s="267">
        <f>AW1644</f>
        <v>0</v>
      </c>
      <c r="AX1673" s="267">
        <f>AX1644</f>
        <v>0</v>
      </c>
      <c r="AZ1673" s="267">
        <f>AZ1644</f>
        <v>0</v>
      </c>
      <c r="BA1673" s="267">
        <f>BA1644</f>
        <v>0</v>
      </c>
      <c r="BC1673" s="267">
        <f>BC1644</f>
        <v>0</v>
      </c>
      <c r="BD1673" s="267">
        <f>BD1644</f>
        <v>0</v>
      </c>
      <c r="BF1673" s="267">
        <f>BF1644</f>
        <v>0</v>
      </c>
      <c r="BG1673" s="267">
        <f>BG1644</f>
        <v>0</v>
      </c>
      <c r="BI1673" s="267">
        <f>BI1644</f>
        <v>0</v>
      </c>
      <c r="BJ1673" s="267">
        <f>BJ1644</f>
        <v>0</v>
      </c>
      <c r="BL1673" s="267">
        <f>BL1644</f>
        <v>0</v>
      </c>
      <c r="BM1673" s="267">
        <f>BM1644</f>
        <v>0</v>
      </c>
      <c r="BO1673" s="267">
        <f>BO1644</f>
        <v>0</v>
      </c>
      <c r="BP1673" s="267">
        <f>BP1644</f>
        <v>0</v>
      </c>
      <c r="BR1673" s="267">
        <f>BR1644</f>
        <v>0</v>
      </c>
      <c r="BS1673" s="267">
        <f>BS1644</f>
        <v>0</v>
      </c>
      <c r="BU1673" s="267">
        <f>BU1644</f>
        <v>0</v>
      </c>
      <c r="BV1673" s="267">
        <f>BV1644</f>
        <v>0</v>
      </c>
      <c r="BX1673" s="267">
        <f>BX1644</f>
        <v>0</v>
      </c>
      <c r="BY1673" s="267">
        <f>BY1644</f>
        <v>0</v>
      </c>
      <c r="CA1673" s="267">
        <f>CA1644</f>
        <v>0</v>
      </c>
      <c r="CB1673" s="267">
        <f>CB1644</f>
        <v>0</v>
      </c>
      <c r="CD1673" s="267">
        <f>CD1644</f>
        <v>0</v>
      </c>
      <c r="CE1673" s="267">
        <f>CE1644</f>
        <v>0</v>
      </c>
      <c r="CG1673" s="267">
        <f>CG1644</f>
        <v>0</v>
      </c>
      <c r="CH1673" s="267">
        <f>CH1644</f>
        <v>0</v>
      </c>
      <c r="CJ1673" s="267">
        <f>CJ1644</f>
        <v>0</v>
      </c>
      <c r="CK1673" s="267">
        <f>CK1644</f>
        <v>0</v>
      </c>
    </row>
  </sheetData>
  <mergeCells count="150">
    <mergeCell ref="A7:L7"/>
    <mergeCell ref="A8:L8"/>
    <mergeCell ref="A3:K3"/>
    <mergeCell ref="A4:K4"/>
    <mergeCell ref="A1507:A1510"/>
    <mergeCell ref="B1507:B1510"/>
    <mergeCell ref="A1547:A1550"/>
    <mergeCell ref="B1547:B1550"/>
    <mergeCell ref="B341:B342"/>
    <mergeCell ref="A341:A342"/>
    <mergeCell ref="A365:A366"/>
    <mergeCell ref="B365:B366"/>
    <mergeCell ref="A373:A374"/>
    <mergeCell ref="B373:B374"/>
    <mergeCell ref="A484:A485"/>
    <mergeCell ref="B484:B485"/>
    <mergeCell ref="A486:A487"/>
    <mergeCell ref="B486:B487"/>
    <mergeCell ref="A1365:A1368"/>
    <mergeCell ref="B1365:B1368"/>
    <mergeCell ref="A1325:A1328"/>
    <mergeCell ref="B1325:B1328"/>
    <mergeCell ref="A357:A358"/>
    <mergeCell ref="B357:B358"/>
    <mergeCell ref="A380:A381"/>
    <mergeCell ref="B380:B381"/>
    <mergeCell ref="A388:A389"/>
    <mergeCell ref="B388:B389"/>
    <mergeCell ref="A1663:A1666"/>
    <mergeCell ref="B1663:B1666"/>
    <mergeCell ref="A1518:A1521"/>
    <mergeCell ref="B1518:B1521"/>
    <mergeCell ref="A1594:A1597"/>
    <mergeCell ref="B1594:B1597"/>
    <mergeCell ref="A1605:A1608"/>
    <mergeCell ref="B1605:B1608"/>
    <mergeCell ref="A1623:A1626"/>
    <mergeCell ref="B1623:B1626"/>
    <mergeCell ref="A1634:A1637"/>
    <mergeCell ref="B1634:B1637"/>
    <mergeCell ref="A1652:A1655"/>
    <mergeCell ref="B1652:B1655"/>
    <mergeCell ref="A1565:A1568"/>
    <mergeCell ref="B1565:B1568"/>
    <mergeCell ref="A1576:A1579"/>
    <mergeCell ref="B1576:B1579"/>
    <mergeCell ref="A1536:A1539"/>
    <mergeCell ref="B1536:B1539"/>
    <mergeCell ref="B660:B661"/>
    <mergeCell ref="A660:A661"/>
    <mergeCell ref="B1308:B1311"/>
    <mergeCell ref="A1308:A1311"/>
    <mergeCell ref="A1336:A1339"/>
    <mergeCell ref="B1336:B1339"/>
    <mergeCell ref="B1467:B1470"/>
    <mergeCell ref="A1467:A1470"/>
    <mergeCell ref="A1478:A1481"/>
    <mergeCell ref="B1478:B1481"/>
    <mergeCell ref="A1354:A1357"/>
    <mergeCell ref="B1354:B1357"/>
    <mergeCell ref="B704:B707"/>
    <mergeCell ref="A704:A707"/>
    <mergeCell ref="B715:B718"/>
    <mergeCell ref="A715:A718"/>
    <mergeCell ref="A1267:A1270"/>
    <mergeCell ref="B1267:B1270"/>
    <mergeCell ref="B1278:B1279"/>
    <mergeCell ref="A1278:A1279"/>
    <mergeCell ref="B1298:B1301"/>
    <mergeCell ref="A1298:A1301"/>
    <mergeCell ref="A577:A580"/>
    <mergeCell ref="A638:A641"/>
    <mergeCell ref="B648:B651"/>
    <mergeCell ref="A648:A651"/>
    <mergeCell ref="B597:B600"/>
    <mergeCell ref="B611:B614"/>
    <mergeCell ref="B638:B641"/>
    <mergeCell ref="A611:A614"/>
    <mergeCell ref="A597:A600"/>
    <mergeCell ref="B577:B580"/>
    <mergeCell ref="B587:B590"/>
    <mergeCell ref="A587:A590"/>
    <mergeCell ref="BT764:BU764"/>
    <mergeCell ref="BW764:BX764"/>
    <mergeCell ref="BZ764:CA764"/>
    <mergeCell ref="CC764:CD764"/>
    <mergeCell ref="BE764:BF764"/>
    <mergeCell ref="BH764:BI764"/>
    <mergeCell ref="BK764:BL764"/>
    <mergeCell ref="BN764:BO764"/>
    <mergeCell ref="AG323:AH323"/>
    <mergeCell ref="AJ323:AK323"/>
    <mergeCell ref="AM323:AN323"/>
    <mergeCell ref="AP323:AQ323"/>
    <mergeCell ref="AS323:AT323"/>
    <mergeCell ref="BZ323:CA323"/>
    <mergeCell ref="CC323:CD323"/>
    <mergeCell ref="BK323:BL323"/>
    <mergeCell ref="BN323:BO323"/>
    <mergeCell ref="BQ323:BR323"/>
    <mergeCell ref="BT323:BU323"/>
    <mergeCell ref="BW323:BX323"/>
    <mergeCell ref="AV323:AW323"/>
    <mergeCell ref="AY323:AZ323"/>
    <mergeCell ref="BB323:BC323"/>
    <mergeCell ref="BE323:BF323"/>
    <mergeCell ref="BQ764:BR764"/>
    <mergeCell ref="AE8:AF8"/>
    <mergeCell ref="AH8:AI8"/>
    <mergeCell ref="AK8:AL8"/>
    <mergeCell ref="AN8:AO8"/>
    <mergeCell ref="AQ8:AR8"/>
    <mergeCell ref="S8:T8"/>
    <mergeCell ref="V8:W8"/>
    <mergeCell ref="Y8:Z8"/>
    <mergeCell ref="AB8:AC8"/>
    <mergeCell ref="R764:S764"/>
    <mergeCell ref="U764:V764"/>
    <mergeCell ref="X764:Y764"/>
    <mergeCell ref="AA764:AB764"/>
    <mergeCell ref="AD764:AE764"/>
    <mergeCell ref="AG764:AH764"/>
    <mergeCell ref="AJ764:AK764"/>
    <mergeCell ref="AM764:AN764"/>
    <mergeCell ref="AP764:AQ764"/>
    <mergeCell ref="AS764:AT764"/>
    <mergeCell ref="AV764:AW764"/>
    <mergeCell ref="AY764:AZ764"/>
    <mergeCell ref="BB764:BC764"/>
    <mergeCell ref="U323:V323"/>
    <mergeCell ref="CG8:CH8"/>
    <mergeCell ref="CJ8:CK8"/>
    <mergeCell ref="R323:S323"/>
    <mergeCell ref="CD8:CE8"/>
    <mergeCell ref="BX8:BY8"/>
    <mergeCell ref="CA8:CB8"/>
    <mergeCell ref="BI8:BJ8"/>
    <mergeCell ref="BL8:BM8"/>
    <mergeCell ref="BO8:BP8"/>
    <mergeCell ref="BR8:BS8"/>
    <mergeCell ref="BU8:BV8"/>
    <mergeCell ref="AT8:AU8"/>
    <mergeCell ref="AW8:AX8"/>
    <mergeCell ref="AZ8:BA8"/>
    <mergeCell ref="BC8:BD8"/>
    <mergeCell ref="BF8:BG8"/>
    <mergeCell ref="BH323:BI323"/>
    <mergeCell ref="X323:Y323"/>
    <mergeCell ref="AA323:AB323"/>
    <mergeCell ref="AD323:AE323"/>
  </mergeCells>
  <dataValidations count="4">
    <dataValidation type="whole" allowBlank="1" showInputMessage="1" showErrorMessage="1" errorTitle="Ошибка ввода" error="Попытка ввести данные отличные от числовых или целочисленных" sqref="E611:F620 CJ37:CK37 CJ1325:CK1328 E715:F718 E11:N13 E207:N207 H1357:N1357 I1166:N1177 G204:N204 CG604:CH604 E1325:N1328 H33:N33 H35:N37 H39:N41 E1354:N1354 H16:N18 H819:N820 CI18:CK18 E1278:N1280 E33:G41 H1045:N1045 CF16 BR257:BS261 H917:N957 E275:G277 H1053:N1056 H1355:N1355 E1267:N1271 H1063:N1063 CJ1278:CK1280 Y1267:Z1271 I1140:N1140 E518:G545 H518:N521 H1047:N1047 H1059:N1059 BH467:BH468 H1049:N1049 H1061:N1061 H1051:N1051 H966:N1038 I382:N384 E187:N188 E210:N219 E226:N243 I261:N264 I772:N796 E484:N516 E204:F206 G206 I822:N857 I277 E247:H264 CJ282:CK283 S292:T293 AS241:AT242 S669:T672 E772:H815 E1356:N1356 I1090:N1091 I809:N815 I896:N897 E638:N657 BI1175:BJ1177 E577:N606 I330:N334 I1121:N1124 E1162:H1177 AA339:AA340 S241:S242 E1298:N1301 E328:H340 H276:H277 I1126:N1128 I247:N257 E24:N24 S311:S312 CJ604:CK604 Q1354:T1357 V1354:W1357 Y1354:Z1357 AB1354:AC1357 AE1354:AF1357 AH1354:AI1357 AK1354:AL1357 AN1354:AO1357 AQ1354:AR1357 AT1354:AU1357 AW1354:AX1357 AZ1354:BA1357 BC1354:BD1357 BF1354:BG1357 BI1354:BJ1357 BL1354:BM1357 BO1354:BP1357 BR1354:BS1357 BU1354:BV1357 BX1354:BY1357 CA1354:CB1357 CD1354:CE1357 CG1354:CH1357 CJ1354:CK1357 Q1325:T1328 V1325:W1328 Y1325:Z1328 AB1325:AC1328 AE1325:AF1328 AH1325:AI1328 AK1325:AL1328 AN1325:AO1328 AQ1325:AR1328 AT1325:AU1328 AW1325:AX1328 AZ1325:BA1328 BC1325:BD1328 BF1325:BG1328 BI1325:BJ1328 BL1325:BM1328 BO1325:BP1328 BR1325:BS1328 BU1325:BV1328 BX1325:BY1328 CA1325:CB1328 CD1325:CE1328 CG1325:CH1328 P1291:P1297 Q1291 Q1298:T1301 V1298:W1301 Y1298:Z1301 AB1298:AC1301 AE1298:AF1301 AH1298:AI1301 AK1298:AL1301 AN1298:AO1301 AQ1298:AR1301 AT1298:AU1301 AW1298:AX1301 AZ1298:BA1301 BC1298:BD1301 BF1298:BG1301 BI1298:BJ1301 BL1298:BM1301 BO1298:BP1301 BR1298:BS1301 BU1298:BV1301 BX1298:BY1301 CA1298:CB1301 CD1298:CE1301 CG1298:CH1301 CJ1298:CK1301 Q1308:T1311 V1308:W1311 Y1308:Z1311 AB1308:AC1311 AE1308:AF1311 AH1308:AI1311 AK1308:AL1311 AN1308:AO1311 AQ1308:AR1311 AT1308:AU1311 AW1308:AX1311 AZ1308:BA1311 BC1308:BD1311 BF1308:BG1311 BI1308:BJ1311 BL1308:BM1311 BO1308:BP1311 BR1308:BS1311 BU1308:BV1311 BX1308:BY1311 CA1308:CB1311 CD1308:CE1311 CG1308:CH1311 CJ1308:CK1311 Q809:T809 Q812:T812 V812:W812 Y812:Z812 AB812:AC812 AE812:AF812 AH812:AI812 AK812:AL812 AN812:AO812 AQ812:AR812 AT812:AU812 AW812:AX812 AZ812:BA812 BC812:BD812 BF812:BG812 BI812:BJ812 BL812:BM812 BO812:BP812 BR812:BS812 BU812:BV812 BX812:BY812 CA812:CB812 CD812:CE812 CG812:CH812 CJ812:CK812 V809:W809 Y809:Z809 AB809:AC809 AE809:AF809 AH809:AI809 AK809:AL809 AN809:AO809 AQ809:AR809 AT809:AU809 AW809:AX809 AZ809:BA809 BC809:BD809 BF809:BG809 BI809:BJ809 BL809:BM809 BO809:BP809 BR809:BS809 BU809:BV809 BX809:BY809 CA809:CB809 CD809:CE809 CG809:CH809 CJ809:CK809 Q803:T803 V803:W805 Y803:Z805 AB803:AC805 AE803:AF805 AH803:AI805 AK803:AL805 AN803:AO805 AQ803:AR805 AT803:AU805 AW803:AX805 AZ803:BA805 BC803:BD805 BF803:BG805 BI803:BJ805 BL803:BM805 BO803:BP805 BR803:BS805 BU803:BV805 BX803:BY805 CA803:CB805 CD803:CE805 CG803:CH805 CJ803:CK805 Q800:T800 V800:W800 Y800:Z800 AB800:AC800 AE800:AF800 AH800:AI800 AK800:AL800 AN800:AO800 AQ800:AR800 AT800:AU800 AW800:AX800 AZ800:BA800 BC800:BD800 BF800:BG800 BI800:BJ800 BL800:BM800 BO800:BP800 BR800:BS800 BU800:BV800 BX800:BY800 CA800:CB800 CD800:CE800 CG800:CH800 CJ800:CK800 Q660:T663 V660:W665 Y660:Z665 CJ638:CK641 V648:W651 Y648:Z651 AB660:AC665 AE660:AF665 AH660:AI665 AB648:AC651 AE648:AF651 AH648:AI651 AK660:AL665 AN660:AO665 AQ660:AR665 AK648:AL651 AN648:AO651 AQ648:AR651 AT660:AU665 AW660:AX665 AZ660:BA665 AT648:AU651 AW648:AX651 AZ648:BA651 BC660:BD665 BF660:BG665 BI660:BJ665 BC648:BD651 BF648:BG651 BI648:BJ651 BL660:BM665 BO660:BP665 BR660:BS665 BL648:BM651 BO648:BP651 BR648:BS651 BU660:BV665 BX660:BY665 CA660:CB665 BU648:BV651 BX648:BY651 CA648:CB651 CD660:CE665 CG660:CH665 CJ660:CK665 CD648:CE651 CG648:CH651 CJ648:CK651 Q648:T651 Q638:T641 V638:W641 Y638:Z641 AB638:AC641 AE638:AF641 AH638:AI641 AK638:AL641 AN638:AO641 AQ638:AR641 AT638:AU641 AW638:AX641 AZ638:BA641 BC638:BD641 BF638:BG641 BI638:BJ641 BL638:BM641 BO638:BP641 BR638:BS641 BU638:BV641 BX638:BY641 CA638:CB641 CD638:CE641 CG638:CH641 P1271 Q1267:T1271 V1267:W1271 P1278:T1280 V1278:W1280 Y1278:Z1280 AH1267:AI1271 AB1267:AC1271 AE1267:AF1271 AB1278:AC1280 AE1278:AF1280 AH1278:AI1280 AQ1267:AR1271 AK1267:AL1271 AN1267:AO1271 AK1278:AL1280 AN1278:AO1280 AQ1278:AR1280 AZ1267:BA1271 AT1267:AU1271 AW1267:AX1271 AT1278:AU1280 AW1278:AX1280 AZ1278:BA1280 BI1267:BJ1271 BC1267:BD1271 BF1267:BG1271 BC1278:BD1280 BF1278:BG1280 BI1278:BJ1280 BR1267:BS1271 BL1267:BM1271 BO1267:BP1271 BL1278:BM1280 BO1278:BP1280 BR1278:BS1280 CA1267:CB1271 BU1267:BV1271 BX1267:BY1271 BU1278:BV1280 BX1278:BY1280 CA1278:CB1280 CJ1267:CK1271 CD1267:CE1271 CG1267:CH1271 CD1278:CE1280 CG1278:CH1280 I307:N312 Q599:T600 V599:W600 Y599:Z600 AB599:AC600 AE599:AF600 AH599:AI600 AK599:AL600 AN599:AO600 AQ599:AR600 AT599:AU600 AW599:AX600 AZ599:BA600 BC599:BD600 BF599:BG600 BI599:BJ600 BL599:BM600 BO599:BP600 BR599:BS600 BU599:BV600 BX599:BY600 CA599:CB600 CD599:CE600 CG599:CH600 CJ599:CK600 Q484:T489 V484:W489 Y484:Z489 Q494:T494 V494:W494 Y494:Z494 AB484:AC489 AE484:AF489 AH484:AI489 AB494:AC494 AE494:AF494 AH494:AI494 AK484:AL489 AN484:AO489 AQ484:AR489 AK494:AL494 AN494:AO494 AQ494:AR494 AT484:AU489 AW484:AX489 AZ484:BA489 AT494:AU494 AW494:AX494 AZ494:BA494 BC484:BD489 BF484:BG489 BI484:BJ489 BC494:BD494 BF494:BG494 BI494:BJ494 BL484:BM489 BO484:BP489 BR484:BS489 BL494:BM494 BO494:BP494 BR494:BS494 BU484:BV489 BX484:BY489 CA484:CB489 BU494:BV494 BX494:BY494 CA494:CB494 CD484:CE489 CG484:CH489 CJ484:CK489 CD494:CE494 CG494:CH494 CJ494:CK494 Q55:T55 V55:W55 Y55:Z55 AB55:AC55 AE55:AF55 AH55:AI55 AK55:AL55 AN55:AO55 AQ55:AR55 AT55:AU55 AW55:AX55 AZ55:BA55 BC55:BD55 BF55:BG55 BI55:BJ55 BL55:BM55 BO55:BP55 BR55:BS55 BU55:BV55 BX55:BY55 CA55:CB55 CD55:CE55 CG55:CH55 CJ55:CK55 Q24:T24 V24:W24 Y24:Z24 Q59:T59 V59:W59 Y59:Z59 AB59:AC59 AE59:AF59 AH59:AI59 AK59:AL59 AN59:AO59 AQ59:AR59 AT59:AU59 AW59:AX59 AZ59:BA59 BC59:BD59 BF59:BG59 BI59:BJ59 BL59:BM59 BO59:BP59 BR59:BS59 BU59:BV59 BX59:BY59 CA59:CB59 CD59:CE59 CG59:CH59 CJ59:CK59 Y667:Z672 AB667:AC672 AE667:AF672 AH667:AI672 AK667:AL672 AN667:AO672 AQ667:AR672 AT667:AU672 AW667:AX672 AZ667:BA672 BC667:BD672 BF667:BG672 BI667:BJ672 BL667:BM672 BO667:BP672 BR667:BS672 BU667:BV672 BX667:BY672 CA667:CB672 CD667:CE672 CG667:CH672 I316:N322 AB24:AC24 AE24:AF24 AH24:AI24 AK24:AL24 AN24:AO24 AQ24:AR24 AT24:AU24 AW24:AX24 AZ24:BA24 BC24:BD24 BF24:BG24 BI24:BJ24 BL24:BM24 BO24:BP24 BR24:BS24 BU24:BV24 BX24:BY24 CA24:CB24 CD24:CE24 CG24:CH24 CJ24:CK24 Q226:T227 V226:W227 Y226:Z227 Q231:T231 V231:W231 Y231:Z231 Q236:T236 V236:W238 Y236:Z238 Q240:T240 Y240:Z240 AB240:AC240 Q247:T248 V247:W248 Y247:Z248 Q252:T252 V252:W252 Y252:Z252 Q257:T257 Q261:T261 S258:T260 V257:W261 AB226:AC227 AE226:AF227 AH226:AI227 AB231:AC231 AE231:AF231 AH231:AI231 AB236:AC238 AE236:AF238 AH236:AI238 AE240:AF240 AH240:AI240 AK240:AL240 AB247:AC248 AE247:AF248 AH247:AI248 AB252:AC252 AE252:AF252 AH252:AI252 Y257:Z261 AK226:AL227 AN226:AO227 AQ226:AR227 AK231:AL231 AN231:AO231 AQ231:AR231 AK236:AL238 AN236:AO238 AQ236:AR238 AN240:AO240 AQ240:AR240 AT240:AU240 AK247:AL248 AN247:AO248 AQ247:AR248 AK252:AL252 AN252:AO252 AQ252:AR252 AB257:AC261 AT226:AU227 AW226:AX227 AZ226:BA227 AT231:AU231 AW231:AX231 AZ231:BA231 AT236:AU238 AW236:AX238 AZ236:BA238 AW240:AX240 AZ240:BA240 BC240:BD240 AT247:AU248 AW247:AX248 AZ247:BA248 AT252:AU252 AW252:AX252 AZ252:BA252 AK257:AL261 BC226:BD227 BF226:BG227 BI226:BJ227 BC231:BD231 BF231:BG231 BI231:BJ231 BC236:BD238 BF236:BG238 BI236:BJ238 BF240:BG240 BI240:BJ240 BL240:BM240 BC247:BD248 BF247:BG248 BI247:BJ248 BC252:BD252 BF252:BG252 BI252:BJ252 AT257:AU261 BL226:BM227 BO226:BP227 BR226:BS227 BL231:BM231 BO231:BP231 BR231:BS231 BL236:BM238 BO236:BP238 BR236:BS238 BO240:BP240 BR240:BS240 BU240:BV240 BL247:BM248 BO247:BP248 BR247:BS248 BL252:BM252 BO252:BP252 BR252:BS252 BC257:BD261 BU226:BV227 BX226:BY227 CA226:CB227 BU231:BV231 BX231:BY231 CA231:CB231 BU236:BV238 BX236:BY238 CA236:CB238 BX240:BY240 CA240:CB240 CD240:CE240 BU247:BV248 BX247:BY248 CA247:CB248 BU252:BV252 BX252:BY252 CA252:CB252 BL257:BM261 CD226:CE227 CG226:CH227 CJ226:CK227 CD231:CE231 CG231:CH231 CJ231:CK231 CD236:CE238 CG236:CH238 CK240:CK243 CG240:CH240 CJ240 E348:N356 CD247:CE248 CG247:CH248 CJ247:CK248 CD252:CE252 CG252:CH252 CJ252:CK252 BU257:BV261 Q288:T288 V288:W288 Y288:Z288 Q291:T291 V291:W293 Y291:Z293 Q297:T297 V297:W297 Y297:Z297 Q300:T300 V300:W302 Y300:Z302 AB288:AC288 AE288:AF288 AH288:AI288 AB291:AC293 AE291:AF293 AH291:AI293 AB297:AC297 AE297:AF297 AH297:AI297 AB300:AC302 AE300:AF302 AH300:AI302 AK288:AL288 AN288:AO288 AQ288:AR288 AK291:AL293 AN291:AO293 AQ291:AR293 AK297:AL297 AN297:AO297 AQ297:AR297 AK300:AL302 AN300:AO302 AQ300:AR302 AT288:AU288 AW288:AX288 AZ288:BA288 AT291:AU293 AW291:AX293 AZ291:BA293 AT297:AU297 AW297:AX297 AZ297:BA297 AT300:AU302 AW300:AX302 AZ300:BA302 BC288:BD288 BF288:BG288 BI288:BJ288 BC291:BD293 BF291:BG293 BI291:BJ293 BC297:BD297 BF297:BG297 BI297:BJ297 BC300:BD302 BF300:BG302 BI300:BJ302 BL288:BM288 BO288:BP288 BR288:BS288 BL291:BM293 BO291:BP293 BR291:BS293 BL297:BM297 BO297:BP297 BR297:BS297 BL300:BM302 BO300:BP302 BR300:BS302 BU288:BV288 BX288:BY288 CA288:CB288 BU291:BV293 BX291:BY293 CA291:CB293 BU297:BV297 BX297:BY297 CA297:CB297 BU300:BV302 BX300:BY302 CA300:CB302 CD288:CE288 CG288:CH288 CJ288:CK288 CD291:CE293 CG291:CH293 CJ291:CK293 CD297:CE297 CG297:CH297 CJ297:CK297 CD300:CE302 CG300:CH302 CJ300:CK302 I297:N303 Q307:T307 V307:W307 Q310:T310 I288:N293 Q316:T316 V316:W316 Q319:T319 Y307:Z307 H282:H322 E281:G322 Y316:Z316 AB307:AC307 AE307:AF307 AH307:AI307 AB316:AC316 AE316:AF316 AH316:AI316 AK307:AL307 AN307:AO307 AQ307:AR307 AK316:AL316 AN316:AO316 AQ316:AR316 AT307:AU307 AW307:AX307 AZ307:BA307 AT316:AU316 AW316:AX316 AZ316:BA316 BC307:BD307 BF307:BG307 BI307:BJ307 BC316:BD316 BF316:BG316 BI316:BJ316 BL307:BM307 BO307:BP307 BR307:BS307 BL316:BM316 BO316:BP316 BR316:BS316 BU307:BV307 BX307:BY307 CA307:CB307 BU316:BV316 BX316:BY316 CA316:CB316 CJ316:CK316 V330:W334 U328 S330:T334 X328 V336:W340 CJ336:CK340 BX330:BY334 BO257:BP261 S336:T340 AA328 CF241:CG242 CG336:CH340 CD336:CE340 AD328 Y330:Z334 AG328 CI241:CJ242 Y336:Z340 BF257:BG261 AJ328 CC333:CC334 AE336:AF340 AE330:AF334 AB330:AC334 AM328 AH330:AI334 AP328 AB336:AC340 AH336:AI340 AS328 BT333:BT334 AN336:AO340 AN330:AO334 AK330:AL334 AV328 AQ330:AR334 AY328 AK336:AL340 AQ336:AR340 BB328 AW336:AX340 AA333:AA334 AT336:AU340 AW330:AX334 AT330:AU334 BE328 AZ330:BA334 BH328 AZ336:BA340 BK328 BF336:BG340 BC336:BD340 AJ333:AJ334 BI336:BJ340 BF330:BG334 BC330:BD334 BN328 BI330:BJ334 BQ328 BT328 BZ328 BO336:BP340 BL336:BM340 AS333:AS334 BR336:BS340 BO330:BP334 BL330:BM334 BW328 BR330:BS334 CC328 CI328 BX336:BY340 BU336:BV340 BB333:BB334 BK333:BK334 CA336:CB340 BU330:BV334 CA330:CB334 CF328 CA257:CB261 BX257:BY261 CJ257:CK261 CG257:CH261 CD257:CE261 Q348:T349 U348 X348 Y348:Z356 Q353:T353 CD282:CE283 V348:W356 AA348 AD348 AE348:AF356 AG348 AH348:AI356 AB348:AC356 CG282:CH283 I1065:N1069 AJ348 BK339:BK340 AM348 AN348:AO356 AP348 AQ348:AR356 AK348:AL356 BU282:BV283 AS348 BX282:BY283 AJ339:AJ340 AV348 AW348:AX356 AY348 AZ348:BA356 AT348:AU356 BB348 CA282:CB283 AZ257:BA261 BC348:BD356 BE348 BF348:BG356 BH348 BI348:BJ356 BK348 CS354:CS356 AE257:AF261 BL348:BM356 BR348:BS356 BN348 BO348:BP356 BQ348 BT348 BZ348 CM354:CM356 I1083:N1083 BU348:BV356 CA348:CB356 BW348 BX348:BY356 CC348 CI348 CP354:CP356 CG348:CH356 CD348:CE356 CJ348:CK356 CF348 S350:T352 S354:T356 BT339:BT340 CC339:CC340 AS339:AS340 BB339:BB340 AW257:AX261 BI257:BJ261 AQ257:AR261 AN257:AO261 S301:T302 AH257:AI261 BU359:BU360 BX359:BX360 Y359:Y360 AE359:AE360 CJ359:CJ360 CG330:CH334 AK359:AK360 CG359:CG360 AZ359:AZ360 CJ330:CK334 BL359:BL360 CA359:CA360 S359:S360 V359:V360 AH359:AH360 AB359:AB360 AN359:AN360 AQ359:AQ360 AT359:AT360 AW359:AW360 CD330:CE334 BR282:BS283 BO359:BO360 BR359:BR360 BU390:BU391 BX390:BX391 Y390:Y391 AE390:AE391 CJ390:CJ391 BH241:BI242 AK390:AK391 CG390:CG391 AZ390:AZ391 BK241:BL242 BL390:BL391 CA390:CA391 S390:S391 V390:V391 AH390:AH391 AB390:AB391 AN390:AN391 AQ390:AQ391 AT390:AT391 AW390:AW391 BW241:BX242 BE241:BF242 BO390:BO391 BR390:BR391 BU382:BU387 BX382:BX387 Y382:Y387 AE382:AE387 CJ382:CJ387 BN241:BO242 AK382:AK387 CG382:CG387 AZ382:AZ387 BZ241:CA242 BL382:BL387 CA382:CA387 S382:S387 V382:V387 AH382:AH387 AB382:AB387 AN382:AN387 AQ382:AQ387 AT382:AT387 AW382:AW387 BT241:BU242 CC241:CD242 BO382:BO387 BR382:BR387 BU414:BU415 BX414:BX415 Y414:Y415 AE414:AE415 CJ414:CJ415 BH414 AK414:AK415 CG414:CG415 AZ414:AZ415 BI415 BL414:BL415 CA414:CA415 S414:S415 V414:V415 AH414:AH415 AB414:AB415 AN414:AN415 AQ414:AQ415 AT414:AT415 AW414:AW415 BC415 BH390 BO414:BO415 BR414:BR415 BU417:BU418 BX417:BX418 Y417:Y418 AE417:AE418 CJ417:CJ418 AV241:AW242 AK417:AK418 CG417:CG418 AZ417:AZ418 BI418 BL417:BL418 CA417:CA418 S417:S418 V417:V418 AH417:AH418 AB417:AB418 AN417:AN418 AQ417:AQ418 AT417:AT418 AW417:AW418 BC418 CD418 BO417:BO418 BR417:BR418 BE464:BE465 Y473:Y475 AE473:AE475 CJ473:CJ475 BC282:BD283 AK473:AK475 CG473:CG475 AZ473:AZ475 BL473:BL475 CA473:CA475 BF282:BG283 S473:S475 V473:V475 AH473:AH475 AB473:AB475 AN473:AN475 AQ473:AQ475 AT473:AT475 AW473:AW475 BI282:BJ283 BO473:BO475 BR473:BR475 BU473:BU475 BX473:BX475 BX467:BX468 BH464:BH465 Y467:Y468 AE467:AE468 CJ467:CJ468 BL282:BM283 AK467:AK468 CG467:CG468 AZ467:AZ468 BL467:BL468 CA467:CA468 BO282:BP283 S467:S468 V467:V468 AH467:AH468 AB467:AB468 AN467:AN468 AQ467:AQ468 AT467:AT468 AW467:AW468 BQ241:BR242 BO467:BO468 BR467:BR468 BU467:BU468 BX464:BX465 BH470:BH471 Y464:Y465 AE464:AE465 CJ464:CJ465 BE390 AK464:AK465 CG464:CG465 AZ464:AZ465 BL464:BL465 CA464:CA465 BB241:BC242 S464:S465 V464:V465 AH464:AH465 AB464:AB465 AN464:AN465 AQ464:AQ465 AT464:AT465 AW464:AW465 BE414 BO464:BO465 BR464:BR465 BU464:BU465 V499:W500 Y499:Z500 Q507:T507 V507:W507 Y507:Z507 Q514:T514 V514:W514 Y514:Z514 Q499:T500 AE499:AF500 AH499:AI500 AB507:AC507 AE507:AF507 AH507:AI507 AB514:AC514 AE514:AF514 AH514:AI514 AB499:AC500 AN499:AO500 AQ499:AR500 AK507:AL507 AN507:AO507 AQ507:AR507 AK514:AL514 AN514:AO514 AQ514:AR514 AK499:AL500 AW499:AX500 AZ499:BA500 AT507:AU507 AW507:AX507 AZ507:BA507 AT514:AU514 AW514:AX514 AZ514:BA514 AT499:AU500 BF499:BG500 BI499:BJ500 BC507:BD507 BF507:BG507 BI507:BJ507 BC514:BD514 BF514:BG514 BI514:BJ514 BC499:BD500 BO499:BP500 BR499:BS500 BL507:BM507 BO507:BP507 BR507:BS507 BL514:BM514 BO514:BP514 BR514:BS514 BL499:BM500 BX499:BY500 CA499:CB500 BU507:BV507 BX507:BY507 CA507:CB507 BU514:BV514 BX514:BY514 CA514:CB514 BU499:BV500 CG499:CH500 CJ499:CK500 CD507:CE507 CG507:CH507 CJ507:CK507 CD514:CE514 CG514:CH514 CJ514:CK514 CD499:CE500 BU1096:BV1096 Q1096:T1096 V1096:W1096 Q1140:T1140 V1140:W1140 Y1140:Z1140 AB1140:AC1140 AE1140:AF1140 AH1140:AI1140 AK1140:AL1140 AN1140:AO1140 AQ1140:AR1140 AT1140:AU1140 AW1140:AX1140 AZ1140:BA1140 BC1140:BD1140 BF1140:BG1140 BI1140:BJ1140 BL1140:BM1140 BO1140:BP1140 BR1140:BS1140 BU1140:BV1140 BX1140:BY1140 CA1140:CB1140 CD1140:CE1140 CG1140:CH1140 CJ1140:CK1140 Q1175:T1177 V1175:W1177 Y1175:Z1177 AB1175:AC1177 AE1175:AF1177 AH1175:AI1177 AK1175:AL1177 AN1175:AO1177 AQ1175:AR1177 AT1175:AU1177 AW1175:AX1177 AZ1175:BA1177 BC1175:BD1177 BF1175:BG1177 CJ1424:CK1441 BL1175:BM1177 BO1175:BP1177 BR1175:BS1177 BU1175:BV1177 BX1175:BY1177 CA1175:CB1177 CD1175:CE1177 CG1175:CH1177 CJ1175:CK1177 U311:V312 X311:Y312 AA311:AB312 AD311:AE312 AG311:AH312 AJ311:AK312 AM311:AN312 AP311:AQ312 AS311:AT312 AV311:AW312 AY311:AZ312 BB311:BC312 BE311:BF312 BH311:BI312 BK311:BL312 BN311:BO312 BQ311:BR312 BT311:BU312 Q655:S655 Q668:T668 V667:W672 Q33:CK33 CJ679:CK696 BU470:BU471 BR470:BR471 BO470:BO471 AY241:AZ242 AW470:AW471 AT470:AT471 AQ470:AQ471 AN470:AN471 AB470:AB471 AH470:AH471 V470:V471 S470:S471 BE417 CA470:CA471 BL470:BL471 AZ470:AZ471 CG470:CG471 AK470:AK471 BH417 CJ470:CJ471 AE470:AE471 Y470:Y471 BE470:BE471 BX470:BX471 I1076:N1076 H822:H907 K1113:N1113 I1153:N1164 O1084 I660:N665 I1109:J1109 H1065:H1091 I367:N372 H1106:H1109 CJ906:CK906 H528:N545 I282:N284 Q1162:T1164 CJ1162:CK1164 CG1162:CH1164 CD1162:CE1164 CA1162:CB1164 BX1162:BY1164 BU1162:BV1164 BR1162:BS1164 BO1162:BP1164 BL1162:BM1164 BI1162:BJ1164 BF1162:BG1164 BC1162:BD1164 AZ1162:BA1164 AW1162:AX1164 AT1162:AU1164 AQ1162:AR1164 AN1162:AO1164 AK1162:AL1164 AH1162:AI1164 AE1162:AF1164 AB1162:AC1164 Y1162:Z1164 V1162:W1164 I893:N894 E660:H672 E673:G696 E1418:G1441 CJ667:CK672 BW311:BX312 BZ311:CA312 CC311:CD312 S14:CF14 CJ310 CE241:CE243 CD307:CE307 CG307:CH307 CJ307:CK307 S320:T321 CG319:CH321 CD319:CE321 CA319:CB321 BX319:BY321 BU319:BV321 BR319:BS321 BO319:BP321 BL319:BM321 BI319:BJ321 BF319:BG321 BC319:BD321 AZ319:BA321 AW319:AX321 AT319:AU321 AQ319:AR321 AN319:AO321 AK319:AL321 AH319:AI321 AE319:AF321 AB319:AC321 Y319:Z321 V319:W321 CJ319:CK321 CD316:CE316 CG316:CH316 S19:T19 E1308:N1311 CH241:CH243 V240:W240 U241:V242 X241:Y242 AA241:AB242 AD241:AE242 AG241:AH242 AJ241:AK242 AM241:AN242 AP241:AQ242 E55:N58 H679:N696 CJ35:CK35 S237:T238 CS241:CT241 H1424:N1441 CM241:CN241 CP241:CQ241 I902:N907 S282:T283 V282:W283 Y282:Z283 AB282:AC283 AE282:AF283 AH282:AI283 AK282:AL283 AN282:AO283 AQ282:AR283 AT282:AU283 AW282:AX283 AZ282:BA283 BE473:BE475 BH473:BH475 BE467:BE468 CJ537:CK545 S528:T531 V528:W531 Y528:Z531 AB528:AC531 AE528:AF531 AH528:AI531 AK528:AL531 AN528:AO531 AQ528:AR531 AT528:AU531 AW528:AX531 AZ528:BA531 BC528:BD531 BF528:BG531 BI528:BJ531 BL528:BM531 BO528:BP531 BR528:BS531 BU528:BV531 BX528:BY531 CA528:CB531 CD528:CE531 CG528:CH531 CJ528:CK531 Y537:Z545 S537:T545 V537:W545 AB537:AC545 AE537:AF545 AH537:AI545 AK537:AL545 AN537:AO545 AQ537:AR545 AT537:AU545 AW537:AX545 AZ537:BA545 BC537:BD545 BF537:BG545 BI537:BJ545 BL537:BM545 BO537:BP545 BR537:BS545 BU537:BV545 BX537:BY545 CA537:CB545 CD537:CE545 CG537:CH545 CJ534:CK534 S534:T534 V534:W534 Y534:Z534 AB534:AC534 AE534:AF534 AH534:AI534 AK534:AL534 AN534:AO534 AQ534:AR534 AT534:AU534 AW534:AX534 AZ534:BA534 BC534:BD534 BF534:BG534 BI534:BJ534 BL534:BM534 BO534:BP534 BR534:BS534 BU534:BV534 BX534:BY534 CA534:CB534 CD534:CE534 CG534:CH534 K1108:N1111 S679:T696 V679:W696 Y679:Z696 AB679:AC696 AE679:AF696 AH679:AI696 AK679:AL696 AN679:AO696 AQ679:AR696 AT679:AU696 AW679:AX696 AZ679:BA696 BC679:BD696 BF679:BG696 BI679:BJ696 BL679:BM696 BO679:BP696 BR679:BS696 BU679:BV696 BX679:BY696 CA679:CB696 CD679:CE696 CG679:CH696 K1106:N1106 S1424:T1441 V1424:W1441 Y1424:Z1441 AB1424:AC1441 AE1424:AF1441 AH1424:AI1441 AK1424:AL1441 AN1424:AO1441 AQ1424:AR1441 AT1424:AU1441 AW1424:AX1441 AZ1424:BA1441 BC1424:BD1441 BF1424:BG1441 BI1424:BJ1441 BL1424:BM1441 BO1424:BP1441 BR1424:BS1441 BU1424:BV1441 BX1424:BY1441 CA1424:CB1441 CD1424:CE1441 CG1424:CH1441 CF311:CG312 CI311:CJ312 AD655:AE655 AG655:AH655 AJ655:AK655 AM655:AN655 AP655:AQ655 AS655:AT655 AV655:AW655 AY655:AZ655 BB655:BC655 BE655:BF655 BH655:BI655 BK655:BL655 BN655:BO655 BQ655:BR655 BT655:BU655 BW655:BX655 BZ655:CA655 CC655:CD655 CF655:CG655 CI655:CK655 U655:V655 X655:AB655 J1102:N1104 S906:T906 V906:W906 Y906:Z906 AB906:AC906 AE906:AF906 AH906:AI906 AK906:AL906 AN906:AO906 AQ906:AR906 AT906:AU906 AW906:AX906 AZ906:BA906 BC906:BD906 BF906:BG906 BI906:BJ906 BL906:BM906 BO906:BP906 BR906:BS906 BU906:BV906 BX906:BY906 CA906:CB906 CD906:CE906 CG906:CH906 I1115:N1119 CJ888:CK888 Q880:T880 V880:W880 Y880:Z880 AB880:AC880 AE880:AF880 AH880:AI880 AK880:AL880 AN880:AO880 AQ880:AR880 AT880:AU880 AW880:AX880 AZ880:BA880 BC880:BD880 BF880:BG880 BI880:BJ880 BL880:BM880 BO880:BP880 BR880:BS880 BU880:BV880 BX880:BY880 CA880:CB880 CD880:CE880 CG880:CH880 CJ880:CK880 Q888:T888 V888:W888 Y888:Z888 AB888:AC888 AE888:AF888 AH888:AI888 AK888:AL888 AN888:AO888 AQ888:AR888 AT888:AU888 AW888:AX888 AZ888:BA888 BC888:BD888 BF888:BG888 BI888:BJ888 BL888:BM888 BO888:BP888 BR888:BS888 BU888:BV888 BX888:BY888 CA888:CB888 CD888:CE888 CG888:CH888 I667:N672 BX1096:BY1096 CA1096:CB1096 Y1096:Z1096 AB1096:AC1096 AE1096:AF1096 AH1096:AI1096 AK1096:AL1096 AN1096:AO1096 AQ1096:AR1096 AT1096:AU1096 AW1096:AX1096 AZ1096:BA1096 BC1096:BD1096 BF1096:BG1096 BI1096:BJ1096 BL1096:BM1096 BO1096:BP1096 BR1096:BS1096 CD1096:CE1096 CG1096:CH1096 CJ1096:CK1096 I800:N805 H1093:H1104 I1102:I1105 Q1102:T1102 V1102:W1102 Y1102:Z1102 AB1102:AC1102 AE1102:AF1102 AH1102:AI1102 AK1102:AL1102 AN1102:AO1102 AQ1102:AR1102 AT1102:AU1102 AW1102:AX1102 AZ1102:BA1102 BC1102:BD1102 BF1102:BG1102 BI1102:BJ1102 BL1102:BM1102 BO1102:BP1102 BR1102:BS1102 BU1102:BV1102 BX1102:BY1102 CA1102:CB1102 CD1102:CE1102 CG1102:CH1102 CJ1102:CK1102 Q1115:T1115 V1115:W1115 Y1115:Z1115 AB1115:AC1115 AE1115:AF1115 AH1115:AI1115 AK1115:AL1115 AN1115:AO1115 AQ1115:AR1115 AT1115:AU1115 AW1115:AX1115 AZ1115:BA1115 BC1115:BD1115 BF1115:BG1115 BI1115:BJ1115 BL1115:BM1115 BO1115:BP1115 BR1115:BS1115 BU1115:BV1115 BX1115:BY1115 CA1115:CB1115 CD1115:CE1115 CG1115:CH1115 CJ1115:CK1115 I336:N340 H1111:H1161 E817:G1161 Q604:T604 V604:W604 Y604:Z604 AB604:AC604 AE604:AF604 AH604:AI604 AK604:AL604 AN604:AO604 AQ604:AR604 AT604:AU604 AW604:AX604 AZ604:BA604 BC604:BD604 BF604:BG604 BI604:BJ604 BL604:BM604 BO604:BP604 BR604:BS604 BU604:BV604 BX604:BY604 CA604:CB604 CD604:CE604 S667:T667 S664:T665 S804:T805 V310:W310 Y310:Z310 AB310:AC310 AE310:AF310 AH310:AI310 AK310:AL310 AN310:AO310 AQ310:AR310 AT310:AU310 AW310:AX310 AZ310:BA310 BC310:BD310 BF310:BG310 BI310:BJ310 BL310:BM310 BO310:BP310 BR310:BS310 BU310:BV310 BX310:BY310 CA310:CB310 CD310:CE310 CJ236:CK238 S15 CI16:CK16 U18 X18 AA18 AD18 AG18 AJ18 AM18 AP18 AS18 AV18 AY18 BB18 BE18 BH18 BK18 BN18 BQ18 BT18 BW18 BZ18 CC18 CF18 U16 X16 AA16 AD16 AG16 AJ16 AM16 AP16 AS16 AV16 AY16 BB16 BE16 BH16 BK16 BN16 BQ16 BT16 BW16 BZ16 CC16 CF903:CG903 T241:T243 W241:W243 Z241:Z243 AC241:AC243 AF241:AF243 AI241:AI243 AL241:AL243 AO241:AO243 AR241:AR243 AU241:AU243 AX241:AX243 BA241:BA243 BD241:BD243 BG241:BG243 BJ241:BJ243 BM241:BM243 BP241:BP243 BS241:BS243 BV241:BV243 BY241:BY243 CB241:CB243 CK310:CK312 CG310:CH310 CI903:CJ903 S903 U903:V903 X903:Y903 AA903:AB903 AD903:AE903 AG903:AH903 AJ903:AK903 AM903:AN903 AP903:AQ903 AS903:AT903 AV903:AW903 AY903:AZ903 BB903:BC903 BE903:BF903 BH903:BI903 BK903:BL903 BN903:BO903 BQ903:BR903 BT903:BU903 BW903:BX903 BZ903:CA903 CC903:CD903 E192:N200 I1096:O1096 I884:O888 I258:O260 I876:O881 H59:N59">
      <formula1>0</formula1>
      <formula2>999999999999</formula2>
    </dataValidation>
    <dataValidation type="whole" allowBlank="1" showInputMessage="1" showErrorMessage="1" errorTitle="Ошибка ввода" error="Попытка ввсети: данные отличные от числовых; данные отличные от целочисленных; отрицательное число" sqref="K1445:N1445 CJ1415:CK1415 Q1445:T1445 V1445:W1445 Y1445:Z1445 AB1445:AC1445 AE1445:AF1445 AH1445:AI1445 AK1445:AL1445 AN1445:AO1445 AQ1445:AR1445 AT1445:AU1445 AW1445:AX1445 AZ1445:BA1445 BC1445:BD1445 BF1445:BG1445 BI1445:BJ1445 BL1445:BM1445 BO1445:BP1445 BR1445:BS1445 BU1445:BV1445 BX1445:BY1445 CA1445:CB1445 CD1445:CE1445 CG1445:CH1445 CJ1445:CK1445 Q1450:T1450 Q1455:T1455 Q1457:T1457 V1450:W1450 V1455:W1455 V1457:W1457 Y1450:Z1450 Y1455:Z1455 Y1457:Z1457 AB1450:AC1450 AB1455:AC1455 AB1457:AC1457 AE1450:AF1450 AE1455:AF1455 AE1457:AF1457 AH1450:AI1450 AH1455:AI1455 AH1457:AI1457 AK1450:AL1450 AK1455:AL1455 AK1457:AL1457 AN1450:AO1450 AN1455:AO1455 AN1457:AO1457 AQ1450:AR1450 AQ1455:AR1455 AQ1457:AR1457 AT1450:AU1450 AT1455:AU1455 AT1457:AU1457 AW1450:AX1450 AW1455:AX1455 AW1457:AX1457 AZ1450:BA1450 AZ1455:BA1455 AZ1457:BA1457 BC1450:BD1450 BC1455:BD1455 BC1457:BD1457 BF1450:BG1450 BF1455:BG1455 BF1457:BG1457 BI1450:BJ1450 BI1455:BJ1455 BI1457:BJ1457 BL1450:BM1450 BL1455:BM1455 BL1457:BM1457 BO1450:BP1450 BO1455:BP1455 BO1457:BP1457 BR1450:BS1450 BR1455:BS1455 BR1457:BS1457 BU1450:BV1450 BU1455:BV1455 BU1457:BV1457 BX1450:BY1450 BX1455:BY1455 BX1457:BY1457 CA1450:CB1450 CA1455:CB1455 CA1457:CB1457 CD1450:CE1450 CD1455:CE1455 CD1457:CE1457 CG1450:CH1450 CG1455:CH1455 CG1457:CH1457 CJ1450:CK1450 CJ1455:CK1455 CJ1457:CK1457 Q1409:T1409 K1453:N1455 Q1415:T1415 V1409:W1409 J1457:N1457 V1415:W1415 Y1409:Z1409 E1415:N1417 Y1415:Z1415 AB1409:AC1409 E1407:G1414 AB1415:AC1415 AE1409:AF1409 K1409:N1409 AE1415:AF1415 AH1409:AI1409 J1445:J1455 AH1415:AI1415 AK1409:AL1409 J1408:J1410 AK1415:AL1415 AN1409:AO1409 E1445:I1458 AN1415:AO1415 AQ1409:AR1409 BX1409:BY1409 AQ1415:AR1415 AT1409:AU1409 H1408:H1412 AT1415:AU1415 AW1409:AX1409 CD1415:CE1415 AW1415:AX1415 AZ1409:BA1409 BX1415:BY1415 AZ1415:BA1415 BC1409:BD1409 CG1409:CH1409 BC1415:BD1415 BF1409:BG1409 I1408:I1411 BF1415:BG1415 BI1409:BJ1409 CA1409:CB1409 BI1415:BJ1415 BL1409:BM1409 CA1415:CB1415 BL1415:BM1415 BO1409:BP1409 CG1415:CH1415 BO1415:BP1415 BR1409:BS1409 CJ1409:CK1409 BR1415:BS1415 BU1409:BV1409 CD1409:CE1409 BU1415:BV1415 K1449:N1450">
      <formula1>0</formula1>
      <formula2>999999999999</formula2>
    </dataValidation>
    <dataValidation type="whole" allowBlank="1" showInputMessage="1" showErrorMessage="1" errorTitle="Ошибка ввода" error="Попытка ввсети данные отличные от числовых или целочисленных" sqref="I341:N342 O359 O342 I357:N358 I360:N360 E388:G391 E373:H376 I373:N374 H390:N391 E341:H344 CG373:CH374 O344 E357:H360 CJ373:CK374 Q341:T342 CJ341:CK342 V341:W342 Y341:Z342 AB341:AC342 AE341:AF342 AH341:AI342 AK341:AL342 AN341:AO342 AQ341:AR342 AT341:AU342 AW341:AX342 AZ341:BA342 BC341:BD342 BF341:BG342 BI341:BJ342 BL341:BM342 BO341:BP342 BR341:BS342 BU341:BV342 BX341:BY342 CA341:CB342 CD341:CE342 CG341:CH342 Q357:T358 CJ357:CK358 V357:W358 Y357:Z358 AB357:AC358 AE357:AF358 AH357:AI358 AK357:AL358 AN357:AO358 AQ357:AR358 AT357:AU358 AW357:AX358 AZ357:BA358 BC357:BD358 BF357:BG358 BI357:BJ358 BL357:BM358 BO357:BP358 BR357:BS358 BU357:BV358 BX357:BY358 CA357:CB358 CD357:CE358 CG357:CH358 Q373:T374 V373:W374 Y373:Z374 AB373:AC374 AE373:AF374 AH373:AI374 AK373:AL374 AN373:AO374 AQ373:AR374 AT373:AU374 AW373:AX374 AZ373:BA374 BC373:BD374 BF373:BG374 BI373:BJ374 BL373:BM374 BO373:BP374 BR373:BS374 BU373:BV374 BX373:BY374 CA373:CB374 CD373:CE374 I376:N376">
      <formula1>0</formula1>
      <formula2>999999999999</formula2>
    </dataValidation>
    <dataValidation type="custom" allowBlank="1" showInputMessage="1" showErrorMessage="1" errorTitle="Ошибка ввода" error="Попытка ввести: данные отличные от числовых; отрицательное число; более одного знака после запятой" sqref="I1106:I1108 I1110:J1113">
      <formula1>IF(AND(INT(I1106*10)=I1106*10,I1106&gt;=0),TRUE,FALSE)</formula1>
    </dataValidation>
  </dataValidations>
  <pageMargins left="0.70866141732283472" right="0.70866141732283472" top="0.74803149606299213" bottom="0.74803149606299213" header="0.31496062992125984" footer="0.31496062992125984"/>
  <pageSetup paperSize="9" scale="34" orientation="portrait" r:id="rId1"/>
  <colBreaks count="1" manualBreakCount="1">
    <brk id="14" max="3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sheetPr>
  <dimension ref="A3:DJ909"/>
  <sheetViews>
    <sheetView view="pageBreakPreview" zoomScaleNormal="100" zoomScaleSheetLayoutView="100" workbookViewId="0">
      <pane xSplit="3" ySplit="8" topLeftCell="D9" activePane="bottomRight" state="frozen"/>
      <selection activeCell="J11" sqref="J11"/>
      <selection pane="topRight" activeCell="J11" sqref="J11"/>
      <selection pane="bottomLeft" activeCell="J11" sqref="J11"/>
      <selection pane="bottomRight" activeCell="D9" sqref="D9"/>
    </sheetView>
  </sheetViews>
  <sheetFormatPr defaultRowHeight="15" x14ac:dyDescent="0.25"/>
  <cols>
    <col min="2" max="2" width="75.140625" customWidth="1"/>
    <col min="3" max="3" width="20.140625" customWidth="1"/>
    <col min="4" max="4" width="16.140625" customWidth="1"/>
    <col min="5" max="10" width="12.140625" customWidth="1"/>
    <col min="11" max="12" width="12.140625" style="241" customWidth="1"/>
    <col min="13" max="13" width="41.85546875" customWidth="1"/>
    <col min="46" max="48" width="9.140625" style="241"/>
  </cols>
  <sheetData>
    <row r="3" spans="1:110" ht="18.75" x14ac:dyDescent="0.3">
      <c r="A3" s="401" t="s">
        <v>0</v>
      </c>
      <c r="B3" s="401"/>
      <c r="C3" s="401"/>
      <c r="D3" s="401"/>
      <c r="E3" s="401"/>
      <c r="F3" s="401"/>
      <c r="G3" s="401"/>
      <c r="H3" s="401"/>
      <c r="I3" s="401"/>
      <c r="J3" s="401"/>
      <c r="K3" s="244"/>
      <c r="L3" s="253"/>
      <c r="M3" s="14"/>
    </row>
    <row r="4" spans="1:110" ht="18.75" x14ac:dyDescent="0.3">
      <c r="A4" s="401" t="s">
        <v>1</v>
      </c>
      <c r="B4" s="401"/>
      <c r="C4" s="401"/>
      <c r="D4" s="401"/>
      <c r="E4" s="401"/>
      <c r="F4" s="401"/>
      <c r="G4" s="401"/>
      <c r="H4" s="401"/>
      <c r="I4" s="401"/>
      <c r="J4" s="401"/>
      <c r="K4" s="244"/>
      <c r="L4" s="253"/>
      <c r="M4" s="15"/>
    </row>
    <row r="5" spans="1:110" x14ac:dyDescent="0.25">
      <c r="A5" s="1"/>
      <c r="B5" s="1"/>
      <c r="C5" s="1"/>
      <c r="D5" s="1"/>
      <c r="E5" s="1"/>
      <c r="F5" s="1"/>
      <c r="G5" s="1"/>
      <c r="H5" s="1"/>
      <c r="I5" s="1"/>
      <c r="J5" s="1"/>
      <c r="K5" s="1"/>
      <c r="L5" s="1"/>
      <c r="M5" s="1"/>
    </row>
    <row r="6" spans="1:110"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110" x14ac:dyDescent="0.25">
      <c r="A7" s="398" t="s">
        <v>320</v>
      </c>
      <c r="B7" s="398"/>
      <c r="C7" s="398"/>
      <c r="D7" s="398"/>
      <c r="E7" s="398"/>
      <c r="F7" s="398"/>
      <c r="G7" s="398"/>
      <c r="H7" s="398"/>
      <c r="I7" s="398"/>
      <c r="J7" s="398"/>
      <c r="K7" s="398"/>
      <c r="L7" s="398"/>
    </row>
    <row r="8" spans="1:110" x14ac:dyDescent="0.25">
      <c r="A8" s="398" t="s">
        <v>321</v>
      </c>
      <c r="B8" s="398"/>
      <c r="C8" s="398"/>
      <c r="D8" s="398"/>
      <c r="E8" s="398"/>
      <c r="F8" s="398"/>
      <c r="G8" s="398"/>
      <c r="H8" s="398"/>
      <c r="I8" s="398"/>
      <c r="J8" s="398"/>
      <c r="K8" s="398"/>
      <c r="L8" s="398"/>
      <c r="P8" s="425" t="s">
        <v>2929</v>
      </c>
      <c r="Q8" s="425"/>
      <c r="R8" s="254"/>
      <c r="S8" s="425" t="s">
        <v>2930</v>
      </c>
      <c r="T8" s="425"/>
      <c r="U8" s="254"/>
      <c r="V8" s="425" t="s">
        <v>2931</v>
      </c>
      <c r="W8" s="425"/>
      <c r="Y8" s="425" t="s">
        <v>2932</v>
      </c>
      <c r="Z8" s="425"/>
      <c r="AA8" s="254"/>
      <c r="AB8" s="425" t="s">
        <v>2933</v>
      </c>
      <c r="AC8" s="425"/>
      <c r="AD8" s="254"/>
      <c r="AE8" s="425" t="s">
        <v>2934</v>
      </c>
      <c r="AF8" s="425"/>
      <c r="AH8" s="425" t="s">
        <v>2935</v>
      </c>
      <c r="AI8" s="425"/>
      <c r="AJ8" s="254"/>
      <c r="AK8" s="425" t="s">
        <v>2936</v>
      </c>
      <c r="AL8" s="425"/>
      <c r="AM8" s="254"/>
      <c r="AN8" s="425" t="s">
        <v>2926</v>
      </c>
      <c r="AO8" s="425"/>
      <c r="AQ8" s="425" t="s">
        <v>2937</v>
      </c>
      <c r="AR8" s="425"/>
      <c r="AS8" s="254"/>
      <c r="AT8" s="425" t="s">
        <v>2951</v>
      </c>
      <c r="AU8" s="425"/>
      <c r="AV8" s="255"/>
      <c r="AW8" s="425" t="s">
        <v>2938</v>
      </c>
      <c r="AX8" s="425"/>
      <c r="AY8" s="254"/>
      <c r="AZ8" s="425" t="s">
        <v>2939</v>
      </c>
      <c r="BA8" s="425"/>
      <c r="BC8" s="425" t="s">
        <v>2940</v>
      </c>
      <c r="BD8" s="425"/>
      <c r="BE8" s="254"/>
      <c r="BF8" s="425" t="s">
        <v>2941</v>
      </c>
      <c r="BG8" s="425"/>
      <c r="BH8" s="254"/>
      <c r="BI8" s="425" t="s">
        <v>2942</v>
      </c>
      <c r="BJ8" s="425"/>
      <c r="BL8" s="425" t="s">
        <v>2943</v>
      </c>
      <c r="BM8" s="425"/>
      <c r="BN8" s="254"/>
      <c r="BO8" s="425" t="s">
        <v>2944</v>
      </c>
      <c r="BP8" s="425"/>
      <c r="BQ8" s="254"/>
      <c r="BR8" s="425" t="s">
        <v>2945</v>
      </c>
      <c r="BS8" s="425"/>
      <c r="BU8" s="425" t="s">
        <v>2946</v>
      </c>
      <c r="BV8" s="425"/>
      <c r="BW8" s="254"/>
      <c r="BX8" s="425" t="s">
        <v>2947</v>
      </c>
      <c r="BY8" s="425"/>
      <c r="BZ8" s="254"/>
      <c r="CA8" s="425" t="s">
        <v>2948</v>
      </c>
      <c r="CB8" s="425"/>
      <c r="CD8" s="425" t="s">
        <v>2949</v>
      </c>
      <c r="CE8" s="425"/>
      <c r="CF8" s="254"/>
      <c r="CG8" s="425" t="s">
        <v>2950</v>
      </c>
      <c r="CH8" s="425"/>
      <c r="CI8" s="254"/>
      <c r="CJ8" s="426" t="s">
        <v>2925</v>
      </c>
      <c r="CK8" s="426"/>
      <c r="CM8" s="424" t="s">
        <v>2956</v>
      </c>
      <c r="CN8" s="424"/>
      <c r="CP8" s="424" t="s">
        <v>2957</v>
      </c>
      <c r="CQ8" s="424"/>
      <c r="CS8" s="424" t="s">
        <v>2958</v>
      </c>
      <c r="CT8" s="424"/>
      <c r="CV8" s="424" t="s">
        <v>2952</v>
      </c>
      <c r="CW8" s="424"/>
      <c r="CY8" s="424" t="s">
        <v>2953</v>
      </c>
      <c r="CZ8" s="424"/>
      <c r="DB8" s="424" t="s">
        <v>2954</v>
      </c>
      <c r="DC8" s="424"/>
      <c r="DE8" s="424" t="s">
        <v>2928</v>
      </c>
      <c r="DF8" s="424"/>
    </row>
    <row r="9" spans="1:110" ht="45" x14ac:dyDescent="0.25">
      <c r="A9" s="47" t="s">
        <v>322</v>
      </c>
      <c r="B9" s="48" t="s">
        <v>323</v>
      </c>
      <c r="C9" s="43"/>
      <c r="D9" s="44"/>
      <c r="E9" s="44"/>
      <c r="F9" s="44"/>
      <c r="G9" s="44"/>
      <c r="H9" s="44"/>
      <c r="I9" s="44"/>
      <c r="J9" s="44"/>
      <c r="K9" s="44"/>
      <c r="L9" s="44"/>
      <c r="N9">
        <v>2019</v>
      </c>
      <c r="O9">
        <v>2020</v>
      </c>
      <c r="P9" s="241">
        <v>2019</v>
      </c>
      <c r="Q9" s="241">
        <v>2020</v>
      </c>
      <c r="S9" s="241">
        <v>2019</v>
      </c>
      <c r="T9" s="241">
        <v>2020</v>
      </c>
      <c r="V9" s="241">
        <v>2019</v>
      </c>
      <c r="W9" s="241">
        <v>2020</v>
      </c>
      <c r="Y9" s="241">
        <v>2019</v>
      </c>
      <c r="Z9" s="241">
        <v>2020</v>
      </c>
      <c r="AA9" s="241"/>
      <c r="AB9" s="241">
        <v>2019</v>
      </c>
      <c r="AC9" s="241">
        <v>2020</v>
      </c>
      <c r="AD9" s="241"/>
      <c r="AE9" s="241">
        <v>2019</v>
      </c>
      <c r="AF9" s="241">
        <v>2020</v>
      </c>
      <c r="AH9" s="241">
        <v>2019</v>
      </c>
      <c r="AI9" s="241">
        <v>2020</v>
      </c>
      <c r="AJ9" s="241"/>
      <c r="AK9" s="241">
        <v>2019</v>
      </c>
      <c r="AL9" s="241">
        <v>2020</v>
      </c>
      <c r="AM9" s="241"/>
      <c r="AN9" s="241">
        <v>2019</v>
      </c>
      <c r="AO9" s="241">
        <v>2020</v>
      </c>
      <c r="AQ9" s="241">
        <v>2019</v>
      </c>
      <c r="AR9" s="241">
        <v>2020</v>
      </c>
      <c r="AS9" s="241"/>
      <c r="AT9" s="241">
        <v>2019</v>
      </c>
      <c r="AU9" s="241">
        <v>2020</v>
      </c>
      <c r="AW9" s="241">
        <v>2019</v>
      </c>
      <c r="AX9" s="241">
        <v>2020</v>
      </c>
      <c r="AY9" s="241"/>
      <c r="AZ9" s="241">
        <v>2019</v>
      </c>
      <c r="BA9" s="241">
        <v>2020</v>
      </c>
      <c r="BC9" s="241">
        <v>2019</v>
      </c>
      <c r="BD9" s="241">
        <v>2020</v>
      </c>
      <c r="BE9" s="241"/>
      <c r="BF9" s="241">
        <v>2019</v>
      </c>
      <c r="BG9" s="241">
        <v>2020</v>
      </c>
      <c r="BH9" s="241"/>
      <c r="BI9" s="241">
        <v>2019</v>
      </c>
      <c r="BJ9" s="241">
        <v>2020</v>
      </c>
      <c r="BL9" s="241">
        <v>2019</v>
      </c>
      <c r="BM9" s="241">
        <v>2020</v>
      </c>
      <c r="BN9" s="241"/>
      <c r="BO9" s="241">
        <v>2019</v>
      </c>
      <c r="BP9" s="241">
        <v>2020</v>
      </c>
      <c r="BQ9" s="241"/>
      <c r="BR9" s="241">
        <v>2019</v>
      </c>
      <c r="BS9" s="241">
        <v>2020</v>
      </c>
      <c r="BU9" s="241">
        <v>2019</v>
      </c>
      <c r="BV9" s="241">
        <v>2020</v>
      </c>
      <c r="BW9" s="241"/>
      <c r="BX9" s="241">
        <v>2019</v>
      </c>
      <c r="BY9" s="241">
        <v>2020</v>
      </c>
      <c r="BZ9" s="241"/>
      <c r="CA9" s="241">
        <v>2019</v>
      </c>
      <c r="CB9" s="241">
        <v>2020</v>
      </c>
      <c r="CD9" s="241">
        <v>2019</v>
      </c>
      <c r="CE9" s="241">
        <v>2020</v>
      </c>
      <c r="CF9" s="241"/>
      <c r="CG9" s="241">
        <v>2019</v>
      </c>
      <c r="CH9" s="241">
        <v>2020</v>
      </c>
      <c r="CI9" s="241"/>
      <c r="CJ9" s="241">
        <v>2019</v>
      </c>
      <c r="CK9" s="241">
        <v>2020</v>
      </c>
    </row>
    <row r="10" spans="1:110" ht="75" x14ac:dyDescent="0.25">
      <c r="A10" s="42" t="s">
        <v>324</v>
      </c>
      <c r="B10" s="46" t="s">
        <v>1722</v>
      </c>
      <c r="C10" s="43"/>
      <c r="D10" s="42" t="s">
        <v>8</v>
      </c>
      <c r="E10" s="45">
        <v>7.15</v>
      </c>
      <c r="F10" s="45">
        <v>6.99</v>
      </c>
      <c r="G10" s="45">
        <v>6.93</v>
      </c>
      <c r="H10" s="45">
        <f>H11/H14*100</f>
        <v>10.983655164745562</v>
      </c>
      <c r="I10" s="45">
        <f>I11/I14*100</f>
        <v>10.12094994261499</v>
      </c>
      <c r="J10" s="45">
        <f>J11/J14*100</f>
        <v>9.5939206839230593</v>
      </c>
      <c r="K10" s="45">
        <f>K11/K14*100</f>
        <v>9.1248882749654658</v>
      </c>
      <c r="L10" s="45" t="e">
        <f>L11/L14*100</f>
        <v>#DIV/0!</v>
      </c>
      <c r="M10" s="3" t="s">
        <v>23</v>
      </c>
      <c r="N10" s="45">
        <f>N11/N14*100</f>
        <v>9.1248882749654658</v>
      </c>
      <c r="O10" s="45" t="e">
        <f>O11/O14*100</f>
        <v>#DIV/0!</v>
      </c>
      <c r="P10" s="45">
        <f>P11/P14*100</f>
        <v>0</v>
      </c>
      <c r="Q10" s="45" t="e">
        <f>Q11/Q14*100</f>
        <v>#DIV/0!</v>
      </c>
      <c r="S10" s="45" t="e">
        <f>S11/S14*100</f>
        <v>#DIV/0!</v>
      </c>
      <c r="T10" s="45" t="e">
        <f>T11/T14*100</f>
        <v>#DIV/0!</v>
      </c>
      <c r="V10" s="45" t="e">
        <f>V11/V14*100</f>
        <v>#DIV/0!</v>
      </c>
      <c r="W10" s="45" t="e">
        <f>W11/W14*100</f>
        <v>#DIV/0!</v>
      </c>
      <c r="Y10" s="45" t="e">
        <f>Y11/Y14*100</f>
        <v>#DIV/0!</v>
      </c>
      <c r="Z10" s="45" t="e">
        <f>Z11/Z14*100</f>
        <v>#DIV/0!</v>
      </c>
      <c r="AA10" s="241"/>
      <c r="AB10" s="45" t="e">
        <f>AB11/AB14*100</f>
        <v>#DIV/0!</v>
      </c>
      <c r="AC10" s="45" t="e">
        <f>AC11/AC14*100</f>
        <v>#DIV/0!</v>
      </c>
      <c r="AD10" s="241"/>
      <c r="AE10" s="45" t="e">
        <f>AE11/AE14*100</f>
        <v>#DIV/0!</v>
      </c>
      <c r="AF10" s="45" t="e">
        <f>AF11/AF14*100</f>
        <v>#DIV/0!</v>
      </c>
      <c r="AH10" s="45" t="e">
        <f>AH11/AH14*100</f>
        <v>#DIV/0!</v>
      </c>
      <c r="AI10" s="45" t="e">
        <f>AI11/AI14*100</f>
        <v>#DIV/0!</v>
      </c>
      <c r="AJ10" s="241"/>
      <c r="AK10" s="45" t="e">
        <f>AK11/AK14*100</f>
        <v>#DIV/0!</v>
      </c>
      <c r="AL10" s="45" t="e">
        <f>AL11/AL14*100</f>
        <v>#DIV/0!</v>
      </c>
      <c r="AM10" s="241"/>
      <c r="AN10" s="45" t="e">
        <f>AN11/AN14*100</f>
        <v>#DIV/0!</v>
      </c>
      <c r="AO10" s="45" t="e">
        <f>AO11/AO14*100</f>
        <v>#DIV/0!</v>
      </c>
      <c r="AQ10" s="45" t="e">
        <f>AQ11/AQ14*100</f>
        <v>#DIV/0!</v>
      </c>
      <c r="AR10" s="45" t="e">
        <f>AR11/AR14*100</f>
        <v>#DIV/0!</v>
      </c>
      <c r="AS10" s="241"/>
      <c r="AT10" s="45" t="e">
        <f>AT11/AT14*100</f>
        <v>#DIV/0!</v>
      </c>
      <c r="AU10" s="45" t="e">
        <f>AU11/AU14*100</f>
        <v>#DIV/0!</v>
      </c>
      <c r="AW10" s="45" t="e">
        <f>AW11/AW14*100</f>
        <v>#DIV/0!</v>
      </c>
      <c r="AX10" s="45" t="e">
        <f>AX11/AX14*100</f>
        <v>#DIV/0!</v>
      </c>
      <c r="AY10" s="241"/>
      <c r="AZ10" s="45" t="e">
        <f>AZ11/AZ14*100</f>
        <v>#DIV/0!</v>
      </c>
      <c r="BA10" s="45" t="e">
        <f>BA11/BA14*100</f>
        <v>#DIV/0!</v>
      </c>
      <c r="BC10" s="45" t="e">
        <f>BC11/BC14*100</f>
        <v>#DIV/0!</v>
      </c>
      <c r="BD10" s="45" t="e">
        <f>BD11/BD14*100</f>
        <v>#DIV/0!</v>
      </c>
      <c r="BE10" s="241"/>
      <c r="BF10" s="45" t="e">
        <f>BF11/BF14*100</f>
        <v>#DIV/0!</v>
      </c>
      <c r="BG10" s="45" t="e">
        <f>BG11/BG14*100</f>
        <v>#DIV/0!</v>
      </c>
      <c r="BH10" s="241"/>
      <c r="BI10" s="45" t="e">
        <f>BI11/BI14*100</f>
        <v>#DIV/0!</v>
      </c>
      <c r="BJ10" s="45" t="e">
        <f>BJ11/BJ14*100</f>
        <v>#DIV/0!</v>
      </c>
      <c r="BL10" s="45" t="e">
        <f>BL11/BL14*100</f>
        <v>#DIV/0!</v>
      </c>
      <c r="BM10" s="45" t="e">
        <f>BM11/BM14*100</f>
        <v>#DIV/0!</v>
      </c>
      <c r="BN10" s="241"/>
      <c r="BO10" s="45" t="e">
        <f>BO11/BO14*100</f>
        <v>#DIV/0!</v>
      </c>
      <c r="BP10" s="45" t="e">
        <f>BP11/BP14*100</f>
        <v>#DIV/0!</v>
      </c>
      <c r="BQ10" s="241"/>
      <c r="BR10" s="45" t="e">
        <f>BR11/BR14*100</f>
        <v>#DIV/0!</v>
      </c>
      <c r="BS10" s="45" t="e">
        <f>BS11/BS14*100</f>
        <v>#DIV/0!</v>
      </c>
      <c r="BU10" s="45" t="e">
        <f>BU11/BU14*100</f>
        <v>#DIV/0!</v>
      </c>
      <c r="BV10" s="45" t="e">
        <f>BV11/BV14*100</f>
        <v>#DIV/0!</v>
      </c>
      <c r="BW10" s="241"/>
      <c r="BX10" s="45" t="e">
        <f>BX11/BX14*100</f>
        <v>#DIV/0!</v>
      </c>
      <c r="BY10" s="45" t="e">
        <f>BY11/BY14*100</f>
        <v>#DIV/0!</v>
      </c>
      <c r="BZ10" s="241"/>
      <c r="CA10" s="45" t="e">
        <f>CA11/CA14*100</f>
        <v>#DIV/0!</v>
      </c>
      <c r="CB10" s="45" t="e">
        <f>CB11/CB14*100</f>
        <v>#DIV/0!</v>
      </c>
      <c r="CD10" s="45" t="e">
        <f>CD11/CD14*100</f>
        <v>#DIV/0!</v>
      </c>
      <c r="CE10" s="45" t="e">
        <f>CE11/CE14*100</f>
        <v>#DIV/0!</v>
      </c>
      <c r="CF10" s="241"/>
      <c r="CG10" s="45" t="e">
        <f>CG11/CG14*100</f>
        <v>#DIV/0!</v>
      </c>
      <c r="CH10" s="45" t="e">
        <f>CH11/CH14*100</f>
        <v>#DIV/0!</v>
      </c>
      <c r="CI10" s="241"/>
      <c r="CJ10" s="45" t="e">
        <f>CJ11/CJ14*100</f>
        <v>#DIV/0!</v>
      </c>
      <c r="CK10" s="45" t="e">
        <f>CK11/CK14*100</f>
        <v>#DIV/0!</v>
      </c>
      <c r="CM10" s="45" t="e">
        <f>CM11/CM14*100</f>
        <v>#DIV/0!</v>
      </c>
      <c r="CN10" s="45" t="e">
        <f>CN11/CN14*100</f>
        <v>#DIV/0!</v>
      </c>
      <c r="CP10" s="45" t="e">
        <f>CP11/CP14*100</f>
        <v>#DIV/0!</v>
      </c>
      <c r="CQ10" s="45" t="e">
        <f>CQ11/CQ14*100</f>
        <v>#DIV/0!</v>
      </c>
      <c r="CS10" s="45" t="e">
        <f>CS11/CS14*100</f>
        <v>#DIV/0!</v>
      </c>
      <c r="CT10" s="45" t="e">
        <f>CT11/CT14*100</f>
        <v>#DIV/0!</v>
      </c>
      <c r="CV10" s="45" t="e">
        <f>CV11/CV14*100</f>
        <v>#DIV/0!</v>
      </c>
      <c r="CW10" s="45" t="e">
        <f>CW11/CW14*100</f>
        <v>#DIV/0!</v>
      </c>
      <c r="CY10" s="45" t="e">
        <f>CY11/CY14*100</f>
        <v>#DIV/0!</v>
      </c>
      <c r="CZ10" s="45" t="e">
        <f>CZ11/CZ14*100</f>
        <v>#DIV/0!</v>
      </c>
      <c r="DB10" s="45" t="e">
        <f>DB11/DB14*100</f>
        <v>#DIV/0!</v>
      </c>
      <c r="DC10" s="45" t="e">
        <f>DC11/DC14*100</f>
        <v>#DIV/0!</v>
      </c>
      <c r="DE10" s="45" t="e">
        <f>DE11/DE14*100</f>
        <v>#DIV/0!</v>
      </c>
      <c r="DF10" s="45" t="e">
        <f>DF11/DF14*100</f>
        <v>#DIV/0!</v>
      </c>
    </row>
    <row r="11" spans="1:110" ht="60" x14ac:dyDescent="0.25">
      <c r="A11" s="247"/>
      <c r="B11" s="248" t="s">
        <v>325</v>
      </c>
      <c r="C11" s="6" t="s">
        <v>2043</v>
      </c>
      <c r="D11" s="6" t="s">
        <v>950</v>
      </c>
      <c r="E11" s="6"/>
      <c r="F11" s="6"/>
      <c r="G11" s="6"/>
      <c r="H11" s="35">
        <v>5927</v>
      </c>
      <c r="I11" s="35">
        <f>5717+15</f>
        <v>5732</v>
      </c>
      <c r="J11" s="35">
        <f>5602+54</f>
        <v>5656</v>
      </c>
      <c r="K11" s="35">
        <f>K12+K13</f>
        <v>5615</v>
      </c>
      <c r="L11" s="35">
        <f>L12+L13</f>
        <v>0</v>
      </c>
      <c r="M11" s="36"/>
      <c r="N11" s="35">
        <f>N12+N13</f>
        <v>5615</v>
      </c>
      <c r="O11" s="35">
        <f>O12+O13</f>
        <v>0</v>
      </c>
      <c r="P11" s="35">
        <f>P12+P13</f>
        <v>0</v>
      </c>
      <c r="Q11" s="35">
        <f>Q12+Q13</f>
        <v>0</v>
      </c>
      <c r="S11" s="35">
        <f>S12+S13</f>
        <v>339</v>
      </c>
      <c r="T11" s="35">
        <f>T12+T13</f>
        <v>0</v>
      </c>
      <c r="V11" s="35">
        <f>V12+V13</f>
        <v>414</v>
      </c>
      <c r="W11" s="35">
        <f>W12+W13</f>
        <v>0</v>
      </c>
      <c r="Y11" s="35">
        <f>Y12+Y13</f>
        <v>1270</v>
      </c>
      <c r="Z11" s="35">
        <f>Z12+Z13</f>
        <v>0</v>
      </c>
      <c r="AA11" s="241"/>
      <c r="AB11" s="35">
        <f>AB12+AB13</f>
        <v>0</v>
      </c>
      <c r="AC11" s="35">
        <f>AC12+AC13</f>
        <v>0</v>
      </c>
      <c r="AD11" s="241"/>
      <c r="AE11" s="35">
        <f>AE12+AE13</f>
        <v>0</v>
      </c>
      <c r="AF11" s="35">
        <f>AF12+AF13</f>
        <v>0</v>
      </c>
      <c r="AH11" s="35">
        <f>AH12+AH13</f>
        <v>0</v>
      </c>
      <c r="AI11" s="35">
        <f>AI12+AI13</f>
        <v>0</v>
      </c>
      <c r="AJ11" s="241"/>
      <c r="AK11" s="35">
        <f>AK12+AK13</f>
        <v>168</v>
      </c>
      <c r="AL11" s="35">
        <f>AL12+AL13</f>
        <v>0</v>
      </c>
      <c r="AM11" s="241"/>
      <c r="AN11" s="35">
        <f>AN12+AN13</f>
        <v>0</v>
      </c>
      <c r="AO11" s="35">
        <f>AO12+AO13</f>
        <v>0</v>
      </c>
      <c r="AQ11" s="35">
        <f>AQ12+AQ13</f>
        <v>268</v>
      </c>
      <c r="AR11" s="35">
        <f>AR12+AR13</f>
        <v>0</v>
      </c>
      <c r="AS11" s="241"/>
      <c r="AT11" s="35">
        <f>AT12+AT13</f>
        <v>98</v>
      </c>
      <c r="AU11" s="35">
        <f>AU12+AU13</f>
        <v>0</v>
      </c>
      <c r="AW11" s="35">
        <f>AW12+AW13</f>
        <v>164</v>
      </c>
      <c r="AX11" s="35">
        <f>AX12+AX13</f>
        <v>0</v>
      </c>
      <c r="AZ11" s="35">
        <f>AZ12+AZ13</f>
        <v>652</v>
      </c>
      <c r="BA11" s="35">
        <f>BA12+BA13</f>
        <v>0</v>
      </c>
      <c r="BB11" s="241"/>
      <c r="BC11" s="35">
        <f>BC12+BC13</f>
        <v>0</v>
      </c>
      <c r="BD11" s="35">
        <f>BD12+BD13</f>
        <v>0</v>
      </c>
      <c r="BE11" s="241"/>
      <c r="BF11" s="35">
        <f>BF12+BF13</f>
        <v>463</v>
      </c>
      <c r="BG11" s="35">
        <f>BG12+BG13</f>
        <v>0</v>
      </c>
      <c r="BI11" s="35">
        <f>BI12+BI13</f>
        <v>267</v>
      </c>
      <c r="BJ11" s="35">
        <f>BJ12+BJ13</f>
        <v>0</v>
      </c>
      <c r="BK11" s="241"/>
      <c r="BL11" s="35">
        <f>BL12+BL13</f>
        <v>221</v>
      </c>
      <c r="BM11" s="35">
        <f>BM12+BM13</f>
        <v>0</v>
      </c>
      <c r="BN11" s="241"/>
      <c r="BO11" s="35">
        <f>BO12+BO13</f>
        <v>142</v>
      </c>
      <c r="BP11" s="35">
        <f>BP12+BP13</f>
        <v>0</v>
      </c>
      <c r="BR11" s="35">
        <f>BR12+BR13</f>
        <v>267</v>
      </c>
      <c r="BS11" s="35">
        <f>BS12+BS13</f>
        <v>0</v>
      </c>
      <c r="BT11" s="241"/>
      <c r="BU11" s="35">
        <f>BU12+BU13</f>
        <v>123</v>
      </c>
      <c r="BV11" s="35">
        <f>BV12+BV13</f>
        <v>0</v>
      </c>
      <c r="BW11" s="241"/>
      <c r="BX11" s="35">
        <f>BX12+BX13</f>
        <v>201</v>
      </c>
      <c r="BY11" s="35">
        <f>BY12+BY13</f>
        <v>0</v>
      </c>
      <c r="CA11" s="35">
        <f>CA12+CA13</f>
        <v>206</v>
      </c>
      <c r="CB11" s="35">
        <f>CB12+CB13</f>
        <v>0</v>
      </c>
      <c r="CC11" s="241"/>
      <c r="CD11" s="35">
        <f>CD12+CD13</f>
        <v>0</v>
      </c>
      <c r="CE11" s="35">
        <f>CE12+CE13</f>
        <v>0</v>
      </c>
      <c r="CF11" s="241"/>
      <c r="CG11" s="35">
        <f>CG12+CG13</f>
        <v>262</v>
      </c>
      <c r="CH11" s="35">
        <f>CH12+CH13</f>
        <v>0</v>
      </c>
      <c r="CJ11" s="35">
        <f>CJ12+CJ13</f>
        <v>0</v>
      </c>
      <c r="CK11" s="35">
        <f>CK12+CK13</f>
        <v>0</v>
      </c>
      <c r="CL11" s="241"/>
      <c r="CM11" s="35">
        <f>CM12+CM13</f>
        <v>0</v>
      </c>
      <c r="CN11" s="35">
        <f>CN12+CN13</f>
        <v>0</v>
      </c>
      <c r="CO11" s="241"/>
      <c r="CP11" s="35">
        <f>CP12+CP13</f>
        <v>0</v>
      </c>
      <c r="CQ11" s="35">
        <f>CQ12+CQ13</f>
        <v>0</v>
      </c>
      <c r="CS11" s="35">
        <f>CS12+CS13</f>
        <v>0</v>
      </c>
      <c r="CT11" s="35">
        <f>CT12+CT13</f>
        <v>0</v>
      </c>
      <c r="CU11" s="241"/>
      <c r="CV11" s="35">
        <f>CV12+CV13</f>
        <v>0</v>
      </c>
      <c r="CW11" s="35">
        <f>CW12+CW13</f>
        <v>0</v>
      </c>
      <c r="CX11" s="241"/>
      <c r="CY11" s="35">
        <f>CY12+CY13</f>
        <v>0</v>
      </c>
      <c r="CZ11" s="35">
        <f>CZ12+CZ13</f>
        <v>0</v>
      </c>
      <c r="DB11" s="35">
        <f>DB12+DB13</f>
        <v>0</v>
      </c>
      <c r="DC11" s="35">
        <f>DC12+DC13</f>
        <v>0</v>
      </c>
      <c r="DD11" s="241"/>
      <c r="DE11" s="35">
        <f>DE12+DE13</f>
        <v>90</v>
      </c>
      <c r="DF11" s="35">
        <f>DF12+DF13</f>
        <v>0</v>
      </c>
    </row>
    <row r="12" spans="1:110" s="241" customFormat="1" x14ac:dyDescent="0.25">
      <c r="A12" s="258"/>
      <c r="B12" s="259" t="s">
        <v>1182</v>
      </c>
      <c r="C12" s="6"/>
      <c r="D12" s="6"/>
      <c r="E12" s="6"/>
      <c r="F12" s="6"/>
      <c r="G12" s="6"/>
      <c r="H12" s="35"/>
      <c r="I12" s="35"/>
      <c r="J12" s="35"/>
      <c r="K12" s="35">
        <v>5525</v>
      </c>
      <c r="L12" s="35"/>
      <c r="M12" s="36"/>
      <c r="N12" s="241">
        <f>P12+S12+V12+Y12+AB12+AE12+AH12+AK12+AN12+AQ12+AW12+AZ12+BC12+BF12+BI12+BL12+BO12+BR12+BU12+BX12+CA12+CD12+CG12+CJ12+AT12+DE12+CS12+CV12+CY12+DB12</f>
        <v>5525</v>
      </c>
      <c r="O12" s="241">
        <f>Q12+T12+W12+Z12+AC12+AF12+AI12+AL12+AO12+AR12+AX12+BA12+BD12+BG12+BJ12+BM12+BP12+BS12+BV12+BY12+CB12+CE12+CH12+CK12+AU12+DF12+CT12+CW12+CZ12+DC12</f>
        <v>0</v>
      </c>
      <c r="P12" s="241">
        <v>0</v>
      </c>
      <c r="S12" s="241">
        <f>297+42</f>
        <v>339</v>
      </c>
      <c r="V12" s="241">
        <v>414</v>
      </c>
      <c r="Y12" s="241">
        <v>1270</v>
      </c>
      <c r="AB12" s="241">
        <v>0</v>
      </c>
      <c r="AE12" s="241">
        <v>0</v>
      </c>
      <c r="AH12" s="241">
        <v>0</v>
      </c>
      <c r="AK12" s="241">
        <v>168</v>
      </c>
      <c r="AN12" s="241">
        <v>0</v>
      </c>
      <c r="AQ12" s="241">
        <v>268</v>
      </c>
      <c r="AT12" s="241">
        <v>98</v>
      </c>
      <c r="AW12" s="241">
        <v>164</v>
      </c>
      <c r="AZ12" s="241">
        <v>652</v>
      </c>
      <c r="BC12" s="241">
        <v>0</v>
      </c>
      <c r="BF12" s="241">
        <v>463</v>
      </c>
      <c r="BI12" s="241">
        <v>267</v>
      </c>
      <c r="BL12" s="241">
        <v>221</v>
      </c>
      <c r="BO12" s="241">
        <v>142</v>
      </c>
      <c r="BR12" s="241">
        <v>267</v>
      </c>
      <c r="BU12" s="241">
        <v>123</v>
      </c>
      <c r="BX12" s="241">
        <v>201</v>
      </c>
      <c r="CA12" s="241">
        <v>206</v>
      </c>
      <c r="CD12" s="241">
        <v>0</v>
      </c>
      <c r="CG12" s="241">
        <v>262</v>
      </c>
      <c r="CJ12" s="241">
        <v>0</v>
      </c>
      <c r="CS12" s="241">
        <v>0</v>
      </c>
      <c r="CV12" s="241">
        <v>0</v>
      </c>
      <c r="CY12" s="241">
        <v>0</v>
      </c>
      <c r="DB12" s="241">
        <v>0</v>
      </c>
    </row>
    <row r="13" spans="1:110" s="241" customFormat="1" x14ac:dyDescent="0.25">
      <c r="A13" s="258"/>
      <c r="B13" s="259" t="s">
        <v>1184</v>
      </c>
      <c r="C13" s="6"/>
      <c r="D13" s="6"/>
      <c r="E13" s="6"/>
      <c r="F13" s="6"/>
      <c r="G13" s="6"/>
      <c r="H13" s="35"/>
      <c r="I13" s="35"/>
      <c r="J13" s="35"/>
      <c r="K13" s="35">
        <v>90</v>
      </c>
      <c r="L13" s="35"/>
      <c r="M13" s="36"/>
      <c r="N13" s="241">
        <f>P13+S13+V13+Y13+AB13+AE13+AH13+AK13+AN13+AQ13+AW13+AZ13+BC13+BF13+BI13+BL13+BO13+BR13+BU13+BX13+CA13+CD13+CG13+CJ13+AT13+DE13+CS13+CV13+CY13+DB13</f>
        <v>90</v>
      </c>
      <c r="O13" s="241">
        <f>Q13+T13+W13+Z13+AC13+AF13+AI13+AL13+AO13+AR13+AX13+BA13+BD13+BG13+BJ13+BM13+BP13+BS13+BV13+BY13+CB13+CE13+CH13+CK13+AU13+DF13+CT13+CW13+CZ13+DC13</f>
        <v>0</v>
      </c>
      <c r="DE13" s="241">
        <v>90</v>
      </c>
    </row>
    <row r="14" spans="1:110" ht="30" x14ac:dyDescent="0.25">
      <c r="A14" s="8"/>
      <c r="B14" s="16" t="s">
        <v>328</v>
      </c>
      <c r="C14" s="6" t="s">
        <v>134</v>
      </c>
      <c r="D14" s="6" t="s">
        <v>950</v>
      </c>
      <c r="E14" s="6"/>
      <c r="F14" s="6"/>
      <c r="G14" s="6"/>
      <c r="H14" s="35">
        <v>53962</v>
      </c>
      <c r="I14" s="35">
        <v>56635</v>
      </c>
      <c r="J14" s="35">
        <v>58954</v>
      </c>
      <c r="K14" s="35">
        <v>61535</v>
      </c>
      <c r="L14" s="35"/>
      <c r="N14" s="241">
        <f t="shared" ref="N14" si="0">P14+S14+V14+Y14+AB14+AE14+AH14+AK14+AN14+AQ14+AW14+AZ14+BC14+BF14+BI14+BL14+BO14+BR14+BU14+BX14+CA14+CD14+CG14+CJ14+AT14+DE14</f>
        <v>61535</v>
      </c>
      <c r="O14" s="241">
        <f t="shared" ref="O14" si="1">Q14+T14+W14+Z14+AC14+AF14+AI14+AL14+AO14+AR14+AX14+BA14+BD14+BG14+BJ14+BM14+BP14+BS14+BV14+BY14+CB14+CE14+CH14+CK14+AU14+DF14</f>
        <v>0</v>
      </c>
      <c r="P14">
        <v>61535</v>
      </c>
    </row>
    <row r="15" spans="1:110" ht="75" x14ac:dyDescent="0.25">
      <c r="A15" s="42" t="s">
        <v>329</v>
      </c>
      <c r="B15" s="46" t="s">
        <v>1723</v>
      </c>
      <c r="C15" s="44"/>
      <c r="D15" s="42" t="s">
        <v>8</v>
      </c>
      <c r="E15" s="45">
        <v>14.9</v>
      </c>
      <c r="F15" s="45">
        <v>22.46</v>
      </c>
      <c r="G15" s="45">
        <v>15.86</v>
      </c>
      <c r="H15" s="45">
        <v>28.18</v>
      </c>
      <c r="I15" s="45">
        <f>I16/I19*100</f>
        <v>17.948864676799118</v>
      </c>
      <c r="J15" s="45">
        <f>J16/J19*100</f>
        <v>19.581656028289927</v>
      </c>
      <c r="K15" s="45">
        <f>K16/K19*100</f>
        <v>17.196465883900256</v>
      </c>
      <c r="L15" s="45" t="e">
        <f>L16/L19*100</f>
        <v>#DIV/0!</v>
      </c>
      <c r="M15" s="3" t="s">
        <v>23</v>
      </c>
      <c r="N15" s="45">
        <f>N16/N19*100</f>
        <v>17.196465883900256</v>
      </c>
      <c r="O15" s="45" t="e">
        <f>O16/O19*100</f>
        <v>#DIV/0!</v>
      </c>
      <c r="P15" s="45">
        <f>P16/P19*100</f>
        <v>0.19410061412161517</v>
      </c>
      <c r="Q15" s="45" t="e">
        <f>Q16/Q19*100</f>
        <v>#DIV/0!</v>
      </c>
      <c r="S15" s="45" t="e">
        <f>S16/S19*100</f>
        <v>#DIV/0!</v>
      </c>
      <c r="T15" s="45" t="e">
        <f>T16/T19*100</f>
        <v>#DIV/0!</v>
      </c>
      <c r="V15" s="45" t="e">
        <f>V16/V19*100</f>
        <v>#DIV/0!</v>
      </c>
      <c r="W15" s="45" t="e">
        <f>W16/W19*100</f>
        <v>#DIV/0!</v>
      </c>
      <c r="Y15" s="45" t="e">
        <f>Y16/Y19*100</f>
        <v>#DIV/0!</v>
      </c>
      <c r="Z15" s="45" t="e">
        <f>Z16/Z19*100</f>
        <v>#DIV/0!</v>
      </c>
      <c r="AA15" s="241"/>
      <c r="AB15" s="45" t="e">
        <f>AB16/AB19*100</f>
        <v>#DIV/0!</v>
      </c>
      <c r="AC15" s="45" t="e">
        <f>AC16/AC19*100</f>
        <v>#DIV/0!</v>
      </c>
      <c r="AD15" s="241"/>
      <c r="AE15" s="45" t="e">
        <f>AE16/AE19*100</f>
        <v>#DIV/0!</v>
      </c>
      <c r="AF15" s="45" t="e">
        <f>AF16/AF19*100</f>
        <v>#DIV/0!</v>
      </c>
      <c r="AH15" s="45" t="e">
        <f>AH16/AH19*100</f>
        <v>#DIV/0!</v>
      </c>
      <c r="AI15" s="45" t="e">
        <f>AI16/AI19*100</f>
        <v>#DIV/0!</v>
      </c>
      <c r="AJ15" s="241"/>
      <c r="AK15" s="45" t="e">
        <f>AK16/AK19*100</f>
        <v>#DIV/0!</v>
      </c>
      <c r="AL15" s="45" t="e">
        <f>AL16/AL19*100</f>
        <v>#DIV/0!</v>
      </c>
      <c r="AM15" s="241"/>
      <c r="AN15" s="45" t="e">
        <f>AN16/AN19*100</f>
        <v>#DIV/0!</v>
      </c>
      <c r="AO15" s="45" t="e">
        <f>AO16/AO19*100</f>
        <v>#DIV/0!</v>
      </c>
      <c r="AQ15" s="45" t="e">
        <f>AQ16/AQ19*100</f>
        <v>#DIV/0!</v>
      </c>
      <c r="AR15" s="45" t="e">
        <f>AR16/AR19*100</f>
        <v>#DIV/0!</v>
      </c>
      <c r="AS15" s="241"/>
      <c r="AT15" s="45" t="e">
        <f>AT16/AT19*100</f>
        <v>#DIV/0!</v>
      </c>
      <c r="AU15" s="45" t="e">
        <f>AU16/AU19*100</f>
        <v>#DIV/0!</v>
      </c>
      <c r="AW15" s="45" t="e">
        <f>AW16/AW19*100</f>
        <v>#DIV/0!</v>
      </c>
      <c r="AX15" s="45" t="e">
        <f>AX16/AX19*100</f>
        <v>#DIV/0!</v>
      </c>
      <c r="AY15" s="241"/>
      <c r="AZ15" s="45" t="e">
        <f>AZ16/AZ19*100</f>
        <v>#DIV/0!</v>
      </c>
      <c r="BA15" s="45" t="e">
        <f>BA16/BA19*100</f>
        <v>#DIV/0!</v>
      </c>
      <c r="BC15" s="45" t="e">
        <f>BC16/BC19*100</f>
        <v>#DIV/0!</v>
      </c>
      <c r="BD15" s="45" t="e">
        <f>BD16/BD19*100</f>
        <v>#DIV/0!</v>
      </c>
      <c r="BE15" s="241"/>
      <c r="BF15" s="45" t="e">
        <f>BF16/BF19*100</f>
        <v>#DIV/0!</v>
      </c>
      <c r="BG15" s="45" t="e">
        <f>BG16/BG19*100</f>
        <v>#DIV/0!</v>
      </c>
      <c r="BH15" s="241"/>
      <c r="BI15" s="45" t="e">
        <f>BI16/BI19*100</f>
        <v>#DIV/0!</v>
      </c>
      <c r="BJ15" s="45" t="e">
        <f>BJ16/BJ19*100</f>
        <v>#DIV/0!</v>
      </c>
      <c r="BL15" s="45" t="e">
        <f>BL16/BL19*100</f>
        <v>#DIV/0!</v>
      </c>
      <c r="BM15" s="45" t="e">
        <f>BM16/BM19*100</f>
        <v>#DIV/0!</v>
      </c>
      <c r="BN15" s="241"/>
      <c r="BO15" s="45" t="e">
        <f>BO16/BO19*100</f>
        <v>#DIV/0!</v>
      </c>
      <c r="BP15" s="45" t="e">
        <f>BP16/BP19*100</f>
        <v>#DIV/0!</v>
      </c>
      <c r="BQ15" s="241"/>
      <c r="BR15" s="45" t="e">
        <f>BR16/BR19*100</f>
        <v>#DIV/0!</v>
      </c>
      <c r="BS15" s="45" t="e">
        <f>BS16/BS19*100</f>
        <v>#DIV/0!</v>
      </c>
      <c r="BU15" s="45" t="e">
        <f>BU16/BU19*100</f>
        <v>#DIV/0!</v>
      </c>
      <c r="BV15" s="45" t="e">
        <f>BV16/BV19*100</f>
        <v>#DIV/0!</v>
      </c>
      <c r="BW15" s="241"/>
      <c r="BX15" s="45" t="e">
        <f>BX16/BX19*100</f>
        <v>#DIV/0!</v>
      </c>
      <c r="BY15" s="45" t="e">
        <f>BY16/BY19*100</f>
        <v>#DIV/0!</v>
      </c>
      <c r="BZ15" s="241"/>
      <c r="CA15" s="45" t="e">
        <f>CA16/CA19*100</f>
        <v>#DIV/0!</v>
      </c>
      <c r="CB15" s="45" t="e">
        <f>CB16/CB19*100</f>
        <v>#DIV/0!</v>
      </c>
      <c r="CD15" s="45" t="e">
        <f>CD16/CD19*100</f>
        <v>#DIV/0!</v>
      </c>
      <c r="CE15" s="45" t="e">
        <f>CE16/CE19*100</f>
        <v>#DIV/0!</v>
      </c>
      <c r="CF15" s="241"/>
      <c r="CG15" s="45" t="e">
        <f>CG16/CG19*100</f>
        <v>#DIV/0!</v>
      </c>
      <c r="CH15" s="45" t="e">
        <f>CH16/CH19*100</f>
        <v>#DIV/0!</v>
      </c>
      <c r="CI15" s="241"/>
      <c r="CJ15" s="45" t="e">
        <f>CJ16/CJ19*100</f>
        <v>#DIV/0!</v>
      </c>
      <c r="CK15" s="45" t="e">
        <f>CK16/CK19*100</f>
        <v>#DIV/0!</v>
      </c>
      <c r="CM15" s="45" t="e">
        <f>CM16/CM19*100</f>
        <v>#DIV/0!</v>
      </c>
      <c r="CN15" s="45" t="e">
        <f>CN16/CN19*100</f>
        <v>#DIV/0!</v>
      </c>
      <c r="CP15" s="45" t="e">
        <f>CP16/CP19*100</f>
        <v>#DIV/0!</v>
      </c>
      <c r="CQ15" s="45" t="e">
        <f>CQ16/CQ19*100</f>
        <v>#DIV/0!</v>
      </c>
      <c r="CS15" s="45" t="e">
        <f>CS16/CS19*100</f>
        <v>#DIV/0!</v>
      </c>
      <c r="CT15" s="45" t="e">
        <f>CT16/CT19*100</f>
        <v>#DIV/0!</v>
      </c>
      <c r="CV15" s="45" t="e">
        <f>CV16/CV19*100</f>
        <v>#DIV/0!</v>
      </c>
      <c r="CW15" s="45" t="e">
        <f>CW16/CW19*100</f>
        <v>#DIV/0!</v>
      </c>
      <c r="CY15" s="45" t="e">
        <f>CY16/CY19*100</f>
        <v>#DIV/0!</v>
      </c>
      <c r="CZ15" s="45" t="e">
        <f>CZ16/CZ19*100</f>
        <v>#DIV/0!</v>
      </c>
      <c r="DB15" s="45" t="e">
        <f>DB16/DB19*100</f>
        <v>#DIV/0!</v>
      </c>
      <c r="DC15" s="45" t="e">
        <f>DC16/DC19*100</f>
        <v>#DIV/0!</v>
      </c>
      <c r="DE15" s="45" t="e">
        <f>DE16/DE19*100</f>
        <v>#DIV/0!</v>
      </c>
      <c r="DF15" s="45" t="e">
        <f>DF16/DF19*100</f>
        <v>#DIV/0!</v>
      </c>
    </row>
    <row r="16" spans="1:110" ht="45" x14ac:dyDescent="0.25">
      <c r="A16" s="8"/>
      <c r="B16" s="16" t="s">
        <v>330</v>
      </c>
      <c r="C16" s="6" t="s">
        <v>2044</v>
      </c>
      <c r="D16" s="6" t="s">
        <v>950</v>
      </c>
      <c r="E16" s="6"/>
      <c r="F16" s="6"/>
      <c r="G16" s="6"/>
      <c r="H16" s="35">
        <f>20257+414</f>
        <v>20671</v>
      </c>
      <c r="I16" s="35">
        <v>15683</v>
      </c>
      <c r="J16" s="35">
        <f>310+924+41+16334</f>
        <v>17609</v>
      </c>
      <c r="K16" s="35">
        <f>K17+K18</f>
        <v>16213</v>
      </c>
      <c r="L16" s="35">
        <f>L17+L18</f>
        <v>0</v>
      </c>
      <c r="N16" s="35">
        <f>N17+N18</f>
        <v>16213</v>
      </c>
      <c r="O16" s="35">
        <f>O17+O18</f>
        <v>0</v>
      </c>
      <c r="P16" s="35">
        <f>P17+P18</f>
        <v>183</v>
      </c>
      <c r="Q16" s="35">
        <f>Q17+Q18</f>
        <v>0</v>
      </c>
      <c r="S16" s="35">
        <f>S17+S18</f>
        <v>1534</v>
      </c>
      <c r="T16" s="35">
        <f>T17+T18</f>
        <v>0</v>
      </c>
      <c r="V16" s="35">
        <f>V17+V18</f>
        <v>739</v>
      </c>
      <c r="W16" s="35">
        <f>W17+W18</f>
        <v>0</v>
      </c>
      <c r="Y16" s="35">
        <f>Y17+Y18</f>
        <v>1360</v>
      </c>
      <c r="Z16" s="35">
        <f>Z17+Z18</f>
        <v>0</v>
      </c>
      <c r="AA16" s="241"/>
      <c r="AB16" s="35">
        <f>AB17+AB18</f>
        <v>326</v>
      </c>
      <c r="AC16" s="35">
        <f>AC17+AC18</f>
        <v>0</v>
      </c>
      <c r="AD16" s="241"/>
      <c r="AE16" s="35">
        <f>AE17+AE18</f>
        <v>210</v>
      </c>
      <c r="AF16" s="35">
        <f>AF17+AF18</f>
        <v>0</v>
      </c>
      <c r="AH16" s="35">
        <f>AH17+AH18</f>
        <v>164</v>
      </c>
      <c r="AI16" s="35">
        <f>AI17+AI18</f>
        <v>0</v>
      </c>
      <c r="AJ16" s="241"/>
      <c r="AK16" s="35">
        <f>AK17+AK18</f>
        <v>595</v>
      </c>
      <c r="AL16" s="35">
        <f>AL17+AL18</f>
        <v>0</v>
      </c>
      <c r="AM16" s="241"/>
      <c r="AN16" s="35">
        <f>AN17+AN18</f>
        <v>525</v>
      </c>
      <c r="AO16" s="35">
        <f>AO17+AO18</f>
        <v>0</v>
      </c>
      <c r="AQ16" s="35">
        <f>AQ17+AQ18</f>
        <v>527</v>
      </c>
      <c r="AR16" s="35">
        <f>AR17+AR18</f>
        <v>0</v>
      </c>
      <c r="AS16" s="241"/>
      <c r="AT16" s="35">
        <f>AT17+AT18</f>
        <v>132</v>
      </c>
      <c r="AU16" s="35">
        <f>AU17+AU18</f>
        <v>0</v>
      </c>
      <c r="AW16" s="35">
        <f>AW17+AW18</f>
        <v>353</v>
      </c>
      <c r="AX16" s="35">
        <f>AX17+AX18</f>
        <v>0</v>
      </c>
      <c r="AZ16" s="35">
        <f>AZ17+AZ18</f>
        <v>571</v>
      </c>
      <c r="BA16" s="35">
        <f>BA17+BA18</f>
        <v>0</v>
      </c>
      <c r="BB16" s="241"/>
      <c r="BC16" s="35">
        <f>BC17+BC18</f>
        <v>1672</v>
      </c>
      <c r="BD16" s="35">
        <f>BD17+BD18</f>
        <v>0</v>
      </c>
      <c r="BE16" s="241"/>
      <c r="BF16" s="35">
        <f>BF17+BF18</f>
        <v>847</v>
      </c>
      <c r="BG16" s="35">
        <f>BG17+BG18</f>
        <v>0</v>
      </c>
      <c r="BI16" s="35">
        <f>BI17+BI18</f>
        <v>523</v>
      </c>
      <c r="BJ16" s="35">
        <f>BJ17+BJ18</f>
        <v>0</v>
      </c>
      <c r="BK16" s="241"/>
      <c r="BL16" s="35">
        <f>BL17+BL18</f>
        <v>518</v>
      </c>
      <c r="BM16" s="35">
        <f>BM17+BM18</f>
        <v>0</v>
      </c>
      <c r="BN16" s="241"/>
      <c r="BO16" s="35">
        <f>BO17+BO18</f>
        <v>321</v>
      </c>
      <c r="BP16" s="35">
        <f>BP17+BP18</f>
        <v>0</v>
      </c>
      <c r="BR16" s="35">
        <f>BR17+BR18</f>
        <v>181</v>
      </c>
      <c r="BS16" s="35">
        <f>BS17+BS18</f>
        <v>0</v>
      </c>
      <c r="BT16" s="241"/>
      <c r="BU16" s="35">
        <f>BU17+BU18</f>
        <v>561</v>
      </c>
      <c r="BV16" s="35">
        <f>BV17+BV18</f>
        <v>0</v>
      </c>
      <c r="BW16" s="241"/>
      <c r="BX16" s="35">
        <f>BX17+BX18</f>
        <v>274</v>
      </c>
      <c r="BY16" s="35">
        <f>BY17+BY18</f>
        <v>0</v>
      </c>
      <c r="CA16" s="35">
        <f>CA17+CA18</f>
        <v>724</v>
      </c>
      <c r="CB16" s="35">
        <f>CB17+CB18</f>
        <v>0</v>
      </c>
      <c r="CC16" s="241"/>
      <c r="CD16" s="35">
        <f>CD17+CD18</f>
        <v>480</v>
      </c>
      <c r="CE16" s="35">
        <f>CE17+CE18</f>
        <v>0</v>
      </c>
      <c r="CF16" s="241"/>
      <c r="CG16" s="35">
        <f>CG17+CG18</f>
        <v>569</v>
      </c>
      <c r="CH16" s="35">
        <f>CH17+CH18</f>
        <v>0</v>
      </c>
      <c r="CJ16" s="35">
        <f>CJ17+CJ18</f>
        <v>577</v>
      </c>
      <c r="CK16" s="35">
        <f>CK17+CK18</f>
        <v>0</v>
      </c>
      <c r="CL16" s="241"/>
      <c r="CM16" s="35">
        <f>CM17+CM18</f>
        <v>0</v>
      </c>
      <c r="CN16" s="35">
        <f>CN17+CN18</f>
        <v>0</v>
      </c>
      <c r="CO16" s="241"/>
      <c r="CP16" s="35">
        <f>CP17+CP18</f>
        <v>0</v>
      </c>
      <c r="CQ16" s="35">
        <f>CQ17+CQ18</f>
        <v>0</v>
      </c>
      <c r="CS16" s="35">
        <f>CS17+CS18</f>
        <v>1403</v>
      </c>
      <c r="CT16" s="35">
        <f>CT17+CT18</f>
        <v>0</v>
      </c>
      <c r="CU16" s="241"/>
      <c r="CV16" s="35">
        <f>CV17+CV18</f>
        <v>928</v>
      </c>
      <c r="CW16" s="35">
        <f>CW17+CW18</f>
        <v>0</v>
      </c>
      <c r="CX16" s="241"/>
      <c r="CY16" s="35">
        <f>CY17+CY18</f>
        <v>1982</v>
      </c>
      <c r="CZ16" s="35">
        <f>CZ17+CZ18</f>
        <v>0</v>
      </c>
      <c r="DB16" s="35">
        <f>DB17+DB18</f>
        <v>770</v>
      </c>
      <c r="DC16" s="35">
        <f>DC17+DC18</f>
        <v>0</v>
      </c>
      <c r="DD16" s="241"/>
      <c r="DE16" s="35">
        <f>DE17+DE18</f>
        <v>1747</v>
      </c>
      <c r="DF16" s="35">
        <f>DF17+DF18</f>
        <v>0</v>
      </c>
    </row>
    <row r="17" spans="1:111" s="241" customFormat="1" x14ac:dyDescent="0.25">
      <c r="A17" s="8"/>
      <c r="B17" s="259" t="s">
        <v>1182</v>
      </c>
      <c r="C17" s="6"/>
      <c r="D17" s="6"/>
      <c r="E17" s="6"/>
      <c r="F17" s="6"/>
      <c r="G17" s="6"/>
      <c r="H17" s="35"/>
      <c r="I17" s="35"/>
      <c r="J17" s="35"/>
      <c r="K17" s="35">
        <v>14466</v>
      </c>
      <c r="L17" s="35"/>
      <c r="M17" s="241">
        <f>21822-CS17-CV17-CY17-DB17</f>
        <v>16739</v>
      </c>
      <c r="N17" s="241">
        <f t="shared" ref="N17:N18" si="2">P17+S17+V17+Y17+AB17+AE17+AH17+AK17+AN17+AQ17+AW17+AZ17+BC17+BF17+BI17+BL17+BO17+BR17+BU17+BX17+CA17+CD17+CG17+CJ17+AT17+DE17</f>
        <v>14466</v>
      </c>
      <c r="O17" s="241">
        <f t="shared" ref="O17:O18" si="3">Q17+T17+W17+Z17+AC17+AF17+AI17+AL17+AO17+AR17+AX17+BA17+BD17+BG17+BJ17+BM17+BP17+BS17+BV17+BY17+CB17+CE17+CH17+CK17+AU17+DF17</f>
        <v>0</v>
      </c>
      <c r="P17" s="241">
        <f>131+52</f>
        <v>183</v>
      </c>
      <c r="S17" s="241">
        <f>1298+236</f>
        <v>1534</v>
      </c>
      <c r="V17" s="241">
        <f>604+135</f>
        <v>739</v>
      </c>
      <c r="Y17" s="241">
        <v>1360</v>
      </c>
      <c r="AB17" s="241">
        <v>326</v>
      </c>
      <c r="AE17" s="241">
        <v>210</v>
      </c>
      <c r="AH17" s="241">
        <v>164</v>
      </c>
      <c r="AK17" s="241">
        <f>587+8</f>
        <v>595</v>
      </c>
      <c r="AN17" s="241">
        <v>525</v>
      </c>
      <c r="AQ17" s="241">
        <f>379+148</f>
        <v>527</v>
      </c>
      <c r="AT17" s="241">
        <v>132</v>
      </c>
      <c r="AW17" s="241">
        <f>301+52</f>
        <v>353</v>
      </c>
      <c r="AZ17" s="241">
        <f>396+175</f>
        <v>571</v>
      </c>
      <c r="BC17" s="241">
        <f>1505+167</f>
        <v>1672</v>
      </c>
      <c r="BF17" s="241">
        <f>690+157</f>
        <v>847</v>
      </c>
      <c r="BI17" s="241">
        <f>472+51</f>
        <v>523</v>
      </c>
      <c r="BL17" s="241">
        <f>473+45</f>
        <v>518</v>
      </c>
      <c r="BO17" s="241">
        <f>320+1</f>
        <v>321</v>
      </c>
      <c r="BR17" s="241">
        <f>158+23</f>
        <v>181</v>
      </c>
      <c r="BU17" s="241">
        <f>472+89</f>
        <v>561</v>
      </c>
      <c r="BX17" s="241">
        <f>225+40+9</f>
        <v>274</v>
      </c>
      <c r="CA17" s="241">
        <f>527+47+150</f>
        <v>724</v>
      </c>
      <c r="CD17" s="241">
        <f>408+72</f>
        <v>480</v>
      </c>
      <c r="CG17" s="241">
        <f>422+121+26</f>
        <v>569</v>
      </c>
      <c r="CJ17" s="241">
        <f>409+168</f>
        <v>577</v>
      </c>
      <c r="CS17" s="241">
        <f>904+499</f>
        <v>1403</v>
      </c>
      <c r="CV17" s="241">
        <f>708+220</f>
        <v>928</v>
      </c>
      <c r="CY17" s="241">
        <f>1562+420</f>
        <v>1982</v>
      </c>
      <c r="DB17" s="241">
        <f>499+271</f>
        <v>770</v>
      </c>
    </row>
    <row r="18" spans="1:111" s="241" customFormat="1" x14ac:dyDescent="0.25">
      <c r="A18" s="8"/>
      <c r="B18" s="259" t="s">
        <v>1184</v>
      </c>
      <c r="C18" s="6"/>
      <c r="D18" s="6"/>
      <c r="E18" s="6"/>
      <c r="F18" s="6"/>
      <c r="G18" s="6"/>
      <c r="H18" s="35"/>
      <c r="I18" s="35"/>
      <c r="J18" s="35"/>
      <c r="K18" s="35">
        <v>1747</v>
      </c>
      <c r="L18" s="35"/>
      <c r="N18" s="241">
        <f t="shared" si="2"/>
        <v>1747</v>
      </c>
      <c r="O18" s="241">
        <f t="shared" si="3"/>
        <v>0</v>
      </c>
      <c r="DE18" s="241">
        <v>1747</v>
      </c>
    </row>
    <row r="19" spans="1:111" ht="30" x14ac:dyDescent="0.25">
      <c r="A19" s="8"/>
      <c r="B19" s="16" t="s">
        <v>332</v>
      </c>
      <c r="C19" s="6" t="s">
        <v>134</v>
      </c>
      <c r="D19" s="6" t="s">
        <v>950</v>
      </c>
      <c r="E19" s="6"/>
      <c r="F19" s="6"/>
      <c r="G19" s="6"/>
      <c r="H19" s="35">
        <v>84130</v>
      </c>
      <c r="I19" s="35">
        <v>87376</v>
      </c>
      <c r="J19" s="35">
        <v>89926</v>
      </c>
      <c r="K19" s="35">
        <v>94281</v>
      </c>
      <c r="L19" s="35"/>
      <c r="N19" s="241">
        <f t="shared" ref="N19" si="4">P19+S19+V19+Y19+AB19+AE19+AH19+AK19+AN19+AQ19+AW19+AZ19+BC19+BF19+BI19+BL19+BO19+BR19+BU19+BX19+CA19+CD19+CG19+CJ19+AT19+DE19</f>
        <v>94281</v>
      </c>
      <c r="O19" s="241">
        <f t="shared" ref="O19" si="5">Q19+T19+W19+Z19+AC19+AF19+AI19+AL19+AO19+AR19+AX19+BA19+BD19+BG19+BJ19+BM19+BP19+BS19+BV19+BY19+CB19+CE19+CH19+CK19+AU19+DF19</f>
        <v>0</v>
      </c>
      <c r="P19">
        <v>94281</v>
      </c>
    </row>
    <row r="20" spans="1:111" ht="45" x14ac:dyDescent="0.25">
      <c r="A20" s="42" t="s">
        <v>1451</v>
      </c>
      <c r="B20" s="43" t="s">
        <v>2720</v>
      </c>
      <c r="C20" s="44"/>
      <c r="D20" s="42" t="s">
        <v>1112</v>
      </c>
      <c r="E20" s="45" t="e">
        <f>E21/E22</f>
        <v>#DIV/0!</v>
      </c>
      <c r="F20" s="45" t="e">
        <f>F21/F22</f>
        <v>#DIV/0!</v>
      </c>
      <c r="G20" s="45" t="e">
        <f>G21/G22</f>
        <v>#DIV/0!</v>
      </c>
      <c r="H20" s="45" t="e">
        <f>H21/H22</f>
        <v>#DIV/0!</v>
      </c>
      <c r="I20" s="45">
        <f>I21/I22*100</f>
        <v>254.61058045554742</v>
      </c>
      <c r="J20" s="45">
        <f>J21/J22*100</f>
        <v>295.82875960482988</v>
      </c>
      <c r="K20" s="45">
        <f>K21/K22*100</f>
        <v>302.62401838728215</v>
      </c>
      <c r="L20" s="45" t="e">
        <f>L21/L22*100</f>
        <v>#DIV/0!</v>
      </c>
      <c r="N20" s="45">
        <f>N21/N22*100</f>
        <v>302.62401838728215</v>
      </c>
      <c r="O20" s="45" t="e">
        <f>O21/O22*100</f>
        <v>#DIV/0!</v>
      </c>
      <c r="P20" s="45">
        <f>P21/P22*100</f>
        <v>100</v>
      </c>
      <c r="Q20" s="45" t="e">
        <f>Q21/Q22*100</f>
        <v>#DIV/0!</v>
      </c>
      <c r="S20" s="45">
        <f>S21/S22*100</f>
        <v>202.99999999999997</v>
      </c>
      <c r="T20" s="45" t="e">
        <f>T21/T22*100</f>
        <v>#DIV/0!</v>
      </c>
      <c r="V20" s="45">
        <f>V21/V22*100</f>
        <v>191.63636363636363</v>
      </c>
      <c r="W20" s="45" t="e">
        <f>W21/W22*100</f>
        <v>#DIV/0!</v>
      </c>
      <c r="Y20" s="45">
        <f>Y21/Y22*100</f>
        <v>407.90067720090298</v>
      </c>
      <c r="Z20" s="45" t="e">
        <f>Z21/Z22*100</f>
        <v>#DIV/0!</v>
      </c>
      <c r="AA20" s="241"/>
      <c r="AB20" s="45">
        <f>AB21/AB22*100</f>
        <v>265.90909090909093</v>
      </c>
      <c r="AC20" s="45" t="e">
        <f>AC21/AC22*100</f>
        <v>#DIV/0!</v>
      </c>
      <c r="AD20" s="241"/>
      <c r="AE20" s="45">
        <f>AE21/AE22*100</f>
        <v>285.18518518518516</v>
      </c>
      <c r="AF20" s="45" t="e">
        <f>AF21/AF22*100</f>
        <v>#DIV/0!</v>
      </c>
      <c r="AH20" s="45">
        <f>AH21/AH22*100</f>
        <v>150</v>
      </c>
      <c r="AI20" s="45" t="e">
        <f>AI21/AI22*100</f>
        <v>#DIV/0!</v>
      </c>
      <c r="AJ20" s="241"/>
      <c r="AK20" s="45">
        <f>AK21/AK22*100</f>
        <v>281.5</v>
      </c>
      <c r="AL20" s="45" t="e">
        <f>AL21/AL22*100</f>
        <v>#DIV/0!</v>
      </c>
      <c r="AM20" s="241"/>
      <c r="AN20" s="45">
        <f>AN21/AN22*100</f>
        <v>453.33333333333331</v>
      </c>
      <c r="AO20" s="45" t="e">
        <f>AO21/AO22*100</f>
        <v>#DIV/0!</v>
      </c>
      <c r="AQ20" s="45">
        <f>AQ21/AQ22*100</f>
        <v>206.99999999999997</v>
      </c>
      <c r="AR20" s="45" t="e">
        <f>AR21/AR22*100</f>
        <v>#DIV/0!</v>
      </c>
      <c r="AS20" s="241"/>
      <c r="AT20" s="45">
        <f>AT21/AT22*100</f>
        <v>103.89610389610388</v>
      </c>
      <c r="AU20" s="45" t="e">
        <f>AU21/AU22*100</f>
        <v>#DIV/0!</v>
      </c>
      <c r="AW20" s="45">
        <f>AW21/AW22*100</f>
        <v>167.1641791044776</v>
      </c>
      <c r="AX20" s="45" t="e">
        <f>AX21/AX22*100</f>
        <v>#DIV/0!</v>
      </c>
      <c r="AY20" s="241"/>
      <c r="AZ20" s="45">
        <f>AZ21/AZ22*100</f>
        <v>219.20529801324503</v>
      </c>
      <c r="BA20" s="45" t="e">
        <f>BA21/BA22*100</f>
        <v>#DIV/0!</v>
      </c>
      <c r="BC20" s="45">
        <f>BC21/BC22*100</f>
        <v>724.48275862068965</v>
      </c>
      <c r="BD20" s="45" t="e">
        <f>BD21/BD22*100</f>
        <v>#DIV/0!</v>
      </c>
      <c r="BE20" s="241"/>
      <c r="BF20" s="45">
        <f>BF21/BF22*100</f>
        <v>206.99999999999997</v>
      </c>
      <c r="BG20" s="45" t="e">
        <f>BG21/BG22*100</f>
        <v>#DIV/0!</v>
      </c>
      <c r="BH20" s="241"/>
      <c r="BI20" s="45">
        <f>BI21/BI22*100</f>
        <v>180.88888888888889</v>
      </c>
      <c r="BJ20" s="45" t="e">
        <f>BJ21/BJ22*100</f>
        <v>#DIV/0!</v>
      </c>
      <c r="BL20" s="45">
        <f>BL21/BL22*100</f>
        <v>100</v>
      </c>
      <c r="BM20" s="45" t="e">
        <f>BM21/BM22*100</f>
        <v>#DIV/0!</v>
      </c>
      <c r="BN20" s="241"/>
      <c r="BO20" s="45">
        <f>BO21/BO22*100</f>
        <v>135.33333333333331</v>
      </c>
      <c r="BP20" s="45" t="e">
        <f>BP21/BP22*100</f>
        <v>#DIV/0!</v>
      </c>
      <c r="BQ20" s="241"/>
      <c r="BR20" s="45">
        <f>BR21/BR22*100</f>
        <v>123.56687898089172</v>
      </c>
      <c r="BS20" s="45" t="e">
        <f>BS21/BS22*100</f>
        <v>#DIV/0!</v>
      </c>
      <c r="BU20" s="45">
        <f>BU21/BU22*100</f>
        <v>410.85714285714283</v>
      </c>
      <c r="BV20" s="45" t="e">
        <f>BV21/BV22*100</f>
        <v>#DIV/0!</v>
      </c>
      <c r="BW20" s="241"/>
      <c r="BX20" s="45">
        <f>BX21/BX22*100</f>
        <v>127.89115646258504</v>
      </c>
      <c r="BY20" s="45" t="e">
        <f>BY21/BY22*100</f>
        <v>#DIV/0!</v>
      </c>
      <c r="BZ20" s="241"/>
      <c r="CA20" s="45">
        <f>CA21/CA22*100</f>
        <v>360.88888888888891</v>
      </c>
      <c r="CB20" s="45" t="e">
        <f>CB21/CB22*100</f>
        <v>#DIV/0!</v>
      </c>
      <c r="CD20" s="45">
        <f>CD21/CD22*100</f>
        <v>455.99999999999994</v>
      </c>
      <c r="CE20" s="45" t="e">
        <f>CE21/CE22*100</f>
        <v>#DIV/0!</v>
      </c>
      <c r="CF20" s="241"/>
      <c r="CG20" s="45">
        <f>CG21/CG22*100</f>
        <v>340.57142857142856</v>
      </c>
      <c r="CH20" s="45" t="e">
        <f>CH21/CH22*100</f>
        <v>#DIV/0!</v>
      </c>
      <c r="CI20" s="241"/>
      <c r="CJ20" s="45">
        <f>CJ21/CJ22*100</f>
        <v>814.28571428571422</v>
      </c>
      <c r="CK20" s="45" t="e">
        <f>CK21/CK22*100</f>
        <v>#DIV/0!</v>
      </c>
      <c r="CM20" s="45">
        <f>CM21/CM22*100</f>
        <v>100</v>
      </c>
      <c r="CN20" s="45" t="e">
        <f>CN21/CN22*100</f>
        <v>#DIV/0!</v>
      </c>
      <c r="CP20" s="45">
        <f>CP21/CP22*100</f>
        <v>100</v>
      </c>
      <c r="CQ20" s="45" t="e">
        <f>CQ21/CQ22*100</f>
        <v>#DIV/0!</v>
      </c>
      <c r="CS20" s="45">
        <f>CS21/CS22*100</f>
        <v>619.52380952380952</v>
      </c>
      <c r="CT20" s="45" t="e">
        <f>CT21/CT22*100</f>
        <v>#DIV/0!</v>
      </c>
      <c r="CV20" s="45">
        <f>CV21/CV22*100</f>
        <v>442.70270270270265</v>
      </c>
      <c r="CW20" s="45" t="e">
        <f>CW21/CW22*100</f>
        <v>#DIV/0!</v>
      </c>
      <c r="CY20" s="45">
        <f>CY21/CY22*100</f>
        <v>847.84810126582283</v>
      </c>
      <c r="CZ20" s="45" t="e">
        <f>CZ21/CZ22*100</f>
        <v>#DIV/0!</v>
      </c>
      <c r="DB20" s="45">
        <f>DB21/DB22*100</f>
        <v>202.10526315789474</v>
      </c>
      <c r="DC20" s="45" t="e">
        <f>DC21/DC22*100</f>
        <v>#DIV/0!</v>
      </c>
      <c r="DE20" s="45">
        <f>DE21/DE22*100</f>
        <v>378.66666666666669</v>
      </c>
      <c r="DF20" s="45" t="e">
        <f>DF21/DF22*100</f>
        <v>#DIV/0!</v>
      </c>
    </row>
    <row r="21" spans="1:111" ht="45" x14ac:dyDescent="0.25">
      <c r="A21" s="8"/>
      <c r="B21" s="16" t="s">
        <v>2721</v>
      </c>
      <c r="C21" s="6" t="s">
        <v>2038</v>
      </c>
      <c r="D21" s="6" t="s">
        <v>1112</v>
      </c>
      <c r="E21" s="6"/>
      <c r="F21" s="6"/>
      <c r="G21" s="6"/>
      <c r="H21" s="35"/>
      <c r="I21" s="35">
        <f>87+13774</f>
        <v>13861</v>
      </c>
      <c r="J21" s="35">
        <f>98+18592+137+41-2698</f>
        <v>16170</v>
      </c>
      <c r="K21" s="35">
        <v>15800</v>
      </c>
      <c r="L21" s="35"/>
      <c r="N21" s="241">
        <f>P21+S21+V21+Y21+AB21+AE21+AH21+AK21+AN21+AQ21+AW21+AZ21+BC21+BF21+BI21+BL21+BO21+BR21+BU21+BX21+CA21+CD21+CG21+CJ21+AT21+DE21</f>
        <v>15800</v>
      </c>
      <c r="O21" s="241">
        <f t="shared" ref="O21:O22" si="6">Q21+T21+W21+Z21+AC21+AF21+AI21+AL21+AO21+AR21+AX21+BA21+BD21+BG21+BJ21+BM21+BP21+BS21+BV21+BY21+CB21+CE21+CH21+CK21+AU21+DF21</f>
        <v>0</v>
      </c>
      <c r="P21">
        <v>40</v>
      </c>
      <c r="S21">
        <v>812</v>
      </c>
      <c r="V21">
        <v>527</v>
      </c>
      <c r="Y21">
        <v>3614</v>
      </c>
      <c r="AB21">
        <v>234</v>
      </c>
      <c r="AE21">
        <v>154</v>
      </c>
      <c r="AH21">
        <v>72</v>
      </c>
      <c r="AK21">
        <v>563</v>
      </c>
      <c r="AN21">
        <v>680</v>
      </c>
      <c r="AQ21">
        <v>414</v>
      </c>
      <c r="AT21" s="241">
        <v>80</v>
      </c>
      <c r="AW21">
        <v>336</v>
      </c>
      <c r="AZ21">
        <v>662</v>
      </c>
      <c r="BC21">
        <f>2076+25</f>
        <v>2101</v>
      </c>
      <c r="BF21">
        <v>621</v>
      </c>
      <c r="BI21">
        <v>407</v>
      </c>
      <c r="BL21">
        <v>176</v>
      </c>
      <c r="BO21">
        <v>203</v>
      </c>
      <c r="BR21">
        <v>194</v>
      </c>
      <c r="BU21">
        <v>719</v>
      </c>
      <c r="BX21">
        <v>188</v>
      </c>
      <c r="CA21">
        <v>812</v>
      </c>
      <c r="CD21">
        <v>456</v>
      </c>
      <c r="CG21">
        <v>596</v>
      </c>
      <c r="CJ21">
        <v>855</v>
      </c>
      <c r="CM21">
        <v>50</v>
      </c>
      <c r="CP21">
        <v>50</v>
      </c>
      <c r="CS21">
        <v>1301</v>
      </c>
      <c r="CV21">
        <v>819</v>
      </c>
      <c r="CY21">
        <v>3349</v>
      </c>
      <c r="DB21">
        <v>192</v>
      </c>
      <c r="DE21">
        <v>284</v>
      </c>
      <c r="DG21" s="241"/>
    </row>
    <row r="22" spans="1:111" ht="60" x14ac:dyDescent="0.25">
      <c r="A22" s="8"/>
      <c r="B22" s="16" t="s">
        <v>1452</v>
      </c>
      <c r="C22" s="6" t="s">
        <v>2039</v>
      </c>
      <c r="D22" s="6" t="s">
        <v>1112</v>
      </c>
      <c r="E22" s="6"/>
      <c r="F22" s="6"/>
      <c r="G22" s="6"/>
      <c r="H22" s="35"/>
      <c r="I22" s="35">
        <f>75+5369</f>
        <v>5444</v>
      </c>
      <c r="J22" s="35">
        <f>46+5370+25+25</f>
        <v>5466</v>
      </c>
      <c r="K22" s="35">
        <v>5221</v>
      </c>
      <c r="L22" s="35"/>
      <c r="N22" s="241">
        <f t="shared" ref="N22" si="7">P22+S22+V22+Y22+AB22+AE22+AH22+AK22+AN22+AQ22+AW22+AZ22+BC22+BF22+BI22+BL22+BO22+BR22+BU22+BX22+CA22+CD22+CG22+CJ22+AT22+DE22</f>
        <v>5221</v>
      </c>
      <c r="O22" s="241">
        <f t="shared" si="6"/>
        <v>0</v>
      </c>
      <c r="P22">
        <v>40</v>
      </c>
      <c r="S22">
        <v>400</v>
      </c>
      <c r="V22">
        <v>275</v>
      </c>
      <c r="Y22">
        <v>886</v>
      </c>
      <c r="AB22">
        <v>88</v>
      </c>
      <c r="AE22">
        <v>54</v>
      </c>
      <c r="AH22">
        <v>48</v>
      </c>
      <c r="AK22">
        <v>200</v>
      </c>
      <c r="AN22">
        <v>150</v>
      </c>
      <c r="AQ22">
        <v>200</v>
      </c>
      <c r="AT22" s="241">
        <v>77</v>
      </c>
      <c r="AW22">
        <v>201</v>
      </c>
      <c r="AZ22">
        <v>302</v>
      </c>
      <c r="BC22">
        <f>265+25</f>
        <v>290</v>
      </c>
      <c r="BF22">
        <v>300</v>
      </c>
      <c r="BI22">
        <v>225</v>
      </c>
      <c r="BL22">
        <v>176</v>
      </c>
      <c r="BO22">
        <v>150</v>
      </c>
      <c r="BR22">
        <v>157</v>
      </c>
      <c r="BU22">
        <v>175</v>
      </c>
      <c r="BX22">
        <v>147</v>
      </c>
      <c r="CA22">
        <v>225</v>
      </c>
      <c r="CD22">
        <v>100</v>
      </c>
      <c r="CG22">
        <v>175</v>
      </c>
      <c r="CJ22">
        <v>105</v>
      </c>
      <c r="CM22">
        <v>50</v>
      </c>
      <c r="CP22">
        <v>50</v>
      </c>
      <c r="CS22">
        <f>125+85</f>
        <v>210</v>
      </c>
      <c r="CV22">
        <f>65+120</f>
        <v>185</v>
      </c>
      <c r="CY22">
        <f>135+260</f>
        <v>395</v>
      </c>
      <c r="DB22">
        <v>95</v>
      </c>
      <c r="DE22">
        <v>75</v>
      </c>
      <c r="DG22" s="241"/>
    </row>
    <row r="23" spans="1:111" ht="45" x14ac:dyDescent="0.25">
      <c r="A23" s="47" t="s">
        <v>333</v>
      </c>
      <c r="B23" s="48" t="s">
        <v>334</v>
      </c>
      <c r="C23" s="44"/>
      <c r="D23" s="42"/>
      <c r="E23" s="49"/>
      <c r="F23" s="49"/>
      <c r="G23" s="49"/>
      <c r="H23" s="49"/>
      <c r="I23" s="49"/>
      <c r="J23" s="49"/>
      <c r="K23" s="49"/>
      <c r="L23" s="49"/>
    </row>
    <row r="24" spans="1:111" ht="90" x14ac:dyDescent="0.25">
      <c r="A24" s="42" t="s">
        <v>336</v>
      </c>
      <c r="B24" s="43" t="s">
        <v>335</v>
      </c>
      <c r="C24" s="44"/>
      <c r="D24" s="42" t="s">
        <v>8</v>
      </c>
      <c r="E24" s="45">
        <v>0.34</v>
      </c>
      <c r="F24" s="45">
        <f>F37/F33*100</f>
        <v>0</v>
      </c>
      <c r="G24" s="45">
        <v>0</v>
      </c>
      <c r="H24" s="45"/>
      <c r="I24" s="45"/>
      <c r="J24" s="45"/>
      <c r="K24" s="45"/>
      <c r="L24" s="45"/>
      <c r="M24" s="3" t="s">
        <v>135</v>
      </c>
    </row>
    <row r="25" spans="1:111" x14ac:dyDescent="0.25">
      <c r="A25" s="42"/>
      <c r="B25" s="46" t="s">
        <v>1724</v>
      </c>
      <c r="C25" s="44"/>
      <c r="D25" s="42" t="s">
        <v>8</v>
      </c>
      <c r="E25" s="45"/>
      <c r="F25" s="45"/>
      <c r="G25" s="45"/>
      <c r="H25" s="45"/>
      <c r="I25" s="45"/>
      <c r="J25" s="45"/>
      <c r="K25" s="45"/>
      <c r="L25" s="45"/>
      <c r="M25" s="3"/>
    </row>
    <row r="26" spans="1:111" x14ac:dyDescent="0.25">
      <c r="A26" s="42"/>
      <c r="B26" s="46" t="s">
        <v>1725</v>
      </c>
      <c r="C26" s="44"/>
      <c r="D26" s="42" t="s">
        <v>8</v>
      </c>
      <c r="E26" s="45"/>
      <c r="F26" s="45"/>
      <c r="G26" s="45"/>
      <c r="H26" s="45"/>
      <c r="I26" s="45">
        <f>I34/I41*100</f>
        <v>52.893455922120069</v>
      </c>
      <c r="J26" s="45">
        <f>J34/J41*100</f>
        <v>32.114467408585057</v>
      </c>
      <c r="K26" s="45">
        <f>K34/K41*100</f>
        <v>47.853962600178093</v>
      </c>
      <c r="L26" s="45" t="e">
        <f>L34/L41*100</f>
        <v>#DIV/0!</v>
      </c>
      <c r="M26" s="3"/>
      <c r="N26" s="45">
        <f>N34/N41*100</f>
        <v>47.853962600178093</v>
      </c>
      <c r="O26" s="45" t="e">
        <f>O34/O41*100</f>
        <v>#DIV/0!</v>
      </c>
      <c r="P26" s="45" t="e">
        <f>P34/P41*100</f>
        <v>#DIV/0!</v>
      </c>
      <c r="Q26" s="45" t="e">
        <f>Q34/Q41*100</f>
        <v>#DIV/0!</v>
      </c>
      <c r="S26" s="45">
        <f>S34/S41*100</f>
        <v>0</v>
      </c>
      <c r="T26" s="45" t="e">
        <f>T34/T41*100</f>
        <v>#DIV/0!</v>
      </c>
      <c r="V26" s="45">
        <f>V34/V41*100</f>
        <v>3.1400966183574881</v>
      </c>
      <c r="W26" s="45" t="e">
        <f>W34/W41*100</f>
        <v>#DIV/0!</v>
      </c>
      <c r="Y26" s="45">
        <f>Y34/Y41*100</f>
        <v>100</v>
      </c>
      <c r="Z26" s="45" t="e">
        <f>Z34/Z41*100</f>
        <v>#DIV/0!</v>
      </c>
      <c r="AA26" s="241"/>
      <c r="AB26" s="45" t="e">
        <f>AB34/AB41*100</f>
        <v>#DIV/0!</v>
      </c>
      <c r="AC26" s="45" t="e">
        <f>AC34/AC41*100</f>
        <v>#DIV/0!</v>
      </c>
      <c r="AD26" s="241"/>
      <c r="AE26" s="45" t="e">
        <f>AE34/AE41*100</f>
        <v>#DIV/0!</v>
      </c>
      <c r="AF26" s="45" t="e">
        <f>AF34/AF41*100</f>
        <v>#DIV/0!</v>
      </c>
      <c r="AH26" s="45" t="e">
        <f>AH34/AH41*100</f>
        <v>#DIV/0!</v>
      </c>
      <c r="AI26" s="45" t="e">
        <f>AI34/AI41*100</f>
        <v>#DIV/0!</v>
      </c>
      <c r="AJ26" s="241"/>
      <c r="AK26" s="45">
        <f>AK34/AK41*100</f>
        <v>0</v>
      </c>
      <c r="AL26" s="45" t="e">
        <f>AL34/AL41*100</f>
        <v>#DIV/0!</v>
      </c>
      <c r="AM26" s="241"/>
      <c r="AN26" s="45" t="e">
        <f>AN34/AN41*100</f>
        <v>#DIV/0!</v>
      </c>
      <c r="AO26" s="45" t="e">
        <f>AO34/AO41*100</f>
        <v>#DIV/0!</v>
      </c>
      <c r="AQ26" s="45">
        <f>AQ34/AQ41*100</f>
        <v>0</v>
      </c>
      <c r="AR26" s="45" t="e">
        <f>AR34/AR41*100</f>
        <v>#DIV/0!</v>
      </c>
      <c r="AS26" s="241"/>
      <c r="AT26" s="45">
        <f>AT34/AT41*100</f>
        <v>0</v>
      </c>
      <c r="AU26" s="45" t="e">
        <f>AU34/AU41*100</f>
        <v>#DIV/0!</v>
      </c>
      <c r="AW26" s="45">
        <f>AW34/AW41*100</f>
        <v>0</v>
      </c>
      <c r="AX26" s="45" t="e">
        <f>AX34/AX41*100</f>
        <v>#DIV/0!</v>
      </c>
      <c r="AZ26" s="45">
        <f>AZ34/AZ41*100</f>
        <v>100</v>
      </c>
      <c r="BA26" s="45" t="e">
        <f>BA34/BA41*100</f>
        <v>#DIV/0!</v>
      </c>
      <c r="BB26" s="241"/>
      <c r="BC26" s="45" t="e">
        <f>BC34/BC41*100</f>
        <v>#DIV/0!</v>
      </c>
      <c r="BD26" s="45" t="e">
        <f>BD34/BD41*100</f>
        <v>#DIV/0!</v>
      </c>
      <c r="BE26" s="241"/>
      <c r="BF26" s="45">
        <f>BF34/BF41*100</f>
        <v>0</v>
      </c>
      <c r="BG26" s="45" t="e">
        <f>BG34/BG41*100</f>
        <v>#DIV/0!</v>
      </c>
      <c r="BI26" s="45">
        <f>BI34/BI41*100</f>
        <v>53.183520599250933</v>
      </c>
      <c r="BJ26" s="45" t="e">
        <f>BJ34/BJ41*100</f>
        <v>#DIV/0!</v>
      </c>
      <c r="BK26" s="241"/>
      <c r="BL26" s="45">
        <f>BL34/BL41*100</f>
        <v>0</v>
      </c>
      <c r="BM26" s="45" t="e">
        <f>BM34/BM41*100</f>
        <v>#DIV/0!</v>
      </c>
      <c r="BN26" s="241"/>
      <c r="BO26" s="45">
        <f>BO34/BO41*100</f>
        <v>100</v>
      </c>
      <c r="BP26" s="45" t="e">
        <f>BP34/BP41*100</f>
        <v>#DIV/0!</v>
      </c>
      <c r="BR26" s="45">
        <f>BR34/BR41*100</f>
        <v>0</v>
      </c>
      <c r="BS26" s="45" t="e">
        <f>BS34/BS41*100</f>
        <v>#DIV/0!</v>
      </c>
      <c r="BT26" s="241"/>
      <c r="BU26" s="45">
        <f>BU34/BU41*100</f>
        <v>0</v>
      </c>
      <c r="BV26" s="45" t="e">
        <f>BV34/BV41*100</f>
        <v>#DIV/0!</v>
      </c>
      <c r="BW26" s="241"/>
      <c r="BX26" s="45">
        <f>BX34/BX41*100</f>
        <v>0</v>
      </c>
      <c r="BY26" s="45" t="e">
        <f>BY34/BY41*100</f>
        <v>#DIV/0!</v>
      </c>
      <c r="CA26" s="45">
        <f>CA34/CA41*100</f>
        <v>100</v>
      </c>
      <c r="CB26" s="45" t="e">
        <f>CB34/CB41*100</f>
        <v>#DIV/0!</v>
      </c>
      <c r="CC26" s="241"/>
      <c r="CD26" s="45" t="e">
        <f>CD34/CD41*100</f>
        <v>#DIV/0!</v>
      </c>
      <c r="CE26" s="45" t="e">
        <f>CE34/CE41*100</f>
        <v>#DIV/0!</v>
      </c>
      <c r="CF26" s="241"/>
      <c r="CG26" s="45">
        <f>CG34/CG41*100</f>
        <v>100</v>
      </c>
      <c r="CH26" s="45" t="e">
        <f>CH34/CH41*100</f>
        <v>#DIV/0!</v>
      </c>
      <c r="CJ26" s="45" t="e">
        <f>CJ34/CJ41*100</f>
        <v>#DIV/0!</v>
      </c>
      <c r="CK26" s="45" t="e">
        <f>CK34/CK41*100</f>
        <v>#DIV/0!</v>
      </c>
      <c r="CL26" s="241"/>
      <c r="CM26" s="45">
        <f>CM34/CM41*100</f>
        <v>0</v>
      </c>
      <c r="CN26" s="45" t="e">
        <f>CN34/CN41*100</f>
        <v>#DIV/0!</v>
      </c>
      <c r="CO26" s="241"/>
      <c r="CP26" s="45">
        <f>CP34/CP41*100</f>
        <v>0</v>
      </c>
      <c r="CQ26" s="45" t="e">
        <f>CQ34/CQ41*100</f>
        <v>#DIV/0!</v>
      </c>
      <c r="CS26" s="45" t="e">
        <f>CS34/CS41*100</f>
        <v>#DIV/0!</v>
      </c>
      <c r="CT26" s="45" t="e">
        <f>CT34/CT41*100</f>
        <v>#DIV/0!</v>
      </c>
      <c r="CU26" s="241"/>
      <c r="CV26" s="45" t="e">
        <f>CV34/CV41*100</f>
        <v>#DIV/0!</v>
      </c>
      <c r="CW26" s="45" t="e">
        <f>CW34/CW41*100</f>
        <v>#DIV/0!</v>
      </c>
      <c r="CX26" s="241"/>
      <c r="CY26" s="45" t="e">
        <f>CY34/CY41*100</f>
        <v>#DIV/0!</v>
      </c>
      <c r="CZ26" s="45" t="e">
        <f>CZ34/CZ41*100</f>
        <v>#DIV/0!</v>
      </c>
      <c r="DB26" s="45" t="e">
        <f>DB34/DB41*100</f>
        <v>#DIV/0!</v>
      </c>
      <c r="DC26" s="45" t="e">
        <f>DC34/DC41*100</f>
        <v>#DIV/0!</v>
      </c>
      <c r="DE26" s="45">
        <f>DE34/DE41*100</f>
        <v>0</v>
      </c>
      <c r="DF26" s="45" t="e">
        <f>DF34/DF41*100</f>
        <v>#DIV/0!</v>
      </c>
    </row>
    <row r="27" spans="1:111" x14ac:dyDescent="0.25">
      <c r="A27" s="42"/>
      <c r="B27" s="46" t="s">
        <v>1726</v>
      </c>
      <c r="C27" s="44"/>
      <c r="D27" s="42" t="s">
        <v>8</v>
      </c>
      <c r="E27" s="45"/>
      <c r="F27" s="45"/>
      <c r="G27" s="45"/>
      <c r="H27" s="45"/>
      <c r="I27" s="45">
        <f>I35/I41*100</f>
        <v>13.034072471606272</v>
      </c>
      <c r="J27" s="45">
        <f>J35/J41*100</f>
        <v>13.937466878643349</v>
      </c>
      <c r="K27" s="45">
        <f>K35/K41*100</f>
        <v>30.044523597506679</v>
      </c>
      <c r="L27" s="45" t="e">
        <f>L35/L41*100</f>
        <v>#DIV/0!</v>
      </c>
      <c r="M27" s="3"/>
      <c r="N27" s="45">
        <f>N35/N41*100</f>
        <v>30.044523597506679</v>
      </c>
      <c r="O27" s="45" t="e">
        <f>O35/O41*100</f>
        <v>#DIV/0!</v>
      </c>
      <c r="P27" s="45" t="e">
        <f>P35/P41*100</f>
        <v>#DIV/0!</v>
      </c>
      <c r="Q27" s="45" t="e">
        <f>Q35/Q41*100</f>
        <v>#DIV/0!</v>
      </c>
      <c r="S27" s="45">
        <f>S35/S41*100</f>
        <v>0</v>
      </c>
      <c r="T27" s="45" t="e">
        <f>T35/T41*100</f>
        <v>#DIV/0!</v>
      </c>
      <c r="V27" s="45">
        <f>V35/V41*100</f>
        <v>3.1400966183574881</v>
      </c>
      <c r="W27" s="45" t="e">
        <f>W35/W41*100</f>
        <v>#DIV/0!</v>
      </c>
      <c r="Y27" s="45">
        <f>Y35/Y41*100</f>
        <v>100</v>
      </c>
      <c r="Z27" s="45" t="e">
        <f>Z35/Z41*100</f>
        <v>#DIV/0!</v>
      </c>
      <c r="AA27" s="241"/>
      <c r="AB27" s="45" t="e">
        <f>AB35/AB41*100</f>
        <v>#DIV/0!</v>
      </c>
      <c r="AC27" s="45" t="e">
        <f>AC35/AC41*100</f>
        <v>#DIV/0!</v>
      </c>
      <c r="AD27" s="241"/>
      <c r="AE27" s="45" t="e">
        <f>AE35/AE41*100</f>
        <v>#DIV/0!</v>
      </c>
      <c r="AF27" s="45" t="e">
        <f>AF35/AF41*100</f>
        <v>#DIV/0!</v>
      </c>
      <c r="AH27" s="45" t="e">
        <f>AH35/AH41*100</f>
        <v>#DIV/0!</v>
      </c>
      <c r="AI27" s="45" t="e">
        <f>AI35/AI41*100</f>
        <v>#DIV/0!</v>
      </c>
      <c r="AJ27" s="241"/>
      <c r="AK27" s="45">
        <f>AK35/AK41*100</f>
        <v>0</v>
      </c>
      <c r="AL27" s="45" t="e">
        <f>AL35/AL41*100</f>
        <v>#DIV/0!</v>
      </c>
      <c r="AM27" s="241"/>
      <c r="AN27" s="45" t="e">
        <f>AN35/AN41*100</f>
        <v>#DIV/0!</v>
      </c>
      <c r="AO27" s="45" t="e">
        <f>AO35/AO41*100</f>
        <v>#DIV/0!</v>
      </c>
      <c r="AQ27" s="45">
        <f>AQ35/AQ41*100</f>
        <v>0</v>
      </c>
      <c r="AR27" s="45" t="e">
        <f>AR35/AR41*100</f>
        <v>#DIV/0!</v>
      </c>
      <c r="AS27" s="241"/>
      <c r="AT27" s="45">
        <f>AT35/AT41*100</f>
        <v>0</v>
      </c>
      <c r="AU27" s="45" t="e">
        <f>AU35/AU41*100</f>
        <v>#DIV/0!</v>
      </c>
      <c r="AW27" s="45">
        <f>AW35/AW41*100</f>
        <v>0</v>
      </c>
      <c r="AX27" s="45" t="e">
        <f>AX35/AX41*100</f>
        <v>#DIV/0!</v>
      </c>
      <c r="AZ27" s="45">
        <f>AZ35/AZ41*100</f>
        <v>0</v>
      </c>
      <c r="BA27" s="45" t="e">
        <f>BA35/BA41*100</f>
        <v>#DIV/0!</v>
      </c>
      <c r="BB27" s="241"/>
      <c r="BC27" s="45" t="e">
        <f>BC35/BC41*100</f>
        <v>#DIV/0!</v>
      </c>
      <c r="BD27" s="45" t="e">
        <f>BD35/BD41*100</f>
        <v>#DIV/0!</v>
      </c>
      <c r="BE27" s="241"/>
      <c r="BF27" s="45">
        <f>BF35/BF41*100</f>
        <v>0</v>
      </c>
      <c r="BG27" s="45" t="e">
        <f>BG35/BG41*100</f>
        <v>#DIV/0!</v>
      </c>
      <c r="BI27" s="45">
        <f>BI35/BI41*100</f>
        <v>53.183520599250933</v>
      </c>
      <c r="BJ27" s="45" t="e">
        <f>BJ35/BJ41*100</f>
        <v>#DIV/0!</v>
      </c>
      <c r="BK27" s="241"/>
      <c r="BL27" s="45">
        <f>BL35/BL41*100</f>
        <v>0</v>
      </c>
      <c r="BM27" s="45" t="e">
        <f>BM35/BM41*100</f>
        <v>#DIV/0!</v>
      </c>
      <c r="BN27" s="241"/>
      <c r="BO27" s="45">
        <f>BO35/BO41*100</f>
        <v>0</v>
      </c>
      <c r="BP27" s="45" t="e">
        <f>BP35/BP41*100</f>
        <v>#DIV/0!</v>
      </c>
      <c r="BR27" s="45">
        <f>BR35/BR41*100</f>
        <v>0</v>
      </c>
      <c r="BS27" s="45" t="e">
        <f>BS35/BS41*100</f>
        <v>#DIV/0!</v>
      </c>
      <c r="BT27" s="241"/>
      <c r="BU27" s="45">
        <f>BU35/BU41*100</f>
        <v>0</v>
      </c>
      <c r="BV27" s="45" t="e">
        <f>BV35/BV41*100</f>
        <v>#DIV/0!</v>
      </c>
      <c r="BW27" s="241"/>
      <c r="BX27" s="45">
        <f>BX35/BX41*100</f>
        <v>0</v>
      </c>
      <c r="BY27" s="45" t="e">
        <f>BY35/BY41*100</f>
        <v>#DIV/0!</v>
      </c>
      <c r="CA27" s="45">
        <f>CA35/CA41*100</f>
        <v>0</v>
      </c>
      <c r="CB27" s="45" t="e">
        <f>CB35/CB41*100</f>
        <v>#DIV/0!</v>
      </c>
      <c r="CC27" s="241"/>
      <c r="CD27" s="45" t="e">
        <f>CD35/CD41*100</f>
        <v>#DIV/0!</v>
      </c>
      <c r="CE27" s="45" t="e">
        <f>CE35/CE41*100</f>
        <v>#DIV/0!</v>
      </c>
      <c r="CF27" s="241"/>
      <c r="CG27" s="45">
        <f>CG35/CG41*100</f>
        <v>100</v>
      </c>
      <c r="CH27" s="45" t="e">
        <f>CH35/CH41*100</f>
        <v>#DIV/0!</v>
      </c>
      <c r="CJ27" s="45" t="e">
        <f>CJ35/CJ41*100</f>
        <v>#DIV/0!</v>
      </c>
      <c r="CK27" s="45" t="e">
        <f>CK35/CK41*100</f>
        <v>#DIV/0!</v>
      </c>
      <c r="CL27" s="241"/>
      <c r="CM27" s="45">
        <f>CM35/CM41*100</f>
        <v>0</v>
      </c>
      <c r="CN27" s="45" t="e">
        <f>CN35/CN41*100</f>
        <v>#DIV/0!</v>
      </c>
      <c r="CO27" s="241"/>
      <c r="CP27" s="45">
        <f>CP35/CP41*100</f>
        <v>0</v>
      </c>
      <c r="CQ27" s="45" t="e">
        <f>CQ35/CQ41*100</f>
        <v>#DIV/0!</v>
      </c>
      <c r="CS27" s="45" t="e">
        <f>CS35/CS41*100</f>
        <v>#DIV/0!</v>
      </c>
      <c r="CT27" s="45" t="e">
        <f>CT35/CT41*100</f>
        <v>#DIV/0!</v>
      </c>
      <c r="CU27" s="241"/>
      <c r="CV27" s="45" t="e">
        <f>CV35/CV41*100</f>
        <v>#DIV/0!</v>
      </c>
      <c r="CW27" s="45" t="e">
        <f>CW35/CW41*100</f>
        <v>#DIV/0!</v>
      </c>
      <c r="CX27" s="241"/>
      <c r="CY27" s="45" t="e">
        <f>CY35/CY41*100</f>
        <v>#DIV/0!</v>
      </c>
      <c r="CZ27" s="45" t="e">
        <f>CZ35/CZ41*100</f>
        <v>#DIV/0!</v>
      </c>
      <c r="DB27" s="45" t="e">
        <f>DB35/DB41*100</f>
        <v>#DIV/0!</v>
      </c>
      <c r="DC27" s="45" t="e">
        <f>DC35/DC41*100</f>
        <v>#DIV/0!</v>
      </c>
      <c r="DE27" s="45">
        <f>DE35/DE41*100</f>
        <v>0</v>
      </c>
      <c r="DF27" s="45" t="e">
        <f>DF35/DF41*100</f>
        <v>#DIV/0!</v>
      </c>
    </row>
    <row r="28" spans="1:111" x14ac:dyDescent="0.25">
      <c r="A28" s="212"/>
      <c r="B28" s="211" t="s">
        <v>2558</v>
      </c>
      <c r="C28" s="216"/>
      <c r="D28" s="212" t="s">
        <v>8</v>
      </c>
      <c r="E28" s="217"/>
      <c r="F28" s="217"/>
      <c r="G28" s="217"/>
      <c r="H28" s="217"/>
      <c r="I28" s="217">
        <f>I36/I41*100</f>
        <v>0</v>
      </c>
      <c r="J28" s="217">
        <f>J36/J41*100</f>
        <v>13.937466878643349</v>
      </c>
      <c r="K28" s="217">
        <f>K36/K41*100</f>
        <v>12.787177203918077</v>
      </c>
      <c r="L28" s="217" t="e">
        <f>L36/L41*100</f>
        <v>#DIV/0!</v>
      </c>
      <c r="M28" s="3"/>
      <c r="N28" s="217">
        <f>N36/N41*100</f>
        <v>12.787177203918077</v>
      </c>
      <c r="O28" s="217" t="e">
        <f>O36/O41*100</f>
        <v>#DIV/0!</v>
      </c>
      <c r="P28" s="217" t="e">
        <f>P36/P41*100</f>
        <v>#DIV/0!</v>
      </c>
      <c r="Q28" s="217" t="e">
        <f>Q36/Q41*100</f>
        <v>#DIV/0!</v>
      </c>
      <c r="S28" s="217">
        <f>S36/S41*100</f>
        <v>30.973451327433626</v>
      </c>
      <c r="T28" s="217" t="e">
        <f>T36/T41*100</f>
        <v>#DIV/0!</v>
      </c>
      <c r="V28" s="217">
        <f>V36/V41*100</f>
        <v>100</v>
      </c>
      <c r="W28" s="217" t="e">
        <f>W36/W41*100</f>
        <v>#DIV/0!</v>
      </c>
      <c r="Y28" s="217">
        <f>Y36/Y41*100</f>
        <v>8.2677165354330722</v>
      </c>
      <c r="Z28" s="217" t="e">
        <f>Z36/Z41*100</f>
        <v>#DIV/0!</v>
      </c>
      <c r="AA28" s="241"/>
      <c r="AB28" s="217" t="e">
        <f>AB36/AB41*100</f>
        <v>#DIV/0!</v>
      </c>
      <c r="AC28" s="217" t="e">
        <f>AC36/AC41*100</f>
        <v>#DIV/0!</v>
      </c>
      <c r="AD28" s="241"/>
      <c r="AE28" s="217" t="e">
        <f>AE36/AE41*100</f>
        <v>#DIV/0!</v>
      </c>
      <c r="AF28" s="217" t="e">
        <f>AF36/AF41*100</f>
        <v>#DIV/0!</v>
      </c>
      <c r="AH28" s="217" t="e">
        <f>AH36/AH41*100</f>
        <v>#DIV/0!</v>
      </c>
      <c r="AI28" s="217" t="e">
        <f>AI36/AI41*100</f>
        <v>#DIV/0!</v>
      </c>
      <c r="AJ28" s="241"/>
      <c r="AK28" s="217">
        <f>AK36/AK41*100</f>
        <v>43.452380952380956</v>
      </c>
      <c r="AL28" s="217" t="e">
        <f>AL36/AL41*100</f>
        <v>#DIV/0!</v>
      </c>
      <c r="AM28" s="241"/>
      <c r="AN28" s="217" t="e">
        <f>AN36/AN41*100</f>
        <v>#DIV/0!</v>
      </c>
      <c r="AO28" s="217" t="e">
        <f>AO36/AO41*100</f>
        <v>#DIV/0!</v>
      </c>
      <c r="AQ28" s="217">
        <f>AQ36/AQ41*100</f>
        <v>0</v>
      </c>
      <c r="AR28" s="217" t="e">
        <f>AR36/AR41*100</f>
        <v>#DIV/0!</v>
      </c>
      <c r="AS28" s="241"/>
      <c r="AT28" s="217">
        <f>AT36/AT41*100</f>
        <v>0</v>
      </c>
      <c r="AU28" s="217" t="e">
        <f>AU36/AU41*100</f>
        <v>#DIV/0!</v>
      </c>
      <c r="AW28" s="217">
        <f>AW36/AW41*100</f>
        <v>0</v>
      </c>
      <c r="AX28" s="217" t="e">
        <f>AX36/AX41*100</f>
        <v>#DIV/0!</v>
      </c>
      <c r="AZ28" s="217">
        <f>AZ36/AZ41*100</f>
        <v>0</v>
      </c>
      <c r="BA28" s="217" t="e">
        <f>BA36/BA41*100</f>
        <v>#DIV/0!</v>
      </c>
      <c r="BB28" s="241"/>
      <c r="BC28" s="217" t="e">
        <f>BC36/BC41*100</f>
        <v>#DIV/0!</v>
      </c>
      <c r="BD28" s="217" t="e">
        <f>BD36/BD41*100</f>
        <v>#DIV/0!</v>
      </c>
      <c r="BE28" s="241"/>
      <c r="BF28" s="217">
        <f>BF36/BF41*100</f>
        <v>0</v>
      </c>
      <c r="BG28" s="217" t="e">
        <f>BG36/BG41*100</f>
        <v>#DIV/0!</v>
      </c>
      <c r="BI28" s="217">
        <f>BI36/BI41*100</f>
        <v>0</v>
      </c>
      <c r="BJ28" s="217" t="e">
        <f>BJ36/BJ41*100</f>
        <v>#DIV/0!</v>
      </c>
      <c r="BK28" s="241"/>
      <c r="BL28" s="217">
        <f>BL36/BL41*100</f>
        <v>0</v>
      </c>
      <c r="BM28" s="217" t="e">
        <f>BM36/BM41*100</f>
        <v>#DIV/0!</v>
      </c>
      <c r="BN28" s="241"/>
      <c r="BO28" s="217">
        <f>BO36/BO41*100</f>
        <v>0</v>
      </c>
      <c r="BP28" s="217" t="e">
        <f>BP36/BP41*100</f>
        <v>#DIV/0!</v>
      </c>
      <c r="BR28" s="217">
        <f>BR36/BR41*100</f>
        <v>0</v>
      </c>
      <c r="BS28" s="217" t="e">
        <f>BS36/BS41*100</f>
        <v>#DIV/0!</v>
      </c>
      <c r="BT28" s="241"/>
      <c r="BU28" s="217">
        <f>BU36/BU41*100</f>
        <v>0</v>
      </c>
      <c r="BV28" s="217" t="e">
        <f>BV36/BV41*100</f>
        <v>#DIV/0!</v>
      </c>
      <c r="BW28" s="241"/>
      <c r="BX28" s="217">
        <f>BX36/BX41*100</f>
        <v>10.44776119402985</v>
      </c>
      <c r="BY28" s="217" t="e">
        <f>BY36/BY41*100</f>
        <v>#DIV/0!</v>
      </c>
      <c r="CA28" s="217">
        <f>CA36/CA41*100</f>
        <v>0</v>
      </c>
      <c r="CB28" s="217" t="e">
        <f>CB36/CB41*100</f>
        <v>#DIV/0!</v>
      </c>
      <c r="CC28" s="241"/>
      <c r="CD28" s="217" t="e">
        <f>CD36/CD41*100</f>
        <v>#DIV/0!</v>
      </c>
      <c r="CE28" s="217" t="e">
        <f>CE36/CE41*100</f>
        <v>#DIV/0!</v>
      </c>
      <c r="CF28" s="241"/>
      <c r="CG28" s="217">
        <f>CG36/CG41*100</f>
        <v>0</v>
      </c>
      <c r="CH28" s="217" t="e">
        <f>CH36/CH41*100</f>
        <v>#DIV/0!</v>
      </c>
      <c r="CJ28" s="217" t="e">
        <f>CJ36/CJ41*100</f>
        <v>#DIV/0!</v>
      </c>
      <c r="CK28" s="217" t="e">
        <f>CK36/CK41*100</f>
        <v>#DIV/0!</v>
      </c>
      <c r="CL28" s="241"/>
      <c r="CM28" s="217">
        <f>CM36/CM41*100</f>
        <v>0</v>
      </c>
      <c r="CN28" s="217" t="e">
        <f>CN36/CN41*100</f>
        <v>#DIV/0!</v>
      </c>
      <c r="CO28" s="241"/>
      <c r="CP28" s="217">
        <f>CP36/CP41*100</f>
        <v>0</v>
      </c>
      <c r="CQ28" s="217" t="e">
        <f>CQ36/CQ41*100</f>
        <v>#DIV/0!</v>
      </c>
      <c r="CS28" s="217" t="e">
        <f>CS36/CS41*100</f>
        <v>#DIV/0!</v>
      </c>
      <c r="CT28" s="217" t="e">
        <f>CT36/CT41*100</f>
        <v>#DIV/0!</v>
      </c>
      <c r="CU28" s="241"/>
      <c r="CV28" s="217" t="e">
        <f>CV36/CV41*100</f>
        <v>#DIV/0!</v>
      </c>
      <c r="CW28" s="217" t="e">
        <f>CW36/CW41*100</f>
        <v>#DIV/0!</v>
      </c>
      <c r="CX28" s="241"/>
      <c r="CY28" s="217" t="e">
        <f>CY36/CY41*100</f>
        <v>#DIV/0!</v>
      </c>
      <c r="CZ28" s="217" t="e">
        <f>CZ36/CZ41*100</f>
        <v>#DIV/0!</v>
      </c>
      <c r="DB28" s="217" t="e">
        <f>DB36/DB41*100</f>
        <v>#DIV/0!</v>
      </c>
      <c r="DC28" s="217" t="e">
        <f>DC36/DC41*100</f>
        <v>#DIV/0!</v>
      </c>
      <c r="DE28" s="217">
        <f>DE36/DE41*100</f>
        <v>0</v>
      </c>
      <c r="DF28" s="217" t="e">
        <f>DF36/DF41*100</f>
        <v>#DIV/0!</v>
      </c>
    </row>
    <row r="29" spans="1:111" x14ac:dyDescent="0.25">
      <c r="A29" s="42"/>
      <c r="B29" s="46" t="s">
        <v>1727</v>
      </c>
      <c r="C29" s="44"/>
      <c r="D29" s="42" t="s">
        <v>8</v>
      </c>
      <c r="E29" s="45"/>
      <c r="F29" s="45"/>
      <c r="G29" s="45"/>
      <c r="H29" s="45">
        <v>11.66</v>
      </c>
      <c r="I29" s="45"/>
      <c r="J29" s="45"/>
      <c r="K29" s="45"/>
      <c r="L29" s="45"/>
      <c r="M29" s="3"/>
      <c r="N29" s="45"/>
      <c r="O29" s="45"/>
      <c r="P29" s="45"/>
      <c r="Q29" s="45"/>
      <c r="S29" s="45"/>
      <c r="T29" s="45"/>
      <c r="V29" s="45"/>
      <c r="W29" s="45"/>
      <c r="Y29" s="45"/>
      <c r="Z29" s="45"/>
      <c r="AA29" s="241"/>
      <c r="AB29" s="45"/>
      <c r="AC29" s="45"/>
      <c r="AD29" s="241"/>
      <c r="AE29" s="45"/>
      <c r="AF29" s="45"/>
      <c r="AH29" s="45"/>
      <c r="AI29" s="45"/>
      <c r="AJ29" s="241"/>
      <c r="AK29" s="45"/>
      <c r="AL29" s="45"/>
      <c r="AM29" s="241"/>
      <c r="AN29" s="45"/>
      <c r="AO29" s="45"/>
      <c r="AQ29" s="45"/>
      <c r="AR29" s="45"/>
      <c r="AS29" s="241"/>
      <c r="AT29" s="45"/>
      <c r="AU29" s="45"/>
      <c r="AW29" s="45"/>
      <c r="AX29" s="45"/>
      <c r="AZ29" s="45"/>
      <c r="BA29" s="45"/>
      <c r="BB29" s="241"/>
      <c r="BC29" s="45"/>
      <c r="BD29" s="45"/>
      <c r="BE29" s="241"/>
      <c r="BF29" s="45"/>
      <c r="BG29" s="45"/>
      <c r="BI29" s="45"/>
      <c r="BJ29" s="45"/>
      <c r="BK29" s="241"/>
      <c r="BL29" s="45"/>
      <c r="BM29" s="45"/>
      <c r="BN29" s="241"/>
      <c r="BO29" s="45"/>
      <c r="BP29" s="45"/>
      <c r="BR29" s="45"/>
      <c r="BS29" s="45"/>
      <c r="BT29" s="241"/>
      <c r="BU29" s="45"/>
      <c r="BV29" s="45"/>
      <c r="BW29" s="241"/>
      <c r="BX29" s="45"/>
      <c r="BY29" s="45"/>
      <c r="CA29" s="45"/>
      <c r="CB29" s="45"/>
      <c r="CC29" s="241"/>
      <c r="CD29" s="45"/>
      <c r="CE29" s="45"/>
      <c r="CF29" s="241"/>
      <c r="CG29" s="45"/>
      <c r="CH29" s="45"/>
      <c r="CJ29" s="45"/>
      <c r="CK29" s="45"/>
      <c r="CL29" s="241"/>
      <c r="CM29" s="45"/>
      <c r="CN29" s="45"/>
      <c r="CO29" s="241"/>
      <c r="CP29" s="45"/>
      <c r="CQ29" s="45"/>
      <c r="CS29" s="45"/>
      <c r="CT29" s="45"/>
      <c r="CU29" s="241"/>
      <c r="CV29" s="45"/>
      <c r="CW29" s="45"/>
      <c r="CX29" s="241"/>
      <c r="CY29" s="45"/>
      <c r="CZ29" s="45"/>
      <c r="DB29" s="45"/>
      <c r="DC29" s="45"/>
      <c r="DE29" s="45"/>
      <c r="DF29" s="45"/>
    </row>
    <row r="30" spans="1:111" x14ac:dyDescent="0.25">
      <c r="A30" s="42"/>
      <c r="B30" s="46" t="s">
        <v>1725</v>
      </c>
      <c r="C30" s="44"/>
      <c r="D30" s="42" t="s">
        <v>8</v>
      </c>
      <c r="E30" s="45"/>
      <c r="F30" s="45"/>
      <c r="G30" s="45"/>
      <c r="H30" s="45"/>
      <c r="I30" s="45">
        <f>I38/I42*100</f>
        <v>19.755533531549389</v>
      </c>
      <c r="J30" s="45">
        <f>J38/J42*100</f>
        <v>17.603686635944701</v>
      </c>
      <c r="K30" s="45">
        <f>K38/K42*100</f>
        <v>43.977055449330784</v>
      </c>
      <c r="L30" s="45" t="e">
        <f>L38/L42*100</f>
        <v>#DIV/0!</v>
      </c>
      <c r="M30" s="3"/>
      <c r="N30" s="45">
        <f>N38/N42*100</f>
        <v>37.667304015296367</v>
      </c>
      <c r="O30" s="45" t="e">
        <f>O38/O42*100</f>
        <v>#DIV/0!</v>
      </c>
      <c r="P30" s="45">
        <f>P38/P42*100</f>
        <v>0</v>
      </c>
      <c r="Q30" s="45" t="e">
        <f>Q38/Q42*100</f>
        <v>#DIV/0!</v>
      </c>
      <c r="S30" s="45">
        <f>S38/S42*100</f>
        <v>0</v>
      </c>
      <c r="T30" s="45" t="e">
        <f>T38/T42*100</f>
        <v>#DIV/0!</v>
      </c>
      <c r="V30" s="45">
        <f>V38/V42*100</f>
        <v>43.978349120433016</v>
      </c>
      <c r="W30" s="45" t="e">
        <f>W38/W42*100</f>
        <v>#DIV/0!</v>
      </c>
      <c r="Y30" s="45">
        <f>Y38/Y42*100</f>
        <v>100</v>
      </c>
      <c r="Z30" s="45" t="e">
        <f>Z38/Z42*100</f>
        <v>#DIV/0!</v>
      </c>
      <c r="AA30" s="241"/>
      <c r="AB30" s="45">
        <f>AB38/AB42*100</f>
        <v>0</v>
      </c>
      <c r="AC30" s="45" t="e">
        <f>AC38/AC42*100</f>
        <v>#DIV/0!</v>
      </c>
      <c r="AD30" s="241"/>
      <c r="AE30" s="45">
        <f>AE38/AE42*100</f>
        <v>0</v>
      </c>
      <c r="AF30" s="45" t="e">
        <f>AF38/AF42*100</f>
        <v>#DIV/0!</v>
      </c>
      <c r="AH30" s="45">
        <f>AH38/AH42*100</f>
        <v>0</v>
      </c>
      <c r="AI30" s="45" t="e">
        <f>AI38/AI42*100</f>
        <v>#DIV/0!</v>
      </c>
      <c r="AJ30" s="241"/>
      <c r="AK30" s="45">
        <f>AK38/AK42*100</f>
        <v>0</v>
      </c>
      <c r="AL30" s="45" t="e">
        <f>AL38/AL42*100</f>
        <v>#DIV/0!</v>
      </c>
      <c r="AM30" s="241"/>
      <c r="AN30" s="45">
        <f>AN38/AN42*100</f>
        <v>0</v>
      </c>
      <c r="AO30" s="45" t="e">
        <f>AO38/AO42*100</f>
        <v>#DIV/0!</v>
      </c>
      <c r="AQ30" s="45">
        <f>AQ38/AQ42*100</f>
        <v>0</v>
      </c>
      <c r="AR30" s="45" t="e">
        <f>AR38/AR42*100</f>
        <v>#DIV/0!</v>
      </c>
      <c r="AS30" s="241"/>
      <c r="AT30" s="45">
        <f>AT38/AT42*100</f>
        <v>0</v>
      </c>
      <c r="AU30" s="45" t="e">
        <f>AU38/AU42*100</f>
        <v>#DIV/0!</v>
      </c>
      <c r="AW30" s="45">
        <f>AW38/AW42*100</f>
        <v>0</v>
      </c>
      <c r="AX30" s="45" t="e">
        <f>AX38/AX42*100</f>
        <v>#DIV/0!</v>
      </c>
      <c r="AZ30" s="45">
        <f>AZ38/AZ42*100</f>
        <v>100</v>
      </c>
      <c r="BA30" s="45" t="e">
        <f>BA38/BA42*100</f>
        <v>#DIV/0!</v>
      </c>
      <c r="BB30" s="241"/>
      <c r="BC30" s="45">
        <f>BC38/BC42*100</f>
        <v>100</v>
      </c>
      <c r="BD30" s="45" t="e">
        <f>BD38/BD42*100</f>
        <v>#DIV/0!</v>
      </c>
      <c r="BE30" s="241"/>
      <c r="BF30" s="45">
        <f>BF38/BF42*100</f>
        <v>0</v>
      </c>
      <c r="BG30" s="45" t="e">
        <f>BG38/BG42*100</f>
        <v>#DIV/0!</v>
      </c>
      <c r="BI30" s="45">
        <f>BI38/BI42*100</f>
        <v>93.307839388145325</v>
      </c>
      <c r="BJ30" s="45" t="e">
        <f>BJ38/BJ42*100</f>
        <v>#DIV/0!</v>
      </c>
      <c r="BK30" s="241"/>
      <c r="BL30" s="45">
        <f>BL38/BL42*100</f>
        <v>0</v>
      </c>
      <c r="BM30" s="45" t="e">
        <f>BM38/BM42*100</f>
        <v>#DIV/0!</v>
      </c>
      <c r="BN30" s="241"/>
      <c r="BO30" s="45">
        <f>BO38/BO42*100</f>
        <v>100</v>
      </c>
      <c r="BP30" s="45" t="e">
        <f>BP38/BP42*100</f>
        <v>#DIV/0!</v>
      </c>
      <c r="BR30" s="45">
        <f>BR38/BR42*100</f>
        <v>0</v>
      </c>
      <c r="BS30" s="45" t="e">
        <f>BS38/BS42*100</f>
        <v>#DIV/0!</v>
      </c>
      <c r="BT30" s="241"/>
      <c r="BU30" s="45">
        <f>BU38/BU42*100</f>
        <v>0</v>
      </c>
      <c r="BV30" s="45" t="e">
        <f>BV38/BV42*100</f>
        <v>#DIV/0!</v>
      </c>
      <c r="BW30" s="241"/>
      <c r="BX30" s="45">
        <f>BX38/BX42*100</f>
        <v>100</v>
      </c>
      <c r="BY30" s="45" t="e">
        <f>BY38/BY42*100</f>
        <v>#DIV/0!</v>
      </c>
      <c r="CA30" s="45">
        <f>CA38/CA42*100</f>
        <v>72.790055248618785</v>
      </c>
      <c r="CB30" s="45" t="e">
        <f>CB38/CB42*100</f>
        <v>#DIV/0!</v>
      </c>
      <c r="CC30" s="241"/>
      <c r="CD30" s="45">
        <f>CD38/CD42*100</f>
        <v>0</v>
      </c>
      <c r="CE30" s="45" t="e">
        <f>CE38/CE42*100</f>
        <v>#DIV/0!</v>
      </c>
      <c r="CF30" s="241"/>
      <c r="CG30" s="45">
        <f>CG38/CG42*100</f>
        <v>100</v>
      </c>
      <c r="CH30" s="45" t="e">
        <f>CH38/CH42*100</f>
        <v>#DIV/0!</v>
      </c>
      <c r="CJ30" s="45">
        <f>CJ38/CJ42*100</f>
        <v>0</v>
      </c>
      <c r="CK30" s="45" t="e">
        <f>CK38/CK42*100</f>
        <v>#DIV/0!</v>
      </c>
      <c r="CL30" s="241"/>
      <c r="CM30" s="45" t="e">
        <f>CM38/CM42*100</f>
        <v>#DIV/0!</v>
      </c>
      <c r="CN30" s="45" t="e">
        <f>CN38/CN42*100</f>
        <v>#DIV/0!</v>
      </c>
      <c r="CO30" s="241"/>
      <c r="CP30" s="45" t="e">
        <f>CP38/CP42*100</f>
        <v>#DIV/0!</v>
      </c>
      <c r="CQ30" s="45" t="e">
        <f>CQ38/CQ42*100</f>
        <v>#DIV/0!</v>
      </c>
      <c r="CS30" s="45">
        <f>CS38/CS42*100</f>
        <v>0</v>
      </c>
      <c r="CT30" s="45" t="e">
        <f>CT38/CT42*100</f>
        <v>#DIV/0!</v>
      </c>
      <c r="CU30" s="241"/>
      <c r="CV30" s="45">
        <f>CV38/CV42*100</f>
        <v>0</v>
      </c>
      <c r="CW30" s="45" t="e">
        <f>CW38/CW42*100</f>
        <v>#DIV/0!</v>
      </c>
      <c r="CX30" s="241"/>
      <c r="CY30" s="45">
        <f>CY38/CY42*100</f>
        <v>0</v>
      </c>
      <c r="CZ30" s="45" t="e">
        <f>CZ38/CZ42*100</f>
        <v>#DIV/0!</v>
      </c>
      <c r="DB30" s="45">
        <f>DB38/DB42*100</f>
        <v>0</v>
      </c>
      <c r="DC30" s="45" t="e">
        <f>DC38/DC42*100</f>
        <v>#DIV/0!</v>
      </c>
      <c r="DE30" s="45">
        <f>DE38/DE42*100</f>
        <v>0</v>
      </c>
      <c r="DF30" s="45" t="e">
        <f>DF38/DF42*100</f>
        <v>#DIV/0!</v>
      </c>
    </row>
    <row r="31" spans="1:111" x14ac:dyDescent="0.25">
      <c r="A31" s="42"/>
      <c r="B31" s="46" t="s">
        <v>1726</v>
      </c>
      <c r="C31" s="44"/>
      <c r="D31" s="42" t="s">
        <v>8</v>
      </c>
      <c r="E31" s="45"/>
      <c r="F31" s="45"/>
      <c r="G31" s="45"/>
      <c r="H31" s="45"/>
      <c r="I31" s="45">
        <f>I39/I42*100</f>
        <v>12.586719524281467</v>
      </c>
      <c r="J31" s="45">
        <f>J39/J42*100</f>
        <v>14.654377880184333</v>
      </c>
      <c r="K31" s="45">
        <f>K39/K42*100</f>
        <v>33.82470856719916</v>
      </c>
      <c r="L31" s="45" t="e">
        <f>L39/L42*100</f>
        <v>#DIV/0!</v>
      </c>
      <c r="M31" s="3"/>
      <c r="N31" s="45">
        <f>N39/N42*100</f>
        <v>29.124776413988773</v>
      </c>
      <c r="O31" s="45" t="e">
        <f>O39/O42*100</f>
        <v>#DIV/0!</v>
      </c>
      <c r="P31" s="45">
        <f>P39/P42*100</f>
        <v>0</v>
      </c>
      <c r="Q31" s="45" t="e">
        <f>Q39/Q42*100</f>
        <v>#DIV/0!</v>
      </c>
      <c r="S31" s="45">
        <f>S39/S42*100</f>
        <v>4.5632333767926987</v>
      </c>
      <c r="T31" s="45" t="e">
        <f>T39/T42*100</f>
        <v>#DIV/0!</v>
      </c>
      <c r="V31" s="45">
        <f>V39/V42*100</f>
        <v>43.978349120433016</v>
      </c>
      <c r="W31" s="45" t="e">
        <f>W39/W42*100</f>
        <v>#DIV/0!</v>
      </c>
      <c r="Y31" s="45">
        <f>Y39/Y42*100</f>
        <v>100</v>
      </c>
      <c r="Z31" s="45" t="e">
        <f>Z39/Z42*100</f>
        <v>#DIV/0!</v>
      </c>
      <c r="AA31" s="241"/>
      <c r="AB31" s="45">
        <f>AB39/AB42*100</f>
        <v>0</v>
      </c>
      <c r="AC31" s="45" t="e">
        <f>AC39/AC42*100</f>
        <v>#DIV/0!</v>
      </c>
      <c r="AD31" s="241"/>
      <c r="AE31" s="45">
        <f>AE39/AE42*100</f>
        <v>0</v>
      </c>
      <c r="AF31" s="45" t="e">
        <f>AF39/AF42*100</f>
        <v>#DIV/0!</v>
      </c>
      <c r="AH31" s="45">
        <f>AH39/AH42*100</f>
        <v>0</v>
      </c>
      <c r="AI31" s="45" t="e">
        <f>AI39/AI42*100</f>
        <v>#DIV/0!</v>
      </c>
      <c r="AJ31" s="241"/>
      <c r="AK31" s="45">
        <f>AK39/AK42*100</f>
        <v>0</v>
      </c>
      <c r="AL31" s="45" t="e">
        <f>AL39/AL42*100</f>
        <v>#DIV/0!</v>
      </c>
      <c r="AM31" s="241"/>
      <c r="AN31" s="45">
        <f>AN39/AN42*100</f>
        <v>0</v>
      </c>
      <c r="AO31" s="45" t="e">
        <f>AO39/AO42*100</f>
        <v>#DIV/0!</v>
      </c>
      <c r="AQ31" s="45">
        <f>AQ39/AQ42*100</f>
        <v>0</v>
      </c>
      <c r="AR31" s="45" t="e">
        <f>AR39/AR42*100</f>
        <v>#DIV/0!</v>
      </c>
      <c r="AS31" s="241"/>
      <c r="AT31" s="45">
        <f>AT39/AT42*100</f>
        <v>0</v>
      </c>
      <c r="AU31" s="45" t="e">
        <f>AU39/AU42*100</f>
        <v>#DIV/0!</v>
      </c>
      <c r="AW31" s="45">
        <f>AW39/AW42*100</f>
        <v>0</v>
      </c>
      <c r="AX31" s="45" t="e">
        <f>AX39/AX42*100</f>
        <v>#DIV/0!</v>
      </c>
      <c r="AZ31" s="45">
        <f>AZ39/AZ42*100</f>
        <v>0</v>
      </c>
      <c r="BA31" s="45" t="e">
        <f>BA39/BA42*100</f>
        <v>#DIV/0!</v>
      </c>
      <c r="BB31" s="241"/>
      <c r="BC31" s="45">
        <f>BC39/BC42*100</f>
        <v>100</v>
      </c>
      <c r="BD31" s="45" t="e">
        <f>BD39/BD42*100</f>
        <v>#DIV/0!</v>
      </c>
      <c r="BE31" s="241"/>
      <c r="BF31" s="45">
        <f>BF39/BF42*100</f>
        <v>0</v>
      </c>
      <c r="BG31" s="45" t="e">
        <f>BG39/BG42*100</f>
        <v>#DIV/0!</v>
      </c>
      <c r="BI31" s="45">
        <f>BI39/BI42*100</f>
        <v>89.48374760994264</v>
      </c>
      <c r="BJ31" s="45" t="e">
        <f>BJ39/BJ42*100</f>
        <v>#DIV/0!</v>
      </c>
      <c r="BK31" s="241"/>
      <c r="BL31" s="45">
        <f>BL39/BL42*100</f>
        <v>0</v>
      </c>
      <c r="BM31" s="45" t="e">
        <f>BM39/BM42*100</f>
        <v>#DIV/0!</v>
      </c>
      <c r="BN31" s="241"/>
      <c r="BO31" s="45">
        <f>BO39/BO42*100</f>
        <v>0</v>
      </c>
      <c r="BP31" s="45" t="e">
        <f>BP39/BP42*100</f>
        <v>#DIV/0!</v>
      </c>
      <c r="BR31" s="45">
        <f>BR39/BR42*100</f>
        <v>0</v>
      </c>
      <c r="BS31" s="45" t="e">
        <f>BS39/BS42*100</f>
        <v>#DIV/0!</v>
      </c>
      <c r="BT31" s="241"/>
      <c r="BU31" s="45">
        <f>BU39/BU42*100</f>
        <v>0</v>
      </c>
      <c r="BV31" s="45" t="e">
        <f>BV39/BV42*100</f>
        <v>#DIV/0!</v>
      </c>
      <c r="BW31" s="241"/>
      <c r="BX31" s="45">
        <f>BX39/BX42*100</f>
        <v>100</v>
      </c>
      <c r="BY31" s="45" t="e">
        <f>BY39/BY42*100</f>
        <v>#DIV/0!</v>
      </c>
      <c r="CA31" s="45">
        <f>CA39/CA42*100</f>
        <v>0</v>
      </c>
      <c r="CB31" s="45" t="e">
        <f>CB39/CB42*100</f>
        <v>#DIV/0!</v>
      </c>
      <c r="CC31" s="241"/>
      <c r="CD31" s="45">
        <f>CD39/CD42*100</f>
        <v>0</v>
      </c>
      <c r="CE31" s="45" t="e">
        <f>CE39/CE42*100</f>
        <v>#DIV/0!</v>
      </c>
      <c r="CF31" s="241"/>
      <c r="CG31" s="45">
        <f>CG39/CG42*100</f>
        <v>97.188049209138839</v>
      </c>
      <c r="CH31" s="45" t="e">
        <f>CH39/CH42*100</f>
        <v>#DIV/0!</v>
      </c>
      <c r="CJ31" s="45">
        <f>CJ39/CJ42*100</f>
        <v>0</v>
      </c>
      <c r="CK31" s="45" t="e">
        <f>CK39/CK42*100</f>
        <v>#DIV/0!</v>
      </c>
      <c r="CL31" s="241"/>
      <c r="CM31" s="45" t="e">
        <f>CM39/CM42*100</f>
        <v>#DIV/0!</v>
      </c>
      <c r="CN31" s="45" t="e">
        <f>CN39/CN42*100</f>
        <v>#DIV/0!</v>
      </c>
      <c r="CO31" s="241"/>
      <c r="CP31" s="45" t="e">
        <f>CP39/CP42*100</f>
        <v>#DIV/0!</v>
      </c>
      <c r="CQ31" s="45" t="e">
        <f>CQ39/CQ42*100</f>
        <v>#DIV/0!</v>
      </c>
      <c r="CS31" s="45">
        <f>CS39/CS42*100</f>
        <v>0</v>
      </c>
      <c r="CT31" s="45" t="e">
        <f>CT39/CT42*100</f>
        <v>#DIV/0!</v>
      </c>
      <c r="CU31" s="241"/>
      <c r="CV31" s="45">
        <f>CV39/CV42*100</f>
        <v>0</v>
      </c>
      <c r="CW31" s="45" t="e">
        <f>CW39/CW42*100</f>
        <v>#DIV/0!</v>
      </c>
      <c r="CX31" s="241"/>
      <c r="CY31" s="45">
        <f>CY39/CY42*100</f>
        <v>0</v>
      </c>
      <c r="CZ31" s="45" t="e">
        <f>CZ39/CZ42*100</f>
        <v>#DIV/0!</v>
      </c>
      <c r="DB31" s="45">
        <f>DB39/DB42*100</f>
        <v>0</v>
      </c>
      <c r="DC31" s="45" t="e">
        <f>DC39/DC42*100</f>
        <v>#DIV/0!</v>
      </c>
      <c r="DE31" s="45">
        <f>DE39/DE42*100</f>
        <v>0</v>
      </c>
      <c r="DF31" s="45" t="e">
        <f>DF39/DF42*100</f>
        <v>#DIV/0!</v>
      </c>
    </row>
    <row r="32" spans="1:111" x14ac:dyDescent="0.25">
      <c r="A32" s="212"/>
      <c r="B32" s="211" t="s">
        <v>2558</v>
      </c>
      <c r="C32" s="216"/>
      <c r="D32" s="212" t="s">
        <v>8</v>
      </c>
      <c r="E32" s="217"/>
      <c r="F32" s="217"/>
      <c r="G32" s="217"/>
      <c r="H32" s="217"/>
      <c r="I32" s="217">
        <f>I40/I42*100</f>
        <v>0</v>
      </c>
      <c r="J32" s="217">
        <f>J40/J42*100</f>
        <v>0.64516129032258063</v>
      </c>
      <c r="K32" s="217">
        <f>K40/K42*100</f>
        <v>13.785234071424165</v>
      </c>
      <c r="L32" s="217" t="e">
        <f>L40/L42*100</f>
        <v>#DIV/0!</v>
      </c>
      <c r="M32" s="3"/>
      <c r="N32" s="217">
        <f>N40/N42*100</f>
        <v>13.785234071424165</v>
      </c>
      <c r="O32" s="217" t="e">
        <f>O40/O42*100</f>
        <v>#DIV/0!</v>
      </c>
      <c r="P32" s="217">
        <f>P40/P42*100</f>
        <v>0</v>
      </c>
      <c r="Q32" s="217" t="e">
        <f>Q40/Q42*100</f>
        <v>#DIV/0!</v>
      </c>
      <c r="S32" s="217">
        <f>S40/S42*100</f>
        <v>3.259452411994785</v>
      </c>
      <c r="T32" s="217" t="e">
        <f>T40/T42*100</f>
        <v>#DIV/0!</v>
      </c>
      <c r="V32" s="217">
        <f>V40/V42*100</f>
        <v>100</v>
      </c>
      <c r="W32" s="217" t="e">
        <f>W40/W42*100</f>
        <v>#DIV/0!</v>
      </c>
      <c r="Y32" s="217">
        <f>Y40/Y42*100</f>
        <v>4.4117647058823533</v>
      </c>
      <c r="Z32" s="217" t="e">
        <f>Z40/Z42*100</f>
        <v>#DIV/0!</v>
      </c>
      <c r="AA32" s="241"/>
      <c r="AB32" s="217">
        <f>AB40/AB42*100</f>
        <v>0</v>
      </c>
      <c r="AC32" s="217" t="e">
        <f>AC40/AC42*100</f>
        <v>#DIV/0!</v>
      </c>
      <c r="AD32" s="241"/>
      <c r="AE32" s="217">
        <f>AE40/AE42*100</f>
        <v>0</v>
      </c>
      <c r="AF32" s="217" t="e">
        <f>AF40/AF42*100</f>
        <v>#DIV/0!</v>
      </c>
      <c r="AH32" s="217">
        <f>AH40/AH42*100</f>
        <v>0</v>
      </c>
      <c r="AI32" s="217" t="e">
        <f>AI40/AI42*100</f>
        <v>#DIV/0!</v>
      </c>
      <c r="AJ32" s="241"/>
      <c r="AK32" s="217">
        <f>AK40/AK42*100</f>
        <v>40.168067226890756</v>
      </c>
      <c r="AL32" s="217" t="e">
        <f>AL40/AL42*100</f>
        <v>#DIV/0!</v>
      </c>
      <c r="AM32" s="241"/>
      <c r="AN32" s="217">
        <f>AN40/AN42*100</f>
        <v>0</v>
      </c>
      <c r="AO32" s="217" t="e">
        <f>AO40/AO42*100</f>
        <v>#DIV/0!</v>
      </c>
      <c r="AQ32" s="217">
        <f>AQ40/AQ42*100</f>
        <v>0</v>
      </c>
      <c r="AR32" s="217" t="e">
        <f>AR40/AR42*100</f>
        <v>#DIV/0!</v>
      </c>
      <c r="AS32" s="241"/>
      <c r="AT32" s="217">
        <f>AT40/AT42*100</f>
        <v>0</v>
      </c>
      <c r="AU32" s="217" t="e">
        <f>AU40/AU42*100</f>
        <v>#DIV/0!</v>
      </c>
      <c r="AW32" s="217">
        <f>AW40/AW42*100</f>
        <v>0</v>
      </c>
      <c r="AX32" s="217" t="e">
        <f>AX40/AX42*100</f>
        <v>#DIV/0!</v>
      </c>
      <c r="AZ32" s="217">
        <f>AZ40/AZ42*100</f>
        <v>0</v>
      </c>
      <c r="BA32" s="217" t="e">
        <f>BA40/BA42*100</f>
        <v>#DIV/0!</v>
      </c>
      <c r="BB32" s="241"/>
      <c r="BC32" s="217">
        <f>BC40/BC42*100</f>
        <v>61.004784688995215</v>
      </c>
      <c r="BD32" s="217" t="e">
        <f>BD40/BD42*100</f>
        <v>#DIV/0!</v>
      </c>
      <c r="BE32" s="241"/>
      <c r="BF32" s="217">
        <f>BF40/BF42*100</f>
        <v>0</v>
      </c>
      <c r="BG32" s="217" t="e">
        <f>BG40/BG42*100</f>
        <v>#DIV/0!</v>
      </c>
      <c r="BI32" s="217">
        <f>BI40/BI42*100</f>
        <v>16.634799235181642</v>
      </c>
      <c r="BJ32" s="217" t="e">
        <f>BJ40/BJ42*100</f>
        <v>#DIV/0!</v>
      </c>
      <c r="BK32" s="241"/>
      <c r="BL32" s="217">
        <f>BL40/BL42*100</f>
        <v>0</v>
      </c>
      <c r="BM32" s="217" t="e">
        <f>BM40/BM42*100</f>
        <v>#DIV/0!</v>
      </c>
      <c r="BN32" s="241"/>
      <c r="BO32" s="217">
        <f>BO40/BO42*100</f>
        <v>0</v>
      </c>
      <c r="BP32" s="217" t="e">
        <f>BP40/BP42*100</f>
        <v>#DIV/0!</v>
      </c>
      <c r="BR32" s="217">
        <f>BR40/BR42*100</f>
        <v>0</v>
      </c>
      <c r="BS32" s="217" t="e">
        <f>BS40/BS42*100</f>
        <v>#DIV/0!</v>
      </c>
      <c r="BT32" s="241"/>
      <c r="BU32" s="217">
        <f>BU40/BU42*100</f>
        <v>0</v>
      </c>
      <c r="BV32" s="217" t="e">
        <f>BV40/BV42*100</f>
        <v>#DIV/0!</v>
      </c>
      <c r="BW32" s="241"/>
      <c r="BX32" s="217">
        <f>BX40/BX42*100</f>
        <v>14.5985401459854</v>
      </c>
      <c r="BY32" s="217" t="e">
        <f>BY40/BY42*100</f>
        <v>#DIV/0!</v>
      </c>
      <c r="CA32" s="217">
        <f>CA40/CA42*100</f>
        <v>0</v>
      </c>
      <c r="CB32" s="217" t="e">
        <f>CB40/CB42*100</f>
        <v>#DIV/0!</v>
      </c>
      <c r="CC32" s="241"/>
      <c r="CD32" s="217">
        <f>CD40/CD42*100</f>
        <v>0</v>
      </c>
      <c r="CE32" s="217" t="e">
        <f>CE40/CE42*100</f>
        <v>#DIV/0!</v>
      </c>
      <c r="CF32" s="241"/>
      <c r="CG32" s="217">
        <f>CG40/CG42*100</f>
        <v>0</v>
      </c>
      <c r="CH32" s="217" t="e">
        <f>CH40/CH42*100</f>
        <v>#DIV/0!</v>
      </c>
      <c r="CJ32" s="217">
        <f>CJ40/CJ42*100</f>
        <v>0</v>
      </c>
      <c r="CK32" s="217" t="e">
        <f>CK40/CK42*100</f>
        <v>#DIV/0!</v>
      </c>
      <c r="CL32" s="241"/>
      <c r="CM32" s="217" t="e">
        <f>CM40/CM42*100</f>
        <v>#DIV/0!</v>
      </c>
      <c r="CN32" s="217" t="e">
        <f>CN40/CN42*100</f>
        <v>#DIV/0!</v>
      </c>
      <c r="CO32" s="241"/>
      <c r="CP32" s="217" t="e">
        <f>CP40/CP42*100</f>
        <v>#DIV/0!</v>
      </c>
      <c r="CQ32" s="217" t="e">
        <f>CQ40/CQ42*100</f>
        <v>#DIV/0!</v>
      </c>
      <c r="CS32" s="217">
        <f>CS40/CS42*100</f>
        <v>0</v>
      </c>
      <c r="CT32" s="217" t="e">
        <f>CT40/CT42*100</f>
        <v>#DIV/0!</v>
      </c>
      <c r="CU32" s="241"/>
      <c r="CV32" s="217">
        <f>CV40/CV42*100</f>
        <v>0</v>
      </c>
      <c r="CW32" s="217" t="e">
        <f>CW40/CW42*100</f>
        <v>#DIV/0!</v>
      </c>
      <c r="CX32" s="241"/>
      <c r="CY32" s="217">
        <f>CY40/CY42*100</f>
        <v>0</v>
      </c>
      <c r="CZ32" s="217" t="e">
        <f>CZ40/CZ42*100</f>
        <v>#DIV/0!</v>
      </c>
      <c r="DB32" s="217">
        <f>DB40/DB42*100</f>
        <v>0</v>
      </c>
      <c r="DC32" s="217" t="e">
        <f>DC40/DC42*100</f>
        <v>#DIV/0!</v>
      </c>
      <c r="DE32" s="217">
        <f>DE40/DE42*100</f>
        <v>0</v>
      </c>
      <c r="DF32" s="217" t="e">
        <f>DF40/DF42*100</f>
        <v>#DIV/0!</v>
      </c>
    </row>
    <row r="33" spans="1:110" ht="60" x14ac:dyDescent="0.25">
      <c r="A33" s="16"/>
      <c r="B33" s="16" t="s">
        <v>2102</v>
      </c>
      <c r="C33" s="6" t="s">
        <v>2977</v>
      </c>
      <c r="D33" s="6" t="s">
        <v>950</v>
      </c>
      <c r="E33" s="12"/>
      <c r="F33" s="35">
        <v>4466</v>
      </c>
      <c r="G33" s="35"/>
      <c r="H33" s="35"/>
      <c r="I33" s="35"/>
      <c r="J33" s="35"/>
      <c r="K33" s="35"/>
      <c r="L33" s="35"/>
    </row>
    <row r="34" spans="1:110" x14ac:dyDescent="0.25">
      <c r="A34" s="16"/>
      <c r="B34" s="16" t="s">
        <v>2100</v>
      </c>
      <c r="C34" s="6" t="s">
        <v>2971</v>
      </c>
      <c r="D34" s="6"/>
      <c r="E34" s="12"/>
      <c r="F34" s="35"/>
      <c r="G34" s="35"/>
      <c r="H34" s="35"/>
      <c r="I34" s="35">
        <v>978</v>
      </c>
      <c r="J34" s="35">
        <v>606</v>
      </c>
      <c r="K34" s="35">
        <v>2687</v>
      </c>
      <c r="L34" s="35"/>
      <c r="N34" s="241">
        <f t="shared" ref="N34:N36" si="8">P34+S34+V34+Y34+AB34+AE34+AH34+AK34+AN34+AQ34+AW34+AZ34+BC34+BF34+BI34+BL34+BO34+BR34+BU34+BX34+CA34+CD34+CG34+CJ34+AT34+DE34</f>
        <v>2687</v>
      </c>
      <c r="O34" s="241">
        <f t="shared" ref="O34:O36" si="9">Q34+T34+W34+Z34+AC34+AF34+AI34+AL34+AO34+AR34+AX34+BA34+BD34+BG34+BJ34+BM34+BP34+BS34+BV34+BY34+CB34+CE34+CH34+CK34+AU34+DF34</f>
        <v>0</v>
      </c>
      <c r="P34">
        <v>0</v>
      </c>
      <c r="S34">
        <v>0</v>
      </c>
      <c r="V34">
        <v>13</v>
      </c>
      <c r="Y34">
        <v>1270</v>
      </c>
      <c r="AB34">
        <v>0</v>
      </c>
      <c r="AE34">
        <v>0</v>
      </c>
      <c r="AH34">
        <v>0</v>
      </c>
      <c r="AK34">
        <v>0</v>
      </c>
      <c r="AN34">
        <v>0</v>
      </c>
      <c r="AQ34">
        <v>0</v>
      </c>
      <c r="AT34" s="241">
        <v>0</v>
      </c>
      <c r="AW34">
        <v>0</v>
      </c>
      <c r="AZ34">
        <v>652</v>
      </c>
      <c r="BC34">
        <v>0</v>
      </c>
      <c r="BF34">
        <v>0</v>
      </c>
      <c r="BI34">
        <v>142</v>
      </c>
      <c r="BL34">
        <v>0</v>
      </c>
      <c r="BO34">
        <v>142</v>
      </c>
      <c r="BR34">
        <v>0</v>
      </c>
      <c r="BU34">
        <v>0</v>
      </c>
      <c r="BX34">
        <v>0</v>
      </c>
      <c r="CA34">
        <v>206</v>
      </c>
      <c r="CD34">
        <v>0</v>
      </c>
      <c r="CG34">
        <v>262</v>
      </c>
      <c r="CJ34">
        <v>0</v>
      </c>
      <c r="CM34">
        <v>0</v>
      </c>
      <c r="CP34">
        <v>0</v>
      </c>
      <c r="CS34">
        <v>0</v>
      </c>
      <c r="CV34">
        <v>0</v>
      </c>
      <c r="CY34">
        <v>0</v>
      </c>
      <c r="DB34">
        <v>0</v>
      </c>
      <c r="DE34">
        <v>0</v>
      </c>
    </row>
    <row r="35" spans="1:110" x14ac:dyDescent="0.25">
      <c r="A35" s="16"/>
      <c r="B35" s="16" t="s">
        <v>2101</v>
      </c>
      <c r="C35" s="6" t="s">
        <v>2972</v>
      </c>
      <c r="D35" s="6"/>
      <c r="E35" s="12"/>
      <c r="F35" s="35"/>
      <c r="G35" s="35"/>
      <c r="H35" s="35"/>
      <c r="I35" s="35">
        <v>241</v>
      </c>
      <c r="J35" s="35">
        <v>263</v>
      </c>
      <c r="K35" s="35">
        <v>1687</v>
      </c>
      <c r="L35" s="35"/>
      <c r="N35" s="241">
        <f t="shared" si="8"/>
        <v>1687</v>
      </c>
      <c r="O35" s="241">
        <f t="shared" si="9"/>
        <v>0</v>
      </c>
      <c r="P35">
        <v>0</v>
      </c>
      <c r="S35">
        <v>0</v>
      </c>
      <c r="V35">
        <v>13</v>
      </c>
      <c r="Y35">
        <v>1270</v>
      </c>
      <c r="AB35">
        <v>0</v>
      </c>
      <c r="AE35">
        <v>0</v>
      </c>
      <c r="AH35">
        <v>0</v>
      </c>
      <c r="AK35">
        <v>0</v>
      </c>
      <c r="AN35">
        <v>0</v>
      </c>
      <c r="AQ35">
        <v>0</v>
      </c>
      <c r="AT35" s="241">
        <v>0</v>
      </c>
      <c r="AW35">
        <v>0</v>
      </c>
      <c r="AZ35">
        <v>0</v>
      </c>
      <c r="BC35">
        <v>0</v>
      </c>
      <c r="BF35">
        <v>0</v>
      </c>
      <c r="BI35">
        <v>142</v>
      </c>
      <c r="BL35">
        <v>0</v>
      </c>
      <c r="BO35">
        <v>0</v>
      </c>
      <c r="BR35">
        <v>0</v>
      </c>
      <c r="BU35">
        <v>0</v>
      </c>
      <c r="BX35">
        <v>0</v>
      </c>
      <c r="CA35">
        <v>0</v>
      </c>
      <c r="CD35">
        <v>0</v>
      </c>
      <c r="CG35">
        <v>262</v>
      </c>
      <c r="CJ35">
        <v>0</v>
      </c>
      <c r="CM35">
        <v>0</v>
      </c>
      <c r="CP35">
        <v>0</v>
      </c>
      <c r="CS35">
        <v>0</v>
      </c>
      <c r="CV35">
        <v>0</v>
      </c>
      <c r="CY35">
        <v>0</v>
      </c>
      <c r="DB35">
        <v>0</v>
      </c>
      <c r="DE35">
        <v>0</v>
      </c>
    </row>
    <row r="36" spans="1:110" s="241" customFormat="1" x14ac:dyDescent="0.25">
      <c r="A36" s="16"/>
      <c r="B36" s="16" t="s">
        <v>2722</v>
      </c>
      <c r="C36" s="6" t="s">
        <v>2973</v>
      </c>
      <c r="D36" s="6"/>
      <c r="E36" s="12"/>
      <c r="F36" s="35"/>
      <c r="G36" s="35"/>
      <c r="H36" s="35"/>
      <c r="I36" s="35"/>
      <c r="J36" s="35">
        <v>263</v>
      </c>
      <c r="K36" s="35">
        <v>718</v>
      </c>
      <c r="L36" s="35"/>
      <c r="N36" s="241">
        <f t="shared" si="8"/>
        <v>718</v>
      </c>
      <c r="O36" s="241">
        <f t="shared" si="9"/>
        <v>0</v>
      </c>
      <c r="P36" s="241">
        <v>0</v>
      </c>
      <c r="S36" s="241">
        <v>105</v>
      </c>
      <c r="V36" s="241">
        <v>414</v>
      </c>
      <c r="Y36" s="241">
        <v>105</v>
      </c>
      <c r="AB36" s="241">
        <v>0</v>
      </c>
      <c r="AE36" s="241">
        <v>0</v>
      </c>
      <c r="AH36" s="241">
        <v>0</v>
      </c>
      <c r="AK36" s="241">
        <v>73</v>
      </c>
      <c r="AN36" s="241">
        <v>0</v>
      </c>
      <c r="AQ36" s="241">
        <v>0</v>
      </c>
      <c r="AT36" s="241">
        <v>0</v>
      </c>
      <c r="AW36" s="241">
        <v>0</v>
      </c>
      <c r="AZ36" s="241">
        <v>0</v>
      </c>
      <c r="BC36" s="241">
        <v>0</v>
      </c>
      <c r="BF36" s="241">
        <v>0</v>
      </c>
      <c r="BI36" s="241">
        <v>0</v>
      </c>
      <c r="BL36" s="241">
        <v>0</v>
      </c>
      <c r="BO36" s="241">
        <v>0</v>
      </c>
      <c r="BR36" s="241">
        <v>0</v>
      </c>
      <c r="BU36" s="241">
        <v>0</v>
      </c>
      <c r="BX36" s="241">
        <v>21</v>
      </c>
      <c r="CA36" s="241">
        <v>0</v>
      </c>
      <c r="CD36" s="241">
        <v>0</v>
      </c>
      <c r="CG36" s="241">
        <v>0</v>
      </c>
      <c r="CJ36" s="241">
        <v>0</v>
      </c>
      <c r="CM36" s="241">
        <v>0</v>
      </c>
      <c r="CP36" s="241">
        <v>0</v>
      </c>
      <c r="CS36" s="241">
        <v>0</v>
      </c>
      <c r="CV36" s="241">
        <v>0</v>
      </c>
      <c r="CY36" s="241">
        <v>0</v>
      </c>
      <c r="DB36" s="241">
        <v>0</v>
      </c>
      <c r="DE36" s="241">
        <v>0</v>
      </c>
    </row>
    <row r="37" spans="1:110" ht="45" x14ac:dyDescent="0.25">
      <c r="A37" s="8"/>
      <c r="B37" s="16" t="s">
        <v>337</v>
      </c>
      <c r="C37" s="6" t="s">
        <v>2976</v>
      </c>
      <c r="D37" s="6" t="s">
        <v>950</v>
      </c>
      <c r="E37" s="12"/>
      <c r="F37" s="35">
        <v>0</v>
      </c>
      <c r="G37" s="35"/>
      <c r="H37" s="35"/>
      <c r="I37" s="35"/>
      <c r="J37" s="35"/>
      <c r="K37" s="35"/>
      <c r="L37" s="35"/>
    </row>
    <row r="38" spans="1:110" x14ac:dyDescent="0.25">
      <c r="A38" s="8"/>
      <c r="B38" s="16" t="s">
        <v>2100</v>
      </c>
      <c r="C38" s="6" t="s">
        <v>2971</v>
      </c>
      <c r="D38" s="6"/>
      <c r="E38" s="12"/>
      <c r="F38" s="12"/>
      <c r="G38" s="12"/>
      <c r="H38" s="35"/>
      <c r="I38" s="35">
        <f>400+198</f>
        <v>598</v>
      </c>
      <c r="J38" s="35">
        <f>382+191</f>
        <v>573</v>
      </c>
      <c r="K38" s="35">
        <v>7130</v>
      </c>
      <c r="L38" s="35"/>
      <c r="N38" s="241">
        <f t="shared" ref="N38:N40" si="10">P38+S38+V38+Y38+AB38+AE38+AH38+AK38+AN38+AQ38+AW38+AZ38+BC38+BF38+BI38+BL38+BO38+BR38+BU38+BX38+CA38+CD38+CG38+CJ38+AT38+DE38</f>
        <v>6107</v>
      </c>
      <c r="O38" s="241">
        <f t="shared" ref="O38:O40" si="11">Q38+T38+W38+Z38+AC38+AF38+AI38+AL38+AO38+AR38+AX38+BA38+BD38+BG38+BJ38+BM38+BP38+BS38+BV38+BY38+CB38+CE38+CH38+CK38+AU38+DF38</f>
        <v>0</v>
      </c>
      <c r="P38">
        <v>0</v>
      </c>
      <c r="S38">
        <v>0</v>
      </c>
      <c r="V38">
        <v>325</v>
      </c>
      <c r="Y38">
        <v>1360</v>
      </c>
      <c r="AB38">
        <v>0</v>
      </c>
      <c r="AE38">
        <v>0</v>
      </c>
      <c r="AH38">
        <v>0</v>
      </c>
      <c r="AK38">
        <v>0</v>
      </c>
      <c r="AN38">
        <v>0</v>
      </c>
      <c r="AQ38">
        <v>0</v>
      </c>
      <c r="AT38" s="241">
        <v>0</v>
      </c>
      <c r="AW38">
        <v>0</v>
      </c>
      <c r="AZ38">
        <v>571</v>
      </c>
      <c r="BC38">
        <v>1672</v>
      </c>
      <c r="BF38">
        <v>0</v>
      </c>
      <c r="BI38">
        <v>488</v>
      </c>
      <c r="BL38">
        <v>0</v>
      </c>
      <c r="BO38">
        <v>321</v>
      </c>
      <c r="BR38">
        <v>0</v>
      </c>
      <c r="BU38">
        <v>0</v>
      </c>
      <c r="BX38">
        <v>274</v>
      </c>
      <c r="CA38">
        <v>527</v>
      </c>
      <c r="CD38">
        <v>0</v>
      </c>
      <c r="CG38">
        <v>569</v>
      </c>
      <c r="CJ38">
        <v>0</v>
      </c>
      <c r="CM38">
        <v>0</v>
      </c>
      <c r="CP38">
        <v>0</v>
      </c>
      <c r="CS38">
        <v>0</v>
      </c>
      <c r="CV38">
        <v>0</v>
      </c>
      <c r="CY38">
        <v>0</v>
      </c>
      <c r="DB38">
        <v>0</v>
      </c>
      <c r="DE38">
        <v>0</v>
      </c>
    </row>
    <row r="39" spans="1:110" x14ac:dyDescent="0.25">
      <c r="A39" s="8"/>
      <c r="B39" s="16" t="s">
        <v>2101</v>
      </c>
      <c r="C39" s="6" t="s">
        <v>2972</v>
      </c>
      <c r="D39" s="6"/>
      <c r="E39" s="12"/>
      <c r="F39" s="12"/>
      <c r="G39" s="12"/>
      <c r="H39" s="35"/>
      <c r="I39" s="35">
        <f>219+162</f>
        <v>381</v>
      </c>
      <c r="J39" s="35">
        <f>351+126</f>
        <v>477</v>
      </c>
      <c r="K39" s="35">
        <v>5484</v>
      </c>
      <c r="L39" s="35"/>
      <c r="N39" s="241">
        <f t="shared" si="10"/>
        <v>4722</v>
      </c>
      <c r="O39" s="241">
        <f t="shared" si="11"/>
        <v>0</v>
      </c>
      <c r="P39">
        <v>0</v>
      </c>
      <c r="S39">
        <v>70</v>
      </c>
      <c r="V39">
        <v>325</v>
      </c>
      <c r="Y39">
        <v>1360</v>
      </c>
      <c r="AB39">
        <v>0</v>
      </c>
      <c r="AE39">
        <v>0</v>
      </c>
      <c r="AH39">
        <v>0</v>
      </c>
      <c r="AK39">
        <v>0</v>
      </c>
      <c r="AN39">
        <v>0</v>
      </c>
      <c r="AQ39">
        <v>0</v>
      </c>
      <c r="AT39" s="241">
        <v>0</v>
      </c>
      <c r="AW39">
        <v>0</v>
      </c>
      <c r="AZ39">
        <v>0</v>
      </c>
      <c r="BC39">
        <v>1672</v>
      </c>
      <c r="BF39">
        <v>0</v>
      </c>
      <c r="BI39">
        <v>468</v>
      </c>
      <c r="BL39">
        <v>0</v>
      </c>
      <c r="BO39">
        <v>0</v>
      </c>
      <c r="BR39">
        <v>0</v>
      </c>
      <c r="BU39">
        <v>0</v>
      </c>
      <c r="BX39">
        <v>274</v>
      </c>
      <c r="CA39">
        <v>0</v>
      </c>
      <c r="CD39">
        <v>0</v>
      </c>
      <c r="CG39">
        <v>553</v>
      </c>
      <c r="CJ39">
        <v>0</v>
      </c>
      <c r="CM39">
        <v>0</v>
      </c>
      <c r="CP39">
        <v>0</v>
      </c>
      <c r="CS39">
        <v>0</v>
      </c>
      <c r="CV39">
        <v>0</v>
      </c>
      <c r="CY39">
        <v>0</v>
      </c>
      <c r="DB39">
        <v>0</v>
      </c>
      <c r="DE39">
        <v>0</v>
      </c>
    </row>
    <row r="40" spans="1:110" s="241" customFormat="1" x14ac:dyDescent="0.25">
      <c r="A40" s="8"/>
      <c r="B40" s="16" t="s">
        <v>2722</v>
      </c>
      <c r="C40" s="6" t="s">
        <v>2973</v>
      </c>
      <c r="D40" s="6"/>
      <c r="E40" s="12"/>
      <c r="F40" s="12"/>
      <c r="G40" s="12"/>
      <c r="H40" s="35"/>
      <c r="I40" s="35"/>
      <c r="J40" s="35">
        <v>21</v>
      </c>
      <c r="K40" s="35">
        <v>2235</v>
      </c>
      <c r="L40" s="35"/>
      <c r="N40" s="241">
        <f t="shared" si="10"/>
        <v>2235</v>
      </c>
      <c r="O40" s="241">
        <f t="shared" si="11"/>
        <v>0</v>
      </c>
      <c r="P40" s="241">
        <v>0</v>
      </c>
      <c r="S40" s="241">
        <v>50</v>
      </c>
      <c r="V40" s="241">
        <v>739</v>
      </c>
      <c r="Y40" s="241">
        <v>60</v>
      </c>
      <c r="AB40" s="241">
        <v>0</v>
      </c>
      <c r="AE40" s="241">
        <v>0</v>
      </c>
      <c r="AH40" s="241">
        <v>0</v>
      </c>
      <c r="AK40" s="241">
        <v>239</v>
      </c>
      <c r="AN40" s="241">
        <v>0</v>
      </c>
      <c r="AQ40" s="241">
        <v>0</v>
      </c>
      <c r="AT40" s="241">
        <v>0</v>
      </c>
      <c r="AW40" s="241">
        <v>0</v>
      </c>
      <c r="AZ40" s="241">
        <v>0</v>
      </c>
      <c r="BC40" s="241">
        <v>1020</v>
      </c>
      <c r="BF40" s="241">
        <v>0</v>
      </c>
      <c r="BI40" s="241">
        <v>87</v>
      </c>
      <c r="BL40" s="241">
        <v>0</v>
      </c>
      <c r="BO40" s="241">
        <v>0</v>
      </c>
      <c r="BR40" s="241">
        <v>0</v>
      </c>
      <c r="BU40" s="241">
        <v>0</v>
      </c>
      <c r="BX40" s="241">
        <v>40</v>
      </c>
      <c r="CA40" s="241">
        <v>0</v>
      </c>
      <c r="CD40" s="241">
        <v>0</v>
      </c>
      <c r="CG40" s="241">
        <v>0</v>
      </c>
      <c r="CJ40" s="241">
        <v>0</v>
      </c>
      <c r="CM40" s="241">
        <v>0</v>
      </c>
      <c r="CP40" s="241">
        <v>0</v>
      </c>
      <c r="CS40" s="241">
        <v>0</v>
      </c>
      <c r="CV40" s="241">
        <v>0</v>
      </c>
      <c r="CY40" s="241">
        <v>0</v>
      </c>
      <c r="DB40" s="241">
        <v>0</v>
      </c>
      <c r="DE40" s="241">
        <v>0</v>
      </c>
    </row>
    <row r="41" spans="1:110" ht="45" x14ac:dyDescent="0.25">
      <c r="A41" s="8"/>
      <c r="B41" s="16" t="s">
        <v>2103</v>
      </c>
      <c r="C41" s="6" t="s">
        <v>2975</v>
      </c>
      <c r="D41" s="6" t="s">
        <v>950</v>
      </c>
      <c r="E41" s="12"/>
      <c r="F41" s="12"/>
      <c r="G41" s="12"/>
      <c r="H41" s="35"/>
      <c r="I41" s="35">
        <v>1849</v>
      </c>
      <c r="J41" s="35">
        <v>1887</v>
      </c>
      <c r="K41" s="35">
        <f>K11</f>
        <v>5615</v>
      </c>
      <c r="L41" s="35"/>
      <c r="M41" s="36"/>
      <c r="N41" s="241">
        <f t="shared" ref="N41:N42" si="12">P41+S41+V41+Y41+AB41+AE41+AH41+AK41+AN41+AQ41+AW41+AZ41+BC41+BF41+BI41+BL41+BO41+BR41+BU41+BX41+CA41+CD41+CG41+CJ41+AT41+DE41</f>
        <v>5615</v>
      </c>
      <c r="O41" s="241">
        <f t="shared" ref="O41:O42" si="13">Q41+T41+W41+Z41+AC41+AF41+AI41+AL41+AO41+AR41+AX41+BA41+BD41+BG41+BJ41+BM41+BP41+BS41+BV41+BY41+CB41+CE41+CH41+CK41+AU41+DF41</f>
        <v>0</v>
      </c>
      <c r="P41">
        <f>P11</f>
        <v>0</v>
      </c>
      <c r="Q41" s="241">
        <f>Q11</f>
        <v>0</v>
      </c>
      <c r="S41" s="241">
        <f>S11</f>
        <v>339</v>
      </c>
      <c r="T41" s="241">
        <f>T11</f>
        <v>0</v>
      </c>
      <c r="V41" s="241">
        <f>V11</f>
        <v>414</v>
      </c>
      <c r="W41" s="241">
        <f>W11</f>
        <v>0</v>
      </c>
      <c r="Y41" s="241">
        <f>Y11</f>
        <v>1270</v>
      </c>
      <c r="Z41" s="241">
        <f>Z11</f>
        <v>0</v>
      </c>
      <c r="AB41" s="241">
        <f>AB11</f>
        <v>0</v>
      </c>
      <c r="AC41" s="241">
        <f>AC11</f>
        <v>0</v>
      </c>
      <c r="AE41" s="241">
        <f>AE11</f>
        <v>0</v>
      </c>
      <c r="AF41" s="241">
        <f>AF11</f>
        <v>0</v>
      </c>
      <c r="AH41" s="241">
        <f>AH11</f>
        <v>0</v>
      </c>
      <c r="AI41" s="241">
        <f>AI11</f>
        <v>0</v>
      </c>
      <c r="AK41" s="36">
        <f>AK11</f>
        <v>168</v>
      </c>
      <c r="AL41" s="241">
        <f>AL11</f>
        <v>0</v>
      </c>
      <c r="AN41" s="241">
        <f>AN11</f>
        <v>0</v>
      </c>
      <c r="AO41" s="241">
        <f>AO11</f>
        <v>0</v>
      </c>
      <c r="AQ41" s="241">
        <f>AQ11</f>
        <v>268</v>
      </c>
      <c r="AR41" s="241">
        <f>AR11</f>
        <v>0</v>
      </c>
      <c r="AT41" s="241">
        <f>AT11</f>
        <v>98</v>
      </c>
      <c r="AU41" s="241">
        <f>AU11</f>
        <v>0</v>
      </c>
      <c r="AW41" s="241">
        <f>AW11</f>
        <v>164</v>
      </c>
      <c r="AX41" s="241">
        <f>AX11</f>
        <v>0</v>
      </c>
      <c r="AZ41" s="241">
        <f>AZ11</f>
        <v>652</v>
      </c>
      <c r="BA41" s="241">
        <f>BA11</f>
        <v>0</v>
      </c>
      <c r="BC41" s="241">
        <f>BC11</f>
        <v>0</v>
      </c>
      <c r="BD41" s="241">
        <f>BD11</f>
        <v>0</v>
      </c>
      <c r="BF41" s="241">
        <f>BF11</f>
        <v>463</v>
      </c>
      <c r="BG41" s="241">
        <f>BG11</f>
        <v>0</v>
      </c>
      <c r="BI41" s="241">
        <f>BI11</f>
        <v>267</v>
      </c>
      <c r="BJ41" s="241">
        <f>BJ11</f>
        <v>0</v>
      </c>
      <c r="BL41" s="241">
        <f>BL11</f>
        <v>221</v>
      </c>
      <c r="BM41" s="241">
        <f>BM11</f>
        <v>0</v>
      </c>
      <c r="BO41" s="241">
        <f>BO11</f>
        <v>142</v>
      </c>
      <c r="BP41" s="241">
        <f>BP11</f>
        <v>0</v>
      </c>
      <c r="BR41" s="241">
        <f>BR11</f>
        <v>267</v>
      </c>
      <c r="BS41" s="241">
        <f>BS11</f>
        <v>0</v>
      </c>
      <c r="BU41" s="241">
        <f>BU11</f>
        <v>123</v>
      </c>
      <c r="BV41" s="241">
        <f>BV11</f>
        <v>0</v>
      </c>
      <c r="BX41" s="241">
        <f>BX11</f>
        <v>201</v>
      </c>
      <c r="BY41" s="241">
        <f>BY11</f>
        <v>0</v>
      </c>
      <c r="CA41" s="241">
        <f>CA11</f>
        <v>206</v>
      </c>
      <c r="CB41" s="241">
        <f>CB11</f>
        <v>0</v>
      </c>
      <c r="CD41" s="241">
        <f>CD11</f>
        <v>0</v>
      </c>
      <c r="CE41" s="241">
        <f>CE11</f>
        <v>0</v>
      </c>
      <c r="CG41" s="241">
        <f>CG11</f>
        <v>262</v>
      </c>
      <c r="CH41" s="241">
        <f>CH11</f>
        <v>0</v>
      </c>
      <c r="CJ41" s="241">
        <f>CJ11</f>
        <v>0</v>
      </c>
      <c r="CK41" s="241">
        <f>CK11</f>
        <v>0</v>
      </c>
      <c r="CM41">
        <v>50</v>
      </c>
      <c r="CP41">
        <v>50</v>
      </c>
      <c r="CS41">
        <v>0</v>
      </c>
      <c r="CV41">
        <v>0</v>
      </c>
      <c r="CY41">
        <v>0</v>
      </c>
      <c r="DB41">
        <v>0</v>
      </c>
      <c r="DE41" s="241">
        <f>DE11</f>
        <v>90</v>
      </c>
      <c r="DF41" s="241">
        <f>DF11</f>
        <v>0</v>
      </c>
    </row>
    <row r="42" spans="1:110" ht="45" x14ac:dyDescent="0.25">
      <c r="A42" s="8"/>
      <c r="B42" s="16" t="s">
        <v>337</v>
      </c>
      <c r="C42" s="6" t="s">
        <v>2974</v>
      </c>
      <c r="D42" s="6"/>
      <c r="E42" s="12"/>
      <c r="F42" s="12"/>
      <c r="G42" s="12"/>
      <c r="H42" s="35"/>
      <c r="I42" s="35">
        <f>2980+47</f>
        <v>3027</v>
      </c>
      <c r="J42" s="35">
        <f>1174+3489+1+81+71-1561</f>
        <v>3255</v>
      </c>
      <c r="K42" s="35">
        <f>K16</f>
        <v>16213</v>
      </c>
      <c r="L42" s="35"/>
      <c r="N42" s="241">
        <f t="shared" si="12"/>
        <v>16213</v>
      </c>
      <c r="O42" s="241">
        <f t="shared" si="13"/>
        <v>0</v>
      </c>
      <c r="P42">
        <f>P16</f>
        <v>183</v>
      </c>
      <c r="Q42" s="241">
        <f>Q16</f>
        <v>0</v>
      </c>
      <c r="S42" s="241">
        <f>S16</f>
        <v>1534</v>
      </c>
      <c r="T42" s="241">
        <f>T16</f>
        <v>0</v>
      </c>
      <c r="V42" s="241">
        <f>V16</f>
        <v>739</v>
      </c>
      <c r="W42" s="241">
        <f>W16</f>
        <v>0</v>
      </c>
      <c r="Y42" s="241">
        <f>Y16</f>
        <v>1360</v>
      </c>
      <c r="Z42" s="241">
        <f>Z16</f>
        <v>0</v>
      </c>
      <c r="AB42" s="241">
        <f>AB16</f>
        <v>326</v>
      </c>
      <c r="AC42" s="241">
        <f>AC16</f>
        <v>0</v>
      </c>
      <c r="AE42" s="241">
        <f>AE16</f>
        <v>210</v>
      </c>
      <c r="AF42" s="241">
        <f>AF16</f>
        <v>0</v>
      </c>
      <c r="AH42" s="241">
        <f>AH16</f>
        <v>164</v>
      </c>
      <c r="AI42" s="241">
        <f>AI16</f>
        <v>0</v>
      </c>
      <c r="AK42" s="241">
        <f>AK16</f>
        <v>595</v>
      </c>
      <c r="AL42" s="241">
        <f>AL16</f>
        <v>0</v>
      </c>
      <c r="AN42" s="241">
        <f>AN16</f>
        <v>525</v>
      </c>
      <c r="AO42" s="241">
        <f>AO16</f>
        <v>0</v>
      </c>
      <c r="AQ42" s="241">
        <f>AQ16</f>
        <v>527</v>
      </c>
      <c r="AR42" s="241">
        <f>AR16</f>
        <v>0</v>
      </c>
      <c r="AT42" s="241">
        <f>AT16</f>
        <v>132</v>
      </c>
      <c r="AU42" s="241">
        <f>AU16</f>
        <v>0</v>
      </c>
      <c r="AW42" s="241">
        <f>AW16</f>
        <v>353</v>
      </c>
      <c r="AX42" s="241">
        <f>AX16</f>
        <v>0</v>
      </c>
      <c r="AZ42" s="241">
        <f>AZ16</f>
        <v>571</v>
      </c>
      <c r="BA42" s="241">
        <f>BA16</f>
        <v>0</v>
      </c>
      <c r="BC42" s="241">
        <f>BC16</f>
        <v>1672</v>
      </c>
      <c r="BD42" s="241">
        <f>BD16</f>
        <v>0</v>
      </c>
      <c r="BF42" s="241">
        <f>BF16</f>
        <v>847</v>
      </c>
      <c r="BG42" s="241">
        <f>BG16</f>
        <v>0</v>
      </c>
      <c r="BI42" s="241">
        <f>BI16</f>
        <v>523</v>
      </c>
      <c r="BJ42" s="241">
        <f>BJ16</f>
        <v>0</v>
      </c>
      <c r="BL42" s="241">
        <f>BL16</f>
        <v>518</v>
      </c>
      <c r="BM42" s="241">
        <f>BM16</f>
        <v>0</v>
      </c>
      <c r="BO42" s="241">
        <f>BO16</f>
        <v>321</v>
      </c>
      <c r="BP42" s="241">
        <f>BP16</f>
        <v>0</v>
      </c>
      <c r="BR42" s="241">
        <f>BR16</f>
        <v>181</v>
      </c>
      <c r="BS42" s="241">
        <f>BS16</f>
        <v>0</v>
      </c>
      <c r="BU42" s="241">
        <f>BU16</f>
        <v>561</v>
      </c>
      <c r="BV42" s="241">
        <f>BV16</f>
        <v>0</v>
      </c>
      <c r="BX42" s="241">
        <f>BX16</f>
        <v>274</v>
      </c>
      <c r="BY42" s="241">
        <f>BY16</f>
        <v>0</v>
      </c>
      <c r="CA42" s="241">
        <f>CA16</f>
        <v>724</v>
      </c>
      <c r="CB42" s="241">
        <f>CB16</f>
        <v>0</v>
      </c>
      <c r="CD42" s="241">
        <f>CD16</f>
        <v>480</v>
      </c>
      <c r="CE42" s="241">
        <f>CE16</f>
        <v>0</v>
      </c>
      <c r="CG42" s="241">
        <f>CG16</f>
        <v>569</v>
      </c>
      <c r="CH42" s="241">
        <f>CH16</f>
        <v>0</v>
      </c>
      <c r="CJ42" s="241">
        <f>CJ16</f>
        <v>577</v>
      </c>
      <c r="CK42" s="241">
        <f>CK16</f>
        <v>0</v>
      </c>
      <c r="CM42">
        <v>0</v>
      </c>
      <c r="CP42">
        <v>0</v>
      </c>
      <c r="CS42">
        <v>1403</v>
      </c>
      <c r="CV42">
        <v>928</v>
      </c>
      <c r="CY42">
        <v>1982</v>
      </c>
      <c r="DB42">
        <v>770</v>
      </c>
      <c r="DE42" s="241">
        <f>DE16</f>
        <v>1747</v>
      </c>
      <c r="DF42" s="241">
        <f>DF16</f>
        <v>0</v>
      </c>
    </row>
    <row r="43" spans="1:110" ht="120" x14ac:dyDescent="0.25">
      <c r="A43" s="42" t="s">
        <v>338</v>
      </c>
      <c r="B43" s="43" t="s">
        <v>339</v>
      </c>
      <c r="C43" s="42"/>
      <c r="D43" s="42"/>
      <c r="E43" s="50"/>
      <c r="F43" s="50"/>
      <c r="G43" s="50"/>
      <c r="H43" s="50"/>
      <c r="I43" s="50"/>
      <c r="J43" s="50"/>
      <c r="K43" s="50"/>
      <c r="L43" s="50"/>
      <c r="M43" s="3" t="s">
        <v>23</v>
      </c>
    </row>
    <row r="44" spans="1:110" x14ac:dyDescent="0.25">
      <c r="A44" s="44"/>
      <c r="B44" s="43" t="s">
        <v>354</v>
      </c>
      <c r="C44" s="42"/>
      <c r="D44" s="42" t="s">
        <v>8</v>
      </c>
      <c r="E44" s="45">
        <v>90.93</v>
      </c>
      <c r="F44" s="45">
        <f>(F47+F48)/(F49+F50+F51+F52+F53+F54)*100</f>
        <v>93.69747899159664</v>
      </c>
      <c r="G44" s="45">
        <f>(G47+G48)/(G49+G50+G51+G52+G53+G54)*100</f>
        <v>89.79294254884806</v>
      </c>
      <c r="H44" s="45">
        <v>96.34</v>
      </c>
      <c r="I44" s="45"/>
      <c r="J44" s="45"/>
      <c r="K44" s="45"/>
      <c r="L44" s="45"/>
    </row>
    <row r="45" spans="1:110" x14ac:dyDescent="0.25">
      <c r="A45" s="176"/>
      <c r="B45" s="66" t="s">
        <v>1182</v>
      </c>
      <c r="C45" s="42"/>
      <c r="D45" s="42"/>
      <c r="E45" s="45"/>
      <c r="F45" s="45"/>
      <c r="G45" s="45"/>
      <c r="H45" s="45"/>
      <c r="I45" s="45">
        <f t="shared" ref="I45:K46" si="14">I56/I59*100</f>
        <v>95.818754373687895</v>
      </c>
      <c r="J45" s="45">
        <f t="shared" si="14"/>
        <v>95.947875758657617</v>
      </c>
      <c r="K45" s="45">
        <f t="shared" si="14"/>
        <v>95.710407239819006</v>
      </c>
      <c r="L45" s="45" t="e">
        <f t="shared" ref="L45" si="15">L56/L59*100</f>
        <v>#DIV/0!</v>
      </c>
      <c r="N45" s="45">
        <f t="shared" ref="N45:P46" si="16">N56/N59*100</f>
        <v>95.710407239819006</v>
      </c>
      <c r="O45" s="45" t="e">
        <f t="shared" si="16"/>
        <v>#DIV/0!</v>
      </c>
      <c r="P45" s="45" t="e">
        <f t="shared" ref="P45:Q45" si="17">P56/P59*100</f>
        <v>#DIV/0!</v>
      </c>
      <c r="Q45" s="45" t="e">
        <f t="shared" si="17"/>
        <v>#DIV/0!</v>
      </c>
      <c r="S45" s="45">
        <f t="shared" ref="S45:T46" si="18">S56/S59*100</f>
        <v>100</v>
      </c>
      <c r="T45" s="45" t="e">
        <f t="shared" si="18"/>
        <v>#DIV/0!</v>
      </c>
      <c r="V45" s="45">
        <f t="shared" ref="V45:W45" si="19">V56/V59*100</f>
        <v>96.859903381642511</v>
      </c>
      <c r="W45" s="45" t="e">
        <f t="shared" si="19"/>
        <v>#DIV/0!</v>
      </c>
      <c r="Y45" s="45">
        <f t="shared" ref="Y45:Z46" si="20">Y56/Y59*100</f>
        <v>84.094488188976385</v>
      </c>
      <c r="Z45" s="45" t="e">
        <f t="shared" si="20"/>
        <v>#DIV/0!</v>
      </c>
      <c r="AA45" s="241"/>
      <c r="AB45" s="45" t="e">
        <f t="shared" ref="AB45:AC46" si="21">AB56/AB59*100</f>
        <v>#DIV/0!</v>
      </c>
      <c r="AC45" s="45" t="e">
        <f t="shared" si="21"/>
        <v>#DIV/0!</v>
      </c>
      <c r="AD45" s="241"/>
      <c r="AE45" s="45" t="e">
        <f t="shared" ref="AE45:AF45" si="22">AE56/AE59*100</f>
        <v>#DIV/0!</v>
      </c>
      <c r="AF45" s="45" t="e">
        <f t="shared" si="22"/>
        <v>#DIV/0!</v>
      </c>
      <c r="AH45" s="45" t="e">
        <f t="shared" ref="AH45:AI45" si="23">AH56/AH59*100</f>
        <v>#DIV/0!</v>
      </c>
      <c r="AI45" s="45" t="e">
        <f t="shared" si="23"/>
        <v>#DIV/0!</v>
      </c>
      <c r="AJ45" s="241"/>
      <c r="AK45" s="45">
        <f t="shared" ref="AK45:AL45" si="24">AK56/AK59*100</f>
        <v>100</v>
      </c>
      <c r="AL45" s="45" t="e">
        <f t="shared" si="24"/>
        <v>#DIV/0!</v>
      </c>
      <c r="AM45" s="241"/>
      <c r="AN45" s="45" t="e">
        <f t="shared" ref="AN45:AO45" si="25">AN56/AN59*100</f>
        <v>#DIV/0!</v>
      </c>
      <c r="AO45" s="45" t="e">
        <f t="shared" si="25"/>
        <v>#DIV/0!</v>
      </c>
      <c r="AQ45" s="45">
        <f t="shared" ref="AQ45:AR45" si="26">AQ56/AQ59*100</f>
        <v>100</v>
      </c>
      <c r="AR45" s="45" t="e">
        <f t="shared" si="26"/>
        <v>#DIV/0!</v>
      </c>
      <c r="AS45" s="241"/>
      <c r="AT45" s="45">
        <f t="shared" ref="AT45:AU45" si="27">AT56/AT59*100</f>
        <v>100</v>
      </c>
      <c r="AU45" s="45" t="e">
        <f t="shared" si="27"/>
        <v>#DIV/0!</v>
      </c>
      <c r="AW45" s="45">
        <f t="shared" ref="AW45:AX45" si="28">AW56/AW59*100</f>
        <v>86.58536585365853</v>
      </c>
      <c r="AX45" s="45" t="e">
        <f t="shared" si="28"/>
        <v>#DIV/0!</v>
      </c>
      <c r="AZ45" s="45">
        <f t="shared" ref="AZ45:BA45" si="29">AZ56/AZ59*100</f>
        <v>100</v>
      </c>
      <c r="BA45" s="45" t="e">
        <f t="shared" si="29"/>
        <v>#DIV/0!</v>
      </c>
      <c r="BB45" s="241"/>
      <c r="BC45" s="45" t="e">
        <f t="shared" ref="BC45:BD45" si="30">BC56/BC59*100</f>
        <v>#DIV/0!</v>
      </c>
      <c r="BD45" s="45" t="e">
        <f t="shared" si="30"/>
        <v>#DIV/0!</v>
      </c>
      <c r="BE45" s="241"/>
      <c r="BF45" s="45">
        <f t="shared" ref="BF45:BG45" si="31">BF56/BF59*100</f>
        <v>100</v>
      </c>
      <c r="BG45" s="45" t="e">
        <f t="shared" si="31"/>
        <v>#DIV/0!</v>
      </c>
      <c r="BI45" s="45">
        <f t="shared" ref="BI45:BJ45" si="32">BI56/BI59*100</f>
        <v>100</v>
      </c>
      <c r="BJ45" s="45" t="e">
        <f t="shared" si="32"/>
        <v>#DIV/0!</v>
      </c>
      <c r="BK45" s="241"/>
      <c r="BL45" s="45">
        <f t="shared" ref="BL45:BM45" si="33">BL56/BL59*100</f>
        <v>100</v>
      </c>
      <c r="BM45" s="45" t="e">
        <f t="shared" si="33"/>
        <v>#DIV/0!</v>
      </c>
      <c r="BN45" s="241"/>
      <c r="BO45" s="45">
        <f t="shared" ref="BO45:BP45" si="34">BO56/BO59*100</f>
        <v>100</v>
      </c>
      <c r="BP45" s="45" t="e">
        <f t="shared" si="34"/>
        <v>#DIV/0!</v>
      </c>
      <c r="BR45" s="45">
        <f t="shared" ref="BR45:BS45" si="35">BR56/BR59*100</f>
        <v>100</v>
      </c>
      <c r="BS45" s="45" t="e">
        <f t="shared" si="35"/>
        <v>#DIV/0!</v>
      </c>
      <c r="BT45" s="241"/>
      <c r="BU45" s="45">
        <f t="shared" ref="BU45:BV45" si="36">BU56/BU59*100</f>
        <v>100</v>
      </c>
      <c r="BV45" s="45" t="e">
        <f t="shared" si="36"/>
        <v>#DIV/0!</v>
      </c>
      <c r="BW45" s="241"/>
      <c r="BX45" s="45">
        <f t="shared" ref="BX45:BY45" si="37">BX56/BX59*100</f>
        <v>100</v>
      </c>
      <c r="BY45" s="45" t="e">
        <f t="shared" si="37"/>
        <v>#DIV/0!</v>
      </c>
      <c r="CA45" s="45">
        <f t="shared" ref="CA45:CB45" si="38">CA56/CA59*100</f>
        <v>100</v>
      </c>
      <c r="CB45" s="45" t="e">
        <f t="shared" si="38"/>
        <v>#DIV/0!</v>
      </c>
      <c r="CC45" s="241"/>
      <c r="CD45" s="45" t="e">
        <f t="shared" ref="CD45:CE45" si="39">CD56/CD59*100</f>
        <v>#DIV/0!</v>
      </c>
      <c r="CE45" s="45" t="e">
        <f t="shared" si="39"/>
        <v>#DIV/0!</v>
      </c>
      <c r="CF45" s="241"/>
      <c r="CG45" s="45">
        <f t="shared" ref="CG45:CH45" si="40">CG56/CG59*100</f>
        <v>100</v>
      </c>
      <c r="CH45" s="45" t="e">
        <f t="shared" si="40"/>
        <v>#DIV/0!</v>
      </c>
      <c r="CJ45" s="45" t="e">
        <f t="shared" ref="CJ45:CK45" si="41">CJ56/CJ59*100</f>
        <v>#DIV/0!</v>
      </c>
      <c r="CK45" s="45" t="e">
        <f t="shared" si="41"/>
        <v>#DIV/0!</v>
      </c>
      <c r="CL45" s="241"/>
      <c r="CM45" s="45" t="e">
        <f t="shared" ref="CM45:CN45" si="42">CM56/CM59*100</f>
        <v>#DIV/0!</v>
      </c>
      <c r="CN45" s="45" t="e">
        <f t="shared" si="42"/>
        <v>#DIV/0!</v>
      </c>
      <c r="CO45" s="241"/>
      <c r="CP45" s="45" t="e">
        <f t="shared" ref="CP45:CQ45" si="43">CP56/CP59*100</f>
        <v>#DIV/0!</v>
      </c>
      <c r="CQ45" s="45" t="e">
        <f t="shared" si="43"/>
        <v>#DIV/0!</v>
      </c>
      <c r="CS45" s="45" t="e">
        <f t="shared" ref="CS45:CT45" si="44">CS56/CS59*100</f>
        <v>#DIV/0!</v>
      </c>
      <c r="CT45" s="45" t="e">
        <f t="shared" si="44"/>
        <v>#DIV/0!</v>
      </c>
      <c r="CU45" s="241"/>
      <c r="CV45" s="45" t="e">
        <f t="shared" ref="CV45:CW45" si="45">CV56/CV59*100</f>
        <v>#DIV/0!</v>
      </c>
      <c r="CW45" s="45" t="e">
        <f t="shared" si="45"/>
        <v>#DIV/0!</v>
      </c>
      <c r="CX45" s="241"/>
      <c r="CY45" s="45" t="e">
        <f t="shared" ref="CY45:CZ45" si="46">CY56/CY59*100</f>
        <v>#DIV/0!</v>
      </c>
      <c r="CZ45" s="45" t="e">
        <f t="shared" si="46"/>
        <v>#DIV/0!</v>
      </c>
      <c r="DB45" s="45" t="e">
        <f t="shared" ref="DB45:DC45" si="47">DB56/DB59*100</f>
        <v>#DIV/0!</v>
      </c>
      <c r="DC45" s="45" t="e">
        <f t="shared" si="47"/>
        <v>#DIV/0!</v>
      </c>
      <c r="DD45" s="241"/>
      <c r="DE45" s="45" t="e">
        <f t="shared" ref="DE45:DF45" si="48">DE56/DE59*100</f>
        <v>#DIV/0!</v>
      </c>
      <c r="DF45" s="45" t="e">
        <f t="shared" si="48"/>
        <v>#DIV/0!</v>
      </c>
    </row>
    <row r="46" spans="1:110" x14ac:dyDescent="0.25">
      <c r="A46" s="44"/>
      <c r="B46" s="43" t="s">
        <v>1184</v>
      </c>
      <c r="C46" s="42"/>
      <c r="D46" s="42"/>
      <c r="E46" s="45"/>
      <c r="F46" s="45"/>
      <c r="G46" s="45"/>
      <c r="H46" s="45"/>
      <c r="I46" s="45">
        <f t="shared" si="14"/>
        <v>100</v>
      </c>
      <c r="J46" s="45">
        <f t="shared" si="14"/>
        <v>100</v>
      </c>
      <c r="K46" s="45">
        <f t="shared" si="14"/>
        <v>100</v>
      </c>
      <c r="L46" s="45" t="e">
        <f t="shared" ref="L46" si="49">L57/L60*100</f>
        <v>#DIV/0!</v>
      </c>
      <c r="N46" s="45">
        <f t="shared" ref="N46" si="50">N57/N60*100</f>
        <v>100</v>
      </c>
      <c r="O46" s="45" t="e">
        <f t="shared" si="16"/>
        <v>#DIV/0!</v>
      </c>
      <c r="P46" s="45" t="e">
        <f t="shared" si="16"/>
        <v>#DIV/0!</v>
      </c>
      <c r="Q46" s="45" t="e">
        <f t="shared" ref="Q46" si="51">Q57/Q60*100</f>
        <v>#DIV/0!</v>
      </c>
      <c r="S46" s="45" t="e">
        <f t="shared" ref="S46" si="52">S57/S60*100</f>
        <v>#DIV/0!</v>
      </c>
      <c r="T46" s="45" t="e">
        <f t="shared" si="18"/>
        <v>#DIV/0!</v>
      </c>
      <c r="V46" s="45" t="e">
        <f t="shared" ref="V46:W46" si="53">V57/V60*100</f>
        <v>#DIV/0!</v>
      </c>
      <c r="W46" s="45" t="e">
        <f t="shared" si="53"/>
        <v>#DIV/0!</v>
      </c>
      <c r="Y46" s="45" t="e">
        <f t="shared" ref="Y46" si="54">Y57/Y60*100</f>
        <v>#DIV/0!</v>
      </c>
      <c r="Z46" s="45" t="e">
        <f t="shared" si="20"/>
        <v>#DIV/0!</v>
      </c>
      <c r="AA46" s="241"/>
      <c r="AB46" s="45" t="e">
        <f t="shared" si="21"/>
        <v>#DIV/0!</v>
      </c>
      <c r="AC46" s="45" t="e">
        <f t="shared" si="21"/>
        <v>#DIV/0!</v>
      </c>
      <c r="AD46" s="241"/>
      <c r="AE46" s="45" t="e">
        <f t="shared" ref="AE46:AF46" si="55">AE57/AE60*100</f>
        <v>#DIV/0!</v>
      </c>
      <c r="AF46" s="45" t="e">
        <f t="shared" si="55"/>
        <v>#DIV/0!</v>
      </c>
      <c r="AH46" s="45" t="e">
        <f t="shared" ref="AH46:AI46" si="56">AH57/AH60*100</f>
        <v>#DIV/0!</v>
      </c>
      <c r="AI46" s="45" t="e">
        <f t="shared" si="56"/>
        <v>#DIV/0!</v>
      </c>
      <c r="AJ46" s="241"/>
      <c r="AK46" s="45" t="e">
        <f t="shared" ref="AK46:AL46" si="57">AK57/AK60*100</f>
        <v>#DIV/0!</v>
      </c>
      <c r="AL46" s="45" t="e">
        <f t="shared" si="57"/>
        <v>#DIV/0!</v>
      </c>
      <c r="AM46" s="241"/>
      <c r="AN46" s="45" t="e">
        <f t="shared" ref="AN46:AO46" si="58">AN57/AN60*100</f>
        <v>#DIV/0!</v>
      </c>
      <c r="AO46" s="45" t="e">
        <f t="shared" si="58"/>
        <v>#DIV/0!</v>
      </c>
      <c r="AQ46" s="45" t="e">
        <f t="shared" ref="AQ46:AR46" si="59">AQ57/AQ60*100</f>
        <v>#DIV/0!</v>
      </c>
      <c r="AR46" s="45" t="e">
        <f t="shared" si="59"/>
        <v>#DIV/0!</v>
      </c>
      <c r="AS46" s="241"/>
      <c r="AT46" s="45" t="e">
        <f t="shared" ref="AT46:AU46" si="60">AT57/AT60*100</f>
        <v>#DIV/0!</v>
      </c>
      <c r="AU46" s="45" t="e">
        <f t="shared" si="60"/>
        <v>#DIV/0!</v>
      </c>
      <c r="AW46" s="45" t="e">
        <f t="shared" ref="AW46:AX46" si="61">AW57/AW60*100</f>
        <v>#DIV/0!</v>
      </c>
      <c r="AX46" s="45" t="e">
        <f t="shared" si="61"/>
        <v>#DIV/0!</v>
      </c>
      <c r="AZ46" s="45" t="e">
        <f t="shared" ref="AZ46:BA46" si="62">AZ57/AZ60*100</f>
        <v>#DIV/0!</v>
      </c>
      <c r="BA46" s="45" t="e">
        <f t="shared" si="62"/>
        <v>#DIV/0!</v>
      </c>
      <c r="BB46" s="241"/>
      <c r="BC46" s="45" t="e">
        <f t="shared" ref="BC46:BD46" si="63">BC57/BC60*100</f>
        <v>#DIV/0!</v>
      </c>
      <c r="BD46" s="45" t="e">
        <f t="shared" si="63"/>
        <v>#DIV/0!</v>
      </c>
      <c r="BE46" s="241"/>
      <c r="BF46" s="45" t="e">
        <f t="shared" ref="BF46:BG46" si="64">BF57/BF60*100</f>
        <v>#DIV/0!</v>
      </c>
      <c r="BG46" s="45" t="e">
        <f t="shared" si="64"/>
        <v>#DIV/0!</v>
      </c>
      <c r="BI46" s="45" t="e">
        <f t="shared" ref="BI46:BJ46" si="65">BI57/BI60*100</f>
        <v>#DIV/0!</v>
      </c>
      <c r="BJ46" s="45" t="e">
        <f t="shared" si="65"/>
        <v>#DIV/0!</v>
      </c>
      <c r="BK46" s="241"/>
      <c r="BL46" s="45" t="e">
        <f t="shared" ref="BL46:BM46" si="66">BL57/BL60*100</f>
        <v>#DIV/0!</v>
      </c>
      <c r="BM46" s="45" t="e">
        <f t="shared" si="66"/>
        <v>#DIV/0!</v>
      </c>
      <c r="BN46" s="241"/>
      <c r="BO46" s="45" t="e">
        <f t="shared" ref="BO46:BP46" si="67">BO57/BO60*100</f>
        <v>#DIV/0!</v>
      </c>
      <c r="BP46" s="45" t="e">
        <f t="shared" si="67"/>
        <v>#DIV/0!</v>
      </c>
      <c r="BR46" s="45" t="e">
        <f t="shared" ref="BR46:BS46" si="68">BR57/BR60*100</f>
        <v>#DIV/0!</v>
      </c>
      <c r="BS46" s="45" t="e">
        <f t="shared" si="68"/>
        <v>#DIV/0!</v>
      </c>
      <c r="BT46" s="241"/>
      <c r="BU46" s="45" t="e">
        <f t="shared" ref="BU46:BV46" si="69">BU57/BU60*100</f>
        <v>#DIV/0!</v>
      </c>
      <c r="BV46" s="45" t="e">
        <f t="shared" si="69"/>
        <v>#DIV/0!</v>
      </c>
      <c r="BW46" s="241"/>
      <c r="BX46" s="45" t="e">
        <f t="shared" ref="BX46:BY46" si="70">BX57/BX60*100</f>
        <v>#DIV/0!</v>
      </c>
      <c r="BY46" s="45" t="e">
        <f t="shared" si="70"/>
        <v>#DIV/0!</v>
      </c>
      <c r="CA46" s="45" t="e">
        <f t="shared" ref="CA46:CB46" si="71">CA57/CA60*100</f>
        <v>#DIV/0!</v>
      </c>
      <c r="CB46" s="45" t="e">
        <f t="shared" si="71"/>
        <v>#DIV/0!</v>
      </c>
      <c r="CC46" s="241"/>
      <c r="CD46" s="45" t="e">
        <f t="shared" ref="CD46:CE46" si="72">CD57/CD60*100</f>
        <v>#DIV/0!</v>
      </c>
      <c r="CE46" s="45" t="e">
        <f t="shared" si="72"/>
        <v>#DIV/0!</v>
      </c>
      <c r="CF46" s="241"/>
      <c r="CG46" s="45" t="e">
        <f t="shared" ref="CG46:CH46" si="73">CG57/CG60*100</f>
        <v>#DIV/0!</v>
      </c>
      <c r="CH46" s="45" t="e">
        <f t="shared" si="73"/>
        <v>#DIV/0!</v>
      </c>
      <c r="CJ46" s="45" t="e">
        <f t="shared" ref="CJ46:CK46" si="74">CJ57/CJ60*100</f>
        <v>#DIV/0!</v>
      </c>
      <c r="CK46" s="45" t="e">
        <f t="shared" si="74"/>
        <v>#DIV/0!</v>
      </c>
      <c r="CL46" s="241"/>
      <c r="CM46" s="45" t="e">
        <f t="shared" ref="CM46:CN46" si="75">CM57/CM60*100</f>
        <v>#DIV/0!</v>
      </c>
      <c r="CN46" s="45" t="e">
        <f t="shared" si="75"/>
        <v>#DIV/0!</v>
      </c>
      <c r="CO46" s="241"/>
      <c r="CP46" s="45" t="e">
        <f t="shared" ref="CP46:CQ46" si="76">CP57/CP60*100</f>
        <v>#DIV/0!</v>
      </c>
      <c r="CQ46" s="45" t="e">
        <f t="shared" si="76"/>
        <v>#DIV/0!</v>
      </c>
      <c r="CS46" s="45" t="e">
        <f t="shared" ref="CS46:CT46" si="77">CS57/CS60*100</f>
        <v>#DIV/0!</v>
      </c>
      <c r="CT46" s="45" t="e">
        <f t="shared" si="77"/>
        <v>#DIV/0!</v>
      </c>
      <c r="CU46" s="241"/>
      <c r="CV46" s="45" t="e">
        <f t="shared" ref="CV46:CW46" si="78">CV57/CV60*100</f>
        <v>#DIV/0!</v>
      </c>
      <c r="CW46" s="45" t="e">
        <f t="shared" si="78"/>
        <v>#DIV/0!</v>
      </c>
      <c r="CX46" s="241"/>
      <c r="CY46" s="45" t="e">
        <f t="shared" ref="CY46:CZ46" si="79">CY57/CY60*100</f>
        <v>#DIV/0!</v>
      </c>
      <c r="CZ46" s="45" t="e">
        <f t="shared" si="79"/>
        <v>#DIV/0!</v>
      </c>
      <c r="DB46" s="45" t="e">
        <f t="shared" ref="DB46:DC46" si="80">DB57/DB60*100</f>
        <v>#DIV/0!</v>
      </c>
      <c r="DC46" s="45" t="e">
        <f t="shared" si="80"/>
        <v>#DIV/0!</v>
      </c>
      <c r="DD46" s="241"/>
      <c r="DE46" s="45">
        <f t="shared" ref="DE46:DF46" si="81">DE57/DE60*100</f>
        <v>100</v>
      </c>
      <c r="DF46" s="45" t="e">
        <f t="shared" si="81"/>
        <v>#DIV/0!</v>
      </c>
    </row>
    <row r="47" spans="1:110" ht="45" hidden="1" customHeight="1" x14ac:dyDescent="0.25">
      <c r="A47" s="419"/>
      <c r="B47" s="419" t="s">
        <v>340</v>
      </c>
      <c r="C47" s="6" t="s">
        <v>341</v>
      </c>
      <c r="D47" s="6" t="s">
        <v>950</v>
      </c>
      <c r="E47" s="12"/>
      <c r="F47" s="35">
        <v>5893</v>
      </c>
      <c r="G47" s="35">
        <v>5967</v>
      </c>
      <c r="H47" s="35"/>
      <c r="I47" s="35"/>
      <c r="J47" s="35"/>
      <c r="K47" s="35"/>
      <c r="L47" s="35"/>
      <c r="M47" s="20"/>
    </row>
    <row r="48" spans="1:110" ht="30" hidden="1" x14ac:dyDescent="0.25">
      <c r="A48" s="421"/>
      <c r="B48" s="421"/>
      <c r="C48" s="6" t="s">
        <v>342</v>
      </c>
      <c r="D48" s="6" t="s">
        <v>950</v>
      </c>
      <c r="E48" s="12"/>
      <c r="F48" s="35">
        <v>351</v>
      </c>
      <c r="G48" s="35">
        <v>191</v>
      </c>
      <c r="H48" s="35"/>
      <c r="I48" s="35"/>
      <c r="J48" s="35"/>
      <c r="K48" s="35"/>
      <c r="L48" s="35"/>
    </row>
    <row r="49" spans="1:114" ht="45" hidden="1" customHeight="1" x14ac:dyDescent="0.25">
      <c r="A49" s="419"/>
      <c r="B49" s="419" t="s">
        <v>343</v>
      </c>
      <c r="C49" s="6" t="s">
        <v>326</v>
      </c>
      <c r="D49" s="6" t="s">
        <v>950</v>
      </c>
      <c r="E49" s="12"/>
      <c r="F49" s="35">
        <v>6084</v>
      </c>
      <c r="G49" s="35">
        <v>6214</v>
      </c>
      <c r="H49" s="35"/>
      <c r="I49" s="35"/>
      <c r="J49" s="35"/>
      <c r="K49" s="35"/>
      <c r="L49" s="35"/>
      <c r="M49" s="20"/>
    </row>
    <row r="50" spans="1:114" ht="30" hidden="1" x14ac:dyDescent="0.25">
      <c r="A50" s="420"/>
      <c r="B50" s="420"/>
      <c r="C50" s="6" t="s">
        <v>327</v>
      </c>
      <c r="D50" s="6" t="s">
        <v>950</v>
      </c>
      <c r="E50" s="12"/>
      <c r="F50" s="35">
        <v>580</v>
      </c>
      <c r="G50" s="35">
        <v>644</v>
      </c>
      <c r="H50" s="35"/>
      <c r="I50" s="35"/>
      <c r="J50" s="35"/>
      <c r="K50" s="35"/>
      <c r="L50" s="35"/>
    </row>
    <row r="51" spans="1:114" ht="45" hidden="1" x14ac:dyDescent="0.25">
      <c r="A51" s="420"/>
      <c r="B51" s="420"/>
      <c r="C51" s="6" t="s">
        <v>344</v>
      </c>
      <c r="D51" s="6" t="s">
        <v>950</v>
      </c>
      <c r="E51" s="12"/>
      <c r="F51" s="35">
        <v>0</v>
      </c>
      <c r="G51" s="35">
        <v>0</v>
      </c>
      <c r="H51" s="35"/>
      <c r="I51" s="35"/>
      <c r="J51" s="35"/>
      <c r="K51" s="35"/>
      <c r="L51" s="35"/>
    </row>
    <row r="52" spans="1:114" ht="30" hidden="1" x14ac:dyDescent="0.25">
      <c r="A52" s="420"/>
      <c r="B52" s="420"/>
      <c r="C52" s="6" t="s">
        <v>345</v>
      </c>
      <c r="D52" s="6" t="s">
        <v>950</v>
      </c>
      <c r="E52" s="12"/>
      <c r="F52" s="35">
        <v>0</v>
      </c>
      <c r="G52" s="35">
        <v>0</v>
      </c>
      <c r="H52" s="35"/>
      <c r="I52" s="35"/>
      <c r="J52" s="35"/>
      <c r="K52" s="35"/>
      <c r="L52" s="35"/>
    </row>
    <row r="53" spans="1:114" ht="45" hidden="1" x14ac:dyDescent="0.25">
      <c r="A53" s="420"/>
      <c r="B53" s="420"/>
      <c r="C53" s="6" t="s">
        <v>346</v>
      </c>
      <c r="D53" s="6" t="s">
        <v>950</v>
      </c>
      <c r="E53" s="12"/>
      <c r="F53" s="35">
        <v>0</v>
      </c>
      <c r="G53" s="35">
        <v>0</v>
      </c>
      <c r="H53" s="35"/>
      <c r="I53" s="35"/>
      <c r="J53" s="35"/>
      <c r="K53" s="35"/>
      <c r="L53" s="35"/>
    </row>
    <row r="54" spans="1:114" ht="30" hidden="1" x14ac:dyDescent="0.25">
      <c r="A54" s="421"/>
      <c r="B54" s="421"/>
      <c r="C54" s="6" t="s">
        <v>347</v>
      </c>
      <c r="D54" s="6" t="s">
        <v>950</v>
      </c>
      <c r="E54" s="12"/>
      <c r="F54" s="35">
        <v>0</v>
      </c>
      <c r="G54" s="35">
        <v>0</v>
      </c>
      <c r="H54" s="35"/>
      <c r="I54" s="35"/>
      <c r="J54" s="35"/>
      <c r="K54" s="35"/>
      <c r="L54" s="35"/>
    </row>
    <row r="55" spans="1:114" ht="45" x14ac:dyDescent="0.25">
      <c r="A55" s="152"/>
      <c r="B55" s="152"/>
      <c r="C55" s="6" t="s">
        <v>2040</v>
      </c>
      <c r="D55" s="6"/>
      <c r="E55" s="12"/>
      <c r="F55" s="12"/>
      <c r="G55" s="12"/>
      <c r="H55" s="12"/>
      <c r="I55" s="12"/>
      <c r="J55" s="12"/>
      <c r="K55" s="12"/>
      <c r="L55" s="12"/>
    </row>
    <row r="56" spans="1:114" x14ac:dyDescent="0.25">
      <c r="A56" s="175"/>
      <c r="B56" s="175" t="s">
        <v>1182</v>
      </c>
      <c r="C56" s="6"/>
      <c r="D56" s="6"/>
      <c r="E56" s="12"/>
      <c r="F56" s="12"/>
      <c r="G56" s="12"/>
      <c r="H56" s="35"/>
      <c r="I56" s="35">
        <v>5477</v>
      </c>
      <c r="J56" s="35">
        <v>5375</v>
      </c>
      <c r="K56" s="35">
        <v>5288</v>
      </c>
      <c r="L56" s="35">
        <f>5492+42</f>
        <v>5534</v>
      </c>
      <c r="N56" s="241">
        <f t="shared" ref="N56:N57" si="82">P56+S56+V56+Y56+AB56+AE56+AH56+AK56+AN56+AQ56+AW56+AZ56+BC56+BF56+BI56+BL56+BO56+BR56+BU56+BX56+CA56+CD56+CG56+CJ56+AT56+DE56</f>
        <v>5288</v>
      </c>
      <c r="O56" s="241">
        <f t="shared" ref="O56:O57" si="83">Q56+T56+W56+Z56+AC56+AF56+AI56+AL56+AO56+AR56+AX56+BA56+BD56+BG56+BJ56+BM56+BP56+BS56+BV56+BY56+CB56+CE56+CH56+CK56+AU56+DF56</f>
        <v>0</v>
      </c>
      <c r="P56">
        <v>0</v>
      </c>
      <c r="S56">
        <f>297+42</f>
        <v>339</v>
      </c>
      <c r="V56">
        <v>401</v>
      </c>
      <c r="Y56">
        <v>1068</v>
      </c>
      <c r="AB56">
        <v>0</v>
      </c>
      <c r="AE56">
        <v>0</v>
      </c>
      <c r="AH56">
        <v>0</v>
      </c>
      <c r="AK56">
        <v>168</v>
      </c>
      <c r="AN56">
        <v>0</v>
      </c>
      <c r="AQ56">
        <v>268</v>
      </c>
      <c r="AT56" s="241">
        <v>98</v>
      </c>
      <c r="AW56">
        <v>142</v>
      </c>
      <c r="AZ56">
        <v>652</v>
      </c>
      <c r="BC56">
        <v>0</v>
      </c>
      <c r="BF56">
        <v>463</v>
      </c>
      <c r="BI56">
        <v>267</v>
      </c>
      <c r="BL56">
        <v>221</v>
      </c>
      <c r="BO56">
        <v>142</v>
      </c>
      <c r="BR56">
        <v>267</v>
      </c>
      <c r="BU56">
        <v>123</v>
      </c>
      <c r="BX56">
        <v>201</v>
      </c>
      <c r="CA56">
        <v>206</v>
      </c>
      <c r="CD56">
        <v>0</v>
      </c>
      <c r="CG56">
        <v>262</v>
      </c>
      <c r="CJ56">
        <v>0</v>
      </c>
    </row>
    <row r="57" spans="1:114" x14ac:dyDescent="0.25">
      <c r="A57" s="175"/>
      <c r="B57" s="175" t="s">
        <v>1184</v>
      </c>
      <c r="C57" s="6"/>
      <c r="D57" s="6"/>
      <c r="E57" s="12"/>
      <c r="F57" s="12"/>
      <c r="G57" s="12"/>
      <c r="H57" s="35"/>
      <c r="I57" s="35">
        <v>15</v>
      </c>
      <c r="J57" s="35">
        <v>54</v>
      </c>
      <c r="K57" s="35">
        <v>90</v>
      </c>
      <c r="L57" s="35">
        <v>150</v>
      </c>
      <c r="N57" s="241">
        <f t="shared" si="82"/>
        <v>90</v>
      </c>
      <c r="O57" s="241">
        <f t="shared" si="83"/>
        <v>0</v>
      </c>
      <c r="DE57">
        <v>90</v>
      </c>
    </row>
    <row r="58" spans="1:114" ht="45" x14ac:dyDescent="0.25">
      <c r="A58" s="152"/>
      <c r="B58" s="152"/>
      <c r="C58" s="6" t="s">
        <v>2041</v>
      </c>
      <c r="D58" s="6"/>
      <c r="E58" s="12"/>
      <c r="F58" s="12"/>
      <c r="G58" s="12"/>
      <c r="H58" s="35"/>
      <c r="I58" s="35"/>
      <c r="J58" s="35"/>
      <c r="K58" s="35"/>
      <c r="L58" s="35"/>
    </row>
    <row r="59" spans="1:114" x14ac:dyDescent="0.25">
      <c r="A59" s="175"/>
      <c r="B59" s="175" t="s">
        <v>1182</v>
      </c>
      <c r="C59" s="6"/>
      <c r="D59" s="6"/>
      <c r="E59" s="12"/>
      <c r="F59" s="12"/>
      <c r="G59" s="12"/>
      <c r="H59" s="35"/>
      <c r="I59" s="35">
        <f>5741-25</f>
        <v>5716</v>
      </c>
      <c r="J59" s="35">
        <v>5602</v>
      </c>
      <c r="K59" s="35">
        <f>K12</f>
        <v>5525</v>
      </c>
      <c r="L59" s="35">
        <f>L12</f>
        <v>0</v>
      </c>
      <c r="N59" s="241">
        <f t="shared" ref="N59:N60" si="84">P59+S59+V59+Y59+AB59+AE59+AH59+AK59+AN59+AQ59+AW59+AZ59+BC59+BF59+BI59+BL59+BO59+BR59+BU59+BX59+CA59+CD59+CG59+CJ59+AT59+DE59</f>
        <v>5525</v>
      </c>
      <c r="O59" s="241">
        <f t="shared" ref="O59:O60" si="85">Q59+T59+W59+Z59+AC59+AF59+AI59+AL59+AO59+AR59+AX59+BA59+BD59+BG59+BJ59+BM59+BP59+BS59+BV59+BY59+CB59+CE59+CH59+CK59+AU59+DF59</f>
        <v>0</v>
      </c>
      <c r="P59">
        <f>P11</f>
        <v>0</v>
      </c>
      <c r="Q59" s="241">
        <f>Q11</f>
        <v>0</v>
      </c>
      <c r="S59" s="241">
        <f>S11</f>
        <v>339</v>
      </c>
      <c r="T59" s="241">
        <f>T11</f>
        <v>0</v>
      </c>
      <c r="V59" s="241">
        <f>V11</f>
        <v>414</v>
      </c>
      <c r="W59" s="241">
        <f>W11</f>
        <v>0</v>
      </c>
      <c r="Y59" s="241">
        <f>Y11</f>
        <v>1270</v>
      </c>
      <c r="Z59" s="241">
        <f>Z11</f>
        <v>0</v>
      </c>
      <c r="AA59" s="241"/>
      <c r="AB59" s="241">
        <f>AB11</f>
        <v>0</v>
      </c>
      <c r="AC59" s="241">
        <f>AC11</f>
        <v>0</v>
      </c>
      <c r="AD59" s="241"/>
      <c r="AE59" s="241">
        <f>AE11</f>
        <v>0</v>
      </c>
      <c r="AF59" s="241">
        <f>AF11</f>
        <v>0</v>
      </c>
      <c r="AH59" s="241">
        <f>AH11</f>
        <v>0</v>
      </c>
      <c r="AI59" s="241">
        <f>AI11</f>
        <v>0</v>
      </c>
      <c r="AJ59" s="241"/>
      <c r="AK59" s="241">
        <f>AK11</f>
        <v>168</v>
      </c>
      <c r="AL59" s="241">
        <f>AL11</f>
        <v>0</v>
      </c>
      <c r="AM59" s="241"/>
      <c r="AN59" s="241">
        <f>AN11</f>
        <v>0</v>
      </c>
      <c r="AO59" s="241">
        <f>AO11</f>
        <v>0</v>
      </c>
      <c r="AQ59" s="241">
        <f>AQ11</f>
        <v>268</v>
      </c>
      <c r="AR59" s="241">
        <f>AR11</f>
        <v>0</v>
      </c>
      <c r="AS59" s="241"/>
      <c r="AT59" s="241">
        <f>AT11</f>
        <v>98</v>
      </c>
      <c r="AU59" s="241">
        <f>AU11</f>
        <v>0</v>
      </c>
      <c r="AW59" s="241">
        <f>AW11</f>
        <v>164</v>
      </c>
      <c r="AX59" s="241">
        <f>AX11</f>
        <v>0</v>
      </c>
      <c r="AZ59" s="241">
        <f>AZ11</f>
        <v>652</v>
      </c>
      <c r="BA59" s="241">
        <f>BA11</f>
        <v>0</v>
      </c>
      <c r="BB59" s="241"/>
      <c r="BC59" s="241">
        <f>BC11</f>
        <v>0</v>
      </c>
      <c r="BD59" s="241">
        <f>BD11</f>
        <v>0</v>
      </c>
      <c r="BE59" s="241"/>
      <c r="BF59" s="241">
        <f>BF11</f>
        <v>463</v>
      </c>
      <c r="BG59" s="241">
        <f>BG11</f>
        <v>0</v>
      </c>
      <c r="BI59" s="241">
        <f>BI11</f>
        <v>267</v>
      </c>
      <c r="BJ59" s="241">
        <f>BJ11</f>
        <v>0</v>
      </c>
      <c r="BK59" s="241"/>
      <c r="BL59" s="241">
        <f>BL11</f>
        <v>221</v>
      </c>
      <c r="BM59" s="241">
        <f>BM11</f>
        <v>0</v>
      </c>
      <c r="BN59" s="241"/>
      <c r="BO59" s="241">
        <f>BO11</f>
        <v>142</v>
      </c>
      <c r="BP59" s="241">
        <f>BP11</f>
        <v>0</v>
      </c>
      <c r="BR59" s="241">
        <f>BR11</f>
        <v>267</v>
      </c>
      <c r="BS59" s="241">
        <f>BS11</f>
        <v>0</v>
      </c>
      <c r="BT59" s="241"/>
      <c r="BU59" s="241">
        <f>BU11</f>
        <v>123</v>
      </c>
      <c r="BV59" s="241">
        <f>BV11</f>
        <v>0</v>
      </c>
      <c r="BW59" s="241"/>
      <c r="BX59" s="241">
        <f>BX11</f>
        <v>201</v>
      </c>
      <c r="BY59" s="241">
        <f>BY11</f>
        <v>0</v>
      </c>
      <c r="CA59" s="241">
        <f>CA11</f>
        <v>206</v>
      </c>
      <c r="CB59" s="241">
        <f>CB11</f>
        <v>0</v>
      </c>
      <c r="CC59" s="241"/>
      <c r="CD59" s="241">
        <f>CD11</f>
        <v>0</v>
      </c>
      <c r="CE59" s="241">
        <f>CE11</f>
        <v>0</v>
      </c>
      <c r="CF59" s="241"/>
      <c r="CG59" s="241">
        <f>CG11</f>
        <v>262</v>
      </c>
      <c r="CH59" s="241">
        <f>CH11</f>
        <v>0</v>
      </c>
      <c r="CJ59" s="241">
        <f>CJ11</f>
        <v>0</v>
      </c>
      <c r="CK59" s="241">
        <f>CK11</f>
        <v>0</v>
      </c>
      <c r="CL59" s="241"/>
      <c r="CM59" s="241">
        <f>CM11</f>
        <v>0</v>
      </c>
      <c r="CN59" s="241">
        <f>CN11</f>
        <v>0</v>
      </c>
      <c r="CO59" s="241"/>
      <c r="CP59" s="241">
        <f>CP11</f>
        <v>0</v>
      </c>
      <c r="CQ59" s="241">
        <f>CQ11</f>
        <v>0</v>
      </c>
      <c r="CS59" s="241">
        <f>CS11</f>
        <v>0</v>
      </c>
      <c r="CT59" s="241">
        <f>CT11</f>
        <v>0</v>
      </c>
      <c r="CU59" s="241"/>
      <c r="CV59" s="241">
        <f>CV11</f>
        <v>0</v>
      </c>
      <c r="CW59" s="241">
        <f>CW11</f>
        <v>0</v>
      </c>
      <c r="CX59" s="241"/>
      <c r="CY59" s="241">
        <f>CY11</f>
        <v>0</v>
      </c>
      <c r="CZ59" s="241">
        <f>CZ11</f>
        <v>0</v>
      </c>
      <c r="DB59" s="241">
        <f>DB11</f>
        <v>0</v>
      </c>
      <c r="DC59" s="241">
        <f>DC11</f>
        <v>0</v>
      </c>
      <c r="DD59" s="241"/>
      <c r="DE59" s="241"/>
      <c r="DF59" s="241"/>
    </row>
    <row r="60" spans="1:114" x14ac:dyDescent="0.25">
      <c r="A60" s="175"/>
      <c r="B60" s="175" t="s">
        <v>1184</v>
      </c>
      <c r="C60" s="6"/>
      <c r="D60" s="6"/>
      <c r="E60" s="12"/>
      <c r="F60" s="12"/>
      <c r="G60" s="12"/>
      <c r="H60" s="35"/>
      <c r="I60" s="35">
        <v>15</v>
      </c>
      <c r="J60" s="35">
        <v>54</v>
      </c>
      <c r="K60" s="35">
        <f>K13</f>
        <v>90</v>
      </c>
      <c r="L60" s="35">
        <f>L13</f>
        <v>0</v>
      </c>
      <c r="N60" s="241">
        <f t="shared" si="84"/>
        <v>90</v>
      </c>
      <c r="O60" s="241">
        <f t="shared" si="85"/>
        <v>0</v>
      </c>
      <c r="DE60" s="241">
        <f>DE11</f>
        <v>90</v>
      </c>
      <c r="DF60" s="241">
        <f>DF11</f>
        <v>0</v>
      </c>
    </row>
    <row r="61" spans="1:114" x14ac:dyDescent="0.25">
      <c r="A61" s="44"/>
      <c r="B61" s="43" t="s">
        <v>348</v>
      </c>
      <c r="C61" s="42"/>
      <c r="D61" s="42" t="s">
        <v>8</v>
      </c>
      <c r="E61" s="45">
        <v>3.1</v>
      </c>
      <c r="F61" s="45">
        <f>(F64+F65)/(F66+F67+F68+F69+F70+F71)*100</f>
        <v>3.8565426170468187</v>
      </c>
      <c r="G61" s="45">
        <f>(G64+G65)/(G66+G67+G68+G69+G70+G71)*100</f>
        <v>4.913969087197434</v>
      </c>
      <c r="H61" s="45">
        <v>3.66</v>
      </c>
      <c r="I61" s="45"/>
      <c r="J61" s="45"/>
      <c r="K61" s="45"/>
      <c r="L61" s="45"/>
    </row>
    <row r="62" spans="1:114" x14ac:dyDescent="0.25">
      <c r="A62" s="176"/>
      <c r="B62" s="66" t="s">
        <v>1182</v>
      </c>
      <c r="C62" s="42"/>
      <c r="D62" s="42"/>
      <c r="E62" s="45"/>
      <c r="F62" s="45"/>
      <c r="G62" s="45"/>
      <c r="H62" s="45"/>
      <c r="I62" s="45">
        <f t="shared" ref="I62:K63" si="86">I73/I76*100</f>
        <v>4.1812456263121067</v>
      </c>
      <c r="J62" s="45">
        <f t="shared" si="86"/>
        <v>4.0521242413423781</v>
      </c>
      <c r="K62" s="45">
        <f t="shared" si="86"/>
        <v>4.2895927601809953</v>
      </c>
      <c r="L62" s="45" t="e">
        <f t="shared" ref="L62" si="87">L73/L76*100</f>
        <v>#DIV/0!</v>
      </c>
      <c r="N62" s="45">
        <f t="shared" ref="N62:P63" si="88">N73/N76*100</f>
        <v>4.2895927601809953</v>
      </c>
      <c r="O62" s="45" t="e">
        <f t="shared" si="88"/>
        <v>#DIV/0!</v>
      </c>
      <c r="P62" s="45" t="e">
        <f t="shared" ref="P62:Q62" si="89">P73/P76*100</f>
        <v>#DIV/0!</v>
      </c>
      <c r="Q62" s="45" t="e">
        <f t="shared" si="89"/>
        <v>#DIV/0!</v>
      </c>
      <c r="S62" s="45">
        <f t="shared" ref="S62:T63" si="90">S73/S76*100</f>
        <v>0</v>
      </c>
      <c r="T62" s="45" t="e">
        <f t="shared" si="90"/>
        <v>#DIV/0!</v>
      </c>
      <c r="V62" s="45">
        <f t="shared" ref="V62:W62" si="91">V73/V76*100</f>
        <v>3.1400966183574881</v>
      </c>
      <c r="W62" s="45" t="e">
        <f t="shared" si="91"/>
        <v>#DIV/0!</v>
      </c>
      <c r="Y62" s="45">
        <f t="shared" ref="Y62:Z63" si="92">Y73/Y76*100</f>
        <v>15.905511811023624</v>
      </c>
      <c r="Z62" s="45" t="e">
        <f t="shared" si="92"/>
        <v>#DIV/0!</v>
      </c>
      <c r="AA62" s="241"/>
      <c r="AB62" s="45" t="e">
        <f t="shared" ref="AB62:AC62" si="93">AB73/AB76*100</f>
        <v>#DIV/0!</v>
      </c>
      <c r="AC62" s="45" t="e">
        <f t="shared" si="93"/>
        <v>#DIV/0!</v>
      </c>
      <c r="AD62" s="241"/>
      <c r="AE62" s="45" t="e">
        <f t="shared" ref="AE62:AF62" si="94">AE73/AE76*100</f>
        <v>#DIV/0!</v>
      </c>
      <c r="AF62" s="45" t="e">
        <f t="shared" si="94"/>
        <v>#DIV/0!</v>
      </c>
      <c r="AH62" s="45" t="e">
        <f t="shared" ref="AH62:AI62" si="95">AH73/AH76*100</f>
        <v>#DIV/0!</v>
      </c>
      <c r="AI62" s="45" t="e">
        <f t="shared" si="95"/>
        <v>#DIV/0!</v>
      </c>
      <c r="AJ62" s="241"/>
      <c r="AK62" s="45">
        <f t="shared" ref="AK62:AL62" si="96">AK73/AK76*100</f>
        <v>0</v>
      </c>
      <c r="AL62" s="45" t="e">
        <f t="shared" si="96"/>
        <v>#DIV/0!</v>
      </c>
      <c r="AM62" s="241"/>
      <c r="AN62" s="45" t="e">
        <f t="shared" ref="AN62:AO62" si="97">AN73/AN76*100</f>
        <v>#DIV/0!</v>
      </c>
      <c r="AO62" s="45" t="e">
        <f t="shared" si="97"/>
        <v>#DIV/0!</v>
      </c>
      <c r="AQ62" s="45">
        <f t="shared" ref="AQ62:AR62" si="98">AQ73/AQ76*100</f>
        <v>0</v>
      </c>
      <c r="AR62" s="45" t="e">
        <f t="shared" si="98"/>
        <v>#DIV/0!</v>
      </c>
      <c r="AS62" s="241"/>
      <c r="AT62" s="45">
        <f t="shared" ref="AT62:AU62" si="99">AT73/AT76*100</f>
        <v>0</v>
      </c>
      <c r="AU62" s="45" t="e">
        <f t="shared" si="99"/>
        <v>#DIV/0!</v>
      </c>
      <c r="AW62" s="45">
        <f t="shared" ref="AW62:AX62" si="100">AW73/AW76*100</f>
        <v>13.414634146341465</v>
      </c>
      <c r="AX62" s="45" t="e">
        <f t="shared" si="100"/>
        <v>#DIV/0!</v>
      </c>
      <c r="AZ62" s="45">
        <f t="shared" ref="AZ62:BA62" si="101">AZ73/AZ76*100</f>
        <v>0</v>
      </c>
      <c r="BA62" s="45" t="e">
        <f t="shared" si="101"/>
        <v>#DIV/0!</v>
      </c>
      <c r="BB62" s="241"/>
      <c r="BC62" s="45" t="e">
        <f t="shared" ref="BC62:BD62" si="102">BC73/BC76*100</f>
        <v>#DIV/0!</v>
      </c>
      <c r="BD62" s="45" t="e">
        <f t="shared" si="102"/>
        <v>#DIV/0!</v>
      </c>
      <c r="BE62" s="241"/>
      <c r="BF62" s="45">
        <f t="shared" ref="BF62:BG62" si="103">BF73/BF76*100</f>
        <v>0</v>
      </c>
      <c r="BG62" s="45" t="e">
        <f t="shared" si="103"/>
        <v>#DIV/0!</v>
      </c>
      <c r="BI62" s="45">
        <f t="shared" ref="BI62:BJ62" si="104">BI73/BI76*100</f>
        <v>0</v>
      </c>
      <c r="BJ62" s="45" t="e">
        <f t="shared" si="104"/>
        <v>#DIV/0!</v>
      </c>
      <c r="BK62" s="241"/>
      <c r="BL62" s="45">
        <f t="shared" ref="BL62:BM62" si="105">BL73/BL76*100</f>
        <v>0</v>
      </c>
      <c r="BM62" s="45" t="e">
        <f t="shared" si="105"/>
        <v>#DIV/0!</v>
      </c>
      <c r="BN62" s="241"/>
      <c r="BO62" s="45">
        <f t="shared" ref="BO62:BP62" si="106">BO73/BO76*100</f>
        <v>0</v>
      </c>
      <c r="BP62" s="45" t="e">
        <f t="shared" si="106"/>
        <v>#DIV/0!</v>
      </c>
      <c r="BR62" s="45">
        <f t="shared" ref="BR62:BS62" si="107">BR73/BR76*100</f>
        <v>0</v>
      </c>
      <c r="BS62" s="45" t="e">
        <f t="shared" si="107"/>
        <v>#DIV/0!</v>
      </c>
      <c r="BT62" s="241"/>
      <c r="BU62" s="45">
        <f t="shared" ref="BU62:BV62" si="108">BU73/BU76*100</f>
        <v>0</v>
      </c>
      <c r="BV62" s="45" t="e">
        <f t="shared" si="108"/>
        <v>#DIV/0!</v>
      </c>
      <c r="BW62" s="241"/>
      <c r="BX62" s="45">
        <f t="shared" ref="BX62:BY62" si="109">BX73/BX76*100</f>
        <v>0</v>
      </c>
      <c r="BY62" s="45" t="e">
        <f t="shared" si="109"/>
        <v>#DIV/0!</v>
      </c>
      <c r="CA62" s="45">
        <f t="shared" ref="CA62:CB62" si="110">CA73/CA76*100</f>
        <v>0</v>
      </c>
      <c r="CB62" s="45" t="e">
        <f t="shared" si="110"/>
        <v>#DIV/0!</v>
      </c>
      <c r="CC62" s="241"/>
      <c r="CD62" s="45" t="e">
        <f t="shared" ref="CD62:CE62" si="111">CD73/CD76*100</f>
        <v>#DIV/0!</v>
      </c>
      <c r="CE62" s="45" t="e">
        <f t="shared" si="111"/>
        <v>#DIV/0!</v>
      </c>
      <c r="CF62" s="241"/>
      <c r="CG62" s="45">
        <f t="shared" ref="CG62:CH62" si="112">CG73/CG76*100</f>
        <v>0</v>
      </c>
      <c r="CH62" s="45" t="e">
        <f t="shared" si="112"/>
        <v>#DIV/0!</v>
      </c>
      <c r="CJ62" s="45" t="e">
        <f t="shared" ref="CJ62:CK62" si="113">CJ73/CJ76*100</f>
        <v>#DIV/0!</v>
      </c>
      <c r="CK62" s="45" t="e">
        <f t="shared" si="113"/>
        <v>#DIV/0!</v>
      </c>
      <c r="CL62" s="241"/>
      <c r="CM62" s="45" t="e">
        <f t="shared" ref="CM62:CN62" si="114">CM73/CM76*100</f>
        <v>#DIV/0!</v>
      </c>
      <c r="CN62" s="45" t="e">
        <f t="shared" si="114"/>
        <v>#DIV/0!</v>
      </c>
      <c r="CO62" s="241"/>
      <c r="CP62" s="45" t="e">
        <f t="shared" ref="CP62:CQ62" si="115">CP73/CP76*100</f>
        <v>#DIV/0!</v>
      </c>
      <c r="CQ62" s="45" t="e">
        <f t="shared" si="115"/>
        <v>#DIV/0!</v>
      </c>
      <c r="CS62" s="45" t="e">
        <f t="shared" ref="CS62:CT62" si="116">CS73/CS76*100</f>
        <v>#DIV/0!</v>
      </c>
      <c r="CT62" s="45" t="e">
        <f t="shared" si="116"/>
        <v>#DIV/0!</v>
      </c>
      <c r="CU62" s="241"/>
      <c r="CV62" s="45" t="e">
        <f t="shared" ref="CV62:CW62" si="117">CV73/CV76*100</f>
        <v>#DIV/0!</v>
      </c>
      <c r="CW62" s="45" t="e">
        <f t="shared" si="117"/>
        <v>#DIV/0!</v>
      </c>
      <c r="CX62" s="241"/>
      <c r="CY62" s="45" t="e">
        <f t="shared" ref="CY62:CZ62" si="118">CY73/CY76*100</f>
        <v>#DIV/0!</v>
      </c>
      <c r="CZ62" s="45" t="e">
        <f t="shared" si="118"/>
        <v>#DIV/0!</v>
      </c>
      <c r="DB62" s="45" t="e">
        <f t="shared" ref="DB62:DC62" si="119">DB73/DB76*100</f>
        <v>#DIV/0!</v>
      </c>
      <c r="DC62" s="45" t="e">
        <f t="shared" si="119"/>
        <v>#DIV/0!</v>
      </c>
      <c r="DD62" s="241"/>
      <c r="DE62" s="45" t="e">
        <f t="shared" ref="DE62:DF62" si="120">DE73/DE76*100</f>
        <v>#DIV/0!</v>
      </c>
      <c r="DF62" s="45" t="e">
        <f t="shared" si="120"/>
        <v>#DIV/0!</v>
      </c>
      <c r="DG62" s="241"/>
      <c r="DH62" s="241"/>
      <c r="DI62" s="241"/>
      <c r="DJ62" s="241"/>
    </row>
    <row r="63" spans="1:114" x14ac:dyDescent="0.25">
      <c r="A63" s="44"/>
      <c r="B63" s="43" t="s">
        <v>1184</v>
      </c>
      <c r="C63" s="42"/>
      <c r="D63" s="42"/>
      <c r="E63" s="45"/>
      <c r="F63" s="45"/>
      <c r="G63" s="45"/>
      <c r="H63" s="45"/>
      <c r="I63" s="45">
        <f t="shared" si="86"/>
        <v>0</v>
      </c>
      <c r="J63" s="45">
        <f t="shared" si="86"/>
        <v>0</v>
      </c>
      <c r="K63" s="45">
        <f t="shared" si="86"/>
        <v>0</v>
      </c>
      <c r="L63" s="45" t="e">
        <f t="shared" ref="L63" si="121">L74/L77*100</f>
        <v>#DIV/0!</v>
      </c>
      <c r="N63" s="45">
        <f t="shared" ref="N63" si="122">N74/N77*100</f>
        <v>0</v>
      </c>
      <c r="O63" s="45" t="e">
        <f t="shared" si="88"/>
        <v>#DIV/0!</v>
      </c>
      <c r="P63" s="45" t="e">
        <f t="shared" si="88"/>
        <v>#DIV/0!</v>
      </c>
      <c r="Q63" s="45" t="e">
        <f t="shared" ref="Q63" si="123">Q74/Q77*100</f>
        <v>#DIV/0!</v>
      </c>
      <c r="S63" s="45" t="e">
        <f t="shared" ref="S63" si="124">S74/S77*100</f>
        <v>#DIV/0!</v>
      </c>
      <c r="T63" s="45" t="e">
        <f t="shared" si="90"/>
        <v>#DIV/0!</v>
      </c>
      <c r="V63" s="45" t="e">
        <f t="shared" ref="V63:W63" si="125">V74/V77*100</f>
        <v>#DIV/0!</v>
      </c>
      <c r="W63" s="45" t="e">
        <f t="shared" si="125"/>
        <v>#DIV/0!</v>
      </c>
      <c r="Y63" s="45" t="e">
        <f t="shared" ref="Y63" si="126">Y74/Y77*100</f>
        <v>#DIV/0!</v>
      </c>
      <c r="Z63" s="45" t="e">
        <f t="shared" si="92"/>
        <v>#DIV/0!</v>
      </c>
      <c r="AA63" s="241"/>
      <c r="AB63" s="45" t="e">
        <f t="shared" ref="AB63:AC63" si="127">AB74/AB77*100</f>
        <v>#DIV/0!</v>
      </c>
      <c r="AC63" s="45" t="e">
        <f t="shared" si="127"/>
        <v>#DIV/0!</v>
      </c>
      <c r="AD63" s="241"/>
      <c r="AE63" s="45" t="e">
        <f t="shared" ref="AE63:AF63" si="128">AE74/AE77*100</f>
        <v>#DIV/0!</v>
      </c>
      <c r="AF63" s="45" t="e">
        <f t="shared" si="128"/>
        <v>#DIV/0!</v>
      </c>
      <c r="AH63" s="45" t="e">
        <f t="shared" ref="AH63:AI63" si="129">AH74/AH77*100</f>
        <v>#DIV/0!</v>
      </c>
      <c r="AI63" s="45" t="e">
        <f t="shared" si="129"/>
        <v>#DIV/0!</v>
      </c>
      <c r="AJ63" s="241"/>
      <c r="AK63" s="45" t="e">
        <f t="shared" ref="AK63:AL63" si="130">AK74/AK77*100</f>
        <v>#DIV/0!</v>
      </c>
      <c r="AL63" s="45" t="e">
        <f t="shared" si="130"/>
        <v>#DIV/0!</v>
      </c>
      <c r="AM63" s="241"/>
      <c r="AN63" s="45" t="e">
        <f t="shared" ref="AN63:AO63" si="131">AN74/AN77*100</f>
        <v>#DIV/0!</v>
      </c>
      <c r="AO63" s="45" t="e">
        <f t="shared" si="131"/>
        <v>#DIV/0!</v>
      </c>
      <c r="AQ63" s="45" t="e">
        <f t="shared" ref="AQ63:AR63" si="132">AQ74/AQ77*100</f>
        <v>#DIV/0!</v>
      </c>
      <c r="AR63" s="45" t="e">
        <f t="shared" si="132"/>
        <v>#DIV/0!</v>
      </c>
      <c r="AS63" s="241"/>
      <c r="AT63" s="45" t="e">
        <f t="shared" ref="AT63:AU63" si="133">AT74/AT77*100</f>
        <v>#DIV/0!</v>
      </c>
      <c r="AU63" s="45" t="e">
        <f t="shared" si="133"/>
        <v>#DIV/0!</v>
      </c>
      <c r="AW63" s="45" t="e">
        <f t="shared" ref="AW63:AX63" si="134">AW74/AW77*100</f>
        <v>#DIV/0!</v>
      </c>
      <c r="AX63" s="45" t="e">
        <f t="shared" si="134"/>
        <v>#DIV/0!</v>
      </c>
      <c r="AZ63" s="45" t="e">
        <f t="shared" ref="AZ63:BA63" si="135">AZ74/AZ77*100</f>
        <v>#DIV/0!</v>
      </c>
      <c r="BA63" s="45" t="e">
        <f t="shared" si="135"/>
        <v>#DIV/0!</v>
      </c>
      <c r="BB63" s="241"/>
      <c r="BC63" s="45" t="e">
        <f t="shared" ref="BC63:BD63" si="136">BC74/BC77*100</f>
        <v>#DIV/0!</v>
      </c>
      <c r="BD63" s="45" t="e">
        <f t="shared" si="136"/>
        <v>#DIV/0!</v>
      </c>
      <c r="BE63" s="241"/>
      <c r="BF63" s="45" t="e">
        <f t="shared" ref="BF63:BG63" si="137">BF74/BF77*100</f>
        <v>#DIV/0!</v>
      </c>
      <c r="BG63" s="45" t="e">
        <f t="shared" si="137"/>
        <v>#DIV/0!</v>
      </c>
      <c r="BI63" s="45" t="e">
        <f t="shared" ref="BI63:BJ63" si="138">BI74/BI77*100</f>
        <v>#DIV/0!</v>
      </c>
      <c r="BJ63" s="45" t="e">
        <f t="shared" si="138"/>
        <v>#DIV/0!</v>
      </c>
      <c r="BK63" s="241"/>
      <c r="BL63" s="45" t="e">
        <f t="shared" ref="BL63:BM63" si="139">BL74/BL77*100</f>
        <v>#DIV/0!</v>
      </c>
      <c r="BM63" s="45" t="e">
        <f t="shared" si="139"/>
        <v>#DIV/0!</v>
      </c>
      <c r="BN63" s="241"/>
      <c r="BO63" s="45" t="e">
        <f t="shared" ref="BO63:BP63" si="140">BO74/BO77*100</f>
        <v>#DIV/0!</v>
      </c>
      <c r="BP63" s="45" t="e">
        <f t="shared" si="140"/>
        <v>#DIV/0!</v>
      </c>
      <c r="BR63" s="45" t="e">
        <f t="shared" ref="BR63:BS63" si="141">BR74/BR77*100</f>
        <v>#DIV/0!</v>
      </c>
      <c r="BS63" s="45" t="e">
        <f t="shared" si="141"/>
        <v>#DIV/0!</v>
      </c>
      <c r="BT63" s="241"/>
      <c r="BU63" s="45" t="e">
        <f t="shared" ref="BU63:BV63" si="142">BU74/BU77*100</f>
        <v>#DIV/0!</v>
      </c>
      <c r="BV63" s="45" t="e">
        <f t="shared" si="142"/>
        <v>#DIV/0!</v>
      </c>
      <c r="BW63" s="241"/>
      <c r="BX63" s="45" t="e">
        <f t="shared" ref="BX63:BY63" si="143">BX74/BX77*100</f>
        <v>#DIV/0!</v>
      </c>
      <c r="BY63" s="45" t="e">
        <f t="shared" si="143"/>
        <v>#DIV/0!</v>
      </c>
      <c r="CA63" s="45" t="e">
        <f t="shared" ref="CA63:CB63" si="144">CA74/CA77*100</f>
        <v>#DIV/0!</v>
      </c>
      <c r="CB63" s="45" t="e">
        <f t="shared" si="144"/>
        <v>#DIV/0!</v>
      </c>
      <c r="CC63" s="241"/>
      <c r="CD63" s="45" t="e">
        <f t="shared" ref="CD63:CE63" si="145">CD74/CD77*100</f>
        <v>#DIV/0!</v>
      </c>
      <c r="CE63" s="45" t="e">
        <f t="shared" si="145"/>
        <v>#DIV/0!</v>
      </c>
      <c r="CF63" s="241"/>
      <c r="CG63" s="45" t="e">
        <f t="shared" ref="CG63:CH63" si="146">CG74/CG77*100</f>
        <v>#DIV/0!</v>
      </c>
      <c r="CH63" s="45" t="e">
        <f t="shared" si="146"/>
        <v>#DIV/0!</v>
      </c>
      <c r="CJ63" s="45" t="e">
        <f t="shared" ref="CJ63:CK63" si="147">CJ74/CJ77*100</f>
        <v>#DIV/0!</v>
      </c>
      <c r="CK63" s="45" t="e">
        <f t="shared" si="147"/>
        <v>#DIV/0!</v>
      </c>
      <c r="CL63" s="241"/>
      <c r="CM63" s="45" t="e">
        <f t="shared" ref="CM63:CN63" si="148">CM74/CM77*100</f>
        <v>#DIV/0!</v>
      </c>
      <c r="CN63" s="45" t="e">
        <f t="shared" si="148"/>
        <v>#DIV/0!</v>
      </c>
      <c r="CO63" s="241"/>
      <c r="CP63" s="45" t="e">
        <f t="shared" ref="CP63:CQ63" si="149">CP74/CP77*100</f>
        <v>#DIV/0!</v>
      </c>
      <c r="CQ63" s="45" t="e">
        <f t="shared" si="149"/>
        <v>#DIV/0!</v>
      </c>
      <c r="CS63" s="45" t="e">
        <f t="shared" ref="CS63:CT63" si="150">CS74/CS77*100</f>
        <v>#DIV/0!</v>
      </c>
      <c r="CT63" s="45" t="e">
        <f t="shared" si="150"/>
        <v>#DIV/0!</v>
      </c>
      <c r="CU63" s="241"/>
      <c r="CV63" s="45" t="e">
        <f t="shared" ref="CV63:CW63" si="151">CV74/CV77*100</f>
        <v>#DIV/0!</v>
      </c>
      <c r="CW63" s="45" t="e">
        <f t="shared" si="151"/>
        <v>#DIV/0!</v>
      </c>
      <c r="CX63" s="241"/>
      <c r="CY63" s="45" t="e">
        <f t="shared" ref="CY63:CZ63" si="152">CY74/CY77*100</f>
        <v>#DIV/0!</v>
      </c>
      <c r="CZ63" s="45" t="e">
        <f t="shared" si="152"/>
        <v>#DIV/0!</v>
      </c>
      <c r="DB63" s="45" t="e">
        <f t="shared" ref="DB63:DC63" si="153">DB74/DB77*100</f>
        <v>#DIV/0!</v>
      </c>
      <c r="DC63" s="45" t="e">
        <f t="shared" si="153"/>
        <v>#DIV/0!</v>
      </c>
      <c r="DD63" s="241"/>
      <c r="DE63" s="45">
        <f t="shared" ref="DE63:DF63" si="154">DE74/DE77*100</f>
        <v>0</v>
      </c>
      <c r="DF63" s="45" t="e">
        <f t="shared" si="154"/>
        <v>#DIV/0!</v>
      </c>
      <c r="DG63" s="241"/>
      <c r="DH63" s="241"/>
      <c r="DI63" s="241"/>
      <c r="DJ63" s="241"/>
    </row>
    <row r="64" spans="1:114" ht="45" hidden="1" x14ac:dyDescent="0.25">
      <c r="A64" s="419"/>
      <c r="B64" s="419" t="s">
        <v>349</v>
      </c>
      <c r="C64" s="6" t="s">
        <v>350</v>
      </c>
      <c r="D64" s="6" t="s">
        <v>950</v>
      </c>
      <c r="E64" s="12"/>
      <c r="F64" s="35">
        <v>104</v>
      </c>
      <c r="G64" s="35">
        <v>154</v>
      </c>
      <c r="H64" s="35"/>
      <c r="I64" s="35"/>
      <c r="J64" s="35"/>
      <c r="K64" s="35"/>
      <c r="L64" s="35"/>
      <c r="Y64" s="241"/>
      <c r="Z64" s="241"/>
      <c r="AA64" s="241"/>
      <c r="AB64" s="241"/>
      <c r="AC64" s="241"/>
      <c r="AD64" s="241"/>
      <c r="AE64" s="241"/>
      <c r="AF64" s="241"/>
      <c r="AH64" s="241"/>
      <c r="AI64" s="241"/>
      <c r="AJ64" s="241"/>
      <c r="AK64" s="241"/>
      <c r="AL64" s="241"/>
      <c r="AM64" s="241"/>
      <c r="AN64" s="241"/>
      <c r="AO64" s="241"/>
      <c r="AQ64" s="241"/>
      <c r="AR64" s="241"/>
      <c r="AS64" s="241"/>
      <c r="AW64" s="241"/>
      <c r="AX64" s="241"/>
      <c r="AZ64" s="241"/>
      <c r="BA64" s="241"/>
      <c r="BB64" s="241"/>
      <c r="BC64" s="241"/>
      <c r="BD64" s="241"/>
      <c r="BE64" s="241"/>
      <c r="BF64" s="241"/>
      <c r="BG64" s="241"/>
      <c r="BI64" s="241"/>
      <c r="BJ64" s="241"/>
      <c r="BK64" s="241"/>
      <c r="BL64" s="241"/>
      <c r="BM64" s="241"/>
      <c r="BN64" s="241"/>
      <c r="BO64" s="241"/>
      <c r="BP64" s="241"/>
      <c r="BR64" s="241"/>
      <c r="BS64" s="241"/>
      <c r="BT64" s="241"/>
      <c r="BU64" s="241"/>
      <c r="BV64" s="241"/>
      <c r="BW64" s="241"/>
      <c r="BX64" s="241"/>
      <c r="BY64" s="241"/>
      <c r="CA64" s="241"/>
      <c r="CB64" s="241"/>
      <c r="CC64" s="241"/>
      <c r="CD64" s="241"/>
      <c r="CE64" s="241"/>
      <c r="CF64" s="241"/>
      <c r="CG64" s="241"/>
      <c r="CH64" s="241"/>
      <c r="CJ64" s="241"/>
      <c r="CK64" s="241"/>
      <c r="CL64" s="241"/>
      <c r="CM64" s="241"/>
      <c r="CN64" s="241"/>
      <c r="CO64" s="241"/>
      <c r="CP64" s="241"/>
      <c r="CQ64" s="241"/>
      <c r="CS64" s="241"/>
      <c r="CT64" s="241"/>
      <c r="CU64" s="241"/>
      <c r="CV64" s="241"/>
      <c r="CW64" s="241"/>
      <c r="CX64" s="241"/>
      <c r="CY64" s="241"/>
      <c r="CZ64" s="241"/>
      <c r="DB64" s="241"/>
      <c r="DC64" s="241"/>
      <c r="DD64" s="241"/>
      <c r="DE64" s="241"/>
      <c r="DF64" s="241"/>
      <c r="DG64" s="241"/>
      <c r="DH64" s="241"/>
      <c r="DI64" s="241"/>
      <c r="DJ64" s="241"/>
    </row>
    <row r="65" spans="1:114" ht="45" hidden="1" customHeight="1" x14ac:dyDescent="0.25">
      <c r="A65" s="421"/>
      <c r="B65" s="421"/>
      <c r="C65" s="6" t="s">
        <v>351</v>
      </c>
      <c r="D65" s="6" t="s">
        <v>950</v>
      </c>
      <c r="E65" s="12"/>
      <c r="F65" s="35">
        <v>153</v>
      </c>
      <c r="G65" s="35">
        <v>183</v>
      </c>
      <c r="H65" s="35"/>
      <c r="I65" s="35"/>
      <c r="J65" s="35"/>
      <c r="K65" s="35"/>
      <c r="L65" s="35"/>
      <c r="Y65" s="241"/>
      <c r="Z65" s="241"/>
      <c r="AA65" s="241"/>
      <c r="AB65" s="241"/>
      <c r="AC65" s="241"/>
      <c r="AD65" s="241"/>
      <c r="AE65" s="241"/>
      <c r="AF65" s="241"/>
      <c r="AH65" s="241"/>
      <c r="AI65" s="241"/>
      <c r="AJ65" s="241"/>
      <c r="AK65" s="241"/>
      <c r="AL65" s="241"/>
      <c r="AM65" s="241"/>
      <c r="AN65" s="241"/>
      <c r="AO65" s="241"/>
      <c r="AQ65" s="241"/>
      <c r="AR65" s="241"/>
      <c r="AS65" s="241"/>
      <c r="AW65" s="241"/>
      <c r="AX65" s="241"/>
      <c r="AZ65" s="241"/>
      <c r="BA65" s="241"/>
      <c r="BB65" s="241"/>
      <c r="BC65" s="241"/>
      <c r="BD65" s="241"/>
      <c r="BE65" s="241"/>
      <c r="BF65" s="241"/>
      <c r="BG65" s="241"/>
      <c r="BI65" s="241"/>
      <c r="BJ65" s="241"/>
      <c r="BK65" s="241"/>
      <c r="BL65" s="241"/>
      <c r="BM65" s="241"/>
      <c r="BN65" s="241"/>
      <c r="BO65" s="241"/>
      <c r="BP65" s="241"/>
      <c r="BR65" s="241"/>
      <c r="BS65" s="241"/>
      <c r="BT65" s="241"/>
      <c r="BU65" s="241"/>
      <c r="BV65" s="241"/>
      <c r="BW65" s="241"/>
      <c r="BX65" s="241"/>
      <c r="BY65" s="241"/>
      <c r="CA65" s="241"/>
      <c r="CB65" s="241"/>
      <c r="CC65" s="241"/>
      <c r="CD65" s="241"/>
      <c r="CE65" s="241"/>
      <c r="CF65" s="241"/>
      <c r="CG65" s="241"/>
      <c r="CH65" s="241"/>
      <c r="CJ65" s="241"/>
      <c r="CK65" s="241"/>
      <c r="CL65" s="241"/>
      <c r="CM65" s="241"/>
      <c r="CN65" s="241"/>
      <c r="CO65" s="241"/>
      <c r="CP65" s="241"/>
      <c r="CQ65" s="241"/>
      <c r="CS65" s="241"/>
      <c r="CT65" s="241"/>
      <c r="CU65" s="241"/>
      <c r="CV65" s="241"/>
      <c r="CW65" s="241"/>
      <c r="CX65" s="241"/>
      <c r="CY65" s="241"/>
      <c r="CZ65" s="241"/>
      <c r="DB65" s="241"/>
      <c r="DC65" s="241"/>
      <c r="DD65" s="241"/>
      <c r="DE65" s="241"/>
      <c r="DF65" s="241"/>
      <c r="DG65" s="241"/>
      <c r="DH65" s="241"/>
      <c r="DI65" s="241"/>
      <c r="DJ65" s="241"/>
    </row>
    <row r="66" spans="1:114" ht="45" hidden="1" x14ac:dyDescent="0.25">
      <c r="A66" s="419"/>
      <c r="B66" s="419" t="s">
        <v>343</v>
      </c>
      <c r="C66" s="6" t="s">
        <v>326</v>
      </c>
      <c r="D66" s="6" t="s">
        <v>950</v>
      </c>
      <c r="E66" s="12"/>
      <c r="F66" s="35">
        <v>6084</v>
      </c>
      <c r="G66" s="35">
        <v>6214</v>
      </c>
      <c r="H66" s="35"/>
      <c r="I66" s="35"/>
      <c r="J66" s="35"/>
      <c r="K66" s="35"/>
      <c r="L66" s="35"/>
      <c r="Y66" s="241"/>
      <c r="Z66" s="241"/>
      <c r="AA66" s="241"/>
      <c r="AB66" s="241"/>
      <c r="AC66" s="241"/>
      <c r="AD66" s="241"/>
      <c r="AE66" s="241"/>
      <c r="AF66" s="241"/>
      <c r="AH66" s="241"/>
      <c r="AI66" s="241"/>
      <c r="AJ66" s="241"/>
      <c r="AK66" s="241"/>
      <c r="AL66" s="241"/>
      <c r="AM66" s="241"/>
      <c r="AN66" s="241"/>
      <c r="AO66" s="241"/>
      <c r="AQ66" s="241"/>
      <c r="AR66" s="241"/>
      <c r="AS66" s="241"/>
      <c r="AW66" s="241"/>
      <c r="AX66" s="241"/>
      <c r="AZ66" s="241"/>
      <c r="BA66" s="241"/>
      <c r="BB66" s="241"/>
      <c r="BC66" s="241"/>
      <c r="BD66" s="241"/>
      <c r="BE66" s="241"/>
      <c r="BF66" s="241"/>
      <c r="BG66" s="241"/>
      <c r="BI66" s="241"/>
      <c r="BJ66" s="241"/>
      <c r="BK66" s="241"/>
      <c r="BL66" s="241"/>
      <c r="BM66" s="241"/>
      <c r="BN66" s="241"/>
      <c r="BO66" s="241"/>
      <c r="BP66" s="241"/>
      <c r="BR66" s="241"/>
      <c r="BS66" s="241"/>
      <c r="BT66" s="241"/>
      <c r="BU66" s="241"/>
      <c r="BV66" s="241"/>
      <c r="BW66" s="241"/>
      <c r="BX66" s="241"/>
      <c r="BY66" s="241"/>
      <c r="CA66" s="241"/>
      <c r="CB66" s="241"/>
      <c r="CC66" s="241"/>
      <c r="CD66" s="241"/>
      <c r="CE66" s="241"/>
      <c r="CF66" s="241"/>
      <c r="CG66" s="241"/>
      <c r="CH66" s="241"/>
      <c r="CJ66" s="241"/>
      <c r="CK66" s="241"/>
      <c r="CL66" s="241"/>
      <c r="CM66" s="241"/>
      <c r="CN66" s="241"/>
      <c r="CO66" s="241"/>
      <c r="CP66" s="241"/>
      <c r="CQ66" s="241"/>
      <c r="CS66" s="241"/>
      <c r="CT66" s="241"/>
      <c r="CU66" s="241"/>
      <c r="CV66" s="241"/>
      <c r="CW66" s="241"/>
      <c r="CX66" s="241"/>
      <c r="CY66" s="241"/>
      <c r="CZ66" s="241"/>
      <c r="DB66" s="241"/>
      <c r="DC66" s="241"/>
      <c r="DD66" s="241"/>
      <c r="DE66" s="241"/>
      <c r="DF66" s="241"/>
      <c r="DG66" s="241"/>
      <c r="DH66" s="241"/>
      <c r="DI66" s="241"/>
      <c r="DJ66" s="241"/>
    </row>
    <row r="67" spans="1:114" ht="45" hidden="1" customHeight="1" x14ac:dyDescent="0.25">
      <c r="A67" s="420"/>
      <c r="B67" s="420"/>
      <c r="C67" s="6" t="s">
        <v>327</v>
      </c>
      <c r="D67" s="6" t="s">
        <v>950</v>
      </c>
      <c r="E67" s="12"/>
      <c r="F67" s="35">
        <v>580</v>
      </c>
      <c r="G67" s="35">
        <v>644</v>
      </c>
      <c r="H67" s="35"/>
      <c r="I67" s="35"/>
      <c r="J67" s="35"/>
      <c r="K67" s="35"/>
      <c r="L67" s="35"/>
      <c r="Y67" s="241"/>
      <c r="Z67" s="241"/>
      <c r="AA67" s="241"/>
      <c r="AB67" s="241"/>
      <c r="AC67" s="241"/>
      <c r="AD67" s="241"/>
      <c r="AE67" s="241"/>
      <c r="AF67" s="241"/>
      <c r="AH67" s="241"/>
      <c r="AI67" s="241"/>
      <c r="AJ67" s="241"/>
      <c r="AK67" s="241"/>
      <c r="AL67" s="241"/>
      <c r="AM67" s="241"/>
      <c r="AN67" s="241"/>
      <c r="AO67" s="241"/>
      <c r="AQ67" s="241"/>
      <c r="AR67" s="241"/>
      <c r="AS67" s="241"/>
      <c r="AW67" s="241"/>
      <c r="AX67" s="241"/>
      <c r="AZ67" s="241"/>
      <c r="BA67" s="241"/>
      <c r="BB67" s="241"/>
      <c r="BC67" s="241"/>
      <c r="BD67" s="241"/>
      <c r="BE67" s="241"/>
      <c r="BF67" s="241"/>
      <c r="BG67" s="241"/>
      <c r="BI67" s="241"/>
      <c r="BJ67" s="241"/>
      <c r="BK67" s="241"/>
      <c r="BL67" s="241"/>
      <c r="BM67" s="241"/>
      <c r="BN67" s="241"/>
      <c r="BO67" s="241"/>
      <c r="BP67" s="241"/>
      <c r="BR67" s="241"/>
      <c r="BS67" s="241"/>
      <c r="BT67" s="241"/>
      <c r="BU67" s="241"/>
      <c r="BV67" s="241"/>
      <c r="BW67" s="241"/>
      <c r="BX67" s="241"/>
      <c r="BY67" s="241"/>
      <c r="CA67" s="241"/>
      <c r="CB67" s="241"/>
      <c r="CC67" s="241"/>
      <c r="CD67" s="241"/>
      <c r="CE67" s="241"/>
      <c r="CF67" s="241"/>
      <c r="CG67" s="241"/>
      <c r="CH67" s="241"/>
      <c r="CJ67" s="241"/>
      <c r="CK67" s="241"/>
      <c r="CL67" s="241"/>
      <c r="CM67" s="241"/>
      <c r="CN67" s="241"/>
      <c r="CO67" s="241"/>
      <c r="CP67" s="241"/>
      <c r="CQ67" s="241"/>
      <c r="CS67" s="241"/>
      <c r="CT67" s="241"/>
      <c r="CU67" s="241"/>
      <c r="CV67" s="241"/>
      <c r="CW67" s="241"/>
      <c r="CX67" s="241"/>
      <c r="CY67" s="241"/>
      <c r="CZ67" s="241"/>
      <c r="DB67" s="241"/>
      <c r="DC67" s="241"/>
      <c r="DD67" s="241"/>
      <c r="DE67" s="241"/>
      <c r="DF67" s="241"/>
      <c r="DG67" s="241"/>
      <c r="DH67" s="241"/>
      <c r="DI67" s="241"/>
      <c r="DJ67" s="241"/>
    </row>
    <row r="68" spans="1:114" ht="45" hidden="1" x14ac:dyDescent="0.25">
      <c r="A68" s="420"/>
      <c r="B68" s="420"/>
      <c r="C68" s="6" t="s">
        <v>344</v>
      </c>
      <c r="D68" s="6" t="s">
        <v>950</v>
      </c>
      <c r="E68" s="12"/>
      <c r="F68" s="35">
        <v>0</v>
      </c>
      <c r="G68" s="35">
        <v>0</v>
      </c>
      <c r="H68" s="35"/>
      <c r="I68" s="35"/>
      <c r="J68" s="35"/>
      <c r="K68" s="35"/>
      <c r="L68" s="35"/>
      <c r="Y68" s="241"/>
      <c r="Z68" s="241"/>
      <c r="AA68" s="241"/>
      <c r="AB68" s="241"/>
      <c r="AC68" s="241"/>
      <c r="AD68" s="241"/>
      <c r="AE68" s="241"/>
      <c r="AF68" s="241"/>
      <c r="AH68" s="241"/>
      <c r="AI68" s="241"/>
      <c r="AJ68" s="241"/>
      <c r="AK68" s="241"/>
      <c r="AL68" s="241"/>
      <c r="AM68" s="241"/>
      <c r="AN68" s="241"/>
      <c r="AO68" s="241"/>
      <c r="AQ68" s="241"/>
      <c r="AR68" s="241"/>
      <c r="AS68" s="241"/>
      <c r="AW68" s="241"/>
      <c r="AX68" s="241"/>
      <c r="AZ68" s="241"/>
      <c r="BA68" s="241"/>
      <c r="BB68" s="241"/>
      <c r="BC68" s="241"/>
      <c r="BD68" s="241"/>
      <c r="BE68" s="241"/>
      <c r="BF68" s="241"/>
      <c r="BG68" s="241"/>
      <c r="BI68" s="241"/>
      <c r="BJ68" s="241"/>
      <c r="BK68" s="241"/>
      <c r="BL68" s="241"/>
      <c r="BM68" s="241"/>
      <c r="BN68" s="241"/>
      <c r="BO68" s="241"/>
      <c r="BP68" s="241"/>
      <c r="BR68" s="241"/>
      <c r="BS68" s="241"/>
      <c r="BT68" s="241"/>
      <c r="BU68" s="241"/>
      <c r="BV68" s="241"/>
      <c r="BW68" s="241"/>
      <c r="BX68" s="241"/>
      <c r="BY68" s="241"/>
      <c r="CA68" s="241"/>
      <c r="CB68" s="241"/>
      <c r="CC68" s="241"/>
      <c r="CD68" s="241"/>
      <c r="CE68" s="241"/>
      <c r="CF68" s="241"/>
      <c r="CG68" s="241"/>
      <c r="CH68" s="241"/>
      <c r="CJ68" s="241"/>
      <c r="CK68" s="241"/>
      <c r="CL68" s="241"/>
      <c r="CM68" s="241"/>
      <c r="CN68" s="241"/>
      <c r="CO68" s="241"/>
      <c r="CP68" s="241"/>
      <c r="CQ68" s="241"/>
      <c r="CS68" s="241"/>
      <c r="CT68" s="241"/>
      <c r="CU68" s="241"/>
      <c r="CV68" s="241"/>
      <c r="CW68" s="241"/>
      <c r="CX68" s="241"/>
      <c r="CY68" s="241"/>
      <c r="CZ68" s="241"/>
      <c r="DB68" s="241"/>
      <c r="DC68" s="241"/>
      <c r="DD68" s="241"/>
      <c r="DE68" s="241"/>
      <c r="DF68" s="241"/>
      <c r="DG68" s="241"/>
      <c r="DH68" s="241"/>
      <c r="DI68" s="241"/>
      <c r="DJ68" s="241"/>
    </row>
    <row r="69" spans="1:114" ht="30" hidden="1" x14ac:dyDescent="0.25">
      <c r="A69" s="420"/>
      <c r="B69" s="420"/>
      <c r="C69" s="6" t="s">
        <v>345</v>
      </c>
      <c r="D69" s="6" t="s">
        <v>950</v>
      </c>
      <c r="E69" s="12"/>
      <c r="F69" s="35">
        <v>0</v>
      </c>
      <c r="G69" s="35">
        <v>0</v>
      </c>
      <c r="H69" s="35"/>
      <c r="I69" s="35"/>
      <c r="J69" s="35"/>
      <c r="K69" s="35"/>
      <c r="L69" s="35"/>
      <c r="Y69" s="241"/>
      <c r="Z69" s="241"/>
      <c r="AA69" s="241"/>
      <c r="AB69" s="241"/>
      <c r="AC69" s="241"/>
      <c r="AD69" s="241"/>
      <c r="AE69" s="241"/>
      <c r="AF69" s="241"/>
      <c r="AH69" s="241"/>
      <c r="AI69" s="241"/>
      <c r="AJ69" s="241"/>
      <c r="AK69" s="241"/>
      <c r="AL69" s="241"/>
      <c r="AM69" s="241"/>
      <c r="AN69" s="241"/>
      <c r="AO69" s="241"/>
      <c r="AQ69" s="241"/>
      <c r="AR69" s="241"/>
      <c r="AS69" s="241"/>
      <c r="AW69" s="241"/>
      <c r="AX69" s="241"/>
      <c r="AZ69" s="241"/>
      <c r="BA69" s="241"/>
      <c r="BB69" s="241"/>
      <c r="BC69" s="241"/>
      <c r="BD69" s="241"/>
      <c r="BE69" s="241"/>
      <c r="BF69" s="241"/>
      <c r="BG69" s="241"/>
      <c r="BI69" s="241"/>
      <c r="BJ69" s="241"/>
      <c r="BK69" s="241"/>
      <c r="BL69" s="241"/>
      <c r="BM69" s="241"/>
      <c r="BN69" s="241"/>
      <c r="BO69" s="241"/>
      <c r="BP69" s="241"/>
      <c r="BR69" s="241"/>
      <c r="BS69" s="241"/>
      <c r="BT69" s="241"/>
      <c r="BU69" s="241"/>
      <c r="BV69" s="241"/>
      <c r="BW69" s="241"/>
      <c r="BX69" s="241"/>
      <c r="BY69" s="241"/>
      <c r="CA69" s="241"/>
      <c r="CB69" s="241"/>
      <c r="CC69" s="241"/>
      <c r="CD69" s="241"/>
      <c r="CE69" s="241"/>
      <c r="CF69" s="241"/>
      <c r="CG69" s="241"/>
      <c r="CH69" s="241"/>
      <c r="CJ69" s="241"/>
      <c r="CK69" s="241"/>
      <c r="CL69" s="241"/>
      <c r="CM69" s="241"/>
      <c r="CN69" s="241"/>
      <c r="CO69" s="241"/>
      <c r="CP69" s="241"/>
      <c r="CQ69" s="241"/>
      <c r="CS69" s="241"/>
      <c r="CT69" s="241"/>
      <c r="CU69" s="241"/>
      <c r="CV69" s="241"/>
      <c r="CW69" s="241"/>
      <c r="CX69" s="241"/>
      <c r="CY69" s="241"/>
      <c r="CZ69" s="241"/>
      <c r="DB69" s="241"/>
      <c r="DC69" s="241"/>
      <c r="DD69" s="241"/>
      <c r="DE69" s="241"/>
      <c r="DF69" s="241"/>
      <c r="DG69" s="241"/>
      <c r="DH69" s="241"/>
      <c r="DI69" s="241"/>
      <c r="DJ69" s="241"/>
    </row>
    <row r="70" spans="1:114" ht="45" hidden="1" x14ac:dyDescent="0.25">
      <c r="A70" s="420"/>
      <c r="B70" s="420"/>
      <c r="C70" s="6" t="s">
        <v>346</v>
      </c>
      <c r="D70" s="6" t="s">
        <v>950</v>
      </c>
      <c r="E70" s="12"/>
      <c r="F70" s="35">
        <v>0</v>
      </c>
      <c r="G70" s="35">
        <v>0</v>
      </c>
      <c r="H70" s="35"/>
      <c r="I70" s="35"/>
      <c r="J70" s="35"/>
      <c r="K70" s="35"/>
      <c r="L70" s="35"/>
      <c r="Y70" s="241"/>
      <c r="Z70" s="241"/>
      <c r="AA70" s="241"/>
      <c r="AB70" s="241"/>
      <c r="AC70" s="241"/>
      <c r="AD70" s="241"/>
      <c r="AE70" s="241"/>
      <c r="AF70" s="241"/>
      <c r="AH70" s="241"/>
      <c r="AI70" s="241"/>
      <c r="AJ70" s="241"/>
      <c r="AK70" s="241"/>
      <c r="AL70" s="241"/>
      <c r="AM70" s="241"/>
      <c r="AN70" s="241"/>
      <c r="AO70" s="241"/>
      <c r="AQ70" s="241"/>
      <c r="AR70" s="241"/>
      <c r="AS70" s="241"/>
      <c r="AW70" s="241"/>
      <c r="AX70" s="241"/>
      <c r="AZ70" s="241"/>
      <c r="BA70" s="241"/>
      <c r="BB70" s="241"/>
      <c r="BC70" s="241"/>
      <c r="BD70" s="241"/>
      <c r="BE70" s="241"/>
      <c r="BF70" s="241"/>
      <c r="BG70" s="241"/>
      <c r="BI70" s="241"/>
      <c r="BJ70" s="241"/>
      <c r="BK70" s="241"/>
      <c r="BL70" s="241"/>
      <c r="BM70" s="241"/>
      <c r="BN70" s="241"/>
      <c r="BO70" s="241"/>
      <c r="BP70" s="241"/>
      <c r="BR70" s="241"/>
      <c r="BS70" s="241"/>
      <c r="BT70" s="241"/>
      <c r="BU70" s="241"/>
      <c r="BV70" s="241"/>
      <c r="BW70" s="241"/>
      <c r="BX70" s="241"/>
      <c r="BY70" s="241"/>
      <c r="CA70" s="241"/>
      <c r="CB70" s="241"/>
      <c r="CC70" s="241"/>
      <c r="CD70" s="241"/>
      <c r="CE70" s="241"/>
      <c r="CF70" s="241"/>
      <c r="CG70" s="241"/>
      <c r="CH70" s="241"/>
      <c r="CJ70" s="241"/>
      <c r="CK70" s="241"/>
      <c r="CL70" s="241"/>
      <c r="CM70" s="241"/>
      <c r="CN70" s="241"/>
      <c r="CO70" s="241"/>
      <c r="CP70" s="241"/>
      <c r="CQ70" s="241"/>
      <c r="CS70" s="241"/>
      <c r="CT70" s="241"/>
      <c r="CU70" s="241"/>
      <c r="CV70" s="241"/>
      <c r="CW70" s="241"/>
      <c r="CX70" s="241"/>
      <c r="CY70" s="241"/>
      <c r="CZ70" s="241"/>
      <c r="DB70" s="241"/>
      <c r="DC70" s="241"/>
      <c r="DD70" s="241"/>
      <c r="DE70" s="241"/>
      <c r="DF70" s="241"/>
      <c r="DG70" s="241"/>
      <c r="DH70" s="241"/>
      <c r="DI70" s="241"/>
      <c r="DJ70" s="241"/>
    </row>
    <row r="71" spans="1:114" ht="30" hidden="1" x14ac:dyDescent="0.25">
      <c r="A71" s="421"/>
      <c r="B71" s="421"/>
      <c r="C71" s="6" t="s">
        <v>347</v>
      </c>
      <c r="D71" s="6" t="s">
        <v>950</v>
      </c>
      <c r="E71" s="12"/>
      <c r="F71" s="35">
        <v>0</v>
      </c>
      <c r="G71" s="35">
        <v>0</v>
      </c>
      <c r="H71" s="35"/>
      <c r="I71" s="35"/>
      <c r="J71" s="35"/>
      <c r="K71" s="35"/>
      <c r="L71" s="35"/>
      <c r="Y71" s="241"/>
      <c r="Z71" s="241"/>
      <c r="AA71" s="241"/>
      <c r="AB71" s="241"/>
      <c r="AC71" s="241"/>
      <c r="AD71" s="241"/>
      <c r="AE71" s="241"/>
      <c r="AF71" s="241"/>
      <c r="AH71" s="241"/>
      <c r="AI71" s="241"/>
      <c r="AJ71" s="241"/>
      <c r="AK71" s="241"/>
      <c r="AL71" s="241"/>
      <c r="AM71" s="241"/>
      <c r="AN71" s="241"/>
      <c r="AO71" s="241"/>
      <c r="AQ71" s="241"/>
      <c r="AR71" s="241"/>
      <c r="AS71" s="241"/>
      <c r="AW71" s="241"/>
      <c r="AX71" s="241"/>
      <c r="AZ71" s="241"/>
      <c r="BA71" s="241"/>
      <c r="BB71" s="241"/>
      <c r="BC71" s="241"/>
      <c r="BD71" s="241"/>
      <c r="BE71" s="241"/>
      <c r="BF71" s="241"/>
      <c r="BG71" s="241"/>
      <c r="BI71" s="241"/>
      <c r="BJ71" s="241"/>
      <c r="BK71" s="241"/>
      <c r="BL71" s="241"/>
      <c r="BM71" s="241"/>
      <c r="BN71" s="241"/>
      <c r="BO71" s="241"/>
      <c r="BP71" s="241"/>
      <c r="BR71" s="241"/>
      <c r="BS71" s="241"/>
      <c r="BT71" s="241"/>
      <c r="BU71" s="241"/>
      <c r="BV71" s="241"/>
      <c r="BW71" s="241"/>
      <c r="BX71" s="241"/>
      <c r="BY71" s="241"/>
      <c r="CA71" s="241"/>
      <c r="CB71" s="241"/>
      <c r="CC71" s="241"/>
      <c r="CD71" s="241"/>
      <c r="CE71" s="241"/>
      <c r="CF71" s="241"/>
      <c r="CG71" s="241"/>
      <c r="CH71" s="241"/>
      <c r="CJ71" s="241"/>
      <c r="CK71" s="241"/>
      <c r="CL71" s="241"/>
      <c r="CM71" s="241"/>
      <c r="CN71" s="241"/>
      <c r="CO71" s="241"/>
      <c r="CP71" s="241"/>
      <c r="CQ71" s="241"/>
      <c r="CS71" s="241"/>
      <c r="CT71" s="241"/>
      <c r="CU71" s="241"/>
      <c r="CV71" s="241"/>
      <c r="CW71" s="241"/>
      <c r="CX71" s="241"/>
      <c r="CY71" s="241"/>
      <c r="CZ71" s="241"/>
      <c r="DB71" s="241"/>
      <c r="DC71" s="241"/>
      <c r="DD71" s="241"/>
      <c r="DE71" s="241"/>
      <c r="DF71" s="241"/>
      <c r="DG71" s="241"/>
      <c r="DH71" s="241"/>
      <c r="DI71" s="241"/>
      <c r="DJ71" s="241"/>
    </row>
    <row r="72" spans="1:114" ht="45" x14ac:dyDescent="0.25">
      <c r="A72" s="152"/>
      <c r="B72" s="152"/>
      <c r="C72" s="6" t="s">
        <v>2042</v>
      </c>
      <c r="D72" s="6"/>
      <c r="E72" s="12"/>
      <c r="F72" s="12"/>
      <c r="G72" s="12"/>
      <c r="H72" s="12"/>
      <c r="I72" s="12"/>
      <c r="J72" s="12"/>
      <c r="K72" s="12"/>
      <c r="L72" s="12"/>
      <c r="Y72" s="241"/>
      <c r="Z72" s="241"/>
      <c r="AA72" s="241"/>
      <c r="AB72" s="241"/>
      <c r="AC72" s="241"/>
      <c r="AD72" s="241"/>
      <c r="AE72" s="241"/>
      <c r="AF72" s="241"/>
      <c r="AH72" s="241"/>
      <c r="AI72" s="241"/>
      <c r="AJ72" s="241"/>
      <c r="AK72" s="241"/>
      <c r="AL72" s="241"/>
      <c r="AM72" s="241"/>
      <c r="AN72" s="241"/>
      <c r="AO72" s="241"/>
      <c r="AQ72" s="241"/>
      <c r="AR72" s="241"/>
      <c r="AS72" s="241"/>
      <c r="AW72" s="241"/>
      <c r="AX72" s="241"/>
      <c r="AZ72" s="241"/>
      <c r="BA72" s="241"/>
      <c r="BB72" s="241"/>
      <c r="BC72" s="241"/>
      <c r="BD72" s="241"/>
      <c r="BE72" s="241"/>
      <c r="BF72" s="241"/>
      <c r="BG72" s="241"/>
      <c r="BI72" s="241"/>
      <c r="BJ72" s="241"/>
      <c r="BK72" s="241"/>
      <c r="BL72" s="241"/>
      <c r="BM72" s="241"/>
      <c r="BN72" s="241"/>
      <c r="BO72" s="241"/>
      <c r="BP72" s="241"/>
      <c r="BR72" s="241"/>
      <c r="BS72" s="241"/>
      <c r="BT72" s="241"/>
      <c r="BU72" s="241"/>
      <c r="BV72" s="241"/>
      <c r="BW72" s="241"/>
      <c r="BX72" s="241"/>
      <c r="BY72" s="241"/>
      <c r="CA72" s="241"/>
      <c r="CB72" s="241"/>
      <c r="CC72" s="241"/>
      <c r="CD72" s="241"/>
      <c r="CE72" s="241"/>
      <c r="CF72" s="241"/>
      <c r="CG72" s="241"/>
      <c r="CH72" s="241"/>
      <c r="CJ72" s="241"/>
      <c r="CK72" s="241"/>
      <c r="CL72" s="241"/>
      <c r="CM72" s="241"/>
      <c r="CN72" s="241"/>
      <c r="CO72" s="241"/>
      <c r="CP72" s="241"/>
      <c r="CQ72" s="241"/>
      <c r="CS72" s="241"/>
      <c r="CT72" s="241"/>
      <c r="CU72" s="241"/>
      <c r="CV72" s="241"/>
      <c r="CW72" s="241"/>
      <c r="CX72" s="241"/>
      <c r="CY72" s="241"/>
      <c r="CZ72" s="241"/>
      <c r="DB72" s="241"/>
      <c r="DC72" s="241"/>
      <c r="DD72" s="241"/>
      <c r="DE72" s="241"/>
      <c r="DF72" s="241"/>
      <c r="DG72" s="241"/>
      <c r="DH72" s="241"/>
      <c r="DI72" s="241"/>
      <c r="DJ72" s="241"/>
    </row>
    <row r="73" spans="1:114" x14ac:dyDescent="0.25">
      <c r="A73" s="175"/>
      <c r="B73" s="175" t="s">
        <v>1182</v>
      </c>
      <c r="C73" s="6"/>
      <c r="D73" s="6"/>
      <c r="E73" s="12"/>
      <c r="F73" s="12"/>
      <c r="G73" s="12"/>
      <c r="H73" s="35"/>
      <c r="I73" s="35">
        <f>264-25</f>
        <v>239</v>
      </c>
      <c r="J73" s="35">
        <v>227</v>
      </c>
      <c r="K73" s="35">
        <v>237</v>
      </c>
      <c r="L73" s="35">
        <f>208+2</f>
        <v>210</v>
      </c>
      <c r="N73" s="241">
        <f t="shared" ref="N73:N74" si="155">P73+S73+V73+Y73+AB73+AE73+AH73+AK73+AN73+AQ73+AW73+AZ73+BC73+BF73+BI73+BL73+BO73+BR73+BU73+BX73+CA73+CD73+CG73+CJ73+AT73+DE73</f>
        <v>237</v>
      </c>
      <c r="O73" s="241">
        <f t="shared" ref="O73:O74" si="156">Q73+T73+W73+Z73+AC73+AF73+AI73+AL73+AO73+AR73+AX73+BA73+BD73+BG73+BJ73+BM73+BP73+BS73+BV73+BY73+CB73+CE73+CH73+CK73+AU73+DF73</f>
        <v>0</v>
      </c>
      <c r="P73">
        <v>0</v>
      </c>
      <c r="S73">
        <v>0</v>
      </c>
      <c r="V73">
        <v>13</v>
      </c>
      <c r="Y73" s="241">
        <v>202</v>
      </c>
      <c r="Z73" s="241"/>
      <c r="AA73" s="241"/>
      <c r="AB73" s="241">
        <v>0</v>
      </c>
      <c r="AC73" s="241"/>
      <c r="AD73" s="241"/>
      <c r="AE73" s="241">
        <v>0</v>
      </c>
      <c r="AF73" s="241"/>
      <c r="AH73" s="241">
        <v>0</v>
      </c>
      <c r="AI73" s="241"/>
      <c r="AJ73" s="241"/>
      <c r="AK73" s="241">
        <v>0</v>
      </c>
      <c r="AL73" s="241"/>
      <c r="AM73" s="241"/>
      <c r="AN73" s="241">
        <v>0</v>
      </c>
      <c r="AO73" s="241"/>
      <c r="AQ73" s="241">
        <v>0</v>
      </c>
      <c r="AR73" s="241"/>
      <c r="AS73" s="241"/>
      <c r="AT73" s="241">
        <v>0</v>
      </c>
      <c r="AW73" s="241">
        <v>22</v>
      </c>
      <c r="AX73" s="241"/>
      <c r="AZ73" s="241">
        <v>0</v>
      </c>
      <c r="BA73" s="241"/>
      <c r="BB73" s="241"/>
      <c r="BC73" s="241">
        <v>0</v>
      </c>
      <c r="BD73" s="241"/>
      <c r="BE73" s="241"/>
      <c r="BF73" s="241">
        <v>0</v>
      </c>
      <c r="BG73" s="241"/>
      <c r="BI73" s="241">
        <v>0</v>
      </c>
      <c r="BJ73" s="241"/>
      <c r="BK73" s="241"/>
      <c r="BL73" s="241">
        <v>0</v>
      </c>
      <c r="BM73" s="241"/>
      <c r="BN73" s="241"/>
      <c r="BO73" s="241">
        <v>0</v>
      </c>
      <c r="BP73" s="241"/>
      <c r="BR73" s="241">
        <v>0</v>
      </c>
      <c r="BS73" s="241"/>
      <c r="BT73" s="241"/>
      <c r="BU73" s="241">
        <v>0</v>
      </c>
      <c r="BV73" s="241"/>
      <c r="BW73" s="241"/>
      <c r="BX73" s="241">
        <v>0</v>
      </c>
      <c r="BY73" s="241"/>
      <c r="CA73" s="241">
        <v>0</v>
      </c>
      <c r="CB73" s="241"/>
      <c r="CC73" s="241"/>
      <c r="CD73" s="241">
        <v>0</v>
      </c>
      <c r="CE73" s="241"/>
      <c r="CF73" s="241"/>
      <c r="CG73" s="241">
        <v>0</v>
      </c>
      <c r="CH73" s="241"/>
      <c r="CJ73" s="241">
        <v>0</v>
      </c>
      <c r="CK73" s="241"/>
      <c r="CL73" s="241"/>
      <c r="CM73" s="241"/>
      <c r="CN73" s="241"/>
      <c r="CO73" s="241"/>
      <c r="CP73" s="241"/>
      <c r="CQ73" s="241"/>
      <c r="CS73" s="241"/>
      <c r="CT73" s="241"/>
      <c r="CU73" s="241"/>
      <c r="CV73" s="241"/>
      <c r="CW73" s="241"/>
      <c r="CX73" s="241"/>
      <c r="CY73" s="241"/>
      <c r="CZ73" s="241"/>
      <c r="DB73" s="241"/>
      <c r="DC73" s="241"/>
      <c r="DD73" s="241"/>
      <c r="DE73" s="241"/>
      <c r="DF73" s="241"/>
      <c r="DG73" s="241"/>
      <c r="DH73" s="241"/>
      <c r="DI73" s="241"/>
      <c r="DJ73" s="241"/>
    </row>
    <row r="74" spans="1:114" x14ac:dyDescent="0.25">
      <c r="A74" s="175"/>
      <c r="B74" s="175" t="s">
        <v>1184</v>
      </c>
      <c r="C74" s="6"/>
      <c r="D74" s="6"/>
      <c r="E74" s="12"/>
      <c r="F74" s="12"/>
      <c r="G74" s="12"/>
      <c r="H74" s="35"/>
      <c r="I74" s="35">
        <v>0</v>
      </c>
      <c r="J74" s="35">
        <v>0</v>
      </c>
      <c r="K74" s="35">
        <v>0</v>
      </c>
      <c r="L74" s="35">
        <v>2</v>
      </c>
      <c r="N74" s="241">
        <f t="shared" si="155"/>
        <v>0</v>
      </c>
      <c r="O74" s="241">
        <f t="shared" si="156"/>
        <v>0</v>
      </c>
      <c r="Y74" s="241"/>
      <c r="Z74" s="241"/>
      <c r="AA74" s="241"/>
      <c r="AB74" s="241"/>
      <c r="AC74" s="241"/>
      <c r="AD74" s="241"/>
      <c r="AE74" s="241"/>
      <c r="AF74" s="241"/>
      <c r="AH74" s="241"/>
      <c r="AI74" s="241"/>
      <c r="AJ74" s="241"/>
      <c r="AK74" s="241"/>
      <c r="AL74" s="241"/>
      <c r="AM74" s="241"/>
      <c r="AN74" s="241"/>
      <c r="AO74" s="241"/>
      <c r="AQ74" s="241"/>
      <c r="AR74" s="241"/>
      <c r="AS74" s="241"/>
      <c r="AW74" s="241"/>
      <c r="AX74" s="241"/>
      <c r="AZ74" s="241"/>
      <c r="BA74" s="241"/>
      <c r="BB74" s="241"/>
      <c r="BC74" s="241"/>
      <c r="BD74" s="241"/>
      <c r="BE74" s="241"/>
      <c r="BF74" s="241"/>
      <c r="BG74" s="241"/>
      <c r="BI74" s="241"/>
      <c r="BJ74" s="241"/>
      <c r="BK74" s="241"/>
      <c r="BL74" s="241"/>
      <c r="BM74" s="241"/>
      <c r="BN74" s="241"/>
      <c r="BO74" s="241"/>
      <c r="BP74" s="241"/>
      <c r="BR74" s="241"/>
      <c r="BS74" s="241"/>
      <c r="BT74" s="241"/>
      <c r="BU74" s="241"/>
      <c r="BV74" s="241"/>
      <c r="BW74" s="241"/>
      <c r="BX74" s="241"/>
      <c r="BY74" s="241"/>
      <c r="CA74" s="241"/>
      <c r="CB74" s="241"/>
      <c r="CC74" s="241"/>
      <c r="CD74" s="241"/>
      <c r="CE74" s="241"/>
      <c r="CF74" s="241"/>
      <c r="CG74" s="241"/>
      <c r="CH74" s="241"/>
      <c r="CJ74" s="241"/>
      <c r="CK74" s="241"/>
      <c r="CL74" s="241"/>
      <c r="CM74" s="241"/>
      <c r="CN74" s="241"/>
      <c r="CO74" s="241"/>
      <c r="CP74" s="241"/>
      <c r="CQ74" s="241"/>
      <c r="CS74" s="241"/>
      <c r="CT74" s="241"/>
      <c r="CU74" s="241"/>
      <c r="CV74" s="241"/>
      <c r="CW74" s="241"/>
      <c r="CX74" s="241"/>
      <c r="CY74" s="241"/>
      <c r="CZ74" s="241"/>
      <c r="DB74" s="241"/>
      <c r="DC74" s="241"/>
      <c r="DD74" s="241"/>
      <c r="DE74" s="241">
        <v>0</v>
      </c>
      <c r="DF74" s="241"/>
      <c r="DG74" s="241"/>
      <c r="DH74" s="241"/>
      <c r="DI74" s="241"/>
      <c r="DJ74" s="241"/>
    </row>
    <row r="75" spans="1:114" ht="45" x14ac:dyDescent="0.25">
      <c r="A75" s="152"/>
      <c r="B75" s="152"/>
      <c r="C75" s="6" t="s">
        <v>2041</v>
      </c>
      <c r="D75" s="6"/>
      <c r="E75" s="12"/>
      <c r="F75" s="12"/>
      <c r="G75" s="12"/>
      <c r="H75" s="35"/>
      <c r="I75" s="35"/>
      <c r="J75" s="35"/>
      <c r="K75" s="35"/>
      <c r="L75" s="35"/>
      <c r="Y75" s="241"/>
      <c r="Z75" s="241"/>
      <c r="AA75" s="241"/>
      <c r="AB75" s="241"/>
      <c r="AC75" s="241"/>
      <c r="AD75" s="241"/>
      <c r="AE75" s="241"/>
      <c r="AF75" s="241"/>
      <c r="AH75" s="241"/>
      <c r="AI75" s="241"/>
      <c r="AJ75" s="241"/>
      <c r="AK75" s="241"/>
      <c r="AL75" s="241"/>
      <c r="AM75" s="241"/>
      <c r="AN75" s="241"/>
      <c r="AO75" s="241"/>
      <c r="AQ75" s="241"/>
      <c r="AR75" s="241"/>
      <c r="AS75" s="241"/>
      <c r="AW75" s="241"/>
      <c r="AX75" s="241"/>
      <c r="AZ75" s="241"/>
      <c r="BA75" s="241"/>
      <c r="BB75" s="241"/>
      <c r="BC75" s="241"/>
      <c r="BD75" s="241"/>
      <c r="BE75" s="241"/>
      <c r="BF75" s="241"/>
      <c r="BG75" s="241"/>
      <c r="BI75" s="241"/>
      <c r="BJ75" s="241"/>
      <c r="BK75" s="241"/>
      <c r="BL75" s="241"/>
      <c r="BM75" s="241"/>
      <c r="BN75" s="241"/>
      <c r="BO75" s="241"/>
      <c r="BP75" s="241"/>
      <c r="BR75" s="241"/>
      <c r="BS75" s="241"/>
      <c r="BT75" s="241"/>
      <c r="BU75" s="241"/>
      <c r="BV75" s="241"/>
      <c r="BW75" s="241"/>
      <c r="BX75" s="241"/>
      <c r="BY75" s="241"/>
      <c r="CA75" s="241"/>
      <c r="CB75" s="241"/>
      <c r="CC75" s="241"/>
      <c r="CD75" s="241"/>
      <c r="CE75" s="241"/>
      <c r="CF75" s="241"/>
      <c r="CG75" s="241"/>
      <c r="CH75" s="241"/>
      <c r="CJ75" s="241"/>
      <c r="CK75" s="241"/>
      <c r="CL75" s="241"/>
      <c r="CM75" s="241"/>
      <c r="CN75" s="241"/>
      <c r="CO75" s="241"/>
      <c r="CP75" s="241"/>
      <c r="CQ75" s="241"/>
      <c r="CS75" s="241"/>
      <c r="CT75" s="241"/>
      <c r="CU75" s="241"/>
      <c r="CV75" s="241"/>
      <c r="CW75" s="241"/>
      <c r="CX75" s="241"/>
      <c r="CY75" s="241"/>
      <c r="CZ75" s="241"/>
      <c r="DB75" s="241"/>
      <c r="DC75" s="241"/>
      <c r="DD75" s="241"/>
      <c r="DE75" s="241"/>
      <c r="DF75" s="241"/>
      <c r="DG75" s="241"/>
      <c r="DH75" s="241"/>
      <c r="DI75" s="241"/>
      <c r="DJ75" s="241"/>
    </row>
    <row r="76" spans="1:114" x14ac:dyDescent="0.25">
      <c r="A76" s="175"/>
      <c r="B76" s="175" t="s">
        <v>1182</v>
      </c>
      <c r="C76" s="6"/>
      <c r="D76" s="6"/>
      <c r="E76" s="12"/>
      <c r="F76" s="12"/>
      <c r="G76" s="12"/>
      <c r="H76" s="35"/>
      <c r="I76" s="35">
        <f>I59</f>
        <v>5716</v>
      </c>
      <c r="J76" s="35">
        <f t="shared" ref="J76" si="157">J59</f>
        <v>5602</v>
      </c>
      <c r="K76" s="35">
        <f>K12</f>
        <v>5525</v>
      </c>
      <c r="L76" s="35">
        <f>L12</f>
        <v>0</v>
      </c>
      <c r="N76" s="241">
        <f t="shared" ref="N76:N77" si="158">P76+S76+V76+Y76+AB76+AE76+AH76+AK76+AN76+AQ76+AW76+AZ76+BC76+BF76+BI76+BL76+BO76+BR76+BU76+BX76+CA76+CD76+CG76+CJ76+AT76+DE76</f>
        <v>5525</v>
      </c>
      <c r="O76" s="241">
        <f t="shared" ref="O76:O77" si="159">Q76+T76+W76+Z76+AC76+AF76+AI76+AL76+AO76+AR76+AX76+BA76+BD76+BG76+BJ76+BM76+BP76+BS76+BV76+BY76+CB76+CE76+CH76+CK76+AU76+DF76</f>
        <v>0</v>
      </c>
      <c r="P76">
        <f>P11</f>
        <v>0</v>
      </c>
      <c r="Q76" s="241">
        <f>Q11</f>
        <v>0</v>
      </c>
      <c r="S76" s="241">
        <f>S11</f>
        <v>339</v>
      </c>
      <c r="T76" s="241">
        <f>T11</f>
        <v>0</v>
      </c>
      <c r="V76" s="241">
        <f>V11</f>
        <v>414</v>
      </c>
      <c r="W76" s="241">
        <f>W11</f>
        <v>0</v>
      </c>
      <c r="Y76" s="241">
        <f>Y11</f>
        <v>1270</v>
      </c>
      <c r="Z76" s="241">
        <f>Z11</f>
        <v>0</v>
      </c>
      <c r="AA76" s="241"/>
      <c r="AB76" s="241">
        <f>AB11</f>
        <v>0</v>
      </c>
      <c r="AC76" s="241">
        <f>AC11</f>
        <v>0</v>
      </c>
      <c r="AD76" s="241"/>
      <c r="AE76" s="241">
        <f>AE11</f>
        <v>0</v>
      </c>
      <c r="AF76" s="241">
        <f>AF11</f>
        <v>0</v>
      </c>
      <c r="AH76" s="241">
        <f>AH11</f>
        <v>0</v>
      </c>
      <c r="AI76" s="241">
        <f>AI11</f>
        <v>0</v>
      </c>
      <c r="AJ76" s="241"/>
      <c r="AK76" s="241">
        <f>AK11</f>
        <v>168</v>
      </c>
      <c r="AL76" s="241">
        <f>AL11</f>
        <v>0</v>
      </c>
      <c r="AM76" s="241"/>
      <c r="AN76" s="241">
        <f>AN11</f>
        <v>0</v>
      </c>
      <c r="AO76" s="241">
        <f>AO11</f>
        <v>0</v>
      </c>
      <c r="AQ76" s="241">
        <f>AQ11</f>
        <v>268</v>
      </c>
      <c r="AR76" s="241">
        <f>AR11</f>
        <v>0</v>
      </c>
      <c r="AS76" s="241"/>
      <c r="AT76" s="241">
        <f>AT11</f>
        <v>98</v>
      </c>
      <c r="AU76" s="241">
        <f>AU11</f>
        <v>0</v>
      </c>
      <c r="AW76" s="241">
        <f>AW11</f>
        <v>164</v>
      </c>
      <c r="AX76" s="241">
        <f>AX11</f>
        <v>0</v>
      </c>
      <c r="AZ76" s="241">
        <f>AZ11</f>
        <v>652</v>
      </c>
      <c r="BA76" s="241">
        <f>BA11</f>
        <v>0</v>
      </c>
      <c r="BB76" s="241"/>
      <c r="BC76" s="241">
        <f>BC11</f>
        <v>0</v>
      </c>
      <c r="BD76" s="241">
        <f>BD11</f>
        <v>0</v>
      </c>
      <c r="BE76" s="241"/>
      <c r="BF76" s="241">
        <f>BF11</f>
        <v>463</v>
      </c>
      <c r="BG76" s="241">
        <f>BG11</f>
        <v>0</v>
      </c>
      <c r="BI76" s="241">
        <f>BI11</f>
        <v>267</v>
      </c>
      <c r="BJ76" s="241">
        <f>BJ11</f>
        <v>0</v>
      </c>
      <c r="BK76" s="241"/>
      <c r="BL76" s="241">
        <f>BL11</f>
        <v>221</v>
      </c>
      <c r="BM76" s="241">
        <f>BM11</f>
        <v>0</v>
      </c>
      <c r="BN76" s="241"/>
      <c r="BO76" s="241">
        <f>BO11</f>
        <v>142</v>
      </c>
      <c r="BP76" s="241">
        <f>BP11</f>
        <v>0</v>
      </c>
      <c r="BR76" s="241">
        <f>BR11</f>
        <v>267</v>
      </c>
      <c r="BS76" s="241">
        <f>BS11</f>
        <v>0</v>
      </c>
      <c r="BT76" s="241"/>
      <c r="BU76" s="241">
        <f>BU11</f>
        <v>123</v>
      </c>
      <c r="BV76" s="241">
        <f>BV11</f>
        <v>0</v>
      </c>
      <c r="BW76" s="241"/>
      <c r="BX76" s="241">
        <f>BX11</f>
        <v>201</v>
      </c>
      <c r="BY76" s="241">
        <f>BY11</f>
        <v>0</v>
      </c>
      <c r="CA76" s="241">
        <f>CA11</f>
        <v>206</v>
      </c>
      <c r="CB76" s="241">
        <f>CB11</f>
        <v>0</v>
      </c>
      <c r="CC76" s="241"/>
      <c r="CD76" s="241">
        <f>CD11</f>
        <v>0</v>
      </c>
      <c r="CE76" s="241">
        <f>CE11</f>
        <v>0</v>
      </c>
      <c r="CF76" s="241"/>
      <c r="CG76" s="241">
        <f>CG11</f>
        <v>262</v>
      </c>
      <c r="CH76" s="241">
        <f>CH11</f>
        <v>0</v>
      </c>
      <c r="CJ76" s="241">
        <f>CJ11</f>
        <v>0</v>
      </c>
      <c r="CK76" s="241">
        <f>CK11</f>
        <v>0</v>
      </c>
      <c r="CL76" s="241"/>
      <c r="CM76" s="241">
        <f>CM11</f>
        <v>0</v>
      </c>
      <c r="CN76" s="241">
        <f>CN11</f>
        <v>0</v>
      </c>
      <c r="CO76" s="241"/>
      <c r="CP76" s="241">
        <f>CP11</f>
        <v>0</v>
      </c>
      <c r="CQ76" s="241">
        <f>CQ11</f>
        <v>0</v>
      </c>
      <c r="CS76" s="241">
        <f>CS11</f>
        <v>0</v>
      </c>
      <c r="CT76" s="241">
        <f>CT11</f>
        <v>0</v>
      </c>
      <c r="CU76" s="241"/>
      <c r="CV76" s="241">
        <f>CV11</f>
        <v>0</v>
      </c>
      <c r="CW76" s="241">
        <f>CW11</f>
        <v>0</v>
      </c>
      <c r="CX76" s="241"/>
      <c r="CY76" s="241">
        <f>CY11</f>
        <v>0</v>
      </c>
      <c r="CZ76" s="241">
        <f>CZ11</f>
        <v>0</v>
      </c>
      <c r="DB76" s="241">
        <f>DB11</f>
        <v>0</v>
      </c>
      <c r="DC76" s="241">
        <f>DC11</f>
        <v>0</v>
      </c>
      <c r="DD76" s="241"/>
      <c r="DE76" s="241"/>
      <c r="DF76" s="241"/>
      <c r="DG76" s="241"/>
      <c r="DH76" s="241"/>
      <c r="DI76" s="241"/>
      <c r="DJ76" s="241"/>
    </row>
    <row r="77" spans="1:114" x14ac:dyDescent="0.25">
      <c r="A77" s="175"/>
      <c r="B77" s="175" t="s">
        <v>1184</v>
      </c>
      <c r="C77" s="6"/>
      <c r="D77" s="6"/>
      <c r="E77" s="12"/>
      <c r="F77" s="12"/>
      <c r="G77" s="12"/>
      <c r="H77" s="35"/>
      <c r="I77" s="35">
        <f t="shared" ref="I77:J77" si="160">I60</f>
        <v>15</v>
      </c>
      <c r="J77" s="35">
        <f t="shared" si="160"/>
        <v>54</v>
      </c>
      <c r="K77" s="35">
        <f>K13</f>
        <v>90</v>
      </c>
      <c r="L77" s="35">
        <f>L13</f>
        <v>0</v>
      </c>
      <c r="N77" s="241">
        <f t="shared" si="158"/>
        <v>90</v>
      </c>
      <c r="O77" s="241">
        <f t="shared" si="159"/>
        <v>0</v>
      </c>
      <c r="DE77" s="241">
        <f>DE11</f>
        <v>90</v>
      </c>
      <c r="DF77" s="241">
        <f>DF11</f>
        <v>0</v>
      </c>
      <c r="DH77" s="241"/>
      <c r="DI77" s="241"/>
      <c r="DJ77" s="241"/>
    </row>
    <row r="78" spans="1:114" ht="120" x14ac:dyDescent="0.25">
      <c r="A78" s="42" t="s">
        <v>353</v>
      </c>
      <c r="B78" s="43" t="s">
        <v>352</v>
      </c>
      <c r="C78" s="42"/>
      <c r="D78" s="42"/>
      <c r="E78" s="49"/>
      <c r="F78" s="49"/>
      <c r="G78" s="49"/>
      <c r="H78" s="49"/>
      <c r="I78" s="49"/>
      <c r="J78" s="49"/>
      <c r="K78" s="49"/>
      <c r="L78" s="49"/>
      <c r="M78" s="3" t="s">
        <v>281</v>
      </c>
    </row>
    <row r="79" spans="1:114" x14ac:dyDescent="0.25">
      <c r="A79" s="44"/>
      <c r="B79" s="43" t="s">
        <v>354</v>
      </c>
      <c r="C79" s="42"/>
      <c r="D79" s="42"/>
      <c r="E79" s="50"/>
      <c r="F79" s="50"/>
      <c r="G79" s="50"/>
      <c r="H79" s="50"/>
      <c r="I79" s="50"/>
      <c r="J79" s="50"/>
      <c r="K79" s="50"/>
      <c r="L79" s="50"/>
    </row>
    <row r="80" spans="1:114" x14ac:dyDescent="0.25">
      <c r="A80" s="44"/>
      <c r="B80" s="46" t="s">
        <v>1182</v>
      </c>
      <c r="C80" s="42"/>
      <c r="D80" s="42" t="s">
        <v>8</v>
      </c>
      <c r="E80" s="45">
        <v>63.46</v>
      </c>
      <c r="F80" s="45">
        <f>F83/F86*100</f>
        <v>64.047929409405384</v>
      </c>
      <c r="G80" s="45">
        <v>69.64</v>
      </c>
      <c r="H80" s="45">
        <v>71.77</v>
      </c>
      <c r="I80" s="45">
        <f t="shared" ref="I80:K81" si="161">I83/I86*100</f>
        <v>72.748848910618506</v>
      </c>
      <c r="J80" s="45">
        <f t="shared" si="161"/>
        <v>74.898261191268958</v>
      </c>
      <c r="K80" s="45">
        <f t="shared" si="161"/>
        <v>76.760959639879275</v>
      </c>
      <c r="L80" s="45" t="e">
        <f t="shared" ref="L80" si="162">L83/L86*100</f>
        <v>#DIV/0!</v>
      </c>
      <c r="N80" s="45">
        <f t="shared" ref="N80:P81" si="163">N83/N86*100</f>
        <v>76.760959639879275</v>
      </c>
      <c r="O80" s="45" t="e">
        <f t="shared" si="163"/>
        <v>#DIV/0!</v>
      </c>
      <c r="P80" s="45">
        <f t="shared" ref="P80:Q80" si="164">P83/P86*100</f>
        <v>47.540983606557376</v>
      </c>
      <c r="Q80" s="45" t="e">
        <f t="shared" si="164"/>
        <v>#DIV/0!</v>
      </c>
      <c r="S80" s="45">
        <f t="shared" ref="S80:T81" si="165">S83/S86*100</f>
        <v>82.594524119947849</v>
      </c>
      <c r="T80" s="45" t="e">
        <f t="shared" si="165"/>
        <v>#DIV/0!</v>
      </c>
      <c r="V80" s="45">
        <f t="shared" ref="V80:W80" si="166">V83/V86*100</f>
        <v>90.527740189445197</v>
      </c>
      <c r="W80" s="45" t="e">
        <f t="shared" si="166"/>
        <v>#DIV/0!</v>
      </c>
      <c r="Y80" s="45">
        <f t="shared" ref="Y80:Z81" si="167">Y83/Y86*100</f>
        <v>100</v>
      </c>
      <c r="Z80" s="45" t="e">
        <f t="shared" si="167"/>
        <v>#DIV/0!</v>
      </c>
      <c r="AA80" s="241"/>
      <c r="AB80" s="45">
        <f t="shared" ref="AB80:AC80" si="168">AB83/AB86*100</f>
        <v>100</v>
      </c>
      <c r="AC80" s="45" t="e">
        <f t="shared" si="168"/>
        <v>#DIV/0!</v>
      </c>
      <c r="AD80" s="241"/>
      <c r="AE80" s="45">
        <f t="shared" ref="AE80:AF80" si="169">AE83/AE86*100</f>
        <v>100</v>
      </c>
      <c r="AF80" s="45" t="e">
        <f t="shared" si="169"/>
        <v>#DIV/0!</v>
      </c>
      <c r="AH80" s="45">
        <f t="shared" ref="AH80:AI80" si="170">AH83/AH86*100</f>
        <v>87.804878048780495</v>
      </c>
      <c r="AI80" s="45" t="e">
        <f t="shared" si="170"/>
        <v>#DIV/0!</v>
      </c>
      <c r="AJ80" s="241"/>
      <c r="AK80" s="45">
        <f t="shared" ref="AK80:AL80" si="171">AK83/AK86*100</f>
        <v>100</v>
      </c>
      <c r="AL80" s="45" t="e">
        <f t="shared" si="171"/>
        <v>#DIV/0!</v>
      </c>
      <c r="AM80" s="241"/>
      <c r="AN80" s="45">
        <f t="shared" ref="AN80:AO80" si="172">AN83/AN86*100</f>
        <v>0</v>
      </c>
      <c r="AO80" s="45" t="e">
        <f t="shared" si="172"/>
        <v>#DIV/0!</v>
      </c>
      <c r="AQ80" s="45">
        <f t="shared" ref="AQ80:AR80" si="173">AQ83/AQ86*100</f>
        <v>71.916508538899421</v>
      </c>
      <c r="AR80" s="45" t="e">
        <f t="shared" si="173"/>
        <v>#DIV/0!</v>
      </c>
      <c r="AS80" s="241"/>
      <c r="AT80" s="45">
        <f t="shared" ref="AT80:AU80" si="174">AT83/AT86*100</f>
        <v>100</v>
      </c>
      <c r="AU80" s="45" t="e">
        <f t="shared" si="174"/>
        <v>#DIV/0!</v>
      </c>
      <c r="AW80" s="45">
        <f t="shared" ref="AW80:AX80" si="175">AW83/AW86*100</f>
        <v>85.269121813031163</v>
      </c>
      <c r="AX80" s="45" t="e">
        <f t="shared" si="175"/>
        <v>#DIV/0!</v>
      </c>
      <c r="AZ80" s="45">
        <f t="shared" ref="AZ80:BA80" si="176">AZ83/AZ86*100</f>
        <v>69.352014010507872</v>
      </c>
      <c r="BA80" s="45" t="e">
        <f t="shared" si="176"/>
        <v>#DIV/0!</v>
      </c>
      <c r="BB80" s="241"/>
      <c r="BC80" s="45">
        <f t="shared" ref="BC80:BD80" si="177">BC83/BC86*100</f>
        <v>90.011961722488039</v>
      </c>
      <c r="BD80" s="45" t="e">
        <f t="shared" si="177"/>
        <v>#DIV/0!</v>
      </c>
      <c r="BE80" s="241"/>
      <c r="BF80" s="45">
        <f t="shared" ref="BF80:BG80" si="178">BF83/BF86*100</f>
        <v>91.027154663518289</v>
      </c>
      <c r="BG80" s="45" t="e">
        <f t="shared" si="178"/>
        <v>#DIV/0!</v>
      </c>
      <c r="BI80" s="45">
        <f t="shared" ref="BI80:BJ80" si="179">BI83/BI86*100</f>
        <v>90.248565965583168</v>
      </c>
      <c r="BJ80" s="45" t="e">
        <f t="shared" si="179"/>
        <v>#DIV/0!</v>
      </c>
      <c r="BK80" s="241"/>
      <c r="BL80" s="45">
        <f t="shared" ref="BL80:BM80" si="180">BL83/BL86*100</f>
        <v>91.312741312741309</v>
      </c>
      <c r="BM80" s="45" t="e">
        <f t="shared" si="180"/>
        <v>#DIV/0!</v>
      </c>
      <c r="BN80" s="241"/>
      <c r="BO80" s="45">
        <f t="shared" ref="BO80:BP80" si="181">BO83/BO86*100</f>
        <v>100</v>
      </c>
      <c r="BP80" s="45" t="e">
        <f t="shared" si="181"/>
        <v>#DIV/0!</v>
      </c>
      <c r="BR80" s="45">
        <f t="shared" ref="BR80:BS80" si="182">BR83/BR86*100</f>
        <v>87.292817679558013</v>
      </c>
      <c r="BS80" s="45" t="e">
        <f t="shared" si="182"/>
        <v>#DIV/0!</v>
      </c>
      <c r="BT80" s="241"/>
      <c r="BU80" s="45">
        <f t="shared" ref="BU80:BV80" si="183">BU83/BU86*100</f>
        <v>84.135472370766479</v>
      </c>
      <c r="BV80" s="45" t="e">
        <f t="shared" si="183"/>
        <v>#DIV/0!</v>
      </c>
      <c r="BW80" s="241"/>
      <c r="BX80" s="45">
        <f t="shared" ref="BX80:BY80" si="184">BX83/BX86*100</f>
        <v>82.116788321167888</v>
      </c>
      <c r="BY80" s="45" t="e">
        <f t="shared" si="184"/>
        <v>#DIV/0!</v>
      </c>
      <c r="CA80" s="45">
        <f t="shared" ref="CA80:CB80" si="185">CA83/CA86*100</f>
        <v>91.574585635359114</v>
      </c>
      <c r="CB80" s="45" t="e">
        <f t="shared" si="185"/>
        <v>#DIV/0!</v>
      </c>
      <c r="CC80" s="241"/>
      <c r="CD80" s="45">
        <f t="shared" ref="CD80:CE80" si="186">CD83/CD86*100</f>
        <v>0</v>
      </c>
      <c r="CE80" s="45" t="e">
        <f t="shared" si="186"/>
        <v>#DIV/0!</v>
      </c>
      <c r="CF80" s="241"/>
      <c r="CG80" s="45">
        <f t="shared" ref="CG80:CH80" si="187">CG83/CG86*100</f>
        <v>74.165202108963086</v>
      </c>
      <c r="CH80" s="45" t="e">
        <f t="shared" si="187"/>
        <v>#DIV/0!</v>
      </c>
      <c r="CJ80" s="45">
        <f t="shared" ref="CJ80:CK80" si="188">CJ83/CJ86*100</f>
        <v>0</v>
      </c>
      <c r="CK80" s="45" t="e">
        <f t="shared" si="188"/>
        <v>#DIV/0!</v>
      </c>
      <c r="CL80" s="241"/>
      <c r="CM80" s="45" t="e">
        <f t="shared" ref="CM80:CN80" si="189">CM83/CM86*100</f>
        <v>#DIV/0!</v>
      </c>
      <c r="CN80" s="45" t="e">
        <f t="shared" si="189"/>
        <v>#DIV/0!</v>
      </c>
      <c r="CO80" s="241"/>
      <c r="CP80" s="45" t="e">
        <f t="shared" ref="CP80:CQ80" si="190">CP83/CP86*100</f>
        <v>#DIV/0!</v>
      </c>
      <c r="CQ80" s="45" t="e">
        <f t="shared" si="190"/>
        <v>#DIV/0!</v>
      </c>
      <c r="CS80" s="45">
        <f t="shared" ref="CS80:CT80" si="191">CS83/CS86*100</f>
        <v>64.433357091945837</v>
      </c>
      <c r="CT80" s="45" t="e">
        <f t="shared" si="191"/>
        <v>#DIV/0!</v>
      </c>
      <c r="CU80" s="241"/>
      <c r="CV80" s="45">
        <f t="shared" ref="CV80:CW80" si="192">CV83/CV86*100</f>
        <v>74.676724137931032</v>
      </c>
      <c r="CW80" s="45" t="e">
        <f t="shared" si="192"/>
        <v>#DIV/0!</v>
      </c>
      <c r="CX80" s="241"/>
      <c r="CY80" s="45">
        <f t="shared" ref="CY80:CZ80" si="193">CY83/CY86*100</f>
        <v>78.80928355196771</v>
      </c>
      <c r="CZ80" s="45" t="e">
        <f t="shared" si="193"/>
        <v>#DIV/0!</v>
      </c>
      <c r="DB80" s="45">
        <f t="shared" ref="DB80:DC80" si="194">DB83/DB86*100</f>
        <v>64.805194805194816</v>
      </c>
      <c r="DC80" s="45" t="e">
        <f t="shared" si="194"/>
        <v>#DIV/0!</v>
      </c>
      <c r="DD80" s="241"/>
      <c r="DE80" s="45" t="e">
        <f t="shared" ref="DE80:DF80" si="195">DE83/DE86*100</f>
        <v>#DIV/0!</v>
      </c>
      <c r="DF80" s="45" t="e">
        <f t="shared" si="195"/>
        <v>#DIV/0!</v>
      </c>
    </row>
    <row r="81" spans="1:110" x14ac:dyDescent="0.25">
      <c r="A81" s="44"/>
      <c r="B81" s="46" t="s">
        <v>1184</v>
      </c>
      <c r="C81" s="42"/>
      <c r="D81" s="42" t="s">
        <v>8</v>
      </c>
      <c r="E81" s="45">
        <v>72.22</v>
      </c>
      <c r="F81" s="45">
        <f>F84/F87*100</f>
        <v>66.417910447761201</v>
      </c>
      <c r="G81" s="45">
        <f>G84/G87*100</f>
        <v>76.724137931034491</v>
      </c>
      <c r="H81" s="45">
        <v>73.67</v>
      </c>
      <c r="I81" s="45">
        <f t="shared" si="161"/>
        <v>67.365661861074713</v>
      </c>
      <c r="J81" s="45">
        <f t="shared" si="161"/>
        <v>69.882352941176478</v>
      </c>
      <c r="K81" s="45">
        <f t="shared" si="161"/>
        <v>74.413279908414424</v>
      </c>
      <c r="L81" s="45" t="e">
        <f t="shared" ref="L81" si="196">L84/L87*100</f>
        <v>#DIV/0!</v>
      </c>
      <c r="N81" s="45">
        <f t="shared" ref="N81" si="197">N84/N87*100</f>
        <v>74.413279908414424</v>
      </c>
      <c r="O81" s="45" t="e">
        <f t="shared" si="163"/>
        <v>#DIV/0!</v>
      </c>
      <c r="P81" s="45" t="e">
        <f t="shared" si="163"/>
        <v>#DIV/0!</v>
      </c>
      <c r="Q81" s="45" t="e">
        <f t="shared" ref="Q81" si="198">Q84/Q87*100</f>
        <v>#DIV/0!</v>
      </c>
      <c r="S81" s="45" t="e">
        <f t="shared" ref="S81" si="199">S84/S87*100</f>
        <v>#DIV/0!</v>
      </c>
      <c r="T81" s="45" t="e">
        <f t="shared" si="165"/>
        <v>#DIV/0!</v>
      </c>
      <c r="V81" s="45" t="e">
        <f t="shared" ref="V81:W81" si="200">V84/V87*100</f>
        <v>#DIV/0!</v>
      </c>
      <c r="W81" s="45" t="e">
        <f t="shared" si="200"/>
        <v>#DIV/0!</v>
      </c>
      <c r="Y81" s="45" t="e">
        <f t="shared" ref="Y81" si="201">Y84/Y87*100</f>
        <v>#DIV/0!</v>
      </c>
      <c r="Z81" s="45" t="e">
        <f t="shared" si="167"/>
        <v>#DIV/0!</v>
      </c>
      <c r="AA81" s="241"/>
      <c r="AB81" s="45" t="e">
        <f t="shared" ref="AB81:AC81" si="202">AB84/AB87*100</f>
        <v>#DIV/0!</v>
      </c>
      <c r="AC81" s="45" t="e">
        <f t="shared" si="202"/>
        <v>#DIV/0!</v>
      </c>
      <c r="AD81" s="241"/>
      <c r="AE81" s="45" t="e">
        <f t="shared" ref="AE81:AF81" si="203">AE84/AE87*100</f>
        <v>#DIV/0!</v>
      </c>
      <c r="AF81" s="45" t="e">
        <f t="shared" si="203"/>
        <v>#DIV/0!</v>
      </c>
      <c r="AH81" s="45" t="e">
        <f t="shared" ref="AH81:AI81" si="204">AH84/AH87*100</f>
        <v>#DIV/0!</v>
      </c>
      <c r="AI81" s="45" t="e">
        <f t="shared" si="204"/>
        <v>#DIV/0!</v>
      </c>
      <c r="AJ81" s="241"/>
      <c r="AK81" s="45" t="e">
        <f t="shared" ref="AK81:AL81" si="205">AK84/AK87*100</f>
        <v>#DIV/0!</v>
      </c>
      <c r="AL81" s="45" t="e">
        <f t="shared" si="205"/>
        <v>#DIV/0!</v>
      </c>
      <c r="AM81" s="241"/>
      <c r="AN81" s="45" t="e">
        <f t="shared" ref="AN81:AO81" si="206">AN84/AN87*100</f>
        <v>#DIV/0!</v>
      </c>
      <c r="AO81" s="45" t="e">
        <f t="shared" si="206"/>
        <v>#DIV/0!</v>
      </c>
      <c r="AQ81" s="45" t="e">
        <f t="shared" ref="AQ81:AR81" si="207">AQ84/AQ87*100</f>
        <v>#DIV/0!</v>
      </c>
      <c r="AR81" s="45" t="e">
        <f t="shared" si="207"/>
        <v>#DIV/0!</v>
      </c>
      <c r="AS81" s="241"/>
      <c r="AT81" s="45" t="e">
        <f t="shared" ref="AT81:AU81" si="208">AT84/AT87*100</f>
        <v>#DIV/0!</v>
      </c>
      <c r="AU81" s="45" t="e">
        <f t="shared" si="208"/>
        <v>#DIV/0!</v>
      </c>
      <c r="AW81" s="45" t="e">
        <f t="shared" ref="AW81:AX81" si="209">AW84/AW87*100</f>
        <v>#DIV/0!</v>
      </c>
      <c r="AX81" s="45" t="e">
        <f t="shared" si="209"/>
        <v>#DIV/0!</v>
      </c>
      <c r="AZ81" s="45" t="e">
        <f t="shared" ref="AZ81:BA81" si="210">AZ84/AZ87*100</f>
        <v>#DIV/0!</v>
      </c>
      <c r="BA81" s="45" t="e">
        <f t="shared" si="210"/>
        <v>#DIV/0!</v>
      </c>
      <c r="BB81" s="241"/>
      <c r="BC81" s="45" t="e">
        <f t="shared" ref="BC81:BD81" si="211">BC84/BC87*100</f>
        <v>#DIV/0!</v>
      </c>
      <c r="BD81" s="45" t="e">
        <f t="shared" si="211"/>
        <v>#DIV/0!</v>
      </c>
      <c r="BE81" s="241"/>
      <c r="BF81" s="45" t="e">
        <f t="shared" ref="BF81:BG81" si="212">BF84/BF87*100</f>
        <v>#DIV/0!</v>
      </c>
      <c r="BG81" s="45" t="e">
        <f t="shared" si="212"/>
        <v>#DIV/0!</v>
      </c>
      <c r="BI81" s="45" t="e">
        <f t="shared" ref="BI81:BJ81" si="213">BI84/BI87*100</f>
        <v>#DIV/0!</v>
      </c>
      <c r="BJ81" s="45" t="e">
        <f t="shared" si="213"/>
        <v>#DIV/0!</v>
      </c>
      <c r="BK81" s="241"/>
      <c r="BL81" s="45" t="e">
        <f t="shared" ref="BL81:BM81" si="214">BL84/BL87*100</f>
        <v>#DIV/0!</v>
      </c>
      <c r="BM81" s="45" t="e">
        <f t="shared" si="214"/>
        <v>#DIV/0!</v>
      </c>
      <c r="BN81" s="241"/>
      <c r="BO81" s="45" t="e">
        <f t="shared" ref="BO81:BP81" si="215">BO84/BO87*100</f>
        <v>#DIV/0!</v>
      </c>
      <c r="BP81" s="45" t="e">
        <f t="shared" si="215"/>
        <v>#DIV/0!</v>
      </c>
      <c r="BR81" s="45" t="e">
        <f t="shared" ref="BR81:BS81" si="216">BR84/BR87*100</f>
        <v>#DIV/0!</v>
      </c>
      <c r="BS81" s="45" t="e">
        <f t="shared" si="216"/>
        <v>#DIV/0!</v>
      </c>
      <c r="BT81" s="241"/>
      <c r="BU81" s="45" t="e">
        <f t="shared" ref="BU81:BV81" si="217">BU84/BU87*100</f>
        <v>#DIV/0!</v>
      </c>
      <c r="BV81" s="45" t="e">
        <f t="shared" si="217"/>
        <v>#DIV/0!</v>
      </c>
      <c r="BW81" s="241"/>
      <c r="BX81" s="45" t="e">
        <f t="shared" ref="BX81:BY81" si="218">BX84/BX87*100</f>
        <v>#DIV/0!</v>
      </c>
      <c r="BY81" s="45" t="e">
        <f t="shared" si="218"/>
        <v>#DIV/0!</v>
      </c>
      <c r="CA81" s="45" t="e">
        <f t="shared" ref="CA81:CB81" si="219">CA84/CA87*100</f>
        <v>#DIV/0!</v>
      </c>
      <c r="CB81" s="45" t="e">
        <f t="shared" si="219"/>
        <v>#DIV/0!</v>
      </c>
      <c r="CC81" s="241"/>
      <c r="CD81" s="45" t="e">
        <f t="shared" ref="CD81:CE81" si="220">CD84/CD87*100</f>
        <v>#DIV/0!</v>
      </c>
      <c r="CE81" s="45" t="e">
        <f t="shared" si="220"/>
        <v>#DIV/0!</v>
      </c>
      <c r="CF81" s="241"/>
      <c r="CG81" s="45" t="e">
        <f t="shared" ref="CG81:CH81" si="221">CG84/CG87*100</f>
        <v>#DIV/0!</v>
      </c>
      <c r="CH81" s="45" t="e">
        <f t="shared" si="221"/>
        <v>#DIV/0!</v>
      </c>
      <c r="CJ81" s="45" t="e">
        <f t="shared" ref="CJ81:CK81" si="222">CJ84/CJ87*100</f>
        <v>#DIV/0!</v>
      </c>
      <c r="CK81" s="45" t="e">
        <f t="shared" si="222"/>
        <v>#DIV/0!</v>
      </c>
      <c r="CL81" s="241"/>
      <c r="CM81" s="45" t="e">
        <f t="shared" ref="CM81:CN81" si="223">CM84/CM87*100</f>
        <v>#DIV/0!</v>
      </c>
      <c r="CN81" s="45" t="e">
        <f t="shared" si="223"/>
        <v>#DIV/0!</v>
      </c>
      <c r="CO81" s="241"/>
      <c r="CP81" s="45" t="e">
        <f t="shared" ref="CP81:CQ81" si="224">CP84/CP87*100</f>
        <v>#DIV/0!</v>
      </c>
      <c r="CQ81" s="45" t="e">
        <f t="shared" si="224"/>
        <v>#DIV/0!</v>
      </c>
      <c r="CS81" s="45" t="e">
        <f t="shared" ref="CS81:CT81" si="225">CS84/CS87*100</f>
        <v>#DIV/0!</v>
      </c>
      <c r="CT81" s="45" t="e">
        <f t="shared" si="225"/>
        <v>#DIV/0!</v>
      </c>
      <c r="CU81" s="241"/>
      <c r="CV81" s="45" t="e">
        <f t="shared" ref="CV81:CW81" si="226">CV84/CV87*100</f>
        <v>#DIV/0!</v>
      </c>
      <c r="CW81" s="45" t="e">
        <f t="shared" si="226"/>
        <v>#DIV/0!</v>
      </c>
      <c r="CX81" s="241"/>
      <c r="CY81" s="45" t="e">
        <f t="shared" ref="CY81:CZ81" si="227">CY84/CY87*100</f>
        <v>#DIV/0!</v>
      </c>
      <c r="CZ81" s="45" t="e">
        <f t="shared" si="227"/>
        <v>#DIV/0!</v>
      </c>
      <c r="DB81" s="45" t="e">
        <f t="shared" ref="DB81:DC81" si="228">DB84/DB87*100</f>
        <v>#DIV/0!</v>
      </c>
      <c r="DC81" s="45" t="e">
        <f t="shared" si="228"/>
        <v>#DIV/0!</v>
      </c>
      <c r="DD81" s="241"/>
      <c r="DE81" s="45">
        <f t="shared" ref="DE81:DF81" si="229">DE84/DE87*100</f>
        <v>74.413279908414424</v>
      </c>
      <c r="DF81" s="45" t="e">
        <f t="shared" si="229"/>
        <v>#DIV/0!</v>
      </c>
    </row>
    <row r="82" spans="1:110" ht="45" x14ac:dyDescent="0.25">
      <c r="A82" s="8"/>
      <c r="B82" s="16" t="s">
        <v>355</v>
      </c>
      <c r="C82" s="6" t="s">
        <v>2046</v>
      </c>
      <c r="D82" s="6" t="s">
        <v>950</v>
      </c>
      <c r="E82" s="12"/>
      <c r="F82" s="35">
        <f t="shared" ref="F82:K82" si="230">F83+F84</f>
        <v>12864</v>
      </c>
      <c r="G82" s="35">
        <f t="shared" si="230"/>
        <v>14004</v>
      </c>
      <c r="H82" s="35">
        <f t="shared" si="230"/>
        <v>0</v>
      </c>
      <c r="I82" s="35">
        <f t="shared" si="230"/>
        <v>15840</v>
      </c>
      <c r="J82" s="35">
        <f t="shared" si="230"/>
        <v>17087</v>
      </c>
      <c r="K82" s="35">
        <f t="shared" si="230"/>
        <v>16306</v>
      </c>
      <c r="L82" s="35">
        <f t="shared" ref="L82" si="231">L83+L84</f>
        <v>19045</v>
      </c>
      <c r="Y82" s="241"/>
      <c r="Z82" s="241"/>
      <c r="AA82" s="241"/>
      <c r="AB82" s="241"/>
      <c r="AC82" s="241"/>
      <c r="AD82" s="241"/>
      <c r="AE82" s="241"/>
      <c r="AF82" s="241"/>
      <c r="AH82" s="241"/>
      <c r="AI82" s="241"/>
      <c r="AJ82" s="241"/>
      <c r="AK82" s="241"/>
      <c r="AL82" s="241"/>
      <c r="AM82" s="241"/>
      <c r="AN82" s="241"/>
      <c r="AO82" s="241"/>
      <c r="AQ82" s="241"/>
      <c r="AR82" s="241"/>
      <c r="AS82" s="241"/>
      <c r="AW82" s="241"/>
      <c r="AX82" s="241"/>
      <c r="AZ82" s="241"/>
      <c r="BA82" s="241"/>
      <c r="BB82" s="241"/>
      <c r="BC82" s="241"/>
      <c r="BD82" s="241"/>
      <c r="BE82" s="241"/>
      <c r="BF82" s="241"/>
      <c r="BG82" s="241"/>
      <c r="BI82" s="241"/>
      <c r="BJ82" s="241"/>
      <c r="BK82" s="241"/>
      <c r="BL82" s="241"/>
      <c r="BM82" s="241"/>
      <c r="BN82" s="241"/>
      <c r="BO82" s="241"/>
      <c r="BP82" s="241"/>
      <c r="BR82" s="241"/>
      <c r="BS82" s="241"/>
      <c r="BT82" s="241"/>
      <c r="BU82" s="241"/>
      <c r="BV82" s="241"/>
      <c r="BW82" s="241"/>
      <c r="BX82" s="241"/>
      <c r="BY82" s="241"/>
      <c r="CA82" s="241"/>
      <c r="CB82" s="241"/>
      <c r="CC82" s="241"/>
      <c r="CD82" s="241"/>
      <c r="CE82" s="241"/>
      <c r="CF82" s="241"/>
      <c r="CG82" s="241"/>
      <c r="CH82" s="241"/>
      <c r="CJ82" s="241"/>
      <c r="CK82" s="241"/>
      <c r="CL82" s="241"/>
      <c r="CM82" s="241"/>
      <c r="CN82" s="241"/>
      <c r="CO82" s="241"/>
      <c r="CP82" s="241"/>
      <c r="CQ82" s="241"/>
      <c r="CS82" s="241"/>
      <c r="CT82" s="241"/>
      <c r="CU82" s="241"/>
      <c r="CV82" s="241"/>
      <c r="CW82" s="241"/>
      <c r="CX82" s="241"/>
      <c r="CY82" s="241"/>
      <c r="CZ82" s="241"/>
      <c r="DB82" s="241"/>
      <c r="DC82" s="241"/>
      <c r="DD82" s="241"/>
      <c r="DE82" s="241"/>
      <c r="DF82" s="241"/>
    </row>
    <row r="83" spans="1:110" x14ac:dyDescent="0.25">
      <c r="A83" s="8"/>
      <c r="B83" s="16" t="s">
        <v>1182</v>
      </c>
      <c r="C83" s="6"/>
      <c r="D83" s="6"/>
      <c r="E83" s="12"/>
      <c r="F83" s="35">
        <v>12775</v>
      </c>
      <c r="G83" s="35">
        <f>961+12939+15</f>
        <v>13915</v>
      </c>
      <c r="H83" s="35"/>
      <c r="I83" s="35">
        <f>1278+14039+9</f>
        <v>15326</v>
      </c>
      <c r="J83" s="35">
        <f>1217+14673+8+298</f>
        <v>16196</v>
      </c>
      <c r="K83" s="35">
        <v>15006</v>
      </c>
      <c r="L83" s="35">
        <f>1359+15852+31</f>
        <v>17242</v>
      </c>
      <c r="N83" s="241">
        <f>P83+S83+V83+Y83+AB83+AE83+AH83+AK83+AN83+AQ83+AW83+AZ83+BC83+BF83+BI83+BL83+BO83+BR83+BU83+BX83+CA83+CD83+CG83+CJ83+AT83+DE83+CS83+CV83+CY83+DB83</f>
        <v>15006</v>
      </c>
      <c r="O83" s="241">
        <f>Q83+T83+W83+Z83+AC83+AF83+AI83+AL83+AO83+AR83+AX83+BA83+BD83+BG83+BJ83+BM83+BP83+BS83+BV83+BY83+CB83+CE83+CH83+CK83+AU83+DF83+CT83+CW83+CZ83+DC83</f>
        <v>0</v>
      </c>
      <c r="P83">
        <f>81+6</f>
        <v>87</v>
      </c>
      <c r="S83">
        <f>1180+87</f>
        <v>1267</v>
      </c>
      <c r="V83">
        <f>604+65</f>
        <v>669</v>
      </c>
      <c r="Y83" s="241">
        <v>1360</v>
      </c>
      <c r="Z83" s="241"/>
      <c r="AA83" s="241"/>
      <c r="AB83" s="241">
        <v>326</v>
      </c>
      <c r="AC83" s="241"/>
      <c r="AD83" s="241"/>
      <c r="AE83" s="241">
        <v>210</v>
      </c>
      <c r="AF83" s="241"/>
      <c r="AH83" s="241">
        <v>144</v>
      </c>
      <c r="AI83" s="241"/>
      <c r="AJ83" s="241"/>
      <c r="AK83" s="241">
        <f>587+8</f>
        <v>595</v>
      </c>
      <c r="AL83" s="241"/>
      <c r="AM83" s="241"/>
      <c r="AN83" s="241">
        <v>0</v>
      </c>
      <c r="AO83" s="241"/>
      <c r="AQ83" s="241">
        <v>379</v>
      </c>
      <c r="AR83" s="241"/>
      <c r="AS83" s="241"/>
      <c r="AT83" s="241">
        <v>132</v>
      </c>
      <c r="AW83" s="241">
        <v>301</v>
      </c>
      <c r="AX83" s="241"/>
      <c r="AZ83" s="241">
        <v>396</v>
      </c>
      <c r="BA83" s="241"/>
      <c r="BB83" s="241"/>
      <c r="BC83" s="241">
        <v>1505</v>
      </c>
      <c r="BD83" s="241"/>
      <c r="BE83" s="241"/>
      <c r="BF83" s="241">
        <f>666+105</f>
        <v>771</v>
      </c>
      <c r="BG83" s="241"/>
      <c r="BI83" s="241">
        <v>472</v>
      </c>
      <c r="BJ83" s="241"/>
      <c r="BK83" s="241"/>
      <c r="BL83" s="241">
        <v>473</v>
      </c>
      <c r="BM83" s="241"/>
      <c r="BN83" s="241"/>
      <c r="BO83" s="241">
        <f>320+1</f>
        <v>321</v>
      </c>
      <c r="BP83" s="241"/>
      <c r="BR83" s="241">
        <v>158</v>
      </c>
      <c r="BS83" s="241"/>
      <c r="BT83" s="241"/>
      <c r="BU83" s="241">
        <v>472</v>
      </c>
      <c r="BV83" s="241"/>
      <c r="BW83" s="241"/>
      <c r="BX83" s="241">
        <v>225</v>
      </c>
      <c r="BY83" s="241"/>
      <c r="CA83" s="241">
        <f>527+47+89</f>
        <v>663</v>
      </c>
      <c r="CB83" s="241"/>
      <c r="CC83" s="241"/>
      <c r="CD83" s="241">
        <v>0</v>
      </c>
      <c r="CE83" s="241"/>
      <c r="CF83" s="241"/>
      <c r="CG83" s="241">
        <v>422</v>
      </c>
      <c r="CH83" s="241"/>
      <c r="CJ83" s="241">
        <v>0</v>
      </c>
      <c r="CK83" s="241"/>
      <c r="CL83" s="241"/>
      <c r="CM83" s="241"/>
      <c r="CN83" s="241"/>
      <c r="CO83" s="241"/>
      <c r="CP83" s="241"/>
      <c r="CQ83" s="241"/>
      <c r="CS83" s="241">
        <v>904</v>
      </c>
      <c r="CT83" s="241"/>
      <c r="CU83" s="241"/>
      <c r="CV83" s="241">
        <v>693</v>
      </c>
      <c r="CW83" s="241"/>
      <c r="CX83" s="241"/>
      <c r="CY83" s="241">
        <v>1562</v>
      </c>
      <c r="CZ83" s="241"/>
      <c r="DB83" s="241">
        <v>499</v>
      </c>
      <c r="DC83" s="241"/>
      <c r="DD83" s="241"/>
      <c r="DE83" s="241"/>
      <c r="DF83" s="241"/>
    </row>
    <row r="84" spans="1:110" x14ac:dyDescent="0.25">
      <c r="A84" s="8"/>
      <c r="B84" s="16" t="s">
        <v>1184</v>
      </c>
      <c r="C84" s="6"/>
      <c r="D84" s="6"/>
      <c r="E84" s="12"/>
      <c r="F84" s="35">
        <f>16+73</f>
        <v>89</v>
      </c>
      <c r="G84" s="35">
        <f>20+69</f>
        <v>89</v>
      </c>
      <c r="H84" s="35"/>
      <c r="I84" s="35">
        <f>32+451+31</f>
        <v>514</v>
      </c>
      <c r="J84" s="35">
        <f>148+708+35</f>
        <v>891</v>
      </c>
      <c r="K84" s="35">
        <f>67+1111+122</f>
        <v>1300</v>
      </c>
      <c r="L84" s="35">
        <f>1602+201</f>
        <v>1803</v>
      </c>
      <c r="N84" s="241">
        <f>P84+S84+V84+Y84+AB84+AE84+AH84+AK84+AN84+AQ84+AW84+AZ84+BC84+BF84+BI84+BL84+BO84+BR84+BU84+BX84+CA84+CD84+CG84+CJ84+AT84+DE84+CS84+CV84+CY84+DB84</f>
        <v>1300</v>
      </c>
      <c r="O84" s="241">
        <f>Q84+T84+W84+Z84+AC84+AF84+AI84+AL84+AO84+AR84+AX84+BA84+BD84+BG84+BJ84+BM84+BP84+BS84+BV84+BY84+CB84+CE84+CH84+CK84+AU84+DF84+CT84+CW84+CZ84+DC84</f>
        <v>0</v>
      </c>
      <c r="Y84" s="241"/>
      <c r="Z84" s="241"/>
      <c r="AA84" s="241"/>
      <c r="AB84" s="241"/>
      <c r="AC84" s="241"/>
      <c r="AD84" s="241"/>
      <c r="AE84" s="241"/>
      <c r="AF84" s="241"/>
      <c r="AH84" s="241"/>
      <c r="AI84" s="241"/>
      <c r="AJ84" s="241"/>
      <c r="AK84" s="241"/>
      <c r="AL84" s="241"/>
      <c r="AM84" s="241"/>
      <c r="AN84" s="241"/>
      <c r="AO84" s="241"/>
      <c r="AQ84" s="241"/>
      <c r="AR84" s="241"/>
      <c r="AS84" s="241"/>
      <c r="AW84" s="241"/>
      <c r="AX84" s="241"/>
      <c r="AZ84" s="241"/>
      <c r="BA84" s="241"/>
      <c r="BB84" s="241"/>
      <c r="BC84" s="241"/>
      <c r="BD84" s="241"/>
      <c r="BE84" s="241"/>
      <c r="BF84" s="241"/>
      <c r="BG84" s="241"/>
      <c r="BI84" s="241"/>
      <c r="BJ84" s="241"/>
      <c r="BK84" s="241"/>
      <c r="BL84" s="241"/>
      <c r="BM84" s="241"/>
      <c r="BN84" s="241"/>
      <c r="BO84" s="241"/>
      <c r="BP84" s="241"/>
      <c r="BR84" s="241"/>
      <c r="BS84" s="241"/>
      <c r="BT84" s="241"/>
      <c r="BU84" s="241"/>
      <c r="BV84" s="241"/>
      <c r="BW84" s="241"/>
      <c r="BX84" s="241"/>
      <c r="BY84" s="241"/>
      <c r="CA84" s="241"/>
      <c r="CB84" s="241"/>
      <c r="CC84" s="241"/>
      <c r="CD84" s="241"/>
      <c r="CE84" s="241"/>
      <c r="CF84" s="241"/>
      <c r="CG84" s="241"/>
      <c r="CH84" s="241"/>
      <c r="CJ84" s="241"/>
      <c r="CK84" s="241"/>
      <c r="CL84" s="241"/>
      <c r="CM84" s="241"/>
      <c r="CN84" s="241"/>
      <c r="CO84" s="241"/>
      <c r="CP84" s="241"/>
      <c r="CQ84" s="241"/>
      <c r="CS84" s="241"/>
      <c r="CT84" s="241"/>
      <c r="CU84" s="241"/>
      <c r="CV84" s="241"/>
      <c r="CW84" s="241"/>
      <c r="CX84" s="241"/>
      <c r="CY84" s="241"/>
      <c r="CZ84" s="241"/>
      <c r="DB84" s="241"/>
      <c r="DC84" s="241"/>
      <c r="DD84" s="241"/>
      <c r="DE84" s="241">
        <f>1111+122+67</f>
        <v>1300</v>
      </c>
      <c r="DF84" s="241"/>
    </row>
    <row r="85" spans="1:110" ht="45" x14ac:dyDescent="0.25">
      <c r="A85" s="8"/>
      <c r="B85" s="16" t="s">
        <v>330</v>
      </c>
      <c r="C85" s="6" t="s">
        <v>2045</v>
      </c>
      <c r="D85" s="6" t="s">
        <v>950</v>
      </c>
      <c r="E85" s="12"/>
      <c r="F85" s="35">
        <f t="shared" ref="F85:K85" si="232">F86+F87</f>
        <v>20080</v>
      </c>
      <c r="G85" s="35">
        <f t="shared" si="232"/>
        <v>19901</v>
      </c>
      <c r="H85" s="35">
        <f t="shared" si="232"/>
        <v>0</v>
      </c>
      <c r="I85" s="35">
        <f t="shared" si="232"/>
        <v>21830</v>
      </c>
      <c r="J85" s="35">
        <f t="shared" si="232"/>
        <v>22899</v>
      </c>
      <c r="K85" s="35">
        <f t="shared" si="232"/>
        <v>21296</v>
      </c>
      <c r="L85" s="35">
        <f t="shared" ref="L85" si="233">L86+L87</f>
        <v>0</v>
      </c>
      <c r="O85" s="241"/>
      <c r="Y85" s="241"/>
      <c r="Z85" s="241"/>
      <c r="AA85" s="241"/>
      <c r="AB85" s="241"/>
      <c r="AC85" s="241"/>
      <c r="AD85" s="241"/>
      <c r="AE85" s="241"/>
      <c r="AF85" s="241"/>
      <c r="AH85" s="241"/>
      <c r="AI85" s="241"/>
      <c r="AJ85" s="241"/>
      <c r="AK85" s="241"/>
      <c r="AL85" s="241"/>
      <c r="AM85" s="241"/>
      <c r="AN85" s="241"/>
      <c r="AO85" s="241"/>
      <c r="AQ85" s="241"/>
      <c r="AR85" s="241"/>
      <c r="AS85" s="241"/>
      <c r="AW85" s="241"/>
      <c r="AX85" s="241"/>
      <c r="AZ85" s="241"/>
      <c r="BA85" s="241"/>
      <c r="BB85" s="241"/>
      <c r="BC85" s="241"/>
      <c r="BD85" s="241"/>
      <c r="BE85" s="241"/>
      <c r="BF85" s="241"/>
      <c r="BG85" s="241"/>
      <c r="BI85" s="241"/>
      <c r="BJ85" s="241"/>
      <c r="BK85" s="241"/>
      <c r="BL85" s="241"/>
      <c r="BM85" s="241"/>
      <c r="BN85" s="241"/>
      <c r="BO85" s="241"/>
      <c r="BP85" s="241"/>
      <c r="BR85" s="241"/>
      <c r="BS85" s="241"/>
      <c r="BT85" s="241"/>
      <c r="BU85" s="241"/>
      <c r="BV85" s="241"/>
      <c r="BW85" s="241"/>
      <c r="BX85" s="241"/>
      <c r="BY85" s="241"/>
      <c r="CA85" s="241"/>
      <c r="CB85" s="241"/>
      <c r="CC85" s="241"/>
      <c r="CD85" s="241"/>
      <c r="CE85" s="241"/>
      <c r="CF85" s="241"/>
      <c r="CG85" s="241"/>
      <c r="CH85" s="241"/>
      <c r="CJ85" s="241"/>
      <c r="CK85" s="241"/>
      <c r="CL85" s="241"/>
      <c r="CM85" s="241"/>
      <c r="CN85" s="241"/>
      <c r="CO85" s="241"/>
      <c r="CP85" s="241"/>
      <c r="CQ85" s="241"/>
      <c r="CS85" s="241"/>
      <c r="CT85" s="241"/>
      <c r="CU85" s="241"/>
      <c r="CV85" s="241"/>
      <c r="CW85" s="241"/>
      <c r="CX85" s="241"/>
      <c r="CY85" s="241"/>
      <c r="CZ85" s="241"/>
      <c r="DB85" s="241"/>
      <c r="DC85" s="241"/>
      <c r="DD85" s="241"/>
      <c r="DE85" s="241"/>
      <c r="DF85" s="241"/>
    </row>
    <row r="86" spans="1:110" x14ac:dyDescent="0.25">
      <c r="A86" s="8"/>
      <c r="B86" s="16" t="s">
        <v>1182</v>
      </c>
      <c r="C86" s="6"/>
      <c r="D86" s="6"/>
      <c r="E86" s="12"/>
      <c r="F86" s="35">
        <v>19946</v>
      </c>
      <c r="G86" s="35">
        <v>19785</v>
      </c>
      <c r="H86" s="35"/>
      <c r="I86" s="35">
        <f>5226+15823+271-253</f>
        <v>21067</v>
      </c>
      <c r="J86" s="35">
        <f>4913+16334+377</f>
        <v>21624</v>
      </c>
      <c r="K86" s="35">
        <v>19549</v>
      </c>
      <c r="L86" s="35">
        <f>L17</f>
        <v>0</v>
      </c>
      <c r="N86" s="241">
        <f>P86+S86+V86+Y86+AB86+AE86+AH86+AK86+AN86+AQ86+AW86+AZ86+BC86+BF86+BI86+BL86+BO86+BR86+BU86+BX86+CA86+CD86+CG86+CJ86+AT86+DE86+CS86+CV86+CY86+DB86</f>
        <v>19549</v>
      </c>
      <c r="O86" s="241">
        <f>Q86+T86+W86+Z86+AC86+AF86+AI86+AL86+AO86+AR86+AX86+BA86+BD86+BG86+BJ86+BM86+BP86+BS86+BV86+BY86+CB86+CE86+CH86+CK86+AU86+DF86+CT86+CW86+CZ86+DC86</f>
        <v>0</v>
      </c>
      <c r="P86" s="241">
        <f>P17</f>
        <v>183</v>
      </c>
      <c r="Q86" s="241">
        <f t="shared" ref="Q86" si="234">Q17</f>
        <v>0</v>
      </c>
      <c r="S86" s="241">
        <f>S17</f>
        <v>1534</v>
      </c>
      <c r="T86" s="241">
        <f t="shared" ref="T86" si="235">T17</f>
        <v>0</v>
      </c>
      <c r="V86" s="241">
        <f>V17</f>
        <v>739</v>
      </c>
      <c r="W86" s="241">
        <f t="shared" ref="W86" si="236">W17</f>
        <v>0</v>
      </c>
      <c r="Y86" s="241">
        <f>Y17</f>
        <v>1360</v>
      </c>
      <c r="Z86" s="241">
        <f t="shared" ref="Z86" si="237">Z17</f>
        <v>0</v>
      </c>
      <c r="AA86" s="241"/>
      <c r="AB86" s="241">
        <f>AB17</f>
        <v>326</v>
      </c>
      <c r="AC86" s="241">
        <f t="shared" ref="AC86" si="238">AC17</f>
        <v>0</v>
      </c>
      <c r="AD86" s="241"/>
      <c r="AE86" s="241">
        <f>AE17</f>
        <v>210</v>
      </c>
      <c r="AF86" s="241">
        <f t="shared" ref="AF86" si="239">AF17</f>
        <v>0</v>
      </c>
      <c r="AH86" s="241">
        <f>AH17</f>
        <v>164</v>
      </c>
      <c r="AI86" s="241">
        <f t="shared" ref="AI86" si="240">AI17</f>
        <v>0</v>
      </c>
      <c r="AJ86" s="241"/>
      <c r="AK86" s="241">
        <f>AK17</f>
        <v>595</v>
      </c>
      <c r="AL86" s="241">
        <f t="shared" ref="AL86" si="241">AL17</f>
        <v>0</v>
      </c>
      <c r="AM86" s="241"/>
      <c r="AN86" s="241">
        <f>AN17</f>
        <v>525</v>
      </c>
      <c r="AO86" s="241">
        <f t="shared" ref="AO86" si="242">AO17</f>
        <v>0</v>
      </c>
      <c r="AQ86" s="241">
        <f>AQ17</f>
        <v>527</v>
      </c>
      <c r="AR86" s="241">
        <f t="shared" ref="AR86" si="243">AR17</f>
        <v>0</v>
      </c>
      <c r="AS86" s="241"/>
      <c r="AT86" s="241">
        <f>AT17</f>
        <v>132</v>
      </c>
      <c r="AU86" s="241">
        <f t="shared" ref="AU86" si="244">AU17</f>
        <v>0</v>
      </c>
      <c r="AW86" s="241">
        <f>AW17</f>
        <v>353</v>
      </c>
      <c r="AX86" s="241">
        <f t="shared" ref="AX86" si="245">AX17</f>
        <v>0</v>
      </c>
      <c r="AZ86" s="241">
        <f>AZ17</f>
        <v>571</v>
      </c>
      <c r="BA86" s="241">
        <f t="shared" ref="BA86" si="246">BA17</f>
        <v>0</v>
      </c>
      <c r="BB86" s="241"/>
      <c r="BC86" s="241">
        <f>BC17</f>
        <v>1672</v>
      </c>
      <c r="BD86" s="241">
        <f t="shared" ref="BD86" si="247">BD17</f>
        <v>0</v>
      </c>
      <c r="BE86" s="241"/>
      <c r="BF86" s="241">
        <f>BF17</f>
        <v>847</v>
      </c>
      <c r="BG86" s="241">
        <f t="shared" ref="BG86" si="248">BG17</f>
        <v>0</v>
      </c>
      <c r="BI86" s="241">
        <f>BI17</f>
        <v>523</v>
      </c>
      <c r="BJ86" s="241">
        <f t="shared" ref="BJ86" si="249">BJ17</f>
        <v>0</v>
      </c>
      <c r="BK86" s="241"/>
      <c r="BL86" s="241">
        <f>BL17</f>
        <v>518</v>
      </c>
      <c r="BM86" s="241">
        <f t="shared" ref="BM86" si="250">BM17</f>
        <v>0</v>
      </c>
      <c r="BN86" s="241"/>
      <c r="BO86" s="241">
        <f>BO17</f>
        <v>321</v>
      </c>
      <c r="BP86" s="241">
        <f t="shared" ref="BP86" si="251">BP17</f>
        <v>0</v>
      </c>
      <c r="BR86" s="241">
        <f>BR17</f>
        <v>181</v>
      </c>
      <c r="BS86" s="241">
        <f t="shared" ref="BS86" si="252">BS17</f>
        <v>0</v>
      </c>
      <c r="BT86" s="241"/>
      <c r="BU86" s="241">
        <f>BU17</f>
        <v>561</v>
      </c>
      <c r="BV86" s="241">
        <f t="shared" ref="BV86" si="253">BV17</f>
        <v>0</v>
      </c>
      <c r="BW86" s="241"/>
      <c r="BX86" s="241">
        <f>BX17</f>
        <v>274</v>
      </c>
      <c r="BY86" s="241">
        <f t="shared" ref="BY86" si="254">BY17</f>
        <v>0</v>
      </c>
      <c r="CA86" s="241">
        <f>CA17</f>
        <v>724</v>
      </c>
      <c r="CB86" s="241">
        <f t="shared" ref="CB86" si="255">CB17</f>
        <v>0</v>
      </c>
      <c r="CC86" s="241"/>
      <c r="CD86" s="241">
        <f>CD17</f>
        <v>480</v>
      </c>
      <c r="CE86" s="241">
        <f t="shared" ref="CE86" si="256">CE17</f>
        <v>0</v>
      </c>
      <c r="CF86" s="241"/>
      <c r="CG86" s="241">
        <f>CG17</f>
        <v>569</v>
      </c>
      <c r="CH86" s="241">
        <f t="shared" ref="CH86" si="257">CH17</f>
        <v>0</v>
      </c>
      <c r="CJ86" s="241">
        <f>CJ17</f>
        <v>577</v>
      </c>
      <c r="CK86" s="241">
        <f t="shared" ref="CK86" si="258">CK17</f>
        <v>0</v>
      </c>
      <c r="CL86" s="241"/>
      <c r="CM86" s="241">
        <f>CM17</f>
        <v>0</v>
      </c>
      <c r="CN86" s="241">
        <f t="shared" ref="CN86" si="259">CN17</f>
        <v>0</v>
      </c>
      <c r="CO86" s="241"/>
      <c r="CP86" s="241">
        <f>CP17</f>
        <v>0</v>
      </c>
      <c r="CQ86" s="241">
        <f t="shared" ref="CQ86" si="260">CQ17</f>
        <v>0</v>
      </c>
      <c r="CS86" s="241">
        <f>CS17</f>
        <v>1403</v>
      </c>
      <c r="CT86" s="241">
        <f t="shared" ref="CT86" si="261">CT17</f>
        <v>0</v>
      </c>
      <c r="CU86" s="241"/>
      <c r="CV86" s="241">
        <f>CV17</f>
        <v>928</v>
      </c>
      <c r="CW86" s="241">
        <f t="shared" ref="CW86" si="262">CW17</f>
        <v>0</v>
      </c>
      <c r="CX86" s="241"/>
      <c r="CY86" s="241">
        <f>CY17</f>
        <v>1982</v>
      </c>
      <c r="CZ86" s="241">
        <f t="shared" ref="CZ86" si="263">CZ17</f>
        <v>0</v>
      </c>
      <c r="DB86" s="241">
        <f>DB17</f>
        <v>770</v>
      </c>
      <c r="DC86" s="241">
        <f t="shared" ref="DC86" si="264">DC17</f>
        <v>0</v>
      </c>
      <c r="DD86" s="241"/>
      <c r="DE86" s="241"/>
      <c r="DF86" s="241"/>
    </row>
    <row r="87" spans="1:110" x14ac:dyDescent="0.25">
      <c r="A87" s="8"/>
      <c r="B87" s="16" t="s">
        <v>1184</v>
      </c>
      <c r="C87" s="6"/>
      <c r="D87" s="6"/>
      <c r="E87" s="12"/>
      <c r="F87" s="35">
        <v>134</v>
      </c>
      <c r="G87" s="35">
        <v>116</v>
      </c>
      <c r="H87" s="35"/>
      <c r="I87" s="35">
        <f>95+637+31</f>
        <v>763</v>
      </c>
      <c r="J87" s="35">
        <f>310+924+41</f>
        <v>1275</v>
      </c>
      <c r="K87" s="35">
        <f>K18</f>
        <v>1747</v>
      </c>
      <c r="L87" s="35">
        <f>L18</f>
        <v>0</v>
      </c>
      <c r="N87" s="241">
        <f>P87+S87+V87+Y87+AB87+AE87+AH87+AK87+AN87+AQ87+AW87+AZ87+BC87+BF87+BI87+BL87+BO87+BR87+BU87+BX87+CA87+CD87+CG87+CJ87+AT87+DE87+CS87+CV87+CY87+DB87</f>
        <v>1747</v>
      </c>
      <c r="O87" s="241">
        <f>Q87+T87+W87+Z87+AC87+AF87+AI87+AL87+AO87+AR87+AX87+BA87+BD87+BG87+BJ87+BM87+BP87+BS87+BV87+BY87+CB87+CE87+CH87+CK87+AU87+DF87+CT87+CW87+CZ87+DC87</f>
        <v>0</v>
      </c>
      <c r="P87" s="241"/>
      <c r="Q87" s="241"/>
      <c r="Y87" s="241"/>
      <c r="Z87" s="241"/>
      <c r="AA87" s="241"/>
      <c r="AB87" s="241"/>
      <c r="AC87" s="241"/>
      <c r="AD87" s="241"/>
      <c r="AE87" s="241"/>
      <c r="AF87" s="241"/>
      <c r="AH87" s="241"/>
      <c r="AI87" s="241"/>
      <c r="AJ87" s="241"/>
      <c r="AK87" s="241"/>
      <c r="AL87" s="241"/>
      <c r="AM87" s="241"/>
      <c r="AN87" s="241"/>
      <c r="AO87" s="241"/>
      <c r="AQ87" s="241"/>
      <c r="AR87" s="241"/>
      <c r="AS87" s="241"/>
      <c r="AW87" s="241"/>
      <c r="AX87" s="241"/>
      <c r="AZ87" s="241"/>
      <c r="BA87" s="241"/>
      <c r="BB87" s="241"/>
      <c r="BC87" s="241"/>
      <c r="BD87" s="241"/>
      <c r="BE87" s="241"/>
      <c r="BF87" s="241"/>
      <c r="BG87" s="241"/>
      <c r="BI87" s="241"/>
      <c r="BJ87" s="241"/>
      <c r="BK87" s="241"/>
      <c r="BL87" s="241"/>
      <c r="BM87" s="241"/>
      <c r="BN87" s="241"/>
      <c r="BO87" s="241"/>
      <c r="BP87" s="241"/>
      <c r="BR87" s="241"/>
      <c r="BS87" s="241"/>
      <c r="BT87" s="241"/>
      <c r="BU87" s="241"/>
      <c r="BV87" s="241"/>
      <c r="BW87" s="241"/>
      <c r="BX87" s="241"/>
      <c r="BY87" s="241"/>
      <c r="CA87" s="241"/>
      <c r="CB87" s="241"/>
      <c r="CC87" s="241"/>
      <c r="CD87" s="241"/>
      <c r="CE87" s="241"/>
      <c r="CF87" s="241"/>
      <c r="CG87" s="241"/>
      <c r="CH87" s="241"/>
      <c r="CJ87" s="241"/>
      <c r="CK87" s="241"/>
      <c r="CL87" s="241"/>
      <c r="CM87" s="241"/>
      <c r="CN87" s="241"/>
      <c r="CO87" s="241"/>
      <c r="CP87" s="241"/>
      <c r="CQ87" s="241"/>
      <c r="CS87" s="241"/>
      <c r="CT87" s="241"/>
      <c r="CU87" s="241"/>
      <c r="CV87" s="241"/>
      <c r="CW87" s="241"/>
      <c r="CX87" s="241"/>
      <c r="CY87" s="241"/>
      <c r="CZ87" s="241"/>
      <c r="DB87" s="241"/>
      <c r="DC87" s="241"/>
      <c r="DD87" s="241"/>
      <c r="DE87" s="241">
        <f>DE18</f>
        <v>1747</v>
      </c>
      <c r="DF87" s="241">
        <f>DF18</f>
        <v>0</v>
      </c>
    </row>
    <row r="88" spans="1:110" x14ac:dyDescent="0.25">
      <c r="A88" s="44"/>
      <c r="B88" s="43" t="s">
        <v>348</v>
      </c>
      <c r="C88" s="42"/>
      <c r="D88" s="42"/>
      <c r="E88" s="50"/>
      <c r="F88" s="50"/>
      <c r="G88" s="50"/>
      <c r="H88" s="50"/>
      <c r="I88" s="50"/>
      <c r="J88" s="50"/>
      <c r="K88" s="50"/>
      <c r="L88" s="50"/>
      <c r="Y88" s="241"/>
      <c r="Z88" s="241"/>
      <c r="AA88" s="241"/>
      <c r="AB88" s="241"/>
      <c r="AC88" s="241"/>
      <c r="AD88" s="241"/>
      <c r="AE88" s="241"/>
      <c r="AF88" s="241"/>
      <c r="AH88" s="241"/>
      <c r="AI88" s="241"/>
      <c r="AJ88" s="241"/>
      <c r="AK88" s="241"/>
      <c r="AL88" s="241"/>
      <c r="AM88" s="241"/>
      <c r="AN88" s="241"/>
      <c r="AO88" s="241"/>
      <c r="AQ88" s="241"/>
      <c r="AR88" s="241"/>
      <c r="AS88" s="241"/>
      <c r="AW88" s="241"/>
      <c r="AX88" s="241"/>
      <c r="AZ88" s="241"/>
      <c r="BA88" s="241"/>
      <c r="BB88" s="241"/>
      <c r="BC88" s="241"/>
      <c r="BD88" s="241"/>
      <c r="BE88" s="241"/>
      <c r="BF88" s="241"/>
      <c r="BG88" s="241"/>
      <c r="BI88" s="241"/>
      <c r="BJ88" s="241"/>
      <c r="BK88" s="241"/>
      <c r="BL88" s="241"/>
      <c r="BM88" s="241"/>
      <c r="BN88" s="241"/>
      <c r="BO88" s="241"/>
      <c r="BP88" s="241"/>
      <c r="BR88" s="241"/>
      <c r="BS88" s="241"/>
      <c r="BT88" s="241"/>
      <c r="BU88" s="241"/>
      <c r="BV88" s="241"/>
      <c r="BW88" s="241"/>
      <c r="BX88" s="241"/>
      <c r="BY88" s="241"/>
      <c r="CA88" s="241"/>
      <c r="CB88" s="241"/>
      <c r="CC88" s="241"/>
      <c r="CD88" s="241"/>
      <c r="CE88" s="241"/>
      <c r="CF88" s="241"/>
      <c r="CG88" s="241"/>
      <c r="CH88" s="241"/>
      <c r="CJ88" s="241"/>
      <c r="CK88" s="241"/>
      <c r="CL88" s="241"/>
      <c r="CM88" s="241"/>
      <c r="CN88" s="241"/>
      <c r="CO88" s="241"/>
      <c r="CP88" s="241"/>
      <c r="CQ88" s="241"/>
      <c r="CS88" s="241"/>
      <c r="CT88" s="241"/>
      <c r="CU88" s="241"/>
      <c r="CV88" s="241"/>
      <c r="CW88" s="241"/>
      <c r="CX88" s="241"/>
      <c r="CY88" s="241"/>
      <c r="CZ88" s="241"/>
      <c r="DB88" s="241"/>
      <c r="DC88" s="241"/>
      <c r="DD88" s="241"/>
      <c r="DE88" s="241"/>
      <c r="DF88" s="241"/>
    </row>
    <row r="89" spans="1:110" x14ac:dyDescent="0.25">
      <c r="A89" s="44"/>
      <c r="B89" s="46" t="s">
        <v>1182</v>
      </c>
      <c r="C89" s="42"/>
      <c r="D89" s="42" t="s">
        <v>8</v>
      </c>
      <c r="E89" s="45">
        <v>36.54</v>
      </c>
      <c r="F89" s="45">
        <f>F92/F95*100</f>
        <v>35.952070590594602</v>
      </c>
      <c r="G89" s="45">
        <v>30.36</v>
      </c>
      <c r="H89" s="45">
        <v>28.23</v>
      </c>
      <c r="I89" s="45">
        <f t="shared" ref="I89:K90" si="265">I92/I95*100</f>
        <v>27.251151089381498</v>
      </c>
      <c r="J89" s="45">
        <f t="shared" si="265"/>
        <v>25.101738808731039</v>
      </c>
      <c r="K89" s="45">
        <f t="shared" si="265"/>
        <v>23.239040360120722</v>
      </c>
      <c r="L89" s="45" t="e">
        <f t="shared" ref="L89" si="266">L92/L95*100</f>
        <v>#DIV/0!</v>
      </c>
      <c r="N89" s="45">
        <f t="shared" ref="N89:P90" si="267">N92/N95*100</f>
        <v>23.239040360120722</v>
      </c>
      <c r="O89" s="45" t="e">
        <f t="shared" si="267"/>
        <v>#DIV/0!</v>
      </c>
      <c r="P89" s="45">
        <f t="shared" ref="P89:Q89" si="268">P92/P95*100</f>
        <v>52.459016393442624</v>
      </c>
      <c r="Q89" s="45" t="e">
        <f t="shared" si="268"/>
        <v>#DIV/0!</v>
      </c>
      <c r="S89" s="45">
        <f t="shared" ref="S89:T90" si="269">S92/S95*100</f>
        <v>17.405475880052151</v>
      </c>
      <c r="T89" s="45" t="e">
        <f t="shared" si="269"/>
        <v>#DIV/0!</v>
      </c>
      <c r="V89" s="45">
        <f t="shared" ref="V89:W89" si="270">V92/V95*100</f>
        <v>9.472259810554803</v>
      </c>
      <c r="W89" s="45" t="e">
        <f t="shared" si="270"/>
        <v>#DIV/0!</v>
      </c>
      <c r="Y89" s="45">
        <f t="shared" ref="Y89:Z90" si="271">Y92/Y95*100</f>
        <v>0</v>
      </c>
      <c r="Z89" s="45" t="e">
        <f t="shared" si="271"/>
        <v>#DIV/0!</v>
      </c>
      <c r="AA89" s="241"/>
      <c r="AB89" s="45">
        <f t="shared" ref="AB89:AC89" si="272">AB92/AB95*100</f>
        <v>0</v>
      </c>
      <c r="AC89" s="45" t="e">
        <f t="shared" si="272"/>
        <v>#DIV/0!</v>
      </c>
      <c r="AD89" s="241"/>
      <c r="AE89" s="45">
        <f t="shared" ref="AE89:AF89" si="273">AE92/AE95*100</f>
        <v>0</v>
      </c>
      <c r="AF89" s="45" t="e">
        <f t="shared" si="273"/>
        <v>#DIV/0!</v>
      </c>
      <c r="AH89" s="45">
        <f t="shared" ref="AH89:AI89" si="274">AH92/AH95*100</f>
        <v>12.195121951219512</v>
      </c>
      <c r="AI89" s="45" t="e">
        <f t="shared" si="274"/>
        <v>#DIV/0!</v>
      </c>
      <c r="AJ89" s="241"/>
      <c r="AK89" s="45">
        <f t="shared" ref="AK89:AL89" si="275">AK92/AK95*100</f>
        <v>0</v>
      </c>
      <c r="AL89" s="45" t="e">
        <f t="shared" si="275"/>
        <v>#DIV/0!</v>
      </c>
      <c r="AM89" s="241"/>
      <c r="AN89" s="45">
        <f t="shared" ref="AN89:AO89" si="276">AN92/AN95*100</f>
        <v>100</v>
      </c>
      <c r="AO89" s="45" t="e">
        <f t="shared" si="276"/>
        <v>#DIV/0!</v>
      </c>
      <c r="AQ89" s="45">
        <f t="shared" ref="AQ89:AR89" si="277">AQ92/AQ95*100</f>
        <v>28.083491461100568</v>
      </c>
      <c r="AR89" s="45" t="e">
        <f t="shared" si="277"/>
        <v>#DIV/0!</v>
      </c>
      <c r="AS89" s="241"/>
      <c r="AT89" s="45">
        <f t="shared" ref="AT89:AU89" si="278">AT92/AT95*100</f>
        <v>0</v>
      </c>
      <c r="AU89" s="45" t="e">
        <f t="shared" si="278"/>
        <v>#DIV/0!</v>
      </c>
      <c r="AW89" s="45">
        <f t="shared" ref="AW89:AX89" si="279">AW92/AW95*100</f>
        <v>14.730878186968837</v>
      </c>
      <c r="AX89" s="45" t="e">
        <f t="shared" si="279"/>
        <v>#DIV/0!</v>
      </c>
      <c r="AZ89" s="45">
        <f t="shared" ref="AZ89:BA89" si="280">AZ92/AZ95*100</f>
        <v>30.64798598949212</v>
      </c>
      <c r="BA89" s="45" t="e">
        <f t="shared" si="280"/>
        <v>#DIV/0!</v>
      </c>
      <c r="BB89" s="241"/>
      <c r="BC89" s="45">
        <f t="shared" ref="BC89:BD89" si="281">BC92/BC95*100</f>
        <v>9.9880382775119614</v>
      </c>
      <c r="BD89" s="45" t="e">
        <f t="shared" si="281"/>
        <v>#DIV/0!</v>
      </c>
      <c r="BE89" s="241"/>
      <c r="BF89" s="45">
        <f t="shared" ref="BF89:BG89" si="282">BF92/BF95*100</f>
        <v>8.9728453364816989</v>
      </c>
      <c r="BG89" s="45" t="e">
        <f t="shared" si="282"/>
        <v>#DIV/0!</v>
      </c>
      <c r="BI89" s="45">
        <f t="shared" ref="BI89:BJ89" si="283">BI92/BI95*100</f>
        <v>9.7514340344168247</v>
      </c>
      <c r="BJ89" s="45" t="e">
        <f t="shared" si="283"/>
        <v>#DIV/0!</v>
      </c>
      <c r="BK89" s="241"/>
      <c r="BL89" s="45">
        <f t="shared" ref="BL89:BM89" si="284">BL92/BL95*100</f>
        <v>8.6872586872586872</v>
      </c>
      <c r="BM89" s="45" t="e">
        <f t="shared" si="284"/>
        <v>#DIV/0!</v>
      </c>
      <c r="BN89" s="241"/>
      <c r="BO89" s="45">
        <f t="shared" ref="BO89:BP89" si="285">BO92/BO95*100</f>
        <v>0</v>
      </c>
      <c r="BP89" s="45" t="e">
        <f t="shared" si="285"/>
        <v>#DIV/0!</v>
      </c>
      <c r="BR89" s="45">
        <f t="shared" ref="BR89:BS89" si="286">BR92/BR95*100</f>
        <v>12.707182320441991</v>
      </c>
      <c r="BS89" s="45" t="e">
        <f t="shared" si="286"/>
        <v>#DIV/0!</v>
      </c>
      <c r="BT89" s="241"/>
      <c r="BU89" s="45">
        <f t="shared" ref="BU89:BV89" si="287">BU92/BU95*100</f>
        <v>15.86452762923351</v>
      </c>
      <c r="BV89" s="45" t="e">
        <f t="shared" si="287"/>
        <v>#DIV/0!</v>
      </c>
      <c r="BW89" s="241"/>
      <c r="BX89" s="45">
        <f t="shared" ref="BX89:BY89" si="288">BX92/BX95*100</f>
        <v>17.883211678832119</v>
      </c>
      <c r="BY89" s="45" t="e">
        <f t="shared" si="288"/>
        <v>#DIV/0!</v>
      </c>
      <c r="CA89" s="45">
        <f t="shared" ref="CA89:CB89" si="289">CA92/CA95*100</f>
        <v>8.4254143646408846</v>
      </c>
      <c r="CB89" s="45" t="e">
        <f t="shared" si="289"/>
        <v>#DIV/0!</v>
      </c>
      <c r="CC89" s="241"/>
      <c r="CD89" s="45">
        <f t="shared" ref="CD89:CE89" si="290">CD92/CD95*100</f>
        <v>100</v>
      </c>
      <c r="CE89" s="45" t="e">
        <f t="shared" si="290"/>
        <v>#DIV/0!</v>
      </c>
      <c r="CF89" s="241"/>
      <c r="CG89" s="45">
        <f t="shared" ref="CG89:CH89" si="291">CG92/CG95*100</f>
        <v>25.83479789103691</v>
      </c>
      <c r="CH89" s="45" t="e">
        <f t="shared" si="291"/>
        <v>#DIV/0!</v>
      </c>
      <c r="CJ89" s="45">
        <f t="shared" ref="CJ89:CK89" si="292">CJ92/CJ95*100</f>
        <v>100</v>
      </c>
      <c r="CK89" s="45" t="e">
        <f t="shared" si="292"/>
        <v>#DIV/0!</v>
      </c>
      <c r="CL89" s="241"/>
      <c r="CM89" s="45" t="e">
        <f t="shared" ref="CM89:CN89" si="293">CM92/CM95*100</f>
        <v>#DIV/0!</v>
      </c>
      <c r="CN89" s="45" t="e">
        <f t="shared" si="293"/>
        <v>#DIV/0!</v>
      </c>
      <c r="CO89" s="241"/>
      <c r="CP89" s="45" t="e">
        <f t="shared" ref="CP89:CQ89" si="294">CP92/CP95*100</f>
        <v>#DIV/0!</v>
      </c>
      <c r="CQ89" s="45" t="e">
        <f t="shared" si="294"/>
        <v>#DIV/0!</v>
      </c>
      <c r="CS89" s="45">
        <f t="shared" ref="CS89:CT89" si="295">CS92/CS95*100</f>
        <v>35.56664290805417</v>
      </c>
      <c r="CT89" s="45" t="e">
        <f t="shared" si="295"/>
        <v>#DIV/0!</v>
      </c>
      <c r="CU89" s="241"/>
      <c r="CV89" s="45">
        <f t="shared" ref="CV89:CW89" si="296">CV92/CV95*100</f>
        <v>25.323275862068968</v>
      </c>
      <c r="CW89" s="45" t="e">
        <f t="shared" si="296"/>
        <v>#DIV/0!</v>
      </c>
      <c r="CX89" s="241"/>
      <c r="CY89" s="45">
        <f t="shared" ref="CY89:CZ89" si="297">CY92/CY95*100</f>
        <v>21.19071644803229</v>
      </c>
      <c r="CZ89" s="45" t="e">
        <f t="shared" si="297"/>
        <v>#DIV/0!</v>
      </c>
      <c r="DB89" s="45">
        <f t="shared" ref="DB89:DC89" si="298">DB92/DB95*100</f>
        <v>35.194805194805198</v>
      </c>
      <c r="DC89" s="45" t="e">
        <f t="shared" si="298"/>
        <v>#DIV/0!</v>
      </c>
      <c r="DD89" s="241"/>
      <c r="DE89" s="45" t="e">
        <f t="shared" ref="DE89:DF89" si="299">DE92/DE95*100</f>
        <v>#DIV/0!</v>
      </c>
      <c r="DF89" s="45" t="e">
        <f t="shared" si="299"/>
        <v>#DIV/0!</v>
      </c>
    </row>
    <row r="90" spans="1:110" x14ac:dyDescent="0.25">
      <c r="A90" s="44"/>
      <c r="B90" s="46" t="s">
        <v>1184</v>
      </c>
      <c r="C90" s="42"/>
      <c r="D90" s="42" t="s">
        <v>8</v>
      </c>
      <c r="E90" s="45">
        <v>27.78</v>
      </c>
      <c r="F90" s="45">
        <f>F93/F96*100</f>
        <v>33.582089552238806</v>
      </c>
      <c r="G90" s="45">
        <f>G93/G96*100</f>
        <v>23.275862068965516</v>
      </c>
      <c r="H90" s="45">
        <v>26.33</v>
      </c>
      <c r="I90" s="45">
        <f t="shared" si="265"/>
        <v>32.634338138925294</v>
      </c>
      <c r="J90" s="45">
        <f t="shared" si="265"/>
        <v>30.117647058823525</v>
      </c>
      <c r="K90" s="45">
        <f t="shared" si="265"/>
        <v>25.586720091585573</v>
      </c>
      <c r="L90" s="45" t="e">
        <f t="shared" ref="L90" si="300">L93/L96*100</f>
        <v>#DIV/0!</v>
      </c>
      <c r="N90" s="45">
        <f t="shared" ref="N90" si="301">N93/N96*100</f>
        <v>25.586720091585573</v>
      </c>
      <c r="O90" s="45" t="e">
        <f t="shared" si="267"/>
        <v>#DIV/0!</v>
      </c>
      <c r="P90" s="45" t="e">
        <f t="shared" si="267"/>
        <v>#DIV/0!</v>
      </c>
      <c r="Q90" s="45" t="e">
        <f t="shared" ref="Q90" si="302">Q93/Q96*100</f>
        <v>#DIV/0!</v>
      </c>
      <c r="S90" s="45" t="e">
        <f t="shared" ref="S90" si="303">S93/S96*100</f>
        <v>#DIV/0!</v>
      </c>
      <c r="T90" s="45" t="e">
        <f t="shared" si="269"/>
        <v>#DIV/0!</v>
      </c>
      <c r="V90" s="45" t="e">
        <f t="shared" ref="V90:W90" si="304">V93/V96*100</f>
        <v>#DIV/0!</v>
      </c>
      <c r="W90" s="45" t="e">
        <f t="shared" si="304"/>
        <v>#DIV/0!</v>
      </c>
      <c r="Y90" s="45" t="e">
        <f t="shared" ref="Y90" si="305">Y93/Y96*100</f>
        <v>#DIV/0!</v>
      </c>
      <c r="Z90" s="45" t="e">
        <f t="shared" si="271"/>
        <v>#DIV/0!</v>
      </c>
      <c r="AA90" s="241"/>
      <c r="AB90" s="45" t="e">
        <f t="shared" ref="AB90:AC90" si="306">AB93/AB96*100</f>
        <v>#DIV/0!</v>
      </c>
      <c r="AC90" s="45" t="e">
        <f t="shared" si="306"/>
        <v>#DIV/0!</v>
      </c>
      <c r="AD90" s="241"/>
      <c r="AE90" s="45" t="e">
        <f t="shared" ref="AE90:AF90" si="307">AE93/AE96*100</f>
        <v>#DIV/0!</v>
      </c>
      <c r="AF90" s="45" t="e">
        <f t="shared" si="307"/>
        <v>#DIV/0!</v>
      </c>
      <c r="AH90" s="45" t="e">
        <f t="shared" ref="AH90:AI90" si="308">AH93/AH96*100</f>
        <v>#DIV/0!</v>
      </c>
      <c r="AI90" s="45" t="e">
        <f t="shared" si="308"/>
        <v>#DIV/0!</v>
      </c>
      <c r="AJ90" s="241"/>
      <c r="AK90" s="45" t="e">
        <f t="shared" ref="AK90:AL90" si="309">AK93/AK96*100</f>
        <v>#DIV/0!</v>
      </c>
      <c r="AL90" s="45" t="e">
        <f t="shared" si="309"/>
        <v>#DIV/0!</v>
      </c>
      <c r="AM90" s="241"/>
      <c r="AN90" s="45" t="e">
        <f t="shared" ref="AN90:AO90" si="310">AN93/AN96*100</f>
        <v>#DIV/0!</v>
      </c>
      <c r="AO90" s="45" t="e">
        <f t="shared" si="310"/>
        <v>#DIV/0!</v>
      </c>
      <c r="AQ90" s="45" t="e">
        <f t="shared" ref="AQ90:AR90" si="311">AQ93/AQ96*100</f>
        <v>#DIV/0!</v>
      </c>
      <c r="AR90" s="45" t="e">
        <f t="shared" si="311"/>
        <v>#DIV/0!</v>
      </c>
      <c r="AS90" s="241"/>
      <c r="AT90" s="45" t="e">
        <f t="shared" ref="AT90:AU90" si="312">AT93/AT96*100</f>
        <v>#DIV/0!</v>
      </c>
      <c r="AU90" s="45" t="e">
        <f t="shared" si="312"/>
        <v>#DIV/0!</v>
      </c>
      <c r="AW90" s="45" t="e">
        <f t="shared" ref="AW90:AX90" si="313">AW93/AW96*100</f>
        <v>#DIV/0!</v>
      </c>
      <c r="AX90" s="45" t="e">
        <f t="shared" si="313"/>
        <v>#DIV/0!</v>
      </c>
      <c r="AZ90" s="45" t="e">
        <f t="shared" ref="AZ90:BA90" si="314">AZ93/AZ96*100</f>
        <v>#DIV/0!</v>
      </c>
      <c r="BA90" s="45" t="e">
        <f t="shared" si="314"/>
        <v>#DIV/0!</v>
      </c>
      <c r="BB90" s="241"/>
      <c r="BC90" s="45" t="e">
        <f t="shared" ref="BC90:BD90" si="315">BC93/BC96*100</f>
        <v>#DIV/0!</v>
      </c>
      <c r="BD90" s="45" t="e">
        <f t="shared" si="315"/>
        <v>#DIV/0!</v>
      </c>
      <c r="BE90" s="241"/>
      <c r="BF90" s="45" t="e">
        <f t="shared" ref="BF90:BG90" si="316">BF93/BF96*100</f>
        <v>#DIV/0!</v>
      </c>
      <c r="BG90" s="45" t="e">
        <f t="shared" si="316"/>
        <v>#DIV/0!</v>
      </c>
      <c r="BI90" s="45" t="e">
        <f t="shared" ref="BI90:BJ90" si="317">BI93/BI96*100</f>
        <v>#DIV/0!</v>
      </c>
      <c r="BJ90" s="45" t="e">
        <f t="shared" si="317"/>
        <v>#DIV/0!</v>
      </c>
      <c r="BK90" s="241"/>
      <c r="BL90" s="45" t="e">
        <f t="shared" ref="BL90:BM90" si="318">BL93/BL96*100</f>
        <v>#DIV/0!</v>
      </c>
      <c r="BM90" s="45" t="e">
        <f t="shared" si="318"/>
        <v>#DIV/0!</v>
      </c>
      <c r="BN90" s="241"/>
      <c r="BO90" s="45" t="e">
        <f t="shared" ref="BO90:BP90" si="319">BO93/BO96*100</f>
        <v>#DIV/0!</v>
      </c>
      <c r="BP90" s="45" t="e">
        <f t="shared" si="319"/>
        <v>#DIV/0!</v>
      </c>
      <c r="BR90" s="45" t="e">
        <f t="shared" ref="BR90:BS90" si="320">BR93/BR96*100</f>
        <v>#DIV/0!</v>
      </c>
      <c r="BS90" s="45" t="e">
        <f t="shared" si="320"/>
        <v>#DIV/0!</v>
      </c>
      <c r="BT90" s="241"/>
      <c r="BU90" s="45" t="e">
        <f t="shared" ref="BU90:BV90" si="321">BU93/BU96*100</f>
        <v>#DIV/0!</v>
      </c>
      <c r="BV90" s="45" t="e">
        <f t="shared" si="321"/>
        <v>#DIV/0!</v>
      </c>
      <c r="BW90" s="241"/>
      <c r="BX90" s="45" t="e">
        <f t="shared" ref="BX90:BY90" si="322">BX93/BX96*100</f>
        <v>#DIV/0!</v>
      </c>
      <c r="BY90" s="45" t="e">
        <f t="shared" si="322"/>
        <v>#DIV/0!</v>
      </c>
      <c r="CA90" s="45" t="e">
        <f t="shared" ref="CA90:CB90" si="323">CA93/CA96*100</f>
        <v>#DIV/0!</v>
      </c>
      <c r="CB90" s="45" t="e">
        <f t="shared" si="323"/>
        <v>#DIV/0!</v>
      </c>
      <c r="CC90" s="241"/>
      <c r="CD90" s="45" t="e">
        <f t="shared" ref="CD90:CE90" si="324">CD93/CD96*100</f>
        <v>#DIV/0!</v>
      </c>
      <c r="CE90" s="45" t="e">
        <f t="shared" si="324"/>
        <v>#DIV/0!</v>
      </c>
      <c r="CF90" s="241"/>
      <c r="CG90" s="45" t="e">
        <f t="shared" ref="CG90:CH90" si="325">CG93/CG96*100</f>
        <v>#DIV/0!</v>
      </c>
      <c r="CH90" s="45" t="e">
        <f t="shared" si="325"/>
        <v>#DIV/0!</v>
      </c>
      <c r="CJ90" s="45" t="e">
        <f t="shared" ref="CJ90:CK90" si="326">CJ93/CJ96*100</f>
        <v>#DIV/0!</v>
      </c>
      <c r="CK90" s="45" t="e">
        <f t="shared" si="326"/>
        <v>#DIV/0!</v>
      </c>
      <c r="CL90" s="241"/>
      <c r="CM90" s="45" t="e">
        <f t="shared" ref="CM90:CN90" si="327">CM93/CM96*100</f>
        <v>#DIV/0!</v>
      </c>
      <c r="CN90" s="45" t="e">
        <f t="shared" si="327"/>
        <v>#DIV/0!</v>
      </c>
      <c r="CO90" s="241"/>
      <c r="CP90" s="45" t="e">
        <f t="shared" ref="CP90:CQ90" si="328">CP93/CP96*100</f>
        <v>#DIV/0!</v>
      </c>
      <c r="CQ90" s="45" t="e">
        <f t="shared" si="328"/>
        <v>#DIV/0!</v>
      </c>
      <c r="CS90" s="45" t="e">
        <f t="shared" ref="CS90:CT90" si="329">CS93/CS96*100</f>
        <v>#DIV/0!</v>
      </c>
      <c r="CT90" s="45" t="e">
        <f t="shared" si="329"/>
        <v>#DIV/0!</v>
      </c>
      <c r="CU90" s="241"/>
      <c r="CV90" s="45" t="e">
        <f t="shared" ref="CV90:CW90" si="330">CV93/CV96*100</f>
        <v>#DIV/0!</v>
      </c>
      <c r="CW90" s="45" t="e">
        <f t="shared" si="330"/>
        <v>#DIV/0!</v>
      </c>
      <c r="CX90" s="241"/>
      <c r="CY90" s="45" t="e">
        <f t="shared" ref="CY90:CZ90" si="331">CY93/CY96*100</f>
        <v>#DIV/0!</v>
      </c>
      <c r="CZ90" s="45" t="e">
        <f t="shared" si="331"/>
        <v>#DIV/0!</v>
      </c>
      <c r="DB90" s="45" t="e">
        <f t="shared" ref="DB90:DC90" si="332">DB93/DB96*100</f>
        <v>#DIV/0!</v>
      </c>
      <c r="DC90" s="45" t="e">
        <f t="shared" si="332"/>
        <v>#DIV/0!</v>
      </c>
      <c r="DD90" s="241"/>
      <c r="DE90" s="45">
        <f t="shared" ref="DE90:DF90" si="333">DE93/DE96*100</f>
        <v>25.586720091585573</v>
      </c>
      <c r="DF90" s="45" t="e">
        <f t="shared" si="333"/>
        <v>#DIV/0!</v>
      </c>
    </row>
    <row r="91" spans="1:110" ht="45" x14ac:dyDescent="0.25">
      <c r="A91" s="8"/>
      <c r="B91" s="16" t="s">
        <v>356</v>
      </c>
      <c r="C91" s="6" t="s">
        <v>2047</v>
      </c>
      <c r="D91" s="6" t="s">
        <v>950</v>
      </c>
      <c r="E91" s="12"/>
      <c r="F91" s="35">
        <f t="shared" ref="F91:K91" si="334">F92+F93</f>
        <v>7216</v>
      </c>
      <c r="G91" s="35">
        <f t="shared" si="334"/>
        <v>5897</v>
      </c>
      <c r="H91" s="35">
        <f t="shared" si="334"/>
        <v>0</v>
      </c>
      <c r="I91" s="35">
        <f t="shared" si="334"/>
        <v>5990</v>
      </c>
      <c r="J91" s="35">
        <f t="shared" si="334"/>
        <v>5812</v>
      </c>
      <c r="K91" s="35">
        <f t="shared" si="334"/>
        <v>4990</v>
      </c>
      <c r="L91" s="35">
        <f t="shared" ref="L91" si="335">L92+L93</f>
        <v>5471</v>
      </c>
      <c r="Y91" s="241"/>
      <c r="Z91" s="241"/>
      <c r="AA91" s="241"/>
      <c r="AB91" s="241"/>
      <c r="AC91" s="241"/>
      <c r="AD91" s="241"/>
      <c r="AE91" s="241"/>
      <c r="AF91" s="241"/>
      <c r="AH91" s="241"/>
      <c r="AI91" s="241"/>
      <c r="AJ91" s="241"/>
      <c r="AK91" s="241"/>
      <c r="AL91" s="241"/>
      <c r="AM91" s="241"/>
      <c r="AN91" s="241"/>
      <c r="AO91" s="241"/>
      <c r="AQ91" s="241"/>
      <c r="AR91" s="241"/>
      <c r="AS91" s="241"/>
      <c r="AW91" s="241"/>
      <c r="AX91" s="241"/>
      <c r="AZ91" s="241"/>
      <c r="BA91" s="241"/>
      <c r="BB91" s="241"/>
      <c r="BC91" s="241"/>
      <c r="BD91" s="241"/>
      <c r="BE91" s="241"/>
      <c r="BF91" s="241"/>
      <c r="BG91" s="241"/>
      <c r="BI91" s="241"/>
      <c r="BJ91" s="241"/>
      <c r="BK91" s="241"/>
      <c r="BL91" s="241"/>
      <c r="BM91" s="241"/>
      <c r="BN91" s="241"/>
      <c r="BO91" s="241"/>
      <c r="BP91" s="241"/>
      <c r="BR91" s="241"/>
      <c r="BS91" s="241"/>
      <c r="BT91" s="241"/>
      <c r="BU91" s="241"/>
      <c r="BV91" s="241"/>
      <c r="BW91" s="241"/>
      <c r="BX91" s="241"/>
      <c r="BY91" s="241"/>
      <c r="CA91" s="241"/>
      <c r="CB91" s="241"/>
      <c r="CC91" s="241"/>
      <c r="CD91" s="241"/>
      <c r="CE91" s="241"/>
      <c r="CF91" s="241"/>
      <c r="CG91" s="241"/>
      <c r="CH91" s="241"/>
      <c r="CJ91" s="241"/>
      <c r="CK91" s="241"/>
      <c r="CL91" s="241"/>
      <c r="CM91" s="241"/>
      <c r="CN91" s="241"/>
      <c r="CO91" s="241"/>
      <c r="CP91" s="241"/>
      <c r="CQ91" s="241"/>
      <c r="CS91" s="241"/>
      <c r="CT91" s="241"/>
      <c r="CU91" s="241"/>
      <c r="CV91" s="241"/>
      <c r="CW91" s="241"/>
      <c r="CX91" s="241"/>
      <c r="CY91" s="241"/>
      <c r="CZ91" s="241"/>
      <c r="DB91" s="241"/>
      <c r="DC91" s="241"/>
      <c r="DD91" s="241"/>
      <c r="DE91" s="241"/>
      <c r="DF91" s="241"/>
    </row>
    <row r="92" spans="1:110" x14ac:dyDescent="0.25">
      <c r="A92" s="8"/>
      <c r="B92" s="16" t="s">
        <v>1182</v>
      </c>
      <c r="C92" s="6"/>
      <c r="D92" s="6"/>
      <c r="E92" s="12"/>
      <c r="F92" s="35">
        <v>7171</v>
      </c>
      <c r="G92" s="35">
        <f>3792+1767+311</f>
        <v>5870</v>
      </c>
      <c r="H92" s="35"/>
      <c r="I92" s="35">
        <f>3948+1784+262-253</f>
        <v>5741</v>
      </c>
      <c r="J92" s="35">
        <f>3696+1661+369-298</f>
        <v>5428</v>
      </c>
      <c r="K92" s="35">
        <v>4543</v>
      </c>
      <c r="L92" s="35">
        <f>2751+1621+395</f>
        <v>4767</v>
      </c>
      <c r="N92" s="241">
        <f>P92+S92+V92+Y92+AB92+AE92+AH92+AK92+AN92+AQ92+AW92+AZ92+BC92+BF92+BI92+BL92+BO92+BR92+BU92+BX92+CA92+CD92+CG92+CJ92+AT92+DE92+CS92+CV92+CY92+DB92</f>
        <v>4543</v>
      </c>
      <c r="O92" s="241">
        <f>Q92+T92+W92+Z92+AC92+AF92+AI92+AL92+AO92+AR92+AX92+BA92+BD92+BG92+BJ92+BM92+BP92+BS92+BV92+BY92+CB92+CE92+CH92+CK92+AU92+DF92+CT92+CW92+CZ92+DC92</f>
        <v>0</v>
      </c>
      <c r="P92">
        <f>50+46</f>
        <v>96</v>
      </c>
      <c r="S92">
        <f>118+149</f>
        <v>267</v>
      </c>
      <c r="V92">
        <v>70</v>
      </c>
      <c r="Y92" s="241">
        <v>0</v>
      </c>
      <c r="Z92" s="241"/>
      <c r="AA92" s="241"/>
      <c r="AB92" s="241">
        <v>0</v>
      </c>
      <c r="AC92" s="241"/>
      <c r="AD92" s="241"/>
      <c r="AE92" s="241">
        <v>0</v>
      </c>
      <c r="AF92" s="241"/>
      <c r="AH92" s="241">
        <v>20</v>
      </c>
      <c r="AI92" s="241"/>
      <c r="AJ92" s="241"/>
      <c r="AK92" s="241">
        <v>0</v>
      </c>
      <c r="AL92" s="241"/>
      <c r="AM92" s="241"/>
      <c r="AN92" s="241">
        <v>525</v>
      </c>
      <c r="AO92" s="241"/>
      <c r="AQ92" s="241">
        <v>148</v>
      </c>
      <c r="AR92" s="241"/>
      <c r="AS92" s="241"/>
      <c r="AT92" s="241">
        <v>0</v>
      </c>
      <c r="AW92" s="241">
        <v>52</v>
      </c>
      <c r="AX92" s="241"/>
      <c r="AZ92" s="241">
        <v>175</v>
      </c>
      <c r="BA92" s="241"/>
      <c r="BB92" s="241"/>
      <c r="BC92" s="241">
        <v>167</v>
      </c>
      <c r="BD92" s="241"/>
      <c r="BE92" s="241"/>
      <c r="BF92" s="241">
        <f>24+52</f>
        <v>76</v>
      </c>
      <c r="BG92" s="241"/>
      <c r="BI92" s="241">
        <v>51</v>
      </c>
      <c r="BJ92" s="241"/>
      <c r="BK92" s="241"/>
      <c r="BL92" s="241">
        <v>45</v>
      </c>
      <c r="BM92" s="241"/>
      <c r="BN92" s="241"/>
      <c r="BO92" s="241">
        <v>0</v>
      </c>
      <c r="BP92" s="241"/>
      <c r="BR92" s="241">
        <v>23</v>
      </c>
      <c r="BS92" s="241"/>
      <c r="BT92" s="241"/>
      <c r="BU92" s="241">
        <v>89</v>
      </c>
      <c r="BV92" s="241"/>
      <c r="BW92" s="241"/>
      <c r="BX92" s="241">
        <f>40+9</f>
        <v>49</v>
      </c>
      <c r="BY92" s="241"/>
      <c r="CA92" s="241">
        <v>61</v>
      </c>
      <c r="CB92" s="241"/>
      <c r="CC92" s="241"/>
      <c r="CD92" s="241">
        <f>408+72</f>
        <v>480</v>
      </c>
      <c r="CE92" s="241"/>
      <c r="CF92" s="241"/>
      <c r="CG92" s="241">
        <f>121+26</f>
        <v>147</v>
      </c>
      <c r="CH92" s="241"/>
      <c r="CJ92" s="241">
        <f>409+168</f>
        <v>577</v>
      </c>
      <c r="CK92" s="241"/>
      <c r="CL92" s="241"/>
      <c r="CM92" s="241"/>
      <c r="CN92" s="241"/>
      <c r="CO92" s="241"/>
      <c r="CP92" s="241"/>
      <c r="CQ92" s="241"/>
      <c r="CS92" s="241">
        <v>499</v>
      </c>
      <c r="CT92" s="241"/>
      <c r="CU92" s="241"/>
      <c r="CV92" s="241">
        <f>15+220</f>
        <v>235</v>
      </c>
      <c r="CW92" s="241"/>
      <c r="CX92" s="241"/>
      <c r="CY92" s="241">
        <v>420</v>
      </c>
      <c r="CZ92" s="241"/>
      <c r="DB92" s="241">
        <v>271</v>
      </c>
      <c r="DC92" s="241"/>
      <c r="DD92" s="241"/>
      <c r="DE92" s="241"/>
      <c r="DF92" s="241"/>
    </row>
    <row r="93" spans="1:110" x14ac:dyDescent="0.25">
      <c r="A93" s="8"/>
      <c r="B93" s="16" t="s">
        <v>1184</v>
      </c>
      <c r="C93" s="6"/>
      <c r="D93" s="6"/>
      <c r="E93" s="12"/>
      <c r="F93" s="35">
        <v>45</v>
      </c>
      <c r="G93" s="35">
        <f>22+5</f>
        <v>27</v>
      </c>
      <c r="H93" s="35"/>
      <c r="I93" s="35">
        <f>63+186</f>
        <v>249</v>
      </c>
      <c r="J93" s="35">
        <f>162+216+6</f>
        <v>384</v>
      </c>
      <c r="K93" s="35">
        <f>10+333+104</f>
        <v>447</v>
      </c>
      <c r="L93" s="35">
        <f>126+554+24</f>
        <v>704</v>
      </c>
      <c r="N93" s="241">
        <f>P93+S93+V93+Y93+AB93+AE93+AH93+AK93+AN93+AQ93+AW93+AZ93+BC93+BF93+BI93+BL93+BO93+BR93+BU93+BX93+CA93+CD93+CG93+CJ93+AT93+DE93+CS93+CV93+CY93+DB93</f>
        <v>447</v>
      </c>
      <c r="O93" s="241">
        <f>Q93+T93+W93+Z93+AC93+AF93+AI93+AL93+AO93+AR93+AX93+BA93+BD93+BG93+BJ93+BM93+BP93+BS93+BV93+BY93+CB93+CE93+CH93+CK93+AU93+DF93+CT93+CW93+CZ93+DC93</f>
        <v>0</v>
      </c>
      <c r="Y93" s="241"/>
      <c r="Z93" s="241"/>
      <c r="AA93" s="241"/>
      <c r="AB93" s="241"/>
      <c r="AC93" s="241"/>
      <c r="AD93" s="241"/>
      <c r="AE93" s="241"/>
      <c r="AF93" s="241"/>
      <c r="AH93" s="241"/>
      <c r="AI93" s="241"/>
      <c r="AJ93" s="241"/>
      <c r="AK93" s="241"/>
      <c r="AL93" s="241"/>
      <c r="AM93" s="241"/>
      <c r="AN93" s="241"/>
      <c r="AO93" s="241"/>
      <c r="AQ93" s="241"/>
      <c r="AR93" s="241"/>
      <c r="AS93" s="241"/>
      <c r="AW93" s="241"/>
      <c r="AX93" s="241"/>
      <c r="AZ93" s="241"/>
      <c r="BA93" s="241"/>
      <c r="BB93" s="241"/>
      <c r="BC93" s="241"/>
      <c r="BD93" s="241"/>
      <c r="BE93" s="241"/>
      <c r="BF93" s="241"/>
      <c r="BG93" s="241"/>
      <c r="BI93" s="241"/>
      <c r="BJ93" s="241"/>
      <c r="BK93" s="241"/>
      <c r="BL93" s="241"/>
      <c r="BM93" s="241"/>
      <c r="BN93" s="241"/>
      <c r="BO93" s="241"/>
      <c r="BP93" s="241"/>
      <c r="BR93" s="241"/>
      <c r="BS93" s="241"/>
      <c r="BT93" s="241"/>
      <c r="BU93" s="241"/>
      <c r="BV93" s="241"/>
      <c r="BW93" s="241"/>
      <c r="BX93" s="241"/>
      <c r="BY93" s="241"/>
      <c r="CA93" s="241"/>
      <c r="CB93" s="241"/>
      <c r="CC93" s="241"/>
      <c r="CD93" s="241"/>
      <c r="CE93" s="241"/>
      <c r="CF93" s="241"/>
      <c r="CG93" s="241"/>
      <c r="CH93" s="241"/>
      <c r="CJ93" s="241"/>
      <c r="CK93" s="241"/>
      <c r="CL93" s="241"/>
      <c r="CM93" s="241"/>
      <c r="CN93" s="241"/>
      <c r="CO93" s="241"/>
      <c r="CP93" s="241"/>
      <c r="CQ93" s="241"/>
      <c r="CS93" s="241"/>
      <c r="CT93" s="241"/>
      <c r="CU93" s="241"/>
      <c r="CV93" s="241"/>
      <c r="CW93" s="241"/>
      <c r="CX93" s="241"/>
      <c r="CY93" s="241"/>
      <c r="CZ93" s="241"/>
      <c r="DB93" s="241"/>
      <c r="DC93" s="241"/>
      <c r="DD93" s="241"/>
      <c r="DE93" s="241">
        <f>333+104+10</f>
        <v>447</v>
      </c>
      <c r="DF93" s="241"/>
    </row>
    <row r="94" spans="1:110" ht="45" x14ac:dyDescent="0.25">
      <c r="A94" s="8"/>
      <c r="B94" s="16" t="s">
        <v>330</v>
      </c>
      <c r="C94" s="6" t="s">
        <v>2045</v>
      </c>
      <c r="D94" s="6" t="s">
        <v>950</v>
      </c>
      <c r="E94" s="12"/>
      <c r="F94" s="35">
        <f t="shared" ref="F94:K94" si="336">F95+F96</f>
        <v>20080</v>
      </c>
      <c r="G94" s="35">
        <f t="shared" si="336"/>
        <v>19901</v>
      </c>
      <c r="H94" s="35">
        <f t="shared" si="336"/>
        <v>0</v>
      </c>
      <c r="I94" s="35">
        <f t="shared" si="336"/>
        <v>21830</v>
      </c>
      <c r="J94" s="35">
        <f t="shared" si="336"/>
        <v>22899</v>
      </c>
      <c r="K94" s="35">
        <f t="shared" si="336"/>
        <v>21296</v>
      </c>
      <c r="L94" s="35">
        <f t="shared" ref="L94" si="337">L95+L96</f>
        <v>0</v>
      </c>
      <c r="N94" s="241"/>
      <c r="O94" s="241"/>
      <c r="Y94" s="241"/>
      <c r="Z94" s="241"/>
      <c r="AA94" s="241"/>
      <c r="AB94" s="241"/>
      <c r="AC94" s="241"/>
      <c r="AD94" s="241"/>
      <c r="AE94" s="241"/>
      <c r="AF94" s="241"/>
      <c r="AH94" s="241"/>
      <c r="AI94" s="241"/>
      <c r="AJ94" s="241"/>
      <c r="AK94" s="241"/>
      <c r="AL94" s="241"/>
      <c r="AM94" s="241"/>
      <c r="AN94" s="241"/>
      <c r="AO94" s="241"/>
      <c r="AQ94" s="241"/>
      <c r="AR94" s="241"/>
      <c r="AS94" s="241"/>
      <c r="AW94" s="241"/>
      <c r="AX94" s="241"/>
      <c r="AZ94" s="241"/>
      <c r="BA94" s="241"/>
      <c r="BB94" s="241"/>
      <c r="BC94" s="241"/>
      <c r="BD94" s="241"/>
      <c r="BE94" s="241"/>
      <c r="BF94" s="241"/>
      <c r="BG94" s="241"/>
      <c r="BI94" s="241"/>
      <c r="BJ94" s="241"/>
      <c r="BK94" s="241"/>
      <c r="BL94" s="241"/>
      <c r="BM94" s="241"/>
      <c r="BN94" s="241"/>
      <c r="BO94" s="241"/>
      <c r="BP94" s="241"/>
      <c r="BR94" s="241"/>
      <c r="BS94" s="241"/>
      <c r="BT94" s="241"/>
      <c r="BU94" s="241"/>
      <c r="BV94" s="241"/>
      <c r="BW94" s="241"/>
      <c r="BX94" s="241"/>
      <c r="BY94" s="241"/>
      <c r="CA94" s="241"/>
      <c r="CB94" s="241"/>
      <c r="CC94" s="241"/>
      <c r="CD94" s="241"/>
      <c r="CE94" s="241"/>
      <c r="CF94" s="241"/>
      <c r="CG94" s="241"/>
      <c r="CH94" s="241"/>
      <c r="CJ94" s="241"/>
      <c r="CK94" s="241"/>
      <c r="CL94" s="241"/>
      <c r="CM94" s="241"/>
      <c r="CN94" s="241"/>
      <c r="CO94" s="241"/>
      <c r="CP94" s="241"/>
      <c r="CQ94" s="241"/>
      <c r="CS94" s="241"/>
      <c r="CT94" s="241"/>
      <c r="CU94" s="241"/>
      <c r="CV94" s="241"/>
      <c r="CW94" s="241"/>
      <c r="CX94" s="241"/>
      <c r="CY94" s="241"/>
      <c r="CZ94" s="241"/>
      <c r="DB94" s="241"/>
      <c r="DC94" s="241"/>
      <c r="DD94" s="241"/>
      <c r="DE94" s="241"/>
      <c r="DF94" s="241"/>
    </row>
    <row r="95" spans="1:110" x14ac:dyDescent="0.25">
      <c r="A95" s="8"/>
      <c r="B95" s="16" t="s">
        <v>1182</v>
      </c>
      <c r="C95" s="6"/>
      <c r="D95" s="6"/>
      <c r="E95" s="12"/>
      <c r="F95" s="35">
        <f t="shared" ref="F95:I96" si="338">F86</f>
        <v>19946</v>
      </c>
      <c r="G95" s="35">
        <f t="shared" si="338"/>
        <v>19785</v>
      </c>
      <c r="H95" s="35">
        <f t="shared" si="338"/>
        <v>0</v>
      </c>
      <c r="I95" s="35">
        <f t="shared" si="338"/>
        <v>21067</v>
      </c>
      <c r="J95" s="35">
        <f t="shared" ref="J95" si="339">J86</f>
        <v>21624</v>
      </c>
      <c r="K95" s="35">
        <v>19549</v>
      </c>
      <c r="L95" s="35">
        <f>L17</f>
        <v>0</v>
      </c>
      <c r="N95" s="241">
        <f>P95+S95+V95+Y95+AB95+AE95+AH95+AK95+AN95+AQ95+AW95+AZ95+BC95+BF95+BI95+BL95+BO95+BR95+BU95+BX95+CA95+CD95+CG95+CJ95+AT95+DE95+CS95+CV95+CY95+DB95</f>
        <v>19549</v>
      </c>
      <c r="O95" s="241">
        <f>Q95+T95+W95+Z95+AC95+AF95+AI95+AL95+AO95+AR95+AX95+BA95+BD95+BG95+BJ95+BM95+BP95+BS95+BV95+BY95+CB95+CE95+CH95+CK95+AU95+DF95+CT95+CW95+CZ95+DC95</f>
        <v>0</v>
      </c>
      <c r="P95" s="241">
        <f>P17</f>
        <v>183</v>
      </c>
      <c r="Q95" s="241">
        <f>Q17</f>
        <v>0</v>
      </c>
      <c r="S95" s="241">
        <f>S17</f>
        <v>1534</v>
      </c>
      <c r="T95" s="241">
        <f>T17</f>
        <v>0</v>
      </c>
      <c r="V95" s="241">
        <f>V17</f>
        <v>739</v>
      </c>
      <c r="W95" s="241">
        <f>W17</f>
        <v>0</v>
      </c>
      <c r="Y95" s="241">
        <f>Y17</f>
        <v>1360</v>
      </c>
      <c r="Z95" s="241">
        <f>Z17</f>
        <v>0</v>
      </c>
      <c r="AA95" s="241"/>
      <c r="AB95" s="241">
        <f>AB17</f>
        <v>326</v>
      </c>
      <c r="AC95" s="241">
        <f>AC17</f>
        <v>0</v>
      </c>
      <c r="AD95" s="241"/>
      <c r="AE95" s="241">
        <f>AE17</f>
        <v>210</v>
      </c>
      <c r="AF95" s="241">
        <f>AF17</f>
        <v>0</v>
      </c>
      <c r="AH95" s="241">
        <f>AH17</f>
        <v>164</v>
      </c>
      <c r="AI95" s="241">
        <f>AI17</f>
        <v>0</v>
      </c>
      <c r="AJ95" s="241"/>
      <c r="AK95" s="241">
        <f>AK17</f>
        <v>595</v>
      </c>
      <c r="AL95" s="241">
        <f>AL17</f>
        <v>0</v>
      </c>
      <c r="AM95" s="241"/>
      <c r="AN95" s="241">
        <f>AN17</f>
        <v>525</v>
      </c>
      <c r="AO95" s="241">
        <f>AO17</f>
        <v>0</v>
      </c>
      <c r="AQ95" s="241">
        <f>AQ17</f>
        <v>527</v>
      </c>
      <c r="AR95" s="241">
        <f>AR17</f>
        <v>0</v>
      </c>
      <c r="AS95" s="241"/>
      <c r="AT95" s="241">
        <f>AT17</f>
        <v>132</v>
      </c>
      <c r="AU95" s="241">
        <f>AU17</f>
        <v>0</v>
      </c>
      <c r="AW95" s="241">
        <f>AW17</f>
        <v>353</v>
      </c>
      <c r="AX95" s="241">
        <f>AX17</f>
        <v>0</v>
      </c>
      <c r="AZ95" s="241">
        <f>AZ17</f>
        <v>571</v>
      </c>
      <c r="BA95" s="241">
        <f>BA17</f>
        <v>0</v>
      </c>
      <c r="BB95" s="241"/>
      <c r="BC95" s="241">
        <f>BC17</f>
        <v>1672</v>
      </c>
      <c r="BD95" s="241">
        <f>BD17</f>
        <v>0</v>
      </c>
      <c r="BE95" s="241"/>
      <c r="BF95" s="241">
        <f>BF17</f>
        <v>847</v>
      </c>
      <c r="BG95" s="241">
        <f>BG17</f>
        <v>0</v>
      </c>
      <c r="BI95" s="241">
        <f>BI17</f>
        <v>523</v>
      </c>
      <c r="BJ95" s="241">
        <f>BJ17</f>
        <v>0</v>
      </c>
      <c r="BK95" s="241"/>
      <c r="BL95" s="241">
        <f>BL17</f>
        <v>518</v>
      </c>
      <c r="BM95" s="241">
        <f>BM17</f>
        <v>0</v>
      </c>
      <c r="BN95" s="241"/>
      <c r="BO95" s="241">
        <f>BO17</f>
        <v>321</v>
      </c>
      <c r="BP95" s="241">
        <f>BP17</f>
        <v>0</v>
      </c>
      <c r="BR95" s="241">
        <f>BR17</f>
        <v>181</v>
      </c>
      <c r="BS95" s="241">
        <f>BS17</f>
        <v>0</v>
      </c>
      <c r="BT95" s="241"/>
      <c r="BU95" s="241">
        <f>BU17</f>
        <v>561</v>
      </c>
      <c r="BV95" s="241">
        <f>BV17</f>
        <v>0</v>
      </c>
      <c r="BW95" s="241"/>
      <c r="BX95" s="241">
        <f>BX17</f>
        <v>274</v>
      </c>
      <c r="BY95" s="241">
        <f>BY17</f>
        <v>0</v>
      </c>
      <c r="CA95" s="241">
        <f>CA17</f>
        <v>724</v>
      </c>
      <c r="CB95" s="241">
        <f>CB17</f>
        <v>0</v>
      </c>
      <c r="CC95" s="241"/>
      <c r="CD95" s="241">
        <f>CD17</f>
        <v>480</v>
      </c>
      <c r="CE95" s="241">
        <f>CE17</f>
        <v>0</v>
      </c>
      <c r="CF95" s="241"/>
      <c r="CG95" s="241">
        <f>CG17</f>
        <v>569</v>
      </c>
      <c r="CH95" s="241">
        <f>CH17</f>
        <v>0</v>
      </c>
      <c r="CJ95" s="241">
        <f>CJ17</f>
        <v>577</v>
      </c>
      <c r="CK95" s="241">
        <f>CK17</f>
        <v>0</v>
      </c>
      <c r="CL95" s="241"/>
      <c r="CM95" s="241">
        <f>CM17</f>
        <v>0</v>
      </c>
      <c r="CN95" s="241">
        <f>CN17</f>
        <v>0</v>
      </c>
      <c r="CO95" s="241"/>
      <c r="CP95" s="241">
        <f>CP17</f>
        <v>0</v>
      </c>
      <c r="CQ95" s="241">
        <f>CQ17</f>
        <v>0</v>
      </c>
      <c r="CS95" s="241">
        <f>CS17</f>
        <v>1403</v>
      </c>
      <c r="CT95" s="241">
        <f>CT17</f>
        <v>0</v>
      </c>
      <c r="CU95" s="241"/>
      <c r="CV95" s="241">
        <f>CV17</f>
        <v>928</v>
      </c>
      <c r="CW95" s="241">
        <f>CW17</f>
        <v>0</v>
      </c>
      <c r="CX95" s="241"/>
      <c r="CY95" s="241">
        <f>CY17</f>
        <v>1982</v>
      </c>
      <c r="CZ95" s="241">
        <f>CZ17</f>
        <v>0</v>
      </c>
      <c r="DB95" s="241">
        <f>DB17</f>
        <v>770</v>
      </c>
      <c r="DC95" s="241">
        <f>DC17</f>
        <v>0</v>
      </c>
      <c r="DD95" s="241"/>
      <c r="DE95" s="241"/>
      <c r="DF95" s="241"/>
    </row>
    <row r="96" spans="1:110" x14ac:dyDescent="0.25">
      <c r="A96" s="8"/>
      <c r="B96" s="16" t="s">
        <v>1184</v>
      </c>
      <c r="C96" s="6"/>
      <c r="D96" s="6"/>
      <c r="E96" s="12"/>
      <c r="F96" s="35">
        <f t="shared" si="338"/>
        <v>134</v>
      </c>
      <c r="G96" s="35">
        <f t="shared" si="338"/>
        <v>116</v>
      </c>
      <c r="H96" s="35">
        <f t="shared" si="338"/>
        <v>0</v>
      </c>
      <c r="I96" s="35">
        <f t="shared" si="338"/>
        <v>763</v>
      </c>
      <c r="J96" s="35">
        <f t="shared" ref="J96" si="340">J87</f>
        <v>1275</v>
      </c>
      <c r="K96" s="35">
        <f>K18</f>
        <v>1747</v>
      </c>
      <c r="L96" s="35">
        <f>L18</f>
        <v>0</v>
      </c>
      <c r="N96" s="241">
        <f>P96+S96+V96+Y96+AB96+AE96+AH96+AK96+AN96+AQ96+AW96+AZ96+BC96+BF96+BI96+BL96+BO96+BR96+BU96+BX96+CA96+CD96+CG96+CJ96+AT96+DE96+CS96+CV96+CY96+DB96</f>
        <v>1747</v>
      </c>
      <c r="O96" s="241">
        <f>Q96+T96+W96+Z96+AC96+AF96+AI96+AL96+AO96+AR96+AX96+BA96+BD96+BG96+BJ96+BM96+BP96+BS96+BV96+BY96+CB96+CE96+CH96+CK96+AU96+DF96+CT96+CW96+CZ96+DC96</f>
        <v>0</v>
      </c>
      <c r="DE96" s="241">
        <f>DE18</f>
        <v>1747</v>
      </c>
      <c r="DF96" s="241">
        <f>DF18</f>
        <v>0</v>
      </c>
    </row>
    <row r="97" spans="1:110" ht="60" hidden="1" x14ac:dyDescent="0.25">
      <c r="A97" s="42" t="s">
        <v>358</v>
      </c>
      <c r="B97" s="43" t="s">
        <v>359</v>
      </c>
      <c r="C97" s="42"/>
      <c r="D97" s="42" t="s">
        <v>8</v>
      </c>
      <c r="E97" s="45">
        <v>97.09</v>
      </c>
      <c r="F97" s="45">
        <f>(F98+F99)/(F100+F101+F102+F103)*100</f>
        <v>97.674069627851139</v>
      </c>
      <c r="G97" s="45">
        <f>(G98+G99)/(G100+G101+G102+G103)*100</f>
        <v>98.585593467483235</v>
      </c>
      <c r="H97" s="45">
        <v>100</v>
      </c>
      <c r="I97" s="45">
        <f>I105/I104*100</f>
        <v>100</v>
      </c>
      <c r="J97" s="45">
        <f>J105/J104*100</f>
        <v>100</v>
      </c>
      <c r="K97" s="45">
        <f>K105/K104*100</f>
        <v>100</v>
      </c>
      <c r="L97" s="45">
        <f>L105/L104*100</f>
        <v>100</v>
      </c>
      <c r="M97" s="3" t="s">
        <v>23</v>
      </c>
    </row>
    <row r="98" spans="1:110" ht="30" hidden="1" x14ac:dyDescent="0.25">
      <c r="A98" s="419"/>
      <c r="B98" s="419" t="s">
        <v>360</v>
      </c>
      <c r="C98" s="6" t="s">
        <v>361</v>
      </c>
      <c r="D98" s="6" t="s">
        <v>950</v>
      </c>
      <c r="E98" s="12"/>
      <c r="F98" s="12">
        <v>6084</v>
      </c>
      <c r="G98" s="12">
        <v>6214</v>
      </c>
      <c r="H98" s="12"/>
      <c r="I98" s="12"/>
      <c r="J98" s="12"/>
      <c r="K98" s="12"/>
      <c r="L98" s="12"/>
      <c r="M98" s="20"/>
    </row>
    <row r="99" spans="1:110" ht="45" hidden="1" x14ac:dyDescent="0.25">
      <c r="A99" s="421"/>
      <c r="B99" s="421"/>
      <c r="C99" s="6" t="s">
        <v>362</v>
      </c>
      <c r="D99" s="6" t="s">
        <v>950</v>
      </c>
      <c r="E99" s="12"/>
      <c r="F99" s="12">
        <v>425</v>
      </c>
      <c r="G99" s="12">
        <v>547</v>
      </c>
      <c r="H99" s="12"/>
      <c r="I99" s="12"/>
      <c r="J99" s="12"/>
      <c r="K99" s="12"/>
      <c r="L99" s="12"/>
    </row>
    <row r="100" spans="1:110" ht="30" hidden="1" customHeight="1" x14ac:dyDescent="0.25">
      <c r="A100" s="416"/>
      <c r="B100" s="419" t="s">
        <v>363</v>
      </c>
      <c r="C100" s="6" t="s">
        <v>364</v>
      </c>
      <c r="D100" s="6" t="s">
        <v>950</v>
      </c>
      <c r="E100" s="12"/>
      <c r="F100" s="12">
        <v>6084</v>
      </c>
      <c r="G100" s="12">
        <v>6214</v>
      </c>
      <c r="H100" s="12"/>
      <c r="I100" s="12"/>
      <c r="J100" s="12"/>
      <c r="K100" s="12"/>
      <c r="L100" s="12"/>
      <c r="M100" s="20"/>
    </row>
    <row r="101" spans="1:110" ht="45" hidden="1" x14ac:dyDescent="0.25">
      <c r="A101" s="417"/>
      <c r="B101" s="420"/>
      <c r="C101" s="6" t="s">
        <v>365</v>
      </c>
      <c r="D101" s="6" t="s">
        <v>950</v>
      </c>
      <c r="E101" s="12"/>
      <c r="F101" s="12">
        <v>580</v>
      </c>
      <c r="G101" s="12">
        <v>644</v>
      </c>
      <c r="H101" s="12"/>
      <c r="I101" s="12"/>
      <c r="J101" s="12"/>
      <c r="K101" s="12"/>
      <c r="L101" s="12"/>
    </row>
    <row r="102" spans="1:110" ht="45" hidden="1" x14ac:dyDescent="0.25">
      <c r="A102" s="417"/>
      <c r="B102" s="420"/>
      <c r="C102" s="6" t="s">
        <v>366</v>
      </c>
      <c r="D102" s="6" t="s">
        <v>950</v>
      </c>
      <c r="E102" s="12"/>
      <c r="F102" s="12">
        <v>0</v>
      </c>
      <c r="G102" s="12">
        <v>0</v>
      </c>
      <c r="H102" s="12"/>
      <c r="I102" s="12"/>
      <c r="J102" s="12"/>
      <c r="K102" s="12"/>
      <c r="L102" s="12"/>
    </row>
    <row r="103" spans="1:110" ht="45" hidden="1" x14ac:dyDescent="0.25">
      <c r="A103" s="418"/>
      <c r="B103" s="421"/>
      <c r="C103" s="6" t="s">
        <v>367</v>
      </c>
      <c r="D103" s="6" t="s">
        <v>950</v>
      </c>
      <c r="E103" s="12"/>
      <c r="F103" s="12">
        <v>0</v>
      </c>
      <c r="G103" s="12">
        <v>0</v>
      </c>
      <c r="H103" s="12"/>
      <c r="I103" s="12"/>
      <c r="J103" s="12"/>
      <c r="K103" s="12"/>
      <c r="L103" s="12"/>
    </row>
    <row r="104" spans="1:110" ht="45" hidden="1" x14ac:dyDescent="0.25">
      <c r="A104" s="154"/>
      <c r="B104" s="152"/>
      <c r="C104" s="6" t="s">
        <v>2041</v>
      </c>
      <c r="D104" s="6"/>
      <c r="E104" s="12"/>
      <c r="F104" s="12"/>
      <c r="G104" s="12"/>
      <c r="H104" s="12"/>
      <c r="I104" s="6">
        <f t="shared" ref="I104:L105" si="341">5741+15</f>
        <v>5756</v>
      </c>
      <c r="J104" s="6">
        <f t="shared" si="341"/>
        <v>5756</v>
      </c>
      <c r="K104" s="6">
        <f t="shared" si="341"/>
        <v>5756</v>
      </c>
      <c r="L104" s="6">
        <f t="shared" si="341"/>
        <v>5756</v>
      </c>
    </row>
    <row r="105" spans="1:110" ht="45" hidden="1" x14ac:dyDescent="0.25">
      <c r="A105" s="154"/>
      <c r="B105" s="152"/>
      <c r="C105" s="6" t="s">
        <v>2048</v>
      </c>
      <c r="D105" s="6"/>
      <c r="E105" s="12"/>
      <c r="F105" s="12"/>
      <c r="G105" s="12"/>
      <c r="H105" s="12"/>
      <c r="I105" s="6">
        <f t="shared" si="341"/>
        <v>5756</v>
      </c>
      <c r="J105" s="6">
        <f t="shared" si="341"/>
        <v>5756</v>
      </c>
      <c r="K105" s="6">
        <f t="shared" si="341"/>
        <v>5756</v>
      </c>
      <c r="L105" s="6">
        <f t="shared" si="341"/>
        <v>5756</v>
      </c>
    </row>
    <row r="106" spans="1:110" ht="120" x14ac:dyDescent="0.25">
      <c r="A106" s="55" t="s">
        <v>358</v>
      </c>
      <c r="B106" s="43" t="s">
        <v>369</v>
      </c>
      <c r="C106" s="42"/>
      <c r="D106" s="42"/>
      <c r="E106" s="49"/>
      <c r="F106" s="49"/>
      <c r="G106" s="49"/>
      <c r="H106" s="49"/>
      <c r="I106" s="49"/>
      <c r="J106" s="49"/>
      <c r="K106" s="49"/>
      <c r="L106" s="49"/>
      <c r="M106" s="3" t="s">
        <v>281</v>
      </c>
    </row>
    <row r="107" spans="1:110" x14ac:dyDescent="0.25">
      <c r="A107" s="55"/>
      <c r="B107" s="43" t="s">
        <v>370</v>
      </c>
      <c r="C107" s="42"/>
      <c r="D107" s="42"/>
      <c r="E107" s="50"/>
      <c r="F107" s="50"/>
      <c r="G107" s="50"/>
      <c r="H107" s="50"/>
      <c r="I107" s="50"/>
      <c r="J107" s="50"/>
      <c r="K107" s="50"/>
      <c r="L107" s="50"/>
    </row>
    <row r="108" spans="1:110" x14ac:dyDescent="0.25">
      <c r="A108" s="55"/>
      <c r="B108" s="46" t="s">
        <v>1182</v>
      </c>
      <c r="C108" s="42"/>
      <c r="D108" s="42" t="s">
        <v>8</v>
      </c>
      <c r="E108" s="45"/>
      <c r="F108" s="45"/>
      <c r="G108" s="45"/>
      <c r="H108" s="45"/>
      <c r="I108" s="45">
        <f>I117/$I$126*100</f>
        <v>100</v>
      </c>
      <c r="J108" s="45">
        <f>J117/$J$126*100</f>
        <v>100</v>
      </c>
      <c r="K108" s="45">
        <f>K117/$K$126*100</f>
        <v>99.23981900452489</v>
      </c>
      <c r="L108" s="45" t="e">
        <f>L117/$L$126*100</f>
        <v>#DIV/0!</v>
      </c>
      <c r="N108" s="45">
        <f t="shared" ref="N108:Q109" si="342">N117/N126*100</f>
        <v>99.23981900452489</v>
      </c>
      <c r="O108" s="45" t="e">
        <f t="shared" si="342"/>
        <v>#DIV/0!</v>
      </c>
      <c r="P108" s="45" t="e">
        <f t="shared" si="342"/>
        <v>#DIV/0!</v>
      </c>
      <c r="Q108" s="45" t="e">
        <f t="shared" si="342"/>
        <v>#DIV/0!</v>
      </c>
      <c r="S108" s="45">
        <f>S117/S126*100</f>
        <v>87.610619469026545</v>
      </c>
      <c r="T108" s="45" t="e">
        <f>T117/T126*100</f>
        <v>#DIV/0!</v>
      </c>
      <c r="V108" s="45">
        <f>V117/V126*100</f>
        <v>100</v>
      </c>
      <c r="W108" s="45" t="e">
        <f>W117/W126*100</f>
        <v>#DIV/0!</v>
      </c>
      <c r="Y108" s="45">
        <f>Y117/Y126*100</f>
        <v>100</v>
      </c>
      <c r="Z108" s="45" t="e">
        <f>Z117/Z126*100</f>
        <v>#DIV/0!</v>
      </c>
      <c r="AA108" s="241"/>
      <c r="AB108" s="45" t="e">
        <f>AB117/AB126*100</f>
        <v>#DIV/0!</v>
      </c>
      <c r="AC108" s="45" t="e">
        <f>AC117/AC126*100</f>
        <v>#DIV/0!</v>
      </c>
      <c r="AD108" s="241"/>
      <c r="AE108" s="45" t="e">
        <f>AE117/AE126*100</f>
        <v>#DIV/0!</v>
      </c>
      <c r="AF108" s="45" t="e">
        <f>AF117/AF126*100</f>
        <v>#DIV/0!</v>
      </c>
      <c r="AH108" s="45" t="e">
        <f>AH117/AH126*100</f>
        <v>#DIV/0!</v>
      </c>
      <c r="AI108" s="45" t="e">
        <f>AI117/AI126*100</f>
        <v>#DIV/0!</v>
      </c>
      <c r="AJ108" s="241"/>
      <c r="AK108" s="45">
        <f>AK117/AK126*100</f>
        <v>100</v>
      </c>
      <c r="AL108" s="45" t="e">
        <f>AL117/AL126*100</f>
        <v>#DIV/0!</v>
      </c>
      <c r="AM108" s="241"/>
      <c r="AN108" s="45" t="e">
        <f>AN117/AN126*100</f>
        <v>#DIV/0!</v>
      </c>
      <c r="AO108" s="45" t="e">
        <f>AO117/AO126*100</f>
        <v>#DIV/0!</v>
      </c>
      <c r="AQ108" s="45">
        <f>AQ117/AQ126*100</f>
        <v>100</v>
      </c>
      <c r="AR108" s="45" t="e">
        <f>AR117/AR126*100</f>
        <v>#DIV/0!</v>
      </c>
      <c r="AS108" s="241"/>
      <c r="AT108" s="45">
        <f>AT117/AT126*100</f>
        <v>100</v>
      </c>
      <c r="AU108" s="45" t="e">
        <f>AU117/AU126*100</f>
        <v>#DIV/0!</v>
      </c>
      <c r="AW108" s="45">
        <f>AW117/AW126*100</f>
        <v>100</v>
      </c>
      <c r="AX108" s="45" t="e">
        <f>AX117/AX126*100</f>
        <v>#DIV/0!</v>
      </c>
      <c r="AZ108" s="45">
        <f>AZ117/AZ126*100</f>
        <v>100</v>
      </c>
      <c r="BA108" s="45" t="e">
        <f>BA117/BA126*100</f>
        <v>#DIV/0!</v>
      </c>
      <c r="BB108" s="241"/>
      <c r="BC108" s="45" t="e">
        <f>BC117/BC126*100</f>
        <v>#DIV/0!</v>
      </c>
      <c r="BD108" s="45" t="e">
        <f>BD117/BD126*100</f>
        <v>#DIV/0!</v>
      </c>
      <c r="BE108" s="241"/>
      <c r="BF108" s="45">
        <f>BF117/BF126*100</f>
        <v>100</v>
      </c>
      <c r="BG108" s="45" t="e">
        <f>BG117/BG126*100</f>
        <v>#DIV/0!</v>
      </c>
      <c r="BI108" s="45">
        <f>BI117/BI126*100</f>
        <v>100</v>
      </c>
      <c r="BJ108" s="45" t="e">
        <f>BJ117/BJ126*100</f>
        <v>#DIV/0!</v>
      </c>
      <c r="BK108" s="241"/>
      <c r="BL108" s="45">
        <f>BL117/BL126*100</f>
        <v>100</v>
      </c>
      <c r="BM108" s="45" t="e">
        <f>BM117/BM126*100</f>
        <v>#DIV/0!</v>
      </c>
      <c r="BN108" s="241"/>
      <c r="BO108" s="45">
        <f>BO117/BO126*100</f>
        <v>100</v>
      </c>
      <c r="BP108" s="45" t="e">
        <f>BP117/BP126*100</f>
        <v>#DIV/0!</v>
      </c>
      <c r="BR108" s="45">
        <f>BR117/BR126*100</f>
        <v>100</v>
      </c>
      <c r="BS108" s="45" t="e">
        <f>BS117/BS126*100</f>
        <v>#DIV/0!</v>
      </c>
      <c r="BT108" s="241"/>
      <c r="BU108" s="45">
        <f>BU117/BU126*100</f>
        <v>100</v>
      </c>
      <c r="BV108" s="45" t="e">
        <f>BV117/BV126*100</f>
        <v>#DIV/0!</v>
      </c>
      <c r="BW108" s="241"/>
      <c r="BX108" s="45">
        <f>BX117/BX126*100</f>
        <v>100</v>
      </c>
      <c r="BY108" s="45" t="e">
        <f>BY117/BY126*100</f>
        <v>#DIV/0!</v>
      </c>
      <c r="CA108" s="45">
        <f>CA117/CA126*100</f>
        <v>100</v>
      </c>
      <c r="CB108" s="45" t="e">
        <f>CB117/CB126*100</f>
        <v>#DIV/0!</v>
      </c>
      <c r="CC108" s="241"/>
      <c r="CD108" s="45" t="e">
        <f>CD117/CD126*100</f>
        <v>#DIV/0!</v>
      </c>
      <c r="CE108" s="45" t="e">
        <f>CE117/CE126*100</f>
        <v>#DIV/0!</v>
      </c>
      <c r="CF108" s="241"/>
      <c r="CG108" s="45">
        <f>CG117/CG126*100</f>
        <v>100</v>
      </c>
      <c r="CH108" s="45" t="e">
        <f>CH117/CH126*100</f>
        <v>#DIV/0!</v>
      </c>
      <c r="CJ108" s="45" t="e">
        <f>CJ117/CJ126*100</f>
        <v>#DIV/0!</v>
      </c>
      <c r="CK108" s="45" t="e">
        <f>CK117/CK126*100</f>
        <v>#DIV/0!</v>
      </c>
      <c r="CL108" s="241"/>
      <c r="CM108" s="45" t="e">
        <f>CM117/CM126*100</f>
        <v>#DIV/0!</v>
      </c>
      <c r="CN108" s="45" t="e">
        <f>CN117/CN126*100</f>
        <v>#DIV/0!</v>
      </c>
      <c r="CO108" s="241"/>
      <c r="CP108" s="45" t="e">
        <f>CP117/CP126*100</f>
        <v>#DIV/0!</v>
      </c>
      <c r="CQ108" s="45" t="e">
        <f>CQ117/CQ126*100</f>
        <v>#DIV/0!</v>
      </c>
      <c r="CS108" s="45" t="e">
        <f>CS117/CS126*100</f>
        <v>#DIV/0!</v>
      </c>
      <c r="CT108" s="45" t="e">
        <f>CT117/CT126*100</f>
        <v>#DIV/0!</v>
      </c>
      <c r="CU108" s="241"/>
      <c r="CV108" s="45" t="e">
        <f>CV117/CV126*100</f>
        <v>#DIV/0!</v>
      </c>
      <c r="CW108" s="45" t="e">
        <f>CW117/CW126*100</f>
        <v>#DIV/0!</v>
      </c>
      <c r="CX108" s="241"/>
      <c r="CY108" s="45" t="e">
        <f>CY117/CY126*100</f>
        <v>#DIV/0!</v>
      </c>
      <c r="CZ108" s="45" t="e">
        <f>CZ117/CZ126*100</f>
        <v>#DIV/0!</v>
      </c>
      <c r="DB108" s="45" t="e">
        <f>DB117/DB126*100</f>
        <v>#DIV/0!</v>
      </c>
      <c r="DC108" s="45" t="e">
        <f>DC117/DC126*100</f>
        <v>#DIV/0!</v>
      </c>
      <c r="DD108" s="241"/>
      <c r="DE108" s="45" t="e">
        <f>DE117/DE126*100</f>
        <v>#DIV/0!</v>
      </c>
      <c r="DF108" s="45" t="e">
        <f>DF117/DF126*100</f>
        <v>#DIV/0!</v>
      </c>
    </row>
    <row r="109" spans="1:110" x14ac:dyDescent="0.25">
      <c r="A109" s="55"/>
      <c r="B109" s="46" t="s">
        <v>1184</v>
      </c>
      <c r="C109" s="42"/>
      <c r="D109" s="42" t="s">
        <v>8</v>
      </c>
      <c r="E109" s="45"/>
      <c r="F109" s="45"/>
      <c r="G109" s="45"/>
      <c r="H109" s="45"/>
      <c r="I109" s="45">
        <f>I118/$I$127*100</f>
        <v>100</v>
      </c>
      <c r="J109" s="45">
        <f>J118/$J$127*100</f>
        <v>100</v>
      </c>
      <c r="K109" s="45">
        <f>K118/$K$127*100</f>
        <v>100</v>
      </c>
      <c r="L109" s="45" t="e">
        <f>L118/$L$127*100</f>
        <v>#DIV/0!</v>
      </c>
      <c r="N109" s="45">
        <f t="shared" si="342"/>
        <v>100</v>
      </c>
      <c r="O109" s="45" t="e">
        <f t="shared" si="342"/>
        <v>#DIV/0!</v>
      </c>
      <c r="P109" s="45" t="e">
        <f t="shared" si="342"/>
        <v>#DIV/0!</v>
      </c>
      <c r="Q109" s="45" t="e">
        <f t="shared" si="342"/>
        <v>#DIV/0!</v>
      </c>
      <c r="S109" s="45" t="e">
        <f>S118/S127*100</f>
        <v>#DIV/0!</v>
      </c>
      <c r="T109" s="45" t="e">
        <f>T118/T127*100</f>
        <v>#DIV/0!</v>
      </c>
      <c r="V109" s="45" t="e">
        <f>V118/V127*100</f>
        <v>#DIV/0!</v>
      </c>
      <c r="W109" s="45" t="e">
        <f>W118/W127*100</f>
        <v>#DIV/0!</v>
      </c>
      <c r="Y109" s="45" t="e">
        <f>Y118/Y127*100</f>
        <v>#DIV/0!</v>
      </c>
      <c r="Z109" s="45" t="e">
        <f>Z118/Z127*100</f>
        <v>#DIV/0!</v>
      </c>
      <c r="AA109" s="241"/>
      <c r="AB109" s="45" t="e">
        <f>AB118/AB127*100</f>
        <v>#DIV/0!</v>
      </c>
      <c r="AC109" s="45" t="e">
        <f>AC118/AC127*100</f>
        <v>#DIV/0!</v>
      </c>
      <c r="AD109" s="241"/>
      <c r="AE109" s="45" t="e">
        <f>AE118/AE127*100</f>
        <v>#DIV/0!</v>
      </c>
      <c r="AF109" s="45" t="e">
        <f>AF118/AF127*100</f>
        <v>#DIV/0!</v>
      </c>
      <c r="AH109" s="45" t="e">
        <f>AH118/AH127*100</f>
        <v>#DIV/0!</v>
      </c>
      <c r="AI109" s="45" t="e">
        <f>AI118/AI127*100</f>
        <v>#DIV/0!</v>
      </c>
      <c r="AJ109" s="241"/>
      <c r="AK109" s="45" t="e">
        <f>AK118/AK127*100</f>
        <v>#DIV/0!</v>
      </c>
      <c r="AL109" s="45" t="e">
        <f>AL118/AL127*100</f>
        <v>#DIV/0!</v>
      </c>
      <c r="AM109" s="241"/>
      <c r="AN109" s="45" t="e">
        <f>AN118/AN127*100</f>
        <v>#DIV/0!</v>
      </c>
      <c r="AO109" s="45" t="e">
        <f>AO118/AO127*100</f>
        <v>#DIV/0!</v>
      </c>
      <c r="AQ109" s="45" t="e">
        <f>AQ118/AQ127*100</f>
        <v>#DIV/0!</v>
      </c>
      <c r="AR109" s="45" t="e">
        <f>AR118/AR127*100</f>
        <v>#DIV/0!</v>
      </c>
      <c r="AS109" s="241"/>
      <c r="AT109" s="45" t="e">
        <f>AT118/AT127*100</f>
        <v>#DIV/0!</v>
      </c>
      <c r="AU109" s="45" t="e">
        <f>AU118/AU127*100</f>
        <v>#DIV/0!</v>
      </c>
      <c r="AW109" s="45" t="e">
        <f>AW118/AW127*100</f>
        <v>#DIV/0!</v>
      </c>
      <c r="AX109" s="45" t="e">
        <f>AX118/AX127*100</f>
        <v>#DIV/0!</v>
      </c>
      <c r="AZ109" s="45" t="e">
        <f>AZ118/AZ127*100</f>
        <v>#DIV/0!</v>
      </c>
      <c r="BA109" s="45" t="e">
        <f>BA118/BA127*100</f>
        <v>#DIV/0!</v>
      </c>
      <c r="BB109" s="241"/>
      <c r="BC109" s="45" t="e">
        <f>BC118/BC127*100</f>
        <v>#DIV/0!</v>
      </c>
      <c r="BD109" s="45" t="e">
        <f>BD118/BD127*100</f>
        <v>#DIV/0!</v>
      </c>
      <c r="BE109" s="241"/>
      <c r="BF109" s="45" t="e">
        <f>BF118/BF127*100</f>
        <v>#DIV/0!</v>
      </c>
      <c r="BG109" s="45" t="e">
        <f>BG118/BG127*100</f>
        <v>#DIV/0!</v>
      </c>
      <c r="BI109" s="45" t="e">
        <f>BI118/BI127*100</f>
        <v>#DIV/0!</v>
      </c>
      <c r="BJ109" s="45" t="e">
        <f>BJ118/BJ127*100</f>
        <v>#DIV/0!</v>
      </c>
      <c r="BK109" s="241"/>
      <c r="BL109" s="45" t="e">
        <f>BL118/BL127*100</f>
        <v>#DIV/0!</v>
      </c>
      <c r="BM109" s="45" t="e">
        <f>BM118/BM127*100</f>
        <v>#DIV/0!</v>
      </c>
      <c r="BN109" s="241"/>
      <c r="BO109" s="45" t="e">
        <f>BO118/BO127*100</f>
        <v>#DIV/0!</v>
      </c>
      <c r="BP109" s="45" t="e">
        <f>BP118/BP127*100</f>
        <v>#DIV/0!</v>
      </c>
      <c r="BR109" s="45" t="e">
        <f>BR118/BR127*100</f>
        <v>#DIV/0!</v>
      </c>
      <c r="BS109" s="45" t="e">
        <f>BS118/BS127*100</f>
        <v>#DIV/0!</v>
      </c>
      <c r="BT109" s="241"/>
      <c r="BU109" s="45" t="e">
        <f>BU118/BU127*100</f>
        <v>#DIV/0!</v>
      </c>
      <c r="BV109" s="45" t="e">
        <f>BV118/BV127*100</f>
        <v>#DIV/0!</v>
      </c>
      <c r="BW109" s="241"/>
      <c r="BX109" s="45" t="e">
        <f>BX118/BX127*100</f>
        <v>#DIV/0!</v>
      </c>
      <c r="BY109" s="45" t="e">
        <f>BY118/BY127*100</f>
        <v>#DIV/0!</v>
      </c>
      <c r="CA109" s="45" t="e">
        <f>CA118/CA127*100</f>
        <v>#DIV/0!</v>
      </c>
      <c r="CB109" s="45" t="e">
        <f>CB118/CB127*100</f>
        <v>#DIV/0!</v>
      </c>
      <c r="CC109" s="241"/>
      <c r="CD109" s="45" t="e">
        <f>CD118/CD127*100</f>
        <v>#DIV/0!</v>
      </c>
      <c r="CE109" s="45" t="e">
        <f>CE118/CE127*100</f>
        <v>#DIV/0!</v>
      </c>
      <c r="CF109" s="241"/>
      <c r="CG109" s="45" t="e">
        <f>CG118/CG127*100</f>
        <v>#DIV/0!</v>
      </c>
      <c r="CH109" s="45" t="e">
        <f>CH118/CH127*100</f>
        <v>#DIV/0!</v>
      </c>
      <c r="CJ109" s="45" t="e">
        <f>CJ118/CJ127*100</f>
        <v>#DIV/0!</v>
      </c>
      <c r="CK109" s="45" t="e">
        <f>CK118/CK127*100</f>
        <v>#DIV/0!</v>
      </c>
      <c r="CL109" s="241"/>
      <c r="CM109" s="45" t="e">
        <f>CM118/CM127*100</f>
        <v>#DIV/0!</v>
      </c>
      <c r="CN109" s="45" t="e">
        <f>CN118/CN127*100</f>
        <v>#DIV/0!</v>
      </c>
      <c r="CO109" s="241"/>
      <c r="CP109" s="45" t="e">
        <f>CP118/CP127*100</f>
        <v>#DIV/0!</v>
      </c>
      <c r="CQ109" s="45" t="e">
        <f>CQ118/CQ127*100</f>
        <v>#DIV/0!</v>
      </c>
      <c r="CS109" s="45" t="e">
        <f>CS118/CS127*100</f>
        <v>#DIV/0!</v>
      </c>
      <c r="CT109" s="45" t="e">
        <f>CT118/CT127*100</f>
        <v>#DIV/0!</v>
      </c>
      <c r="CU109" s="241"/>
      <c r="CV109" s="45" t="e">
        <f>CV118/CV127*100</f>
        <v>#DIV/0!</v>
      </c>
      <c r="CW109" s="45" t="e">
        <f>CW118/CW127*100</f>
        <v>#DIV/0!</v>
      </c>
      <c r="CX109" s="241"/>
      <c r="CY109" s="45" t="e">
        <f>CY118/CY127*100</f>
        <v>#DIV/0!</v>
      </c>
      <c r="CZ109" s="45" t="e">
        <f>CZ118/CZ127*100</f>
        <v>#DIV/0!</v>
      </c>
      <c r="DB109" s="45" t="e">
        <f>DB118/DB127*100</f>
        <v>#DIV/0!</v>
      </c>
      <c r="DC109" s="45" t="e">
        <f>DC118/DC127*100</f>
        <v>#DIV/0!</v>
      </c>
      <c r="DD109" s="241"/>
      <c r="DE109" s="45">
        <f>DE118/DE127*100</f>
        <v>100</v>
      </c>
      <c r="DF109" s="45" t="e">
        <f>DF118/DF127*100</f>
        <v>#DIV/0!</v>
      </c>
    </row>
    <row r="110" spans="1:110" x14ac:dyDescent="0.25">
      <c r="A110" s="55"/>
      <c r="B110" s="43" t="s">
        <v>614</v>
      </c>
      <c r="C110" s="42"/>
      <c r="D110" s="42"/>
      <c r="E110" s="50"/>
      <c r="F110" s="50"/>
      <c r="G110" s="50"/>
      <c r="H110" s="50"/>
      <c r="I110" s="50"/>
      <c r="J110" s="50"/>
      <c r="K110" s="50"/>
      <c r="L110" s="50"/>
      <c r="N110" s="50"/>
      <c r="O110" s="50"/>
      <c r="P110" s="50"/>
      <c r="Q110" s="50"/>
      <c r="S110" s="50"/>
      <c r="T110" s="50"/>
      <c r="V110" s="50"/>
      <c r="W110" s="50"/>
      <c r="Y110" s="50"/>
      <c r="Z110" s="50"/>
      <c r="AA110" s="241"/>
      <c r="AB110" s="50"/>
      <c r="AC110" s="50"/>
      <c r="AD110" s="241"/>
      <c r="AE110" s="50"/>
      <c r="AF110" s="50"/>
      <c r="AH110" s="50"/>
      <c r="AI110" s="50"/>
      <c r="AJ110" s="241"/>
      <c r="AK110" s="50"/>
      <c r="AL110" s="50"/>
      <c r="AM110" s="241"/>
      <c r="AN110" s="50"/>
      <c r="AO110" s="50"/>
      <c r="AQ110" s="50"/>
      <c r="AR110" s="50"/>
      <c r="AS110" s="241"/>
      <c r="AT110" s="50"/>
      <c r="AU110" s="50"/>
      <c r="AW110" s="50"/>
      <c r="AX110" s="50"/>
      <c r="AZ110" s="50"/>
      <c r="BA110" s="50"/>
      <c r="BB110" s="241"/>
      <c r="BC110" s="50"/>
      <c r="BD110" s="50"/>
      <c r="BE110" s="241"/>
      <c r="BF110" s="50"/>
      <c r="BG110" s="50"/>
      <c r="BI110" s="50"/>
      <c r="BJ110" s="50"/>
      <c r="BK110" s="241"/>
      <c r="BL110" s="50"/>
      <c r="BM110" s="50"/>
      <c r="BN110" s="241"/>
      <c r="BO110" s="50"/>
      <c r="BP110" s="50"/>
      <c r="BR110" s="50"/>
      <c r="BS110" s="50"/>
      <c r="BT110" s="241"/>
      <c r="BU110" s="50"/>
      <c r="BV110" s="50"/>
      <c r="BW110" s="241"/>
      <c r="BX110" s="50"/>
      <c r="BY110" s="50"/>
      <c r="CA110" s="50"/>
      <c r="CB110" s="50"/>
      <c r="CC110" s="241"/>
      <c r="CD110" s="50"/>
      <c r="CE110" s="50"/>
      <c r="CF110" s="241"/>
      <c r="CG110" s="50"/>
      <c r="CH110" s="50"/>
      <c r="CJ110" s="50"/>
      <c r="CK110" s="50"/>
      <c r="CL110" s="241"/>
      <c r="CM110" s="50"/>
      <c r="CN110" s="50"/>
      <c r="CO110" s="241"/>
      <c r="CP110" s="50"/>
      <c r="CQ110" s="50"/>
      <c r="CS110" s="50"/>
      <c r="CT110" s="50"/>
      <c r="CU110" s="241"/>
      <c r="CV110" s="50"/>
      <c r="CW110" s="50"/>
      <c r="CX110" s="241"/>
      <c r="CY110" s="50"/>
      <c r="CZ110" s="50"/>
      <c r="DB110" s="50"/>
      <c r="DC110" s="50"/>
      <c r="DD110" s="241"/>
      <c r="DE110" s="50"/>
      <c r="DF110" s="50"/>
    </row>
    <row r="111" spans="1:110" x14ac:dyDescent="0.25">
      <c r="A111" s="55"/>
      <c r="B111" s="46" t="s">
        <v>1182</v>
      </c>
      <c r="C111" s="42"/>
      <c r="D111" s="42" t="s">
        <v>8</v>
      </c>
      <c r="E111" s="45"/>
      <c r="F111" s="45"/>
      <c r="G111" s="45"/>
      <c r="H111" s="45"/>
      <c r="I111" s="45">
        <f>I120/$I$126*100</f>
        <v>0</v>
      </c>
      <c r="J111" s="45">
        <f>J120/$J$126*100</f>
        <v>0</v>
      </c>
      <c r="K111" s="45">
        <f>K120/$K$126*100</f>
        <v>0.7601809954751132</v>
      </c>
      <c r="L111" s="45" t="e">
        <f>L120/$L$126*100</f>
        <v>#DIV/0!</v>
      </c>
      <c r="N111" s="45">
        <f t="shared" ref="N111:Q112" si="343">N120/N126*100</f>
        <v>0.7601809954751132</v>
      </c>
      <c r="O111" s="45" t="e">
        <f t="shared" si="343"/>
        <v>#DIV/0!</v>
      </c>
      <c r="P111" s="45" t="e">
        <f t="shared" si="343"/>
        <v>#DIV/0!</v>
      </c>
      <c r="Q111" s="45" t="e">
        <f t="shared" si="343"/>
        <v>#DIV/0!</v>
      </c>
      <c r="S111" s="45">
        <f>S120/S126*100</f>
        <v>12.389380530973451</v>
      </c>
      <c r="T111" s="45" t="e">
        <f>T120/T126*100</f>
        <v>#DIV/0!</v>
      </c>
      <c r="V111" s="45">
        <f>V120/V126*100</f>
        <v>0</v>
      </c>
      <c r="W111" s="45" t="e">
        <f>W120/W126*100</f>
        <v>#DIV/0!</v>
      </c>
      <c r="Y111" s="45">
        <f>Y120/Y126*100</f>
        <v>0</v>
      </c>
      <c r="Z111" s="45" t="e">
        <f>Z120/Z126*100</f>
        <v>#DIV/0!</v>
      </c>
      <c r="AA111" s="241"/>
      <c r="AB111" s="45" t="e">
        <f>AB120/AB126*100</f>
        <v>#DIV/0!</v>
      </c>
      <c r="AC111" s="45" t="e">
        <f>AC120/AC126*100</f>
        <v>#DIV/0!</v>
      </c>
      <c r="AD111" s="241"/>
      <c r="AE111" s="45" t="e">
        <f>AE120/AE126*100</f>
        <v>#DIV/0!</v>
      </c>
      <c r="AF111" s="45" t="e">
        <f>AF120/AF126*100</f>
        <v>#DIV/0!</v>
      </c>
      <c r="AH111" s="45" t="e">
        <f>AH120/AH126*100</f>
        <v>#DIV/0!</v>
      </c>
      <c r="AI111" s="45" t="e">
        <f>AI120/AI126*100</f>
        <v>#DIV/0!</v>
      </c>
      <c r="AJ111" s="241"/>
      <c r="AK111" s="45">
        <f>AK120/AK126*100</f>
        <v>0</v>
      </c>
      <c r="AL111" s="45" t="e">
        <f>AL120/AL126*100</f>
        <v>#DIV/0!</v>
      </c>
      <c r="AM111" s="241"/>
      <c r="AN111" s="45" t="e">
        <f>AN120/AN126*100</f>
        <v>#DIV/0!</v>
      </c>
      <c r="AO111" s="45" t="e">
        <f>AO120/AO126*100</f>
        <v>#DIV/0!</v>
      </c>
      <c r="AQ111" s="45">
        <f>AQ120/AQ126*100</f>
        <v>0</v>
      </c>
      <c r="AR111" s="45" t="e">
        <f>AR120/AR126*100</f>
        <v>#DIV/0!</v>
      </c>
      <c r="AS111" s="241"/>
      <c r="AT111" s="45">
        <f>AT120/AT126*100</f>
        <v>0</v>
      </c>
      <c r="AU111" s="45" t="e">
        <f>AU120/AU126*100</f>
        <v>#DIV/0!</v>
      </c>
      <c r="AW111" s="45">
        <f>AW120/AW126*100</f>
        <v>0</v>
      </c>
      <c r="AX111" s="45" t="e">
        <f>AX120/AX126*100</f>
        <v>#DIV/0!</v>
      </c>
      <c r="AZ111" s="45">
        <f>AZ120/AZ126*100</f>
        <v>0</v>
      </c>
      <c r="BA111" s="45" t="e">
        <f>BA120/BA126*100</f>
        <v>#DIV/0!</v>
      </c>
      <c r="BB111" s="241"/>
      <c r="BC111" s="45" t="e">
        <f>BC120/BC126*100</f>
        <v>#DIV/0!</v>
      </c>
      <c r="BD111" s="45" t="e">
        <f>BD120/BD126*100</f>
        <v>#DIV/0!</v>
      </c>
      <c r="BE111" s="241"/>
      <c r="BF111" s="45">
        <f>BF120/BF126*100</f>
        <v>0</v>
      </c>
      <c r="BG111" s="45" t="e">
        <f>BG120/BG126*100</f>
        <v>#DIV/0!</v>
      </c>
      <c r="BI111" s="45">
        <f>BI120/BI126*100</f>
        <v>0</v>
      </c>
      <c r="BJ111" s="45" t="e">
        <f>BJ120/BJ126*100</f>
        <v>#DIV/0!</v>
      </c>
      <c r="BK111" s="241"/>
      <c r="BL111" s="45">
        <f>BL120/BL126*100</f>
        <v>0</v>
      </c>
      <c r="BM111" s="45" t="e">
        <f>BM120/BM126*100</f>
        <v>#DIV/0!</v>
      </c>
      <c r="BN111" s="241"/>
      <c r="BO111" s="45">
        <f>BO120/BO126*100</f>
        <v>0</v>
      </c>
      <c r="BP111" s="45" t="e">
        <f>BP120/BP126*100</f>
        <v>#DIV/0!</v>
      </c>
      <c r="BR111" s="45">
        <f>BR120/BR126*100</f>
        <v>0</v>
      </c>
      <c r="BS111" s="45" t="e">
        <f>BS120/BS126*100</f>
        <v>#DIV/0!</v>
      </c>
      <c r="BT111" s="241"/>
      <c r="BU111" s="45">
        <f>BU120/BU126*100</f>
        <v>0</v>
      </c>
      <c r="BV111" s="45" t="e">
        <f>BV120/BV126*100</f>
        <v>#DIV/0!</v>
      </c>
      <c r="BW111" s="241"/>
      <c r="BX111" s="45">
        <f>BX120/BX126*100</f>
        <v>0</v>
      </c>
      <c r="BY111" s="45" t="e">
        <f>BY120/BY126*100</f>
        <v>#DIV/0!</v>
      </c>
      <c r="CA111" s="45">
        <f>CA120/CA126*100</f>
        <v>0</v>
      </c>
      <c r="CB111" s="45" t="e">
        <f>CB120/CB126*100</f>
        <v>#DIV/0!</v>
      </c>
      <c r="CC111" s="241"/>
      <c r="CD111" s="45" t="e">
        <f>CD120/CD126*100</f>
        <v>#DIV/0!</v>
      </c>
      <c r="CE111" s="45" t="e">
        <f>CE120/CE126*100</f>
        <v>#DIV/0!</v>
      </c>
      <c r="CF111" s="241"/>
      <c r="CG111" s="45">
        <f>CG120/CG126*100</f>
        <v>0</v>
      </c>
      <c r="CH111" s="45" t="e">
        <f>CH120/CH126*100</f>
        <v>#DIV/0!</v>
      </c>
      <c r="CJ111" s="45" t="e">
        <f>CJ120/CJ126*100</f>
        <v>#DIV/0!</v>
      </c>
      <c r="CK111" s="45" t="e">
        <f>CK120/CK126*100</f>
        <v>#DIV/0!</v>
      </c>
      <c r="CL111" s="241"/>
      <c r="CM111" s="45" t="e">
        <f>CM120/CM126*100</f>
        <v>#DIV/0!</v>
      </c>
      <c r="CN111" s="45" t="e">
        <f>CN120/CN126*100</f>
        <v>#DIV/0!</v>
      </c>
      <c r="CO111" s="241"/>
      <c r="CP111" s="45" t="e">
        <f>CP120/CP126*100</f>
        <v>#DIV/0!</v>
      </c>
      <c r="CQ111" s="45" t="e">
        <f>CQ120/CQ126*100</f>
        <v>#DIV/0!</v>
      </c>
      <c r="CS111" s="45" t="e">
        <f>CS120/CS126*100</f>
        <v>#DIV/0!</v>
      </c>
      <c r="CT111" s="45" t="e">
        <f>CT120/CT126*100</f>
        <v>#DIV/0!</v>
      </c>
      <c r="CU111" s="241"/>
      <c r="CV111" s="45" t="e">
        <f>CV120/CV126*100</f>
        <v>#DIV/0!</v>
      </c>
      <c r="CW111" s="45" t="e">
        <f>CW120/CW126*100</f>
        <v>#DIV/0!</v>
      </c>
      <c r="CX111" s="241"/>
      <c r="CY111" s="45" t="e">
        <f>CY120/CY126*100</f>
        <v>#DIV/0!</v>
      </c>
      <c r="CZ111" s="45" t="e">
        <f>CZ120/CZ126*100</f>
        <v>#DIV/0!</v>
      </c>
      <c r="DB111" s="45" t="e">
        <f>DB120/DB126*100</f>
        <v>#DIV/0!</v>
      </c>
      <c r="DC111" s="45" t="e">
        <f>DC120/DC126*100</f>
        <v>#DIV/0!</v>
      </c>
      <c r="DD111" s="241"/>
      <c r="DE111" s="45" t="e">
        <f>DE120/DE126*100</f>
        <v>#DIV/0!</v>
      </c>
      <c r="DF111" s="45" t="e">
        <f>DF120/DF126*100</f>
        <v>#DIV/0!</v>
      </c>
    </row>
    <row r="112" spans="1:110" x14ac:dyDescent="0.25">
      <c r="A112" s="55"/>
      <c r="B112" s="46" t="s">
        <v>1184</v>
      </c>
      <c r="C112" s="42"/>
      <c r="D112" s="42" t="s">
        <v>8</v>
      </c>
      <c r="E112" s="45"/>
      <c r="F112" s="45"/>
      <c r="G112" s="45"/>
      <c r="H112" s="45"/>
      <c r="I112" s="45">
        <f>I121/$I$127*100</f>
        <v>0</v>
      </c>
      <c r="J112" s="45">
        <f>J121/$J$127*100</f>
        <v>0</v>
      </c>
      <c r="K112" s="45">
        <f>K121/$K$127*100</f>
        <v>0</v>
      </c>
      <c r="L112" s="45" t="e">
        <f>L121/$L$127*100</f>
        <v>#DIV/0!</v>
      </c>
      <c r="N112" s="45">
        <f t="shared" si="343"/>
        <v>0</v>
      </c>
      <c r="O112" s="45" t="e">
        <f t="shared" si="343"/>
        <v>#DIV/0!</v>
      </c>
      <c r="P112" s="45" t="e">
        <f t="shared" si="343"/>
        <v>#DIV/0!</v>
      </c>
      <c r="Q112" s="45" t="e">
        <f t="shared" si="343"/>
        <v>#DIV/0!</v>
      </c>
      <c r="S112" s="45" t="e">
        <f>S121/S127*100</f>
        <v>#DIV/0!</v>
      </c>
      <c r="T112" s="45" t="e">
        <f>T121/T127*100</f>
        <v>#DIV/0!</v>
      </c>
      <c r="V112" s="45" t="e">
        <f>V121/V127*100</f>
        <v>#DIV/0!</v>
      </c>
      <c r="W112" s="45" t="e">
        <f>W121/W127*100</f>
        <v>#DIV/0!</v>
      </c>
      <c r="Y112" s="45" t="e">
        <f>Y121/Y127*100</f>
        <v>#DIV/0!</v>
      </c>
      <c r="Z112" s="45" t="e">
        <f>Z121/Z127*100</f>
        <v>#DIV/0!</v>
      </c>
      <c r="AA112" s="241"/>
      <c r="AB112" s="45" t="e">
        <f>AB121/AB127*100</f>
        <v>#DIV/0!</v>
      </c>
      <c r="AC112" s="45" t="e">
        <f>AC121/AC127*100</f>
        <v>#DIV/0!</v>
      </c>
      <c r="AD112" s="241"/>
      <c r="AE112" s="45" t="e">
        <f>AE121/AE127*100</f>
        <v>#DIV/0!</v>
      </c>
      <c r="AF112" s="45" t="e">
        <f>AF121/AF127*100</f>
        <v>#DIV/0!</v>
      </c>
      <c r="AH112" s="45" t="e">
        <f>AH121/AH127*100</f>
        <v>#DIV/0!</v>
      </c>
      <c r="AI112" s="45" t="e">
        <f>AI121/AI127*100</f>
        <v>#DIV/0!</v>
      </c>
      <c r="AJ112" s="241"/>
      <c r="AK112" s="45" t="e">
        <f>AK121/AK127*100</f>
        <v>#DIV/0!</v>
      </c>
      <c r="AL112" s="45" t="e">
        <f>AL121/AL127*100</f>
        <v>#DIV/0!</v>
      </c>
      <c r="AM112" s="241"/>
      <c r="AN112" s="45" t="e">
        <f>AN121/AN127*100</f>
        <v>#DIV/0!</v>
      </c>
      <c r="AO112" s="45" t="e">
        <f>AO121/AO127*100</f>
        <v>#DIV/0!</v>
      </c>
      <c r="AQ112" s="45" t="e">
        <f>AQ121/AQ127*100</f>
        <v>#DIV/0!</v>
      </c>
      <c r="AR112" s="45" t="e">
        <f>AR121/AR127*100</f>
        <v>#DIV/0!</v>
      </c>
      <c r="AS112" s="241"/>
      <c r="AT112" s="45" t="e">
        <f>AT121/AT127*100</f>
        <v>#DIV/0!</v>
      </c>
      <c r="AU112" s="45" t="e">
        <f>AU121/AU127*100</f>
        <v>#DIV/0!</v>
      </c>
      <c r="AW112" s="45" t="e">
        <f>AW121/AW127*100</f>
        <v>#DIV/0!</v>
      </c>
      <c r="AX112" s="45" t="e">
        <f>AX121/AX127*100</f>
        <v>#DIV/0!</v>
      </c>
      <c r="AZ112" s="45" t="e">
        <f>AZ121/AZ127*100</f>
        <v>#DIV/0!</v>
      </c>
      <c r="BA112" s="45" t="e">
        <f>BA121/BA127*100</f>
        <v>#DIV/0!</v>
      </c>
      <c r="BB112" s="241"/>
      <c r="BC112" s="45" t="e">
        <f>BC121/BC127*100</f>
        <v>#DIV/0!</v>
      </c>
      <c r="BD112" s="45" t="e">
        <f>BD121/BD127*100</f>
        <v>#DIV/0!</v>
      </c>
      <c r="BE112" s="241"/>
      <c r="BF112" s="45" t="e">
        <f>BF121/BF127*100</f>
        <v>#DIV/0!</v>
      </c>
      <c r="BG112" s="45" t="e">
        <f>BG121/BG127*100</f>
        <v>#DIV/0!</v>
      </c>
      <c r="BI112" s="45" t="e">
        <f>BI121/BI127*100</f>
        <v>#DIV/0!</v>
      </c>
      <c r="BJ112" s="45" t="e">
        <f>BJ121/BJ127*100</f>
        <v>#DIV/0!</v>
      </c>
      <c r="BK112" s="241"/>
      <c r="BL112" s="45" t="e">
        <f>BL121/BL127*100</f>
        <v>#DIV/0!</v>
      </c>
      <c r="BM112" s="45" t="e">
        <f>BM121/BM127*100</f>
        <v>#DIV/0!</v>
      </c>
      <c r="BN112" s="241"/>
      <c r="BO112" s="45" t="e">
        <f>BO121/BO127*100</f>
        <v>#DIV/0!</v>
      </c>
      <c r="BP112" s="45" t="e">
        <f>BP121/BP127*100</f>
        <v>#DIV/0!</v>
      </c>
      <c r="BR112" s="45" t="e">
        <f>BR121/BR127*100</f>
        <v>#DIV/0!</v>
      </c>
      <c r="BS112" s="45" t="e">
        <f>BS121/BS127*100</f>
        <v>#DIV/0!</v>
      </c>
      <c r="BT112" s="241"/>
      <c r="BU112" s="45" t="e">
        <f>BU121/BU127*100</f>
        <v>#DIV/0!</v>
      </c>
      <c r="BV112" s="45" t="e">
        <f>BV121/BV127*100</f>
        <v>#DIV/0!</v>
      </c>
      <c r="BW112" s="241"/>
      <c r="BX112" s="45" t="e">
        <f>BX121/BX127*100</f>
        <v>#DIV/0!</v>
      </c>
      <c r="BY112" s="45" t="e">
        <f>BY121/BY127*100</f>
        <v>#DIV/0!</v>
      </c>
      <c r="CA112" s="45" t="e">
        <f>CA121/CA127*100</f>
        <v>#DIV/0!</v>
      </c>
      <c r="CB112" s="45" t="e">
        <f>CB121/CB127*100</f>
        <v>#DIV/0!</v>
      </c>
      <c r="CC112" s="241"/>
      <c r="CD112" s="45" t="e">
        <f>CD121/CD127*100</f>
        <v>#DIV/0!</v>
      </c>
      <c r="CE112" s="45" t="e">
        <f>CE121/CE127*100</f>
        <v>#DIV/0!</v>
      </c>
      <c r="CF112" s="241"/>
      <c r="CG112" s="45" t="e">
        <f>CG121/CG127*100</f>
        <v>#DIV/0!</v>
      </c>
      <c r="CH112" s="45" t="e">
        <f>CH121/CH127*100</f>
        <v>#DIV/0!</v>
      </c>
      <c r="CJ112" s="45" t="e">
        <f>CJ121/CJ127*100</f>
        <v>#DIV/0!</v>
      </c>
      <c r="CK112" s="45" t="e">
        <f>CK121/CK127*100</f>
        <v>#DIV/0!</v>
      </c>
      <c r="CL112" s="241"/>
      <c r="CM112" s="45" t="e">
        <f>CM121/CM127*100</f>
        <v>#DIV/0!</v>
      </c>
      <c r="CN112" s="45" t="e">
        <f>CN121/CN127*100</f>
        <v>#DIV/0!</v>
      </c>
      <c r="CO112" s="241"/>
      <c r="CP112" s="45" t="e">
        <f>CP121/CP127*100</f>
        <v>#DIV/0!</v>
      </c>
      <c r="CQ112" s="45" t="e">
        <f>CQ121/CQ127*100</f>
        <v>#DIV/0!</v>
      </c>
      <c r="CS112" s="45" t="e">
        <f>CS121/CS127*100</f>
        <v>#DIV/0!</v>
      </c>
      <c r="CT112" s="45" t="e">
        <f>CT121/CT127*100</f>
        <v>#DIV/0!</v>
      </c>
      <c r="CU112" s="241"/>
      <c r="CV112" s="45" t="e">
        <f>CV121/CV127*100</f>
        <v>#DIV/0!</v>
      </c>
      <c r="CW112" s="45" t="e">
        <f>CW121/CW127*100</f>
        <v>#DIV/0!</v>
      </c>
      <c r="CX112" s="241"/>
      <c r="CY112" s="45" t="e">
        <f>CY121/CY127*100</f>
        <v>#DIV/0!</v>
      </c>
      <c r="CZ112" s="45" t="e">
        <f>CZ121/CZ127*100</f>
        <v>#DIV/0!</v>
      </c>
      <c r="DB112" s="45" t="e">
        <f>DB121/DB127*100</f>
        <v>#DIV/0!</v>
      </c>
      <c r="DC112" s="45" t="e">
        <f>DC121/DC127*100</f>
        <v>#DIV/0!</v>
      </c>
      <c r="DD112" s="241"/>
      <c r="DE112" s="45">
        <f>DE121/DE127*100</f>
        <v>0</v>
      </c>
      <c r="DF112" s="45" t="e">
        <f>DF121/DF127*100</f>
        <v>#DIV/0!</v>
      </c>
    </row>
    <row r="113" spans="1:110" x14ac:dyDescent="0.25">
      <c r="A113" s="55"/>
      <c r="B113" s="43" t="s">
        <v>371</v>
      </c>
      <c r="C113" s="42"/>
      <c r="D113" s="42"/>
      <c r="E113" s="50"/>
      <c r="F113" s="50"/>
      <c r="G113" s="50"/>
      <c r="H113" s="50"/>
      <c r="I113" s="50"/>
      <c r="J113" s="50"/>
      <c r="K113" s="50"/>
      <c r="L113" s="50"/>
      <c r="N113" s="50"/>
      <c r="O113" s="50"/>
      <c r="P113" s="50"/>
      <c r="Q113" s="50"/>
      <c r="S113" s="50"/>
      <c r="T113" s="50"/>
      <c r="V113" s="50"/>
      <c r="W113" s="50"/>
      <c r="Y113" s="50"/>
      <c r="Z113" s="50"/>
      <c r="AA113" s="241"/>
      <c r="AB113" s="50"/>
      <c r="AC113" s="50"/>
      <c r="AD113" s="241"/>
      <c r="AE113" s="50"/>
      <c r="AF113" s="50"/>
      <c r="AH113" s="50"/>
      <c r="AI113" s="50"/>
      <c r="AJ113" s="241"/>
      <c r="AK113" s="50"/>
      <c r="AL113" s="50"/>
      <c r="AM113" s="241"/>
      <c r="AN113" s="50"/>
      <c r="AO113" s="50"/>
      <c r="AQ113" s="50"/>
      <c r="AR113" s="50"/>
      <c r="AS113" s="241"/>
      <c r="AT113" s="50"/>
      <c r="AU113" s="50"/>
      <c r="AW113" s="50"/>
      <c r="AX113" s="50"/>
      <c r="AZ113" s="50"/>
      <c r="BA113" s="50"/>
      <c r="BB113" s="241"/>
      <c r="BC113" s="50"/>
      <c r="BD113" s="50"/>
      <c r="BE113" s="241"/>
      <c r="BF113" s="50"/>
      <c r="BG113" s="50"/>
      <c r="BI113" s="50"/>
      <c r="BJ113" s="50"/>
      <c r="BK113" s="241"/>
      <c r="BL113" s="50"/>
      <c r="BM113" s="50"/>
      <c r="BN113" s="241"/>
      <c r="BO113" s="50"/>
      <c r="BP113" s="50"/>
      <c r="BR113" s="50"/>
      <c r="BS113" s="50"/>
      <c r="BT113" s="241"/>
      <c r="BU113" s="50"/>
      <c r="BV113" s="50"/>
      <c r="BW113" s="241"/>
      <c r="BX113" s="50"/>
      <c r="BY113" s="50"/>
      <c r="CA113" s="50"/>
      <c r="CB113" s="50"/>
      <c r="CC113" s="241"/>
      <c r="CD113" s="50"/>
      <c r="CE113" s="50"/>
      <c r="CF113" s="241"/>
      <c r="CG113" s="50"/>
      <c r="CH113" s="50"/>
      <c r="CJ113" s="50"/>
      <c r="CK113" s="50"/>
      <c r="CL113" s="241"/>
      <c r="CM113" s="50"/>
      <c r="CN113" s="50"/>
      <c r="CO113" s="241"/>
      <c r="CP113" s="50"/>
      <c r="CQ113" s="50"/>
      <c r="CS113" s="50"/>
      <c r="CT113" s="50"/>
      <c r="CU113" s="241"/>
      <c r="CV113" s="50"/>
      <c r="CW113" s="50"/>
      <c r="CX113" s="241"/>
      <c r="CY113" s="50"/>
      <c r="CZ113" s="50"/>
      <c r="DB113" s="50"/>
      <c r="DC113" s="50"/>
      <c r="DD113" s="241"/>
      <c r="DE113" s="50"/>
      <c r="DF113" s="50"/>
    </row>
    <row r="114" spans="1:110" x14ac:dyDescent="0.25">
      <c r="A114" s="55"/>
      <c r="B114" s="46" t="s">
        <v>1182</v>
      </c>
      <c r="C114" s="42"/>
      <c r="D114" s="42" t="s">
        <v>8</v>
      </c>
      <c r="E114" s="45"/>
      <c r="F114" s="45"/>
      <c r="G114" s="45"/>
      <c r="H114" s="45"/>
      <c r="I114" s="45">
        <f>I123/$I$126*100</f>
        <v>0</v>
      </c>
      <c r="J114" s="45">
        <f>J123/$J$126*100</f>
        <v>0</v>
      </c>
      <c r="K114" s="45">
        <f>K123/$K$126*100</f>
        <v>0</v>
      </c>
      <c r="L114" s="45" t="e">
        <f>L123/$L$126*100</f>
        <v>#DIV/0!</v>
      </c>
      <c r="N114" s="45">
        <f t="shared" ref="N114:Q115" si="344">N123/N126*100</f>
        <v>0</v>
      </c>
      <c r="O114" s="45" t="e">
        <f t="shared" si="344"/>
        <v>#DIV/0!</v>
      </c>
      <c r="P114" s="45" t="e">
        <f t="shared" si="344"/>
        <v>#DIV/0!</v>
      </c>
      <c r="Q114" s="45" t="e">
        <f t="shared" si="344"/>
        <v>#DIV/0!</v>
      </c>
      <c r="S114" s="45">
        <f>S123/S126*100</f>
        <v>0</v>
      </c>
      <c r="T114" s="45" t="e">
        <f>T123/T126*100</f>
        <v>#DIV/0!</v>
      </c>
      <c r="V114" s="45">
        <f>V123/V126*100</f>
        <v>0</v>
      </c>
      <c r="W114" s="45" t="e">
        <f>W123/W126*100</f>
        <v>#DIV/0!</v>
      </c>
      <c r="Y114" s="45">
        <f>Y123/Y126*100</f>
        <v>0</v>
      </c>
      <c r="Z114" s="45" t="e">
        <f>Z123/Z126*100</f>
        <v>#DIV/0!</v>
      </c>
      <c r="AA114" s="241"/>
      <c r="AB114" s="45" t="e">
        <f>AB123/AB126*100</f>
        <v>#DIV/0!</v>
      </c>
      <c r="AC114" s="45" t="e">
        <f>AC123/AC126*100</f>
        <v>#DIV/0!</v>
      </c>
      <c r="AD114" s="241"/>
      <c r="AE114" s="45" t="e">
        <f>AE123/AE126*100</f>
        <v>#DIV/0!</v>
      </c>
      <c r="AF114" s="45" t="e">
        <f>AF123/AF126*100</f>
        <v>#DIV/0!</v>
      </c>
      <c r="AH114" s="45" t="e">
        <f>AH123/AH126*100</f>
        <v>#DIV/0!</v>
      </c>
      <c r="AI114" s="45" t="e">
        <f>AI123/AI126*100</f>
        <v>#DIV/0!</v>
      </c>
      <c r="AJ114" s="241"/>
      <c r="AK114" s="45">
        <f>AK123/AK126*100</f>
        <v>0</v>
      </c>
      <c r="AL114" s="45" t="e">
        <f>AL123/AL126*100</f>
        <v>#DIV/0!</v>
      </c>
      <c r="AM114" s="241"/>
      <c r="AN114" s="45" t="e">
        <f>AN123/AN126*100</f>
        <v>#DIV/0!</v>
      </c>
      <c r="AO114" s="45" t="e">
        <f>AO123/AO126*100</f>
        <v>#DIV/0!</v>
      </c>
      <c r="AQ114" s="45">
        <f>AQ123/AQ126*100</f>
        <v>0</v>
      </c>
      <c r="AR114" s="45" t="e">
        <f>AR123/AR126*100</f>
        <v>#DIV/0!</v>
      </c>
      <c r="AS114" s="241"/>
      <c r="AT114" s="45">
        <f>AT123/AT126*100</f>
        <v>0</v>
      </c>
      <c r="AU114" s="45" t="e">
        <f>AU123/AU126*100</f>
        <v>#DIV/0!</v>
      </c>
      <c r="AW114" s="45">
        <f>AW123/AW126*100</f>
        <v>0</v>
      </c>
      <c r="AX114" s="45" t="e">
        <f>AX123/AX126*100</f>
        <v>#DIV/0!</v>
      </c>
      <c r="AZ114" s="45">
        <f>AZ123/AZ126*100</f>
        <v>0</v>
      </c>
      <c r="BA114" s="45" t="e">
        <f>BA123/BA126*100</f>
        <v>#DIV/0!</v>
      </c>
      <c r="BB114" s="241"/>
      <c r="BC114" s="45" t="e">
        <f>BC123/BC126*100</f>
        <v>#DIV/0!</v>
      </c>
      <c r="BD114" s="45" t="e">
        <f>BD123/BD126*100</f>
        <v>#DIV/0!</v>
      </c>
      <c r="BE114" s="241"/>
      <c r="BF114" s="45">
        <f>BF123/BF126*100</f>
        <v>0</v>
      </c>
      <c r="BG114" s="45" t="e">
        <f>BG123/BG126*100</f>
        <v>#DIV/0!</v>
      </c>
      <c r="BI114" s="45">
        <f>BI123/BI126*100</f>
        <v>0</v>
      </c>
      <c r="BJ114" s="45" t="e">
        <f>BJ123/BJ126*100</f>
        <v>#DIV/0!</v>
      </c>
      <c r="BK114" s="241"/>
      <c r="BL114" s="45">
        <f>BL123/BL126*100</f>
        <v>0</v>
      </c>
      <c r="BM114" s="45" t="e">
        <f>BM123/BM126*100</f>
        <v>#DIV/0!</v>
      </c>
      <c r="BN114" s="241"/>
      <c r="BO114" s="45">
        <f>BO123/BO126*100</f>
        <v>0</v>
      </c>
      <c r="BP114" s="45" t="e">
        <f>BP123/BP126*100</f>
        <v>#DIV/0!</v>
      </c>
      <c r="BR114" s="45">
        <f>BR123/BR126*100</f>
        <v>0</v>
      </c>
      <c r="BS114" s="45" t="e">
        <f>BS123/BS126*100</f>
        <v>#DIV/0!</v>
      </c>
      <c r="BT114" s="241"/>
      <c r="BU114" s="45">
        <f>BU123/BU126*100</f>
        <v>0</v>
      </c>
      <c r="BV114" s="45" t="e">
        <f>BV123/BV126*100</f>
        <v>#DIV/0!</v>
      </c>
      <c r="BW114" s="241"/>
      <c r="BX114" s="45">
        <f>BX123/BX126*100</f>
        <v>0</v>
      </c>
      <c r="BY114" s="45" t="e">
        <f>BY123/BY126*100</f>
        <v>#DIV/0!</v>
      </c>
      <c r="CA114" s="45">
        <f>CA123/CA126*100</f>
        <v>0</v>
      </c>
      <c r="CB114" s="45" t="e">
        <f>CB123/CB126*100</f>
        <v>#DIV/0!</v>
      </c>
      <c r="CC114" s="241"/>
      <c r="CD114" s="45" t="e">
        <f>CD123/CD126*100</f>
        <v>#DIV/0!</v>
      </c>
      <c r="CE114" s="45" t="e">
        <f>CE123/CE126*100</f>
        <v>#DIV/0!</v>
      </c>
      <c r="CF114" s="241"/>
      <c r="CG114" s="45">
        <f>CG123/CG126*100</f>
        <v>0</v>
      </c>
      <c r="CH114" s="45" t="e">
        <f>CH123/CH126*100</f>
        <v>#DIV/0!</v>
      </c>
      <c r="CJ114" s="45" t="e">
        <f>CJ123/CJ126*100</f>
        <v>#DIV/0!</v>
      </c>
      <c r="CK114" s="45" t="e">
        <f>CK123/CK126*100</f>
        <v>#DIV/0!</v>
      </c>
      <c r="CL114" s="241"/>
      <c r="CM114" s="45" t="e">
        <f>CM123/CM126*100</f>
        <v>#DIV/0!</v>
      </c>
      <c r="CN114" s="45" t="e">
        <f>CN123/CN126*100</f>
        <v>#DIV/0!</v>
      </c>
      <c r="CO114" s="241"/>
      <c r="CP114" s="45" t="e">
        <f>CP123/CP126*100</f>
        <v>#DIV/0!</v>
      </c>
      <c r="CQ114" s="45" t="e">
        <f>CQ123/CQ126*100</f>
        <v>#DIV/0!</v>
      </c>
      <c r="CS114" s="45" t="e">
        <f>CS123/CS126*100</f>
        <v>#DIV/0!</v>
      </c>
      <c r="CT114" s="45" t="e">
        <f>CT123/CT126*100</f>
        <v>#DIV/0!</v>
      </c>
      <c r="CU114" s="241"/>
      <c r="CV114" s="45" t="e">
        <f>CV123/CV126*100</f>
        <v>#DIV/0!</v>
      </c>
      <c r="CW114" s="45" t="e">
        <f>CW123/CW126*100</f>
        <v>#DIV/0!</v>
      </c>
      <c r="CX114" s="241"/>
      <c r="CY114" s="45" t="e">
        <f>CY123/CY126*100</f>
        <v>#DIV/0!</v>
      </c>
      <c r="CZ114" s="45" t="e">
        <f>CZ123/CZ126*100</f>
        <v>#DIV/0!</v>
      </c>
      <c r="DB114" s="45" t="e">
        <f>DB123/DB126*100</f>
        <v>#DIV/0!</v>
      </c>
      <c r="DC114" s="45" t="e">
        <f>DC123/DC126*100</f>
        <v>#DIV/0!</v>
      </c>
      <c r="DD114" s="241"/>
      <c r="DE114" s="45" t="e">
        <f>DE123/DE126*100</f>
        <v>#DIV/0!</v>
      </c>
      <c r="DF114" s="45" t="e">
        <f>DF123/DF126*100</f>
        <v>#DIV/0!</v>
      </c>
    </row>
    <row r="115" spans="1:110" x14ac:dyDescent="0.25">
      <c r="A115" s="55"/>
      <c r="B115" s="46" t="s">
        <v>1184</v>
      </c>
      <c r="C115" s="42"/>
      <c r="D115" s="42" t="s">
        <v>8</v>
      </c>
      <c r="E115" s="45"/>
      <c r="F115" s="45"/>
      <c r="G115" s="45"/>
      <c r="H115" s="45"/>
      <c r="I115" s="45">
        <f>I124/$I$127*100</f>
        <v>0</v>
      </c>
      <c r="J115" s="45">
        <f>J124/$J$127*100</f>
        <v>0</v>
      </c>
      <c r="K115" s="45">
        <f>K124/$K$127*100</f>
        <v>0</v>
      </c>
      <c r="L115" s="45" t="e">
        <f>L124/$L$127*100</f>
        <v>#DIV/0!</v>
      </c>
      <c r="N115" s="45">
        <f t="shared" si="344"/>
        <v>0</v>
      </c>
      <c r="O115" s="45" t="e">
        <f t="shared" si="344"/>
        <v>#DIV/0!</v>
      </c>
      <c r="P115" s="45" t="e">
        <f t="shared" si="344"/>
        <v>#DIV/0!</v>
      </c>
      <c r="Q115" s="45" t="e">
        <f t="shared" si="344"/>
        <v>#DIV/0!</v>
      </c>
      <c r="S115" s="45" t="e">
        <f>S124/S127*100</f>
        <v>#DIV/0!</v>
      </c>
      <c r="T115" s="45" t="e">
        <f>T124/T127*100</f>
        <v>#DIV/0!</v>
      </c>
      <c r="V115" s="45" t="e">
        <f>V124/V127*100</f>
        <v>#DIV/0!</v>
      </c>
      <c r="W115" s="45" t="e">
        <f>W124/W127*100</f>
        <v>#DIV/0!</v>
      </c>
      <c r="Y115" s="45" t="e">
        <f>Y124/Y127*100</f>
        <v>#DIV/0!</v>
      </c>
      <c r="Z115" s="45" t="e">
        <f>Z124/Z127*100</f>
        <v>#DIV/0!</v>
      </c>
      <c r="AA115" s="241"/>
      <c r="AB115" s="45" t="e">
        <f>AB124/AB127*100</f>
        <v>#DIV/0!</v>
      </c>
      <c r="AC115" s="45" t="e">
        <f>AC124/AC127*100</f>
        <v>#DIV/0!</v>
      </c>
      <c r="AD115" s="241"/>
      <c r="AE115" s="45" t="e">
        <f>AE124/AE127*100</f>
        <v>#DIV/0!</v>
      </c>
      <c r="AF115" s="45" t="e">
        <f>AF124/AF127*100</f>
        <v>#DIV/0!</v>
      </c>
      <c r="AH115" s="45" t="e">
        <f>AH124/AH127*100</f>
        <v>#DIV/0!</v>
      </c>
      <c r="AI115" s="45" t="e">
        <f>AI124/AI127*100</f>
        <v>#DIV/0!</v>
      </c>
      <c r="AJ115" s="241"/>
      <c r="AK115" s="45" t="e">
        <f>AK124/AK127*100</f>
        <v>#DIV/0!</v>
      </c>
      <c r="AL115" s="45" t="e">
        <f>AL124/AL127*100</f>
        <v>#DIV/0!</v>
      </c>
      <c r="AM115" s="241"/>
      <c r="AN115" s="45" t="e">
        <f>AN124/AN127*100</f>
        <v>#DIV/0!</v>
      </c>
      <c r="AO115" s="45" t="e">
        <f>AO124/AO127*100</f>
        <v>#DIV/0!</v>
      </c>
      <c r="AQ115" s="45" t="e">
        <f>AQ124/AQ127*100</f>
        <v>#DIV/0!</v>
      </c>
      <c r="AR115" s="45" t="e">
        <f>AR124/AR127*100</f>
        <v>#DIV/0!</v>
      </c>
      <c r="AS115" s="241"/>
      <c r="AT115" s="45" t="e">
        <f>AT124/AT127*100</f>
        <v>#DIV/0!</v>
      </c>
      <c r="AU115" s="45" t="e">
        <f>AU124/AU127*100</f>
        <v>#DIV/0!</v>
      </c>
      <c r="AW115" s="45" t="e">
        <f>AW124/AW127*100</f>
        <v>#DIV/0!</v>
      </c>
      <c r="AX115" s="45" t="e">
        <f>AX124/AX127*100</f>
        <v>#DIV/0!</v>
      </c>
      <c r="AZ115" s="45" t="e">
        <f>AZ124/AZ127*100</f>
        <v>#DIV/0!</v>
      </c>
      <c r="BA115" s="45" t="e">
        <f>BA124/BA127*100</f>
        <v>#DIV/0!</v>
      </c>
      <c r="BB115" s="241"/>
      <c r="BC115" s="45" t="e">
        <f>BC124/BC127*100</f>
        <v>#DIV/0!</v>
      </c>
      <c r="BD115" s="45" t="e">
        <f>BD124/BD127*100</f>
        <v>#DIV/0!</v>
      </c>
      <c r="BE115" s="241"/>
      <c r="BF115" s="45" t="e">
        <f>BF124/BF127*100</f>
        <v>#DIV/0!</v>
      </c>
      <c r="BG115" s="45" t="e">
        <f>BG124/BG127*100</f>
        <v>#DIV/0!</v>
      </c>
      <c r="BI115" s="45" t="e">
        <f>BI124/BI127*100</f>
        <v>#DIV/0!</v>
      </c>
      <c r="BJ115" s="45" t="e">
        <f>BJ124/BJ127*100</f>
        <v>#DIV/0!</v>
      </c>
      <c r="BK115" s="241"/>
      <c r="BL115" s="45" t="e">
        <f>BL124/BL127*100</f>
        <v>#DIV/0!</v>
      </c>
      <c r="BM115" s="45" t="e">
        <f>BM124/BM127*100</f>
        <v>#DIV/0!</v>
      </c>
      <c r="BN115" s="241"/>
      <c r="BO115" s="45" t="e">
        <f>BO124/BO127*100</f>
        <v>#DIV/0!</v>
      </c>
      <c r="BP115" s="45" t="e">
        <f>BP124/BP127*100</f>
        <v>#DIV/0!</v>
      </c>
      <c r="BR115" s="45" t="e">
        <f>BR124/BR127*100</f>
        <v>#DIV/0!</v>
      </c>
      <c r="BS115" s="45" t="e">
        <f>BS124/BS127*100</f>
        <v>#DIV/0!</v>
      </c>
      <c r="BT115" s="241"/>
      <c r="BU115" s="45" t="e">
        <f>BU124/BU127*100</f>
        <v>#DIV/0!</v>
      </c>
      <c r="BV115" s="45" t="e">
        <f>BV124/BV127*100</f>
        <v>#DIV/0!</v>
      </c>
      <c r="BW115" s="241"/>
      <c r="BX115" s="45" t="e">
        <f>BX124/BX127*100</f>
        <v>#DIV/0!</v>
      </c>
      <c r="BY115" s="45" t="e">
        <f>BY124/BY127*100</f>
        <v>#DIV/0!</v>
      </c>
      <c r="CA115" s="45" t="e">
        <f>CA124/CA127*100</f>
        <v>#DIV/0!</v>
      </c>
      <c r="CB115" s="45" t="e">
        <f>CB124/CB127*100</f>
        <v>#DIV/0!</v>
      </c>
      <c r="CC115" s="241"/>
      <c r="CD115" s="45" t="e">
        <f>CD124/CD127*100</f>
        <v>#DIV/0!</v>
      </c>
      <c r="CE115" s="45" t="e">
        <f>CE124/CE127*100</f>
        <v>#DIV/0!</v>
      </c>
      <c r="CF115" s="241"/>
      <c r="CG115" s="45" t="e">
        <f>CG124/CG127*100</f>
        <v>#DIV/0!</v>
      </c>
      <c r="CH115" s="45" t="e">
        <f>CH124/CH127*100</f>
        <v>#DIV/0!</v>
      </c>
      <c r="CJ115" s="45" t="e">
        <f>CJ124/CJ127*100</f>
        <v>#DIV/0!</v>
      </c>
      <c r="CK115" s="45" t="e">
        <f>CK124/CK127*100</f>
        <v>#DIV/0!</v>
      </c>
      <c r="CL115" s="241"/>
      <c r="CM115" s="45" t="e">
        <f>CM124/CM127*100</f>
        <v>#DIV/0!</v>
      </c>
      <c r="CN115" s="45" t="e">
        <f>CN124/CN127*100</f>
        <v>#DIV/0!</v>
      </c>
      <c r="CO115" s="241"/>
      <c r="CP115" s="45" t="e">
        <f>CP124/CP127*100</f>
        <v>#DIV/0!</v>
      </c>
      <c r="CQ115" s="45" t="e">
        <f>CQ124/CQ127*100</f>
        <v>#DIV/0!</v>
      </c>
      <c r="CS115" s="45" t="e">
        <f>CS124/CS127*100</f>
        <v>#DIV/0!</v>
      </c>
      <c r="CT115" s="45" t="e">
        <f>CT124/CT127*100</f>
        <v>#DIV/0!</v>
      </c>
      <c r="CU115" s="241"/>
      <c r="CV115" s="45" t="e">
        <f>CV124/CV127*100</f>
        <v>#DIV/0!</v>
      </c>
      <c r="CW115" s="45" t="e">
        <f>CW124/CW127*100</f>
        <v>#DIV/0!</v>
      </c>
      <c r="CX115" s="241"/>
      <c r="CY115" s="45" t="e">
        <f>CY124/CY127*100</f>
        <v>#DIV/0!</v>
      </c>
      <c r="CZ115" s="45" t="e">
        <f>CZ124/CZ127*100</f>
        <v>#DIV/0!</v>
      </c>
      <c r="DB115" s="45" t="e">
        <f>DB124/DB127*100</f>
        <v>#DIV/0!</v>
      </c>
      <c r="DC115" s="45" t="e">
        <f>DC124/DC127*100</f>
        <v>#DIV/0!</v>
      </c>
      <c r="DD115" s="241"/>
      <c r="DE115" s="45">
        <f>DE124/DE127*100</f>
        <v>0</v>
      </c>
      <c r="DF115" s="45" t="e">
        <f>DF124/DF127*100</f>
        <v>#DIV/0!</v>
      </c>
    </row>
    <row r="116" spans="1:110" ht="45" x14ac:dyDescent="0.25">
      <c r="A116" s="154"/>
      <c r="B116" s="16" t="s">
        <v>372</v>
      </c>
      <c r="C116" s="6" t="s">
        <v>2048</v>
      </c>
      <c r="D116" s="6" t="s">
        <v>950</v>
      </c>
      <c r="E116" s="12"/>
      <c r="F116" s="12"/>
      <c r="G116" s="12"/>
      <c r="H116" s="12"/>
      <c r="I116" s="12"/>
      <c r="J116" s="12"/>
      <c r="K116" s="12"/>
      <c r="L116" s="12"/>
    </row>
    <row r="117" spans="1:110" x14ac:dyDescent="0.25">
      <c r="A117" s="154"/>
      <c r="B117" s="16" t="s">
        <v>1182</v>
      </c>
      <c r="C117" s="6"/>
      <c r="D117" s="6"/>
      <c r="E117" s="12"/>
      <c r="F117" s="12"/>
      <c r="G117" s="12"/>
      <c r="H117" s="35"/>
      <c r="I117" s="35">
        <f>5741-25</f>
        <v>5716</v>
      </c>
      <c r="J117" s="35">
        <v>5602</v>
      </c>
      <c r="K117" s="35">
        <v>5483</v>
      </c>
      <c r="L117" s="35">
        <v>5700</v>
      </c>
      <c r="N117" s="241">
        <f>P117+S117+V117+Y117+AB117+AE117+AH117+AK117+AN117+AQ117+AW117+AZ117+BC117+BF117+BI117+BL117+BO117+BR117+BU117+BX117+CA117+CD117+CG117+CJ117+AT117+DE117+CS117+CV117+CY117+DB117</f>
        <v>5483</v>
      </c>
      <c r="O117" s="241">
        <f>Q117+T117+W117+Z117+AC117+AF117+AI117+AL117+AO117+AR117+AX117+BA117+BD117+BG117+BJ117+BM117+BP117+BS117+BV117+BY117+CB117+CE117+CH117+CK117+AU117+DF117+CT117+CW117+CZ117+DC117</f>
        <v>0</v>
      </c>
      <c r="P117" s="241">
        <v>0</v>
      </c>
      <c r="S117">
        <v>297</v>
      </c>
      <c r="V117">
        <v>414</v>
      </c>
      <c r="Y117">
        <v>1270</v>
      </c>
      <c r="AB117">
        <v>0</v>
      </c>
      <c r="AE117">
        <v>0</v>
      </c>
      <c r="AH117">
        <v>0</v>
      </c>
      <c r="AK117">
        <v>168</v>
      </c>
      <c r="AN117">
        <v>0</v>
      </c>
      <c r="AQ117">
        <v>268</v>
      </c>
      <c r="AT117" s="241">
        <v>98</v>
      </c>
      <c r="AW117">
        <v>164</v>
      </c>
      <c r="AZ117">
        <v>652</v>
      </c>
      <c r="BC117">
        <v>0</v>
      </c>
      <c r="BF117">
        <v>463</v>
      </c>
      <c r="BI117">
        <v>267</v>
      </c>
      <c r="BL117">
        <v>221</v>
      </c>
      <c r="BO117">
        <v>142</v>
      </c>
      <c r="BR117">
        <v>267</v>
      </c>
      <c r="BU117">
        <v>123</v>
      </c>
      <c r="BX117">
        <v>201</v>
      </c>
      <c r="CA117">
        <v>206</v>
      </c>
      <c r="CD117">
        <v>0</v>
      </c>
      <c r="CG117">
        <v>262</v>
      </c>
      <c r="CJ117">
        <v>0</v>
      </c>
    </row>
    <row r="118" spans="1:110" x14ac:dyDescent="0.25">
      <c r="A118" s="154"/>
      <c r="B118" s="16" t="s">
        <v>1184</v>
      </c>
      <c r="C118" s="6"/>
      <c r="D118" s="6"/>
      <c r="E118" s="12"/>
      <c r="F118" s="12"/>
      <c r="G118" s="12"/>
      <c r="H118" s="35"/>
      <c r="I118" s="35">
        <v>15</v>
      </c>
      <c r="J118" s="35">
        <v>54</v>
      </c>
      <c r="K118" s="35">
        <v>90</v>
      </c>
      <c r="L118" s="35">
        <v>152</v>
      </c>
      <c r="N118" s="241">
        <f>P118+S118+V118+Y118+AB118+AE118+AH118+AK118+AN118+AQ118+AW118+AZ118+BC118+BF118+BI118+BL118+BO118+BR118+BU118+BX118+CA118+CD118+CG118+CJ118+AT118+DE118+CS118+CV118+CY118+DB118</f>
        <v>90</v>
      </c>
      <c r="O118" s="241">
        <f>Q118+T118+W118+Z118+AC118+AF118+AI118+AL118+AO118+AR118+AX118+BA118+BD118+BG118+BJ118+BM118+BP118+BS118+BV118+BY118+CB118+CE118+CH118+CK118+AU118+DF118+CT118+CW118+CZ118+DC118</f>
        <v>0</v>
      </c>
      <c r="P118" s="241"/>
      <c r="DE118">
        <v>90</v>
      </c>
    </row>
    <row r="119" spans="1:110" ht="60" x14ac:dyDescent="0.25">
      <c r="A119" s="154"/>
      <c r="B119" s="16" t="s">
        <v>373</v>
      </c>
      <c r="C119" s="6" t="s">
        <v>2064</v>
      </c>
      <c r="D119" s="6" t="s">
        <v>950</v>
      </c>
      <c r="E119" s="12"/>
      <c r="F119" s="12"/>
      <c r="G119" s="12"/>
      <c r="H119" s="35"/>
      <c r="I119" s="35"/>
      <c r="J119" s="35"/>
      <c r="K119" s="35"/>
      <c r="L119" s="35"/>
      <c r="P119" s="241"/>
    </row>
    <row r="120" spans="1:110" x14ac:dyDescent="0.25">
      <c r="A120" s="153"/>
      <c r="B120" s="16" t="s">
        <v>1182</v>
      </c>
      <c r="C120" s="6"/>
      <c r="D120" s="6"/>
      <c r="E120" s="12"/>
      <c r="F120" s="12"/>
      <c r="G120" s="12"/>
      <c r="H120" s="35"/>
      <c r="I120" s="35">
        <v>0</v>
      </c>
      <c r="J120" s="35">
        <v>0</v>
      </c>
      <c r="K120" s="35">
        <v>42</v>
      </c>
      <c r="L120" s="35">
        <v>44</v>
      </c>
      <c r="N120" s="241">
        <f>P120+S120+V120+Y120+AB120+AE120+AH120+AK120+AN120+AQ120+AW120+AZ120+BC120+BF120+BI120+BL120+BO120+BR120+BU120+BX120+CA120+CD120+CG120+CJ120+AT120+DE120+CS120+CV120+CY120+DB120</f>
        <v>42</v>
      </c>
      <c r="O120" s="241">
        <f>Q120+T120+W120+Z120+AC120+AF120+AI120+AL120+AO120+AR120+AX120+BA120+BD120+BG120+BJ120+BM120+BP120+BS120+BV120+BY120+CB120+CE120+CH120+CK120+AU120+DF120+CT120+CW120+CZ120+DC120</f>
        <v>0</v>
      </c>
      <c r="P120" s="241">
        <v>0</v>
      </c>
      <c r="S120">
        <v>42</v>
      </c>
      <c r="V120">
        <v>0</v>
      </c>
      <c r="Y120">
        <v>0</v>
      </c>
      <c r="AB120">
        <v>0</v>
      </c>
      <c r="AE120">
        <v>0</v>
      </c>
      <c r="AH120">
        <v>0</v>
      </c>
      <c r="AK120">
        <v>0</v>
      </c>
      <c r="AN120">
        <v>0</v>
      </c>
      <c r="AQ120">
        <v>0</v>
      </c>
      <c r="AT120" s="241">
        <v>0</v>
      </c>
      <c r="AW120">
        <v>0</v>
      </c>
      <c r="AZ120">
        <v>0</v>
      </c>
      <c r="BC120">
        <v>0</v>
      </c>
      <c r="BF120">
        <v>0</v>
      </c>
      <c r="BI120">
        <v>0</v>
      </c>
      <c r="BL120">
        <v>0</v>
      </c>
      <c r="BO120">
        <v>0</v>
      </c>
      <c r="BR120">
        <v>0</v>
      </c>
      <c r="BU120">
        <v>0</v>
      </c>
      <c r="BX120">
        <v>0</v>
      </c>
      <c r="CA120">
        <v>0</v>
      </c>
      <c r="CD120">
        <v>0</v>
      </c>
      <c r="CG120">
        <v>0</v>
      </c>
      <c r="CJ120">
        <v>0</v>
      </c>
    </row>
    <row r="121" spans="1:110" x14ac:dyDescent="0.25">
      <c r="A121" s="153"/>
      <c r="B121" s="16" t="s">
        <v>1184</v>
      </c>
      <c r="C121" s="6"/>
      <c r="D121" s="6"/>
      <c r="E121" s="12"/>
      <c r="F121" s="12"/>
      <c r="G121" s="12"/>
      <c r="H121" s="35"/>
      <c r="I121" s="35">
        <v>0</v>
      </c>
      <c r="J121" s="35">
        <v>0</v>
      </c>
      <c r="K121" s="35">
        <v>0</v>
      </c>
      <c r="L121" s="35">
        <v>0</v>
      </c>
      <c r="N121" s="241">
        <f>P121+S121+V121+Y121+AB121+AE121+AH121+AK121+AN121+AQ121+AW121+AZ121+BC121+BF121+BI121+BL121+BO121+BR121+BU121+BX121+CA121+CD121+CG121+CJ121+AT121+DE121+CS121+CV121+CY121+DB121</f>
        <v>0</v>
      </c>
      <c r="O121" s="241">
        <f>Q121+T121+W121+Z121+AC121+AF121+AI121+AL121+AO121+AR121+AX121+BA121+BD121+BG121+BJ121+BM121+BP121+BS121+BV121+BY121+CB121+CE121+CH121+CK121+AU121+DF121+CT121+CW121+CZ121+DC121</f>
        <v>0</v>
      </c>
      <c r="P121" s="241"/>
      <c r="DE121">
        <v>0</v>
      </c>
    </row>
    <row r="122" spans="1:110" ht="45" customHeight="1" x14ac:dyDescent="0.25">
      <c r="A122" s="151"/>
      <c r="B122" s="151" t="s">
        <v>374</v>
      </c>
      <c r="C122" s="6" t="s">
        <v>2063</v>
      </c>
      <c r="D122" s="6" t="s">
        <v>950</v>
      </c>
      <c r="E122" s="12"/>
      <c r="F122" s="12"/>
      <c r="G122" s="12"/>
      <c r="H122" s="35"/>
      <c r="I122" s="35"/>
      <c r="J122" s="35"/>
      <c r="K122" s="35"/>
      <c r="L122" s="35"/>
      <c r="P122" s="241"/>
    </row>
    <row r="123" spans="1:110" x14ac:dyDescent="0.25">
      <c r="A123" s="151"/>
      <c r="B123" s="16" t="s">
        <v>1182</v>
      </c>
      <c r="C123" s="6"/>
      <c r="D123" s="6"/>
      <c r="E123" s="12"/>
      <c r="F123" s="12"/>
      <c r="G123" s="12"/>
      <c r="H123" s="35"/>
      <c r="I123" s="35">
        <v>0</v>
      </c>
      <c r="J123" s="35">
        <v>0</v>
      </c>
      <c r="K123" s="35">
        <v>0</v>
      </c>
      <c r="L123" s="35">
        <v>0</v>
      </c>
      <c r="N123" s="241">
        <f>P123+S123+V123+Y123+AB123+AE123+AH123+AK123+AN123+AQ123+AW123+AZ123+BC123+BF123+BI123+BL123+BO123+BR123+BU123+BX123+CA123+CD123+CG123+CJ123+AT123+DE123+CS123+CV123+CY123+DB123</f>
        <v>0</v>
      </c>
      <c r="O123" s="241">
        <f>Q123+T123+W123+Z123+AC123+AF123+AI123+AL123+AO123+AR123+AX123+BA123+BD123+BG123+BJ123+BM123+BP123+BS123+BV123+BY123+CB123+CE123+CH123+CK123+AU123+DF123+CT123+CW123+CZ123+DC123</f>
        <v>0</v>
      </c>
      <c r="P123" s="241">
        <v>0</v>
      </c>
      <c r="S123">
        <v>0</v>
      </c>
      <c r="V123">
        <v>0</v>
      </c>
      <c r="Y123">
        <v>0</v>
      </c>
      <c r="AB123">
        <v>0</v>
      </c>
      <c r="AE123">
        <v>0</v>
      </c>
      <c r="AH123">
        <v>0</v>
      </c>
      <c r="AK123">
        <v>0</v>
      </c>
      <c r="AN123">
        <v>0</v>
      </c>
      <c r="AQ123">
        <v>0</v>
      </c>
      <c r="AT123" s="241">
        <v>0</v>
      </c>
      <c r="AW123">
        <v>0</v>
      </c>
      <c r="AZ123">
        <v>0</v>
      </c>
      <c r="BC123">
        <v>0</v>
      </c>
      <c r="BF123">
        <v>0</v>
      </c>
      <c r="BI123">
        <v>0</v>
      </c>
      <c r="BL123">
        <v>0</v>
      </c>
      <c r="BO123">
        <v>0</v>
      </c>
      <c r="BR123">
        <v>0</v>
      </c>
      <c r="BU123">
        <v>0</v>
      </c>
      <c r="BX123">
        <v>0</v>
      </c>
      <c r="CA123">
        <v>0</v>
      </c>
      <c r="CD123">
        <v>0</v>
      </c>
      <c r="CG123">
        <v>0</v>
      </c>
      <c r="CJ123">
        <v>0</v>
      </c>
    </row>
    <row r="124" spans="1:110" x14ac:dyDescent="0.25">
      <c r="A124" s="151"/>
      <c r="B124" s="16" t="s">
        <v>1184</v>
      </c>
      <c r="C124" s="6"/>
      <c r="D124" s="6"/>
      <c r="E124" s="12"/>
      <c r="F124" s="12"/>
      <c r="G124" s="12"/>
      <c r="H124" s="35"/>
      <c r="I124" s="35">
        <v>0</v>
      </c>
      <c r="J124" s="35">
        <v>0</v>
      </c>
      <c r="K124" s="35">
        <v>0</v>
      </c>
      <c r="L124" s="35">
        <v>0</v>
      </c>
      <c r="N124" s="241">
        <f>P124+S124+V124+Y124+AB124+AE124+AH124+AK124+AN124+AQ124+AW124+AZ124+BC124+BF124+BI124+BL124+BO124+BR124+BU124+BX124+CA124+CD124+CG124+CJ124+AT124+DE124+CS124+CV124+CY124+DB124</f>
        <v>0</v>
      </c>
      <c r="O124" s="241">
        <f>Q124+T124+W124+Z124+AC124+AF124+AI124+AL124+AO124+AR124+AX124+BA124+BD124+BG124+BJ124+BM124+BP124+BS124+BV124+BY124+CB124+CE124+CH124+CK124+AU124+DF124+CT124+CW124+CZ124+DC124</f>
        <v>0</v>
      </c>
      <c r="P124" s="241"/>
      <c r="DE124">
        <v>0</v>
      </c>
    </row>
    <row r="125" spans="1:110" ht="45" x14ac:dyDescent="0.25">
      <c r="A125" s="8"/>
      <c r="B125" s="16" t="s">
        <v>330</v>
      </c>
      <c r="C125" s="6" t="s">
        <v>2041</v>
      </c>
      <c r="D125" s="6" t="s">
        <v>950</v>
      </c>
      <c r="E125" s="12"/>
      <c r="F125" s="12"/>
      <c r="G125" s="12"/>
      <c r="H125" s="35"/>
      <c r="I125" s="35"/>
      <c r="J125" s="35"/>
      <c r="K125" s="35"/>
      <c r="L125" s="35"/>
      <c r="P125" s="241"/>
    </row>
    <row r="126" spans="1:110" x14ac:dyDescent="0.25">
      <c r="A126" s="30"/>
      <c r="B126" s="16" t="s">
        <v>1182</v>
      </c>
      <c r="C126" s="6"/>
      <c r="D126" s="6"/>
      <c r="E126" s="12"/>
      <c r="F126" s="12"/>
      <c r="G126" s="12"/>
      <c r="H126" s="35"/>
      <c r="I126" s="35">
        <f t="shared" ref="I126:J127" si="345">I59</f>
        <v>5716</v>
      </c>
      <c r="J126" s="35">
        <f t="shared" si="345"/>
        <v>5602</v>
      </c>
      <c r="K126" s="35">
        <f>K12</f>
        <v>5525</v>
      </c>
      <c r="L126" s="35">
        <f>L12</f>
        <v>0</v>
      </c>
      <c r="N126" s="241">
        <f>P126+S126+V126+Y126+AB126+AE126+AH126+AK126+AN126+AQ126+AW126+AZ126+BC126+BF126+BI126+BL126+BO126+BR126+BU126+BX126+CA126+CD126+CG126+CJ126+AT126+DE126+CS126+CV126+CY126+DB126</f>
        <v>5525</v>
      </c>
      <c r="O126" s="241">
        <f>Q126+T126+W126+Z126+AC126+AF126+AI126+AL126+AO126+AR126+AX126+BA126+BD126+BG126+BJ126+BM126+BP126+BS126+BV126+BY126+CB126+CE126+CH126+CK126+AU126+DF126+CT126+CW126+CZ126+DC126</f>
        <v>0</v>
      </c>
      <c r="P126">
        <f>P12</f>
        <v>0</v>
      </c>
      <c r="Q126" s="241">
        <f>Q12</f>
        <v>0</v>
      </c>
      <c r="S126" s="241">
        <f>S12</f>
        <v>339</v>
      </c>
      <c r="T126" s="241">
        <f>T12</f>
        <v>0</v>
      </c>
      <c r="V126" s="241">
        <f>V12</f>
        <v>414</v>
      </c>
      <c r="W126" s="241">
        <f>W12</f>
        <v>0</v>
      </c>
      <c r="Y126" s="241">
        <f>Y12</f>
        <v>1270</v>
      </c>
      <c r="Z126" s="241">
        <f>Z12</f>
        <v>0</v>
      </c>
      <c r="AA126" s="241"/>
      <c r="AB126" s="241">
        <f>AB12</f>
        <v>0</v>
      </c>
      <c r="AC126" s="241">
        <f>AC12</f>
        <v>0</v>
      </c>
      <c r="AD126" s="241"/>
      <c r="AE126" s="241">
        <f>AE12</f>
        <v>0</v>
      </c>
      <c r="AF126" s="241">
        <f>AF12</f>
        <v>0</v>
      </c>
      <c r="AH126" s="241">
        <f>AH12</f>
        <v>0</v>
      </c>
      <c r="AI126" s="241">
        <f>AI12</f>
        <v>0</v>
      </c>
      <c r="AJ126" s="241"/>
      <c r="AK126" s="241">
        <f>AK12</f>
        <v>168</v>
      </c>
      <c r="AL126" s="241">
        <f>AL12</f>
        <v>0</v>
      </c>
      <c r="AM126" s="241"/>
      <c r="AN126" s="241">
        <f>AN12</f>
        <v>0</v>
      </c>
      <c r="AO126" s="241">
        <f>AO12</f>
        <v>0</v>
      </c>
      <c r="AQ126" s="241">
        <f>AQ12</f>
        <v>268</v>
      </c>
      <c r="AR126" s="241">
        <f>AR12</f>
        <v>0</v>
      </c>
      <c r="AS126" s="241"/>
      <c r="AT126" s="241">
        <f>AT12</f>
        <v>98</v>
      </c>
      <c r="AU126" s="241">
        <f>AU12</f>
        <v>0</v>
      </c>
      <c r="AW126" s="241">
        <f>AW12</f>
        <v>164</v>
      </c>
      <c r="AX126" s="241">
        <f>AX12</f>
        <v>0</v>
      </c>
      <c r="AZ126" s="241">
        <f>AZ12</f>
        <v>652</v>
      </c>
      <c r="BA126" s="241">
        <f>BA12</f>
        <v>0</v>
      </c>
      <c r="BB126" s="241"/>
      <c r="BC126" s="241">
        <f>BC12</f>
        <v>0</v>
      </c>
      <c r="BD126" s="241">
        <f>BD12</f>
        <v>0</v>
      </c>
      <c r="BE126" s="241"/>
      <c r="BF126" s="241">
        <f>BF12</f>
        <v>463</v>
      </c>
      <c r="BG126" s="241">
        <f>BG12</f>
        <v>0</v>
      </c>
      <c r="BI126" s="241">
        <f>BI12</f>
        <v>267</v>
      </c>
      <c r="BJ126" s="241">
        <f>BJ12</f>
        <v>0</v>
      </c>
      <c r="BK126" s="241"/>
      <c r="BL126" s="241">
        <f>BL12</f>
        <v>221</v>
      </c>
      <c r="BM126" s="241">
        <f>BM12</f>
        <v>0</v>
      </c>
      <c r="BN126" s="241"/>
      <c r="BO126" s="241">
        <f>BO12</f>
        <v>142</v>
      </c>
      <c r="BP126" s="241">
        <f>BP12</f>
        <v>0</v>
      </c>
      <c r="BR126" s="241">
        <f>BR12</f>
        <v>267</v>
      </c>
      <c r="BS126" s="241">
        <f>BS12</f>
        <v>0</v>
      </c>
      <c r="BT126" s="241"/>
      <c r="BU126" s="241">
        <f>BU12</f>
        <v>123</v>
      </c>
      <c r="BV126" s="241">
        <f>BV12</f>
        <v>0</v>
      </c>
      <c r="BW126" s="241"/>
      <c r="BX126" s="241">
        <f>BX12</f>
        <v>201</v>
      </c>
      <c r="BY126" s="241">
        <f>BY12</f>
        <v>0</v>
      </c>
      <c r="CA126" s="241">
        <f>CA12</f>
        <v>206</v>
      </c>
      <c r="CB126" s="241">
        <f>CB12</f>
        <v>0</v>
      </c>
      <c r="CC126" s="241"/>
      <c r="CD126" s="241">
        <f>CD12</f>
        <v>0</v>
      </c>
      <c r="CE126" s="241">
        <f>CE12</f>
        <v>0</v>
      </c>
      <c r="CF126" s="241"/>
      <c r="CG126" s="241">
        <f>CG12</f>
        <v>262</v>
      </c>
      <c r="CH126" s="241">
        <f>CH12</f>
        <v>0</v>
      </c>
      <c r="CJ126" s="241">
        <f>CJ12</f>
        <v>0</v>
      </c>
      <c r="CK126" s="241">
        <f>CK12</f>
        <v>0</v>
      </c>
      <c r="CL126" s="241"/>
      <c r="CM126" s="241">
        <f>CM12</f>
        <v>0</v>
      </c>
      <c r="CN126" s="241">
        <f>CN12</f>
        <v>0</v>
      </c>
      <c r="CO126" s="241"/>
      <c r="CP126" s="241">
        <f>CP12</f>
        <v>0</v>
      </c>
      <c r="CQ126" s="241">
        <f>CQ12</f>
        <v>0</v>
      </c>
      <c r="CS126" s="241">
        <f>CS12</f>
        <v>0</v>
      </c>
      <c r="CT126" s="241">
        <f>CT12</f>
        <v>0</v>
      </c>
      <c r="CU126" s="241"/>
      <c r="CV126" s="241">
        <f>CV12</f>
        <v>0</v>
      </c>
      <c r="CW126" s="241">
        <f>CW12</f>
        <v>0</v>
      </c>
      <c r="CX126" s="241"/>
      <c r="CY126" s="241">
        <f>CY12</f>
        <v>0</v>
      </c>
      <c r="CZ126" s="241">
        <f>CZ12</f>
        <v>0</v>
      </c>
      <c r="DB126" s="241">
        <f>DB12</f>
        <v>0</v>
      </c>
      <c r="DC126" s="241">
        <f>DC12</f>
        <v>0</v>
      </c>
      <c r="DD126" s="241"/>
      <c r="DE126" s="241"/>
      <c r="DF126" s="241"/>
    </row>
    <row r="127" spans="1:110" x14ac:dyDescent="0.25">
      <c r="A127" s="30"/>
      <c r="B127" s="16" t="s">
        <v>1184</v>
      </c>
      <c r="C127" s="6"/>
      <c r="D127" s="6"/>
      <c r="E127" s="12"/>
      <c r="F127" s="12"/>
      <c r="G127" s="12"/>
      <c r="H127" s="35"/>
      <c r="I127" s="35">
        <f t="shared" si="345"/>
        <v>15</v>
      </c>
      <c r="J127" s="35">
        <f t="shared" si="345"/>
        <v>54</v>
      </c>
      <c r="K127" s="35">
        <f>K13</f>
        <v>90</v>
      </c>
      <c r="L127" s="35">
        <f>L13</f>
        <v>0</v>
      </c>
      <c r="N127" s="241">
        <f>P127+S127+V127+Y127+AB127+AE127+AH127+AK127+AN127+AQ127+AW127+AZ127+BC127+BF127+BI127+BL127+BO127+BR127+BU127+BX127+CA127+CD127+CG127+CJ127+AT127+DE127+CS127+CV127+CY127+DB127</f>
        <v>90</v>
      </c>
      <c r="O127" s="241">
        <f>Q127+T127+W127+Z127+AC127+AF127+AI127+AL127+AO127+AR127+AX127+BA127+BD127+BG127+BJ127+BM127+BP127+BS127+BV127+BY127+CB127+CE127+CH127+CK127+AU127+DF127+CT127+CW127+CZ127+DC127</f>
        <v>0</v>
      </c>
      <c r="DE127" s="241">
        <f>DE13</f>
        <v>90</v>
      </c>
      <c r="DF127" s="241">
        <f>DF13</f>
        <v>0</v>
      </c>
    </row>
    <row r="128" spans="1:110" ht="120" x14ac:dyDescent="0.25">
      <c r="A128" s="55" t="s">
        <v>368</v>
      </c>
      <c r="B128" s="43" t="s">
        <v>369</v>
      </c>
      <c r="C128" s="42"/>
      <c r="D128" s="42"/>
      <c r="E128" s="49"/>
      <c r="F128" s="49"/>
      <c r="G128" s="49"/>
      <c r="H128" s="49"/>
      <c r="I128" s="49"/>
      <c r="J128" s="49"/>
      <c r="K128" s="49"/>
      <c r="L128" s="49"/>
      <c r="M128" s="3" t="s">
        <v>281</v>
      </c>
    </row>
    <row r="129" spans="1:110" x14ac:dyDescent="0.25">
      <c r="A129" s="55"/>
      <c r="B129" s="43" t="s">
        <v>370</v>
      </c>
      <c r="C129" s="42"/>
      <c r="D129" s="42"/>
      <c r="E129" s="50"/>
      <c r="F129" s="50"/>
      <c r="G129" s="50"/>
      <c r="H129" s="50"/>
      <c r="I129" s="50"/>
      <c r="J129" s="50"/>
      <c r="K129" s="50"/>
      <c r="L129" s="50"/>
    </row>
    <row r="130" spans="1:110" x14ac:dyDescent="0.25">
      <c r="A130" s="55"/>
      <c r="B130" s="46" t="s">
        <v>1182</v>
      </c>
      <c r="C130" s="42"/>
      <c r="D130" s="42" t="s">
        <v>8</v>
      </c>
      <c r="E130" s="45">
        <v>71.069999999999993</v>
      </c>
      <c r="F130" s="45">
        <f>F139/F148*100</f>
        <v>67.251579264012832</v>
      </c>
      <c r="G130" s="45">
        <v>75.2</v>
      </c>
      <c r="H130" s="45">
        <v>73.17</v>
      </c>
      <c r="I130" s="45">
        <f>I139/$I$148*100</f>
        <v>76.10480846822044</v>
      </c>
      <c r="J130" s="45">
        <f>J139/$J$148*100</f>
        <v>78.001294857565668</v>
      </c>
      <c r="K130" s="45">
        <f>K139/$K$148*100</f>
        <v>82.699882346923118</v>
      </c>
      <c r="L130" s="45" t="e">
        <f>L139/$L$148*100</f>
        <v>#DIV/0!</v>
      </c>
      <c r="N130" s="45">
        <f t="shared" ref="N130:Q131" si="346">N139/N148*100</f>
        <v>82.699882346923118</v>
      </c>
      <c r="O130" s="45" t="e">
        <f t="shared" si="346"/>
        <v>#DIV/0!</v>
      </c>
      <c r="P130" s="45">
        <f t="shared" si="346"/>
        <v>71.58469945355192</v>
      </c>
      <c r="Q130" s="45" t="e">
        <f t="shared" si="346"/>
        <v>#DIV/0!</v>
      </c>
      <c r="S130" s="45">
        <f>S139/S148*100</f>
        <v>84.615384615384613</v>
      </c>
      <c r="T130" s="45" t="e">
        <f>T139/T148*100</f>
        <v>#DIV/0!</v>
      </c>
      <c r="V130" s="45">
        <f>V139/V148*100</f>
        <v>81.732070365358595</v>
      </c>
      <c r="W130" s="45" t="e">
        <f>W139/W148*100</f>
        <v>#DIV/0!</v>
      </c>
      <c r="Y130" s="45">
        <f>Y139/Y148*100</f>
        <v>100</v>
      </c>
      <c r="Z130" s="45" t="e">
        <f>Z139/Z148*100</f>
        <v>#DIV/0!</v>
      </c>
      <c r="AA130" s="241"/>
      <c r="AB130" s="45">
        <f>AB139/AB148*100</f>
        <v>100</v>
      </c>
      <c r="AC130" s="45" t="e">
        <f>AC139/AC148*100</f>
        <v>#DIV/0!</v>
      </c>
      <c r="AD130" s="241"/>
      <c r="AE130" s="45">
        <f>AE139/AE148*100</f>
        <v>100</v>
      </c>
      <c r="AF130" s="45" t="e">
        <f>AF139/AF148*100</f>
        <v>#DIV/0!</v>
      </c>
      <c r="AH130" s="45">
        <f>AH139/AH148*100</f>
        <v>100</v>
      </c>
      <c r="AI130" s="45" t="e">
        <f>AI139/AI148*100</f>
        <v>#DIV/0!</v>
      </c>
      <c r="AJ130" s="241"/>
      <c r="AK130" s="45">
        <f>AK139/AK148*100</f>
        <v>98.655462184873954</v>
      </c>
      <c r="AL130" s="45" t="e">
        <f>AL139/AL148*100</f>
        <v>#DIV/0!</v>
      </c>
      <c r="AM130" s="241"/>
      <c r="AN130" s="45">
        <f>AN139/AN148*100</f>
        <v>100</v>
      </c>
      <c r="AO130" s="45" t="e">
        <f>AO139/AO148*100</f>
        <v>#DIV/0!</v>
      </c>
      <c r="AQ130" s="45">
        <f>AQ139/AQ148*100</f>
        <v>71.916508538899421</v>
      </c>
      <c r="AR130" s="45" t="e">
        <f>AR139/AR148*100</f>
        <v>#DIV/0!</v>
      </c>
      <c r="AS130" s="241"/>
      <c r="AT130" s="45">
        <f>AT139/AT148*100</f>
        <v>100</v>
      </c>
      <c r="AU130" s="45" t="e">
        <f>AU139/AU148*100</f>
        <v>#DIV/0!</v>
      </c>
      <c r="AW130" s="45">
        <f>AW139/AW148*100</f>
        <v>85.269121813031163</v>
      </c>
      <c r="AX130" s="45" t="e">
        <f>AX139/AX148*100</f>
        <v>#DIV/0!</v>
      </c>
      <c r="AZ130" s="45">
        <f>AZ139/AZ148*100</f>
        <v>69.352014010507872</v>
      </c>
      <c r="BA130" s="45" t="e">
        <f>BA139/BA148*100</f>
        <v>#DIV/0!</v>
      </c>
      <c r="BB130" s="241"/>
      <c r="BC130" s="45">
        <f>BC139/BC148*100</f>
        <v>90.011961722488039</v>
      </c>
      <c r="BD130" s="45" t="e">
        <f>BD139/BD148*100</f>
        <v>#DIV/0!</v>
      </c>
      <c r="BE130" s="241"/>
      <c r="BF130" s="45">
        <f>BF139/BF148*100</f>
        <v>81.463990554899652</v>
      </c>
      <c r="BG130" s="45" t="e">
        <f>BG139/BG148*100</f>
        <v>#DIV/0!</v>
      </c>
      <c r="BI130" s="45">
        <f>BI139/BI148*100</f>
        <v>90.248565965583168</v>
      </c>
      <c r="BJ130" s="45" t="e">
        <f>BJ139/BJ148*100</f>
        <v>#DIV/0!</v>
      </c>
      <c r="BK130" s="241"/>
      <c r="BL130" s="45">
        <f>BL139/BL148*100</f>
        <v>91.312741312741309</v>
      </c>
      <c r="BM130" s="45" t="e">
        <f>BM139/BM148*100</f>
        <v>#DIV/0!</v>
      </c>
      <c r="BN130" s="241"/>
      <c r="BO130" s="45">
        <f>BO139/BO148*100</f>
        <v>99.688473520249218</v>
      </c>
      <c r="BP130" s="45" t="e">
        <f>BP139/BP148*100</f>
        <v>#DIV/0!</v>
      </c>
      <c r="BR130" s="45">
        <f>BR139/BR148*100</f>
        <v>87.292817679558013</v>
      </c>
      <c r="BS130" s="45" t="e">
        <f>BS139/BS148*100</f>
        <v>#DIV/0!</v>
      </c>
      <c r="BT130" s="241"/>
      <c r="BU130" s="45">
        <f>BU139/BU148*100</f>
        <v>84.135472370766479</v>
      </c>
      <c r="BV130" s="45" t="e">
        <f>BV139/BV148*100</f>
        <v>#DIV/0!</v>
      </c>
      <c r="BW130" s="241"/>
      <c r="BX130" s="45">
        <f>BX139/BX148*100</f>
        <v>82.116788321167888</v>
      </c>
      <c r="BY130" s="45" t="e">
        <f>BY139/BY148*100</f>
        <v>#DIV/0!</v>
      </c>
      <c r="CA130" s="45">
        <f>CA139/CA148*100</f>
        <v>72.790055248618785</v>
      </c>
      <c r="CB130" s="45" t="e">
        <f>CB139/CB148*100</f>
        <v>#DIV/0!</v>
      </c>
      <c r="CC130" s="241"/>
      <c r="CD130" s="45">
        <f>CD139/CD148*100</f>
        <v>85</v>
      </c>
      <c r="CE130" s="45" t="e">
        <f>CE139/CE148*100</f>
        <v>#DIV/0!</v>
      </c>
      <c r="CF130" s="241"/>
      <c r="CG130" s="45">
        <f>CG139/CG148*100</f>
        <v>74.165202108963086</v>
      </c>
      <c r="CH130" s="45" t="e">
        <f>CH139/CH148*100</f>
        <v>#DIV/0!</v>
      </c>
      <c r="CJ130" s="45">
        <f>CJ139/CJ148*100</f>
        <v>70.883882149046798</v>
      </c>
      <c r="CK130" s="45" t="e">
        <f>CK139/CK148*100</f>
        <v>#DIV/0!</v>
      </c>
      <c r="CL130" s="241"/>
      <c r="CM130" s="45" t="e">
        <f>CM139/CM148*100</f>
        <v>#DIV/0!</v>
      </c>
      <c r="CN130" s="45" t="e">
        <f>CN139/CN148*100</f>
        <v>#DIV/0!</v>
      </c>
      <c r="CO130" s="241"/>
      <c r="CP130" s="45" t="e">
        <f>CP139/CP148*100</f>
        <v>#DIV/0!</v>
      </c>
      <c r="CQ130" s="45" t="e">
        <f>CQ139/CQ148*100</f>
        <v>#DIV/0!</v>
      </c>
      <c r="CS130" s="45">
        <f>CS139/CS148*100</f>
        <v>64.433357091945837</v>
      </c>
      <c r="CT130" s="45" t="e">
        <f>CT139/CT148*100</f>
        <v>#DIV/0!</v>
      </c>
      <c r="CU130" s="241"/>
      <c r="CV130" s="45">
        <f>CV139/CV148*100</f>
        <v>76.293103448275872</v>
      </c>
      <c r="CW130" s="45" t="e">
        <f>CW139/CW148*100</f>
        <v>#DIV/0!</v>
      </c>
      <c r="CX130" s="241"/>
      <c r="CY130" s="45">
        <f>CY139/CY148*100</f>
        <v>78.80928355196771</v>
      </c>
      <c r="CZ130" s="45" t="e">
        <f>CZ139/CZ148*100</f>
        <v>#DIV/0!</v>
      </c>
      <c r="DB130" s="45">
        <f>DB139/DB148*100</f>
        <v>64.805194805194816</v>
      </c>
      <c r="DC130" s="45" t="e">
        <f>DC139/DC148*100</f>
        <v>#DIV/0!</v>
      </c>
      <c r="DD130" s="241"/>
      <c r="DE130" s="45" t="e">
        <f>DE139/DE148*100</f>
        <v>#DIV/0!</v>
      </c>
      <c r="DF130" s="45" t="e">
        <f>DF139/DF148*100</f>
        <v>#DIV/0!</v>
      </c>
    </row>
    <row r="131" spans="1:110" x14ac:dyDescent="0.25">
      <c r="A131" s="55"/>
      <c r="B131" s="46" t="s">
        <v>1184</v>
      </c>
      <c r="C131" s="42"/>
      <c r="D131" s="42" t="s">
        <v>8</v>
      </c>
      <c r="E131" s="45">
        <v>69.44</v>
      </c>
      <c r="F131" s="45">
        <f>F140/F149*100</f>
        <v>58.208955223880601</v>
      </c>
      <c r="G131" s="45">
        <v>63.79</v>
      </c>
      <c r="H131" s="45">
        <v>88.41</v>
      </c>
      <c r="I131" s="45">
        <f>I140/$I$149*100</f>
        <v>83.486238532110093</v>
      </c>
      <c r="J131" s="45">
        <f>J140/$J$149*100</f>
        <v>72.470588235294116</v>
      </c>
      <c r="K131" s="45">
        <f>K140/$K$149*100</f>
        <v>82.655981682884942</v>
      </c>
      <c r="L131" s="45" t="e">
        <f>L140/$L$149*100</f>
        <v>#DIV/0!</v>
      </c>
      <c r="N131" s="45">
        <f t="shared" si="346"/>
        <v>82.655981682884942</v>
      </c>
      <c r="O131" s="45" t="e">
        <f t="shared" si="346"/>
        <v>#DIV/0!</v>
      </c>
      <c r="P131" s="45" t="e">
        <f t="shared" si="346"/>
        <v>#DIV/0!</v>
      </c>
      <c r="Q131" s="45" t="e">
        <f t="shared" si="346"/>
        <v>#DIV/0!</v>
      </c>
      <c r="S131" s="45" t="e">
        <f>S140/S149*100</f>
        <v>#DIV/0!</v>
      </c>
      <c r="T131" s="45" t="e">
        <f>T140/T149*100</f>
        <v>#DIV/0!</v>
      </c>
      <c r="V131" s="45" t="e">
        <f>V140/V149*100</f>
        <v>#DIV/0!</v>
      </c>
      <c r="W131" s="45" t="e">
        <f>W140/W149*100</f>
        <v>#DIV/0!</v>
      </c>
      <c r="Y131" s="45" t="e">
        <f>Y140/Y149*100</f>
        <v>#DIV/0!</v>
      </c>
      <c r="Z131" s="45" t="e">
        <f>Z140/Z149*100</f>
        <v>#DIV/0!</v>
      </c>
      <c r="AA131" s="241"/>
      <c r="AB131" s="45" t="e">
        <f>AB140/AB149*100</f>
        <v>#DIV/0!</v>
      </c>
      <c r="AC131" s="45" t="e">
        <f>AC140/AC149*100</f>
        <v>#DIV/0!</v>
      </c>
      <c r="AD131" s="241"/>
      <c r="AE131" s="45" t="e">
        <f>AE140/AE149*100</f>
        <v>#DIV/0!</v>
      </c>
      <c r="AF131" s="45" t="e">
        <f>AF140/AF149*100</f>
        <v>#DIV/0!</v>
      </c>
      <c r="AH131" s="45" t="e">
        <f>AH140/AH149*100</f>
        <v>#DIV/0!</v>
      </c>
      <c r="AI131" s="45" t="e">
        <f>AI140/AI149*100</f>
        <v>#DIV/0!</v>
      </c>
      <c r="AJ131" s="241"/>
      <c r="AK131" s="45" t="e">
        <f>AK140/AK149*100</f>
        <v>#DIV/0!</v>
      </c>
      <c r="AL131" s="45" t="e">
        <f>AL140/AL149*100</f>
        <v>#DIV/0!</v>
      </c>
      <c r="AM131" s="241"/>
      <c r="AN131" s="45" t="e">
        <f>AN140/AN149*100</f>
        <v>#DIV/0!</v>
      </c>
      <c r="AO131" s="45" t="e">
        <f>AO140/AO149*100</f>
        <v>#DIV/0!</v>
      </c>
      <c r="AQ131" s="45" t="e">
        <f>AQ140/AQ149*100</f>
        <v>#DIV/0!</v>
      </c>
      <c r="AR131" s="45" t="e">
        <f>AR140/AR149*100</f>
        <v>#DIV/0!</v>
      </c>
      <c r="AS131" s="241"/>
      <c r="AT131" s="45" t="e">
        <f>AT140/AT149*100</f>
        <v>#DIV/0!</v>
      </c>
      <c r="AU131" s="45" t="e">
        <f>AU140/AU149*100</f>
        <v>#DIV/0!</v>
      </c>
      <c r="AW131" s="45" t="e">
        <f>AW140/AW149*100</f>
        <v>#DIV/0!</v>
      </c>
      <c r="AX131" s="45" t="e">
        <f>AX140/AX149*100</f>
        <v>#DIV/0!</v>
      </c>
      <c r="AZ131" s="45" t="e">
        <f>AZ140/AZ149*100</f>
        <v>#DIV/0!</v>
      </c>
      <c r="BA131" s="45" t="e">
        <f>BA140/BA149*100</f>
        <v>#DIV/0!</v>
      </c>
      <c r="BB131" s="241"/>
      <c r="BC131" s="45" t="e">
        <f>BC140/BC149*100</f>
        <v>#DIV/0!</v>
      </c>
      <c r="BD131" s="45" t="e">
        <f>BD140/BD149*100</f>
        <v>#DIV/0!</v>
      </c>
      <c r="BE131" s="241"/>
      <c r="BF131" s="45" t="e">
        <f>BF140/BF149*100</f>
        <v>#DIV/0!</v>
      </c>
      <c r="BG131" s="45" t="e">
        <f>BG140/BG149*100</f>
        <v>#DIV/0!</v>
      </c>
      <c r="BI131" s="45" t="e">
        <f>BI140/BI149*100</f>
        <v>#DIV/0!</v>
      </c>
      <c r="BJ131" s="45" t="e">
        <f>BJ140/BJ149*100</f>
        <v>#DIV/0!</v>
      </c>
      <c r="BK131" s="241"/>
      <c r="BL131" s="45" t="e">
        <f>BL140/BL149*100</f>
        <v>#DIV/0!</v>
      </c>
      <c r="BM131" s="45" t="e">
        <f>BM140/BM149*100</f>
        <v>#DIV/0!</v>
      </c>
      <c r="BN131" s="241"/>
      <c r="BO131" s="45" t="e">
        <f>BO140/BO149*100</f>
        <v>#DIV/0!</v>
      </c>
      <c r="BP131" s="45" t="e">
        <f>BP140/BP149*100</f>
        <v>#DIV/0!</v>
      </c>
      <c r="BR131" s="45" t="e">
        <f>BR140/BR149*100</f>
        <v>#DIV/0!</v>
      </c>
      <c r="BS131" s="45" t="e">
        <f>BS140/BS149*100</f>
        <v>#DIV/0!</v>
      </c>
      <c r="BT131" s="241"/>
      <c r="BU131" s="45" t="e">
        <f>BU140/BU149*100</f>
        <v>#DIV/0!</v>
      </c>
      <c r="BV131" s="45" t="e">
        <f>BV140/BV149*100</f>
        <v>#DIV/0!</v>
      </c>
      <c r="BW131" s="241"/>
      <c r="BX131" s="45" t="e">
        <f>BX140/BX149*100</f>
        <v>#DIV/0!</v>
      </c>
      <c r="BY131" s="45" t="e">
        <f>BY140/BY149*100</f>
        <v>#DIV/0!</v>
      </c>
      <c r="CA131" s="45" t="e">
        <f>CA140/CA149*100</f>
        <v>#DIV/0!</v>
      </c>
      <c r="CB131" s="45" t="e">
        <f>CB140/CB149*100</f>
        <v>#DIV/0!</v>
      </c>
      <c r="CC131" s="241"/>
      <c r="CD131" s="45" t="e">
        <f>CD140/CD149*100</f>
        <v>#DIV/0!</v>
      </c>
      <c r="CE131" s="45" t="e">
        <f>CE140/CE149*100</f>
        <v>#DIV/0!</v>
      </c>
      <c r="CF131" s="241"/>
      <c r="CG131" s="45" t="e">
        <f>CG140/CG149*100</f>
        <v>#DIV/0!</v>
      </c>
      <c r="CH131" s="45" t="e">
        <f>CH140/CH149*100</f>
        <v>#DIV/0!</v>
      </c>
      <c r="CJ131" s="45" t="e">
        <f>CJ140/CJ149*100</f>
        <v>#DIV/0!</v>
      </c>
      <c r="CK131" s="45" t="e">
        <f>CK140/CK149*100</f>
        <v>#DIV/0!</v>
      </c>
      <c r="CL131" s="241"/>
      <c r="CM131" s="45" t="e">
        <f>CM140/CM149*100</f>
        <v>#DIV/0!</v>
      </c>
      <c r="CN131" s="45" t="e">
        <f>CN140/CN149*100</f>
        <v>#DIV/0!</v>
      </c>
      <c r="CO131" s="241"/>
      <c r="CP131" s="45" t="e">
        <f>CP140/CP149*100</f>
        <v>#DIV/0!</v>
      </c>
      <c r="CQ131" s="45" t="e">
        <f>CQ140/CQ149*100</f>
        <v>#DIV/0!</v>
      </c>
      <c r="CS131" s="45" t="e">
        <f>CS140/CS149*100</f>
        <v>#DIV/0!</v>
      </c>
      <c r="CT131" s="45" t="e">
        <f>CT140/CT149*100</f>
        <v>#DIV/0!</v>
      </c>
      <c r="CU131" s="241"/>
      <c r="CV131" s="45" t="e">
        <f>CV140/CV149*100</f>
        <v>#DIV/0!</v>
      </c>
      <c r="CW131" s="45" t="e">
        <f>CW140/CW149*100</f>
        <v>#DIV/0!</v>
      </c>
      <c r="CX131" s="241"/>
      <c r="CY131" s="45" t="e">
        <f>CY140/CY149*100</f>
        <v>#DIV/0!</v>
      </c>
      <c r="CZ131" s="45" t="e">
        <f>CZ140/CZ149*100</f>
        <v>#DIV/0!</v>
      </c>
      <c r="DB131" s="45" t="e">
        <f>DB140/DB149*100</f>
        <v>#DIV/0!</v>
      </c>
      <c r="DC131" s="45" t="e">
        <f>DC140/DC149*100</f>
        <v>#DIV/0!</v>
      </c>
      <c r="DD131" s="241"/>
      <c r="DE131" s="45">
        <f>DE140/DE149*100</f>
        <v>82.655981682884942</v>
      </c>
      <c r="DF131" s="45" t="e">
        <f>DF140/DF149*100</f>
        <v>#DIV/0!</v>
      </c>
    </row>
    <row r="132" spans="1:110" x14ac:dyDescent="0.25">
      <c r="A132" s="55"/>
      <c r="B132" s="43" t="s">
        <v>614</v>
      </c>
      <c r="C132" s="42"/>
      <c r="D132" s="42"/>
      <c r="E132" s="50"/>
      <c r="F132" s="50"/>
      <c r="G132" s="50"/>
      <c r="H132" s="50"/>
      <c r="I132" s="50"/>
      <c r="J132" s="50"/>
      <c r="K132" s="50"/>
      <c r="L132" s="50"/>
      <c r="N132" s="50"/>
      <c r="O132" s="50"/>
      <c r="P132" s="50"/>
      <c r="Q132" s="50"/>
      <c r="S132" s="50"/>
      <c r="T132" s="50"/>
      <c r="V132" s="50"/>
      <c r="W132" s="50"/>
      <c r="Y132" s="50"/>
      <c r="Z132" s="50"/>
      <c r="AA132" s="241"/>
      <c r="AB132" s="50"/>
      <c r="AC132" s="50"/>
      <c r="AD132" s="241"/>
      <c r="AE132" s="50"/>
      <c r="AF132" s="50"/>
      <c r="AH132" s="50"/>
      <c r="AI132" s="50"/>
      <c r="AJ132" s="241"/>
      <c r="AK132" s="50"/>
      <c r="AL132" s="50"/>
      <c r="AM132" s="241"/>
      <c r="AN132" s="50"/>
      <c r="AO132" s="50"/>
      <c r="AQ132" s="50"/>
      <c r="AR132" s="50"/>
      <c r="AS132" s="241"/>
      <c r="AT132" s="50"/>
      <c r="AU132" s="50"/>
      <c r="AW132" s="50"/>
      <c r="AX132" s="50"/>
      <c r="AZ132" s="50"/>
      <c r="BA132" s="50"/>
      <c r="BB132" s="241"/>
      <c r="BC132" s="50"/>
      <c r="BD132" s="50"/>
      <c r="BE132" s="241"/>
      <c r="BF132" s="50"/>
      <c r="BG132" s="50"/>
      <c r="BI132" s="50"/>
      <c r="BJ132" s="50"/>
      <c r="BK132" s="241"/>
      <c r="BL132" s="50"/>
      <c r="BM132" s="50"/>
      <c r="BN132" s="241"/>
      <c r="BO132" s="50"/>
      <c r="BP132" s="50"/>
      <c r="BR132" s="50"/>
      <c r="BS132" s="50"/>
      <c r="BT132" s="241"/>
      <c r="BU132" s="50"/>
      <c r="BV132" s="50"/>
      <c r="BW132" s="241"/>
      <c r="BX132" s="50"/>
      <c r="BY132" s="50"/>
      <c r="CA132" s="50"/>
      <c r="CB132" s="50"/>
      <c r="CC132" s="241"/>
      <c r="CD132" s="50"/>
      <c r="CE132" s="50"/>
      <c r="CF132" s="241"/>
      <c r="CG132" s="50"/>
      <c r="CH132" s="50"/>
      <c r="CJ132" s="50"/>
      <c r="CK132" s="50"/>
      <c r="CL132" s="241"/>
      <c r="CM132" s="50"/>
      <c r="CN132" s="50"/>
      <c r="CO132" s="241"/>
      <c r="CP132" s="50"/>
      <c r="CQ132" s="50"/>
      <c r="CS132" s="50"/>
      <c r="CT132" s="50"/>
      <c r="CU132" s="241"/>
      <c r="CV132" s="50"/>
      <c r="CW132" s="50"/>
      <c r="CX132" s="241"/>
      <c r="CY132" s="50"/>
      <c r="CZ132" s="50"/>
      <c r="DB132" s="50"/>
      <c r="DC132" s="50"/>
      <c r="DD132" s="241"/>
      <c r="DE132" s="50"/>
      <c r="DF132" s="50"/>
    </row>
    <row r="133" spans="1:110" x14ac:dyDescent="0.25">
      <c r="A133" s="55"/>
      <c r="B133" s="46" t="s">
        <v>1182</v>
      </c>
      <c r="C133" s="42"/>
      <c r="D133" s="42" t="s">
        <v>8</v>
      </c>
      <c r="E133" s="45">
        <v>2.42</v>
      </c>
      <c r="F133" s="45">
        <f>F142/F148*100</f>
        <v>2.266118520004011</v>
      </c>
      <c r="G133" s="45">
        <v>2.5</v>
      </c>
      <c r="H133" s="45">
        <v>2.4300000000000002</v>
      </c>
      <c r="I133" s="45">
        <f>I142/$I$148*100</f>
        <v>1.8180092087150521</v>
      </c>
      <c r="J133" s="45">
        <f>J142/$J$148*100</f>
        <v>2.4139844617092123</v>
      </c>
      <c r="K133" s="45">
        <f>K142/$K$148*100</f>
        <v>2.3326001329991306</v>
      </c>
      <c r="L133" s="45" t="e">
        <f>L142/$L$148*100</f>
        <v>#DIV/0!</v>
      </c>
      <c r="N133" s="45">
        <f t="shared" ref="N133:Q134" si="347">N142/N148*100</f>
        <v>2.3326001329991306</v>
      </c>
      <c r="O133" s="45" t="e">
        <f t="shared" si="347"/>
        <v>#DIV/0!</v>
      </c>
      <c r="P133" s="45">
        <f t="shared" si="347"/>
        <v>0</v>
      </c>
      <c r="Q133" s="45" t="e">
        <f t="shared" si="347"/>
        <v>#DIV/0!</v>
      </c>
      <c r="S133" s="45">
        <f>S142/S148*100</f>
        <v>0</v>
      </c>
      <c r="T133" s="45" t="e">
        <f>T142/T148*100</f>
        <v>#DIV/0!</v>
      </c>
      <c r="V133" s="45">
        <f>V142/V148*100</f>
        <v>0</v>
      </c>
      <c r="W133" s="45" t="e">
        <f>W142/W148*100</f>
        <v>#DIV/0!</v>
      </c>
      <c r="Y133" s="45">
        <f>Y142/Y148*100</f>
        <v>0</v>
      </c>
      <c r="Z133" s="45" t="e">
        <f>Z142/Z148*100</f>
        <v>#DIV/0!</v>
      </c>
      <c r="AA133" s="241"/>
      <c r="AB133" s="45">
        <f>AB142/AB148*100</f>
        <v>0</v>
      </c>
      <c r="AC133" s="45" t="e">
        <f>AC142/AC148*100</f>
        <v>#DIV/0!</v>
      </c>
      <c r="AD133" s="241"/>
      <c r="AE133" s="45">
        <f>AE142/AE148*100</f>
        <v>0</v>
      </c>
      <c r="AF133" s="45" t="e">
        <f>AF142/AF148*100</f>
        <v>#DIV/0!</v>
      </c>
      <c r="AH133" s="45">
        <f>AH142/AH148*100</f>
        <v>0</v>
      </c>
      <c r="AI133" s="45" t="e">
        <f>AI142/AI148*100</f>
        <v>#DIV/0!</v>
      </c>
      <c r="AJ133" s="241"/>
      <c r="AK133" s="45">
        <f>AK142/AK148*100</f>
        <v>1.3445378151260505</v>
      </c>
      <c r="AL133" s="45" t="e">
        <f>AL142/AL148*100</f>
        <v>#DIV/0!</v>
      </c>
      <c r="AM133" s="241"/>
      <c r="AN133" s="45">
        <f>AN142/AN148*100</f>
        <v>0</v>
      </c>
      <c r="AO133" s="45" t="e">
        <f>AO142/AO148*100</f>
        <v>#DIV/0!</v>
      </c>
      <c r="AQ133" s="45">
        <f>AQ142/AQ148*100</f>
        <v>0</v>
      </c>
      <c r="AR133" s="45" t="e">
        <f>AR142/AR148*100</f>
        <v>#DIV/0!</v>
      </c>
      <c r="AS133" s="241"/>
      <c r="AT133" s="45">
        <f>AT142/AT148*100</f>
        <v>0</v>
      </c>
      <c r="AU133" s="45" t="e">
        <f>AU142/AU148*100</f>
        <v>#DIV/0!</v>
      </c>
      <c r="AW133" s="45">
        <f>AW142/AW148*100</f>
        <v>0</v>
      </c>
      <c r="AX133" s="45" t="e">
        <f>AX142/AX148*100</f>
        <v>#DIV/0!</v>
      </c>
      <c r="AZ133" s="45">
        <f>AZ142/AZ148*100</f>
        <v>0</v>
      </c>
      <c r="BA133" s="45" t="e">
        <f>BA142/BA148*100</f>
        <v>#DIV/0!</v>
      </c>
      <c r="BB133" s="241"/>
      <c r="BC133" s="45">
        <f>BC142/BC148*100</f>
        <v>0</v>
      </c>
      <c r="BD133" s="45" t="e">
        <f>BD142/BD148*100</f>
        <v>#DIV/0!</v>
      </c>
      <c r="BE133" s="241"/>
      <c r="BF133" s="45">
        <f>BF142/BF148*100</f>
        <v>0</v>
      </c>
      <c r="BG133" s="45" t="e">
        <f>BG142/BG148*100</f>
        <v>#DIV/0!</v>
      </c>
      <c r="BI133" s="45">
        <f>BI142/BI148*100</f>
        <v>0</v>
      </c>
      <c r="BJ133" s="45" t="e">
        <f>BJ142/BJ148*100</f>
        <v>#DIV/0!</v>
      </c>
      <c r="BK133" s="241"/>
      <c r="BL133" s="45">
        <f>BL142/BL148*100</f>
        <v>0</v>
      </c>
      <c r="BM133" s="45" t="e">
        <f>BM142/BM148*100</f>
        <v>#DIV/0!</v>
      </c>
      <c r="BN133" s="241"/>
      <c r="BO133" s="45">
        <f>BO142/BO148*100</f>
        <v>0</v>
      </c>
      <c r="BP133" s="45" t="e">
        <f>BP142/BP148*100</f>
        <v>#DIV/0!</v>
      </c>
      <c r="BR133" s="45">
        <f>BR142/BR148*100</f>
        <v>0</v>
      </c>
      <c r="BS133" s="45" t="e">
        <f>BS142/BS148*100</f>
        <v>#DIV/0!</v>
      </c>
      <c r="BT133" s="241"/>
      <c r="BU133" s="45">
        <f>BU142/BU148*100</f>
        <v>0</v>
      </c>
      <c r="BV133" s="45" t="e">
        <f>BV142/BV148*100</f>
        <v>#DIV/0!</v>
      </c>
      <c r="BW133" s="241"/>
      <c r="BX133" s="45">
        <f>BX142/BX148*100</f>
        <v>14.5985401459854</v>
      </c>
      <c r="BY133" s="45" t="e">
        <f>BY142/BY148*100</f>
        <v>#DIV/0!</v>
      </c>
      <c r="CA133" s="45">
        <f>CA142/CA148*100</f>
        <v>6.4917127071823204</v>
      </c>
      <c r="CB133" s="45" t="e">
        <f>CB142/CB148*100</f>
        <v>#DIV/0!</v>
      </c>
      <c r="CC133" s="241"/>
      <c r="CD133" s="45">
        <f>CD142/CD148*100</f>
        <v>15</v>
      </c>
      <c r="CE133" s="45" t="e">
        <f>CE142/CE148*100</f>
        <v>#DIV/0!</v>
      </c>
      <c r="CF133" s="241"/>
      <c r="CG133" s="45">
        <f>CG142/CG148*100</f>
        <v>21.265377855887522</v>
      </c>
      <c r="CH133" s="45" t="e">
        <f>CH142/CH148*100</f>
        <v>#DIV/0!</v>
      </c>
      <c r="CJ133" s="45">
        <f>CJ142/CJ148*100</f>
        <v>29.116117850953206</v>
      </c>
      <c r="CK133" s="45" t="e">
        <f>CK142/CK148*100</f>
        <v>#DIV/0!</v>
      </c>
      <c r="CL133" s="241"/>
      <c r="CM133" s="45" t="e">
        <f>CM142/CM148*100</f>
        <v>#DIV/0!</v>
      </c>
      <c r="CN133" s="45" t="e">
        <f>CN142/CN148*100</f>
        <v>#DIV/0!</v>
      </c>
      <c r="CO133" s="241"/>
      <c r="CP133" s="45" t="e">
        <f>CP142/CP148*100</f>
        <v>#DIV/0!</v>
      </c>
      <c r="CQ133" s="45" t="e">
        <f>CQ142/CQ148*100</f>
        <v>#DIV/0!</v>
      </c>
      <c r="CS133" s="45">
        <f>CS142/CS148*100</f>
        <v>0</v>
      </c>
      <c r="CT133" s="45" t="e">
        <f>CT142/CT148*100</f>
        <v>#DIV/0!</v>
      </c>
      <c r="CU133" s="241"/>
      <c r="CV133" s="45">
        <f>CV142/CV148*100</f>
        <v>0</v>
      </c>
      <c r="CW133" s="45" t="e">
        <f>CW142/CW148*100</f>
        <v>#DIV/0!</v>
      </c>
      <c r="CX133" s="241"/>
      <c r="CY133" s="45">
        <f>CY142/CY148*100</f>
        <v>0</v>
      </c>
      <c r="CZ133" s="45" t="e">
        <f>CZ142/CZ148*100</f>
        <v>#DIV/0!</v>
      </c>
      <c r="DB133" s="45">
        <f>DB142/DB148*100</f>
        <v>0</v>
      </c>
      <c r="DC133" s="45" t="e">
        <f>DC142/DC148*100</f>
        <v>#DIV/0!</v>
      </c>
      <c r="DD133" s="241"/>
      <c r="DE133" s="45" t="e">
        <f>DE142/DE148*100</f>
        <v>#DIV/0!</v>
      </c>
      <c r="DF133" s="45" t="e">
        <f>DF142/DF148*100</f>
        <v>#DIV/0!</v>
      </c>
    </row>
    <row r="134" spans="1:110" x14ac:dyDescent="0.25">
      <c r="A134" s="55"/>
      <c r="B134" s="46" t="s">
        <v>1184</v>
      </c>
      <c r="C134" s="42"/>
      <c r="D134" s="42" t="s">
        <v>8</v>
      </c>
      <c r="E134" s="45">
        <v>0</v>
      </c>
      <c r="F134" s="45">
        <f>F143/F149*100</f>
        <v>0</v>
      </c>
      <c r="G134" s="45">
        <v>0</v>
      </c>
      <c r="H134" s="45">
        <v>0</v>
      </c>
      <c r="I134" s="45">
        <f>I143/$I$149*100</f>
        <v>12.450851900393186</v>
      </c>
      <c r="J134" s="45">
        <f>J143/$J$149*100</f>
        <v>3.215686274509804</v>
      </c>
      <c r="K134" s="45">
        <f>K143/$K$149*100</f>
        <v>4.4075558099599315</v>
      </c>
      <c r="L134" s="45" t="e">
        <f>L143/$L$149*100</f>
        <v>#DIV/0!</v>
      </c>
      <c r="N134" s="45">
        <f t="shared" si="347"/>
        <v>4.4075558099599315</v>
      </c>
      <c r="O134" s="45" t="e">
        <f t="shared" si="347"/>
        <v>#DIV/0!</v>
      </c>
      <c r="P134" s="45" t="e">
        <f t="shared" si="347"/>
        <v>#DIV/0!</v>
      </c>
      <c r="Q134" s="45" t="e">
        <f t="shared" si="347"/>
        <v>#DIV/0!</v>
      </c>
      <c r="S134" s="45" t="e">
        <f>S143/S149*100</f>
        <v>#DIV/0!</v>
      </c>
      <c r="T134" s="45" t="e">
        <f>T143/T149*100</f>
        <v>#DIV/0!</v>
      </c>
      <c r="V134" s="45" t="e">
        <f>V143/V149*100</f>
        <v>#DIV/0!</v>
      </c>
      <c r="W134" s="45" t="e">
        <f>W143/W149*100</f>
        <v>#DIV/0!</v>
      </c>
      <c r="Y134" s="45" t="e">
        <f>Y143/Y149*100</f>
        <v>#DIV/0!</v>
      </c>
      <c r="Z134" s="45" t="e">
        <f>Z143/Z149*100</f>
        <v>#DIV/0!</v>
      </c>
      <c r="AA134" s="241"/>
      <c r="AB134" s="45" t="e">
        <f>AB143/AB149*100</f>
        <v>#DIV/0!</v>
      </c>
      <c r="AC134" s="45" t="e">
        <f>AC143/AC149*100</f>
        <v>#DIV/0!</v>
      </c>
      <c r="AD134" s="241"/>
      <c r="AE134" s="45" t="e">
        <f>AE143/AE149*100</f>
        <v>#DIV/0!</v>
      </c>
      <c r="AF134" s="45" t="e">
        <f>AF143/AF149*100</f>
        <v>#DIV/0!</v>
      </c>
      <c r="AH134" s="45" t="e">
        <f>AH143/AH149*100</f>
        <v>#DIV/0!</v>
      </c>
      <c r="AI134" s="45" t="e">
        <f>AI143/AI149*100</f>
        <v>#DIV/0!</v>
      </c>
      <c r="AJ134" s="241"/>
      <c r="AK134" s="45" t="e">
        <f>AK143/AK149*100</f>
        <v>#DIV/0!</v>
      </c>
      <c r="AL134" s="45" t="e">
        <f>AL143/AL149*100</f>
        <v>#DIV/0!</v>
      </c>
      <c r="AM134" s="241"/>
      <c r="AN134" s="45" t="e">
        <f>AN143/AN149*100</f>
        <v>#DIV/0!</v>
      </c>
      <c r="AO134" s="45" t="e">
        <f>AO143/AO149*100</f>
        <v>#DIV/0!</v>
      </c>
      <c r="AQ134" s="45" t="e">
        <f>AQ143/AQ149*100</f>
        <v>#DIV/0!</v>
      </c>
      <c r="AR134" s="45" t="e">
        <f>AR143/AR149*100</f>
        <v>#DIV/0!</v>
      </c>
      <c r="AS134" s="241"/>
      <c r="AT134" s="45" t="e">
        <f>AT143/AT149*100</f>
        <v>#DIV/0!</v>
      </c>
      <c r="AU134" s="45" t="e">
        <f>AU143/AU149*100</f>
        <v>#DIV/0!</v>
      </c>
      <c r="AW134" s="45" t="e">
        <f>AW143/AW149*100</f>
        <v>#DIV/0!</v>
      </c>
      <c r="AX134" s="45" t="e">
        <f>AX143/AX149*100</f>
        <v>#DIV/0!</v>
      </c>
      <c r="AZ134" s="45" t="e">
        <f>AZ143/AZ149*100</f>
        <v>#DIV/0!</v>
      </c>
      <c r="BA134" s="45" t="e">
        <f>BA143/BA149*100</f>
        <v>#DIV/0!</v>
      </c>
      <c r="BB134" s="241"/>
      <c r="BC134" s="45" t="e">
        <f>BC143/BC149*100</f>
        <v>#DIV/0!</v>
      </c>
      <c r="BD134" s="45" t="e">
        <f>BD143/BD149*100</f>
        <v>#DIV/0!</v>
      </c>
      <c r="BE134" s="241"/>
      <c r="BF134" s="45" t="e">
        <f>BF143/BF149*100</f>
        <v>#DIV/0!</v>
      </c>
      <c r="BG134" s="45" t="e">
        <f>BG143/BG149*100</f>
        <v>#DIV/0!</v>
      </c>
      <c r="BI134" s="45" t="e">
        <f>BI143/BI149*100</f>
        <v>#DIV/0!</v>
      </c>
      <c r="BJ134" s="45" t="e">
        <f>BJ143/BJ149*100</f>
        <v>#DIV/0!</v>
      </c>
      <c r="BK134" s="241"/>
      <c r="BL134" s="45" t="e">
        <f>BL143/BL149*100</f>
        <v>#DIV/0!</v>
      </c>
      <c r="BM134" s="45" t="e">
        <f>BM143/BM149*100</f>
        <v>#DIV/0!</v>
      </c>
      <c r="BN134" s="241"/>
      <c r="BO134" s="45" t="e">
        <f>BO143/BO149*100</f>
        <v>#DIV/0!</v>
      </c>
      <c r="BP134" s="45" t="e">
        <f>BP143/BP149*100</f>
        <v>#DIV/0!</v>
      </c>
      <c r="BR134" s="45" t="e">
        <f>BR143/BR149*100</f>
        <v>#DIV/0!</v>
      </c>
      <c r="BS134" s="45" t="e">
        <f>BS143/BS149*100</f>
        <v>#DIV/0!</v>
      </c>
      <c r="BT134" s="241"/>
      <c r="BU134" s="45" t="e">
        <f>BU143/BU149*100</f>
        <v>#DIV/0!</v>
      </c>
      <c r="BV134" s="45" t="e">
        <f>BV143/BV149*100</f>
        <v>#DIV/0!</v>
      </c>
      <c r="BW134" s="241"/>
      <c r="BX134" s="45" t="e">
        <f>BX143/BX149*100</f>
        <v>#DIV/0!</v>
      </c>
      <c r="BY134" s="45" t="e">
        <f>BY143/BY149*100</f>
        <v>#DIV/0!</v>
      </c>
      <c r="CA134" s="45" t="e">
        <f>CA143/CA149*100</f>
        <v>#DIV/0!</v>
      </c>
      <c r="CB134" s="45" t="e">
        <f>CB143/CB149*100</f>
        <v>#DIV/0!</v>
      </c>
      <c r="CC134" s="241"/>
      <c r="CD134" s="45" t="e">
        <f>CD143/CD149*100</f>
        <v>#DIV/0!</v>
      </c>
      <c r="CE134" s="45" t="e">
        <f>CE143/CE149*100</f>
        <v>#DIV/0!</v>
      </c>
      <c r="CF134" s="241"/>
      <c r="CG134" s="45" t="e">
        <f>CG143/CG149*100</f>
        <v>#DIV/0!</v>
      </c>
      <c r="CH134" s="45" t="e">
        <f>CH143/CH149*100</f>
        <v>#DIV/0!</v>
      </c>
      <c r="CJ134" s="45" t="e">
        <f>CJ143/CJ149*100</f>
        <v>#DIV/0!</v>
      </c>
      <c r="CK134" s="45" t="e">
        <f>CK143/CK149*100</f>
        <v>#DIV/0!</v>
      </c>
      <c r="CL134" s="241"/>
      <c r="CM134" s="45" t="e">
        <f>CM143/CM149*100</f>
        <v>#DIV/0!</v>
      </c>
      <c r="CN134" s="45" t="e">
        <f>CN143/CN149*100</f>
        <v>#DIV/0!</v>
      </c>
      <c r="CO134" s="241"/>
      <c r="CP134" s="45" t="e">
        <f>CP143/CP149*100</f>
        <v>#DIV/0!</v>
      </c>
      <c r="CQ134" s="45" t="e">
        <f>CQ143/CQ149*100</f>
        <v>#DIV/0!</v>
      </c>
      <c r="CS134" s="45" t="e">
        <f>CS143/CS149*100</f>
        <v>#DIV/0!</v>
      </c>
      <c r="CT134" s="45" t="e">
        <f>CT143/CT149*100</f>
        <v>#DIV/0!</v>
      </c>
      <c r="CU134" s="241"/>
      <c r="CV134" s="45" t="e">
        <f>CV143/CV149*100</f>
        <v>#DIV/0!</v>
      </c>
      <c r="CW134" s="45" t="e">
        <f>CW143/CW149*100</f>
        <v>#DIV/0!</v>
      </c>
      <c r="CX134" s="241"/>
      <c r="CY134" s="45" t="e">
        <f>CY143/CY149*100</f>
        <v>#DIV/0!</v>
      </c>
      <c r="CZ134" s="45" t="e">
        <f>CZ143/CZ149*100</f>
        <v>#DIV/0!</v>
      </c>
      <c r="DB134" s="45" t="e">
        <f>DB143/DB149*100</f>
        <v>#DIV/0!</v>
      </c>
      <c r="DC134" s="45" t="e">
        <f>DC143/DC149*100</f>
        <v>#DIV/0!</v>
      </c>
      <c r="DD134" s="241"/>
      <c r="DE134" s="45">
        <f>DE143/DE149*100</f>
        <v>4.4075558099599315</v>
      </c>
      <c r="DF134" s="45" t="e">
        <f>DF143/DF149*100</f>
        <v>#DIV/0!</v>
      </c>
    </row>
    <row r="135" spans="1:110" x14ac:dyDescent="0.25">
      <c r="A135" s="55"/>
      <c r="B135" s="43" t="s">
        <v>371</v>
      </c>
      <c r="C135" s="42"/>
      <c r="D135" s="42"/>
      <c r="E135" s="50"/>
      <c r="F135" s="50"/>
      <c r="G135" s="50"/>
      <c r="H135" s="50"/>
      <c r="I135" s="50"/>
      <c r="J135" s="50"/>
      <c r="K135" s="50"/>
      <c r="L135" s="50"/>
      <c r="N135" s="50"/>
      <c r="O135" s="50"/>
      <c r="P135" s="50"/>
      <c r="Q135" s="50"/>
      <c r="S135" s="50"/>
      <c r="T135" s="50"/>
      <c r="V135" s="50"/>
      <c r="W135" s="50"/>
      <c r="Y135" s="50"/>
      <c r="Z135" s="50"/>
      <c r="AA135" s="241"/>
      <c r="AB135" s="50"/>
      <c r="AC135" s="50"/>
      <c r="AD135" s="241"/>
      <c r="AE135" s="50"/>
      <c r="AF135" s="50"/>
      <c r="AH135" s="50"/>
      <c r="AI135" s="50"/>
      <c r="AJ135" s="241"/>
      <c r="AK135" s="50"/>
      <c r="AL135" s="50"/>
      <c r="AM135" s="241"/>
      <c r="AN135" s="50"/>
      <c r="AO135" s="50"/>
      <c r="AQ135" s="50"/>
      <c r="AR135" s="50"/>
      <c r="AS135" s="241"/>
      <c r="AT135" s="50"/>
      <c r="AU135" s="50"/>
      <c r="AW135" s="50"/>
      <c r="AX135" s="50"/>
      <c r="AZ135" s="50"/>
      <c r="BA135" s="50"/>
      <c r="BB135" s="241"/>
      <c r="BC135" s="50"/>
      <c r="BD135" s="50"/>
      <c r="BE135" s="241"/>
      <c r="BF135" s="50"/>
      <c r="BG135" s="50"/>
      <c r="BI135" s="50"/>
      <c r="BJ135" s="50"/>
      <c r="BK135" s="241"/>
      <c r="BL135" s="50"/>
      <c r="BM135" s="50"/>
      <c r="BN135" s="241"/>
      <c r="BO135" s="50"/>
      <c r="BP135" s="50"/>
      <c r="BR135" s="50"/>
      <c r="BS135" s="50"/>
      <c r="BT135" s="241"/>
      <c r="BU135" s="50"/>
      <c r="BV135" s="50"/>
      <c r="BW135" s="241"/>
      <c r="BX135" s="50"/>
      <c r="BY135" s="50"/>
      <c r="CA135" s="50"/>
      <c r="CB135" s="50"/>
      <c r="CC135" s="241"/>
      <c r="CD135" s="50"/>
      <c r="CE135" s="50"/>
      <c r="CF135" s="241"/>
      <c r="CG135" s="50"/>
      <c r="CH135" s="50"/>
      <c r="CJ135" s="50"/>
      <c r="CK135" s="50"/>
      <c r="CL135" s="241"/>
      <c r="CM135" s="50"/>
      <c r="CN135" s="50"/>
      <c r="CO135" s="241"/>
      <c r="CP135" s="50"/>
      <c r="CQ135" s="50"/>
      <c r="CS135" s="50"/>
      <c r="CT135" s="50"/>
      <c r="CU135" s="241"/>
      <c r="CV135" s="50"/>
      <c r="CW135" s="50"/>
      <c r="CX135" s="241"/>
      <c r="CY135" s="50"/>
      <c r="CZ135" s="50"/>
      <c r="DB135" s="50"/>
      <c r="DC135" s="50"/>
      <c r="DD135" s="241"/>
      <c r="DE135" s="50"/>
      <c r="DF135" s="50"/>
    </row>
    <row r="136" spans="1:110" x14ac:dyDescent="0.25">
      <c r="A136" s="55"/>
      <c r="B136" s="46" t="s">
        <v>1182</v>
      </c>
      <c r="C136" s="42"/>
      <c r="D136" s="42" t="s">
        <v>8</v>
      </c>
      <c r="E136" s="45">
        <v>26.51</v>
      </c>
      <c r="F136" s="45">
        <f>F145/F148*100</f>
        <v>30.482302215983154</v>
      </c>
      <c r="G136" s="45">
        <v>22.3</v>
      </c>
      <c r="H136" s="45">
        <v>24.39</v>
      </c>
      <c r="I136" s="45">
        <f>I145/$I$148*100</f>
        <v>22.077182323064509</v>
      </c>
      <c r="J136" s="45">
        <f>J145/$J$148*100</f>
        <v>19.58472068072512</v>
      </c>
      <c r="K136" s="45">
        <f>K145/$K$148*100</f>
        <v>14.967517520077752</v>
      </c>
      <c r="L136" s="45" t="e">
        <f>L145/$L$148*100</f>
        <v>#DIV/0!</v>
      </c>
      <c r="N136" s="45">
        <f t="shared" ref="N136:Q137" si="348">N145/N148*100</f>
        <v>14.967517520077752</v>
      </c>
      <c r="O136" s="45" t="e">
        <f t="shared" si="348"/>
        <v>#DIV/0!</v>
      </c>
      <c r="P136" s="45">
        <f t="shared" si="348"/>
        <v>28.415300546448087</v>
      </c>
      <c r="Q136" s="45" t="e">
        <f t="shared" si="348"/>
        <v>#DIV/0!</v>
      </c>
      <c r="S136" s="45">
        <f>S145/S148*100</f>
        <v>15.384615384615385</v>
      </c>
      <c r="T136" s="45" t="e">
        <f>T145/T148*100</f>
        <v>#DIV/0!</v>
      </c>
      <c r="V136" s="45">
        <f>V145/V148*100</f>
        <v>18.267929634641408</v>
      </c>
      <c r="W136" s="45" t="e">
        <f>W145/W148*100</f>
        <v>#DIV/0!</v>
      </c>
      <c r="Y136" s="45">
        <f>Y145/Y148*100</f>
        <v>0</v>
      </c>
      <c r="Z136" s="45" t="e">
        <f>Z145/Z148*100</f>
        <v>#DIV/0!</v>
      </c>
      <c r="AA136" s="241"/>
      <c r="AB136" s="45">
        <f>AB145/AB148*100</f>
        <v>0</v>
      </c>
      <c r="AC136" s="45" t="e">
        <f>AC145/AC148*100</f>
        <v>#DIV/0!</v>
      </c>
      <c r="AD136" s="241"/>
      <c r="AE136" s="45">
        <f>AE145/AE148*100</f>
        <v>0</v>
      </c>
      <c r="AF136" s="45" t="e">
        <f>AF145/AF148*100</f>
        <v>#DIV/0!</v>
      </c>
      <c r="AH136" s="45">
        <f>AH145/AH148*100</f>
        <v>0</v>
      </c>
      <c r="AI136" s="45" t="e">
        <f>AI145/AI148*100</f>
        <v>#DIV/0!</v>
      </c>
      <c r="AJ136" s="241"/>
      <c r="AK136" s="45">
        <f>AK145/AK148*100</f>
        <v>0</v>
      </c>
      <c r="AL136" s="45" t="e">
        <f>AL145/AL148*100</f>
        <v>#DIV/0!</v>
      </c>
      <c r="AM136" s="241"/>
      <c r="AN136" s="45">
        <f>AN145/AN148*100</f>
        <v>0</v>
      </c>
      <c r="AO136" s="45" t="e">
        <f>AO145/AO148*100</f>
        <v>#DIV/0!</v>
      </c>
      <c r="AQ136" s="45">
        <f>AQ145/AQ148*100</f>
        <v>28.083491461100568</v>
      </c>
      <c r="AR136" s="45" t="e">
        <f>AR145/AR148*100</f>
        <v>#DIV/0!</v>
      </c>
      <c r="AS136" s="241"/>
      <c r="AT136" s="45">
        <f>AT145/AT148*100</f>
        <v>0</v>
      </c>
      <c r="AU136" s="45" t="e">
        <f>AU145/AU148*100</f>
        <v>#DIV/0!</v>
      </c>
      <c r="AW136" s="45">
        <f>AW145/AW148*100</f>
        <v>14.730878186968837</v>
      </c>
      <c r="AX136" s="45" t="e">
        <f>AX145/AX148*100</f>
        <v>#DIV/0!</v>
      </c>
      <c r="AZ136" s="45">
        <f>AZ145/AZ148*100</f>
        <v>30.64798598949212</v>
      </c>
      <c r="BA136" s="45" t="e">
        <f>BA145/BA148*100</f>
        <v>#DIV/0!</v>
      </c>
      <c r="BB136" s="241"/>
      <c r="BC136" s="45">
        <f>BC145/BC148*100</f>
        <v>9.9880382775119614</v>
      </c>
      <c r="BD136" s="45" t="e">
        <f>BD145/BD148*100</f>
        <v>#DIV/0!</v>
      </c>
      <c r="BE136" s="241"/>
      <c r="BF136" s="45">
        <f>BF145/BF148*100</f>
        <v>18.536009445100355</v>
      </c>
      <c r="BG136" s="45" t="e">
        <f>BG145/BG148*100</f>
        <v>#DIV/0!</v>
      </c>
      <c r="BI136" s="45">
        <f>BI145/BI148*100</f>
        <v>9.7514340344168247</v>
      </c>
      <c r="BJ136" s="45" t="e">
        <f>BJ145/BJ148*100</f>
        <v>#DIV/0!</v>
      </c>
      <c r="BK136" s="241"/>
      <c r="BL136" s="45">
        <f>BL145/BL148*100</f>
        <v>8.6872586872586872</v>
      </c>
      <c r="BM136" s="45" t="e">
        <f>BM145/BM148*100</f>
        <v>#DIV/0!</v>
      </c>
      <c r="BN136" s="241"/>
      <c r="BO136" s="45">
        <f>BO145/BO148*100</f>
        <v>0.3115264797507788</v>
      </c>
      <c r="BP136" s="45" t="e">
        <f>BP145/BP148*100</f>
        <v>#DIV/0!</v>
      </c>
      <c r="BR136" s="45">
        <f>BR145/BR148*100</f>
        <v>12.707182320441991</v>
      </c>
      <c r="BS136" s="45" t="e">
        <f>BS145/BS148*100</f>
        <v>#DIV/0!</v>
      </c>
      <c r="BT136" s="241"/>
      <c r="BU136" s="45">
        <f>BU145/BU148*100</f>
        <v>15.86452762923351</v>
      </c>
      <c r="BV136" s="45" t="e">
        <f>BV145/BV148*100</f>
        <v>#DIV/0!</v>
      </c>
      <c r="BW136" s="241"/>
      <c r="BX136" s="45">
        <f>BX145/BX148*100</f>
        <v>3.2846715328467155</v>
      </c>
      <c r="BY136" s="45" t="e">
        <f>BY145/BY148*100</f>
        <v>#DIV/0!</v>
      </c>
      <c r="CA136" s="45">
        <f>CA145/CA148*100</f>
        <v>20.718232044198896</v>
      </c>
      <c r="CB136" s="45" t="e">
        <f>CB145/CB148*100</f>
        <v>#DIV/0!</v>
      </c>
      <c r="CC136" s="241"/>
      <c r="CD136" s="45">
        <f>CD145/CD148*100</f>
        <v>0</v>
      </c>
      <c r="CE136" s="45" t="e">
        <f>CE145/CE148*100</f>
        <v>#DIV/0!</v>
      </c>
      <c r="CF136" s="241"/>
      <c r="CG136" s="45">
        <f>CG145/CG148*100</f>
        <v>4.5694200351493848</v>
      </c>
      <c r="CH136" s="45" t="e">
        <f>CH145/CH148*100</f>
        <v>#DIV/0!</v>
      </c>
      <c r="CJ136" s="45">
        <f>CJ145/CJ148*100</f>
        <v>0</v>
      </c>
      <c r="CK136" s="45" t="e">
        <f>CK145/CK148*100</f>
        <v>#DIV/0!</v>
      </c>
      <c r="CL136" s="241"/>
      <c r="CM136" s="45" t="e">
        <f>CM145/CM148*100</f>
        <v>#DIV/0!</v>
      </c>
      <c r="CN136" s="45" t="e">
        <f>CN145/CN148*100</f>
        <v>#DIV/0!</v>
      </c>
      <c r="CO136" s="241"/>
      <c r="CP136" s="45" t="e">
        <f>CP145/CP148*100</f>
        <v>#DIV/0!</v>
      </c>
      <c r="CQ136" s="45" t="e">
        <f>CQ145/CQ148*100</f>
        <v>#DIV/0!</v>
      </c>
      <c r="CS136" s="45">
        <f>CS145/CS148*100</f>
        <v>35.56664290805417</v>
      </c>
      <c r="CT136" s="45" t="e">
        <f>CT145/CT148*100</f>
        <v>#DIV/0!</v>
      </c>
      <c r="CU136" s="241"/>
      <c r="CV136" s="45">
        <f>CV145/CV148*100</f>
        <v>23.706896551724139</v>
      </c>
      <c r="CW136" s="45" t="e">
        <f>CW145/CW148*100</f>
        <v>#DIV/0!</v>
      </c>
      <c r="CX136" s="241"/>
      <c r="CY136" s="45">
        <f>CY145/CY148*100</f>
        <v>21.19071644803229</v>
      </c>
      <c r="CZ136" s="45" t="e">
        <f>CZ145/CZ148*100</f>
        <v>#DIV/0!</v>
      </c>
      <c r="DB136" s="45">
        <f>DB145/DB148*100</f>
        <v>35.194805194805198</v>
      </c>
      <c r="DC136" s="45" t="e">
        <f>DC145/DC148*100</f>
        <v>#DIV/0!</v>
      </c>
      <c r="DD136" s="241"/>
      <c r="DE136" s="45" t="e">
        <f>DE145/DE148*100</f>
        <v>#DIV/0!</v>
      </c>
      <c r="DF136" s="45" t="e">
        <f>DF145/DF148*100</f>
        <v>#DIV/0!</v>
      </c>
    </row>
    <row r="137" spans="1:110" x14ac:dyDescent="0.25">
      <c r="A137" s="55"/>
      <c r="B137" s="46" t="s">
        <v>1184</v>
      </c>
      <c r="C137" s="42"/>
      <c r="D137" s="42" t="s">
        <v>8</v>
      </c>
      <c r="E137" s="45">
        <v>30.56</v>
      </c>
      <c r="F137" s="45">
        <f>F146/F149*100</f>
        <v>41.791044776119399</v>
      </c>
      <c r="G137" s="45">
        <v>36.21</v>
      </c>
      <c r="H137" s="45">
        <v>11.59</v>
      </c>
      <c r="I137" s="45">
        <f>I146/$I$149*100</f>
        <v>4.0629095674967228</v>
      </c>
      <c r="J137" s="45">
        <f>J146/$J$149*100</f>
        <v>24.313725490196077</v>
      </c>
      <c r="K137" s="45">
        <f>K146/$K$149*100</f>
        <v>12.936462507155122</v>
      </c>
      <c r="L137" s="45" t="e">
        <f>L146/$L$149*100</f>
        <v>#DIV/0!</v>
      </c>
      <c r="N137" s="45">
        <f t="shared" si="348"/>
        <v>12.936462507155122</v>
      </c>
      <c r="O137" s="45" t="e">
        <f t="shared" si="348"/>
        <v>#DIV/0!</v>
      </c>
      <c r="P137" s="45" t="e">
        <f t="shared" si="348"/>
        <v>#DIV/0!</v>
      </c>
      <c r="Q137" s="45" t="e">
        <f t="shared" si="348"/>
        <v>#DIV/0!</v>
      </c>
      <c r="S137" s="45" t="e">
        <f>S146/S149*100</f>
        <v>#DIV/0!</v>
      </c>
      <c r="T137" s="45" t="e">
        <f>T146/T149*100</f>
        <v>#DIV/0!</v>
      </c>
      <c r="V137" s="45" t="e">
        <f>V146/V149*100</f>
        <v>#DIV/0!</v>
      </c>
      <c r="W137" s="45" t="e">
        <f>W146/W149*100</f>
        <v>#DIV/0!</v>
      </c>
      <c r="Y137" s="45" t="e">
        <f>Y146/Y149*100</f>
        <v>#DIV/0!</v>
      </c>
      <c r="Z137" s="45" t="e">
        <f>Z146/Z149*100</f>
        <v>#DIV/0!</v>
      </c>
      <c r="AA137" s="241"/>
      <c r="AB137" s="45" t="e">
        <f>AB146/AB149*100</f>
        <v>#DIV/0!</v>
      </c>
      <c r="AC137" s="45" t="e">
        <f>AC146/AC149*100</f>
        <v>#DIV/0!</v>
      </c>
      <c r="AD137" s="241"/>
      <c r="AE137" s="45" t="e">
        <f>AE146/AE149*100</f>
        <v>#DIV/0!</v>
      </c>
      <c r="AF137" s="45" t="e">
        <f>AF146/AF149*100</f>
        <v>#DIV/0!</v>
      </c>
      <c r="AH137" s="45" t="e">
        <f>AH146/AH149*100</f>
        <v>#DIV/0!</v>
      </c>
      <c r="AI137" s="45" t="e">
        <f>AI146/AI149*100</f>
        <v>#DIV/0!</v>
      </c>
      <c r="AJ137" s="241"/>
      <c r="AK137" s="45" t="e">
        <f>AK146/AK149*100</f>
        <v>#DIV/0!</v>
      </c>
      <c r="AL137" s="45" t="e">
        <f>AL146/AL149*100</f>
        <v>#DIV/0!</v>
      </c>
      <c r="AM137" s="241"/>
      <c r="AN137" s="45" t="e">
        <f>AN146/AN149*100</f>
        <v>#DIV/0!</v>
      </c>
      <c r="AO137" s="45" t="e">
        <f>AO146/AO149*100</f>
        <v>#DIV/0!</v>
      </c>
      <c r="AQ137" s="45" t="e">
        <f>AQ146/AQ149*100</f>
        <v>#DIV/0!</v>
      </c>
      <c r="AR137" s="45" t="e">
        <f>AR146/AR149*100</f>
        <v>#DIV/0!</v>
      </c>
      <c r="AS137" s="241"/>
      <c r="AT137" s="45" t="e">
        <f>AT146/AT149*100</f>
        <v>#DIV/0!</v>
      </c>
      <c r="AU137" s="45" t="e">
        <f>AU146/AU149*100</f>
        <v>#DIV/0!</v>
      </c>
      <c r="AW137" s="45" t="e">
        <f>AW146/AW149*100</f>
        <v>#DIV/0!</v>
      </c>
      <c r="AX137" s="45" t="e">
        <f>AX146/AX149*100</f>
        <v>#DIV/0!</v>
      </c>
      <c r="AZ137" s="45" t="e">
        <f>AZ146/AZ149*100</f>
        <v>#DIV/0!</v>
      </c>
      <c r="BA137" s="45" t="e">
        <f>BA146/BA149*100</f>
        <v>#DIV/0!</v>
      </c>
      <c r="BB137" s="241"/>
      <c r="BC137" s="45" t="e">
        <f>BC146/BC149*100</f>
        <v>#DIV/0!</v>
      </c>
      <c r="BD137" s="45" t="e">
        <f>BD146/BD149*100</f>
        <v>#DIV/0!</v>
      </c>
      <c r="BE137" s="241"/>
      <c r="BF137" s="45" t="e">
        <f>BF146/BF149*100</f>
        <v>#DIV/0!</v>
      </c>
      <c r="BG137" s="45" t="e">
        <f>BG146/BG149*100</f>
        <v>#DIV/0!</v>
      </c>
      <c r="BI137" s="45" t="e">
        <f>BI146/BI149*100</f>
        <v>#DIV/0!</v>
      </c>
      <c r="BJ137" s="45" t="e">
        <f>BJ146/BJ149*100</f>
        <v>#DIV/0!</v>
      </c>
      <c r="BK137" s="241"/>
      <c r="BL137" s="45" t="e">
        <f>BL146/BL149*100</f>
        <v>#DIV/0!</v>
      </c>
      <c r="BM137" s="45" t="e">
        <f>BM146/BM149*100</f>
        <v>#DIV/0!</v>
      </c>
      <c r="BN137" s="241"/>
      <c r="BO137" s="45" t="e">
        <f>BO146/BO149*100</f>
        <v>#DIV/0!</v>
      </c>
      <c r="BP137" s="45" t="e">
        <f>BP146/BP149*100</f>
        <v>#DIV/0!</v>
      </c>
      <c r="BR137" s="45" t="e">
        <f>BR146/BR149*100</f>
        <v>#DIV/0!</v>
      </c>
      <c r="BS137" s="45" t="e">
        <f>BS146/BS149*100</f>
        <v>#DIV/0!</v>
      </c>
      <c r="BT137" s="241"/>
      <c r="BU137" s="45" t="e">
        <f>BU146/BU149*100</f>
        <v>#DIV/0!</v>
      </c>
      <c r="BV137" s="45" t="e">
        <f>BV146/BV149*100</f>
        <v>#DIV/0!</v>
      </c>
      <c r="BW137" s="241"/>
      <c r="BX137" s="45" t="e">
        <f>BX146/BX149*100</f>
        <v>#DIV/0!</v>
      </c>
      <c r="BY137" s="45" t="e">
        <f>BY146/BY149*100</f>
        <v>#DIV/0!</v>
      </c>
      <c r="CA137" s="45" t="e">
        <f>CA146/CA149*100</f>
        <v>#DIV/0!</v>
      </c>
      <c r="CB137" s="45" t="e">
        <f>CB146/CB149*100</f>
        <v>#DIV/0!</v>
      </c>
      <c r="CC137" s="241"/>
      <c r="CD137" s="45" t="e">
        <f>CD146/CD149*100</f>
        <v>#DIV/0!</v>
      </c>
      <c r="CE137" s="45" t="e">
        <f>CE146/CE149*100</f>
        <v>#DIV/0!</v>
      </c>
      <c r="CF137" s="241"/>
      <c r="CG137" s="45" t="e">
        <f>CG146/CG149*100</f>
        <v>#DIV/0!</v>
      </c>
      <c r="CH137" s="45" t="e">
        <f>CH146/CH149*100</f>
        <v>#DIV/0!</v>
      </c>
      <c r="CJ137" s="45" t="e">
        <f>CJ146/CJ149*100</f>
        <v>#DIV/0!</v>
      </c>
      <c r="CK137" s="45" t="e">
        <f>CK146/CK149*100</f>
        <v>#DIV/0!</v>
      </c>
      <c r="CL137" s="241"/>
      <c r="CM137" s="45" t="e">
        <f>CM146/CM149*100</f>
        <v>#DIV/0!</v>
      </c>
      <c r="CN137" s="45" t="e">
        <f>CN146/CN149*100</f>
        <v>#DIV/0!</v>
      </c>
      <c r="CO137" s="241"/>
      <c r="CP137" s="45" t="e">
        <f>CP146/CP149*100</f>
        <v>#DIV/0!</v>
      </c>
      <c r="CQ137" s="45" t="e">
        <f>CQ146/CQ149*100</f>
        <v>#DIV/0!</v>
      </c>
      <c r="CS137" s="45" t="e">
        <f>CS146/CS149*100</f>
        <v>#DIV/0!</v>
      </c>
      <c r="CT137" s="45" t="e">
        <f>CT146/CT149*100</f>
        <v>#DIV/0!</v>
      </c>
      <c r="CU137" s="241"/>
      <c r="CV137" s="45" t="e">
        <f>CV146/CV149*100</f>
        <v>#DIV/0!</v>
      </c>
      <c r="CW137" s="45" t="e">
        <f>CW146/CW149*100</f>
        <v>#DIV/0!</v>
      </c>
      <c r="CX137" s="241"/>
      <c r="CY137" s="45" t="e">
        <f>CY146/CY149*100</f>
        <v>#DIV/0!</v>
      </c>
      <c r="CZ137" s="45" t="e">
        <f>CZ146/CZ149*100</f>
        <v>#DIV/0!</v>
      </c>
      <c r="DB137" s="45" t="e">
        <f>DB146/DB149*100</f>
        <v>#DIV/0!</v>
      </c>
      <c r="DC137" s="45" t="e">
        <f>DC146/DC149*100</f>
        <v>#DIV/0!</v>
      </c>
      <c r="DD137" s="241"/>
      <c r="DE137" s="45">
        <f>DE146/DE149*100</f>
        <v>12.936462507155122</v>
      </c>
      <c r="DF137" s="45" t="e">
        <f>DF146/DF149*100</f>
        <v>#DIV/0!</v>
      </c>
    </row>
    <row r="138" spans="1:110" ht="45" x14ac:dyDescent="0.25">
      <c r="A138" s="28"/>
      <c r="B138" s="16" t="s">
        <v>372</v>
      </c>
      <c r="C138" s="6" t="s">
        <v>2049</v>
      </c>
      <c r="D138" s="6" t="s">
        <v>950</v>
      </c>
      <c r="E138" s="12"/>
      <c r="F138" s="12"/>
      <c r="G138" s="12"/>
      <c r="H138" s="12"/>
      <c r="I138" s="12"/>
      <c r="J138" s="12"/>
      <c r="K138" s="12"/>
      <c r="L138" s="12"/>
    </row>
    <row r="139" spans="1:110" x14ac:dyDescent="0.25">
      <c r="A139" s="86"/>
      <c r="B139" s="16" t="s">
        <v>1182</v>
      </c>
      <c r="C139" s="6"/>
      <c r="D139" s="6"/>
      <c r="E139" s="12"/>
      <c r="F139" s="35">
        <v>13414</v>
      </c>
      <c r="G139" s="35"/>
      <c r="H139" s="35"/>
      <c r="I139" s="35">
        <f>15823+210</f>
        <v>16033</v>
      </c>
      <c r="J139" s="35">
        <f>16334+533</f>
        <v>16867</v>
      </c>
      <c r="K139" s="35">
        <v>16167</v>
      </c>
      <c r="L139" s="35">
        <v>17473</v>
      </c>
      <c r="N139" s="241">
        <f>P139+S139+V139+Y139+AB139+AE139+AH139+AK139+AN139+AQ139+AW139+AZ139+BC139+BF139+BI139+BL139+BO139+BR139+BU139+BX139+CA139+CD139+CG139+CJ139+AT139+DE139+CS139+CV139+CY139+DB139</f>
        <v>16167</v>
      </c>
      <c r="O139" s="241">
        <f>Q139+T139+W139+Z139+AC139+AF139+AI139+AL139+AO139+AR139+AX139+BA139+BD139+BG139+BJ139+BM139+BP139+BS139+BV139+BY139+CB139+CE139+CH139+CK139+AU139+DF139+CT139+CW139+CZ139+DC139</f>
        <v>0</v>
      </c>
      <c r="P139">
        <v>131</v>
      </c>
      <c r="S139">
        <v>1298</v>
      </c>
      <c r="V139">
        <v>604</v>
      </c>
      <c r="Y139">
        <v>1360</v>
      </c>
      <c r="AB139">
        <v>326</v>
      </c>
      <c r="AE139">
        <v>210</v>
      </c>
      <c r="AH139">
        <v>164</v>
      </c>
      <c r="AK139">
        <v>587</v>
      </c>
      <c r="AN139">
        <v>525</v>
      </c>
      <c r="AQ139">
        <v>379</v>
      </c>
      <c r="AT139" s="241">
        <v>132</v>
      </c>
      <c r="AW139">
        <v>301</v>
      </c>
      <c r="AZ139">
        <v>396</v>
      </c>
      <c r="BC139">
        <v>1505</v>
      </c>
      <c r="BF139">
        <v>690</v>
      </c>
      <c r="BI139">
        <v>472</v>
      </c>
      <c r="BL139">
        <v>473</v>
      </c>
      <c r="BO139">
        <v>320</v>
      </c>
      <c r="BR139">
        <v>158</v>
      </c>
      <c r="BU139">
        <v>472</v>
      </c>
      <c r="BX139">
        <v>225</v>
      </c>
      <c r="CA139">
        <v>527</v>
      </c>
      <c r="CD139">
        <v>408</v>
      </c>
      <c r="CG139">
        <v>422</v>
      </c>
      <c r="CJ139">
        <v>409</v>
      </c>
      <c r="CS139">
        <v>904</v>
      </c>
      <c r="CV139">
        <v>708</v>
      </c>
      <c r="CY139">
        <v>1562</v>
      </c>
      <c r="DB139">
        <v>499</v>
      </c>
    </row>
    <row r="140" spans="1:110" x14ac:dyDescent="0.25">
      <c r="A140" s="86"/>
      <c r="B140" s="16" t="s">
        <v>1184</v>
      </c>
      <c r="C140" s="6"/>
      <c r="D140" s="6"/>
      <c r="E140" s="12"/>
      <c r="F140" s="35">
        <v>78</v>
      </c>
      <c r="G140" s="35"/>
      <c r="H140" s="35"/>
      <c r="I140" s="35">
        <v>637</v>
      </c>
      <c r="J140" s="35">
        <v>924</v>
      </c>
      <c r="K140" s="35">
        <v>1444</v>
      </c>
      <c r="L140" s="35">
        <v>2156</v>
      </c>
      <c r="N140" s="241">
        <f>P140+S140+V140+Y140+AB140+AE140+AH140+AK140+AN140+AQ140+AW140+AZ140+BC140+BF140+BI140+BL140+BO140+BR140+BU140+BX140+CA140+CD140+CG140+CJ140+AT140+DE140+CS140+CV140+CY140+DB140</f>
        <v>1444</v>
      </c>
      <c r="O140" s="241">
        <f>Q140+T140+W140+Z140+AC140+AF140+AI140+AL140+AO140+AR140+AX140+BA140+BD140+BG140+BJ140+BM140+BP140+BS140+BV140+BY140+CB140+CE140+CH140+CK140+AU140+DF140+CT140+CW140+CZ140+DC140</f>
        <v>0</v>
      </c>
      <c r="DE140">
        <v>1444</v>
      </c>
    </row>
    <row r="141" spans="1:110" ht="60" x14ac:dyDescent="0.25">
      <c r="A141" s="28"/>
      <c r="B141" s="16" t="s">
        <v>373</v>
      </c>
      <c r="C141" s="6" t="s">
        <v>2050</v>
      </c>
      <c r="D141" s="6" t="s">
        <v>950</v>
      </c>
      <c r="E141" s="12"/>
      <c r="F141" s="35"/>
      <c r="G141" s="35"/>
      <c r="H141" s="35"/>
      <c r="I141" s="35"/>
      <c r="J141" s="35"/>
      <c r="K141" s="35"/>
      <c r="L141" s="35"/>
      <c r="N141" s="241"/>
      <c r="O141" s="241"/>
    </row>
    <row r="142" spans="1:110" x14ac:dyDescent="0.25">
      <c r="A142" s="85"/>
      <c r="B142" s="16" t="s">
        <v>1182</v>
      </c>
      <c r="C142" s="6"/>
      <c r="D142" s="6"/>
      <c r="E142" s="12"/>
      <c r="F142" s="35">
        <v>452</v>
      </c>
      <c r="G142" s="35"/>
      <c r="H142" s="35"/>
      <c r="I142" s="35">
        <f>271+112</f>
        <v>383</v>
      </c>
      <c r="J142" s="35">
        <f>377+145</f>
        <v>522</v>
      </c>
      <c r="K142" s="35">
        <v>456</v>
      </c>
      <c r="L142" s="35">
        <v>426</v>
      </c>
      <c r="N142" s="241">
        <f>P142+S142+V142+Y142+AB142+AE142+AH142+AK142+AN142+AQ142+AW142+AZ142+BC142+BF142+BI142+BL142+BO142+BR142+BU142+BX142+CA142+CD142+CG142+CJ142+AT142+DE142+CS142+CV142+CY142+DB142</f>
        <v>456</v>
      </c>
      <c r="O142" s="241">
        <f>Q142+T142+W142+Z142+AC142+AF142+AI142+AL142+AO142+AR142+AX142+BA142+BD142+BG142+BJ142+BM142+BP142+BS142+BV142+BY142+CB142+CE142+CH142+CK142+AU142+DF142+CT142+CW142+CZ142+DC142</f>
        <v>0</v>
      </c>
      <c r="P142">
        <v>0</v>
      </c>
      <c r="S142">
        <v>0</v>
      </c>
      <c r="V142">
        <v>0</v>
      </c>
      <c r="Y142">
        <v>0</v>
      </c>
      <c r="AB142">
        <v>0</v>
      </c>
      <c r="AE142">
        <v>0</v>
      </c>
      <c r="AH142">
        <v>0</v>
      </c>
      <c r="AK142">
        <v>8</v>
      </c>
      <c r="AN142">
        <v>0</v>
      </c>
      <c r="AQ142">
        <v>0</v>
      </c>
      <c r="AT142" s="241">
        <v>0</v>
      </c>
      <c r="AW142">
        <v>0</v>
      </c>
      <c r="AZ142">
        <v>0</v>
      </c>
      <c r="BC142">
        <v>0</v>
      </c>
      <c r="BF142">
        <v>0</v>
      </c>
      <c r="BI142">
        <v>0</v>
      </c>
      <c r="BL142">
        <v>0</v>
      </c>
      <c r="BO142">
        <v>0</v>
      </c>
      <c r="BR142">
        <v>0</v>
      </c>
      <c r="BU142">
        <v>0</v>
      </c>
      <c r="BX142">
        <v>40</v>
      </c>
      <c r="CA142">
        <v>47</v>
      </c>
      <c r="CD142">
        <v>72</v>
      </c>
      <c r="CG142">
        <v>121</v>
      </c>
      <c r="CJ142">
        <v>168</v>
      </c>
      <c r="CS142">
        <v>0</v>
      </c>
      <c r="CV142">
        <v>0</v>
      </c>
      <c r="CY142">
        <v>0</v>
      </c>
      <c r="DB142">
        <v>0</v>
      </c>
    </row>
    <row r="143" spans="1:110" x14ac:dyDescent="0.25">
      <c r="A143" s="85"/>
      <c r="B143" s="16" t="s">
        <v>1184</v>
      </c>
      <c r="C143" s="6"/>
      <c r="D143" s="6"/>
      <c r="E143" s="12"/>
      <c r="F143" s="35">
        <v>0</v>
      </c>
      <c r="G143" s="35"/>
      <c r="H143" s="35"/>
      <c r="I143" s="35">
        <v>95</v>
      </c>
      <c r="J143" s="35">
        <v>41</v>
      </c>
      <c r="K143" s="35">
        <v>77</v>
      </c>
      <c r="L143" s="35">
        <v>327</v>
      </c>
      <c r="N143" s="241">
        <f>P143+S143+V143+Y143+AB143+AE143+AH143+AK143+AN143+AQ143+AW143+AZ143+BC143+BF143+BI143+BL143+BO143+BR143+BU143+BX143+CA143+CD143+CG143+CJ143+AT143+DE143+CS143+CV143+CY143+DB143</f>
        <v>77</v>
      </c>
      <c r="O143" s="241">
        <f>Q143+T143+W143+Z143+AC143+AF143+AI143+AL143+AO143+AR143+AX143+BA143+BD143+BG143+BJ143+BM143+BP143+BS143+BV143+BY143+CB143+CE143+CH143+CK143+AU143+DF143+CT143+CW143+CZ143+DC143</f>
        <v>0</v>
      </c>
      <c r="DE143">
        <v>77</v>
      </c>
    </row>
    <row r="144" spans="1:110" ht="45" customHeight="1" x14ac:dyDescent="0.25">
      <c r="A144" s="81"/>
      <c r="B144" s="81" t="s">
        <v>374</v>
      </c>
      <c r="C144" s="6" t="s">
        <v>2051</v>
      </c>
      <c r="D144" s="6" t="s">
        <v>950</v>
      </c>
      <c r="E144" s="12"/>
      <c r="F144" s="35"/>
      <c r="G144" s="35"/>
      <c r="H144" s="35"/>
      <c r="I144" s="35"/>
      <c r="J144" s="35"/>
      <c r="K144" s="35"/>
      <c r="L144" s="35"/>
      <c r="N144" s="241"/>
      <c r="O144" s="241"/>
    </row>
    <row r="145" spans="1:110" x14ac:dyDescent="0.25">
      <c r="A145" s="81"/>
      <c r="B145" s="16" t="s">
        <v>1182</v>
      </c>
      <c r="C145" s="6"/>
      <c r="D145" s="6"/>
      <c r="E145" s="12"/>
      <c r="F145" s="35">
        <v>6080</v>
      </c>
      <c r="G145" s="35"/>
      <c r="H145" s="35"/>
      <c r="I145" s="35">
        <f>5226-575</f>
        <v>4651</v>
      </c>
      <c r="J145" s="35">
        <f>4913-678</f>
        <v>4235</v>
      </c>
      <c r="K145" s="35">
        <v>2926</v>
      </c>
      <c r="L145" s="35">
        <v>4110</v>
      </c>
      <c r="N145" s="241">
        <f>P145+S145+V145+Y145+AB145+AE145+AH145+AK145+AN145+AQ145+AW145+AZ145+BC145+BF145+BI145+BL145+BO145+BR145+BU145+BX145+CA145+CD145+CG145+CJ145+AT145+DE145+CS145+CV145+CY145+DB145</f>
        <v>2926</v>
      </c>
      <c r="O145" s="241">
        <f>Q145+T145+W145+Z145+AC145+AF145+AI145+AL145+AO145+AR145+AX145+BA145+BD145+BG145+BJ145+BM145+BP145+BS145+BV145+BY145+CB145+CE145+CH145+CK145+AU145+DF145+CT145+CW145+CZ145+DC145</f>
        <v>0</v>
      </c>
      <c r="P145" s="241">
        <v>52</v>
      </c>
      <c r="S145">
        <v>236</v>
      </c>
      <c r="V145">
        <v>135</v>
      </c>
      <c r="Y145">
        <v>0</v>
      </c>
      <c r="AB145">
        <v>0</v>
      </c>
      <c r="AE145">
        <v>0</v>
      </c>
      <c r="AH145">
        <v>0</v>
      </c>
      <c r="AK145">
        <v>0</v>
      </c>
      <c r="AN145">
        <v>0</v>
      </c>
      <c r="AQ145">
        <v>148</v>
      </c>
      <c r="AT145" s="241">
        <v>0</v>
      </c>
      <c r="AW145">
        <v>52</v>
      </c>
      <c r="AZ145">
        <v>175</v>
      </c>
      <c r="BC145">
        <v>167</v>
      </c>
      <c r="BF145">
        <v>157</v>
      </c>
      <c r="BI145">
        <v>51</v>
      </c>
      <c r="BL145">
        <v>45</v>
      </c>
      <c r="BO145">
        <v>1</v>
      </c>
      <c r="BR145">
        <v>23</v>
      </c>
      <c r="BU145">
        <v>89</v>
      </c>
      <c r="BX145">
        <v>9</v>
      </c>
      <c r="CA145">
        <v>150</v>
      </c>
      <c r="CD145">
        <v>0</v>
      </c>
      <c r="CG145">
        <v>26</v>
      </c>
      <c r="CJ145">
        <v>0</v>
      </c>
      <c r="CS145">
        <v>499</v>
      </c>
      <c r="CV145">
        <v>220</v>
      </c>
      <c r="CY145">
        <v>420</v>
      </c>
      <c r="DB145">
        <v>271</v>
      </c>
    </row>
    <row r="146" spans="1:110" x14ac:dyDescent="0.25">
      <c r="A146" s="81"/>
      <c r="B146" s="16" t="s">
        <v>1184</v>
      </c>
      <c r="C146" s="6"/>
      <c r="D146" s="6"/>
      <c r="E146" s="12"/>
      <c r="F146" s="35">
        <v>56</v>
      </c>
      <c r="G146" s="35"/>
      <c r="H146" s="35"/>
      <c r="I146" s="35">
        <v>31</v>
      </c>
      <c r="J146" s="35">
        <v>310</v>
      </c>
      <c r="K146" s="35">
        <v>226</v>
      </c>
      <c r="L146" s="35">
        <v>24</v>
      </c>
      <c r="N146" s="241">
        <f>P146+S146+V146+Y146+AB146+AE146+AH146+AK146+AN146+AQ146+AW146+AZ146+BC146+BF146+BI146+BL146+BO146+BR146+BU146+BX146+CA146+CD146+CG146+CJ146+AT146+DE146+CS146+CV146+CY146+DB146</f>
        <v>226</v>
      </c>
      <c r="O146" s="241">
        <f>Q146+T146+W146+Z146+AC146+AF146+AI146+AL146+AO146+AR146+AX146+BA146+BD146+BG146+BJ146+BM146+BP146+BS146+BV146+BY146+CB146+CE146+CH146+CK146+AU146+DF146+CT146+CW146+CZ146+DC146</f>
        <v>0</v>
      </c>
      <c r="DE146">
        <v>226</v>
      </c>
    </row>
    <row r="147" spans="1:110" ht="45" x14ac:dyDescent="0.25">
      <c r="A147" s="8"/>
      <c r="B147" s="16" t="s">
        <v>330</v>
      </c>
      <c r="C147" s="6" t="s">
        <v>2045</v>
      </c>
      <c r="D147" s="6" t="s">
        <v>950</v>
      </c>
      <c r="E147" s="12"/>
      <c r="F147" s="35"/>
      <c r="G147" s="35"/>
      <c r="H147" s="35"/>
      <c r="I147" s="35"/>
      <c r="J147" s="35"/>
      <c r="K147" s="35"/>
      <c r="L147" s="35"/>
      <c r="N147" s="241"/>
      <c r="O147" s="241"/>
    </row>
    <row r="148" spans="1:110" x14ac:dyDescent="0.25">
      <c r="A148" s="30"/>
      <c r="B148" s="16" t="s">
        <v>1182</v>
      </c>
      <c r="C148" s="6"/>
      <c r="D148" s="6"/>
      <c r="E148" s="12"/>
      <c r="F148" s="35">
        <f t="shared" ref="F148:L149" si="349">F86</f>
        <v>19946</v>
      </c>
      <c r="G148" s="35">
        <f t="shared" si="349"/>
        <v>19785</v>
      </c>
      <c r="H148" s="35">
        <f t="shared" si="349"/>
        <v>0</v>
      </c>
      <c r="I148" s="35">
        <f t="shared" si="349"/>
        <v>21067</v>
      </c>
      <c r="J148" s="35">
        <f t="shared" si="349"/>
        <v>21624</v>
      </c>
      <c r="K148" s="35">
        <f t="shared" si="349"/>
        <v>19549</v>
      </c>
      <c r="L148" s="35">
        <f t="shared" si="349"/>
        <v>0</v>
      </c>
      <c r="N148" s="241">
        <f>P148+S148+V148+Y148+AB148+AE148+AH148+AK148+AN148+AQ148+AW148+AZ148+BC148+BF148+BI148+BL148+BO148+BR148+BU148+BX148+CA148+CD148+CG148+CJ148+AT148+DE148+CS148+CV148+CY148+DB148</f>
        <v>19549</v>
      </c>
      <c r="O148" s="241">
        <f>Q148+T148+W148+Z148+AC148+AF148+AI148+AL148+AO148+AR148+AX148+BA148+BD148+BG148+BJ148+BM148+BP148+BS148+BV148+BY148+CB148+CE148+CH148+CK148+AU148+DF148+CT148+CW148+CZ148+DC148</f>
        <v>0</v>
      </c>
      <c r="P148">
        <f>P95</f>
        <v>183</v>
      </c>
      <c r="Q148" s="241">
        <f>Q95</f>
        <v>0</v>
      </c>
      <c r="S148" s="241">
        <f>S95</f>
        <v>1534</v>
      </c>
      <c r="T148" s="241">
        <f>T95</f>
        <v>0</v>
      </c>
      <c r="V148" s="241">
        <f>V95</f>
        <v>739</v>
      </c>
      <c r="W148" s="241">
        <f>W95</f>
        <v>0</v>
      </c>
      <c r="Y148" s="241">
        <f>Y95</f>
        <v>1360</v>
      </c>
      <c r="Z148" s="241">
        <f>Z95</f>
        <v>0</v>
      </c>
      <c r="AA148" s="241"/>
      <c r="AB148" s="241">
        <f>AB95</f>
        <v>326</v>
      </c>
      <c r="AC148" s="241">
        <f>AC95</f>
        <v>0</v>
      </c>
      <c r="AD148" s="241"/>
      <c r="AE148" s="241">
        <f>AE95</f>
        <v>210</v>
      </c>
      <c r="AF148" s="241">
        <f>AF95</f>
        <v>0</v>
      </c>
      <c r="AH148" s="241">
        <f>AH95</f>
        <v>164</v>
      </c>
      <c r="AI148" s="241">
        <f>AI95</f>
        <v>0</v>
      </c>
      <c r="AJ148" s="241"/>
      <c r="AK148" s="241">
        <f>AK95</f>
        <v>595</v>
      </c>
      <c r="AL148" s="241">
        <f>AL95</f>
        <v>0</v>
      </c>
      <c r="AM148" s="241"/>
      <c r="AN148" s="241">
        <f>AN95</f>
        <v>525</v>
      </c>
      <c r="AO148" s="241">
        <f>AO95</f>
        <v>0</v>
      </c>
      <c r="AQ148" s="241">
        <f>AQ95</f>
        <v>527</v>
      </c>
      <c r="AR148" s="241">
        <f>AR95</f>
        <v>0</v>
      </c>
      <c r="AS148" s="241"/>
      <c r="AT148" s="241">
        <f>AT95</f>
        <v>132</v>
      </c>
      <c r="AU148" s="241">
        <f>AU95</f>
        <v>0</v>
      </c>
      <c r="AW148" s="241">
        <f>AW95</f>
        <v>353</v>
      </c>
      <c r="AX148" s="241">
        <f>AX95</f>
        <v>0</v>
      </c>
      <c r="AZ148" s="241">
        <f>AZ95</f>
        <v>571</v>
      </c>
      <c r="BA148" s="241">
        <f>BA95</f>
        <v>0</v>
      </c>
      <c r="BB148" s="241"/>
      <c r="BC148" s="241">
        <f>BC95</f>
        <v>1672</v>
      </c>
      <c r="BD148" s="241">
        <f>BD95</f>
        <v>0</v>
      </c>
      <c r="BE148" s="241"/>
      <c r="BF148" s="241">
        <f>BF95</f>
        <v>847</v>
      </c>
      <c r="BG148" s="241">
        <f>BG95</f>
        <v>0</v>
      </c>
      <c r="BI148" s="241">
        <f>BI95</f>
        <v>523</v>
      </c>
      <c r="BJ148" s="241">
        <f>BJ95</f>
        <v>0</v>
      </c>
      <c r="BK148" s="241"/>
      <c r="BL148" s="241">
        <f>BL95</f>
        <v>518</v>
      </c>
      <c r="BM148" s="241">
        <f>BM95</f>
        <v>0</v>
      </c>
      <c r="BN148" s="241"/>
      <c r="BO148" s="241">
        <f>BO95</f>
        <v>321</v>
      </c>
      <c r="BP148" s="241">
        <f>BP95</f>
        <v>0</v>
      </c>
      <c r="BR148" s="241">
        <f>BR95</f>
        <v>181</v>
      </c>
      <c r="BS148" s="241">
        <f>BS95</f>
        <v>0</v>
      </c>
      <c r="BT148" s="241"/>
      <c r="BU148" s="241">
        <f>BU95</f>
        <v>561</v>
      </c>
      <c r="BV148" s="241">
        <f>BV95</f>
        <v>0</v>
      </c>
      <c r="BW148" s="241"/>
      <c r="BX148" s="241">
        <f>BX95</f>
        <v>274</v>
      </c>
      <c r="BY148" s="241">
        <f>BY95</f>
        <v>0</v>
      </c>
      <c r="CA148" s="241">
        <f>CA95</f>
        <v>724</v>
      </c>
      <c r="CB148" s="241">
        <f>CB95</f>
        <v>0</v>
      </c>
      <c r="CC148" s="241"/>
      <c r="CD148" s="241">
        <f>CD95</f>
        <v>480</v>
      </c>
      <c r="CE148" s="241">
        <f>CE95</f>
        <v>0</v>
      </c>
      <c r="CF148" s="241"/>
      <c r="CG148" s="241">
        <f>CG95</f>
        <v>569</v>
      </c>
      <c r="CH148" s="241">
        <f>CH95</f>
        <v>0</v>
      </c>
      <c r="CJ148" s="241">
        <f>CJ95</f>
        <v>577</v>
      </c>
      <c r="CK148" s="241">
        <f>CK95</f>
        <v>0</v>
      </c>
      <c r="CL148" s="241"/>
      <c r="CM148" s="241">
        <f>CM95</f>
        <v>0</v>
      </c>
      <c r="CN148" s="241">
        <f>CN95</f>
        <v>0</v>
      </c>
      <c r="CO148" s="241"/>
      <c r="CP148" s="241">
        <f>CP95</f>
        <v>0</v>
      </c>
      <c r="CQ148" s="241">
        <f>CQ95</f>
        <v>0</v>
      </c>
      <c r="CS148" s="241">
        <f>CS95</f>
        <v>1403</v>
      </c>
      <c r="CT148" s="241">
        <f>CT95</f>
        <v>0</v>
      </c>
      <c r="CV148" s="241">
        <f>CV95</f>
        <v>928</v>
      </c>
      <c r="CW148" s="241">
        <f>CW95</f>
        <v>0</v>
      </c>
      <c r="CY148" s="241">
        <f>CY95</f>
        <v>1982</v>
      </c>
      <c r="CZ148" s="241">
        <f>CZ95</f>
        <v>0</v>
      </c>
      <c r="DB148" s="241">
        <f>DB95</f>
        <v>770</v>
      </c>
      <c r="DC148" s="241">
        <f>DC95</f>
        <v>0</v>
      </c>
      <c r="DE148" s="241"/>
      <c r="DF148" s="241"/>
    </row>
    <row r="149" spans="1:110" x14ac:dyDescent="0.25">
      <c r="A149" s="30"/>
      <c r="B149" s="16" t="s">
        <v>1184</v>
      </c>
      <c r="C149" s="6"/>
      <c r="D149" s="6"/>
      <c r="E149" s="12"/>
      <c r="F149" s="35">
        <f t="shared" si="349"/>
        <v>134</v>
      </c>
      <c r="G149" s="35">
        <f t="shared" si="349"/>
        <v>116</v>
      </c>
      <c r="H149" s="35">
        <f t="shared" si="349"/>
        <v>0</v>
      </c>
      <c r="I149" s="35">
        <f t="shared" si="349"/>
        <v>763</v>
      </c>
      <c r="J149" s="35">
        <f t="shared" si="349"/>
        <v>1275</v>
      </c>
      <c r="K149" s="35">
        <f t="shared" si="349"/>
        <v>1747</v>
      </c>
      <c r="L149" s="35">
        <f t="shared" si="349"/>
        <v>0</v>
      </c>
      <c r="N149" s="241">
        <f>P149+S149+V149+Y149+AB149+AE149+AH149+AK149+AN149+AQ149+AW149+AZ149+BC149+BF149+BI149+BL149+BO149+BR149+BU149+BX149+CA149+CD149+CG149+CJ149+AT149+DE149+CS149+CV149+CY149+DB149</f>
        <v>1747</v>
      </c>
      <c r="O149" s="241">
        <f>Q149+T149+W149+Z149+AC149+AF149+AI149+AL149+AO149+AR149+AX149+BA149+BD149+BG149+BJ149+BM149+BP149+BS149+BV149+BY149+CB149+CE149+CH149+CK149+AU149+DF149+CT149+CW149+CZ149+DC149</f>
        <v>0</v>
      </c>
      <c r="DE149" s="241">
        <f>DE96</f>
        <v>1747</v>
      </c>
      <c r="DF149" s="241">
        <f>DF96</f>
        <v>0</v>
      </c>
    </row>
    <row r="150" spans="1:110" ht="60" x14ac:dyDescent="0.25">
      <c r="A150" s="55" t="s">
        <v>377</v>
      </c>
      <c r="B150" s="43" t="s">
        <v>376</v>
      </c>
      <c r="C150" s="42"/>
      <c r="D150" s="42"/>
      <c r="E150" s="50"/>
      <c r="F150" s="50"/>
      <c r="G150" s="50"/>
      <c r="H150" s="50"/>
      <c r="I150" s="50"/>
      <c r="J150" s="50"/>
      <c r="K150" s="50"/>
      <c r="L150" s="50"/>
      <c r="M150" s="3" t="s">
        <v>281</v>
      </c>
    </row>
    <row r="151" spans="1:110" x14ac:dyDescent="0.25">
      <c r="A151" s="55"/>
      <c r="B151" s="46" t="s">
        <v>1675</v>
      </c>
      <c r="C151" s="42"/>
      <c r="D151" s="42"/>
      <c r="E151" s="156"/>
      <c r="F151" s="156"/>
      <c r="G151" s="156"/>
      <c r="H151" s="156"/>
      <c r="I151" s="156"/>
      <c r="J151" s="156"/>
      <c r="K151" s="156"/>
      <c r="L151" s="156"/>
    </row>
    <row r="152" spans="1:110" x14ac:dyDescent="0.25">
      <c r="A152" s="55"/>
      <c r="B152" s="46" t="s">
        <v>1182</v>
      </c>
      <c r="C152" s="42"/>
      <c r="D152" s="42" t="s">
        <v>8</v>
      </c>
      <c r="E152" s="156"/>
      <c r="F152" s="156"/>
      <c r="G152" s="156"/>
      <c r="H152" s="156"/>
      <c r="I152" s="45">
        <f t="shared" ref="I152:K153" si="350">(I162+I169)/(I165+I172)*100</f>
        <v>24.377403576895791</v>
      </c>
      <c r="J152" s="45">
        <f t="shared" si="350"/>
        <v>24.788804818923087</v>
      </c>
      <c r="K152" s="45">
        <f t="shared" si="350"/>
        <v>26.808646406636356</v>
      </c>
      <c r="L152" s="45" t="e">
        <f t="shared" ref="L152" si="351">(L162+L169)/(L165+L172)*100</f>
        <v>#DIV/0!</v>
      </c>
      <c r="N152" s="45">
        <f t="shared" ref="N152:P153" si="352">(N162+N169)/(N165+N172)*100</f>
        <v>18.398279225651542</v>
      </c>
      <c r="O152" s="45" t="e">
        <f t="shared" si="352"/>
        <v>#DIV/0!</v>
      </c>
      <c r="P152" s="45">
        <f t="shared" ref="P152:Q152" si="353">(P162+P169)/(P165+P172)*100</f>
        <v>0</v>
      </c>
      <c r="Q152" s="45" t="e">
        <f t="shared" si="353"/>
        <v>#DIV/0!</v>
      </c>
      <c r="S152" s="45">
        <f t="shared" ref="S152:T153" si="354">(S162+S169)/(S165+S172)*100</f>
        <v>25.947677522690871</v>
      </c>
      <c r="T152" s="45" t="e">
        <f t="shared" si="354"/>
        <v>#DIV/0!</v>
      </c>
      <c r="V152" s="45">
        <f t="shared" ref="V152:W152" si="355">(V162+V169)/(V165+V172)*100</f>
        <v>29.228100607111884</v>
      </c>
      <c r="W152" s="45" t="e">
        <f t="shared" si="355"/>
        <v>#DIV/0!</v>
      </c>
      <c r="Y152" s="45">
        <f t="shared" ref="Y152:Z153" si="356">(Y162+Y169)/(Y165+Y172)*100</f>
        <v>3.5361216730038025</v>
      </c>
      <c r="Z152" s="45" t="e">
        <f t="shared" si="356"/>
        <v>#DIV/0!</v>
      </c>
      <c r="AA152" s="241"/>
      <c r="AB152" s="45">
        <f t="shared" ref="AB152:AC152" si="357">(AB162+AB169)/(AB165+AB172)*100</f>
        <v>0</v>
      </c>
      <c r="AC152" s="45" t="e">
        <f t="shared" si="357"/>
        <v>#DIV/0!</v>
      </c>
      <c r="AD152" s="241"/>
      <c r="AE152" s="45">
        <f t="shared" ref="AE152:AF152" si="358">(AE162+AE169)/(AE165+AE172)*100</f>
        <v>6.1904761904761907</v>
      </c>
      <c r="AF152" s="45" t="e">
        <f t="shared" si="358"/>
        <v>#DIV/0!</v>
      </c>
      <c r="AH152" s="45">
        <f t="shared" ref="AH152:AI152" si="359">(AH162+AH169)/(AH165+AH172)*100</f>
        <v>0</v>
      </c>
      <c r="AI152" s="45" t="e">
        <f t="shared" si="359"/>
        <v>#DIV/0!</v>
      </c>
      <c r="AJ152" s="241"/>
      <c r="AK152" s="45">
        <f t="shared" ref="AK152:AL152" si="360">(AK162+AK169)/(AK165+AK172)*100</f>
        <v>13.630406290956751</v>
      </c>
      <c r="AL152" s="45" t="e">
        <f t="shared" si="360"/>
        <v>#DIV/0!</v>
      </c>
      <c r="AM152" s="241"/>
      <c r="AN152" s="45">
        <f t="shared" ref="AN152:AO152" si="361">(AN162+AN169)/(AN165+AN172)*100</f>
        <v>12.761904761904763</v>
      </c>
      <c r="AO152" s="45" t="e">
        <f t="shared" si="361"/>
        <v>#DIV/0!</v>
      </c>
      <c r="AQ152" s="45">
        <f t="shared" ref="AQ152:AR152" si="362">(AQ162+AQ169)/(AQ165+AQ172)*100</f>
        <v>19.622641509433965</v>
      </c>
      <c r="AR152" s="45" t="e">
        <f t="shared" si="362"/>
        <v>#DIV/0!</v>
      </c>
      <c r="AS152" s="241"/>
      <c r="AT152" s="45">
        <f t="shared" ref="AT152:AU152" si="363">(AT162+AT169)/(AT165+AT172)*100</f>
        <v>0</v>
      </c>
      <c r="AU152" s="45" t="e">
        <f t="shared" si="363"/>
        <v>#DIV/0!</v>
      </c>
      <c r="AW152" s="45">
        <f t="shared" ref="AW152:AX152" si="364">(AW162+AW169)/(AW165+AW172)*100</f>
        <v>8.8974854932301746</v>
      </c>
      <c r="AX152" s="45" t="e">
        <f t="shared" si="364"/>
        <v>#DIV/0!</v>
      </c>
      <c r="AZ152" s="45">
        <f t="shared" ref="AZ152:BA152" si="365">(AZ162+AZ169)/(AZ165+AZ172)*100</f>
        <v>18.724448078495502</v>
      </c>
      <c r="BA152" s="45" t="e">
        <f t="shared" si="365"/>
        <v>#DIV/0!</v>
      </c>
      <c r="BB152" s="241"/>
      <c r="BC152" s="45">
        <f t="shared" ref="BC152:BD152" si="366">(BC162+BC169)/(BC165+BC172)*100</f>
        <v>30.801435406698563</v>
      </c>
      <c r="BD152" s="45" t="e">
        <f t="shared" si="366"/>
        <v>#DIV/0!</v>
      </c>
      <c r="BE152" s="241"/>
      <c r="BF152" s="45">
        <f t="shared" ref="BF152:BG152" si="367">(BF162+BF169)/(BF165+BF172)*100</f>
        <v>32.137404580152676</v>
      </c>
      <c r="BG152" s="45" t="e">
        <f t="shared" si="367"/>
        <v>#DIV/0!</v>
      </c>
      <c r="BI152" s="45">
        <f t="shared" ref="BI152:BJ152" si="368">(BI162+BI169)/(BI165+BI172)*100</f>
        <v>6.4556962025316453</v>
      </c>
      <c r="BJ152" s="45" t="e">
        <f t="shared" si="368"/>
        <v>#DIV/0!</v>
      </c>
      <c r="BK152" s="241"/>
      <c r="BL152" s="45">
        <f t="shared" ref="BL152:BM152" si="369">(BL162+BL169)/(BL165+BL172)*100</f>
        <v>21.515561569688767</v>
      </c>
      <c r="BM152" s="45" t="e">
        <f t="shared" si="369"/>
        <v>#DIV/0!</v>
      </c>
      <c r="BN152" s="241"/>
      <c r="BO152" s="45">
        <f t="shared" ref="BO152:BP152" si="370">(BO162+BO169)/(BO165+BO172)*100</f>
        <v>0.21598272138228944</v>
      </c>
      <c r="BP152" s="45" t="e">
        <f t="shared" si="370"/>
        <v>#DIV/0!</v>
      </c>
      <c r="BR152" s="45">
        <f t="shared" ref="BR152:BS152" si="371">(BR162+BR169)/(BR165+BR172)*100</f>
        <v>5.1339285714285712</v>
      </c>
      <c r="BS152" s="45" t="e">
        <f t="shared" si="371"/>
        <v>#DIV/0!</v>
      </c>
      <c r="BT152" s="241"/>
      <c r="BU152" s="45">
        <f t="shared" ref="BU152:BV152" si="372">(BU162+BU169)/(BU165+BU172)*100</f>
        <v>14.76608187134503</v>
      </c>
      <c r="BV152" s="45" t="e">
        <f t="shared" si="372"/>
        <v>#DIV/0!</v>
      </c>
      <c r="BW152" s="241"/>
      <c r="BX152" s="45">
        <f t="shared" ref="BX152:BY152" si="373">(BX162+BX169)/(BX165+BX172)*100</f>
        <v>12.210526315789473</v>
      </c>
      <c r="BY152" s="45" t="e">
        <f t="shared" si="373"/>
        <v>#DIV/0!</v>
      </c>
      <c r="CA152" s="45">
        <f t="shared" ref="CA152:CB152" si="374">(CA162+CA169)/(CA165+CA172)*100</f>
        <v>21.182795698924732</v>
      </c>
      <c r="CB152" s="45" t="e">
        <f t="shared" si="374"/>
        <v>#DIV/0!</v>
      </c>
      <c r="CC152" s="241"/>
      <c r="CD152" s="45">
        <f t="shared" ref="CD152:CE152" si="375">(CD162+CD169)/(CD165+CD172)*100</f>
        <v>33.75</v>
      </c>
      <c r="CE152" s="45" t="e">
        <f t="shared" si="375"/>
        <v>#DIV/0!</v>
      </c>
      <c r="CF152" s="241"/>
      <c r="CG152" s="45">
        <f t="shared" ref="CG152:CH152" si="376">(CG162+CG169)/(CG165+CG172)*100</f>
        <v>25.270758122743679</v>
      </c>
      <c r="CH152" s="45" t="e">
        <f t="shared" si="376"/>
        <v>#DIV/0!</v>
      </c>
      <c r="CJ152" s="45">
        <f t="shared" ref="CJ152:CK152" si="377">(CJ162+CJ169)/(CJ165+CJ172)*100</f>
        <v>43.154246100519934</v>
      </c>
      <c r="CK152" s="45" t="e">
        <f t="shared" si="377"/>
        <v>#DIV/0!</v>
      </c>
      <c r="CM152" s="45" t="e">
        <f t="shared" ref="CM152:CN152" si="378">(CM162+CM169)/(CM165+CM172)*100</f>
        <v>#DIV/0!</v>
      </c>
      <c r="CN152" s="45" t="e">
        <f t="shared" si="378"/>
        <v>#DIV/0!</v>
      </c>
      <c r="CP152" s="45" t="e">
        <f t="shared" ref="CP152:CQ152" si="379">(CP162+CP169)/(CP165+CP172)*100</f>
        <v>#DIV/0!</v>
      </c>
      <c r="CQ152" s="45" t="e">
        <f t="shared" si="379"/>
        <v>#DIV/0!</v>
      </c>
      <c r="CS152" s="45">
        <f t="shared" ref="CS152:CT152" si="380">(CS162+CS169)/(CS165+CS172)*100</f>
        <v>65.146115466856742</v>
      </c>
      <c r="CT152" s="45" t="e">
        <f t="shared" si="380"/>
        <v>#DIV/0!</v>
      </c>
      <c r="CV152" s="45">
        <f t="shared" ref="CV152:CW152" si="381">(CV162+CV169)/(CV165+CV172)*100</f>
        <v>55.711206896551722</v>
      </c>
      <c r="CW152" s="45" t="e">
        <f t="shared" si="381"/>
        <v>#DIV/0!</v>
      </c>
      <c r="CY152" s="45">
        <f t="shared" ref="CY152:CZ152" si="382">(CY162+CY169)/(CY165+CY172)*100</f>
        <v>56.912209889001005</v>
      </c>
      <c r="CZ152" s="45" t="e">
        <f t="shared" si="382"/>
        <v>#DIV/0!</v>
      </c>
      <c r="DB152" s="45">
        <f t="shared" ref="DB152:DC152" si="383">(DB162+DB169)/(DB165+DB172)*100</f>
        <v>62.987012987012989</v>
      </c>
      <c r="DC152" s="45" t="e">
        <f t="shared" si="383"/>
        <v>#DIV/0!</v>
      </c>
      <c r="DE152" s="45" t="e">
        <f t="shared" ref="DE152:DF152" si="384">(DE162+DE169)/(DE165+DE172)*100</f>
        <v>#DIV/0!</v>
      </c>
      <c r="DF152" s="45" t="e">
        <f t="shared" si="384"/>
        <v>#DIV/0!</v>
      </c>
    </row>
    <row r="153" spans="1:110" x14ac:dyDescent="0.25">
      <c r="A153" s="55"/>
      <c r="B153" s="46" t="s">
        <v>1184</v>
      </c>
      <c r="C153" s="42"/>
      <c r="D153" s="42" t="s">
        <v>8</v>
      </c>
      <c r="E153" s="156"/>
      <c r="F153" s="156"/>
      <c r="G153" s="156"/>
      <c r="H153" s="156"/>
      <c r="I153" s="45">
        <f t="shared" si="350"/>
        <v>100</v>
      </c>
      <c r="J153" s="45">
        <f t="shared" si="350"/>
        <v>98.118886380737393</v>
      </c>
      <c r="K153" s="45">
        <f t="shared" si="350"/>
        <v>94.610778443113773</v>
      </c>
      <c r="L153" s="45" t="e">
        <f t="shared" ref="L153" si="385">(L163+L170)/(L166+L173)*100</f>
        <v>#DIV/0!</v>
      </c>
      <c r="N153" s="45">
        <f t="shared" ref="N153" si="386">(N163+N170)/(N166+N173)*100</f>
        <v>94.610778443113773</v>
      </c>
      <c r="O153" s="45" t="e">
        <f t="shared" si="352"/>
        <v>#DIV/0!</v>
      </c>
      <c r="P153" s="45" t="e">
        <f t="shared" si="352"/>
        <v>#DIV/0!</v>
      </c>
      <c r="Q153" s="45" t="e">
        <f t="shared" ref="Q153" si="387">(Q163+Q170)/(Q166+Q173)*100</f>
        <v>#DIV/0!</v>
      </c>
      <c r="S153" s="45" t="e">
        <f t="shared" ref="S153" si="388">(S163+S170)/(S166+S173)*100</f>
        <v>#DIV/0!</v>
      </c>
      <c r="T153" s="45" t="e">
        <f t="shared" si="354"/>
        <v>#DIV/0!</v>
      </c>
      <c r="V153" s="45" t="e">
        <f t="shared" ref="V153:W153" si="389">(V163+V170)/(V166+V173)*100</f>
        <v>#DIV/0!</v>
      </c>
      <c r="W153" s="45" t="e">
        <f t="shared" si="389"/>
        <v>#DIV/0!</v>
      </c>
      <c r="Y153" s="45" t="e">
        <f t="shared" ref="Y153" si="390">(Y163+Y170)/(Y166+Y173)*100</f>
        <v>#DIV/0!</v>
      </c>
      <c r="Z153" s="45" t="e">
        <f t="shared" si="356"/>
        <v>#DIV/0!</v>
      </c>
      <c r="AA153" s="241"/>
      <c r="AB153" s="45" t="e">
        <f t="shared" ref="AB153:AC153" si="391">(AB163+AB170)/(AB166+AB173)*100</f>
        <v>#DIV/0!</v>
      </c>
      <c r="AC153" s="45" t="e">
        <f t="shared" si="391"/>
        <v>#DIV/0!</v>
      </c>
      <c r="AD153" s="241"/>
      <c r="AE153" s="45" t="e">
        <f t="shared" ref="AE153:AF153" si="392">(AE163+AE170)/(AE166+AE173)*100</f>
        <v>#DIV/0!</v>
      </c>
      <c r="AF153" s="45" t="e">
        <f t="shared" si="392"/>
        <v>#DIV/0!</v>
      </c>
      <c r="AH153" s="45" t="e">
        <f t="shared" ref="AH153:AI153" si="393">(AH163+AH170)/(AH166+AH173)*100</f>
        <v>#DIV/0!</v>
      </c>
      <c r="AI153" s="45" t="e">
        <f t="shared" si="393"/>
        <v>#DIV/0!</v>
      </c>
      <c r="AJ153" s="241"/>
      <c r="AK153" s="45" t="e">
        <f t="shared" ref="AK153:AL153" si="394">(AK163+AK170)/(AK166+AK173)*100</f>
        <v>#DIV/0!</v>
      </c>
      <c r="AL153" s="45" t="e">
        <f t="shared" si="394"/>
        <v>#DIV/0!</v>
      </c>
      <c r="AM153" s="241"/>
      <c r="AN153" s="45" t="e">
        <f t="shared" ref="AN153:AO153" si="395">(AN163+AN170)/(AN166+AN173)*100</f>
        <v>#DIV/0!</v>
      </c>
      <c r="AO153" s="45" t="e">
        <f t="shared" si="395"/>
        <v>#DIV/0!</v>
      </c>
      <c r="AQ153" s="45" t="e">
        <f t="shared" ref="AQ153:AR153" si="396">(AQ163+AQ170)/(AQ166+AQ173)*100</f>
        <v>#DIV/0!</v>
      </c>
      <c r="AR153" s="45" t="e">
        <f t="shared" si="396"/>
        <v>#DIV/0!</v>
      </c>
      <c r="AS153" s="241"/>
      <c r="AT153" s="45" t="e">
        <f t="shared" ref="AT153:AU153" si="397">(AT163+AT170)/(AT166+AT173)*100</f>
        <v>#DIV/0!</v>
      </c>
      <c r="AU153" s="45" t="e">
        <f t="shared" si="397"/>
        <v>#DIV/0!</v>
      </c>
      <c r="AW153" s="45" t="e">
        <f t="shared" ref="AW153:AX153" si="398">(AW163+AW170)/(AW166+AW173)*100</f>
        <v>#DIV/0!</v>
      </c>
      <c r="AX153" s="45" t="e">
        <f t="shared" si="398"/>
        <v>#DIV/0!</v>
      </c>
      <c r="AZ153" s="45" t="e">
        <f t="shared" ref="AZ153:BA153" si="399">(AZ163+AZ170)/(AZ166+AZ173)*100</f>
        <v>#DIV/0!</v>
      </c>
      <c r="BA153" s="45" t="e">
        <f t="shared" si="399"/>
        <v>#DIV/0!</v>
      </c>
      <c r="BB153" s="241"/>
      <c r="BC153" s="45" t="e">
        <f t="shared" ref="BC153:BD153" si="400">(BC163+BC170)/(BC166+BC173)*100</f>
        <v>#DIV/0!</v>
      </c>
      <c r="BD153" s="45" t="e">
        <f t="shared" si="400"/>
        <v>#DIV/0!</v>
      </c>
      <c r="BE153" s="241"/>
      <c r="BF153" s="45" t="e">
        <f t="shared" ref="BF153:BG153" si="401">(BF163+BF170)/(BF166+BF173)*100</f>
        <v>#DIV/0!</v>
      </c>
      <c r="BG153" s="45" t="e">
        <f t="shared" si="401"/>
        <v>#DIV/0!</v>
      </c>
      <c r="BI153" s="45" t="e">
        <f t="shared" ref="BI153:BJ153" si="402">(BI163+BI170)/(BI166+BI173)*100</f>
        <v>#DIV/0!</v>
      </c>
      <c r="BJ153" s="45" t="e">
        <f t="shared" si="402"/>
        <v>#DIV/0!</v>
      </c>
      <c r="BK153" s="241"/>
      <c r="BL153" s="45" t="e">
        <f t="shared" ref="BL153:BM153" si="403">(BL163+BL170)/(BL166+BL173)*100</f>
        <v>#DIV/0!</v>
      </c>
      <c r="BM153" s="45" t="e">
        <f t="shared" si="403"/>
        <v>#DIV/0!</v>
      </c>
      <c r="BN153" s="241"/>
      <c r="BO153" s="45" t="e">
        <f t="shared" ref="BO153:BP153" si="404">(BO163+BO170)/(BO166+BO173)*100</f>
        <v>#DIV/0!</v>
      </c>
      <c r="BP153" s="45" t="e">
        <f t="shared" si="404"/>
        <v>#DIV/0!</v>
      </c>
      <c r="BR153" s="45" t="e">
        <f t="shared" ref="BR153:BS153" si="405">(BR163+BR170)/(BR166+BR173)*100</f>
        <v>#DIV/0!</v>
      </c>
      <c r="BS153" s="45" t="e">
        <f t="shared" si="405"/>
        <v>#DIV/0!</v>
      </c>
      <c r="BT153" s="241"/>
      <c r="BU153" s="45" t="e">
        <f t="shared" ref="BU153:BV153" si="406">(BU163+BU170)/(BU166+BU173)*100</f>
        <v>#DIV/0!</v>
      </c>
      <c r="BV153" s="45" t="e">
        <f t="shared" si="406"/>
        <v>#DIV/0!</v>
      </c>
      <c r="BW153" s="241"/>
      <c r="BX153" s="45" t="e">
        <f t="shared" ref="BX153:BY153" si="407">(BX163+BX170)/(BX166+BX173)*100</f>
        <v>#DIV/0!</v>
      </c>
      <c r="BY153" s="45" t="e">
        <f t="shared" si="407"/>
        <v>#DIV/0!</v>
      </c>
      <c r="CA153" s="45" t="e">
        <f t="shared" ref="CA153:CB153" si="408">(CA163+CA170)/(CA166+CA173)*100</f>
        <v>#DIV/0!</v>
      </c>
      <c r="CB153" s="45" t="e">
        <f t="shared" si="408"/>
        <v>#DIV/0!</v>
      </c>
      <c r="CC153" s="241"/>
      <c r="CD153" s="45" t="e">
        <f t="shared" ref="CD153:CE153" si="409">(CD163+CD170)/(CD166+CD173)*100</f>
        <v>#DIV/0!</v>
      </c>
      <c r="CE153" s="45" t="e">
        <f t="shared" si="409"/>
        <v>#DIV/0!</v>
      </c>
      <c r="CF153" s="241"/>
      <c r="CG153" s="45" t="e">
        <f t="shared" ref="CG153:CH153" si="410">(CG163+CG170)/(CG166+CG173)*100</f>
        <v>#DIV/0!</v>
      </c>
      <c r="CH153" s="45" t="e">
        <f t="shared" si="410"/>
        <v>#DIV/0!</v>
      </c>
      <c r="CJ153" s="45" t="e">
        <f t="shared" ref="CJ153:CK153" si="411">(CJ163+CJ170)/(CJ166+CJ173)*100</f>
        <v>#DIV/0!</v>
      </c>
      <c r="CK153" s="45" t="e">
        <f t="shared" si="411"/>
        <v>#DIV/0!</v>
      </c>
      <c r="CM153" s="45" t="e">
        <f t="shared" ref="CM153:CN153" si="412">(CM163+CM170)/(CM166+CM173)*100</f>
        <v>#DIV/0!</v>
      </c>
      <c r="CN153" s="45" t="e">
        <f t="shared" si="412"/>
        <v>#DIV/0!</v>
      </c>
      <c r="CP153" s="45" t="e">
        <f t="shared" ref="CP153:CQ153" si="413">(CP163+CP170)/(CP166+CP173)*100</f>
        <v>#DIV/0!</v>
      </c>
      <c r="CQ153" s="45" t="e">
        <f t="shared" si="413"/>
        <v>#DIV/0!</v>
      </c>
      <c r="CS153" s="45" t="e">
        <f t="shared" ref="CS153:CT153" si="414">(CS163+CS170)/(CS166+CS173)*100</f>
        <v>#DIV/0!</v>
      </c>
      <c r="CT153" s="45" t="e">
        <f t="shared" si="414"/>
        <v>#DIV/0!</v>
      </c>
      <c r="CV153" s="45" t="e">
        <f t="shared" ref="CV153:CW153" si="415">(CV163+CV170)/(CV166+CV173)*100</f>
        <v>#DIV/0!</v>
      </c>
      <c r="CW153" s="45" t="e">
        <f t="shared" si="415"/>
        <v>#DIV/0!</v>
      </c>
      <c r="CY153" s="45" t="e">
        <f t="shared" ref="CY153:CZ153" si="416">(CY163+CY170)/(CY166+CY173)*100</f>
        <v>#DIV/0!</v>
      </c>
      <c r="CZ153" s="45" t="e">
        <f t="shared" si="416"/>
        <v>#DIV/0!</v>
      </c>
      <c r="DB153" s="45" t="e">
        <f t="shared" ref="DB153:DC153" si="417">(DB163+DB170)/(DB166+DB173)*100</f>
        <v>#DIV/0!</v>
      </c>
      <c r="DC153" s="45" t="e">
        <f t="shared" si="417"/>
        <v>#DIV/0!</v>
      </c>
      <c r="DE153" s="45">
        <f>(DE163+DE170)/(DE166+DE173)*100</f>
        <v>94.610778443113773</v>
      </c>
      <c r="DF153" s="45" t="e">
        <f t="shared" ref="DF153" si="418">(DF163+DF170)/(DF166+DF173)*100</f>
        <v>#DIV/0!</v>
      </c>
    </row>
    <row r="154" spans="1:110" x14ac:dyDescent="0.25">
      <c r="A154" s="55"/>
      <c r="B154" s="46" t="s">
        <v>1731</v>
      </c>
      <c r="C154" s="42"/>
      <c r="D154" s="42"/>
      <c r="E154" s="156"/>
      <c r="F154" s="156"/>
      <c r="G154" s="156"/>
      <c r="H154" s="156"/>
      <c r="I154" s="156"/>
      <c r="J154" s="156"/>
      <c r="K154" s="156"/>
      <c r="L154" s="156"/>
      <c r="N154" s="156"/>
      <c r="O154" s="156"/>
      <c r="P154" s="156"/>
      <c r="Q154" s="156"/>
      <c r="S154" s="156"/>
      <c r="T154" s="156"/>
      <c r="V154" s="156"/>
      <c r="W154" s="156"/>
      <c r="Y154" s="156"/>
      <c r="Z154" s="156"/>
      <c r="AA154" s="241"/>
      <c r="AB154" s="156"/>
      <c r="AC154" s="156"/>
      <c r="AD154" s="241"/>
      <c r="AE154" s="156"/>
      <c r="AF154" s="156"/>
      <c r="AH154" s="156"/>
      <c r="AI154" s="156"/>
      <c r="AJ154" s="241"/>
      <c r="AK154" s="156"/>
      <c r="AL154" s="156"/>
      <c r="AM154" s="241"/>
      <c r="AN154" s="156"/>
      <c r="AO154" s="156"/>
      <c r="AQ154" s="156"/>
      <c r="AR154" s="156"/>
      <c r="AS154" s="241"/>
      <c r="AT154" s="156"/>
      <c r="AU154" s="156"/>
      <c r="AW154" s="156"/>
      <c r="AX154" s="156"/>
      <c r="AZ154" s="156"/>
      <c r="BA154" s="156"/>
      <c r="BB154" s="241"/>
      <c r="BC154" s="156"/>
      <c r="BD154" s="156"/>
      <c r="BE154" s="241"/>
      <c r="BF154" s="156"/>
      <c r="BG154" s="156"/>
      <c r="BI154" s="156"/>
      <c r="BJ154" s="156"/>
      <c r="BK154" s="241"/>
      <c r="BL154" s="156"/>
      <c r="BM154" s="156"/>
      <c r="BN154" s="241"/>
      <c r="BO154" s="156"/>
      <c r="BP154" s="156"/>
      <c r="BR154" s="156"/>
      <c r="BS154" s="156"/>
      <c r="BT154" s="241"/>
      <c r="BU154" s="156"/>
      <c r="BV154" s="156"/>
      <c r="BW154" s="241"/>
      <c r="BX154" s="156"/>
      <c r="BY154" s="156"/>
      <c r="CA154" s="156"/>
      <c r="CB154" s="156"/>
      <c r="CC154" s="241"/>
      <c r="CD154" s="156"/>
      <c r="CE154" s="156"/>
      <c r="CF154" s="241"/>
      <c r="CG154" s="156"/>
      <c r="CH154" s="156"/>
      <c r="CJ154" s="156"/>
      <c r="CK154" s="156"/>
      <c r="CM154" s="156"/>
      <c r="CN154" s="156"/>
      <c r="CP154" s="156"/>
      <c r="CQ154" s="156"/>
      <c r="CS154" s="156"/>
      <c r="CT154" s="156"/>
      <c r="CV154" s="156"/>
      <c r="CW154" s="156"/>
      <c r="CY154" s="156"/>
      <c r="CZ154" s="156"/>
      <c r="DB154" s="156"/>
      <c r="DC154" s="156"/>
      <c r="DE154" s="156"/>
      <c r="DF154" s="156"/>
    </row>
    <row r="155" spans="1:110" x14ac:dyDescent="0.25">
      <c r="A155" s="55"/>
      <c r="B155" s="46" t="s">
        <v>1182</v>
      </c>
      <c r="C155" s="42"/>
      <c r="D155" s="42" t="s">
        <v>8</v>
      </c>
      <c r="E155" s="156"/>
      <c r="F155" s="156"/>
      <c r="G155" s="156"/>
      <c r="H155" s="156"/>
      <c r="I155" s="45">
        <f t="shared" ref="I155:K156" si="419">I162/I165*100</f>
        <v>1.7319804058782367</v>
      </c>
      <c r="J155" s="45">
        <f t="shared" si="419"/>
        <v>2.7133166726169224</v>
      </c>
      <c r="K155" s="45">
        <f t="shared" si="419"/>
        <v>6.4615384615384617</v>
      </c>
      <c r="L155" s="45" t="e">
        <f t="shared" ref="L155" si="420">L162/L165*100</f>
        <v>#DIV/0!</v>
      </c>
      <c r="N155" s="45">
        <f t="shared" ref="N155:O155" si="421">N162/N165*100</f>
        <v>6.4615384615384617</v>
      </c>
      <c r="O155" s="45" t="e">
        <f t="shared" si="421"/>
        <v>#DIV/0!</v>
      </c>
      <c r="P155" s="45" t="e">
        <f t="shared" ref="P155:Q155" si="422">P162/P165*100</f>
        <v>#DIV/0!</v>
      </c>
      <c r="Q155" s="45" t="e">
        <f t="shared" si="422"/>
        <v>#DIV/0!</v>
      </c>
      <c r="S155" s="45">
        <f t="shared" ref="S155:T155" si="423">S162/S165*100</f>
        <v>12.684365781710916</v>
      </c>
      <c r="T155" s="45" t="e">
        <f t="shared" si="423"/>
        <v>#DIV/0!</v>
      </c>
      <c r="V155" s="45">
        <f t="shared" ref="V155:W155" si="424">V162/V165*100</f>
        <v>3.1400966183574881</v>
      </c>
      <c r="W155" s="45" t="e">
        <f t="shared" si="424"/>
        <v>#DIV/0!</v>
      </c>
      <c r="Y155" s="45">
        <f t="shared" ref="Y155:Z155" si="425">Y162/Y165*100</f>
        <v>3.8582677165354329</v>
      </c>
      <c r="Z155" s="45" t="e">
        <f t="shared" si="425"/>
        <v>#DIV/0!</v>
      </c>
      <c r="AA155" s="241"/>
      <c r="AB155" s="45" t="e">
        <f t="shared" ref="AB155:AC155" si="426">AB162/AB165*100</f>
        <v>#DIV/0!</v>
      </c>
      <c r="AC155" s="45" t="e">
        <f t="shared" si="426"/>
        <v>#DIV/0!</v>
      </c>
      <c r="AD155" s="241"/>
      <c r="AE155" s="45" t="e">
        <f t="shared" ref="AE155:AF155" si="427">AE162/AE165*100</f>
        <v>#DIV/0!</v>
      </c>
      <c r="AF155" s="45" t="e">
        <f t="shared" si="427"/>
        <v>#DIV/0!</v>
      </c>
      <c r="AH155" s="45" t="e">
        <f t="shared" ref="AH155:AI155" si="428">AH162/AH165*100</f>
        <v>#DIV/0!</v>
      </c>
      <c r="AI155" s="45" t="e">
        <f t="shared" si="428"/>
        <v>#DIV/0!</v>
      </c>
      <c r="AJ155" s="241"/>
      <c r="AK155" s="45">
        <f t="shared" ref="AK155:AL155" si="429">AK162/AK165*100</f>
        <v>14.880952380952381</v>
      </c>
      <c r="AL155" s="45" t="e">
        <f t="shared" si="429"/>
        <v>#DIV/0!</v>
      </c>
      <c r="AM155" s="241"/>
      <c r="AN155" s="45" t="e">
        <f t="shared" ref="AN155:AO155" si="430">AN162/AN165*100</f>
        <v>#DIV/0!</v>
      </c>
      <c r="AO155" s="45" t="e">
        <f t="shared" si="430"/>
        <v>#DIV/0!</v>
      </c>
      <c r="AQ155" s="45">
        <f t="shared" ref="AQ155:AR155" si="431">AQ162/AQ165*100</f>
        <v>2.9850746268656714</v>
      </c>
      <c r="AR155" s="45" t="e">
        <f t="shared" si="431"/>
        <v>#DIV/0!</v>
      </c>
      <c r="AS155" s="241"/>
      <c r="AT155" s="45">
        <f t="shared" ref="AT155:AU155" si="432">AT162/AT165*100</f>
        <v>0</v>
      </c>
      <c r="AU155" s="45" t="e">
        <f t="shared" si="432"/>
        <v>#DIV/0!</v>
      </c>
      <c r="AW155" s="45">
        <f t="shared" ref="AW155:AX155" si="433">AW162/AW165*100</f>
        <v>3.6585365853658534</v>
      </c>
      <c r="AX155" s="45" t="e">
        <f t="shared" si="433"/>
        <v>#DIV/0!</v>
      </c>
      <c r="AZ155" s="45">
        <f t="shared" ref="AZ155:BA155" si="434">AZ162/AZ165*100</f>
        <v>8.2822085889570545</v>
      </c>
      <c r="BA155" s="45" t="e">
        <f t="shared" si="434"/>
        <v>#DIV/0!</v>
      </c>
      <c r="BB155" s="241"/>
      <c r="BC155" s="45" t="e">
        <f t="shared" ref="BC155:BD155" si="435">BC162/BC165*100</f>
        <v>#DIV/0!</v>
      </c>
      <c r="BD155" s="45" t="e">
        <f t="shared" si="435"/>
        <v>#DIV/0!</v>
      </c>
      <c r="BE155" s="241"/>
      <c r="BF155" s="45">
        <f t="shared" ref="BF155:BG155" si="436">BF162/BF165*100</f>
        <v>28.293736501079913</v>
      </c>
      <c r="BG155" s="45" t="e">
        <f t="shared" si="436"/>
        <v>#DIV/0!</v>
      </c>
      <c r="BI155" s="45">
        <f t="shared" ref="BI155:BJ155" si="437">BI162/BI165*100</f>
        <v>0</v>
      </c>
      <c r="BJ155" s="45" t="e">
        <f t="shared" si="437"/>
        <v>#DIV/0!</v>
      </c>
      <c r="BK155" s="241"/>
      <c r="BL155" s="45">
        <f t="shared" ref="BL155:BM155" si="438">BL162/BL165*100</f>
        <v>2.7149321266968327</v>
      </c>
      <c r="BM155" s="45" t="e">
        <f t="shared" si="438"/>
        <v>#DIV/0!</v>
      </c>
      <c r="BN155" s="241"/>
      <c r="BO155" s="45">
        <f t="shared" ref="BO155:BP155" si="439">BO162/BO165*100</f>
        <v>0</v>
      </c>
      <c r="BP155" s="45" t="e">
        <f t="shared" si="439"/>
        <v>#DIV/0!</v>
      </c>
      <c r="BR155" s="45">
        <f t="shared" ref="BR155:BS155" si="440">BR162/BR165*100</f>
        <v>0</v>
      </c>
      <c r="BS155" s="45" t="e">
        <f t="shared" si="440"/>
        <v>#DIV/0!</v>
      </c>
      <c r="BT155" s="241"/>
      <c r="BU155" s="45">
        <f t="shared" ref="BU155:BV155" si="441">BU162/BU165*100</f>
        <v>0</v>
      </c>
      <c r="BV155" s="45" t="e">
        <f t="shared" si="441"/>
        <v>#DIV/0!</v>
      </c>
      <c r="BW155" s="241"/>
      <c r="BX155" s="45">
        <f t="shared" ref="BX155:BY155" si="442">BX162/BX165*100</f>
        <v>0</v>
      </c>
      <c r="BY155" s="45" t="e">
        <f t="shared" si="442"/>
        <v>#DIV/0!</v>
      </c>
      <c r="CA155" s="45">
        <f t="shared" ref="CA155:CB155" si="443">CA162/CA165*100</f>
        <v>0</v>
      </c>
      <c r="CB155" s="45" t="e">
        <f t="shared" si="443"/>
        <v>#DIV/0!</v>
      </c>
      <c r="CC155" s="241"/>
      <c r="CD155" s="45" t="e">
        <f t="shared" ref="CD155:CE155" si="444">CD162/CD165*100</f>
        <v>#DIV/0!</v>
      </c>
      <c r="CE155" s="45" t="e">
        <f t="shared" si="444"/>
        <v>#DIV/0!</v>
      </c>
      <c r="CF155" s="241"/>
      <c r="CG155" s="45">
        <f t="shared" ref="CG155:CH155" si="445">CG162/CG165*100</f>
        <v>8.3969465648854964</v>
      </c>
      <c r="CH155" s="45" t="e">
        <f t="shared" si="445"/>
        <v>#DIV/0!</v>
      </c>
      <c r="CJ155" s="45" t="e">
        <f t="shared" ref="CJ155:CK155" si="446">CJ162/CJ165*100</f>
        <v>#DIV/0!</v>
      </c>
      <c r="CK155" s="45" t="e">
        <f t="shared" si="446"/>
        <v>#DIV/0!</v>
      </c>
      <c r="CM155" s="45" t="e">
        <f t="shared" ref="CM155:CN155" si="447">CM162/CM165*100</f>
        <v>#DIV/0!</v>
      </c>
      <c r="CN155" s="45" t="e">
        <f t="shared" si="447"/>
        <v>#DIV/0!</v>
      </c>
      <c r="CP155" s="45" t="e">
        <f t="shared" ref="CP155:CQ155" si="448">CP162/CP165*100</f>
        <v>#DIV/0!</v>
      </c>
      <c r="CQ155" s="45" t="e">
        <f t="shared" si="448"/>
        <v>#DIV/0!</v>
      </c>
      <c r="CS155" s="45" t="e">
        <f t="shared" ref="CS155:CT155" si="449">CS162/CS165*100</f>
        <v>#DIV/0!</v>
      </c>
      <c r="CT155" s="45" t="e">
        <f t="shared" si="449"/>
        <v>#DIV/0!</v>
      </c>
      <c r="CV155" s="45" t="e">
        <f t="shared" ref="CV155:CW155" si="450">CV162/CV165*100</f>
        <v>#DIV/0!</v>
      </c>
      <c r="CW155" s="45" t="e">
        <f t="shared" si="450"/>
        <v>#DIV/0!</v>
      </c>
      <c r="CY155" s="45" t="e">
        <f t="shared" ref="CY155:CZ155" si="451">CY162/CY165*100</f>
        <v>#DIV/0!</v>
      </c>
      <c r="CZ155" s="45" t="e">
        <f t="shared" si="451"/>
        <v>#DIV/0!</v>
      </c>
      <c r="DB155" s="45" t="e">
        <f t="shared" ref="DB155:DC155" si="452">DB162/DB165*100</f>
        <v>#DIV/0!</v>
      </c>
      <c r="DC155" s="45" t="e">
        <f t="shared" si="452"/>
        <v>#DIV/0!</v>
      </c>
      <c r="DE155" s="45" t="e">
        <f t="shared" ref="DE155:DF155" si="453">DE162/DE165*100</f>
        <v>#DIV/0!</v>
      </c>
      <c r="DF155" s="45" t="e">
        <f t="shared" si="453"/>
        <v>#DIV/0!</v>
      </c>
    </row>
    <row r="156" spans="1:110" x14ac:dyDescent="0.25">
      <c r="A156" s="55"/>
      <c r="B156" s="46" t="s">
        <v>1184</v>
      </c>
      <c r="C156" s="42"/>
      <c r="D156" s="42" t="s">
        <v>8</v>
      </c>
      <c r="E156" s="156"/>
      <c r="F156" s="156"/>
      <c r="G156" s="156"/>
      <c r="H156" s="156"/>
      <c r="I156" s="45">
        <f t="shared" si="419"/>
        <v>100</v>
      </c>
      <c r="J156" s="45">
        <f t="shared" si="419"/>
        <v>100</v>
      </c>
      <c r="K156" s="45">
        <f>K163/K166*100</f>
        <v>88.888888888888886</v>
      </c>
      <c r="L156" s="45" t="e">
        <f>L163/L166*100</f>
        <v>#DIV/0!</v>
      </c>
      <c r="N156" s="45">
        <f>N163/N166*100</f>
        <v>88.888888888888886</v>
      </c>
      <c r="O156" s="45" t="e">
        <f>O163/O166*100</f>
        <v>#DIV/0!</v>
      </c>
      <c r="P156" s="45" t="e">
        <f>P163/P166*100</f>
        <v>#DIV/0!</v>
      </c>
      <c r="Q156" s="45" t="e">
        <f>Q163/Q166*100</f>
        <v>#DIV/0!</v>
      </c>
      <c r="S156" s="45" t="e">
        <f>S163/S166*100</f>
        <v>#DIV/0!</v>
      </c>
      <c r="T156" s="45" t="e">
        <f>T163/T166*100</f>
        <v>#DIV/0!</v>
      </c>
      <c r="V156" s="45" t="e">
        <f>V163/V166*100</f>
        <v>#DIV/0!</v>
      </c>
      <c r="W156" s="45" t="e">
        <f>W163/W166*100</f>
        <v>#DIV/0!</v>
      </c>
      <c r="Y156" s="45" t="e">
        <f>Y163/Y166*100</f>
        <v>#DIV/0!</v>
      </c>
      <c r="Z156" s="45" t="e">
        <f>Z163/Z166*100</f>
        <v>#DIV/0!</v>
      </c>
      <c r="AA156" s="241"/>
      <c r="AB156" s="45" t="e">
        <f>AB163/AB166*100</f>
        <v>#DIV/0!</v>
      </c>
      <c r="AC156" s="45" t="e">
        <f>AC163/AC166*100</f>
        <v>#DIV/0!</v>
      </c>
      <c r="AD156" s="241"/>
      <c r="AE156" s="45" t="e">
        <f>AE163/AE166*100</f>
        <v>#DIV/0!</v>
      </c>
      <c r="AF156" s="45" t="e">
        <f>AF163/AF166*100</f>
        <v>#DIV/0!</v>
      </c>
      <c r="AH156" s="45" t="e">
        <f>AH163/AH166*100</f>
        <v>#DIV/0!</v>
      </c>
      <c r="AI156" s="45" t="e">
        <f>AI163/AI166*100</f>
        <v>#DIV/0!</v>
      </c>
      <c r="AJ156" s="241"/>
      <c r="AK156" s="45" t="e">
        <f>AK163/AK166*100</f>
        <v>#DIV/0!</v>
      </c>
      <c r="AL156" s="45" t="e">
        <f>AL163/AL166*100</f>
        <v>#DIV/0!</v>
      </c>
      <c r="AM156" s="241"/>
      <c r="AN156" s="45" t="e">
        <f>AN163/AN166*100</f>
        <v>#DIV/0!</v>
      </c>
      <c r="AO156" s="45" t="e">
        <f>AO163/AO166*100</f>
        <v>#DIV/0!</v>
      </c>
      <c r="AQ156" s="45" t="e">
        <f>AQ163/AQ166*100</f>
        <v>#DIV/0!</v>
      </c>
      <c r="AR156" s="45" t="e">
        <f>AR163/AR166*100</f>
        <v>#DIV/0!</v>
      </c>
      <c r="AS156" s="241"/>
      <c r="AT156" s="45" t="e">
        <f>AT163/AT166*100</f>
        <v>#DIV/0!</v>
      </c>
      <c r="AU156" s="45" t="e">
        <f>AU163/AU166*100</f>
        <v>#DIV/0!</v>
      </c>
      <c r="AW156" s="45" t="e">
        <f>AW163/AW166*100</f>
        <v>#DIV/0!</v>
      </c>
      <c r="AX156" s="45" t="e">
        <f>AX163/AX166*100</f>
        <v>#DIV/0!</v>
      </c>
      <c r="AZ156" s="45" t="e">
        <f>AZ163/AZ166*100</f>
        <v>#DIV/0!</v>
      </c>
      <c r="BA156" s="45" t="e">
        <f>BA163/BA166*100</f>
        <v>#DIV/0!</v>
      </c>
      <c r="BB156" s="241"/>
      <c r="BC156" s="45" t="e">
        <f>BC163/BC166*100</f>
        <v>#DIV/0!</v>
      </c>
      <c r="BD156" s="45" t="e">
        <f>BD163/BD166*100</f>
        <v>#DIV/0!</v>
      </c>
      <c r="BE156" s="241"/>
      <c r="BF156" s="45" t="e">
        <f>BF163/BF166*100</f>
        <v>#DIV/0!</v>
      </c>
      <c r="BG156" s="45" t="e">
        <f>BG163/BG166*100</f>
        <v>#DIV/0!</v>
      </c>
      <c r="BI156" s="45" t="e">
        <f>BI163/BI166*100</f>
        <v>#DIV/0!</v>
      </c>
      <c r="BJ156" s="45" t="e">
        <f>BJ163/BJ166*100</f>
        <v>#DIV/0!</v>
      </c>
      <c r="BK156" s="241"/>
      <c r="BL156" s="45" t="e">
        <f>BL163/BL166*100</f>
        <v>#DIV/0!</v>
      </c>
      <c r="BM156" s="45" t="e">
        <f>BM163/BM166*100</f>
        <v>#DIV/0!</v>
      </c>
      <c r="BN156" s="241"/>
      <c r="BO156" s="45" t="e">
        <f>BO163/BO166*100</f>
        <v>#DIV/0!</v>
      </c>
      <c r="BP156" s="45" t="e">
        <f>BP163/BP166*100</f>
        <v>#DIV/0!</v>
      </c>
      <c r="BR156" s="45" t="e">
        <f>BR163/BR166*100</f>
        <v>#DIV/0!</v>
      </c>
      <c r="BS156" s="45" t="e">
        <f>BS163/BS166*100</f>
        <v>#DIV/0!</v>
      </c>
      <c r="BT156" s="241"/>
      <c r="BU156" s="45" t="e">
        <f>BU163/BU166*100</f>
        <v>#DIV/0!</v>
      </c>
      <c r="BV156" s="45" t="e">
        <f>BV163/BV166*100</f>
        <v>#DIV/0!</v>
      </c>
      <c r="BW156" s="241"/>
      <c r="BX156" s="45" t="e">
        <f>BX163/BX166*100</f>
        <v>#DIV/0!</v>
      </c>
      <c r="BY156" s="45" t="e">
        <f>BY163/BY166*100</f>
        <v>#DIV/0!</v>
      </c>
      <c r="CA156" s="45" t="e">
        <f>CA163/CA166*100</f>
        <v>#DIV/0!</v>
      </c>
      <c r="CB156" s="45" t="e">
        <f>CB163/CB166*100</f>
        <v>#DIV/0!</v>
      </c>
      <c r="CC156" s="241"/>
      <c r="CD156" s="45" t="e">
        <f>CD163/CD166*100</f>
        <v>#DIV/0!</v>
      </c>
      <c r="CE156" s="45" t="e">
        <f>CE163/CE166*100</f>
        <v>#DIV/0!</v>
      </c>
      <c r="CF156" s="241"/>
      <c r="CG156" s="45" t="e">
        <f>CG163/CG166*100</f>
        <v>#DIV/0!</v>
      </c>
      <c r="CH156" s="45" t="e">
        <f>CH163/CH166*100</f>
        <v>#DIV/0!</v>
      </c>
      <c r="CJ156" s="45" t="e">
        <f>CJ163/CJ166*100</f>
        <v>#DIV/0!</v>
      </c>
      <c r="CK156" s="45" t="e">
        <f>CK163/CK166*100</f>
        <v>#DIV/0!</v>
      </c>
      <c r="CM156" s="45" t="e">
        <f>CM163/CM166*100</f>
        <v>#DIV/0!</v>
      </c>
      <c r="CN156" s="45" t="e">
        <f>CN163/CN166*100</f>
        <v>#DIV/0!</v>
      </c>
      <c r="CP156" s="45" t="e">
        <f>CP163/CP166*100</f>
        <v>#DIV/0!</v>
      </c>
      <c r="CQ156" s="45" t="e">
        <f>CQ163/CQ166*100</f>
        <v>#DIV/0!</v>
      </c>
      <c r="CS156" s="45" t="e">
        <f>CS163/CS166*100</f>
        <v>#DIV/0!</v>
      </c>
      <c r="CT156" s="45" t="e">
        <f>CT163/CT166*100</f>
        <v>#DIV/0!</v>
      </c>
      <c r="CV156" s="45" t="e">
        <f>CV163/CV166*100</f>
        <v>#DIV/0!</v>
      </c>
      <c r="CW156" s="45" t="e">
        <f>CW163/CW166*100</f>
        <v>#DIV/0!</v>
      </c>
      <c r="CY156" s="45" t="e">
        <f>CY163/CY166*100</f>
        <v>#DIV/0!</v>
      </c>
      <c r="CZ156" s="45" t="e">
        <f>CZ163/CZ166*100</f>
        <v>#DIV/0!</v>
      </c>
      <c r="DB156" s="45" t="e">
        <f>DB163/DB166*100</f>
        <v>#DIV/0!</v>
      </c>
      <c r="DC156" s="45" t="e">
        <f>DC163/DC166*100</f>
        <v>#DIV/0!</v>
      </c>
      <c r="DE156" s="45">
        <f>DE163/DE166*100</f>
        <v>88.888888888888886</v>
      </c>
      <c r="DF156" s="45" t="e">
        <f>DF163/DF166*100</f>
        <v>#DIV/0!</v>
      </c>
    </row>
    <row r="157" spans="1:110" x14ac:dyDescent="0.25">
      <c r="A157" s="55"/>
      <c r="B157" s="46" t="s">
        <v>1732</v>
      </c>
      <c r="C157" s="42"/>
      <c r="D157" s="156"/>
      <c r="E157" s="156"/>
      <c r="F157" s="156"/>
      <c r="G157" s="156"/>
      <c r="H157" s="156"/>
      <c r="I157" s="156"/>
      <c r="J157" s="156"/>
      <c r="K157" s="156"/>
      <c r="L157" s="156"/>
      <c r="N157" s="156"/>
      <c r="O157" s="156"/>
      <c r="P157" s="156"/>
      <c r="Q157" s="156"/>
      <c r="S157" s="156"/>
      <c r="T157" s="156"/>
      <c r="V157" s="156"/>
      <c r="W157" s="156"/>
      <c r="Y157" s="156"/>
      <c r="Z157" s="156"/>
      <c r="AA157" s="241"/>
      <c r="AB157" s="156"/>
      <c r="AC157" s="156"/>
      <c r="AD157" s="241"/>
      <c r="AE157" s="156"/>
      <c r="AF157" s="156"/>
      <c r="AH157" s="156"/>
      <c r="AI157" s="156"/>
      <c r="AJ157" s="241"/>
      <c r="AK157" s="156"/>
      <c r="AL157" s="156"/>
      <c r="AM157" s="241"/>
      <c r="AN157" s="156"/>
      <c r="AO157" s="156"/>
      <c r="AQ157" s="156"/>
      <c r="AR157" s="156"/>
      <c r="AS157" s="241"/>
      <c r="AT157" s="156"/>
      <c r="AU157" s="156"/>
      <c r="AW157" s="156"/>
      <c r="AX157" s="156"/>
      <c r="AZ157" s="156"/>
      <c r="BA157" s="156"/>
      <c r="BB157" s="241"/>
      <c r="BC157" s="156"/>
      <c r="BD157" s="156"/>
      <c r="BE157" s="241"/>
      <c r="BF157" s="156"/>
      <c r="BG157" s="156"/>
      <c r="BI157" s="156"/>
      <c r="BJ157" s="156"/>
      <c r="BK157" s="241"/>
      <c r="BL157" s="156"/>
      <c r="BM157" s="156"/>
      <c r="BN157" s="241"/>
      <c r="BO157" s="156"/>
      <c r="BP157" s="156"/>
      <c r="BR157" s="156"/>
      <c r="BS157" s="156"/>
      <c r="BT157" s="241"/>
      <c r="BU157" s="156"/>
      <c r="BV157" s="156"/>
      <c r="BW157" s="241"/>
      <c r="BX157" s="156"/>
      <c r="BY157" s="156"/>
      <c r="CA157" s="156"/>
      <c r="CB157" s="156"/>
      <c r="CC157" s="241"/>
      <c r="CD157" s="156"/>
      <c r="CE157" s="156"/>
      <c r="CF157" s="241"/>
      <c r="CG157" s="156"/>
      <c r="CH157" s="156"/>
      <c r="CJ157" s="156"/>
      <c r="CK157" s="156"/>
      <c r="CM157" s="156"/>
      <c r="CN157" s="156"/>
      <c r="CP157" s="156"/>
      <c r="CQ157" s="156"/>
      <c r="CS157" s="156"/>
      <c r="CT157" s="156"/>
      <c r="CV157" s="156"/>
      <c r="CW157" s="156"/>
      <c r="CY157" s="156"/>
      <c r="CZ157" s="156"/>
      <c r="DB157" s="156"/>
      <c r="DC157" s="156"/>
      <c r="DE157" s="156"/>
      <c r="DF157" s="156"/>
    </row>
    <row r="158" spans="1:110" x14ac:dyDescent="0.25">
      <c r="A158" s="55"/>
      <c r="B158" s="46" t="s">
        <v>1182</v>
      </c>
      <c r="C158" s="42"/>
      <c r="D158" s="42" t="s">
        <v>8</v>
      </c>
      <c r="E158" s="45">
        <v>34.83</v>
      </c>
      <c r="F158" s="45">
        <f>F169/F172*100</f>
        <v>33.370099268023665</v>
      </c>
      <c r="G158" s="45">
        <v>26.18</v>
      </c>
      <c r="H158" s="45">
        <v>31.13</v>
      </c>
      <c r="I158" s="45">
        <f t="shared" ref="I158:K159" si="454">I169/I172*100</f>
        <v>30.521668960934161</v>
      </c>
      <c r="J158" s="45">
        <f t="shared" si="454"/>
        <v>30.507769145394008</v>
      </c>
      <c r="K158" s="45">
        <f t="shared" si="454"/>
        <v>32.559210189779527</v>
      </c>
      <c r="L158" s="45" t="e">
        <f t="shared" ref="L158" si="455">L169/L172*100</f>
        <v>#DIV/0!</v>
      </c>
      <c r="M158" s="3"/>
      <c r="N158" s="45">
        <f t="shared" ref="N158:P159" si="456">N169/N172*100</f>
        <v>22.957279137287433</v>
      </c>
      <c r="O158" s="45" t="e">
        <f t="shared" si="456"/>
        <v>#DIV/0!</v>
      </c>
      <c r="P158" s="45">
        <f t="shared" ref="P158:Q158" si="457">P169/P172*100</f>
        <v>0</v>
      </c>
      <c r="Q158" s="45" t="e">
        <f t="shared" si="457"/>
        <v>#DIV/0!</v>
      </c>
      <c r="S158" s="45">
        <f t="shared" ref="S158:T159" si="458">S169/S172*100</f>
        <v>28.878748370273794</v>
      </c>
      <c r="T158" s="45" t="e">
        <f t="shared" si="458"/>
        <v>#DIV/0!</v>
      </c>
      <c r="V158" s="45">
        <f t="shared" ref="V158:W158" si="459">V169/V172*100</f>
        <v>43.843031123139376</v>
      </c>
      <c r="W158" s="45" t="e">
        <f t="shared" si="459"/>
        <v>#DIV/0!</v>
      </c>
      <c r="Y158" s="45">
        <f t="shared" ref="Y158:Z159" si="460">Y169/Y172*100</f>
        <v>3.2352941176470593</v>
      </c>
      <c r="Z158" s="45" t="e">
        <f t="shared" si="460"/>
        <v>#DIV/0!</v>
      </c>
      <c r="AA158" s="241"/>
      <c r="AB158" s="45">
        <f t="shared" ref="AB158:AC158" si="461">AB169/AB172*100</f>
        <v>0</v>
      </c>
      <c r="AC158" s="45" t="e">
        <f t="shared" si="461"/>
        <v>#DIV/0!</v>
      </c>
      <c r="AD158" s="241"/>
      <c r="AE158" s="45">
        <f t="shared" ref="AE158:AF158" si="462">AE169/AE172*100</f>
        <v>6.1904761904761907</v>
      </c>
      <c r="AF158" s="45" t="e">
        <f t="shared" si="462"/>
        <v>#DIV/0!</v>
      </c>
      <c r="AH158" s="45">
        <f t="shared" ref="AH158:AI158" si="463">AH169/AH172*100</f>
        <v>0</v>
      </c>
      <c r="AI158" s="45" t="e">
        <f t="shared" si="463"/>
        <v>#DIV/0!</v>
      </c>
      <c r="AJ158" s="241"/>
      <c r="AK158" s="45">
        <f t="shared" ref="AK158:AL158" si="464">AK169/AK172*100</f>
        <v>13.277310924369749</v>
      </c>
      <c r="AL158" s="45" t="e">
        <f t="shared" si="464"/>
        <v>#DIV/0!</v>
      </c>
      <c r="AM158" s="241"/>
      <c r="AN158" s="45">
        <f t="shared" ref="AN158:AO158" si="465">AN169/AN172*100</f>
        <v>12.761904761904763</v>
      </c>
      <c r="AO158" s="45" t="e">
        <f t="shared" si="465"/>
        <v>#DIV/0!</v>
      </c>
      <c r="AQ158" s="45">
        <f t="shared" ref="AQ158:AR158" si="466">AQ169/AQ172*100</f>
        <v>28.083491461100568</v>
      </c>
      <c r="AR158" s="45" t="e">
        <f t="shared" si="466"/>
        <v>#DIV/0!</v>
      </c>
      <c r="AS158" s="241"/>
      <c r="AT158" s="45">
        <f t="shared" ref="AT158:AU158" si="467">AT169/AT172*100</f>
        <v>0</v>
      </c>
      <c r="AU158" s="45" t="e">
        <f t="shared" si="467"/>
        <v>#DIV/0!</v>
      </c>
      <c r="AW158" s="45">
        <f t="shared" ref="AW158:AX158" si="468">AW169/AW172*100</f>
        <v>11.3314447592068</v>
      </c>
      <c r="AX158" s="45" t="e">
        <f t="shared" si="468"/>
        <v>#DIV/0!</v>
      </c>
      <c r="AZ158" s="45">
        <f t="shared" ref="AZ158:BA158" si="469">AZ169/AZ172*100</f>
        <v>30.64798598949212</v>
      </c>
      <c r="BA158" s="45" t="e">
        <f t="shared" si="469"/>
        <v>#DIV/0!</v>
      </c>
      <c r="BB158" s="241"/>
      <c r="BC158" s="45">
        <f t="shared" ref="BC158:BD158" si="470">BC169/BC172*100</f>
        <v>30.801435406698563</v>
      </c>
      <c r="BD158" s="45" t="e">
        <f t="shared" si="470"/>
        <v>#DIV/0!</v>
      </c>
      <c r="BE158" s="241"/>
      <c r="BF158" s="45">
        <f t="shared" ref="BF158:BG158" si="471">BF169/BF172*100</f>
        <v>34.238488783943325</v>
      </c>
      <c r="BG158" s="45" t="e">
        <f t="shared" si="471"/>
        <v>#DIV/0!</v>
      </c>
      <c r="BI158" s="45">
        <f t="shared" ref="BI158:BJ158" si="472">BI169/BI172*100</f>
        <v>9.7514340344168247</v>
      </c>
      <c r="BJ158" s="45" t="e">
        <f t="shared" si="472"/>
        <v>#DIV/0!</v>
      </c>
      <c r="BK158" s="241"/>
      <c r="BL158" s="45">
        <f t="shared" ref="BL158:BM158" si="473">BL169/BL172*100</f>
        <v>29.536679536679539</v>
      </c>
      <c r="BM158" s="45" t="e">
        <f t="shared" si="473"/>
        <v>#DIV/0!</v>
      </c>
      <c r="BN158" s="241"/>
      <c r="BO158" s="45">
        <f t="shared" ref="BO158:BP158" si="474">BO169/BO172*100</f>
        <v>0.3115264797507788</v>
      </c>
      <c r="BP158" s="45" t="e">
        <f t="shared" si="474"/>
        <v>#DIV/0!</v>
      </c>
      <c r="BR158" s="45">
        <f t="shared" ref="BR158:BS158" si="475">BR169/BR172*100</f>
        <v>12.707182320441991</v>
      </c>
      <c r="BS158" s="45" t="e">
        <f t="shared" si="475"/>
        <v>#DIV/0!</v>
      </c>
      <c r="BT158" s="241"/>
      <c r="BU158" s="45">
        <f t="shared" ref="BU158:BV158" si="476">BU169/BU172*100</f>
        <v>18.003565062388592</v>
      </c>
      <c r="BV158" s="45" t="e">
        <f t="shared" si="476"/>
        <v>#DIV/0!</v>
      </c>
      <c r="BW158" s="241"/>
      <c r="BX158" s="45">
        <f t="shared" ref="BX158:BY158" si="477">BX169/BX172*100</f>
        <v>21.167883211678831</v>
      </c>
      <c r="BY158" s="45" t="e">
        <f t="shared" si="477"/>
        <v>#DIV/0!</v>
      </c>
      <c r="CA158" s="45">
        <f t="shared" ref="CA158:CB158" si="478">CA169/CA172*100</f>
        <v>27.209944751381215</v>
      </c>
      <c r="CB158" s="45" t="e">
        <f t="shared" si="478"/>
        <v>#DIV/0!</v>
      </c>
      <c r="CC158" s="241"/>
      <c r="CD158" s="45">
        <f t="shared" ref="CD158:CE158" si="479">CD169/CD172*100</f>
        <v>33.75</v>
      </c>
      <c r="CE158" s="45" t="e">
        <f t="shared" si="479"/>
        <v>#DIV/0!</v>
      </c>
      <c r="CF158" s="241"/>
      <c r="CG158" s="45">
        <f t="shared" ref="CG158:CH158" si="480">CG169/CG172*100</f>
        <v>33.040421792618631</v>
      </c>
      <c r="CH158" s="45" t="e">
        <f t="shared" si="480"/>
        <v>#DIV/0!</v>
      </c>
      <c r="CJ158" s="45">
        <f t="shared" ref="CJ158:CK158" si="481">CJ169/CJ172*100</f>
        <v>43.154246100519934</v>
      </c>
      <c r="CK158" s="45" t="e">
        <f t="shared" si="481"/>
        <v>#DIV/0!</v>
      </c>
      <c r="CM158" s="45" t="e">
        <f t="shared" ref="CM158:CN158" si="482">CM169/CM172*100</f>
        <v>#DIV/0!</v>
      </c>
      <c r="CN158" s="45" t="e">
        <f t="shared" si="482"/>
        <v>#DIV/0!</v>
      </c>
      <c r="CP158" s="45" t="e">
        <f t="shared" ref="CP158:CQ158" si="483">CP169/CP172*100</f>
        <v>#DIV/0!</v>
      </c>
      <c r="CQ158" s="45" t="e">
        <f t="shared" si="483"/>
        <v>#DIV/0!</v>
      </c>
      <c r="CS158" s="45">
        <f t="shared" ref="CS158:CT158" si="484">CS169/CS172*100</f>
        <v>65.146115466856742</v>
      </c>
      <c r="CT158" s="45" t="e">
        <f t="shared" si="484"/>
        <v>#DIV/0!</v>
      </c>
      <c r="CV158" s="45">
        <f t="shared" ref="CV158:CW158" si="485">CV169/CV172*100</f>
        <v>55.711206896551722</v>
      </c>
      <c r="CW158" s="45" t="e">
        <f t="shared" si="485"/>
        <v>#DIV/0!</v>
      </c>
      <c r="CY158" s="45">
        <f t="shared" ref="CY158:CZ158" si="486">CY169/CY172*100</f>
        <v>56.912209889001005</v>
      </c>
      <c r="CZ158" s="45" t="e">
        <f t="shared" si="486"/>
        <v>#DIV/0!</v>
      </c>
      <c r="DB158" s="45">
        <f t="shared" ref="DB158:DC158" si="487">DB169/DB172*100</f>
        <v>62.987012987012989</v>
      </c>
      <c r="DC158" s="45" t="e">
        <f t="shared" si="487"/>
        <v>#DIV/0!</v>
      </c>
      <c r="DE158" s="45" t="e">
        <f t="shared" ref="DE158:DF158" si="488">DE169/DE172*100</f>
        <v>#DIV/0!</v>
      </c>
      <c r="DF158" s="45" t="e">
        <f t="shared" si="488"/>
        <v>#DIV/0!</v>
      </c>
    </row>
    <row r="159" spans="1:110" x14ac:dyDescent="0.25">
      <c r="A159" s="55"/>
      <c r="B159" s="46" t="s">
        <v>1184</v>
      </c>
      <c r="C159" s="42"/>
      <c r="D159" s="42" t="s">
        <v>8</v>
      </c>
      <c r="E159" s="45">
        <v>100</v>
      </c>
      <c r="F159" s="45">
        <f>F170/F173*100</f>
        <v>100</v>
      </c>
      <c r="G159" s="45">
        <v>100</v>
      </c>
      <c r="H159" s="45">
        <v>100</v>
      </c>
      <c r="I159" s="45">
        <f t="shared" si="454"/>
        <v>100</v>
      </c>
      <c r="J159" s="45">
        <f t="shared" si="454"/>
        <v>98.039215686274503</v>
      </c>
      <c r="K159" s="45">
        <f t="shared" si="454"/>
        <v>94.905552375500861</v>
      </c>
      <c r="L159" s="45" t="e">
        <f t="shared" ref="L159" si="489">L170/L173*100</f>
        <v>#DIV/0!</v>
      </c>
      <c r="M159" s="3"/>
      <c r="N159" s="45">
        <f t="shared" ref="N159" si="490">N170/N173*100</f>
        <v>94.905552375500861</v>
      </c>
      <c r="O159" s="45" t="e">
        <f t="shared" si="456"/>
        <v>#DIV/0!</v>
      </c>
      <c r="P159" s="45" t="e">
        <f t="shared" si="456"/>
        <v>#DIV/0!</v>
      </c>
      <c r="Q159" s="45" t="e">
        <f t="shared" ref="Q159" si="491">Q170/Q173*100</f>
        <v>#DIV/0!</v>
      </c>
      <c r="S159" s="45" t="e">
        <f t="shared" ref="S159" si="492">S170/S173*100</f>
        <v>#DIV/0!</v>
      </c>
      <c r="T159" s="45" t="e">
        <f t="shared" si="458"/>
        <v>#DIV/0!</v>
      </c>
      <c r="V159" s="45" t="e">
        <f t="shared" ref="V159:W159" si="493">V170/V173*100</f>
        <v>#DIV/0!</v>
      </c>
      <c r="W159" s="45" t="e">
        <f t="shared" si="493"/>
        <v>#DIV/0!</v>
      </c>
      <c r="Y159" s="45" t="e">
        <f t="shared" ref="Y159" si="494">Y170/Y173*100</f>
        <v>#DIV/0!</v>
      </c>
      <c r="Z159" s="45" t="e">
        <f t="shared" si="460"/>
        <v>#DIV/0!</v>
      </c>
      <c r="AA159" s="241"/>
      <c r="AB159" s="45" t="e">
        <f t="shared" ref="AB159:AC159" si="495">AB170/AB173*100</f>
        <v>#DIV/0!</v>
      </c>
      <c r="AC159" s="45" t="e">
        <f t="shared" si="495"/>
        <v>#DIV/0!</v>
      </c>
      <c r="AD159" s="241"/>
      <c r="AE159" s="45" t="e">
        <f t="shared" ref="AE159:AF159" si="496">AE170/AE173*100</f>
        <v>#DIV/0!</v>
      </c>
      <c r="AF159" s="45" t="e">
        <f t="shared" si="496"/>
        <v>#DIV/0!</v>
      </c>
      <c r="AH159" s="45" t="e">
        <f t="shared" ref="AH159:AI159" si="497">AH170/AH173*100</f>
        <v>#DIV/0!</v>
      </c>
      <c r="AI159" s="45" t="e">
        <f t="shared" si="497"/>
        <v>#DIV/0!</v>
      </c>
      <c r="AJ159" s="241"/>
      <c r="AK159" s="45" t="e">
        <f t="shared" ref="AK159:AL159" si="498">AK170/AK173*100</f>
        <v>#DIV/0!</v>
      </c>
      <c r="AL159" s="45" t="e">
        <f t="shared" si="498"/>
        <v>#DIV/0!</v>
      </c>
      <c r="AM159" s="241"/>
      <c r="AN159" s="45" t="e">
        <f t="shared" ref="AN159:AO159" si="499">AN170/AN173*100</f>
        <v>#DIV/0!</v>
      </c>
      <c r="AO159" s="45" t="e">
        <f t="shared" si="499"/>
        <v>#DIV/0!</v>
      </c>
      <c r="AQ159" s="45" t="e">
        <f t="shared" ref="AQ159:AR159" si="500">AQ170/AQ173*100</f>
        <v>#DIV/0!</v>
      </c>
      <c r="AR159" s="45" t="e">
        <f t="shared" si="500"/>
        <v>#DIV/0!</v>
      </c>
      <c r="AS159" s="241"/>
      <c r="AT159" s="45" t="e">
        <f t="shared" ref="AT159:AU159" si="501">AT170/AT173*100</f>
        <v>#DIV/0!</v>
      </c>
      <c r="AU159" s="45" t="e">
        <f t="shared" si="501"/>
        <v>#DIV/0!</v>
      </c>
      <c r="AW159" s="45" t="e">
        <f t="shared" ref="AW159:AX159" si="502">AW170/AW173*100</f>
        <v>#DIV/0!</v>
      </c>
      <c r="AX159" s="45" t="e">
        <f t="shared" si="502"/>
        <v>#DIV/0!</v>
      </c>
      <c r="AZ159" s="45" t="e">
        <f t="shared" ref="AZ159:BA159" si="503">AZ170/AZ173*100</f>
        <v>#DIV/0!</v>
      </c>
      <c r="BA159" s="45" t="e">
        <f t="shared" si="503"/>
        <v>#DIV/0!</v>
      </c>
      <c r="BB159" s="241"/>
      <c r="BC159" s="45" t="e">
        <f t="shared" ref="BC159:BD159" si="504">BC170/BC173*100</f>
        <v>#DIV/0!</v>
      </c>
      <c r="BD159" s="45" t="e">
        <f t="shared" si="504"/>
        <v>#DIV/0!</v>
      </c>
      <c r="BE159" s="241"/>
      <c r="BF159" s="45" t="e">
        <f t="shared" ref="BF159:BG159" si="505">BF170/BF173*100</f>
        <v>#DIV/0!</v>
      </c>
      <c r="BG159" s="45" t="e">
        <f t="shared" si="505"/>
        <v>#DIV/0!</v>
      </c>
      <c r="BI159" s="45" t="e">
        <f t="shared" ref="BI159:BJ159" si="506">BI170/BI173*100</f>
        <v>#DIV/0!</v>
      </c>
      <c r="BJ159" s="45" t="e">
        <f t="shared" si="506"/>
        <v>#DIV/0!</v>
      </c>
      <c r="BK159" s="241"/>
      <c r="BL159" s="45" t="e">
        <f t="shared" ref="BL159:BM159" si="507">BL170/BL173*100</f>
        <v>#DIV/0!</v>
      </c>
      <c r="BM159" s="45" t="e">
        <f t="shared" si="507"/>
        <v>#DIV/0!</v>
      </c>
      <c r="BN159" s="241"/>
      <c r="BO159" s="45" t="e">
        <f t="shared" ref="BO159:BP159" si="508">BO170/BO173*100</f>
        <v>#DIV/0!</v>
      </c>
      <c r="BP159" s="45" t="e">
        <f t="shared" si="508"/>
        <v>#DIV/0!</v>
      </c>
      <c r="BR159" s="45" t="e">
        <f t="shared" ref="BR159:BS159" si="509">BR170/BR173*100</f>
        <v>#DIV/0!</v>
      </c>
      <c r="BS159" s="45" t="e">
        <f t="shared" si="509"/>
        <v>#DIV/0!</v>
      </c>
      <c r="BT159" s="241"/>
      <c r="BU159" s="45" t="e">
        <f t="shared" ref="BU159:BV159" si="510">BU170/BU173*100</f>
        <v>#DIV/0!</v>
      </c>
      <c r="BV159" s="45" t="e">
        <f t="shared" si="510"/>
        <v>#DIV/0!</v>
      </c>
      <c r="BW159" s="241"/>
      <c r="BX159" s="45" t="e">
        <f t="shared" ref="BX159:BY159" si="511">BX170/BX173*100</f>
        <v>#DIV/0!</v>
      </c>
      <c r="BY159" s="45" t="e">
        <f t="shared" si="511"/>
        <v>#DIV/0!</v>
      </c>
      <c r="CA159" s="45" t="e">
        <f t="shared" ref="CA159:CB159" si="512">CA170/CA173*100</f>
        <v>#DIV/0!</v>
      </c>
      <c r="CB159" s="45" t="e">
        <f t="shared" si="512"/>
        <v>#DIV/0!</v>
      </c>
      <c r="CC159" s="241"/>
      <c r="CD159" s="45" t="e">
        <f t="shared" ref="CD159:CE159" si="513">CD170/CD173*100</f>
        <v>#DIV/0!</v>
      </c>
      <c r="CE159" s="45" t="e">
        <f t="shared" si="513"/>
        <v>#DIV/0!</v>
      </c>
      <c r="CF159" s="241"/>
      <c r="CG159" s="45" t="e">
        <f t="shared" ref="CG159:CH159" si="514">CG170/CG173*100</f>
        <v>#DIV/0!</v>
      </c>
      <c r="CH159" s="45" t="e">
        <f t="shared" si="514"/>
        <v>#DIV/0!</v>
      </c>
      <c r="CJ159" s="45" t="e">
        <f t="shared" ref="CJ159:CK159" si="515">CJ170/CJ173*100</f>
        <v>#DIV/0!</v>
      </c>
      <c r="CK159" s="45" t="e">
        <f t="shared" si="515"/>
        <v>#DIV/0!</v>
      </c>
      <c r="CM159" s="45" t="e">
        <f t="shared" ref="CM159:CN159" si="516">CM170/CM173*100</f>
        <v>#DIV/0!</v>
      </c>
      <c r="CN159" s="45" t="e">
        <f t="shared" si="516"/>
        <v>#DIV/0!</v>
      </c>
      <c r="CP159" s="45" t="e">
        <f t="shared" ref="CP159:CQ159" si="517">CP170/CP173*100</f>
        <v>#DIV/0!</v>
      </c>
      <c r="CQ159" s="45" t="e">
        <f t="shared" si="517"/>
        <v>#DIV/0!</v>
      </c>
      <c r="CS159" s="45" t="e">
        <f t="shared" ref="CS159:CT159" si="518">CS170/CS173*100</f>
        <v>#DIV/0!</v>
      </c>
      <c r="CT159" s="45" t="e">
        <f t="shared" si="518"/>
        <v>#DIV/0!</v>
      </c>
      <c r="CV159" s="45" t="e">
        <f t="shared" ref="CV159:CW159" si="519">CV170/CV173*100</f>
        <v>#DIV/0!</v>
      </c>
      <c r="CW159" s="45" t="e">
        <f t="shared" si="519"/>
        <v>#DIV/0!</v>
      </c>
      <c r="CY159" s="45" t="e">
        <f t="shared" ref="CY159:CZ159" si="520">CY170/CY173*100</f>
        <v>#DIV/0!</v>
      </c>
      <c r="CZ159" s="45" t="e">
        <f t="shared" si="520"/>
        <v>#DIV/0!</v>
      </c>
      <c r="DB159" s="45" t="e">
        <f t="shared" ref="DB159:DC159" si="521">DB170/DB173*100</f>
        <v>#DIV/0!</v>
      </c>
      <c r="DC159" s="45" t="e">
        <f t="shared" si="521"/>
        <v>#DIV/0!</v>
      </c>
      <c r="DE159" s="45">
        <f t="shared" ref="DE159:DF159" si="522">DE170/DE173*100</f>
        <v>94.905552375500861</v>
      </c>
      <c r="DF159" s="45" t="e">
        <f t="shared" si="522"/>
        <v>#DIV/0!</v>
      </c>
    </row>
    <row r="160" spans="1:110" x14ac:dyDescent="0.25">
      <c r="A160" s="8"/>
      <c r="B160" s="16" t="s">
        <v>1731</v>
      </c>
      <c r="C160" s="6"/>
      <c r="D160" s="6"/>
      <c r="E160" s="12"/>
      <c r="F160" s="12"/>
      <c r="G160" s="12"/>
      <c r="H160" s="12"/>
      <c r="I160" s="12"/>
      <c r="J160" s="12"/>
      <c r="K160" s="12"/>
      <c r="L160" s="12"/>
      <c r="M160" s="3"/>
      <c r="Y160" s="241"/>
      <c r="Z160" s="241"/>
      <c r="AA160" s="241"/>
      <c r="AB160" s="241"/>
      <c r="AC160" s="241"/>
      <c r="AD160" s="241"/>
      <c r="AE160" s="241"/>
      <c r="AF160" s="241"/>
      <c r="AH160" s="241"/>
      <c r="AI160" s="241"/>
      <c r="AJ160" s="241"/>
      <c r="AK160" s="241"/>
      <c r="AL160" s="241"/>
      <c r="AM160" s="241"/>
      <c r="AN160" s="241"/>
      <c r="AO160" s="241"/>
      <c r="AQ160" s="241"/>
      <c r="AR160" s="241"/>
      <c r="AS160" s="241"/>
      <c r="AW160" s="241"/>
      <c r="AX160" s="241"/>
      <c r="AZ160" s="241"/>
      <c r="BA160" s="241"/>
      <c r="BB160" s="241"/>
      <c r="BC160" s="241"/>
      <c r="BD160" s="241"/>
      <c r="BE160" s="241"/>
      <c r="BF160" s="241"/>
      <c r="BG160" s="241"/>
      <c r="BI160" s="241"/>
      <c r="BJ160" s="241"/>
      <c r="BK160" s="241"/>
      <c r="BL160" s="241"/>
      <c r="BM160" s="241"/>
      <c r="BN160" s="241"/>
      <c r="BO160" s="241"/>
      <c r="BP160" s="241"/>
      <c r="BR160" s="241"/>
      <c r="BS160" s="241"/>
      <c r="BT160" s="241"/>
      <c r="BU160" s="241"/>
      <c r="BV160" s="241"/>
      <c r="BW160" s="241"/>
      <c r="BX160" s="241"/>
      <c r="BY160" s="241"/>
      <c r="CA160" s="241"/>
      <c r="CB160" s="241"/>
      <c r="CC160" s="241"/>
      <c r="CD160" s="241"/>
      <c r="CE160" s="241"/>
      <c r="CF160" s="241"/>
      <c r="CG160" s="241"/>
      <c r="CH160" s="241"/>
      <c r="CJ160" s="241"/>
      <c r="CK160" s="241"/>
      <c r="CM160" s="241"/>
      <c r="CN160" s="241"/>
      <c r="CP160" s="241"/>
      <c r="CQ160" s="241"/>
      <c r="CS160" s="241"/>
      <c r="CT160" s="241"/>
      <c r="CV160" s="241"/>
      <c r="CW160" s="241"/>
      <c r="CY160" s="241"/>
      <c r="CZ160" s="241"/>
      <c r="DB160" s="241"/>
      <c r="DC160" s="241"/>
      <c r="DE160" s="241"/>
      <c r="DF160" s="241"/>
    </row>
    <row r="161" spans="1:110" ht="45" x14ac:dyDescent="0.25">
      <c r="A161" s="8"/>
      <c r="B161" s="16" t="s">
        <v>378</v>
      </c>
      <c r="C161" s="6" t="s">
        <v>2065</v>
      </c>
      <c r="D161" s="6" t="s">
        <v>950</v>
      </c>
      <c r="E161" s="12"/>
      <c r="F161" s="35"/>
      <c r="G161" s="35"/>
      <c r="H161" s="35"/>
      <c r="I161" s="35">
        <f>I162+I163</f>
        <v>114</v>
      </c>
      <c r="J161" s="35">
        <f>J162+J163</f>
        <v>206</v>
      </c>
      <c r="K161" s="35">
        <f>K162+K163</f>
        <v>437</v>
      </c>
      <c r="L161" s="35">
        <f>L162+L163</f>
        <v>516</v>
      </c>
      <c r="N161" s="35">
        <f>N162+N163</f>
        <v>437</v>
      </c>
      <c r="O161" s="35">
        <f>O162+O163</f>
        <v>0</v>
      </c>
      <c r="P161" s="35">
        <f>P162+P163</f>
        <v>0</v>
      </c>
      <c r="Q161" s="35">
        <f>Q162+Q163</f>
        <v>0</v>
      </c>
      <c r="S161" s="35">
        <f>S162+S163</f>
        <v>43</v>
      </c>
      <c r="T161" s="35">
        <f>T162+T163</f>
        <v>0</v>
      </c>
      <c r="V161" s="35">
        <f>V162+V163</f>
        <v>13</v>
      </c>
      <c r="W161" s="35">
        <f>W162+W163</f>
        <v>0</v>
      </c>
      <c r="Y161" s="35">
        <f>Y162+Y163</f>
        <v>49</v>
      </c>
      <c r="Z161" s="35">
        <f>Z162+Z163</f>
        <v>0</v>
      </c>
      <c r="AA161" s="241"/>
      <c r="AB161" s="35">
        <f>AB162+AB163</f>
        <v>0</v>
      </c>
      <c r="AC161" s="35">
        <f>AC162+AC163</f>
        <v>0</v>
      </c>
      <c r="AD161" s="241"/>
      <c r="AE161" s="35">
        <f>AE162+AE163</f>
        <v>0</v>
      </c>
      <c r="AF161" s="35">
        <f>AF162+AF163</f>
        <v>0</v>
      </c>
      <c r="AH161" s="35">
        <f>AH162+AH163</f>
        <v>0</v>
      </c>
      <c r="AI161" s="35">
        <f>AI162+AI163</f>
        <v>0</v>
      </c>
      <c r="AJ161" s="241"/>
      <c r="AK161" s="35">
        <f>AK162+AK163</f>
        <v>25</v>
      </c>
      <c r="AL161" s="35">
        <f>AL162+AL163</f>
        <v>0</v>
      </c>
      <c r="AM161" s="241"/>
      <c r="AN161" s="35">
        <f>AN162+AN163</f>
        <v>0</v>
      </c>
      <c r="AO161" s="35">
        <f>AO162+AO163</f>
        <v>0</v>
      </c>
      <c r="AQ161" s="35">
        <f>AQ162+AQ163</f>
        <v>8</v>
      </c>
      <c r="AR161" s="35">
        <f>AR162+AR163</f>
        <v>0</v>
      </c>
      <c r="AS161" s="241"/>
      <c r="AT161" s="35">
        <f>AT162+AT163</f>
        <v>0</v>
      </c>
      <c r="AU161" s="35">
        <f>AU162+AU163</f>
        <v>0</v>
      </c>
      <c r="AW161" s="35">
        <f>AW162+AW163</f>
        <v>6</v>
      </c>
      <c r="AX161" s="35">
        <f>AX162+AX163</f>
        <v>0</v>
      </c>
      <c r="AZ161" s="35">
        <f>AZ162+AZ163</f>
        <v>54</v>
      </c>
      <c r="BA161" s="35">
        <f>BA162+BA163</f>
        <v>0</v>
      </c>
      <c r="BB161" s="241"/>
      <c r="BC161" s="35">
        <f>BC162+BC163</f>
        <v>0</v>
      </c>
      <c r="BD161" s="35">
        <f>BD162+BD163</f>
        <v>0</v>
      </c>
      <c r="BE161" s="241"/>
      <c r="BF161" s="35">
        <f>BF162+BF163</f>
        <v>131</v>
      </c>
      <c r="BG161" s="35">
        <f>BG162+BG163</f>
        <v>0</v>
      </c>
      <c r="BI161" s="35">
        <f>BI162+BI163</f>
        <v>0</v>
      </c>
      <c r="BJ161" s="35">
        <f>BJ162+BJ163</f>
        <v>0</v>
      </c>
      <c r="BK161" s="241"/>
      <c r="BL161" s="35">
        <f>BL162+BL163</f>
        <v>6</v>
      </c>
      <c r="BM161" s="35">
        <f>BM162+BM163</f>
        <v>0</v>
      </c>
      <c r="BN161" s="241"/>
      <c r="BO161" s="35">
        <f>BO162+BO163</f>
        <v>0</v>
      </c>
      <c r="BP161" s="35">
        <f>BP162+BP163</f>
        <v>0</v>
      </c>
      <c r="BR161" s="35">
        <f>BR162+BR163</f>
        <v>0</v>
      </c>
      <c r="BS161" s="35">
        <f>BS162+BS163</f>
        <v>0</v>
      </c>
      <c r="BT161" s="241"/>
      <c r="BU161" s="35">
        <f>BU162+BU163</f>
        <v>0</v>
      </c>
      <c r="BV161" s="35">
        <f>BV162+BV163</f>
        <v>0</v>
      </c>
      <c r="BW161" s="241"/>
      <c r="BX161" s="35">
        <f>BX162+BX163</f>
        <v>0</v>
      </c>
      <c r="BY161" s="35">
        <f>BY162+BY163</f>
        <v>0</v>
      </c>
      <c r="CA161" s="35">
        <f>CA162+CA163</f>
        <v>0</v>
      </c>
      <c r="CB161" s="35">
        <f>CB162+CB163</f>
        <v>0</v>
      </c>
      <c r="CC161" s="241"/>
      <c r="CD161" s="35">
        <f>CD162+CD163</f>
        <v>0</v>
      </c>
      <c r="CE161" s="35">
        <f>CE162+CE163</f>
        <v>0</v>
      </c>
      <c r="CF161" s="241"/>
      <c r="CG161" s="35">
        <f>CG162+CG163</f>
        <v>22</v>
      </c>
      <c r="CH161" s="35">
        <f>CH162+CH163</f>
        <v>0</v>
      </c>
      <c r="CJ161" s="35">
        <f>CJ162+CJ163</f>
        <v>0</v>
      </c>
      <c r="CK161" s="35">
        <f>CK162+CK163</f>
        <v>0</v>
      </c>
      <c r="CM161" s="35">
        <f>CM162+CM163</f>
        <v>0</v>
      </c>
      <c r="CN161" s="35">
        <f>CN162+CN163</f>
        <v>0</v>
      </c>
      <c r="CP161" s="35">
        <f>CP162+CP163</f>
        <v>0</v>
      </c>
      <c r="CQ161" s="35">
        <f>CQ162+CQ163</f>
        <v>0</v>
      </c>
      <c r="CS161" s="35">
        <f>CS162+CS163</f>
        <v>0</v>
      </c>
      <c r="CT161" s="35">
        <f>CT162+CT163</f>
        <v>0</v>
      </c>
      <c r="CV161" s="35">
        <f>CV162+CV163</f>
        <v>0</v>
      </c>
      <c r="CW161" s="35">
        <f>CW162+CW163</f>
        <v>0</v>
      </c>
      <c r="CY161" s="35">
        <f>CY162+CY163</f>
        <v>0</v>
      </c>
      <c r="CZ161" s="35">
        <f>CZ162+CZ163</f>
        <v>0</v>
      </c>
      <c r="DB161" s="35">
        <f>DB162+DB163</f>
        <v>0</v>
      </c>
      <c r="DC161" s="35">
        <f>DC162+DC163</f>
        <v>0</v>
      </c>
      <c r="DE161" s="35">
        <f>DE162+DE163</f>
        <v>80</v>
      </c>
      <c r="DF161" s="35">
        <f>DF162+DF163</f>
        <v>0</v>
      </c>
    </row>
    <row r="162" spans="1:110" x14ac:dyDescent="0.25">
      <c r="A162" s="8"/>
      <c r="B162" s="16" t="s">
        <v>1182</v>
      </c>
      <c r="C162" s="6"/>
      <c r="D162" s="6"/>
      <c r="E162" s="12"/>
      <c r="F162" s="35">
        <v>6656</v>
      </c>
      <c r="G162" s="35"/>
      <c r="H162" s="35"/>
      <c r="I162" s="35">
        <v>99</v>
      </c>
      <c r="J162" s="35">
        <v>152</v>
      </c>
      <c r="K162" s="35">
        <v>357</v>
      </c>
      <c r="L162" s="35">
        <f>355+44</f>
        <v>399</v>
      </c>
      <c r="N162" s="241">
        <f>P162+S162+V162+Y162+AB162+AE162+AH162+AK162+AN162+AQ162+AW162+AZ162+BC162+BF162+BI162+BL162+BO162+BR162+BU162+BX162+CA162+CD162+CG162+CJ162+AT162+DE162</f>
        <v>357</v>
      </c>
      <c r="O162" s="241">
        <f t="shared" ref="O162" si="523">Q162+T162+W162+Z162+AC162+AF162+AI162+AL162+AO162+AR162+AX162+BA162+BD162+BG162+BJ162+BM162+BP162+BS162+BV162+BY162+CB162+CE162+CH162+CK162+AU162+DF162</f>
        <v>0</v>
      </c>
      <c r="P162">
        <v>0</v>
      </c>
      <c r="S162" s="241">
        <f>1+42</f>
        <v>43</v>
      </c>
      <c r="V162">
        <v>13</v>
      </c>
      <c r="Y162" s="241">
        <v>49</v>
      </c>
      <c r="Z162" s="241"/>
      <c r="AA162" s="241"/>
      <c r="AB162" s="241">
        <v>0</v>
      </c>
      <c r="AC162" s="241"/>
      <c r="AD162" s="241"/>
      <c r="AE162" s="241">
        <v>0</v>
      </c>
      <c r="AF162" s="241"/>
      <c r="AH162" s="241">
        <v>0</v>
      </c>
      <c r="AI162" s="241"/>
      <c r="AJ162" s="241"/>
      <c r="AK162" s="241">
        <v>25</v>
      </c>
      <c r="AL162" s="241"/>
      <c r="AM162" s="241"/>
      <c r="AN162" s="241">
        <v>0</v>
      </c>
      <c r="AO162" s="241"/>
      <c r="AQ162" s="241">
        <v>8</v>
      </c>
      <c r="AR162" s="241"/>
      <c r="AS162" s="241"/>
      <c r="AT162" s="241">
        <v>0</v>
      </c>
      <c r="AW162" s="241">
        <v>6</v>
      </c>
      <c r="AX162" s="241"/>
      <c r="AZ162" s="241">
        <v>54</v>
      </c>
      <c r="BA162" s="241"/>
      <c r="BB162" s="241"/>
      <c r="BC162" s="241">
        <v>0</v>
      </c>
      <c r="BD162" s="241"/>
      <c r="BE162" s="241"/>
      <c r="BF162" s="241">
        <v>131</v>
      </c>
      <c r="BG162" s="241"/>
      <c r="BI162" s="241">
        <v>0</v>
      </c>
      <c r="BJ162" s="241"/>
      <c r="BK162" s="241"/>
      <c r="BL162" s="241">
        <v>6</v>
      </c>
      <c r="BM162" s="241"/>
      <c r="BN162" s="241"/>
      <c r="BO162" s="241">
        <v>0</v>
      </c>
      <c r="BP162" s="241"/>
      <c r="BR162" s="241">
        <v>0</v>
      </c>
      <c r="BS162" s="241"/>
      <c r="BT162" s="241"/>
      <c r="BU162" s="241">
        <v>0</v>
      </c>
      <c r="BV162" s="241"/>
      <c r="BW162" s="241"/>
      <c r="BX162" s="241">
        <v>0</v>
      </c>
      <c r="BY162" s="241"/>
      <c r="CA162" s="241">
        <v>0</v>
      </c>
      <c r="CB162" s="241"/>
      <c r="CC162" s="241"/>
      <c r="CD162" s="241">
        <v>0</v>
      </c>
      <c r="CE162" s="241"/>
      <c r="CF162" s="241"/>
      <c r="CG162" s="241">
        <v>22</v>
      </c>
      <c r="CH162" s="241"/>
      <c r="CJ162" s="241">
        <v>0</v>
      </c>
      <c r="CK162" s="241"/>
      <c r="CM162" s="241"/>
      <c r="CN162" s="241"/>
      <c r="CP162" s="241"/>
      <c r="CQ162" s="241"/>
      <c r="CS162" s="241">
        <v>0</v>
      </c>
      <c r="CT162" s="241"/>
      <c r="CV162" s="241">
        <v>0</v>
      </c>
      <c r="CW162" s="241"/>
      <c r="CY162" s="241">
        <v>0</v>
      </c>
      <c r="CZ162" s="241"/>
      <c r="DB162" s="241">
        <v>0</v>
      </c>
      <c r="DC162" s="241"/>
      <c r="DE162" s="241"/>
      <c r="DF162" s="241"/>
    </row>
    <row r="163" spans="1:110" x14ac:dyDescent="0.25">
      <c r="A163" s="8"/>
      <c r="B163" s="16" t="s">
        <v>1184</v>
      </c>
      <c r="C163" s="6"/>
      <c r="D163" s="6"/>
      <c r="E163" s="12"/>
      <c r="F163" s="35">
        <v>134</v>
      </c>
      <c r="G163" s="35"/>
      <c r="H163" s="35"/>
      <c r="I163" s="35">
        <v>15</v>
      </c>
      <c r="J163" s="35">
        <v>54</v>
      </c>
      <c r="K163" s="35">
        <v>80</v>
      </c>
      <c r="L163" s="35">
        <v>117</v>
      </c>
      <c r="N163" s="241">
        <f>P163+S163+V163+Y163+AB163+AE163+AH163+AK163+AN163+AQ163+AW163+AZ163+BC163+BF163+BI163+BL163+BO163+BR163+BU163+BX163+CA163+CD163+CG163+CJ163+AT163+DE163</f>
        <v>80</v>
      </c>
      <c r="O163" s="241">
        <f t="shared" ref="O163" si="524">Q163+T163+W163+Z163+AC163+AF163+AI163+AL163+AO163+AR163+AX163+BA163+BD163+BG163+BJ163+BM163+BP163+BS163+BV163+BY163+CB163+CE163+CH163+CK163+AU163+DF163</f>
        <v>0</v>
      </c>
      <c r="Y163" s="241"/>
      <c r="Z163" s="241"/>
      <c r="AA163" s="241"/>
      <c r="AB163" s="241"/>
      <c r="AC163" s="241"/>
      <c r="AD163" s="241"/>
      <c r="AE163" s="241"/>
      <c r="AF163" s="241"/>
      <c r="AH163" s="241"/>
      <c r="AI163" s="241"/>
      <c r="AJ163" s="241"/>
      <c r="AK163" s="241"/>
      <c r="AL163" s="241"/>
      <c r="AM163" s="241"/>
      <c r="AN163" s="241"/>
      <c r="AO163" s="241"/>
      <c r="AQ163" s="241"/>
      <c r="AR163" s="241"/>
      <c r="AS163" s="241"/>
      <c r="AW163" s="241"/>
      <c r="AX163" s="241"/>
      <c r="AZ163" s="241"/>
      <c r="BA163" s="241"/>
      <c r="BB163" s="241"/>
      <c r="BC163" s="241"/>
      <c r="BD163" s="241"/>
      <c r="BE163" s="241"/>
      <c r="BF163" s="241"/>
      <c r="BG163" s="241"/>
      <c r="BI163" s="241"/>
      <c r="BJ163" s="241"/>
      <c r="BK163" s="241"/>
      <c r="BL163" s="241"/>
      <c r="BM163" s="241"/>
      <c r="BN163" s="241"/>
      <c r="BO163" s="241"/>
      <c r="BP163" s="241"/>
      <c r="BR163" s="241"/>
      <c r="BS163" s="241"/>
      <c r="BT163" s="241"/>
      <c r="BU163" s="241"/>
      <c r="BV163" s="241"/>
      <c r="BW163" s="241"/>
      <c r="BX163" s="241"/>
      <c r="BY163" s="241"/>
      <c r="CA163" s="241"/>
      <c r="CB163" s="241"/>
      <c r="CC163" s="241"/>
      <c r="CD163" s="241"/>
      <c r="CE163" s="241"/>
      <c r="CF163" s="241"/>
      <c r="CG163" s="241"/>
      <c r="CH163" s="241"/>
      <c r="CJ163" s="241"/>
      <c r="CK163" s="241"/>
      <c r="CM163" s="241"/>
      <c r="CN163" s="241"/>
      <c r="CP163" s="241"/>
      <c r="CQ163" s="241"/>
      <c r="CS163" s="241"/>
      <c r="CT163" s="241"/>
      <c r="CV163" s="241"/>
      <c r="CW163" s="241"/>
      <c r="CY163" s="241"/>
      <c r="CZ163" s="241"/>
      <c r="DB163" s="241"/>
      <c r="DC163" s="241"/>
      <c r="DE163" s="241">
        <v>80</v>
      </c>
      <c r="DF163" s="241"/>
    </row>
    <row r="164" spans="1:110" ht="45" x14ac:dyDescent="0.25">
      <c r="A164" s="8"/>
      <c r="B164" s="16" t="s">
        <v>330</v>
      </c>
      <c r="C164" s="6" t="s">
        <v>2041</v>
      </c>
      <c r="D164" s="6" t="s">
        <v>950</v>
      </c>
      <c r="E164" s="12"/>
      <c r="F164" s="35"/>
      <c r="G164" s="35"/>
      <c r="H164" s="35"/>
      <c r="I164" s="35">
        <f>I165+I166</f>
        <v>5731</v>
      </c>
      <c r="J164" s="35">
        <f>J165+J166</f>
        <v>5656</v>
      </c>
      <c r="K164" s="35">
        <f>K165+K166</f>
        <v>5615</v>
      </c>
      <c r="L164" s="35">
        <f>L165+L166</f>
        <v>0</v>
      </c>
      <c r="N164" s="35">
        <f>N165+N166</f>
        <v>5615</v>
      </c>
      <c r="O164" s="35">
        <f>O165+O166</f>
        <v>0</v>
      </c>
      <c r="P164" s="35">
        <f>P165+P166</f>
        <v>0</v>
      </c>
      <c r="Q164" s="35">
        <f>Q165+Q166</f>
        <v>0</v>
      </c>
      <c r="S164" s="35">
        <f>S165+S166</f>
        <v>339</v>
      </c>
      <c r="T164" s="35">
        <f>T165+T166</f>
        <v>0</v>
      </c>
      <c r="V164" s="35">
        <f>V165+V166</f>
        <v>414</v>
      </c>
      <c r="W164" s="35">
        <f>W165+W166</f>
        <v>0</v>
      </c>
      <c r="Y164" s="35">
        <f>Y165+Y166</f>
        <v>1270</v>
      </c>
      <c r="Z164" s="35">
        <f>Z165+Z166</f>
        <v>0</v>
      </c>
      <c r="AA164" s="241"/>
      <c r="AB164" s="35">
        <f>AB165+AB166</f>
        <v>0</v>
      </c>
      <c r="AC164" s="35">
        <f>AC165+AC166</f>
        <v>0</v>
      </c>
      <c r="AD164" s="241"/>
      <c r="AE164" s="35">
        <f>AE165+AE166</f>
        <v>0</v>
      </c>
      <c r="AF164" s="35">
        <f>AF165+AF166</f>
        <v>0</v>
      </c>
      <c r="AH164" s="35">
        <f>AH165+AH166</f>
        <v>0</v>
      </c>
      <c r="AI164" s="35">
        <f>AI165+AI166</f>
        <v>0</v>
      </c>
      <c r="AJ164" s="241"/>
      <c r="AK164" s="35">
        <f>AK165+AK166</f>
        <v>168</v>
      </c>
      <c r="AL164" s="35">
        <f>AL165+AL166</f>
        <v>0</v>
      </c>
      <c r="AM164" s="241"/>
      <c r="AN164" s="35">
        <f>AN165+AN166</f>
        <v>0</v>
      </c>
      <c r="AO164" s="35">
        <f>AO165+AO166</f>
        <v>0</v>
      </c>
      <c r="AQ164" s="35">
        <f>AQ165+AQ166</f>
        <v>268</v>
      </c>
      <c r="AR164" s="35">
        <f>AR165+AR166</f>
        <v>0</v>
      </c>
      <c r="AS164" s="241"/>
      <c r="AT164" s="35">
        <f>AT165+AT166</f>
        <v>98</v>
      </c>
      <c r="AU164" s="35">
        <f>AU165+AU166</f>
        <v>0</v>
      </c>
      <c r="AW164" s="35">
        <f>AW165+AW166</f>
        <v>164</v>
      </c>
      <c r="AX164" s="35">
        <f>AX165+AX166</f>
        <v>0</v>
      </c>
      <c r="AZ164" s="35">
        <f>AZ165+AZ166</f>
        <v>652</v>
      </c>
      <c r="BA164" s="35">
        <f>BA165+BA166</f>
        <v>0</v>
      </c>
      <c r="BB164" s="241"/>
      <c r="BC164" s="35">
        <f>BC165+BC166</f>
        <v>0</v>
      </c>
      <c r="BD164" s="35">
        <f>BD165+BD166</f>
        <v>0</v>
      </c>
      <c r="BE164" s="241"/>
      <c r="BF164" s="35">
        <f>BF165+BF166</f>
        <v>463</v>
      </c>
      <c r="BG164" s="35">
        <f>BG165+BG166</f>
        <v>0</v>
      </c>
      <c r="BI164" s="35">
        <f>BI165+BI166</f>
        <v>267</v>
      </c>
      <c r="BJ164" s="35">
        <f>BJ165+BJ166</f>
        <v>0</v>
      </c>
      <c r="BK164" s="241"/>
      <c r="BL164" s="35">
        <f>BL165+BL166</f>
        <v>221</v>
      </c>
      <c r="BM164" s="35">
        <f>BM165+BM166</f>
        <v>0</v>
      </c>
      <c r="BN164" s="241"/>
      <c r="BO164" s="35">
        <f>BO165+BO166</f>
        <v>142</v>
      </c>
      <c r="BP164" s="35">
        <f>BP165+BP166</f>
        <v>0</v>
      </c>
      <c r="BR164" s="35">
        <f>BR165+BR166</f>
        <v>267</v>
      </c>
      <c r="BS164" s="35">
        <f>BS165+BS166</f>
        <v>0</v>
      </c>
      <c r="BT164" s="241"/>
      <c r="BU164" s="35">
        <f>BU165+BU166</f>
        <v>123</v>
      </c>
      <c r="BV164" s="35">
        <f>BV165+BV166</f>
        <v>0</v>
      </c>
      <c r="BW164" s="241"/>
      <c r="BX164" s="35">
        <f>BX165+BX166</f>
        <v>201</v>
      </c>
      <c r="BY164" s="35">
        <f>BY165+BY166</f>
        <v>0</v>
      </c>
      <c r="CA164" s="35">
        <f>CA165+CA166</f>
        <v>206</v>
      </c>
      <c r="CB164" s="35">
        <f>CB165+CB166</f>
        <v>0</v>
      </c>
      <c r="CC164" s="241"/>
      <c r="CD164" s="35">
        <f>CD165+CD166</f>
        <v>0</v>
      </c>
      <c r="CE164" s="35">
        <f>CE165+CE166</f>
        <v>0</v>
      </c>
      <c r="CF164" s="241"/>
      <c r="CG164" s="35">
        <f>CG165+CG166</f>
        <v>262</v>
      </c>
      <c r="CH164" s="35">
        <f>CH165+CH166</f>
        <v>0</v>
      </c>
      <c r="CJ164" s="35">
        <f>CJ165+CJ166</f>
        <v>0</v>
      </c>
      <c r="CK164" s="35">
        <f>CK165+CK166</f>
        <v>0</v>
      </c>
      <c r="CM164" s="35">
        <f>CM165+CM166</f>
        <v>0</v>
      </c>
      <c r="CN164" s="35">
        <f>CN165+CN166</f>
        <v>0</v>
      </c>
      <c r="CP164" s="35">
        <f>CP165+CP166</f>
        <v>0</v>
      </c>
      <c r="CQ164" s="35">
        <f>CQ165+CQ166</f>
        <v>0</v>
      </c>
      <c r="CS164" s="35">
        <f>CS165+CS166</f>
        <v>0</v>
      </c>
      <c r="CT164" s="35">
        <f>CT165+CT166</f>
        <v>0</v>
      </c>
      <c r="CV164" s="35">
        <f>CV165+CV166</f>
        <v>0</v>
      </c>
      <c r="CW164" s="35">
        <f>CW165+CW166</f>
        <v>0</v>
      </c>
      <c r="CY164" s="35">
        <f>CY165+CY166</f>
        <v>0</v>
      </c>
      <c r="CZ164" s="35">
        <f>CZ165+CZ166</f>
        <v>0</v>
      </c>
      <c r="DB164" s="35">
        <f>DB165+DB166</f>
        <v>0</v>
      </c>
      <c r="DC164" s="35">
        <f>DC165+DC166</f>
        <v>0</v>
      </c>
      <c r="DE164" s="35">
        <f>DE165+DE166</f>
        <v>90</v>
      </c>
      <c r="DF164" s="35">
        <f>DF165+DF166</f>
        <v>0</v>
      </c>
    </row>
    <row r="165" spans="1:110" x14ac:dyDescent="0.25">
      <c r="A165" s="8"/>
      <c r="B165" s="16" t="s">
        <v>1182</v>
      </c>
      <c r="C165" s="6"/>
      <c r="D165" s="6"/>
      <c r="E165" s="12"/>
      <c r="F165" s="35">
        <f t="shared" ref="F165:J166" si="525">F59</f>
        <v>0</v>
      </c>
      <c r="G165" s="35">
        <f t="shared" si="525"/>
        <v>0</v>
      </c>
      <c r="H165" s="35">
        <f t="shared" si="525"/>
        <v>0</v>
      </c>
      <c r="I165" s="35">
        <f t="shared" si="525"/>
        <v>5716</v>
      </c>
      <c r="J165" s="35">
        <f t="shared" si="525"/>
        <v>5602</v>
      </c>
      <c r="K165" s="35">
        <f>K12</f>
        <v>5525</v>
      </c>
      <c r="L165" s="35">
        <f>L12</f>
        <v>0</v>
      </c>
      <c r="N165" s="241">
        <f>P165+S165+V165+Y165+AB165+AE165+AH165+AK165+AN165+AQ165+AW165+AZ165+BC165+BF165+BI165+BL165+BO165+BR165+BU165+BX165+CA165+CD165+CG165+CJ165+AT165+DE165</f>
        <v>5525</v>
      </c>
      <c r="O165" s="241">
        <f t="shared" ref="O165" si="526">Q165+T165+W165+Z165+AC165+AF165+AI165+AL165+AO165+AR165+AX165+BA165+BD165+BG165+BJ165+BM165+BP165+BS165+BV165+BY165+CB165+CE165+CH165+CK165+AU165+DF165</f>
        <v>0</v>
      </c>
      <c r="P165" s="241">
        <f>P12</f>
        <v>0</v>
      </c>
      <c r="Q165" s="241">
        <f>Q12</f>
        <v>0</v>
      </c>
      <c r="S165" s="241">
        <f>S12</f>
        <v>339</v>
      </c>
      <c r="T165" s="241">
        <f>T12</f>
        <v>0</v>
      </c>
      <c r="V165" s="241">
        <f>V12</f>
        <v>414</v>
      </c>
      <c r="W165" s="241">
        <f>W12</f>
        <v>0</v>
      </c>
      <c r="Y165" s="241">
        <f>Y12</f>
        <v>1270</v>
      </c>
      <c r="Z165" s="241">
        <f>Z12</f>
        <v>0</v>
      </c>
      <c r="AA165" s="241"/>
      <c r="AB165" s="241">
        <f>AB12</f>
        <v>0</v>
      </c>
      <c r="AC165" s="241">
        <f>AC12</f>
        <v>0</v>
      </c>
      <c r="AD165" s="241"/>
      <c r="AE165" s="241">
        <f>AE12</f>
        <v>0</v>
      </c>
      <c r="AF165" s="241">
        <f>AF12</f>
        <v>0</v>
      </c>
      <c r="AH165" s="241">
        <f>AH12</f>
        <v>0</v>
      </c>
      <c r="AI165" s="241">
        <f>AI12</f>
        <v>0</v>
      </c>
      <c r="AJ165" s="241"/>
      <c r="AK165" s="241">
        <f>AK12</f>
        <v>168</v>
      </c>
      <c r="AL165" s="241">
        <f>AL12</f>
        <v>0</v>
      </c>
      <c r="AM165" s="241"/>
      <c r="AN165" s="241">
        <f>AN12</f>
        <v>0</v>
      </c>
      <c r="AO165" s="241">
        <f>AO12</f>
        <v>0</v>
      </c>
      <c r="AQ165" s="241">
        <f>AQ12</f>
        <v>268</v>
      </c>
      <c r="AR165" s="241">
        <f>AR12</f>
        <v>0</v>
      </c>
      <c r="AS165" s="241"/>
      <c r="AT165" s="241">
        <f>AT12</f>
        <v>98</v>
      </c>
      <c r="AU165" s="241">
        <f>AU12</f>
        <v>0</v>
      </c>
      <c r="AW165" s="241">
        <f>AW12</f>
        <v>164</v>
      </c>
      <c r="AX165" s="241">
        <f>AX12</f>
        <v>0</v>
      </c>
      <c r="AZ165" s="241">
        <f>AZ12</f>
        <v>652</v>
      </c>
      <c r="BA165" s="241">
        <f>BA12</f>
        <v>0</v>
      </c>
      <c r="BB165" s="241"/>
      <c r="BC165" s="241">
        <f>BC12</f>
        <v>0</v>
      </c>
      <c r="BD165" s="241">
        <f>BD12</f>
        <v>0</v>
      </c>
      <c r="BE165" s="241"/>
      <c r="BF165" s="241">
        <f>BF12</f>
        <v>463</v>
      </c>
      <c r="BG165" s="241">
        <f>BG12</f>
        <v>0</v>
      </c>
      <c r="BI165" s="241">
        <f>BI12</f>
        <v>267</v>
      </c>
      <c r="BJ165" s="241">
        <f>BJ12</f>
        <v>0</v>
      </c>
      <c r="BK165" s="241"/>
      <c r="BL165" s="241">
        <f>BL12</f>
        <v>221</v>
      </c>
      <c r="BM165" s="241">
        <f>BM12</f>
        <v>0</v>
      </c>
      <c r="BN165" s="241"/>
      <c r="BO165" s="241">
        <f>BO12</f>
        <v>142</v>
      </c>
      <c r="BP165" s="241">
        <f>BP12</f>
        <v>0</v>
      </c>
      <c r="BR165" s="241">
        <f>BR12</f>
        <v>267</v>
      </c>
      <c r="BS165" s="241">
        <f>BS12</f>
        <v>0</v>
      </c>
      <c r="BT165" s="241"/>
      <c r="BU165" s="241">
        <f>BU12</f>
        <v>123</v>
      </c>
      <c r="BV165" s="241">
        <f>BV12</f>
        <v>0</v>
      </c>
      <c r="BW165" s="241"/>
      <c r="BX165" s="241">
        <f>BX12</f>
        <v>201</v>
      </c>
      <c r="BY165" s="241">
        <f>BY12</f>
        <v>0</v>
      </c>
      <c r="CA165" s="241">
        <f>CA12</f>
        <v>206</v>
      </c>
      <c r="CB165" s="241">
        <f>CB12</f>
        <v>0</v>
      </c>
      <c r="CC165" s="241"/>
      <c r="CD165" s="241">
        <f>CD12</f>
        <v>0</v>
      </c>
      <c r="CE165" s="241">
        <f>CE12</f>
        <v>0</v>
      </c>
      <c r="CF165" s="241"/>
      <c r="CG165" s="241">
        <f>CG12</f>
        <v>262</v>
      </c>
      <c r="CH165" s="241">
        <f>CH12</f>
        <v>0</v>
      </c>
      <c r="CJ165" s="241">
        <f>CJ12</f>
        <v>0</v>
      </c>
      <c r="CK165" s="241">
        <f>CK12</f>
        <v>0</v>
      </c>
      <c r="CM165" s="241">
        <f>CM12</f>
        <v>0</v>
      </c>
      <c r="CN165" s="241">
        <f>CN12</f>
        <v>0</v>
      </c>
      <c r="CP165" s="241">
        <f>CP12</f>
        <v>0</v>
      </c>
      <c r="CQ165" s="241">
        <f>CQ12</f>
        <v>0</v>
      </c>
      <c r="CS165" s="241">
        <f>CS12</f>
        <v>0</v>
      </c>
      <c r="CT165" s="241">
        <f>CT12</f>
        <v>0</v>
      </c>
      <c r="CV165" s="241">
        <f>CV12</f>
        <v>0</v>
      </c>
      <c r="CW165" s="241">
        <f>CW12</f>
        <v>0</v>
      </c>
      <c r="CY165" s="241">
        <f>CY12</f>
        <v>0</v>
      </c>
      <c r="CZ165" s="241">
        <f>CZ12</f>
        <v>0</v>
      </c>
      <c r="DB165" s="241">
        <f>DB12</f>
        <v>0</v>
      </c>
      <c r="DC165" s="241">
        <f>DC12</f>
        <v>0</v>
      </c>
      <c r="DE165" s="241">
        <f>DE12</f>
        <v>0</v>
      </c>
      <c r="DF165" s="241">
        <f>DF12</f>
        <v>0</v>
      </c>
    </row>
    <row r="166" spans="1:110" x14ac:dyDescent="0.25">
      <c r="A166" s="8"/>
      <c r="B166" s="16" t="s">
        <v>1184</v>
      </c>
      <c r="C166" s="6"/>
      <c r="D166" s="6"/>
      <c r="E166" s="12"/>
      <c r="F166" s="35">
        <f t="shared" si="525"/>
        <v>0</v>
      </c>
      <c r="G166" s="35">
        <f t="shared" si="525"/>
        <v>0</v>
      </c>
      <c r="H166" s="35">
        <f t="shared" si="525"/>
        <v>0</v>
      </c>
      <c r="I166" s="35">
        <f t="shared" si="525"/>
        <v>15</v>
      </c>
      <c r="J166" s="35">
        <f t="shared" si="525"/>
        <v>54</v>
      </c>
      <c r="K166" s="35">
        <f>K13</f>
        <v>90</v>
      </c>
      <c r="L166" s="35">
        <f>L13</f>
        <v>0</v>
      </c>
      <c r="N166" s="241">
        <f>P166+S166+V166+Y166+AB166+AE166+AH166+AK166+AN166+AQ166+AW166+AZ166+BC166+BF166+BI166+BL166+BO166+BR166+BU166+BX166+CA166+CD166+CG166+CJ166+AT166+DE166</f>
        <v>90</v>
      </c>
      <c r="O166" s="241">
        <f t="shared" ref="O166" si="527">Q166+T166+W166+Z166+AC166+AF166+AI166+AL166+AO166+AR166+AX166+BA166+BD166+BG166+BJ166+BM166+BP166+BS166+BV166+BY166+CB166+CE166+CH166+CK166+AU166+DF166</f>
        <v>0</v>
      </c>
      <c r="P166" s="241">
        <f>P13</f>
        <v>0</v>
      </c>
      <c r="Q166" s="241">
        <f>Q13</f>
        <v>0</v>
      </c>
      <c r="S166" s="241">
        <f>S13</f>
        <v>0</v>
      </c>
      <c r="T166" s="241">
        <f>T13</f>
        <v>0</v>
      </c>
      <c r="V166" s="241">
        <f>V13</f>
        <v>0</v>
      </c>
      <c r="W166" s="241">
        <f>W13</f>
        <v>0</v>
      </c>
      <c r="Y166" s="241">
        <f>Y13</f>
        <v>0</v>
      </c>
      <c r="Z166" s="241">
        <f>Z13</f>
        <v>0</v>
      </c>
      <c r="AA166" s="241"/>
      <c r="AB166" s="241">
        <f>AB13</f>
        <v>0</v>
      </c>
      <c r="AC166" s="241">
        <f>AC13</f>
        <v>0</v>
      </c>
      <c r="AD166" s="241"/>
      <c r="AE166" s="241">
        <f>AE13</f>
        <v>0</v>
      </c>
      <c r="AF166" s="241">
        <f>AF13</f>
        <v>0</v>
      </c>
      <c r="AH166" s="241">
        <f>AH13</f>
        <v>0</v>
      </c>
      <c r="AI166" s="241">
        <f>AI13</f>
        <v>0</v>
      </c>
      <c r="AJ166" s="241"/>
      <c r="AK166" s="241">
        <f>AK13</f>
        <v>0</v>
      </c>
      <c r="AL166" s="241">
        <f>AL13</f>
        <v>0</v>
      </c>
      <c r="AM166" s="241"/>
      <c r="AN166" s="241">
        <f>AN13</f>
        <v>0</v>
      </c>
      <c r="AO166" s="241">
        <f>AO13</f>
        <v>0</v>
      </c>
      <c r="AQ166" s="241">
        <f>AQ13</f>
        <v>0</v>
      </c>
      <c r="AR166" s="241">
        <f>AR13</f>
        <v>0</v>
      </c>
      <c r="AS166" s="241"/>
      <c r="AT166" s="241">
        <f>AT13</f>
        <v>0</v>
      </c>
      <c r="AU166" s="241">
        <f>AU13</f>
        <v>0</v>
      </c>
      <c r="AW166" s="241">
        <f>AW13</f>
        <v>0</v>
      </c>
      <c r="AX166" s="241">
        <f>AX13</f>
        <v>0</v>
      </c>
      <c r="AZ166" s="241">
        <f>AZ13</f>
        <v>0</v>
      </c>
      <c r="BA166" s="241">
        <f>BA13</f>
        <v>0</v>
      </c>
      <c r="BB166" s="241"/>
      <c r="BC166" s="241">
        <f>BC13</f>
        <v>0</v>
      </c>
      <c r="BD166" s="241">
        <f>BD13</f>
        <v>0</v>
      </c>
      <c r="BE166" s="241"/>
      <c r="BF166" s="241">
        <f>BF13</f>
        <v>0</v>
      </c>
      <c r="BG166" s="241">
        <f>BG13</f>
        <v>0</v>
      </c>
      <c r="BI166" s="241">
        <f>BI13</f>
        <v>0</v>
      </c>
      <c r="BJ166" s="241">
        <f>BJ13</f>
        <v>0</v>
      </c>
      <c r="BK166" s="241"/>
      <c r="BL166" s="241">
        <f>BL13</f>
        <v>0</v>
      </c>
      <c r="BM166" s="241">
        <f>BM13</f>
        <v>0</v>
      </c>
      <c r="BN166" s="241"/>
      <c r="BO166" s="241">
        <f>BO13</f>
        <v>0</v>
      </c>
      <c r="BP166" s="241">
        <f>BP13</f>
        <v>0</v>
      </c>
      <c r="BR166" s="241">
        <f>BR13</f>
        <v>0</v>
      </c>
      <c r="BS166" s="241">
        <f>BS13</f>
        <v>0</v>
      </c>
      <c r="BT166" s="241"/>
      <c r="BU166" s="241">
        <f>BU13</f>
        <v>0</v>
      </c>
      <c r="BV166" s="241">
        <f>BV13</f>
        <v>0</v>
      </c>
      <c r="BW166" s="241"/>
      <c r="BX166" s="241">
        <f>BX13</f>
        <v>0</v>
      </c>
      <c r="BY166" s="241">
        <f>BY13</f>
        <v>0</v>
      </c>
      <c r="CA166" s="241">
        <f>CA13</f>
        <v>0</v>
      </c>
      <c r="CB166" s="241">
        <f>CB13</f>
        <v>0</v>
      </c>
      <c r="CC166" s="241"/>
      <c r="CD166" s="241">
        <f>CD13</f>
        <v>0</v>
      </c>
      <c r="CE166" s="241">
        <f>CE13</f>
        <v>0</v>
      </c>
      <c r="CF166" s="241"/>
      <c r="CG166" s="241">
        <f>CG13</f>
        <v>0</v>
      </c>
      <c r="CH166" s="241">
        <f>CH13</f>
        <v>0</v>
      </c>
      <c r="CJ166" s="241">
        <f>CJ13</f>
        <v>0</v>
      </c>
      <c r="CK166" s="241">
        <f>CK13</f>
        <v>0</v>
      </c>
      <c r="CM166" s="241">
        <f>CM13</f>
        <v>0</v>
      </c>
      <c r="CN166" s="241">
        <f>CN13</f>
        <v>0</v>
      </c>
      <c r="CP166" s="241">
        <f>CP13</f>
        <v>0</v>
      </c>
      <c r="CQ166" s="241">
        <f>CQ13</f>
        <v>0</v>
      </c>
      <c r="CS166" s="241">
        <f>CS13</f>
        <v>0</v>
      </c>
      <c r="CT166" s="241">
        <f>CT13</f>
        <v>0</v>
      </c>
      <c r="CV166" s="241">
        <f>CV13</f>
        <v>0</v>
      </c>
      <c r="CW166" s="241">
        <f>CW13</f>
        <v>0</v>
      </c>
      <c r="CY166" s="241">
        <f>CY13</f>
        <v>0</v>
      </c>
      <c r="CZ166" s="241">
        <f>CZ13</f>
        <v>0</v>
      </c>
      <c r="DB166" s="241">
        <f>DB13</f>
        <v>0</v>
      </c>
      <c r="DC166" s="241">
        <f>DC13</f>
        <v>0</v>
      </c>
      <c r="DE166" s="241">
        <f>DE13</f>
        <v>90</v>
      </c>
      <c r="DF166" s="241">
        <f>DF13</f>
        <v>0</v>
      </c>
    </row>
    <row r="167" spans="1:110" x14ac:dyDescent="0.25">
      <c r="A167" s="8"/>
      <c r="B167" s="16" t="s">
        <v>1732</v>
      </c>
      <c r="C167" s="6"/>
      <c r="D167" s="6"/>
      <c r="E167" s="12"/>
      <c r="F167" s="35"/>
      <c r="G167" s="35"/>
      <c r="H167" s="35"/>
      <c r="I167" s="35"/>
      <c r="J167" s="35"/>
      <c r="K167" s="35"/>
      <c r="L167" s="35"/>
      <c r="Y167" s="241"/>
      <c r="Z167" s="241"/>
      <c r="AA167" s="241"/>
      <c r="AB167" s="241"/>
      <c r="AC167" s="241"/>
      <c r="AD167" s="241"/>
      <c r="AE167" s="241"/>
      <c r="AF167" s="241"/>
      <c r="AH167" s="241"/>
      <c r="AI167" s="241"/>
      <c r="AJ167" s="241"/>
      <c r="AK167" s="241"/>
      <c r="AL167" s="241"/>
      <c r="AM167" s="241"/>
      <c r="AN167" s="241"/>
      <c r="AO167" s="241"/>
      <c r="AQ167" s="241"/>
      <c r="AR167" s="241"/>
      <c r="AS167" s="241"/>
      <c r="AW167" s="241"/>
      <c r="AX167" s="241"/>
      <c r="AZ167" s="241"/>
      <c r="BA167" s="241"/>
      <c r="BB167" s="241"/>
      <c r="BC167" s="241"/>
      <c r="BD167" s="241"/>
      <c r="BE167" s="241"/>
      <c r="BF167" s="241"/>
      <c r="BG167" s="241"/>
      <c r="BI167" s="241"/>
      <c r="BJ167" s="241"/>
      <c r="BK167" s="241"/>
      <c r="BL167" s="241"/>
      <c r="BM167" s="241"/>
      <c r="BN167" s="241"/>
      <c r="BO167" s="241"/>
      <c r="BP167" s="241"/>
      <c r="BR167" s="241"/>
      <c r="BS167" s="241"/>
      <c r="BT167" s="241"/>
      <c r="BU167" s="241"/>
      <c r="BV167" s="241"/>
      <c r="BW167" s="241"/>
      <c r="BX167" s="241"/>
      <c r="BY167" s="241"/>
      <c r="CA167" s="241"/>
      <c r="CB167" s="241"/>
      <c r="CC167" s="241"/>
      <c r="CD167" s="241"/>
      <c r="CE167" s="241"/>
      <c r="CF167" s="241"/>
      <c r="CG167" s="241"/>
      <c r="CH167" s="241"/>
      <c r="CJ167" s="241"/>
      <c r="CK167" s="241"/>
      <c r="CM167" s="241"/>
      <c r="CN167" s="241"/>
      <c r="CP167" s="241"/>
      <c r="CQ167" s="241"/>
      <c r="CS167" s="241"/>
      <c r="CT167" s="241"/>
      <c r="CV167" s="241"/>
      <c r="CW167" s="241"/>
      <c r="CY167" s="241"/>
      <c r="CZ167" s="241"/>
      <c r="DB167" s="241"/>
      <c r="DC167" s="241"/>
      <c r="DE167" s="241"/>
      <c r="DF167" s="241"/>
    </row>
    <row r="168" spans="1:110" ht="45" x14ac:dyDescent="0.25">
      <c r="A168" s="8"/>
      <c r="B168" s="16" t="s">
        <v>378</v>
      </c>
      <c r="C168" s="6" t="s">
        <v>2052</v>
      </c>
      <c r="D168" s="6" t="s">
        <v>950</v>
      </c>
      <c r="E168" s="12"/>
      <c r="F168" s="35"/>
      <c r="G168" s="35"/>
      <c r="H168" s="35"/>
      <c r="I168" s="35">
        <f>I169+I170</f>
        <v>7193</v>
      </c>
      <c r="J168" s="35">
        <f>J169+J170</f>
        <v>7847</v>
      </c>
      <c r="K168" s="35">
        <f>K169+K170</f>
        <v>8023</v>
      </c>
      <c r="L168" s="35">
        <f>L169+L170</f>
        <v>10131</v>
      </c>
      <c r="N168" s="35">
        <f>N169+N170</f>
        <v>4979</v>
      </c>
      <c r="O168" s="35">
        <f>O169+O170</f>
        <v>0</v>
      </c>
      <c r="P168" s="35">
        <f>P169+P170</f>
        <v>0</v>
      </c>
      <c r="Q168" s="35">
        <f>Q169+Q170</f>
        <v>0</v>
      </c>
      <c r="S168" s="35">
        <f>S169+S170</f>
        <v>443</v>
      </c>
      <c r="T168" s="35">
        <f>T169+T170</f>
        <v>0</v>
      </c>
      <c r="V168" s="35">
        <f>V169+V170</f>
        <v>324</v>
      </c>
      <c r="W168" s="35">
        <f>W169+W170</f>
        <v>0</v>
      </c>
      <c r="Y168" s="35">
        <f>Y169+Y170</f>
        <v>44</v>
      </c>
      <c r="Z168" s="35">
        <f>Z169+Z170</f>
        <v>0</v>
      </c>
      <c r="AA168" s="241"/>
      <c r="AB168" s="35">
        <f>AB169+AB170</f>
        <v>0</v>
      </c>
      <c r="AC168" s="35">
        <f>AC169+AC170</f>
        <v>0</v>
      </c>
      <c r="AD168" s="241"/>
      <c r="AE168" s="35">
        <f>AE169+AE170</f>
        <v>13</v>
      </c>
      <c r="AF168" s="35">
        <f>AF169+AF170</f>
        <v>0</v>
      </c>
      <c r="AH168" s="35">
        <f>AH169+AH170</f>
        <v>0</v>
      </c>
      <c r="AI168" s="35">
        <f>AI169+AI170</f>
        <v>0</v>
      </c>
      <c r="AJ168" s="241"/>
      <c r="AK168" s="35">
        <f>AK169+AK170</f>
        <v>79</v>
      </c>
      <c r="AL168" s="35">
        <f>AL169+AL170</f>
        <v>0</v>
      </c>
      <c r="AM168" s="241"/>
      <c r="AN168" s="35">
        <f>AN169+AN170</f>
        <v>67</v>
      </c>
      <c r="AO168" s="35">
        <f>AO169+AO170</f>
        <v>0</v>
      </c>
      <c r="AQ168" s="35">
        <f>AQ169+AQ170</f>
        <v>148</v>
      </c>
      <c r="AR168" s="35">
        <f>AR169+AR170</f>
        <v>0</v>
      </c>
      <c r="AS168" s="241"/>
      <c r="AT168" s="35">
        <f>AT169+AT170</f>
        <v>0</v>
      </c>
      <c r="AU168" s="35">
        <f>AU169+AU170</f>
        <v>0</v>
      </c>
      <c r="AW168" s="35">
        <f>AW169+AW170</f>
        <v>40</v>
      </c>
      <c r="AX168" s="35">
        <f>AX169+AX170</f>
        <v>0</v>
      </c>
      <c r="AZ168" s="35">
        <f>AZ169+AZ170</f>
        <v>175</v>
      </c>
      <c r="BA168" s="35">
        <f>BA169+BA170</f>
        <v>0</v>
      </c>
      <c r="BB168" s="241"/>
      <c r="BC168" s="35">
        <f>BC169+BC170</f>
        <v>515</v>
      </c>
      <c r="BD168" s="35">
        <f>BD169+BD170</f>
        <v>0</v>
      </c>
      <c r="BE168" s="241"/>
      <c r="BF168" s="35">
        <f>BF169+BF170</f>
        <v>290</v>
      </c>
      <c r="BG168" s="35">
        <f>BG169+BG170</f>
        <v>0</v>
      </c>
      <c r="BI168" s="35">
        <f>BI169+BI170</f>
        <v>51</v>
      </c>
      <c r="BJ168" s="35">
        <f>BJ169+BJ170</f>
        <v>0</v>
      </c>
      <c r="BK168" s="241"/>
      <c r="BL168" s="35">
        <f>BL169+BL170</f>
        <v>153</v>
      </c>
      <c r="BM168" s="35">
        <f>BM169+BM170</f>
        <v>0</v>
      </c>
      <c r="BN168" s="241"/>
      <c r="BO168" s="35">
        <f>BO169+BO170</f>
        <v>1</v>
      </c>
      <c r="BP168" s="35">
        <f>BP169+BP170</f>
        <v>0</v>
      </c>
      <c r="BR168" s="35">
        <f>BR169+BR170</f>
        <v>23</v>
      </c>
      <c r="BS168" s="35">
        <f>BS169+BS170</f>
        <v>0</v>
      </c>
      <c r="BT168" s="241"/>
      <c r="BU168" s="35">
        <f>BU169+BU170</f>
        <v>101</v>
      </c>
      <c r="BV168" s="35">
        <f>BV169+BV170</f>
        <v>0</v>
      </c>
      <c r="BW168" s="241"/>
      <c r="BX168" s="35">
        <f>BX169+BX170</f>
        <v>58</v>
      </c>
      <c r="BY168" s="35">
        <f>BY169+BY170</f>
        <v>0</v>
      </c>
      <c r="CA168" s="35">
        <f>CA169+CA170</f>
        <v>197</v>
      </c>
      <c r="CB168" s="35">
        <f>CB169+CB170</f>
        <v>0</v>
      </c>
      <c r="CC168" s="241"/>
      <c r="CD168" s="35">
        <f>CD169+CD170</f>
        <v>162</v>
      </c>
      <c r="CE168" s="35">
        <f>CE169+CE170</f>
        <v>0</v>
      </c>
      <c r="CF168" s="241"/>
      <c r="CG168" s="35">
        <f>CG169+CG170</f>
        <v>188</v>
      </c>
      <c r="CH168" s="35">
        <f>CH169+CH170</f>
        <v>0</v>
      </c>
      <c r="CJ168" s="35">
        <f>CJ169+CJ170</f>
        <v>249</v>
      </c>
      <c r="CK168" s="35">
        <f>CK169+CK170</f>
        <v>0</v>
      </c>
      <c r="CM168" s="35">
        <f>CM169+CM170</f>
        <v>0</v>
      </c>
      <c r="CN168" s="35">
        <f>CN169+CN170</f>
        <v>0</v>
      </c>
      <c r="CP168" s="35">
        <f>CP169+CP170</f>
        <v>0</v>
      </c>
      <c r="CQ168" s="35">
        <f>CQ169+CQ170</f>
        <v>0</v>
      </c>
      <c r="CS168" s="35">
        <f>CS169+CS170</f>
        <v>914</v>
      </c>
      <c r="CT168" s="35">
        <f>CT169+CT170</f>
        <v>0</v>
      </c>
      <c r="CV168" s="35">
        <f>CV169+CV170</f>
        <v>517</v>
      </c>
      <c r="CW168" s="35">
        <f>CW169+CW170</f>
        <v>0</v>
      </c>
      <c r="CY168" s="35">
        <f>CY169+CY170</f>
        <v>1128</v>
      </c>
      <c r="CZ168" s="35">
        <f>CZ169+CZ170</f>
        <v>0</v>
      </c>
      <c r="DB168" s="35">
        <f>DB169+DB170</f>
        <v>485</v>
      </c>
      <c r="DC168" s="35">
        <f>DC169+DC170</f>
        <v>0</v>
      </c>
      <c r="DE168" s="35">
        <f>DE169+DE170</f>
        <v>1658</v>
      </c>
      <c r="DF168" s="35">
        <f>DF169+DF170</f>
        <v>0</v>
      </c>
    </row>
    <row r="169" spans="1:110" x14ac:dyDescent="0.25">
      <c r="A169" s="8"/>
      <c r="B169" s="16" t="s">
        <v>1182</v>
      </c>
      <c r="C169" s="6"/>
      <c r="D169" s="6"/>
      <c r="E169" s="12"/>
      <c r="F169" s="35">
        <v>6656</v>
      </c>
      <c r="G169" s="35"/>
      <c r="H169" s="35"/>
      <c r="I169" s="35">
        <f>4800+3713+205-2288</f>
        <v>6430</v>
      </c>
      <c r="J169" s="35">
        <f>4660+1647+290</f>
        <v>6597</v>
      </c>
      <c r="K169" s="35">
        <v>6365</v>
      </c>
      <c r="L169" s="35">
        <f>3966+3493+402</f>
        <v>7861</v>
      </c>
      <c r="N169" s="241">
        <f>P169+S169+V169+Y169+AB169+AE169+AH169+AK169+AN169+AQ169+AW169+AZ169+BC169+BF169+BI169+BL169+BO169+BR169+BU169+BX169+CA169+CD169+CG169+CJ169+AT169+DE169</f>
        <v>3321</v>
      </c>
      <c r="O169" s="241">
        <f t="shared" ref="O169" si="528">Q169+T169+W169+Z169+AC169+AF169+AI169+AL169+AO169+AR169+AX169+BA169+BD169+BG169+BJ169+BM169+BP169+BS169+BV169+BY169+CB169+CE169+CH169+CK169+AU169+DF169</f>
        <v>0</v>
      </c>
      <c r="P169">
        <v>0</v>
      </c>
      <c r="S169" s="241">
        <f>246+197</f>
        <v>443</v>
      </c>
      <c r="T169" s="241"/>
      <c r="V169">
        <f>189+135</f>
        <v>324</v>
      </c>
      <c r="Y169" s="241">
        <v>44</v>
      </c>
      <c r="Z169" s="241"/>
      <c r="AA169" s="241"/>
      <c r="AB169" s="241">
        <v>0</v>
      </c>
      <c r="AC169" s="241"/>
      <c r="AD169" s="241"/>
      <c r="AE169" s="241">
        <v>13</v>
      </c>
      <c r="AF169" s="241"/>
      <c r="AH169" s="241">
        <v>0</v>
      </c>
      <c r="AI169" s="241"/>
      <c r="AJ169" s="241"/>
      <c r="AK169" s="241">
        <f>71+8</f>
        <v>79</v>
      </c>
      <c r="AL169" s="241"/>
      <c r="AM169" s="241"/>
      <c r="AN169" s="241">
        <v>67</v>
      </c>
      <c r="AO169" s="241"/>
      <c r="AQ169" s="241">
        <v>148</v>
      </c>
      <c r="AR169" s="241"/>
      <c r="AS169" s="241"/>
      <c r="AT169" s="241">
        <v>0</v>
      </c>
      <c r="AW169" s="241">
        <f>1+39</f>
        <v>40</v>
      </c>
      <c r="AX169" s="241"/>
      <c r="AZ169" s="241">
        <v>175</v>
      </c>
      <c r="BA169" s="241"/>
      <c r="BB169" s="241"/>
      <c r="BC169" s="241">
        <f>406+109</f>
        <v>515</v>
      </c>
      <c r="BD169" s="241"/>
      <c r="BE169" s="241"/>
      <c r="BF169" s="241">
        <f>133+157</f>
        <v>290</v>
      </c>
      <c r="BG169" s="241"/>
      <c r="BI169" s="241">
        <v>51</v>
      </c>
      <c r="BJ169" s="241"/>
      <c r="BK169" s="241"/>
      <c r="BL169" s="241">
        <f>108+45</f>
        <v>153</v>
      </c>
      <c r="BM169" s="241"/>
      <c r="BN169" s="241"/>
      <c r="BO169" s="241">
        <v>1</v>
      </c>
      <c r="BP169" s="241"/>
      <c r="BR169" s="241">
        <v>23</v>
      </c>
      <c r="BS169" s="241"/>
      <c r="BT169" s="241"/>
      <c r="BU169" s="241">
        <f>12+89</f>
        <v>101</v>
      </c>
      <c r="BV169" s="241"/>
      <c r="BW169" s="241"/>
      <c r="BX169" s="241">
        <f>9+40+9</f>
        <v>58</v>
      </c>
      <c r="BY169" s="241"/>
      <c r="CA169" s="241">
        <f>47+150</f>
        <v>197</v>
      </c>
      <c r="CB169" s="241"/>
      <c r="CC169" s="241"/>
      <c r="CD169" s="241">
        <f>119+43</f>
        <v>162</v>
      </c>
      <c r="CE169" s="241"/>
      <c r="CF169" s="241"/>
      <c r="CG169" s="241">
        <f>41+121+26</f>
        <v>188</v>
      </c>
      <c r="CH169" s="241"/>
      <c r="CJ169" s="241">
        <f>81+168</f>
        <v>249</v>
      </c>
      <c r="CK169" s="241"/>
      <c r="CM169" s="241"/>
      <c r="CN169" s="241"/>
      <c r="CP169" s="241"/>
      <c r="CQ169" s="241"/>
      <c r="CS169" s="241">
        <f>415+499</f>
        <v>914</v>
      </c>
      <c r="CT169" s="241"/>
      <c r="CV169" s="241">
        <f>297+220</f>
        <v>517</v>
      </c>
      <c r="CW169" s="241"/>
      <c r="CY169" s="241">
        <f>708+420</f>
        <v>1128</v>
      </c>
      <c r="CZ169" s="241"/>
      <c r="DB169" s="241">
        <f>214+271</f>
        <v>485</v>
      </c>
      <c r="DC169" s="241"/>
      <c r="DE169" s="241"/>
      <c r="DF169" s="241"/>
    </row>
    <row r="170" spans="1:110" x14ac:dyDescent="0.25">
      <c r="A170" s="8"/>
      <c r="B170" s="16" t="s">
        <v>1184</v>
      </c>
      <c r="C170" s="6"/>
      <c r="D170" s="6"/>
      <c r="E170" s="12"/>
      <c r="F170" s="35">
        <v>134</v>
      </c>
      <c r="G170" s="35"/>
      <c r="H170" s="35"/>
      <c r="I170" s="35">
        <f>95+637+31</f>
        <v>763</v>
      </c>
      <c r="J170" s="35">
        <f>310+899+41</f>
        <v>1250</v>
      </c>
      <c r="K170" s="35">
        <v>1658</v>
      </c>
      <c r="L170" s="35">
        <f>327+1919+24</f>
        <v>2270</v>
      </c>
      <c r="N170" s="241">
        <f>P170+S170+V170+Y170+AB170+AE170+AH170+AK170+AN170+AQ170+AW170+AZ170+BC170+BF170+BI170+BL170+BO170+BR170+BU170+BX170+CA170+CD170+CG170+CJ170+AT170+DE170</f>
        <v>1658</v>
      </c>
      <c r="O170" s="241">
        <f t="shared" ref="O170" si="529">Q170+T170+W170+Z170+AC170+AF170+AI170+AL170+AO170+AR170+AX170+BA170+BD170+BG170+BJ170+BM170+BP170+BS170+BV170+BY170+CB170+CE170+CH170+CK170+AU170+DF170</f>
        <v>0</v>
      </c>
      <c r="Y170" s="241"/>
      <c r="Z170" s="241"/>
      <c r="AA170" s="241"/>
      <c r="AB170" s="241"/>
      <c r="AC170" s="241"/>
      <c r="AD170" s="241"/>
      <c r="AE170" s="241"/>
      <c r="AF170" s="241"/>
      <c r="AH170" s="241"/>
      <c r="AI170" s="241"/>
      <c r="AJ170" s="241"/>
      <c r="AK170" s="241"/>
      <c r="AL170" s="241"/>
      <c r="AM170" s="241"/>
      <c r="AN170" s="241"/>
      <c r="AO170" s="241"/>
      <c r="AQ170" s="241"/>
      <c r="AR170" s="241"/>
      <c r="AS170" s="241"/>
      <c r="AW170" s="241"/>
      <c r="AX170" s="241"/>
      <c r="AZ170" s="241"/>
      <c r="BA170" s="241"/>
      <c r="BB170" s="241"/>
      <c r="BC170" s="241"/>
      <c r="BD170" s="241"/>
      <c r="BE170" s="241"/>
      <c r="BF170" s="241"/>
      <c r="BG170" s="241"/>
      <c r="BI170" s="241"/>
      <c r="BJ170" s="241"/>
      <c r="BK170" s="241"/>
      <c r="BL170" s="241"/>
      <c r="BM170" s="241"/>
      <c r="BN170" s="241"/>
      <c r="BO170" s="241"/>
      <c r="BP170" s="241"/>
      <c r="BR170" s="241"/>
      <c r="BS170" s="241"/>
      <c r="BT170" s="241"/>
      <c r="BU170" s="241"/>
      <c r="BV170" s="241"/>
      <c r="BW170" s="241"/>
      <c r="BX170" s="241"/>
      <c r="BY170" s="241"/>
      <c r="CA170" s="241"/>
      <c r="CB170" s="241"/>
      <c r="CC170" s="241"/>
      <c r="CD170" s="241"/>
      <c r="CE170" s="241"/>
      <c r="CF170" s="241"/>
      <c r="CG170" s="241"/>
      <c r="CH170" s="241"/>
      <c r="CJ170" s="241"/>
      <c r="CK170" s="241"/>
      <c r="CM170" s="241"/>
      <c r="CN170" s="241"/>
      <c r="CP170" s="241"/>
      <c r="CQ170" s="241"/>
      <c r="CS170" s="241"/>
      <c r="CT170" s="241"/>
      <c r="CV170" s="241"/>
      <c r="CW170" s="241"/>
      <c r="CY170" s="241"/>
      <c r="CZ170" s="241"/>
      <c r="DB170" s="241"/>
      <c r="DC170" s="241"/>
      <c r="DE170" s="241">
        <f>1355+226+77</f>
        <v>1658</v>
      </c>
      <c r="DF170" s="241"/>
    </row>
    <row r="171" spans="1:110" ht="45" x14ac:dyDescent="0.25">
      <c r="A171" s="8"/>
      <c r="B171" s="16" t="s">
        <v>330</v>
      </c>
      <c r="C171" s="6" t="s">
        <v>2045</v>
      </c>
      <c r="D171" s="6" t="s">
        <v>950</v>
      </c>
      <c r="E171" s="12"/>
      <c r="F171" s="35"/>
      <c r="G171" s="35"/>
      <c r="H171" s="35"/>
      <c r="I171" s="35">
        <f>I172+I173</f>
        <v>21830</v>
      </c>
      <c r="J171" s="35">
        <f>J172+J173</f>
        <v>22899</v>
      </c>
      <c r="K171" s="35">
        <f>K172+K173</f>
        <v>21296</v>
      </c>
      <c r="L171" s="35">
        <f>L172+L173</f>
        <v>0</v>
      </c>
      <c r="N171" s="35">
        <f>N172+N173</f>
        <v>16213</v>
      </c>
      <c r="O171" s="35">
        <f>O172+O173</f>
        <v>0</v>
      </c>
      <c r="P171" s="35">
        <f>P172+P173</f>
        <v>183</v>
      </c>
      <c r="Q171" s="35">
        <f>Q172+Q173</f>
        <v>0</v>
      </c>
      <c r="S171" s="35">
        <f>S172+S173</f>
        <v>1534</v>
      </c>
      <c r="T171" s="35">
        <f>T172+T173</f>
        <v>0</v>
      </c>
      <c r="V171" s="35">
        <f>V172+V173</f>
        <v>739</v>
      </c>
      <c r="W171" s="35">
        <f>W172+W173</f>
        <v>0</v>
      </c>
      <c r="Y171" s="35">
        <f>Y172+Y173</f>
        <v>1360</v>
      </c>
      <c r="Z171" s="35">
        <f>Z172+Z173</f>
        <v>0</v>
      </c>
      <c r="AA171" s="241"/>
      <c r="AB171" s="35">
        <f>AB172+AB173</f>
        <v>326</v>
      </c>
      <c r="AC171" s="35">
        <f>AC172+AC173</f>
        <v>0</v>
      </c>
      <c r="AD171" s="241"/>
      <c r="AE171" s="35">
        <f>AE172+AE173</f>
        <v>210</v>
      </c>
      <c r="AF171" s="35">
        <f>AF172+AF173</f>
        <v>0</v>
      </c>
      <c r="AH171" s="35">
        <f>AH172+AH173</f>
        <v>164</v>
      </c>
      <c r="AI171" s="35">
        <f>AI172+AI173</f>
        <v>0</v>
      </c>
      <c r="AJ171" s="241"/>
      <c r="AK171" s="35">
        <f>AK172+AK173</f>
        <v>595</v>
      </c>
      <c r="AL171" s="35">
        <f>AL172+AL173</f>
        <v>0</v>
      </c>
      <c r="AM171" s="241"/>
      <c r="AN171" s="35">
        <f>AN172+AN173</f>
        <v>525</v>
      </c>
      <c r="AO171" s="35">
        <f>AO172+AO173</f>
        <v>0</v>
      </c>
      <c r="AQ171" s="35">
        <f>AQ172+AQ173</f>
        <v>527</v>
      </c>
      <c r="AR171" s="35">
        <f>AR172+AR173</f>
        <v>0</v>
      </c>
      <c r="AS171" s="241"/>
      <c r="AT171" s="35">
        <f>AT172+AT173</f>
        <v>132</v>
      </c>
      <c r="AU171" s="35">
        <f>AU172+AU173</f>
        <v>0</v>
      </c>
      <c r="AW171" s="35">
        <f>AW172+AW173</f>
        <v>353</v>
      </c>
      <c r="AX171" s="35">
        <f>AX172+AX173</f>
        <v>0</v>
      </c>
      <c r="AZ171" s="35">
        <f>AZ172+AZ173</f>
        <v>571</v>
      </c>
      <c r="BA171" s="35">
        <f>BA172+BA173</f>
        <v>0</v>
      </c>
      <c r="BB171" s="241"/>
      <c r="BC171" s="35">
        <f>BC172+BC173</f>
        <v>1672</v>
      </c>
      <c r="BD171" s="35">
        <f>BD172+BD173</f>
        <v>0</v>
      </c>
      <c r="BE171" s="241"/>
      <c r="BF171" s="35">
        <f>BF172+BF173</f>
        <v>847</v>
      </c>
      <c r="BG171" s="35">
        <f>BG172+BG173</f>
        <v>0</v>
      </c>
      <c r="BI171" s="35">
        <f>BI172+BI173</f>
        <v>523</v>
      </c>
      <c r="BJ171" s="35">
        <f>BJ172+BJ173</f>
        <v>0</v>
      </c>
      <c r="BK171" s="241"/>
      <c r="BL171" s="35">
        <f>BL172+BL173</f>
        <v>518</v>
      </c>
      <c r="BM171" s="35">
        <f>BM172+BM173</f>
        <v>0</v>
      </c>
      <c r="BN171" s="241"/>
      <c r="BO171" s="35">
        <f>BO172+BO173</f>
        <v>321</v>
      </c>
      <c r="BP171" s="35">
        <f>BP172+BP173</f>
        <v>0</v>
      </c>
      <c r="BR171" s="35">
        <f>BR172+BR173</f>
        <v>181</v>
      </c>
      <c r="BS171" s="35">
        <f>BS172+BS173</f>
        <v>0</v>
      </c>
      <c r="BT171" s="241"/>
      <c r="BU171" s="35">
        <f>BU172+BU173</f>
        <v>561</v>
      </c>
      <c r="BV171" s="35">
        <f>BV172+BV173</f>
        <v>0</v>
      </c>
      <c r="BW171" s="241"/>
      <c r="BX171" s="35">
        <f>BX172+BX173</f>
        <v>274</v>
      </c>
      <c r="BY171" s="35">
        <f>BY172+BY173</f>
        <v>0</v>
      </c>
      <c r="CA171" s="35">
        <f>CA172+CA173</f>
        <v>724</v>
      </c>
      <c r="CB171" s="35">
        <f>CB172+CB173</f>
        <v>0</v>
      </c>
      <c r="CC171" s="241"/>
      <c r="CD171" s="35">
        <f>CD172+CD173</f>
        <v>480</v>
      </c>
      <c r="CE171" s="35">
        <f>CE172+CE173</f>
        <v>0</v>
      </c>
      <c r="CF171" s="241"/>
      <c r="CG171" s="35">
        <f>CG172+CG173</f>
        <v>569</v>
      </c>
      <c r="CH171" s="35">
        <f>CH172+CH173</f>
        <v>0</v>
      </c>
      <c r="CJ171" s="35">
        <f>CJ172+CJ173</f>
        <v>577</v>
      </c>
      <c r="CK171" s="35">
        <f>CK172+CK173</f>
        <v>0</v>
      </c>
      <c r="CM171" s="35">
        <f>CM172+CM173</f>
        <v>0</v>
      </c>
      <c r="CN171" s="35">
        <f>CN172+CN173</f>
        <v>0</v>
      </c>
      <c r="CP171" s="35">
        <f>CP172+CP173</f>
        <v>0</v>
      </c>
      <c r="CQ171" s="35">
        <f>CQ172+CQ173</f>
        <v>0</v>
      </c>
      <c r="CS171" s="35">
        <f>CS172+CS173</f>
        <v>1403</v>
      </c>
      <c r="CT171" s="35">
        <f>CT172+CT173</f>
        <v>0</v>
      </c>
      <c r="CV171" s="35">
        <f>CV172+CV173</f>
        <v>928</v>
      </c>
      <c r="CW171" s="35">
        <f>CW172+CW173</f>
        <v>0</v>
      </c>
      <c r="CY171" s="35">
        <f>CY172+CY173</f>
        <v>1982</v>
      </c>
      <c r="CZ171" s="35">
        <f>CZ172+CZ173</f>
        <v>0</v>
      </c>
      <c r="DB171" s="35">
        <f>DB172+DB173</f>
        <v>770</v>
      </c>
      <c r="DC171" s="35">
        <f>DC172+DC173</f>
        <v>0</v>
      </c>
      <c r="DE171" s="35">
        <f>DE172+DE173</f>
        <v>1747</v>
      </c>
      <c r="DF171" s="35">
        <f>DF172+DF173</f>
        <v>0</v>
      </c>
    </row>
    <row r="172" spans="1:110" x14ac:dyDescent="0.25">
      <c r="A172" s="8"/>
      <c r="B172" s="16" t="s">
        <v>1182</v>
      </c>
      <c r="C172" s="6"/>
      <c r="D172" s="6"/>
      <c r="E172" s="12"/>
      <c r="F172" s="35">
        <f t="shared" ref="F172:J173" si="530">F86</f>
        <v>19946</v>
      </c>
      <c r="G172" s="35">
        <f t="shared" si="530"/>
        <v>19785</v>
      </c>
      <c r="H172" s="35">
        <f t="shared" si="530"/>
        <v>0</v>
      </c>
      <c r="I172" s="35">
        <f t="shared" si="530"/>
        <v>21067</v>
      </c>
      <c r="J172" s="35">
        <f t="shared" si="530"/>
        <v>21624</v>
      </c>
      <c r="K172" s="35">
        <f>K86</f>
        <v>19549</v>
      </c>
      <c r="L172" s="35">
        <f>L86</f>
        <v>0</v>
      </c>
      <c r="N172" s="241">
        <f>P172+S172+V172+Y172+AB172+AE172+AH172+AK172+AN172+AQ172+AW172+AZ172+BC172+BF172+BI172+BL172+BO172+BR172+BU172+BX172+CA172+CD172+CG172+CJ172+AT172+DE172</f>
        <v>14466</v>
      </c>
      <c r="O172" s="241">
        <f t="shared" ref="O172" si="531">Q172+T172+W172+Z172+AC172+AF172+AI172+AL172+AO172+AR172+AX172+BA172+BD172+BG172+BJ172+BM172+BP172+BS172+BV172+BY172+CB172+CE172+CH172+CK172+AU172+DF172</f>
        <v>0</v>
      </c>
      <c r="P172" s="241">
        <f>P86</f>
        <v>183</v>
      </c>
      <c r="Q172" s="241">
        <f>Q86</f>
        <v>0</v>
      </c>
      <c r="S172" s="241">
        <f>S86</f>
        <v>1534</v>
      </c>
      <c r="T172" s="241">
        <f>T86</f>
        <v>0</v>
      </c>
      <c r="V172" s="241">
        <f>V86</f>
        <v>739</v>
      </c>
      <c r="W172" s="241">
        <f>W86</f>
        <v>0</v>
      </c>
      <c r="Y172" s="241">
        <f>Y86</f>
        <v>1360</v>
      </c>
      <c r="Z172" s="241">
        <f>Z86</f>
        <v>0</v>
      </c>
      <c r="AA172" s="241"/>
      <c r="AB172" s="241">
        <f>AB86</f>
        <v>326</v>
      </c>
      <c r="AC172" s="241">
        <f>AC86</f>
        <v>0</v>
      </c>
      <c r="AD172" s="241"/>
      <c r="AE172" s="241">
        <f>AE86</f>
        <v>210</v>
      </c>
      <c r="AF172" s="241">
        <f>AF86</f>
        <v>0</v>
      </c>
      <c r="AH172" s="241">
        <f>AH86</f>
        <v>164</v>
      </c>
      <c r="AI172" s="241">
        <f>AI86</f>
        <v>0</v>
      </c>
      <c r="AJ172" s="241"/>
      <c r="AK172" s="241">
        <f>AK86</f>
        <v>595</v>
      </c>
      <c r="AL172" s="241">
        <f>AL86</f>
        <v>0</v>
      </c>
      <c r="AM172" s="241"/>
      <c r="AN172" s="241">
        <f>AN86</f>
        <v>525</v>
      </c>
      <c r="AO172" s="241">
        <f>AO86</f>
        <v>0</v>
      </c>
      <c r="AQ172" s="241">
        <f>AQ86</f>
        <v>527</v>
      </c>
      <c r="AR172" s="241">
        <f>AR86</f>
        <v>0</v>
      </c>
      <c r="AS172" s="241"/>
      <c r="AT172" s="241">
        <f>AT86</f>
        <v>132</v>
      </c>
      <c r="AU172" s="241">
        <f>AU86</f>
        <v>0</v>
      </c>
      <c r="AW172" s="241">
        <f>AW86</f>
        <v>353</v>
      </c>
      <c r="AX172" s="241">
        <f>AX86</f>
        <v>0</v>
      </c>
      <c r="AZ172" s="241">
        <f>AZ86</f>
        <v>571</v>
      </c>
      <c r="BA172" s="241">
        <f>BA86</f>
        <v>0</v>
      </c>
      <c r="BB172" s="241"/>
      <c r="BC172" s="241">
        <f>BC86</f>
        <v>1672</v>
      </c>
      <c r="BD172" s="241">
        <f>BD86</f>
        <v>0</v>
      </c>
      <c r="BE172" s="241"/>
      <c r="BF172" s="241">
        <f>BF86</f>
        <v>847</v>
      </c>
      <c r="BG172" s="241">
        <f>BG86</f>
        <v>0</v>
      </c>
      <c r="BI172" s="241">
        <f>BI86</f>
        <v>523</v>
      </c>
      <c r="BJ172" s="241">
        <f>BJ86</f>
        <v>0</v>
      </c>
      <c r="BK172" s="241"/>
      <c r="BL172" s="241">
        <f>BL86</f>
        <v>518</v>
      </c>
      <c r="BM172" s="241">
        <f>BM86</f>
        <v>0</v>
      </c>
      <c r="BN172" s="241"/>
      <c r="BO172" s="241">
        <f>BO86</f>
        <v>321</v>
      </c>
      <c r="BP172" s="241">
        <f>BP86</f>
        <v>0</v>
      </c>
      <c r="BR172" s="241">
        <f>BR86</f>
        <v>181</v>
      </c>
      <c r="BS172" s="241">
        <f>BS86</f>
        <v>0</v>
      </c>
      <c r="BT172" s="241"/>
      <c r="BU172" s="241">
        <f>BU86</f>
        <v>561</v>
      </c>
      <c r="BV172" s="241">
        <f>BV86</f>
        <v>0</v>
      </c>
      <c r="BW172" s="241"/>
      <c r="BX172" s="241">
        <f>BX86</f>
        <v>274</v>
      </c>
      <c r="BY172" s="241">
        <f>BY86</f>
        <v>0</v>
      </c>
      <c r="CA172" s="241">
        <f>CA86</f>
        <v>724</v>
      </c>
      <c r="CB172" s="241">
        <f>CB86</f>
        <v>0</v>
      </c>
      <c r="CC172" s="241"/>
      <c r="CD172" s="241">
        <f>CD86</f>
        <v>480</v>
      </c>
      <c r="CE172" s="241">
        <f>CE86</f>
        <v>0</v>
      </c>
      <c r="CF172" s="241"/>
      <c r="CG172" s="241">
        <f>CG86</f>
        <v>569</v>
      </c>
      <c r="CH172" s="241">
        <f>CH86</f>
        <v>0</v>
      </c>
      <c r="CJ172" s="241">
        <f>CJ86</f>
        <v>577</v>
      </c>
      <c r="CK172" s="241">
        <f>CK86</f>
        <v>0</v>
      </c>
      <c r="CM172" s="241">
        <f>CM86</f>
        <v>0</v>
      </c>
      <c r="CN172" s="241">
        <f>CN86</f>
        <v>0</v>
      </c>
      <c r="CP172" s="241">
        <f>CP86</f>
        <v>0</v>
      </c>
      <c r="CQ172" s="241">
        <f>CQ86</f>
        <v>0</v>
      </c>
      <c r="CS172" s="241">
        <f>CS86</f>
        <v>1403</v>
      </c>
      <c r="CT172" s="241">
        <f>CT86</f>
        <v>0</v>
      </c>
      <c r="CV172" s="241">
        <f>CV86</f>
        <v>928</v>
      </c>
      <c r="CW172" s="241">
        <f>CW86</f>
        <v>0</v>
      </c>
      <c r="CY172" s="241">
        <f>CY86</f>
        <v>1982</v>
      </c>
      <c r="CZ172" s="241">
        <f>CZ86</f>
        <v>0</v>
      </c>
      <c r="DB172" s="241">
        <f>DB86</f>
        <v>770</v>
      </c>
      <c r="DC172" s="241">
        <f>DC86</f>
        <v>0</v>
      </c>
      <c r="DE172" s="241">
        <f>DE86</f>
        <v>0</v>
      </c>
      <c r="DF172" s="241">
        <f>DF86</f>
        <v>0</v>
      </c>
    </row>
    <row r="173" spans="1:110" x14ac:dyDescent="0.25">
      <c r="A173" s="8"/>
      <c r="B173" s="16" t="s">
        <v>1184</v>
      </c>
      <c r="C173" s="6"/>
      <c r="D173" s="6"/>
      <c r="E173" s="12"/>
      <c r="F173" s="35">
        <f t="shared" si="530"/>
        <v>134</v>
      </c>
      <c r="G173" s="35">
        <f t="shared" si="530"/>
        <v>116</v>
      </c>
      <c r="H173" s="35">
        <f t="shared" si="530"/>
        <v>0</v>
      </c>
      <c r="I173" s="35">
        <f t="shared" si="530"/>
        <v>763</v>
      </c>
      <c r="J173" s="35">
        <f t="shared" si="530"/>
        <v>1275</v>
      </c>
      <c r="K173" s="35">
        <f>K87</f>
        <v>1747</v>
      </c>
      <c r="L173" s="35">
        <f>L87</f>
        <v>0</v>
      </c>
      <c r="N173" s="241">
        <f>P173+S173+V173+Y173+AB173+AE173+AH173+AK173+AN173+AQ173+AW173+AZ173+BC173+BF173+BI173+BL173+BO173+BR173+BU173+BX173+CA173+CD173+CG173+CJ173+AT173+DE173</f>
        <v>1747</v>
      </c>
      <c r="O173" s="241">
        <f t="shared" ref="O173" si="532">Q173+T173+W173+Z173+AC173+AF173+AI173+AL173+AO173+AR173+AX173+BA173+BD173+BG173+BJ173+BM173+BP173+BS173+BV173+BY173+CB173+CE173+CH173+CK173+AU173+DF173</f>
        <v>0</v>
      </c>
      <c r="P173" s="241">
        <f>P87</f>
        <v>0</v>
      </c>
      <c r="Q173" s="241">
        <f>Q87</f>
        <v>0</v>
      </c>
      <c r="S173" s="241">
        <f>S87</f>
        <v>0</v>
      </c>
      <c r="T173" s="241">
        <f>T87</f>
        <v>0</v>
      </c>
      <c r="V173" s="241">
        <f>V87</f>
        <v>0</v>
      </c>
      <c r="W173" s="241">
        <f>W87</f>
        <v>0</v>
      </c>
      <c r="Y173" s="241">
        <f>Y87</f>
        <v>0</v>
      </c>
      <c r="Z173" s="241">
        <f>Z87</f>
        <v>0</v>
      </c>
      <c r="AA173" s="241"/>
      <c r="AB173" s="241">
        <f>AB87</f>
        <v>0</v>
      </c>
      <c r="AC173" s="241">
        <f>AC87</f>
        <v>0</v>
      </c>
      <c r="AD173" s="241"/>
      <c r="AE173" s="241">
        <f>AE87</f>
        <v>0</v>
      </c>
      <c r="AF173" s="241">
        <f>AF87</f>
        <v>0</v>
      </c>
      <c r="AH173" s="241">
        <f>AH87</f>
        <v>0</v>
      </c>
      <c r="AI173" s="241">
        <f>AI87</f>
        <v>0</v>
      </c>
      <c r="AJ173" s="241"/>
      <c r="AK173" s="241">
        <f>AK87</f>
        <v>0</v>
      </c>
      <c r="AL173" s="241">
        <f>AL87</f>
        <v>0</v>
      </c>
      <c r="AM173" s="241"/>
      <c r="AN173" s="241">
        <f>AN87</f>
        <v>0</v>
      </c>
      <c r="AO173" s="241">
        <f>AO87</f>
        <v>0</v>
      </c>
      <c r="AQ173" s="241">
        <f>AQ87</f>
        <v>0</v>
      </c>
      <c r="AR173" s="241">
        <f>AR87</f>
        <v>0</v>
      </c>
      <c r="AS173" s="241"/>
      <c r="AT173" s="241">
        <f>AT87</f>
        <v>0</v>
      </c>
      <c r="AU173" s="241">
        <f>AU87</f>
        <v>0</v>
      </c>
      <c r="AW173" s="241">
        <f>AW87</f>
        <v>0</v>
      </c>
      <c r="AX173" s="241">
        <f>AX87</f>
        <v>0</v>
      </c>
      <c r="AZ173" s="241">
        <f>AZ87</f>
        <v>0</v>
      </c>
      <c r="BA173" s="241">
        <f>BA87</f>
        <v>0</v>
      </c>
      <c r="BB173" s="241"/>
      <c r="BC173" s="241">
        <f>BC87</f>
        <v>0</v>
      </c>
      <c r="BD173" s="241">
        <f>BD87</f>
        <v>0</v>
      </c>
      <c r="BE173" s="241"/>
      <c r="BF173" s="241">
        <f>BF87</f>
        <v>0</v>
      </c>
      <c r="BG173" s="241">
        <f>BG87</f>
        <v>0</v>
      </c>
      <c r="BI173" s="241">
        <f>BI87</f>
        <v>0</v>
      </c>
      <c r="BJ173" s="241">
        <f>BJ87</f>
        <v>0</v>
      </c>
      <c r="BK173" s="241"/>
      <c r="BL173" s="241">
        <f>BL87</f>
        <v>0</v>
      </c>
      <c r="BM173" s="241">
        <f>BM87</f>
        <v>0</v>
      </c>
      <c r="BN173" s="241"/>
      <c r="BO173" s="241">
        <f>BO87</f>
        <v>0</v>
      </c>
      <c r="BP173" s="241">
        <f>BP87</f>
        <v>0</v>
      </c>
      <c r="BR173" s="241">
        <f>BR87</f>
        <v>0</v>
      </c>
      <c r="BS173" s="241">
        <f>BS87</f>
        <v>0</v>
      </c>
      <c r="BT173" s="241"/>
      <c r="BU173" s="241">
        <f>BU87</f>
        <v>0</v>
      </c>
      <c r="BV173" s="241">
        <f>BV87</f>
        <v>0</v>
      </c>
      <c r="BW173" s="241"/>
      <c r="BX173" s="241">
        <f>BX87</f>
        <v>0</v>
      </c>
      <c r="BY173" s="241">
        <f>BY87</f>
        <v>0</v>
      </c>
      <c r="CA173" s="241">
        <f>CA87</f>
        <v>0</v>
      </c>
      <c r="CB173" s="241">
        <f>CB87</f>
        <v>0</v>
      </c>
      <c r="CC173" s="241"/>
      <c r="CD173" s="241">
        <f>CD87</f>
        <v>0</v>
      </c>
      <c r="CE173" s="241">
        <f>CE87</f>
        <v>0</v>
      </c>
      <c r="CF173" s="241"/>
      <c r="CG173" s="241">
        <f>CG87</f>
        <v>0</v>
      </c>
      <c r="CH173" s="241">
        <f>CH87</f>
        <v>0</v>
      </c>
      <c r="CJ173" s="241">
        <f>CJ87</f>
        <v>0</v>
      </c>
      <c r="CK173" s="241">
        <f>CK87</f>
        <v>0</v>
      </c>
      <c r="CM173" s="241">
        <f>CM87</f>
        <v>0</v>
      </c>
      <c r="CN173" s="241">
        <f>CN87</f>
        <v>0</v>
      </c>
      <c r="CP173" s="241">
        <f>CP87</f>
        <v>0</v>
      </c>
      <c r="CQ173" s="241">
        <f>CQ87</f>
        <v>0</v>
      </c>
      <c r="CS173" s="241">
        <f>CS87</f>
        <v>0</v>
      </c>
      <c r="CT173" s="241">
        <f>CT87</f>
        <v>0</v>
      </c>
      <c r="CV173" s="241">
        <f>CV87</f>
        <v>0</v>
      </c>
      <c r="CW173" s="241">
        <f>CW87</f>
        <v>0</v>
      </c>
      <c r="CY173" s="241">
        <f>CY87</f>
        <v>0</v>
      </c>
      <c r="CZ173" s="241">
        <f>CZ87</f>
        <v>0</v>
      </c>
      <c r="DB173" s="241">
        <f>DB87</f>
        <v>0</v>
      </c>
      <c r="DC173" s="241">
        <f>DC87</f>
        <v>0</v>
      </c>
      <c r="DE173" s="241">
        <f>DE87</f>
        <v>1747</v>
      </c>
      <c r="DF173" s="241">
        <f>DF87</f>
        <v>0</v>
      </c>
    </row>
    <row r="174" spans="1:110" ht="90" x14ac:dyDescent="0.25">
      <c r="A174" s="157" t="s">
        <v>1733</v>
      </c>
      <c r="B174" s="135" t="s">
        <v>1734</v>
      </c>
      <c r="C174" s="150"/>
      <c r="D174" s="150" t="s">
        <v>8</v>
      </c>
      <c r="E174" s="149"/>
      <c r="F174" s="149"/>
      <c r="G174" s="149"/>
      <c r="H174" s="149"/>
      <c r="I174" s="149"/>
      <c r="J174" s="149"/>
      <c r="K174" s="149"/>
      <c r="L174" s="149"/>
    </row>
    <row r="175" spans="1:110" x14ac:dyDescent="0.25">
      <c r="A175" s="157"/>
      <c r="B175" s="135" t="s">
        <v>1182</v>
      </c>
      <c r="C175" s="150"/>
      <c r="D175" s="150"/>
      <c r="E175" s="149"/>
      <c r="F175" s="149"/>
      <c r="G175" s="149"/>
      <c r="H175" s="149"/>
      <c r="I175" s="149">
        <v>45.71</v>
      </c>
      <c r="J175" s="149">
        <v>56.25</v>
      </c>
      <c r="K175" s="149">
        <v>56.25</v>
      </c>
      <c r="L175" s="149"/>
    </row>
    <row r="176" spans="1:110" x14ac:dyDescent="0.25">
      <c r="A176" s="157"/>
      <c r="B176" s="135" t="s">
        <v>1184</v>
      </c>
      <c r="C176" s="150"/>
      <c r="D176" s="150"/>
      <c r="E176" s="149"/>
      <c r="F176" s="149"/>
      <c r="G176" s="149"/>
      <c r="H176" s="149"/>
      <c r="I176" s="149">
        <v>0</v>
      </c>
      <c r="J176" s="149">
        <v>0</v>
      </c>
      <c r="K176" s="149">
        <v>50</v>
      </c>
      <c r="L176" s="149"/>
    </row>
    <row r="177" spans="1:110" ht="60" x14ac:dyDescent="0.25">
      <c r="A177" s="47" t="s">
        <v>379</v>
      </c>
      <c r="B177" s="48" t="s">
        <v>380</v>
      </c>
      <c r="C177" s="44"/>
      <c r="D177" s="44"/>
      <c r="E177" s="44"/>
      <c r="F177" s="44"/>
      <c r="G177" s="44"/>
      <c r="H177" s="44"/>
      <c r="I177" s="44"/>
      <c r="J177" s="44"/>
      <c r="K177" s="44"/>
      <c r="L177" s="44"/>
    </row>
    <row r="178" spans="1:110" s="89" customFormat="1" ht="90" x14ac:dyDescent="0.25">
      <c r="A178" s="42" t="s">
        <v>391</v>
      </c>
      <c r="B178" s="46" t="s">
        <v>1737</v>
      </c>
      <c r="C178" s="42"/>
      <c r="D178" s="44"/>
      <c r="E178" s="44"/>
      <c r="F178" s="44"/>
      <c r="G178" s="44"/>
      <c r="H178" s="44"/>
      <c r="I178" s="44"/>
      <c r="J178" s="44"/>
      <c r="K178" s="44"/>
      <c r="L178" s="44"/>
    </row>
    <row r="179" spans="1:110" s="89" customFormat="1" x14ac:dyDescent="0.25">
      <c r="A179" s="54"/>
      <c r="B179" s="46" t="s">
        <v>1738</v>
      </c>
      <c r="C179" s="42"/>
      <c r="D179" s="44"/>
      <c r="E179" s="44"/>
      <c r="F179" s="44"/>
      <c r="G179" s="44"/>
      <c r="H179" s="44"/>
      <c r="I179" s="44"/>
      <c r="J179" s="44"/>
      <c r="K179" s="44"/>
      <c r="L179" s="44"/>
    </row>
    <row r="180" spans="1:110" s="89" customFormat="1" x14ac:dyDescent="0.25">
      <c r="A180" s="54"/>
      <c r="B180" s="46" t="s">
        <v>180</v>
      </c>
      <c r="C180" s="42"/>
      <c r="D180" s="44"/>
      <c r="E180" s="44"/>
      <c r="F180" s="44"/>
      <c r="G180" s="44"/>
      <c r="H180" s="44"/>
      <c r="I180" s="44"/>
      <c r="J180" s="44"/>
      <c r="K180" s="44"/>
      <c r="L180" s="44"/>
    </row>
    <row r="181" spans="1:110" s="89" customFormat="1" x14ac:dyDescent="0.25">
      <c r="A181" s="54"/>
      <c r="B181" s="46" t="s">
        <v>1182</v>
      </c>
      <c r="C181" s="42"/>
      <c r="D181" s="42" t="s">
        <v>8</v>
      </c>
      <c r="E181" s="44"/>
      <c r="F181" s="44"/>
      <c r="G181" s="44"/>
      <c r="H181" s="44"/>
      <c r="I181" s="117">
        <f t="shared" ref="I181:K182" si="533">I201/I221*100</f>
        <v>90.706126687435102</v>
      </c>
      <c r="J181" s="117">
        <f t="shared" si="533"/>
        <v>91.451292246520879</v>
      </c>
      <c r="K181" s="117">
        <f t="shared" si="533"/>
        <v>90.35187287173666</v>
      </c>
      <c r="L181" s="117">
        <f t="shared" ref="L181" si="534">L201/L221*100</f>
        <v>90.528967254408059</v>
      </c>
      <c r="N181" s="117">
        <f t="shared" ref="N181:P182" si="535">N201/N221*100</f>
        <v>90.35187287173666</v>
      </c>
      <c r="O181" s="117" t="e">
        <f t="shared" si="535"/>
        <v>#DIV/0!</v>
      </c>
      <c r="P181" s="117">
        <f t="shared" ref="P181:Q181" si="536">P201/P221*100</f>
        <v>100</v>
      </c>
      <c r="Q181" s="117" t="e">
        <f t="shared" si="536"/>
        <v>#DIV/0!</v>
      </c>
      <c r="S181" s="117">
        <f t="shared" ref="S181:T182" si="537">S201/S221*100</f>
        <v>87.24832214765101</v>
      </c>
      <c r="T181" s="117" t="e">
        <f t="shared" si="537"/>
        <v>#DIV/0!</v>
      </c>
      <c r="V181" s="117">
        <f t="shared" ref="V181:W181" si="538">V201/V221*100</f>
        <v>77.777777777777786</v>
      </c>
      <c r="W181" s="117" t="e">
        <f t="shared" si="538"/>
        <v>#DIV/0!</v>
      </c>
      <c r="Y181" s="117">
        <f t="shared" ref="Y181:Z182" si="539">Y201/Y221*100</f>
        <v>92.237442922374427</v>
      </c>
      <c r="Z181" s="117" t="e">
        <f t="shared" si="539"/>
        <v>#DIV/0!</v>
      </c>
      <c r="AB181" s="117">
        <f t="shared" ref="AB181:AC181" si="540">AB201/AB221*100</f>
        <v>97.321428571428569</v>
      </c>
      <c r="AC181" s="117" t="e">
        <f t="shared" si="540"/>
        <v>#DIV/0!</v>
      </c>
      <c r="AE181" s="117">
        <f t="shared" ref="AE181:AF181" si="541">AE201/AE221*100</f>
        <v>94.73684210526315</v>
      </c>
      <c r="AF181" s="117" t="e">
        <f t="shared" si="541"/>
        <v>#DIV/0!</v>
      </c>
      <c r="AH181" s="117">
        <f t="shared" ref="AH181:AI181" si="542">AH201/AH221*100</f>
        <v>100</v>
      </c>
      <c r="AI181" s="117" t="e">
        <f t="shared" si="542"/>
        <v>#DIV/0!</v>
      </c>
      <c r="AK181" s="117">
        <f t="shared" ref="AK181:AL181" si="543">AK201/AK221*100</f>
        <v>90.476190476190482</v>
      </c>
      <c r="AL181" s="117" t="e">
        <f t="shared" si="543"/>
        <v>#DIV/0!</v>
      </c>
      <c r="AN181" s="117">
        <f t="shared" ref="AN181:AO181" si="544">AN201/AN221*100</f>
        <v>96.551724137931032</v>
      </c>
      <c r="AO181" s="117" t="e">
        <f t="shared" si="544"/>
        <v>#DIV/0!</v>
      </c>
      <c r="AQ181" s="117">
        <f t="shared" ref="AQ181:AR181" si="545">AQ201/AQ221*100</f>
        <v>94.73684210526315</v>
      </c>
      <c r="AR181" s="117" t="e">
        <f t="shared" si="545"/>
        <v>#DIV/0!</v>
      </c>
      <c r="AT181" s="117">
        <f t="shared" ref="AT181:AU181" si="546">AT201/AT221*100</f>
        <v>94.117647058823522</v>
      </c>
      <c r="AU181" s="117" t="e">
        <f t="shared" si="546"/>
        <v>#DIV/0!</v>
      </c>
      <c r="AW181" s="117">
        <f t="shared" ref="AW181:AX181" si="547">AW201/AW221*100</f>
        <v>90.909090909090907</v>
      </c>
      <c r="AX181" s="117" t="e">
        <f t="shared" si="547"/>
        <v>#DIV/0!</v>
      </c>
      <c r="AZ181" s="117">
        <f t="shared" ref="AZ181:BA181" si="548">AZ201/AZ221*100</f>
        <v>83.333333333333343</v>
      </c>
      <c r="BA181" s="117" t="e">
        <f t="shared" si="548"/>
        <v>#DIV/0!</v>
      </c>
      <c r="BC181" s="117">
        <f t="shared" ref="BC181:BD181" si="549">BC201/BC221*100</f>
        <v>96.078431372549019</v>
      </c>
      <c r="BD181" s="117" t="e">
        <f t="shared" si="549"/>
        <v>#DIV/0!</v>
      </c>
      <c r="BF181" s="117">
        <f t="shared" ref="BF181:BG181" si="550">BF201/BF221*100</f>
        <v>89.333333333333329</v>
      </c>
      <c r="BG181" s="117" t="e">
        <f t="shared" si="550"/>
        <v>#DIV/0!</v>
      </c>
      <c r="BI181" s="117">
        <f t="shared" ref="BI181:BJ181" si="551">BI201/BI221*100</f>
        <v>86.764705882352942</v>
      </c>
      <c r="BJ181" s="117" t="e">
        <f t="shared" si="551"/>
        <v>#DIV/0!</v>
      </c>
      <c r="BL181" s="117">
        <f t="shared" ref="BL181:BM181" si="552">BL201/BL221*100</f>
        <v>92</v>
      </c>
      <c r="BM181" s="117" t="e">
        <f t="shared" si="552"/>
        <v>#DIV/0!</v>
      </c>
      <c r="BO181" s="117">
        <f t="shared" ref="BO181:BP181" si="553">BO201/BO221*100</f>
        <v>77.777777777777786</v>
      </c>
      <c r="BP181" s="117" t="e">
        <f t="shared" si="553"/>
        <v>#DIV/0!</v>
      </c>
      <c r="BR181" s="117">
        <f t="shared" ref="BR181:BS181" si="554">BR201/BR221*100</f>
        <v>86.666666666666671</v>
      </c>
      <c r="BS181" s="117" t="e">
        <f t="shared" si="554"/>
        <v>#DIV/0!</v>
      </c>
      <c r="BU181" s="117">
        <f t="shared" ref="BU181:BV181" si="555">BU201/BU221*100</f>
        <v>90.322580645161281</v>
      </c>
      <c r="BV181" s="117" t="e">
        <f t="shared" si="555"/>
        <v>#DIV/0!</v>
      </c>
      <c r="BX181" s="117">
        <f t="shared" ref="BX181:BY181" si="556">BX201/BX221*100</f>
        <v>86.538461538461547</v>
      </c>
      <c r="BY181" s="117" t="e">
        <f t="shared" si="556"/>
        <v>#DIV/0!</v>
      </c>
      <c r="CA181" s="117">
        <f t="shared" ref="CA181:CB181" si="557">CA201/CA221*100</f>
        <v>90.909090909090907</v>
      </c>
      <c r="CB181" s="117" t="e">
        <f t="shared" si="557"/>
        <v>#DIV/0!</v>
      </c>
      <c r="CD181" s="117">
        <f t="shared" ref="CD181:CE181" si="558">CD201/CD221*100</f>
        <v>100</v>
      </c>
      <c r="CE181" s="117" t="e">
        <f t="shared" si="558"/>
        <v>#DIV/0!</v>
      </c>
      <c r="CG181" s="117">
        <f t="shared" ref="CG181:CH181" si="559">CG201/CG221*100</f>
        <v>81.081081081081081</v>
      </c>
      <c r="CH181" s="117" t="e">
        <f t="shared" si="559"/>
        <v>#DIV/0!</v>
      </c>
      <c r="CJ181" s="117">
        <f t="shared" ref="CJ181:CK181" si="560">CJ201/CJ221*100</f>
        <v>100</v>
      </c>
      <c r="CK181" s="117" t="e">
        <f t="shared" si="560"/>
        <v>#DIV/0!</v>
      </c>
      <c r="CM181" s="117" t="e">
        <f t="shared" ref="CM181:CN181" si="561">CM201/CM221*100</f>
        <v>#DIV/0!</v>
      </c>
      <c r="CN181" s="117" t="e">
        <f t="shared" si="561"/>
        <v>#DIV/0!</v>
      </c>
      <c r="CP181" s="117" t="e">
        <f t="shared" ref="CP181:CQ181" si="562">CP201/CP221*100</f>
        <v>#DIV/0!</v>
      </c>
      <c r="CQ181" s="117" t="e">
        <f t="shared" si="562"/>
        <v>#DIV/0!</v>
      </c>
      <c r="CS181" s="117">
        <f t="shared" ref="CS181:CT181" si="563">CS201/CS221*100</f>
        <v>97.777777777777771</v>
      </c>
      <c r="CT181" s="117" t="e">
        <f t="shared" si="563"/>
        <v>#DIV/0!</v>
      </c>
      <c r="CV181" s="117">
        <f t="shared" ref="CV181:CW181" si="564">CV201/CV221*100</f>
        <v>100</v>
      </c>
      <c r="CW181" s="117" t="e">
        <f t="shared" si="564"/>
        <v>#DIV/0!</v>
      </c>
      <c r="CY181" s="117">
        <f t="shared" ref="CY181:CZ181" si="565">CY201/CY221*100</f>
        <v>88.60759493670885</v>
      </c>
      <c r="CZ181" s="117" t="e">
        <f t="shared" si="565"/>
        <v>#DIV/0!</v>
      </c>
      <c r="DB181" s="117">
        <f t="shared" ref="DB181:DC181" si="566">DB201/DB221*100</f>
        <v>100</v>
      </c>
      <c r="DC181" s="117" t="e">
        <f t="shared" si="566"/>
        <v>#DIV/0!</v>
      </c>
      <c r="DE181" s="117" t="e">
        <f t="shared" ref="DE181:DF181" si="567">DE201/DE221*100</f>
        <v>#DIV/0!</v>
      </c>
      <c r="DF181" s="117" t="e">
        <f t="shared" si="567"/>
        <v>#DIV/0!</v>
      </c>
    </row>
    <row r="182" spans="1:110" s="89" customFormat="1" x14ac:dyDescent="0.25">
      <c r="A182" s="54"/>
      <c r="B182" s="46" t="s">
        <v>1184</v>
      </c>
      <c r="C182" s="42"/>
      <c r="D182" s="42" t="s">
        <v>8</v>
      </c>
      <c r="E182" s="44"/>
      <c r="F182" s="44"/>
      <c r="G182" s="44"/>
      <c r="H182" s="44"/>
      <c r="I182" s="117">
        <f t="shared" si="533"/>
        <v>97.368421052631575</v>
      </c>
      <c r="J182" s="117">
        <f t="shared" si="533"/>
        <v>98.412698412698404</v>
      </c>
      <c r="K182" s="117">
        <f t="shared" si="533"/>
        <v>98.76543209876543</v>
      </c>
      <c r="L182" s="117">
        <f t="shared" ref="L182" si="568">L202/L222*100</f>
        <v>99.212598425196859</v>
      </c>
      <c r="N182" s="117">
        <f t="shared" ref="N182" si="569">N202/N222*100</f>
        <v>98.76543209876543</v>
      </c>
      <c r="O182" s="117" t="e">
        <f t="shared" si="535"/>
        <v>#DIV/0!</v>
      </c>
      <c r="P182" s="117" t="e">
        <f t="shared" si="535"/>
        <v>#DIV/0!</v>
      </c>
      <c r="Q182" s="117" t="e">
        <f t="shared" ref="Q182" si="570">Q202/Q222*100</f>
        <v>#DIV/0!</v>
      </c>
      <c r="S182" s="117" t="e">
        <f t="shared" ref="S182" si="571">S202/S222*100</f>
        <v>#DIV/0!</v>
      </c>
      <c r="T182" s="117" t="e">
        <f t="shared" si="537"/>
        <v>#DIV/0!</v>
      </c>
      <c r="V182" s="117" t="e">
        <f t="shared" ref="V182:W182" si="572">V202/V222*100</f>
        <v>#DIV/0!</v>
      </c>
      <c r="W182" s="117" t="e">
        <f t="shared" si="572"/>
        <v>#DIV/0!</v>
      </c>
      <c r="Y182" s="117" t="e">
        <f t="shared" ref="Y182" si="573">Y202/Y222*100</f>
        <v>#DIV/0!</v>
      </c>
      <c r="Z182" s="117" t="e">
        <f t="shared" si="539"/>
        <v>#DIV/0!</v>
      </c>
      <c r="AB182" s="117" t="e">
        <f t="shared" ref="AB182:AC182" si="574">AB202/AB222*100</f>
        <v>#DIV/0!</v>
      </c>
      <c r="AC182" s="117" t="e">
        <f t="shared" si="574"/>
        <v>#DIV/0!</v>
      </c>
      <c r="AE182" s="117" t="e">
        <f t="shared" ref="AE182:AF182" si="575">AE202/AE222*100</f>
        <v>#DIV/0!</v>
      </c>
      <c r="AF182" s="117" t="e">
        <f t="shared" si="575"/>
        <v>#DIV/0!</v>
      </c>
      <c r="AH182" s="117" t="e">
        <f t="shared" ref="AH182:AI182" si="576">AH202/AH222*100</f>
        <v>#DIV/0!</v>
      </c>
      <c r="AI182" s="117" t="e">
        <f t="shared" si="576"/>
        <v>#DIV/0!</v>
      </c>
      <c r="AK182" s="117" t="e">
        <f t="shared" ref="AK182:AL182" si="577">AK202/AK222*100</f>
        <v>#DIV/0!</v>
      </c>
      <c r="AL182" s="117" t="e">
        <f t="shared" si="577"/>
        <v>#DIV/0!</v>
      </c>
      <c r="AN182" s="117" t="e">
        <f t="shared" ref="AN182:AO182" si="578">AN202/AN222*100</f>
        <v>#DIV/0!</v>
      </c>
      <c r="AO182" s="117" t="e">
        <f t="shared" si="578"/>
        <v>#DIV/0!</v>
      </c>
      <c r="AQ182" s="117" t="e">
        <f t="shared" ref="AQ182:AR182" si="579">AQ202/AQ222*100</f>
        <v>#DIV/0!</v>
      </c>
      <c r="AR182" s="117" t="e">
        <f t="shared" si="579"/>
        <v>#DIV/0!</v>
      </c>
      <c r="AT182" s="117" t="e">
        <f t="shared" ref="AT182:AU182" si="580">AT202/AT222*100</f>
        <v>#DIV/0!</v>
      </c>
      <c r="AU182" s="117" t="e">
        <f t="shared" si="580"/>
        <v>#DIV/0!</v>
      </c>
      <c r="AW182" s="117" t="e">
        <f t="shared" ref="AW182:AX182" si="581">AW202/AW222*100</f>
        <v>#DIV/0!</v>
      </c>
      <c r="AX182" s="117" t="e">
        <f t="shared" si="581"/>
        <v>#DIV/0!</v>
      </c>
      <c r="AZ182" s="117" t="e">
        <f t="shared" ref="AZ182:BA182" si="582">AZ202/AZ222*100</f>
        <v>#DIV/0!</v>
      </c>
      <c r="BA182" s="117" t="e">
        <f t="shared" si="582"/>
        <v>#DIV/0!</v>
      </c>
      <c r="BC182" s="117" t="e">
        <f t="shared" ref="BC182:BD182" si="583">BC202/BC222*100</f>
        <v>#DIV/0!</v>
      </c>
      <c r="BD182" s="117" t="e">
        <f t="shared" si="583"/>
        <v>#DIV/0!</v>
      </c>
      <c r="BF182" s="117" t="e">
        <f t="shared" ref="BF182:BG182" si="584">BF202/BF222*100</f>
        <v>#DIV/0!</v>
      </c>
      <c r="BG182" s="117" t="e">
        <f t="shared" si="584"/>
        <v>#DIV/0!</v>
      </c>
      <c r="BI182" s="117" t="e">
        <f t="shared" ref="BI182:BJ182" si="585">BI202/BI222*100</f>
        <v>#DIV/0!</v>
      </c>
      <c r="BJ182" s="117" t="e">
        <f t="shared" si="585"/>
        <v>#DIV/0!</v>
      </c>
      <c r="BL182" s="117" t="e">
        <f t="shared" ref="BL182:BM182" si="586">BL202/BL222*100</f>
        <v>#DIV/0!</v>
      </c>
      <c r="BM182" s="117" t="e">
        <f t="shared" si="586"/>
        <v>#DIV/0!</v>
      </c>
      <c r="BO182" s="117" t="e">
        <f t="shared" ref="BO182:BP182" si="587">BO202/BO222*100</f>
        <v>#DIV/0!</v>
      </c>
      <c r="BP182" s="117" t="e">
        <f t="shared" si="587"/>
        <v>#DIV/0!</v>
      </c>
      <c r="BR182" s="117" t="e">
        <f t="shared" ref="BR182:BS182" si="588">BR202/BR222*100</f>
        <v>#DIV/0!</v>
      </c>
      <c r="BS182" s="117" t="e">
        <f t="shared" si="588"/>
        <v>#DIV/0!</v>
      </c>
      <c r="BU182" s="117" t="e">
        <f t="shared" ref="BU182:BV182" si="589">BU202/BU222*100</f>
        <v>#DIV/0!</v>
      </c>
      <c r="BV182" s="117" t="e">
        <f t="shared" si="589"/>
        <v>#DIV/0!</v>
      </c>
      <c r="BX182" s="117" t="e">
        <f t="shared" ref="BX182:BY182" si="590">BX202/BX222*100</f>
        <v>#DIV/0!</v>
      </c>
      <c r="BY182" s="117" t="e">
        <f t="shared" si="590"/>
        <v>#DIV/0!</v>
      </c>
      <c r="CA182" s="117" t="e">
        <f t="shared" ref="CA182:CB182" si="591">CA202/CA222*100</f>
        <v>#DIV/0!</v>
      </c>
      <c r="CB182" s="117" t="e">
        <f t="shared" si="591"/>
        <v>#DIV/0!</v>
      </c>
      <c r="CD182" s="117" t="e">
        <f t="shared" ref="CD182:CE182" si="592">CD202/CD222*100</f>
        <v>#DIV/0!</v>
      </c>
      <c r="CE182" s="117" t="e">
        <f t="shared" si="592"/>
        <v>#DIV/0!</v>
      </c>
      <c r="CG182" s="117" t="e">
        <f t="shared" ref="CG182:CH182" si="593">CG202/CG222*100</f>
        <v>#DIV/0!</v>
      </c>
      <c r="CH182" s="117" t="e">
        <f t="shared" si="593"/>
        <v>#DIV/0!</v>
      </c>
      <c r="CJ182" s="117" t="e">
        <f t="shared" ref="CJ182:CK182" si="594">CJ202/CJ222*100</f>
        <v>#DIV/0!</v>
      </c>
      <c r="CK182" s="117" t="e">
        <f t="shared" si="594"/>
        <v>#DIV/0!</v>
      </c>
      <c r="CM182" s="117" t="e">
        <f t="shared" ref="CM182:CN182" si="595">CM202/CM222*100</f>
        <v>#DIV/0!</v>
      </c>
      <c r="CN182" s="117" t="e">
        <f t="shared" si="595"/>
        <v>#DIV/0!</v>
      </c>
      <c r="CP182" s="117" t="e">
        <f t="shared" ref="CP182:CQ182" si="596">CP202/CP222*100</f>
        <v>#DIV/0!</v>
      </c>
      <c r="CQ182" s="117" t="e">
        <f t="shared" si="596"/>
        <v>#DIV/0!</v>
      </c>
      <c r="CS182" s="117" t="e">
        <f t="shared" ref="CS182:CT182" si="597">CS202/CS222*100</f>
        <v>#DIV/0!</v>
      </c>
      <c r="CT182" s="117" t="e">
        <f t="shared" si="597"/>
        <v>#DIV/0!</v>
      </c>
      <c r="CV182" s="117" t="e">
        <f t="shared" ref="CV182:CW182" si="598">CV202/CV222*100</f>
        <v>#DIV/0!</v>
      </c>
      <c r="CW182" s="117" t="e">
        <f t="shared" si="598"/>
        <v>#DIV/0!</v>
      </c>
      <c r="CY182" s="117" t="e">
        <f t="shared" ref="CY182:CZ182" si="599">CY202/CY222*100</f>
        <v>#DIV/0!</v>
      </c>
      <c r="CZ182" s="117" t="e">
        <f t="shared" si="599"/>
        <v>#DIV/0!</v>
      </c>
      <c r="DB182" s="117" t="e">
        <f t="shared" ref="DB182:DC182" si="600">DB202/DB222*100</f>
        <v>#DIV/0!</v>
      </c>
      <c r="DC182" s="117" t="e">
        <f t="shared" si="600"/>
        <v>#DIV/0!</v>
      </c>
      <c r="DE182" s="117">
        <f>DE202/DE222*100</f>
        <v>98.76543209876543</v>
      </c>
      <c r="DF182" s="117" t="e">
        <f t="shared" ref="DF182" si="601">DF202/DF222*100</f>
        <v>#DIV/0!</v>
      </c>
    </row>
    <row r="183" spans="1:110" s="89" customFormat="1" x14ac:dyDescent="0.25">
      <c r="A183" s="54"/>
      <c r="B183" s="46" t="s">
        <v>382</v>
      </c>
      <c r="C183" s="42"/>
      <c r="D183" s="42"/>
      <c r="E183" s="44"/>
      <c r="F183" s="44"/>
      <c r="G183" s="44"/>
      <c r="H183" s="44"/>
      <c r="I183" s="44"/>
      <c r="J183" s="44"/>
      <c r="K183" s="44"/>
      <c r="L183" s="44"/>
      <c r="N183" s="44"/>
      <c r="O183" s="44"/>
      <c r="P183" s="44"/>
      <c r="Q183" s="44"/>
      <c r="S183" s="44"/>
      <c r="T183" s="44"/>
      <c r="V183" s="44"/>
      <c r="W183" s="44"/>
      <c r="Y183" s="44"/>
      <c r="Z183" s="44"/>
      <c r="AB183" s="44"/>
      <c r="AC183" s="44"/>
      <c r="AE183" s="44"/>
      <c r="AF183" s="44"/>
      <c r="AH183" s="44"/>
      <c r="AI183" s="44"/>
      <c r="AK183" s="44"/>
      <c r="AL183" s="44"/>
      <c r="AN183" s="44"/>
      <c r="AO183" s="44"/>
      <c r="AQ183" s="44"/>
      <c r="AR183" s="44"/>
      <c r="AT183" s="44"/>
      <c r="AU183" s="44"/>
      <c r="AW183" s="44"/>
      <c r="AX183" s="44"/>
      <c r="AZ183" s="44"/>
      <c r="BA183" s="44"/>
      <c r="BC183" s="44"/>
      <c r="BD183" s="44"/>
      <c r="BF183" s="44"/>
      <c r="BG183" s="44"/>
      <c r="BI183" s="44"/>
      <c r="BJ183" s="44"/>
      <c r="BL183" s="44"/>
      <c r="BM183" s="44"/>
      <c r="BO183" s="44"/>
      <c r="BP183" s="44"/>
      <c r="BR183" s="44"/>
      <c r="BS183" s="44"/>
      <c r="BU183" s="44"/>
      <c r="BV183" s="44"/>
      <c r="BX183" s="44"/>
      <c r="BY183" s="44"/>
      <c r="CA183" s="44"/>
      <c r="CB183" s="44"/>
      <c r="CD183" s="44"/>
      <c r="CE183" s="44"/>
      <c r="CG183" s="44"/>
      <c r="CH183" s="44"/>
      <c r="CJ183" s="44"/>
      <c r="CK183" s="44"/>
      <c r="CM183" s="44"/>
      <c r="CN183" s="44"/>
      <c r="CP183" s="44"/>
      <c r="CQ183" s="44"/>
      <c r="CS183" s="44"/>
      <c r="CT183" s="44"/>
      <c r="CV183" s="44"/>
      <c r="CW183" s="44"/>
      <c r="CY183" s="44"/>
      <c r="CZ183" s="44"/>
      <c r="DB183" s="44"/>
      <c r="DC183" s="44"/>
      <c r="DE183" s="44"/>
      <c r="DF183" s="44"/>
    </row>
    <row r="184" spans="1:110" s="89" customFormat="1" x14ac:dyDescent="0.25">
      <c r="A184" s="54"/>
      <c r="B184" s="46" t="s">
        <v>1182</v>
      </c>
      <c r="C184" s="42"/>
      <c r="D184" s="42" t="s">
        <v>8</v>
      </c>
      <c r="E184" s="44"/>
      <c r="F184" s="44"/>
      <c r="G184" s="44"/>
      <c r="H184" s="44"/>
      <c r="I184" s="117">
        <f t="shared" ref="I184:K185" si="602">I204/I224*100</f>
        <v>98.530612244897966</v>
      </c>
      <c r="J184" s="117">
        <f t="shared" si="602"/>
        <v>98.428908091123333</v>
      </c>
      <c r="K184" s="117">
        <f t="shared" si="602"/>
        <v>98.057354301572616</v>
      </c>
      <c r="L184" s="117">
        <f t="shared" ref="L184" si="603">L204/L224*100</f>
        <v>97.781299524564176</v>
      </c>
      <c r="N184" s="117">
        <f t="shared" ref="N184:P185" si="604">N204/N224*100</f>
        <v>98.057354301572616</v>
      </c>
      <c r="O184" s="117" t="e">
        <f t="shared" si="604"/>
        <v>#DIV/0!</v>
      </c>
      <c r="P184" s="117">
        <f t="shared" ref="P184:Q184" si="605">P204/P224*100</f>
        <v>100</v>
      </c>
      <c r="Q184" s="117" t="e">
        <f t="shared" si="605"/>
        <v>#DIV/0!</v>
      </c>
      <c r="S184" s="117">
        <f t="shared" ref="S184:T185" si="606">S204/S224*100</f>
        <v>97.674418604651152</v>
      </c>
      <c r="T184" s="117" t="e">
        <f t="shared" si="606"/>
        <v>#DIV/0!</v>
      </c>
      <c r="V184" s="117">
        <f t="shared" ref="V184:W184" si="607">V204/V224*100</f>
        <v>97.560975609756099</v>
      </c>
      <c r="W184" s="117" t="e">
        <f t="shared" si="607"/>
        <v>#DIV/0!</v>
      </c>
      <c r="Y184" s="117">
        <f t="shared" ref="Y184:Z185" si="608">Y204/Y224*100</f>
        <v>98.94736842105263</v>
      </c>
      <c r="Z184" s="117" t="e">
        <f t="shared" si="608"/>
        <v>#DIV/0!</v>
      </c>
      <c r="AB184" s="117">
        <f t="shared" ref="AB184:AC184" si="609">AB204/AB224*100</f>
        <v>100</v>
      </c>
      <c r="AC184" s="117" t="e">
        <f t="shared" si="609"/>
        <v>#DIV/0!</v>
      </c>
      <c r="AE184" s="117">
        <f t="shared" ref="AE184:AF184" si="610">AE204/AE224*100</f>
        <v>94.382022471910105</v>
      </c>
      <c r="AF184" s="117" t="e">
        <f t="shared" si="610"/>
        <v>#DIV/0!</v>
      </c>
      <c r="AH184" s="117">
        <f t="shared" ref="AH184:AI184" si="611">AH204/AH224*100</f>
        <v>100</v>
      </c>
      <c r="AI184" s="117" t="e">
        <f t="shared" si="611"/>
        <v>#DIV/0!</v>
      </c>
      <c r="AK184" s="117">
        <f t="shared" ref="AK184:AL184" si="612">AK204/AK224*100</f>
        <v>94.594594594594597</v>
      </c>
      <c r="AL184" s="117" t="e">
        <f t="shared" si="612"/>
        <v>#DIV/0!</v>
      </c>
      <c r="AN184" s="117">
        <f t="shared" ref="AN184:AO184" si="613">AN204/AN224*100</f>
        <v>100</v>
      </c>
      <c r="AO184" s="117" t="e">
        <f t="shared" si="613"/>
        <v>#DIV/0!</v>
      </c>
      <c r="AQ184" s="117">
        <f t="shared" ref="AQ184:AR184" si="614">AQ204/AQ224*100</f>
        <v>97.058823529411768</v>
      </c>
      <c r="AR184" s="117" t="e">
        <f t="shared" si="614"/>
        <v>#DIV/0!</v>
      </c>
      <c r="AT184" s="117">
        <f t="shared" ref="AT184:AU184" si="615">AT204/AT224*100</f>
        <v>100</v>
      </c>
      <c r="AU184" s="117" t="e">
        <f t="shared" si="615"/>
        <v>#DIV/0!</v>
      </c>
      <c r="AW184" s="117">
        <f t="shared" ref="AW184:AX184" si="616">AW204/AW224*100</f>
        <v>100</v>
      </c>
      <c r="AX184" s="117" t="e">
        <f t="shared" si="616"/>
        <v>#DIV/0!</v>
      </c>
      <c r="AZ184" s="117">
        <f t="shared" ref="AZ184:BA184" si="617">AZ204/AZ224*100</f>
        <v>98.039215686274503</v>
      </c>
      <c r="BA184" s="117" t="e">
        <f t="shared" si="617"/>
        <v>#DIV/0!</v>
      </c>
      <c r="BC184" s="117">
        <f t="shared" ref="BC184:BD184" si="618">BC204/BC224*100</f>
        <v>98.888888888888886</v>
      </c>
      <c r="BD184" s="117" t="e">
        <f t="shared" si="618"/>
        <v>#DIV/0!</v>
      </c>
      <c r="BF184" s="117">
        <f t="shared" ref="BF184:BG184" si="619">BF204/BF224*100</f>
        <v>100</v>
      </c>
      <c r="BG184" s="117" t="e">
        <f t="shared" si="619"/>
        <v>#DIV/0!</v>
      </c>
      <c r="BI184" s="117">
        <f t="shared" ref="BI184:BJ184" si="620">BI204/BI224*100</f>
        <v>100</v>
      </c>
      <c r="BJ184" s="117" t="e">
        <f t="shared" si="620"/>
        <v>#DIV/0!</v>
      </c>
      <c r="BL184" s="117">
        <f t="shared" ref="BL184:BM184" si="621">BL204/BL224*100</f>
        <v>94.285714285714278</v>
      </c>
      <c r="BM184" s="117" t="e">
        <f t="shared" si="621"/>
        <v>#DIV/0!</v>
      </c>
      <c r="BO184" s="117">
        <f t="shared" ref="BO184:BP184" si="622">BO204/BO224*100</f>
        <v>100</v>
      </c>
      <c r="BP184" s="117" t="e">
        <f t="shared" si="622"/>
        <v>#DIV/0!</v>
      </c>
      <c r="BR184" s="117">
        <f t="shared" ref="BR184:BS184" si="623">BR204/BR224*100</f>
        <v>100</v>
      </c>
      <c r="BS184" s="117" t="e">
        <f t="shared" si="623"/>
        <v>#DIV/0!</v>
      </c>
      <c r="BU184" s="117">
        <f t="shared" ref="BU184:BV184" si="624">BU204/BU224*100</f>
        <v>97.368421052631575</v>
      </c>
      <c r="BV184" s="117" t="e">
        <f t="shared" si="624"/>
        <v>#DIV/0!</v>
      </c>
      <c r="BX184" s="117">
        <f t="shared" ref="BX184:BY184" si="625">BX204/BX224*100</f>
        <v>100</v>
      </c>
      <c r="BY184" s="117" t="e">
        <f t="shared" si="625"/>
        <v>#DIV/0!</v>
      </c>
      <c r="CA184" s="117">
        <f t="shared" ref="CA184:CB184" si="626">CA204/CA224*100</f>
        <v>97.61904761904762</v>
      </c>
      <c r="CB184" s="117" t="e">
        <f t="shared" si="626"/>
        <v>#DIV/0!</v>
      </c>
      <c r="CD184" s="117">
        <f t="shared" ref="CD184:CE184" si="627">CD204/CD224*100</f>
        <v>100</v>
      </c>
      <c r="CE184" s="117" t="e">
        <f t="shared" si="627"/>
        <v>#DIV/0!</v>
      </c>
      <c r="CG184" s="117">
        <f t="shared" ref="CG184:CH184" si="628">CG204/CG224*100</f>
        <v>92.10526315789474</v>
      </c>
      <c r="CH184" s="117" t="e">
        <f t="shared" si="628"/>
        <v>#DIV/0!</v>
      </c>
      <c r="CJ184" s="117">
        <f t="shared" ref="CJ184:CK184" si="629">CJ204/CJ224*100</f>
        <v>100</v>
      </c>
      <c r="CK184" s="117" t="e">
        <f t="shared" si="629"/>
        <v>#DIV/0!</v>
      </c>
      <c r="CM184" s="117" t="e">
        <f t="shared" ref="CM184:CN184" si="630">CM204/CM224*100</f>
        <v>#DIV/0!</v>
      </c>
      <c r="CN184" s="117" t="e">
        <f t="shared" si="630"/>
        <v>#DIV/0!</v>
      </c>
      <c r="CP184" s="117" t="e">
        <f t="shared" ref="CP184:CQ184" si="631">CP204/CP224*100</f>
        <v>#DIV/0!</v>
      </c>
      <c r="CQ184" s="117" t="e">
        <f t="shared" si="631"/>
        <v>#DIV/0!</v>
      </c>
      <c r="CS184" s="117">
        <f t="shared" ref="CS184:CT184" si="632">CS204/CS224*100</f>
        <v>100</v>
      </c>
      <c r="CT184" s="117" t="e">
        <f t="shared" si="632"/>
        <v>#DIV/0!</v>
      </c>
      <c r="CV184" s="117">
        <f t="shared" ref="CV184:CW184" si="633">CV204/CV224*100</f>
        <v>100</v>
      </c>
      <c r="CW184" s="117" t="e">
        <f t="shared" si="633"/>
        <v>#DIV/0!</v>
      </c>
      <c r="CY184" s="117">
        <f t="shared" ref="CY184:CZ184" si="634">CY204/CY224*100</f>
        <v>100</v>
      </c>
      <c r="CZ184" s="117" t="e">
        <f t="shared" si="634"/>
        <v>#DIV/0!</v>
      </c>
      <c r="DB184" s="117">
        <f t="shared" ref="DB184:DC184" si="635">DB204/DB224*100</f>
        <v>100</v>
      </c>
      <c r="DC184" s="117" t="e">
        <f t="shared" si="635"/>
        <v>#DIV/0!</v>
      </c>
      <c r="DE184" s="117" t="e">
        <f t="shared" ref="DE184:DF184" si="636">DE204/DE224*100</f>
        <v>#DIV/0!</v>
      </c>
      <c r="DF184" s="117" t="e">
        <f t="shared" si="636"/>
        <v>#DIV/0!</v>
      </c>
    </row>
    <row r="185" spans="1:110" s="89" customFormat="1" x14ac:dyDescent="0.25">
      <c r="A185" s="54"/>
      <c r="B185" s="46" t="s">
        <v>1184</v>
      </c>
      <c r="C185" s="42"/>
      <c r="D185" s="42" t="s">
        <v>8</v>
      </c>
      <c r="E185" s="44"/>
      <c r="F185" s="44"/>
      <c r="G185" s="44"/>
      <c r="H185" s="44"/>
      <c r="I185" s="117">
        <f t="shared" si="602"/>
        <v>97.142857142857139</v>
      </c>
      <c r="J185" s="117">
        <f t="shared" si="602"/>
        <v>100</v>
      </c>
      <c r="K185" s="117">
        <f t="shared" si="602"/>
        <v>100</v>
      </c>
      <c r="L185" s="117">
        <f t="shared" ref="L185" si="637">L205/L225*100</f>
        <v>100</v>
      </c>
      <c r="N185" s="117">
        <f t="shared" ref="N185" si="638">N205/N225*100</f>
        <v>100</v>
      </c>
      <c r="O185" s="117" t="e">
        <f t="shared" si="604"/>
        <v>#DIV/0!</v>
      </c>
      <c r="P185" s="117" t="e">
        <f t="shared" si="604"/>
        <v>#DIV/0!</v>
      </c>
      <c r="Q185" s="117" t="e">
        <f t="shared" ref="Q185" si="639">Q205/Q225*100</f>
        <v>#DIV/0!</v>
      </c>
      <c r="S185" s="117" t="e">
        <f t="shared" ref="S185" si="640">S205/S225*100</f>
        <v>#DIV/0!</v>
      </c>
      <c r="T185" s="117" t="e">
        <f t="shared" si="606"/>
        <v>#DIV/0!</v>
      </c>
      <c r="V185" s="117" t="e">
        <f t="shared" ref="V185:W185" si="641">V205/V225*100</f>
        <v>#DIV/0!</v>
      </c>
      <c r="W185" s="117" t="e">
        <f t="shared" si="641"/>
        <v>#DIV/0!</v>
      </c>
      <c r="Y185" s="117" t="e">
        <f t="shared" ref="Y185" si="642">Y205/Y225*100</f>
        <v>#DIV/0!</v>
      </c>
      <c r="Z185" s="117" t="e">
        <f t="shared" si="608"/>
        <v>#DIV/0!</v>
      </c>
      <c r="AB185" s="117" t="e">
        <f t="shared" ref="AB185:AC185" si="643">AB205/AB225*100</f>
        <v>#DIV/0!</v>
      </c>
      <c r="AC185" s="117" t="e">
        <f t="shared" si="643"/>
        <v>#DIV/0!</v>
      </c>
      <c r="AE185" s="117" t="e">
        <f t="shared" ref="AE185:AF185" si="644">AE205/AE225*100</f>
        <v>#DIV/0!</v>
      </c>
      <c r="AF185" s="117" t="e">
        <f t="shared" si="644"/>
        <v>#DIV/0!</v>
      </c>
      <c r="AH185" s="117" t="e">
        <f t="shared" ref="AH185:AI185" si="645">AH205/AH225*100</f>
        <v>#DIV/0!</v>
      </c>
      <c r="AI185" s="117" t="e">
        <f t="shared" si="645"/>
        <v>#DIV/0!</v>
      </c>
      <c r="AK185" s="117" t="e">
        <f t="shared" ref="AK185:AL185" si="646">AK205/AK225*100</f>
        <v>#DIV/0!</v>
      </c>
      <c r="AL185" s="117" t="e">
        <f t="shared" si="646"/>
        <v>#DIV/0!</v>
      </c>
      <c r="AN185" s="117" t="e">
        <f t="shared" ref="AN185:AO185" si="647">AN205/AN225*100</f>
        <v>#DIV/0!</v>
      </c>
      <c r="AO185" s="117" t="e">
        <f t="shared" si="647"/>
        <v>#DIV/0!</v>
      </c>
      <c r="AQ185" s="117" t="e">
        <f t="shared" ref="AQ185:AR185" si="648">AQ205/AQ225*100</f>
        <v>#DIV/0!</v>
      </c>
      <c r="AR185" s="117" t="e">
        <f t="shared" si="648"/>
        <v>#DIV/0!</v>
      </c>
      <c r="AT185" s="117" t="e">
        <f t="shared" ref="AT185:AU185" si="649">AT205/AT225*100</f>
        <v>#DIV/0!</v>
      </c>
      <c r="AU185" s="117" t="e">
        <f t="shared" si="649"/>
        <v>#DIV/0!</v>
      </c>
      <c r="AW185" s="117" t="e">
        <f t="shared" ref="AW185:AX185" si="650">AW205/AW225*100</f>
        <v>#DIV/0!</v>
      </c>
      <c r="AX185" s="117" t="e">
        <f t="shared" si="650"/>
        <v>#DIV/0!</v>
      </c>
      <c r="AZ185" s="117" t="e">
        <f t="shared" ref="AZ185:BA185" si="651">AZ205/AZ225*100</f>
        <v>#DIV/0!</v>
      </c>
      <c r="BA185" s="117" t="e">
        <f t="shared" si="651"/>
        <v>#DIV/0!</v>
      </c>
      <c r="BC185" s="117" t="e">
        <f t="shared" ref="BC185:BD185" si="652">BC205/BC225*100</f>
        <v>#DIV/0!</v>
      </c>
      <c r="BD185" s="117" t="e">
        <f t="shared" si="652"/>
        <v>#DIV/0!</v>
      </c>
      <c r="BF185" s="117" t="e">
        <f t="shared" ref="BF185:BG185" si="653">BF205/BF225*100</f>
        <v>#DIV/0!</v>
      </c>
      <c r="BG185" s="117" t="e">
        <f t="shared" si="653"/>
        <v>#DIV/0!</v>
      </c>
      <c r="BI185" s="117" t="e">
        <f t="shared" ref="BI185:BJ185" si="654">BI205/BI225*100</f>
        <v>#DIV/0!</v>
      </c>
      <c r="BJ185" s="117" t="e">
        <f t="shared" si="654"/>
        <v>#DIV/0!</v>
      </c>
      <c r="BL185" s="117" t="e">
        <f t="shared" ref="BL185:BM185" si="655">BL205/BL225*100</f>
        <v>#DIV/0!</v>
      </c>
      <c r="BM185" s="117" t="e">
        <f t="shared" si="655"/>
        <v>#DIV/0!</v>
      </c>
      <c r="BO185" s="117" t="e">
        <f t="shared" ref="BO185:BP185" si="656">BO205/BO225*100</f>
        <v>#DIV/0!</v>
      </c>
      <c r="BP185" s="117" t="e">
        <f t="shared" si="656"/>
        <v>#DIV/0!</v>
      </c>
      <c r="BR185" s="117" t="e">
        <f t="shared" ref="BR185:BS185" si="657">BR205/BR225*100</f>
        <v>#DIV/0!</v>
      </c>
      <c r="BS185" s="117" t="e">
        <f t="shared" si="657"/>
        <v>#DIV/0!</v>
      </c>
      <c r="BU185" s="117" t="e">
        <f t="shared" ref="BU185:BV185" si="658">BU205/BU225*100</f>
        <v>#DIV/0!</v>
      </c>
      <c r="BV185" s="117" t="e">
        <f t="shared" si="658"/>
        <v>#DIV/0!</v>
      </c>
      <c r="BX185" s="117" t="e">
        <f t="shared" ref="BX185:BY185" si="659">BX205/BX225*100</f>
        <v>#DIV/0!</v>
      </c>
      <c r="BY185" s="117" t="e">
        <f t="shared" si="659"/>
        <v>#DIV/0!</v>
      </c>
      <c r="CA185" s="117" t="e">
        <f t="shared" ref="CA185:CB185" si="660">CA205/CA225*100</f>
        <v>#DIV/0!</v>
      </c>
      <c r="CB185" s="117" t="e">
        <f t="shared" si="660"/>
        <v>#DIV/0!</v>
      </c>
      <c r="CD185" s="117" t="e">
        <f t="shared" ref="CD185:CE185" si="661">CD205/CD225*100</f>
        <v>#DIV/0!</v>
      </c>
      <c r="CE185" s="117" t="e">
        <f t="shared" si="661"/>
        <v>#DIV/0!</v>
      </c>
      <c r="CG185" s="117" t="e">
        <f t="shared" ref="CG185:CH185" si="662">CG205/CG225*100</f>
        <v>#DIV/0!</v>
      </c>
      <c r="CH185" s="117" t="e">
        <f t="shared" si="662"/>
        <v>#DIV/0!</v>
      </c>
      <c r="CJ185" s="117" t="e">
        <f t="shared" ref="CJ185:CK185" si="663">CJ205/CJ225*100</f>
        <v>#DIV/0!</v>
      </c>
      <c r="CK185" s="117" t="e">
        <f t="shared" si="663"/>
        <v>#DIV/0!</v>
      </c>
      <c r="CM185" s="117" t="e">
        <f t="shared" ref="CM185:CN185" si="664">CM205/CM225*100</f>
        <v>#DIV/0!</v>
      </c>
      <c r="CN185" s="117" t="e">
        <f t="shared" si="664"/>
        <v>#DIV/0!</v>
      </c>
      <c r="CP185" s="117" t="e">
        <f t="shared" ref="CP185:CQ185" si="665">CP205/CP225*100</f>
        <v>#DIV/0!</v>
      </c>
      <c r="CQ185" s="117" t="e">
        <f t="shared" si="665"/>
        <v>#DIV/0!</v>
      </c>
      <c r="CS185" s="117" t="e">
        <f t="shared" ref="CS185:CT185" si="666">CS205/CS225*100</f>
        <v>#DIV/0!</v>
      </c>
      <c r="CT185" s="117" t="e">
        <f t="shared" si="666"/>
        <v>#DIV/0!</v>
      </c>
      <c r="CV185" s="117" t="e">
        <f t="shared" ref="CV185:CW185" si="667">CV205/CV225*100</f>
        <v>#DIV/0!</v>
      </c>
      <c r="CW185" s="117" t="e">
        <f t="shared" si="667"/>
        <v>#DIV/0!</v>
      </c>
      <c r="CY185" s="117" t="e">
        <f t="shared" ref="CY185:CZ185" si="668">CY205/CY225*100</f>
        <v>#DIV/0!</v>
      </c>
      <c r="CZ185" s="117" t="e">
        <f t="shared" si="668"/>
        <v>#DIV/0!</v>
      </c>
      <c r="DB185" s="117" t="e">
        <f t="shared" ref="DB185:DC185" si="669">DB205/DB225*100</f>
        <v>#DIV/0!</v>
      </c>
      <c r="DC185" s="117" t="e">
        <f t="shared" si="669"/>
        <v>#DIV/0!</v>
      </c>
      <c r="DE185" s="117">
        <f t="shared" ref="DE185:DF185" si="670">DE205/DE225*100</f>
        <v>100</v>
      </c>
      <c r="DF185" s="117" t="e">
        <f t="shared" si="670"/>
        <v>#DIV/0!</v>
      </c>
    </row>
    <row r="186" spans="1:110" s="89" customFormat="1" x14ac:dyDescent="0.25">
      <c r="A186" s="54"/>
      <c r="B186" s="46" t="s">
        <v>1739</v>
      </c>
      <c r="C186" s="42"/>
      <c r="D186" s="42"/>
      <c r="E186" s="44"/>
      <c r="F186" s="44"/>
      <c r="G186" s="44"/>
      <c r="H186" s="44"/>
      <c r="I186" s="44"/>
      <c r="J186" s="44"/>
      <c r="K186" s="44"/>
      <c r="L186" s="44"/>
      <c r="N186" s="44"/>
      <c r="O186" s="44"/>
      <c r="P186" s="44"/>
      <c r="Q186" s="44"/>
      <c r="S186" s="44"/>
      <c r="T186" s="44"/>
      <c r="V186" s="44"/>
      <c r="W186" s="44"/>
      <c r="Y186" s="44"/>
      <c r="Z186" s="44"/>
      <c r="AB186" s="44"/>
      <c r="AC186" s="44"/>
      <c r="AE186" s="44"/>
      <c r="AF186" s="44"/>
      <c r="AH186" s="44"/>
      <c r="AI186" s="44"/>
      <c r="AK186" s="44"/>
      <c r="AL186" s="44"/>
      <c r="AN186" s="44"/>
      <c r="AO186" s="44"/>
      <c r="AQ186" s="44"/>
      <c r="AR186" s="44"/>
      <c r="AT186" s="44"/>
      <c r="AU186" s="44"/>
      <c r="AW186" s="44"/>
      <c r="AX186" s="44"/>
      <c r="AZ186" s="44"/>
      <c r="BA186" s="44"/>
      <c r="BC186" s="44"/>
      <c r="BD186" s="44"/>
      <c r="BF186" s="44"/>
      <c r="BG186" s="44"/>
      <c r="BI186" s="44"/>
      <c r="BJ186" s="44"/>
      <c r="BL186" s="44"/>
      <c r="BM186" s="44"/>
      <c r="BO186" s="44"/>
      <c r="BP186" s="44"/>
      <c r="BR186" s="44"/>
      <c r="BS186" s="44"/>
      <c r="BU186" s="44"/>
      <c r="BV186" s="44"/>
      <c r="BX186" s="44"/>
      <c r="BY186" s="44"/>
      <c r="CA186" s="44"/>
      <c r="CB186" s="44"/>
      <c r="CD186" s="44"/>
      <c r="CE186" s="44"/>
      <c r="CG186" s="44"/>
      <c r="CH186" s="44"/>
      <c r="CJ186" s="44"/>
      <c r="CK186" s="44"/>
      <c r="CM186" s="44"/>
      <c r="CN186" s="44"/>
      <c r="CP186" s="44"/>
      <c r="CQ186" s="44"/>
      <c r="CS186" s="44"/>
      <c r="CT186" s="44"/>
      <c r="CV186" s="44"/>
      <c r="CW186" s="44"/>
      <c r="CY186" s="44"/>
      <c r="CZ186" s="44"/>
      <c r="DB186" s="44"/>
      <c r="DC186" s="44"/>
      <c r="DE186" s="44"/>
      <c r="DF186" s="44"/>
    </row>
    <row r="187" spans="1:110" s="89" customFormat="1" x14ac:dyDescent="0.25">
      <c r="A187" s="54"/>
      <c r="B187" s="46" t="s">
        <v>1182</v>
      </c>
      <c r="C187" s="42"/>
      <c r="D187" s="42" t="s">
        <v>8</v>
      </c>
      <c r="E187" s="44"/>
      <c r="F187" s="44"/>
      <c r="G187" s="44"/>
      <c r="H187" s="44"/>
      <c r="I187" s="117">
        <f t="shared" ref="I187:K188" si="671">I207/I227*100</f>
        <v>66.865671641791053</v>
      </c>
      <c r="J187" s="117">
        <f t="shared" si="671"/>
        <v>67.664670658682638</v>
      </c>
      <c r="K187" s="117">
        <f t="shared" si="671"/>
        <v>64.26229508196721</v>
      </c>
      <c r="L187" s="117">
        <f t="shared" ref="L187" si="672">L207/L227*100</f>
        <v>63.725490196078425</v>
      </c>
      <c r="N187" s="117">
        <f t="shared" ref="N187:P188" si="673">N207/N227*100</f>
        <v>64.26229508196721</v>
      </c>
      <c r="O187" s="117" t="e">
        <f t="shared" si="673"/>
        <v>#DIV/0!</v>
      </c>
      <c r="P187" s="117" t="e">
        <f t="shared" ref="P187:Q187" si="674">P207/P227*100</f>
        <v>#DIV/0!</v>
      </c>
      <c r="Q187" s="117" t="e">
        <f t="shared" si="674"/>
        <v>#DIV/0!</v>
      </c>
      <c r="S187" s="117">
        <f t="shared" ref="S187:T188" si="675">S207/S227*100</f>
        <v>52</v>
      </c>
      <c r="T187" s="117" t="e">
        <f t="shared" si="675"/>
        <v>#DIV/0!</v>
      </c>
      <c r="V187" s="117">
        <f t="shared" ref="V187:W187" si="676">V207/V227*100</f>
        <v>30</v>
      </c>
      <c r="W187" s="117" t="e">
        <f t="shared" si="676"/>
        <v>#DIV/0!</v>
      </c>
      <c r="Y187" s="117">
        <f t="shared" ref="Y187:Z188" si="677">Y207/Y227*100</f>
        <v>81.25</v>
      </c>
      <c r="Z187" s="117" t="e">
        <f t="shared" si="677"/>
        <v>#DIV/0!</v>
      </c>
      <c r="AB187" s="117">
        <f t="shared" ref="AB187:AC187" si="678">AB207/AB227*100</f>
        <v>100</v>
      </c>
      <c r="AC187" s="117" t="e">
        <f t="shared" si="678"/>
        <v>#DIV/0!</v>
      </c>
      <c r="AE187" s="117">
        <f t="shared" ref="AE187:AF187" si="679">AE207/AE227*100</f>
        <v>100</v>
      </c>
      <c r="AF187" s="117" t="e">
        <f t="shared" si="679"/>
        <v>#DIV/0!</v>
      </c>
      <c r="AH187" s="117" t="e">
        <f t="shared" ref="AH187:AI187" si="680">AH207/AH227*100</f>
        <v>#DIV/0!</v>
      </c>
      <c r="AI187" s="117" t="e">
        <f t="shared" si="680"/>
        <v>#DIV/0!</v>
      </c>
      <c r="AK187" s="117">
        <f t="shared" ref="AK187:AL187" si="681">AK207/AK227*100</f>
        <v>72.727272727272734</v>
      </c>
      <c r="AL187" s="117" t="e">
        <f t="shared" si="681"/>
        <v>#DIV/0!</v>
      </c>
      <c r="AN187" s="117" t="e">
        <f t="shared" ref="AN187:AO187" si="682">AN207/AN227*100</f>
        <v>#DIV/0!</v>
      </c>
      <c r="AO187" s="117" t="e">
        <f t="shared" si="682"/>
        <v>#DIV/0!</v>
      </c>
      <c r="AQ187" s="117">
        <f t="shared" ref="AQ187:AR187" si="683">AQ207/AQ227*100</f>
        <v>81.818181818181827</v>
      </c>
      <c r="AR187" s="117" t="e">
        <f t="shared" si="683"/>
        <v>#DIV/0!</v>
      </c>
      <c r="AT187" s="117">
        <f t="shared" ref="AT187:AU187" si="684">AT207/AT227*100</f>
        <v>75</v>
      </c>
      <c r="AU187" s="117" t="e">
        <f t="shared" si="684"/>
        <v>#DIV/0!</v>
      </c>
      <c r="AW187" s="117">
        <f t="shared" ref="AW187:AX187" si="685">AW207/AW227*100</f>
        <v>72.727272727272734</v>
      </c>
      <c r="AX187" s="117" t="e">
        <f t="shared" si="685"/>
        <v>#DIV/0!</v>
      </c>
      <c r="AZ187" s="117">
        <f t="shared" ref="AZ187:BA187" si="686">AZ207/AZ227*100</f>
        <v>59.375</v>
      </c>
      <c r="BA187" s="117" t="e">
        <f t="shared" si="686"/>
        <v>#DIV/0!</v>
      </c>
      <c r="BC187" s="117" t="e">
        <f t="shared" ref="BC187:BD187" si="687">BC207/BC227*100</f>
        <v>#DIV/0!</v>
      </c>
      <c r="BD187" s="117" t="e">
        <f t="shared" si="687"/>
        <v>#DIV/0!</v>
      </c>
      <c r="BF187" s="117">
        <f t="shared" ref="BF187:BG187" si="688">BF207/BF227*100</f>
        <v>56.25</v>
      </c>
      <c r="BG187" s="117" t="e">
        <f t="shared" si="688"/>
        <v>#DIV/0!</v>
      </c>
      <c r="BI187" s="117">
        <f t="shared" ref="BI187:BJ187" si="689">BI207/BI227*100</f>
        <v>46.666666666666664</v>
      </c>
      <c r="BJ187" s="117" t="e">
        <f t="shared" si="689"/>
        <v>#DIV/0!</v>
      </c>
      <c r="BL187" s="117">
        <f t="shared" ref="BL187:BM187" si="690">BL207/BL227*100</f>
        <v>66.666666666666657</v>
      </c>
      <c r="BM187" s="117" t="e">
        <f t="shared" si="690"/>
        <v>#DIV/0!</v>
      </c>
      <c r="BO187" s="117">
        <f t="shared" ref="BO187:BP187" si="691">BO207/BO227*100</f>
        <v>52.631578947368418</v>
      </c>
      <c r="BP187" s="117" t="e">
        <f t="shared" si="691"/>
        <v>#DIV/0!</v>
      </c>
      <c r="BR187" s="117">
        <f t="shared" ref="BR187:BS187" si="692">BR207/BR227*100</f>
        <v>68.421052631578945</v>
      </c>
      <c r="BS187" s="117" t="e">
        <f t="shared" si="692"/>
        <v>#DIV/0!</v>
      </c>
      <c r="BU187" s="117">
        <f t="shared" ref="BU187:BV187" si="693">BU207/BU227*100</f>
        <v>88.888888888888886</v>
      </c>
      <c r="BV187" s="117" t="e">
        <f t="shared" si="693"/>
        <v>#DIV/0!</v>
      </c>
      <c r="BX187" s="117">
        <f t="shared" ref="BX187:BY187" si="694">BX207/BX227*100</f>
        <v>70</v>
      </c>
      <c r="BY187" s="117" t="e">
        <f t="shared" si="694"/>
        <v>#DIV/0!</v>
      </c>
      <c r="CA187" s="117">
        <f t="shared" ref="CA187:CB187" si="695">CA207/CA227*100</f>
        <v>55.555555555555557</v>
      </c>
      <c r="CB187" s="117" t="e">
        <f t="shared" si="695"/>
        <v>#DIV/0!</v>
      </c>
      <c r="CD187" s="117" t="e">
        <f t="shared" ref="CD187:CE187" si="696">CD207/CD227*100</f>
        <v>#DIV/0!</v>
      </c>
      <c r="CE187" s="117" t="e">
        <f t="shared" si="696"/>
        <v>#DIV/0!</v>
      </c>
      <c r="CG187" s="117">
        <f t="shared" ref="CG187:CH187" si="697">CG207/CG227*100</f>
        <v>50</v>
      </c>
      <c r="CH187" s="117" t="e">
        <f t="shared" si="697"/>
        <v>#DIV/0!</v>
      </c>
      <c r="CJ187" s="117" t="e">
        <f t="shared" ref="CJ187:CK187" si="698">CJ207/CJ227*100</f>
        <v>#DIV/0!</v>
      </c>
      <c r="CK187" s="117" t="e">
        <f t="shared" si="698"/>
        <v>#DIV/0!</v>
      </c>
      <c r="CM187" s="117" t="e">
        <f t="shared" ref="CM187:CN187" si="699">CM207/CM227*100</f>
        <v>#DIV/0!</v>
      </c>
      <c r="CN187" s="117" t="e">
        <f t="shared" si="699"/>
        <v>#DIV/0!</v>
      </c>
      <c r="CP187" s="117" t="e">
        <f t="shared" ref="CP187:CQ187" si="700">CP207/CP227*100</f>
        <v>#DIV/0!</v>
      </c>
      <c r="CQ187" s="117" t="e">
        <f t="shared" si="700"/>
        <v>#DIV/0!</v>
      </c>
      <c r="CS187" s="117" t="e">
        <f t="shared" ref="CS187:CT187" si="701">CS207/CS227*100</f>
        <v>#DIV/0!</v>
      </c>
      <c r="CT187" s="117" t="e">
        <f t="shared" si="701"/>
        <v>#DIV/0!</v>
      </c>
      <c r="CV187" s="117" t="e">
        <f t="shared" ref="CV187:CW187" si="702">CV207/CV227*100</f>
        <v>#DIV/0!</v>
      </c>
      <c r="CW187" s="117" t="e">
        <f t="shared" si="702"/>
        <v>#DIV/0!</v>
      </c>
      <c r="CY187" s="117">
        <f t="shared" ref="CY187:CZ187" si="703">CY207/CY227*100</f>
        <v>18.181818181818183</v>
      </c>
      <c r="CZ187" s="117" t="e">
        <f t="shared" si="703"/>
        <v>#DIV/0!</v>
      </c>
      <c r="DB187" s="117" t="e">
        <f t="shared" ref="DB187:DC187" si="704">DB207/DB227*100</f>
        <v>#DIV/0!</v>
      </c>
      <c r="DC187" s="117" t="e">
        <f t="shared" si="704"/>
        <v>#DIV/0!</v>
      </c>
      <c r="DE187" s="117" t="e">
        <f t="shared" ref="DE187:DF187" si="705">DE207/DE227*100</f>
        <v>#DIV/0!</v>
      </c>
      <c r="DF187" s="117" t="e">
        <f t="shared" si="705"/>
        <v>#DIV/0!</v>
      </c>
    </row>
    <row r="188" spans="1:110" s="89" customFormat="1" x14ac:dyDescent="0.25">
      <c r="A188" s="54"/>
      <c r="B188" s="46" t="s">
        <v>1184</v>
      </c>
      <c r="C188" s="42"/>
      <c r="D188" s="42" t="s">
        <v>8</v>
      </c>
      <c r="E188" s="44"/>
      <c r="F188" s="44"/>
      <c r="G188" s="44"/>
      <c r="H188" s="44"/>
      <c r="I188" s="117" t="e">
        <f t="shared" si="671"/>
        <v>#DIV/0!</v>
      </c>
      <c r="J188" s="117" t="e">
        <f t="shared" si="671"/>
        <v>#DIV/0!</v>
      </c>
      <c r="K188" s="117">
        <f t="shared" si="671"/>
        <v>100</v>
      </c>
      <c r="L188" s="117">
        <f t="shared" ref="L188" si="706">L208/L228*100</f>
        <v>100</v>
      </c>
      <c r="N188" s="117">
        <f t="shared" ref="N188" si="707">N208/N228*100</f>
        <v>100</v>
      </c>
      <c r="O188" s="117" t="e">
        <f t="shared" si="673"/>
        <v>#DIV/0!</v>
      </c>
      <c r="P188" s="117" t="e">
        <f t="shared" si="673"/>
        <v>#DIV/0!</v>
      </c>
      <c r="Q188" s="117" t="e">
        <f t="shared" ref="Q188" si="708">Q208/Q228*100</f>
        <v>#DIV/0!</v>
      </c>
      <c r="S188" s="117" t="e">
        <f t="shared" ref="S188" si="709">S208/S228*100</f>
        <v>#DIV/0!</v>
      </c>
      <c r="T188" s="117" t="e">
        <f t="shared" si="675"/>
        <v>#DIV/0!</v>
      </c>
      <c r="V188" s="117" t="e">
        <f t="shared" ref="V188:W188" si="710">V208/V228*100</f>
        <v>#DIV/0!</v>
      </c>
      <c r="W188" s="117" t="e">
        <f t="shared" si="710"/>
        <v>#DIV/0!</v>
      </c>
      <c r="Y188" s="117" t="e">
        <f t="shared" ref="Y188" si="711">Y208/Y228*100</f>
        <v>#DIV/0!</v>
      </c>
      <c r="Z188" s="117" t="e">
        <f t="shared" si="677"/>
        <v>#DIV/0!</v>
      </c>
      <c r="AB188" s="117" t="e">
        <f t="shared" ref="AB188:AC188" si="712">AB208/AB228*100</f>
        <v>#DIV/0!</v>
      </c>
      <c r="AC188" s="117" t="e">
        <f t="shared" si="712"/>
        <v>#DIV/0!</v>
      </c>
      <c r="AE188" s="117" t="e">
        <f t="shared" ref="AE188:AF188" si="713">AE208/AE228*100</f>
        <v>#DIV/0!</v>
      </c>
      <c r="AF188" s="117" t="e">
        <f t="shared" si="713"/>
        <v>#DIV/0!</v>
      </c>
      <c r="AH188" s="117" t="e">
        <f t="shared" ref="AH188:AI188" si="714">AH208/AH228*100</f>
        <v>#DIV/0!</v>
      </c>
      <c r="AI188" s="117" t="e">
        <f t="shared" si="714"/>
        <v>#DIV/0!</v>
      </c>
      <c r="AK188" s="117" t="e">
        <f t="shared" ref="AK188:AL188" si="715">AK208/AK228*100</f>
        <v>#DIV/0!</v>
      </c>
      <c r="AL188" s="117" t="e">
        <f t="shared" si="715"/>
        <v>#DIV/0!</v>
      </c>
      <c r="AN188" s="117" t="e">
        <f t="shared" ref="AN188:AO188" si="716">AN208/AN228*100</f>
        <v>#DIV/0!</v>
      </c>
      <c r="AO188" s="117" t="e">
        <f t="shared" si="716"/>
        <v>#DIV/0!</v>
      </c>
      <c r="AQ188" s="117" t="e">
        <f t="shared" ref="AQ188:AR188" si="717">AQ208/AQ228*100</f>
        <v>#DIV/0!</v>
      </c>
      <c r="AR188" s="117" t="e">
        <f t="shared" si="717"/>
        <v>#DIV/0!</v>
      </c>
      <c r="AT188" s="117" t="e">
        <f t="shared" ref="AT188:AU188" si="718">AT208/AT228*100</f>
        <v>#DIV/0!</v>
      </c>
      <c r="AU188" s="117" t="e">
        <f t="shared" si="718"/>
        <v>#DIV/0!</v>
      </c>
      <c r="AW188" s="117" t="e">
        <f t="shared" ref="AW188:AX188" si="719">AW208/AW228*100</f>
        <v>#DIV/0!</v>
      </c>
      <c r="AX188" s="117" t="e">
        <f t="shared" si="719"/>
        <v>#DIV/0!</v>
      </c>
      <c r="AZ188" s="117" t="e">
        <f t="shared" ref="AZ188:BA188" si="720">AZ208/AZ228*100</f>
        <v>#DIV/0!</v>
      </c>
      <c r="BA188" s="117" t="e">
        <f t="shared" si="720"/>
        <v>#DIV/0!</v>
      </c>
      <c r="BC188" s="117" t="e">
        <f t="shared" ref="BC188:BD188" si="721">BC208/BC228*100</f>
        <v>#DIV/0!</v>
      </c>
      <c r="BD188" s="117" t="e">
        <f t="shared" si="721"/>
        <v>#DIV/0!</v>
      </c>
      <c r="BF188" s="117" t="e">
        <f t="shared" ref="BF188:BG188" si="722">BF208/BF228*100</f>
        <v>#DIV/0!</v>
      </c>
      <c r="BG188" s="117" t="e">
        <f t="shared" si="722"/>
        <v>#DIV/0!</v>
      </c>
      <c r="BI188" s="117" t="e">
        <f t="shared" ref="BI188:BJ188" si="723">BI208/BI228*100</f>
        <v>#DIV/0!</v>
      </c>
      <c r="BJ188" s="117" t="e">
        <f t="shared" si="723"/>
        <v>#DIV/0!</v>
      </c>
      <c r="BL188" s="117" t="e">
        <f t="shared" ref="BL188:BM188" si="724">BL208/BL228*100</f>
        <v>#DIV/0!</v>
      </c>
      <c r="BM188" s="117" t="e">
        <f t="shared" si="724"/>
        <v>#DIV/0!</v>
      </c>
      <c r="BO188" s="117" t="e">
        <f t="shared" ref="BO188:BP188" si="725">BO208/BO228*100</f>
        <v>#DIV/0!</v>
      </c>
      <c r="BP188" s="117" t="e">
        <f t="shared" si="725"/>
        <v>#DIV/0!</v>
      </c>
      <c r="BR188" s="117" t="e">
        <f t="shared" ref="BR188:BS188" si="726">BR208/BR228*100</f>
        <v>#DIV/0!</v>
      </c>
      <c r="BS188" s="117" t="e">
        <f t="shared" si="726"/>
        <v>#DIV/0!</v>
      </c>
      <c r="BU188" s="117" t="e">
        <f t="shared" ref="BU188:BV188" si="727">BU208/BU228*100</f>
        <v>#DIV/0!</v>
      </c>
      <c r="BV188" s="117" t="e">
        <f t="shared" si="727"/>
        <v>#DIV/0!</v>
      </c>
      <c r="BX188" s="117" t="e">
        <f t="shared" ref="BX188:BY188" si="728">BX208/BX228*100</f>
        <v>#DIV/0!</v>
      </c>
      <c r="BY188" s="117" t="e">
        <f t="shared" si="728"/>
        <v>#DIV/0!</v>
      </c>
      <c r="CA188" s="117" t="e">
        <f t="shared" ref="CA188:CB188" si="729">CA208/CA228*100</f>
        <v>#DIV/0!</v>
      </c>
      <c r="CB188" s="117" t="e">
        <f t="shared" si="729"/>
        <v>#DIV/0!</v>
      </c>
      <c r="CD188" s="117" t="e">
        <f t="shared" ref="CD188:CE188" si="730">CD208/CD228*100</f>
        <v>#DIV/0!</v>
      </c>
      <c r="CE188" s="117" t="e">
        <f t="shared" si="730"/>
        <v>#DIV/0!</v>
      </c>
      <c r="CG188" s="117" t="e">
        <f t="shared" ref="CG188:CH188" si="731">CG208/CG228*100</f>
        <v>#DIV/0!</v>
      </c>
      <c r="CH188" s="117" t="e">
        <f t="shared" si="731"/>
        <v>#DIV/0!</v>
      </c>
      <c r="CJ188" s="117" t="e">
        <f t="shared" ref="CJ188:CK188" si="732">CJ208/CJ228*100</f>
        <v>#DIV/0!</v>
      </c>
      <c r="CK188" s="117" t="e">
        <f t="shared" si="732"/>
        <v>#DIV/0!</v>
      </c>
      <c r="CM188" s="117" t="e">
        <f t="shared" ref="CM188:CN188" si="733">CM208/CM228*100</f>
        <v>#DIV/0!</v>
      </c>
      <c r="CN188" s="117" t="e">
        <f t="shared" si="733"/>
        <v>#DIV/0!</v>
      </c>
      <c r="CP188" s="117" t="e">
        <f t="shared" ref="CP188:CQ188" si="734">CP208/CP228*100</f>
        <v>#DIV/0!</v>
      </c>
      <c r="CQ188" s="117" t="e">
        <f t="shared" si="734"/>
        <v>#DIV/0!</v>
      </c>
      <c r="CS188" s="117" t="e">
        <f t="shared" ref="CS188:CT188" si="735">CS208/CS228*100</f>
        <v>#DIV/0!</v>
      </c>
      <c r="CT188" s="117" t="e">
        <f t="shared" si="735"/>
        <v>#DIV/0!</v>
      </c>
      <c r="CV188" s="117" t="e">
        <f t="shared" ref="CV188:CW188" si="736">CV208/CV228*100</f>
        <v>#DIV/0!</v>
      </c>
      <c r="CW188" s="117" t="e">
        <f t="shared" si="736"/>
        <v>#DIV/0!</v>
      </c>
      <c r="CY188" s="117" t="e">
        <f t="shared" ref="CY188:CZ188" si="737">CY208/CY228*100</f>
        <v>#DIV/0!</v>
      </c>
      <c r="CZ188" s="117" t="e">
        <f t="shared" si="737"/>
        <v>#DIV/0!</v>
      </c>
      <c r="DB188" s="117" t="e">
        <f t="shared" ref="DB188:DC188" si="738">DB208/DB228*100</f>
        <v>#DIV/0!</v>
      </c>
      <c r="DC188" s="117" t="e">
        <f t="shared" si="738"/>
        <v>#DIV/0!</v>
      </c>
      <c r="DE188" s="117">
        <f t="shared" ref="DE188:DF188" si="739">DE208/DE228*100</f>
        <v>100</v>
      </c>
      <c r="DF188" s="117" t="e">
        <f t="shared" si="739"/>
        <v>#DIV/0!</v>
      </c>
    </row>
    <row r="189" spans="1:110" s="89" customFormat="1" ht="30" x14ac:dyDescent="0.25">
      <c r="A189" s="54"/>
      <c r="B189" s="46" t="s">
        <v>1740</v>
      </c>
      <c r="C189" s="42"/>
      <c r="D189" s="42"/>
      <c r="E189" s="44"/>
      <c r="F189" s="44"/>
      <c r="G189" s="44"/>
      <c r="H189" s="44"/>
      <c r="I189" s="44"/>
      <c r="J189" s="44"/>
      <c r="K189" s="44"/>
      <c r="L189" s="44"/>
      <c r="N189" s="44"/>
      <c r="O189" s="44"/>
      <c r="P189" s="44"/>
      <c r="Q189" s="44"/>
      <c r="S189" s="44"/>
      <c r="T189" s="44"/>
      <c r="V189" s="44"/>
      <c r="W189" s="44"/>
      <c r="Y189" s="44"/>
      <c r="Z189" s="44"/>
      <c r="AB189" s="44"/>
      <c r="AC189" s="44"/>
      <c r="AE189" s="44"/>
      <c r="AF189" s="44"/>
      <c r="AH189" s="44"/>
      <c r="AI189" s="44"/>
      <c r="AK189" s="44"/>
      <c r="AL189" s="44"/>
      <c r="AN189" s="44"/>
      <c r="AO189" s="44"/>
      <c r="AQ189" s="44"/>
      <c r="AR189" s="44"/>
      <c r="AT189" s="44"/>
      <c r="AU189" s="44"/>
      <c r="AW189" s="44"/>
      <c r="AX189" s="44"/>
      <c r="AZ189" s="44"/>
      <c r="BA189" s="44"/>
      <c r="BC189" s="44"/>
      <c r="BD189" s="44"/>
      <c r="BF189" s="44"/>
      <c r="BG189" s="44"/>
      <c r="BI189" s="44"/>
      <c r="BJ189" s="44"/>
      <c r="BL189" s="44"/>
      <c r="BM189" s="44"/>
      <c r="BO189" s="44"/>
      <c r="BP189" s="44"/>
      <c r="BR189" s="44"/>
      <c r="BS189" s="44"/>
      <c r="BU189" s="44"/>
      <c r="BV189" s="44"/>
      <c r="BX189" s="44"/>
      <c r="BY189" s="44"/>
      <c r="CA189" s="44"/>
      <c r="CB189" s="44"/>
      <c r="CD189" s="44"/>
      <c r="CE189" s="44"/>
      <c r="CG189" s="44"/>
      <c r="CH189" s="44"/>
      <c r="CJ189" s="44"/>
      <c r="CK189" s="44"/>
      <c r="CM189" s="44"/>
      <c r="CN189" s="44"/>
      <c r="CP189" s="44"/>
      <c r="CQ189" s="44"/>
      <c r="CS189" s="44"/>
      <c r="CT189" s="44"/>
      <c r="CV189" s="44"/>
      <c r="CW189" s="44"/>
      <c r="CY189" s="44"/>
      <c r="CZ189" s="44"/>
      <c r="DB189" s="44"/>
      <c r="DC189" s="44"/>
      <c r="DE189" s="44"/>
      <c r="DF189" s="44"/>
    </row>
    <row r="190" spans="1:110" s="89" customFormat="1" x14ac:dyDescent="0.25">
      <c r="A190" s="54"/>
      <c r="B190" s="46" t="s">
        <v>180</v>
      </c>
      <c r="C190" s="42"/>
      <c r="D190" s="42"/>
      <c r="E190" s="44"/>
      <c r="F190" s="44"/>
      <c r="G190" s="44"/>
      <c r="H190" s="44"/>
      <c r="I190" s="44"/>
      <c r="J190" s="44"/>
      <c r="K190" s="44"/>
      <c r="L190" s="44"/>
      <c r="N190" s="44"/>
      <c r="O190" s="44"/>
      <c r="P190" s="44"/>
      <c r="Q190" s="44"/>
      <c r="S190" s="44"/>
      <c r="T190" s="44"/>
      <c r="V190" s="44"/>
      <c r="W190" s="44"/>
      <c r="Y190" s="44"/>
      <c r="Z190" s="44"/>
      <c r="AB190" s="44"/>
      <c r="AC190" s="44"/>
      <c r="AE190" s="44"/>
      <c r="AF190" s="44"/>
      <c r="AH190" s="44"/>
      <c r="AI190" s="44"/>
      <c r="AK190" s="44"/>
      <c r="AL190" s="44"/>
      <c r="AN190" s="44"/>
      <c r="AO190" s="44"/>
      <c r="AQ190" s="44"/>
      <c r="AR190" s="44"/>
      <c r="AT190" s="44"/>
      <c r="AU190" s="44"/>
      <c r="AW190" s="44"/>
      <c r="AX190" s="44"/>
      <c r="AZ190" s="44"/>
      <c r="BA190" s="44"/>
      <c r="BC190" s="44"/>
      <c r="BD190" s="44"/>
      <c r="BF190" s="44"/>
      <c r="BG190" s="44"/>
      <c r="BI190" s="44"/>
      <c r="BJ190" s="44"/>
      <c r="BL190" s="44"/>
      <c r="BM190" s="44"/>
      <c r="BO190" s="44"/>
      <c r="BP190" s="44"/>
      <c r="BR190" s="44"/>
      <c r="BS190" s="44"/>
      <c r="BU190" s="44"/>
      <c r="BV190" s="44"/>
      <c r="BX190" s="44"/>
      <c r="BY190" s="44"/>
      <c r="CA190" s="44"/>
      <c r="CB190" s="44"/>
      <c r="CD190" s="44"/>
      <c r="CE190" s="44"/>
      <c r="CG190" s="44"/>
      <c r="CH190" s="44"/>
      <c r="CJ190" s="44"/>
      <c r="CK190" s="44"/>
      <c r="CM190" s="44"/>
      <c r="CN190" s="44"/>
      <c r="CP190" s="44"/>
      <c r="CQ190" s="44"/>
      <c r="CS190" s="44"/>
      <c r="CT190" s="44"/>
      <c r="CV190" s="44"/>
      <c r="CW190" s="44"/>
      <c r="CY190" s="44"/>
      <c r="CZ190" s="44"/>
      <c r="DB190" s="44"/>
      <c r="DC190" s="44"/>
      <c r="DE190" s="44"/>
      <c r="DF190" s="44"/>
    </row>
    <row r="191" spans="1:110" s="89" customFormat="1" x14ac:dyDescent="0.25">
      <c r="A191" s="54"/>
      <c r="B191" s="46" t="s">
        <v>1182</v>
      </c>
      <c r="C191" s="42"/>
      <c r="D191" s="42" t="s">
        <v>8</v>
      </c>
      <c r="E191" s="44"/>
      <c r="F191" s="44"/>
      <c r="G191" s="44"/>
      <c r="H191" s="44"/>
      <c r="I191" s="117">
        <f t="shared" ref="I191:K192" si="740">I211/I221*100</f>
        <v>8.4631360332294925</v>
      </c>
      <c r="J191" s="117">
        <f t="shared" si="740"/>
        <v>8.001988071570576</v>
      </c>
      <c r="K191" s="117">
        <f t="shared" si="740"/>
        <v>8.9103291713961408</v>
      </c>
      <c r="L191" s="117">
        <f t="shared" ref="L191" si="741">L211/L221*100</f>
        <v>8.5642317380352644</v>
      </c>
      <c r="N191" s="117">
        <f t="shared" ref="N191:P192" si="742">N211/N221*100</f>
        <v>8.9103291713961408</v>
      </c>
      <c r="O191" s="117" t="e">
        <f t="shared" si="742"/>
        <v>#DIV/0!</v>
      </c>
      <c r="P191" s="117">
        <f t="shared" ref="P191:Q191" si="743">P211/P221*100</f>
        <v>0</v>
      </c>
      <c r="Q191" s="117" t="e">
        <f t="shared" si="743"/>
        <v>#DIV/0!</v>
      </c>
      <c r="S191" s="117">
        <f t="shared" ref="S191:T192" si="744">S211/S221*100</f>
        <v>11.409395973154362</v>
      </c>
      <c r="T191" s="117" t="e">
        <f t="shared" si="744"/>
        <v>#DIV/0!</v>
      </c>
      <c r="V191" s="117">
        <f t="shared" ref="V191:W191" si="745">V211/V221*100</f>
        <v>22.222222222222221</v>
      </c>
      <c r="W191" s="117" t="e">
        <f t="shared" si="745"/>
        <v>#DIV/0!</v>
      </c>
      <c r="Y191" s="117">
        <f t="shared" ref="Y191:Z192" si="746">Y211/Y221*100</f>
        <v>7.7625570776255701</v>
      </c>
      <c r="Z191" s="117" t="e">
        <f t="shared" si="746"/>
        <v>#DIV/0!</v>
      </c>
      <c r="AB191" s="117">
        <f t="shared" ref="AB191:AC191" si="747">AB211/AB221*100</f>
        <v>2.6785714285714284</v>
      </c>
      <c r="AC191" s="117" t="e">
        <f t="shared" si="747"/>
        <v>#DIV/0!</v>
      </c>
      <c r="AE191" s="117">
        <f t="shared" ref="AE191:AF191" si="748">AE211/AE221*100</f>
        <v>5.2631578947368416</v>
      </c>
      <c r="AF191" s="117" t="e">
        <f t="shared" si="748"/>
        <v>#DIV/0!</v>
      </c>
      <c r="AH191" s="117">
        <f t="shared" ref="AH191:AI191" si="749">AH211/AH221*100</f>
        <v>0</v>
      </c>
      <c r="AI191" s="117" t="e">
        <f t="shared" si="749"/>
        <v>#DIV/0!</v>
      </c>
      <c r="AK191" s="117">
        <f t="shared" ref="AK191:AL191" si="750">AK211/AK221*100</f>
        <v>6.3492063492063489</v>
      </c>
      <c r="AL191" s="117" t="e">
        <f t="shared" si="750"/>
        <v>#DIV/0!</v>
      </c>
      <c r="AN191" s="117">
        <f t="shared" ref="AN191:AO191" si="751">AN211/AN221*100</f>
        <v>3.4482758620689653</v>
      </c>
      <c r="AO191" s="117" t="e">
        <f t="shared" si="751"/>
        <v>#DIV/0!</v>
      </c>
      <c r="AQ191" s="117">
        <f t="shared" ref="AQ191:AR191" si="752">AQ211/AQ221*100</f>
        <v>5.2631578947368416</v>
      </c>
      <c r="AR191" s="117" t="e">
        <f t="shared" si="752"/>
        <v>#DIV/0!</v>
      </c>
      <c r="AT191" s="117">
        <f t="shared" ref="AT191:AU191" si="753">AT211/AT221*100</f>
        <v>5.8823529411764701</v>
      </c>
      <c r="AU191" s="117" t="e">
        <f t="shared" si="753"/>
        <v>#DIV/0!</v>
      </c>
      <c r="AW191" s="117">
        <f t="shared" ref="AW191:AX191" si="754">AW211/AW221*100</f>
        <v>2.2727272727272729</v>
      </c>
      <c r="AX191" s="117" t="e">
        <f t="shared" si="754"/>
        <v>#DIV/0!</v>
      </c>
      <c r="AZ191" s="117">
        <f t="shared" ref="AZ191:BA191" si="755">AZ211/AZ221*100</f>
        <v>16.666666666666664</v>
      </c>
      <c r="BA191" s="117" t="e">
        <f t="shared" si="755"/>
        <v>#DIV/0!</v>
      </c>
      <c r="BC191" s="117">
        <f t="shared" ref="BC191:BD191" si="756">BC211/BC221*100</f>
        <v>3.9215686274509802</v>
      </c>
      <c r="BD191" s="117" t="e">
        <f t="shared" si="756"/>
        <v>#DIV/0!</v>
      </c>
      <c r="BF191" s="117">
        <f t="shared" ref="BF191:BG191" si="757">BF211/BF221*100</f>
        <v>10.666666666666668</v>
      </c>
      <c r="BG191" s="117" t="e">
        <f t="shared" si="757"/>
        <v>#DIV/0!</v>
      </c>
      <c r="BI191" s="117">
        <f t="shared" ref="BI191:BJ191" si="758">BI211/BI221*100</f>
        <v>13.23529411764706</v>
      </c>
      <c r="BJ191" s="117" t="e">
        <f t="shared" si="758"/>
        <v>#DIV/0!</v>
      </c>
      <c r="BL191" s="117">
        <f t="shared" ref="BL191:BM191" si="759">BL211/BL221*100</f>
        <v>8</v>
      </c>
      <c r="BM191" s="117" t="e">
        <f t="shared" si="759"/>
        <v>#DIV/0!</v>
      </c>
      <c r="BO191" s="117">
        <f t="shared" ref="BO191:BP191" si="760">BO211/BO221*100</f>
        <v>22.222222222222221</v>
      </c>
      <c r="BP191" s="117" t="e">
        <f t="shared" si="760"/>
        <v>#DIV/0!</v>
      </c>
      <c r="BR191" s="117">
        <f t="shared" ref="BR191:BS191" si="761">BR211/BR221*100</f>
        <v>13.333333333333334</v>
      </c>
      <c r="BS191" s="117" t="e">
        <f t="shared" si="761"/>
        <v>#DIV/0!</v>
      </c>
      <c r="BU191" s="117">
        <f t="shared" ref="BU191:BV191" si="762">BU211/BU221*100</f>
        <v>1.6129032258064515</v>
      </c>
      <c r="BV191" s="117" t="e">
        <f t="shared" si="762"/>
        <v>#DIV/0!</v>
      </c>
      <c r="BX191" s="117">
        <f t="shared" ref="BX191:BY191" si="763">BX211/BX221*100</f>
        <v>11.538461538461538</v>
      </c>
      <c r="BY191" s="117" t="e">
        <f t="shared" si="763"/>
        <v>#DIV/0!</v>
      </c>
      <c r="CA191" s="117">
        <f t="shared" ref="CA191:CB191" si="764">CA211/CA221*100</f>
        <v>9.0909090909090917</v>
      </c>
      <c r="CB191" s="117" t="e">
        <f t="shared" si="764"/>
        <v>#DIV/0!</v>
      </c>
      <c r="CD191" s="117">
        <f t="shared" ref="CD191:CE191" si="765">CD211/CD221*100</f>
        <v>0</v>
      </c>
      <c r="CE191" s="117" t="e">
        <f t="shared" si="765"/>
        <v>#DIV/0!</v>
      </c>
      <c r="CG191" s="117">
        <f t="shared" ref="CG191:CH191" si="766">CG211/CG221*100</f>
        <v>18.918918918918919</v>
      </c>
      <c r="CH191" s="117" t="e">
        <f t="shared" si="766"/>
        <v>#DIV/0!</v>
      </c>
      <c r="CJ191" s="117">
        <f t="shared" ref="CJ191:CK191" si="767">CJ211/CJ221*100</f>
        <v>0</v>
      </c>
      <c r="CK191" s="117" t="e">
        <f t="shared" si="767"/>
        <v>#DIV/0!</v>
      </c>
      <c r="CM191" s="117" t="e">
        <f t="shared" ref="CM191:CN191" si="768">CM211/CM221*100</f>
        <v>#DIV/0!</v>
      </c>
      <c r="CN191" s="117" t="e">
        <f t="shared" si="768"/>
        <v>#DIV/0!</v>
      </c>
      <c r="CP191" s="117" t="e">
        <f t="shared" ref="CP191:CQ191" si="769">CP211/CP221*100</f>
        <v>#DIV/0!</v>
      </c>
      <c r="CQ191" s="117" t="e">
        <f t="shared" si="769"/>
        <v>#DIV/0!</v>
      </c>
      <c r="CS191" s="117">
        <f t="shared" ref="CS191:CT191" si="770">CS211/CS221*100</f>
        <v>2.2222222222222223</v>
      </c>
      <c r="CT191" s="117" t="e">
        <f t="shared" si="770"/>
        <v>#DIV/0!</v>
      </c>
      <c r="CV191" s="117">
        <f t="shared" ref="CV191:CW191" si="771">CV211/CV221*100</f>
        <v>0</v>
      </c>
      <c r="CW191" s="117" t="e">
        <f t="shared" si="771"/>
        <v>#DIV/0!</v>
      </c>
      <c r="CY191" s="117">
        <f t="shared" ref="CY191:CZ191" si="772">CY211/CY221*100</f>
        <v>11.39240506329114</v>
      </c>
      <c r="CZ191" s="117" t="e">
        <f t="shared" si="772"/>
        <v>#DIV/0!</v>
      </c>
      <c r="DB191" s="117">
        <f t="shared" ref="DB191:DC191" si="773">DB211/DB221*100</f>
        <v>0</v>
      </c>
      <c r="DC191" s="117" t="e">
        <f t="shared" si="773"/>
        <v>#DIV/0!</v>
      </c>
      <c r="DE191" s="117" t="e">
        <f t="shared" ref="DE191:DF191" si="774">DE211/DE221*100</f>
        <v>#DIV/0!</v>
      </c>
      <c r="DF191" s="117" t="e">
        <f t="shared" si="774"/>
        <v>#DIV/0!</v>
      </c>
    </row>
    <row r="192" spans="1:110" s="89" customFormat="1" x14ac:dyDescent="0.25">
      <c r="A192" s="54"/>
      <c r="B192" s="46" t="s">
        <v>1184</v>
      </c>
      <c r="C192" s="42"/>
      <c r="D192" s="42" t="s">
        <v>8</v>
      </c>
      <c r="E192" s="44"/>
      <c r="F192" s="44"/>
      <c r="G192" s="44"/>
      <c r="H192" s="44"/>
      <c r="I192" s="117">
        <f t="shared" si="740"/>
        <v>0</v>
      </c>
      <c r="J192" s="117">
        <f t="shared" si="740"/>
        <v>1.5873015873015872</v>
      </c>
      <c r="K192" s="117">
        <f t="shared" si="740"/>
        <v>1.2345679012345678</v>
      </c>
      <c r="L192" s="117">
        <f t="shared" ref="L192" si="775">L212/L222*100</f>
        <v>0.78740157480314954</v>
      </c>
      <c r="N192" s="117">
        <f t="shared" ref="N192" si="776">N212/N222*100</f>
        <v>1.2345679012345678</v>
      </c>
      <c r="O192" s="117" t="e">
        <f t="shared" si="742"/>
        <v>#DIV/0!</v>
      </c>
      <c r="P192" s="117" t="e">
        <f t="shared" si="742"/>
        <v>#DIV/0!</v>
      </c>
      <c r="Q192" s="117" t="e">
        <f t="shared" ref="Q192" si="777">Q212/Q222*100</f>
        <v>#DIV/0!</v>
      </c>
      <c r="S192" s="117" t="e">
        <f t="shared" ref="S192" si="778">S212/S222*100</f>
        <v>#DIV/0!</v>
      </c>
      <c r="T192" s="117" t="e">
        <f t="shared" si="744"/>
        <v>#DIV/0!</v>
      </c>
      <c r="V192" s="117" t="e">
        <f t="shared" ref="V192:W192" si="779">V212/V222*100</f>
        <v>#DIV/0!</v>
      </c>
      <c r="W192" s="117" t="e">
        <f t="shared" si="779"/>
        <v>#DIV/0!</v>
      </c>
      <c r="Y192" s="117" t="e">
        <f t="shared" ref="Y192" si="780">Y212/Y222*100</f>
        <v>#DIV/0!</v>
      </c>
      <c r="Z192" s="117" t="e">
        <f t="shared" si="746"/>
        <v>#DIV/0!</v>
      </c>
      <c r="AB192" s="117" t="e">
        <f t="shared" ref="AB192:AC192" si="781">AB212/AB222*100</f>
        <v>#DIV/0!</v>
      </c>
      <c r="AC192" s="117" t="e">
        <f t="shared" si="781"/>
        <v>#DIV/0!</v>
      </c>
      <c r="AE192" s="117" t="e">
        <f t="shared" ref="AE192:AF192" si="782">AE212/AE222*100</f>
        <v>#DIV/0!</v>
      </c>
      <c r="AF192" s="117" t="e">
        <f t="shared" si="782"/>
        <v>#DIV/0!</v>
      </c>
      <c r="AH192" s="117" t="e">
        <f t="shared" ref="AH192:AI192" si="783">AH212/AH222*100</f>
        <v>#DIV/0!</v>
      </c>
      <c r="AI192" s="117" t="e">
        <f t="shared" si="783"/>
        <v>#DIV/0!</v>
      </c>
      <c r="AK192" s="117" t="e">
        <f t="shared" ref="AK192:AL192" si="784">AK212/AK222*100</f>
        <v>#DIV/0!</v>
      </c>
      <c r="AL192" s="117" t="e">
        <f t="shared" si="784"/>
        <v>#DIV/0!</v>
      </c>
      <c r="AN192" s="117" t="e">
        <f t="shared" ref="AN192:AO192" si="785">AN212/AN222*100</f>
        <v>#DIV/0!</v>
      </c>
      <c r="AO192" s="117" t="e">
        <f t="shared" si="785"/>
        <v>#DIV/0!</v>
      </c>
      <c r="AQ192" s="117" t="e">
        <f t="shared" ref="AQ192:AR192" si="786">AQ212/AQ222*100</f>
        <v>#DIV/0!</v>
      </c>
      <c r="AR192" s="117" t="e">
        <f t="shared" si="786"/>
        <v>#DIV/0!</v>
      </c>
      <c r="AT192" s="117" t="e">
        <f t="shared" ref="AT192:AU192" si="787">AT212/AT222*100</f>
        <v>#DIV/0!</v>
      </c>
      <c r="AU192" s="117" t="e">
        <f t="shared" si="787"/>
        <v>#DIV/0!</v>
      </c>
      <c r="AW192" s="117" t="e">
        <f t="shared" ref="AW192:AX192" si="788">AW212/AW222*100</f>
        <v>#DIV/0!</v>
      </c>
      <c r="AX192" s="117" t="e">
        <f t="shared" si="788"/>
        <v>#DIV/0!</v>
      </c>
      <c r="AZ192" s="117" t="e">
        <f t="shared" ref="AZ192:BA192" si="789">AZ212/AZ222*100</f>
        <v>#DIV/0!</v>
      </c>
      <c r="BA192" s="117" t="e">
        <f t="shared" si="789"/>
        <v>#DIV/0!</v>
      </c>
      <c r="BC192" s="117" t="e">
        <f t="shared" ref="BC192:BD192" si="790">BC212/BC222*100</f>
        <v>#DIV/0!</v>
      </c>
      <c r="BD192" s="117" t="e">
        <f t="shared" si="790"/>
        <v>#DIV/0!</v>
      </c>
      <c r="BF192" s="117" t="e">
        <f t="shared" ref="BF192:BG192" si="791">BF212/BF222*100</f>
        <v>#DIV/0!</v>
      </c>
      <c r="BG192" s="117" t="e">
        <f t="shared" si="791"/>
        <v>#DIV/0!</v>
      </c>
      <c r="BI192" s="117" t="e">
        <f t="shared" ref="BI192:BJ192" si="792">BI212/BI222*100</f>
        <v>#DIV/0!</v>
      </c>
      <c r="BJ192" s="117" t="e">
        <f t="shared" si="792"/>
        <v>#DIV/0!</v>
      </c>
      <c r="BL192" s="117" t="e">
        <f t="shared" ref="BL192:BM192" si="793">BL212/BL222*100</f>
        <v>#DIV/0!</v>
      </c>
      <c r="BM192" s="117" t="e">
        <f t="shared" si="793"/>
        <v>#DIV/0!</v>
      </c>
      <c r="BO192" s="117" t="e">
        <f t="shared" ref="BO192:BP192" si="794">BO212/BO222*100</f>
        <v>#DIV/0!</v>
      </c>
      <c r="BP192" s="117" t="e">
        <f t="shared" si="794"/>
        <v>#DIV/0!</v>
      </c>
      <c r="BR192" s="117" t="e">
        <f t="shared" ref="BR192:BS192" si="795">BR212/BR222*100</f>
        <v>#DIV/0!</v>
      </c>
      <c r="BS192" s="117" t="e">
        <f t="shared" si="795"/>
        <v>#DIV/0!</v>
      </c>
      <c r="BU192" s="117" t="e">
        <f t="shared" ref="BU192:BV192" si="796">BU212/BU222*100</f>
        <v>#DIV/0!</v>
      </c>
      <c r="BV192" s="117" t="e">
        <f t="shared" si="796"/>
        <v>#DIV/0!</v>
      </c>
      <c r="BX192" s="117" t="e">
        <f t="shared" ref="BX192:BY192" si="797">BX212/BX222*100</f>
        <v>#DIV/0!</v>
      </c>
      <c r="BY192" s="117" t="e">
        <f t="shared" si="797"/>
        <v>#DIV/0!</v>
      </c>
      <c r="CA192" s="117" t="e">
        <f t="shared" ref="CA192:CB192" si="798">CA212/CA222*100</f>
        <v>#DIV/0!</v>
      </c>
      <c r="CB192" s="117" t="e">
        <f t="shared" si="798"/>
        <v>#DIV/0!</v>
      </c>
      <c r="CD192" s="117" t="e">
        <f t="shared" ref="CD192:CE192" si="799">CD212/CD222*100</f>
        <v>#DIV/0!</v>
      </c>
      <c r="CE192" s="117" t="e">
        <f t="shared" si="799"/>
        <v>#DIV/0!</v>
      </c>
      <c r="CG192" s="117" t="e">
        <f t="shared" ref="CG192:CH192" si="800">CG212/CG222*100</f>
        <v>#DIV/0!</v>
      </c>
      <c r="CH192" s="117" t="e">
        <f t="shared" si="800"/>
        <v>#DIV/0!</v>
      </c>
      <c r="CJ192" s="117" t="e">
        <f t="shared" ref="CJ192:CK192" si="801">CJ212/CJ222*100</f>
        <v>#DIV/0!</v>
      </c>
      <c r="CK192" s="117" t="e">
        <f t="shared" si="801"/>
        <v>#DIV/0!</v>
      </c>
      <c r="CM192" s="117" t="e">
        <f t="shared" ref="CM192:CN192" si="802">CM212/CM222*100</f>
        <v>#DIV/0!</v>
      </c>
      <c r="CN192" s="117" t="e">
        <f t="shared" si="802"/>
        <v>#DIV/0!</v>
      </c>
      <c r="CP192" s="117" t="e">
        <f t="shared" ref="CP192:CQ192" si="803">CP212/CP222*100</f>
        <v>#DIV/0!</v>
      </c>
      <c r="CQ192" s="117" t="e">
        <f t="shared" si="803"/>
        <v>#DIV/0!</v>
      </c>
      <c r="CS192" s="117" t="e">
        <f t="shared" ref="CS192:CT192" si="804">CS212/CS222*100</f>
        <v>#DIV/0!</v>
      </c>
      <c r="CT192" s="117" t="e">
        <f t="shared" si="804"/>
        <v>#DIV/0!</v>
      </c>
      <c r="CV192" s="117" t="e">
        <f t="shared" ref="CV192:CW192" si="805">CV212/CV222*100</f>
        <v>#DIV/0!</v>
      </c>
      <c r="CW192" s="117" t="e">
        <f t="shared" si="805"/>
        <v>#DIV/0!</v>
      </c>
      <c r="CY192" s="117" t="e">
        <f t="shared" ref="CY192:CZ192" si="806">CY212/CY222*100</f>
        <v>#DIV/0!</v>
      </c>
      <c r="CZ192" s="117" t="e">
        <f t="shared" si="806"/>
        <v>#DIV/0!</v>
      </c>
      <c r="DB192" s="117" t="e">
        <f t="shared" ref="DB192:DC192" si="807">DB212/DB222*100</f>
        <v>#DIV/0!</v>
      </c>
      <c r="DC192" s="117" t="e">
        <f t="shared" si="807"/>
        <v>#DIV/0!</v>
      </c>
      <c r="DE192" s="117">
        <f>DE212/DE222*100</f>
        <v>1.2345679012345678</v>
      </c>
      <c r="DF192" s="117" t="e">
        <f t="shared" ref="DF192" si="808">DF212/DF222*100</f>
        <v>#DIV/0!</v>
      </c>
    </row>
    <row r="193" spans="1:110" s="89" customFormat="1" x14ac:dyDescent="0.25">
      <c r="A193" s="54"/>
      <c r="B193" s="46" t="s">
        <v>382</v>
      </c>
      <c r="C193" s="42"/>
      <c r="D193" s="42"/>
      <c r="E193" s="44"/>
      <c r="F193" s="44"/>
      <c r="G193" s="44"/>
      <c r="H193" s="44"/>
      <c r="I193" s="44"/>
      <c r="J193" s="44"/>
      <c r="K193" s="44"/>
      <c r="L193" s="44"/>
      <c r="N193" s="44"/>
      <c r="O193" s="44"/>
      <c r="P193" s="44"/>
      <c r="Q193" s="44"/>
      <c r="S193" s="44"/>
      <c r="T193" s="44"/>
      <c r="V193" s="44"/>
      <c r="W193" s="44"/>
      <c r="Y193" s="44"/>
      <c r="Z193" s="44"/>
      <c r="AB193" s="44"/>
      <c r="AC193" s="44"/>
      <c r="AE193" s="44"/>
      <c r="AF193" s="44"/>
      <c r="AH193" s="44"/>
      <c r="AI193" s="44"/>
      <c r="AK193" s="44"/>
      <c r="AL193" s="44"/>
      <c r="AN193" s="44"/>
      <c r="AO193" s="44"/>
      <c r="AQ193" s="44"/>
      <c r="AR193" s="44"/>
      <c r="AT193" s="44"/>
      <c r="AU193" s="44"/>
      <c r="AW193" s="44"/>
      <c r="AX193" s="44"/>
      <c r="AZ193" s="44"/>
      <c r="BA193" s="44"/>
      <c r="BC193" s="44"/>
      <c r="BD193" s="44"/>
      <c r="BF193" s="44"/>
      <c r="BG193" s="44"/>
      <c r="BI193" s="44"/>
      <c r="BJ193" s="44"/>
      <c r="BL193" s="44"/>
      <c r="BM193" s="44"/>
      <c r="BO193" s="44"/>
      <c r="BP193" s="44"/>
      <c r="BR193" s="44"/>
      <c r="BS193" s="44"/>
      <c r="BU193" s="44"/>
      <c r="BV193" s="44"/>
      <c r="BX193" s="44"/>
      <c r="BY193" s="44"/>
      <c r="CA193" s="44"/>
      <c r="CB193" s="44"/>
      <c r="CD193" s="44"/>
      <c r="CE193" s="44"/>
      <c r="CG193" s="44"/>
      <c r="CH193" s="44"/>
      <c r="CJ193" s="44"/>
      <c r="CK193" s="44"/>
      <c r="CM193" s="44"/>
      <c r="CN193" s="44"/>
      <c r="CP193" s="44"/>
      <c r="CQ193" s="44"/>
      <c r="CS193" s="44"/>
      <c r="CT193" s="44"/>
      <c r="CV193" s="44"/>
      <c r="CW193" s="44"/>
      <c r="CY193" s="44"/>
      <c r="CZ193" s="44"/>
      <c r="DB193" s="44"/>
      <c r="DC193" s="44"/>
      <c r="DE193" s="44"/>
      <c r="DF193" s="44"/>
    </row>
    <row r="194" spans="1:110" s="89" customFormat="1" x14ac:dyDescent="0.25">
      <c r="A194" s="54"/>
      <c r="B194" s="46" t="s">
        <v>1182</v>
      </c>
      <c r="C194" s="42"/>
      <c r="D194" s="42" t="s">
        <v>8</v>
      </c>
      <c r="E194" s="44"/>
      <c r="F194" s="44"/>
      <c r="G194" s="44"/>
      <c r="H194" s="44"/>
      <c r="I194" s="117">
        <f>I214/I224*100</f>
        <v>1.5510204081632653</v>
      </c>
      <c r="J194" s="117">
        <f>J214/J224*100</f>
        <v>1.4925373134328357</v>
      </c>
      <c r="K194" s="117">
        <f>K214/K224*100</f>
        <v>1.8501387604070305</v>
      </c>
      <c r="L194" s="117">
        <f>L214/L224*100</f>
        <v>1.5847860538827259</v>
      </c>
      <c r="N194" s="117">
        <f>N214/N224*100</f>
        <v>1.8501387604070305</v>
      </c>
      <c r="O194" s="117" t="e">
        <f>O214/O224*100</f>
        <v>#DIV/0!</v>
      </c>
      <c r="P194" s="117">
        <f>P214/P224*100</f>
        <v>0</v>
      </c>
      <c r="Q194" s="117" t="e">
        <f>Q214/Q224*100</f>
        <v>#DIV/0!</v>
      </c>
      <c r="S194" s="117">
        <f>S214/S224*100</f>
        <v>2.3255813953488373</v>
      </c>
      <c r="T194" s="117" t="e">
        <f>T214/T224*100</f>
        <v>#DIV/0!</v>
      </c>
      <c r="V194" s="117">
        <f>V214/V224*100</f>
        <v>2.4390243902439024</v>
      </c>
      <c r="W194" s="117" t="e">
        <f>W214/W224*100</f>
        <v>#DIV/0!</v>
      </c>
      <c r="Y194" s="117">
        <f>Y214/Y224*100</f>
        <v>1.0526315789473684</v>
      </c>
      <c r="Z194" s="117" t="e">
        <f>Z214/Z224*100</f>
        <v>#DIV/0!</v>
      </c>
      <c r="AB194" s="117">
        <f>AB214/AB224*100</f>
        <v>0</v>
      </c>
      <c r="AC194" s="117" t="e">
        <f>AC214/AC224*100</f>
        <v>#DIV/0!</v>
      </c>
      <c r="AE194" s="117">
        <f>AE214/AE224*100</f>
        <v>5.6179775280898872</v>
      </c>
      <c r="AF194" s="117" t="e">
        <f>AF214/AF224*100</f>
        <v>#DIV/0!</v>
      </c>
      <c r="AH194" s="117">
        <f>AH214/AH224*100</f>
        <v>0</v>
      </c>
      <c r="AI194" s="117" t="e">
        <f>AI214/AI224*100</f>
        <v>#DIV/0!</v>
      </c>
      <c r="AK194" s="117">
        <f>AK214/AK224*100</f>
        <v>5.4054054054054053</v>
      </c>
      <c r="AL194" s="117" t="e">
        <f>AL214/AL224*100</f>
        <v>#DIV/0!</v>
      </c>
      <c r="AN194" s="117">
        <f>AN214/AN224*100</f>
        <v>0</v>
      </c>
      <c r="AO194" s="117" t="e">
        <f>AO214/AO224*100</f>
        <v>#DIV/0!</v>
      </c>
      <c r="AQ194" s="117">
        <f>AQ214/AQ224*100</f>
        <v>2.9411764705882351</v>
      </c>
      <c r="AR194" s="117" t="e">
        <f>AR214/AR224*100</f>
        <v>#DIV/0!</v>
      </c>
      <c r="AT194" s="117">
        <f>AT214/AT224*100</f>
        <v>0</v>
      </c>
      <c r="AU194" s="117" t="e">
        <f>AU214/AU224*100</f>
        <v>#DIV/0!</v>
      </c>
      <c r="AW194" s="117">
        <f>AW214/AW224*100</f>
        <v>0</v>
      </c>
      <c r="AX194" s="117" t="e">
        <f>AX214/AX224*100</f>
        <v>#DIV/0!</v>
      </c>
      <c r="AZ194" s="117">
        <f>AZ214/AZ224*100</f>
        <v>1.9607843137254901</v>
      </c>
      <c r="BA194" s="117" t="e">
        <f>BA214/BA224*100</f>
        <v>#DIV/0!</v>
      </c>
      <c r="BC194" s="117">
        <f>BC214/BC224*100</f>
        <v>1.1111111111111112</v>
      </c>
      <c r="BD194" s="117" t="e">
        <f>BD214/BD224*100</f>
        <v>#DIV/0!</v>
      </c>
      <c r="BF194" s="117">
        <f>BF214/BF224*100</f>
        <v>0</v>
      </c>
      <c r="BG194" s="117" t="e">
        <f>BG214/BG224*100</f>
        <v>#DIV/0!</v>
      </c>
      <c r="BI194" s="117">
        <f>BI214/BI224*100</f>
        <v>0</v>
      </c>
      <c r="BJ194" s="117" t="e">
        <f>BJ214/BJ224*100</f>
        <v>#DIV/0!</v>
      </c>
      <c r="BL194" s="117">
        <f>BL214/BL224*100</f>
        <v>5.7142857142857144</v>
      </c>
      <c r="BM194" s="117" t="e">
        <f>BM214/BM224*100</f>
        <v>#DIV/0!</v>
      </c>
      <c r="BO194" s="117">
        <f>BO214/BO224*100</f>
        <v>0</v>
      </c>
      <c r="BP194" s="117" t="e">
        <f>BP214/BP224*100</f>
        <v>#DIV/0!</v>
      </c>
      <c r="BR194" s="117">
        <f>BR214/BR224*100</f>
        <v>0</v>
      </c>
      <c r="BS194" s="117" t="e">
        <f>BS214/BS224*100</f>
        <v>#DIV/0!</v>
      </c>
      <c r="BU194" s="117">
        <f>BU214/BU224*100</f>
        <v>0</v>
      </c>
      <c r="BV194" s="117" t="e">
        <f>BV214/BV224*100</f>
        <v>#DIV/0!</v>
      </c>
      <c r="BX194" s="117">
        <f>BX214/BX224*100</f>
        <v>0</v>
      </c>
      <c r="BY194" s="117" t="e">
        <f>BY214/BY224*100</f>
        <v>#DIV/0!</v>
      </c>
      <c r="CA194" s="117">
        <f>CA214/CA224*100</f>
        <v>2.3809523809523809</v>
      </c>
      <c r="CB194" s="117" t="e">
        <f>CB214/CB224*100</f>
        <v>#DIV/0!</v>
      </c>
      <c r="CD194" s="117">
        <f>CD214/CD224*100</f>
        <v>0</v>
      </c>
      <c r="CE194" s="117" t="e">
        <f>CE214/CE224*100</f>
        <v>#DIV/0!</v>
      </c>
      <c r="CG194" s="117">
        <f>CG214/CG224*100</f>
        <v>7.8947368421052628</v>
      </c>
      <c r="CH194" s="117" t="e">
        <f>CH214/CH224*100</f>
        <v>#DIV/0!</v>
      </c>
      <c r="CJ194" s="117">
        <f>CJ214/CJ224*100</f>
        <v>0</v>
      </c>
      <c r="CK194" s="117" t="e">
        <f>CK214/CK224*100</f>
        <v>#DIV/0!</v>
      </c>
      <c r="CM194" s="117" t="e">
        <f>CM214/CM224*100</f>
        <v>#DIV/0!</v>
      </c>
      <c r="CN194" s="117" t="e">
        <f>CN214/CN224*100</f>
        <v>#DIV/0!</v>
      </c>
      <c r="CP194" s="117" t="e">
        <f>CP214/CP224*100</f>
        <v>#DIV/0!</v>
      </c>
      <c r="CQ194" s="117" t="e">
        <f>CQ214/CQ224*100</f>
        <v>#DIV/0!</v>
      </c>
      <c r="CS194" s="117">
        <f>CS214/CS224*100</f>
        <v>0</v>
      </c>
      <c r="CT194" s="117" t="e">
        <f>CT214/CT224*100</f>
        <v>#DIV/0!</v>
      </c>
      <c r="CV194" s="117">
        <f>CV214/CV224*100</f>
        <v>0</v>
      </c>
      <c r="CW194" s="117" t="e">
        <f>CW214/CW224*100</f>
        <v>#DIV/0!</v>
      </c>
      <c r="CY194" s="117">
        <f>CY214/CY224*100</f>
        <v>0</v>
      </c>
      <c r="CZ194" s="117" t="e">
        <f>CZ214/CZ224*100</f>
        <v>#DIV/0!</v>
      </c>
      <c r="DB194" s="117">
        <f>DB214/DB224*100</f>
        <v>0</v>
      </c>
      <c r="DC194" s="117" t="e">
        <f>DC214/DC224*100</f>
        <v>#DIV/0!</v>
      </c>
      <c r="DE194" s="117" t="e">
        <f>DE214/DE224*100</f>
        <v>#DIV/0!</v>
      </c>
      <c r="DF194" s="117" t="e">
        <f>DF214/DF224*100</f>
        <v>#DIV/0!</v>
      </c>
    </row>
    <row r="195" spans="1:110" s="89" customFormat="1" x14ac:dyDescent="0.25">
      <c r="A195" s="54"/>
      <c r="B195" s="46" t="s">
        <v>1184</v>
      </c>
      <c r="C195" s="42"/>
      <c r="D195" s="42" t="s">
        <v>8</v>
      </c>
      <c r="E195" s="44"/>
      <c r="F195" s="44"/>
      <c r="G195" s="44"/>
      <c r="H195" s="44"/>
      <c r="I195" s="117" t="e">
        <f>I218/I228*100</f>
        <v>#DIV/0!</v>
      </c>
      <c r="J195" s="117" t="e">
        <f>J218/J228*100</f>
        <v>#DIV/0!</v>
      </c>
      <c r="K195" s="117">
        <f>K218/K228*100</f>
        <v>0</v>
      </c>
      <c r="L195" s="117">
        <f>L218/L228*100</f>
        <v>0</v>
      </c>
      <c r="N195" s="117">
        <f>N218/N228*100</f>
        <v>0</v>
      </c>
      <c r="O195" s="117" t="e">
        <f>O218/O228*100</f>
        <v>#DIV/0!</v>
      </c>
      <c r="P195" s="117" t="e">
        <f>P218/P228*100</f>
        <v>#DIV/0!</v>
      </c>
      <c r="Q195" s="117" t="e">
        <f>Q218/Q228*100</f>
        <v>#DIV/0!</v>
      </c>
      <c r="S195" s="117" t="e">
        <f>S218/S228*100</f>
        <v>#DIV/0!</v>
      </c>
      <c r="T195" s="117" t="e">
        <f>T218/T228*100</f>
        <v>#DIV/0!</v>
      </c>
      <c r="V195" s="117" t="e">
        <f>V218/V228*100</f>
        <v>#DIV/0!</v>
      </c>
      <c r="W195" s="117" t="e">
        <f>W218/W228*100</f>
        <v>#DIV/0!</v>
      </c>
      <c r="Y195" s="117" t="e">
        <f>Y218/Y228*100</f>
        <v>#DIV/0!</v>
      </c>
      <c r="Z195" s="117" t="e">
        <f>Z218/Z228*100</f>
        <v>#DIV/0!</v>
      </c>
      <c r="AB195" s="117" t="e">
        <f>AB218/AB228*100</f>
        <v>#DIV/0!</v>
      </c>
      <c r="AC195" s="117" t="e">
        <f>AC218/AC228*100</f>
        <v>#DIV/0!</v>
      </c>
      <c r="AE195" s="117" t="e">
        <f>AE218/AE228*100</f>
        <v>#DIV/0!</v>
      </c>
      <c r="AF195" s="117" t="e">
        <f>AF218/AF228*100</f>
        <v>#DIV/0!</v>
      </c>
      <c r="AH195" s="117" t="e">
        <f>AH218/AH228*100</f>
        <v>#DIV/0!</v>
      </c>
      <c r="AI195" s="117" t="e">
        <f>AI218/AI228*100</f>
        <v>#DIV/0!</v>
      </c>
      <c r="AK195" s="117" t="e">
        <f>AK218/AK228*100</f>
        <v>#DIV/0!</v>
      </c>
      <c r="AL195" s="117" t="e">
        <f>AL218/AL228*100</f>
        <v>#DIV/0!</v>
      </c>
      <c r="AN195" s="117" t="e">
        <f>AN218/AN228*100</f>
        <v>#DIV/0!</v>
      </c>
      <c r="AO195" s="117" t="e">
        <f>AO218/AO228*100</f>
        <v>#DIV/0!</v>
      </c>
      <c r="AQ195" s="117" t="e">
        <f>AQ218/AQ228*100</f>
        <v>#DIV/0!</v>
      </c>
      <c r="AR195" s="117" t="e">
        <f>AR218/AR228*100</f>
        <v>#DIV/0!</v>
      </c>
      <c r="AT195" s="117" t="e">
        <f>AT218/AT228*100</f>
        <v>#DIV/0!</v>
      </c>
      <c r="AU195" s="117" t="e">
        <f>AU218/AU228*100</f>
        <v>#DIV/0!</v>
      </c>
      <c r="AW195" s="117" t="e">
        <f>AW218/AW228*100</f>
        <v>#DIV/0!</v>
      </c>
      <c r="AX195" s="117" t="e">
        <f>AX218/AX228*100</f>
        <v>#DIV/0!</v>
      </c>
      <c r="AZ195" s="117" t="e">
        <f>AZ218/AZ228*100</f>
        <v>#DIV/0!</v>
      </c>
      <c r="BA195" s="117" t="e">
        <f>BA218/BA228*100</f>
        <v>#DIV/0!</v>
      </c>
      <c r="BC195" s="117" t="e">
        <f>BC218/BC228*100</f>
        <v>#DIV/0!</v>
      </c>
      <c r="BD195" s="117" t="e">
        <f>BD218/BD228*100</f>
        <v>#DIV/0!</v>
      </c>
      <c r="BF195" s="117" t="e">
        <f>BF218/BF228*100</f>
        <v>#DIV/0!</v>
      </c>
      <c r="BG195" s="117" t="e">
        <f>BG218/BG228*100</f>
        <v>#DIV/0!</v>
      </c>
      <c r="BI195" s="117" t="e">
        <f>BI218/BI228*100</f>
        <v>#DIV/0!</v>
      </c>
      <c r="BJ195" s="117" t="e">
        <f>BJ218/BJ228*100</f>
        <v>#DIV/0!</v>
      </c>
      <c r="BL195" s="117" t="e">
        <f>BL218/BL228*100</f>
        <v>#DIV/0!</v>
      </c>
      <c r="BM195" s="117" t="e">
        <f>BM218/BM228*100</f>
        <v>#DIV/0!</v>
      </c>
      <c r="BO195" s="117" t="e">
        <f>BO218/BO228*100</f>
        <v>#DIV/0!</v>
      </c>
      <c r="BP195" s="117" t="e">
        <f>BP218/BP228*100</f>
        <v>#DIV/0!</v>
      </c>
      <c r="BR195" s="117" t="e">
        <f>BR218/BR228*100</f>
        <v>#DIV/0!</v>
      </c>
      <c r="BS195" s="117" t="e">
        <f>BS218/BS228*100</f>
        <v>#DIV/0!</v>
      </c>
      <c r="BU195" s="117" t="e">
        <f>BU218/BU228*100</f>
        <v>#DIV/0!</v>
      </c>
      <c r="BV195" s="117" t="e">
        <f>BV218/BV228*100</f>
        <v>#DIV/0!</v>
      </c>
      <c r="BX195" s="117" t="e">
        <f>BX218/BX228*100</f>
        <v>#DIV/0!</v>
      </c>
      <c r="BY195" s="117" t="e">
        <f>BY218/BY228*100</f>
        <v>#DIV/0!</v>
      </c>
      <c r="CA195" s="117" t="e">
        <f>CA218/CA228*100</f>
        <v>#DIV/0!</v>
      </c>
      <c r="CB195" s="117" t="e">
        <f>CB218/CB228*100</f>
        <v>#DIV/0!</v>
      </c>
      <c r="CD195" s="117" t="e">
        <f>CD218/CD228*100</f>
        <v>#DIV/0!</v>
      </c>
      <c r="CE195" s="117" t="e">
        <f>CE218/CE228*100</f>
        <v>#DIV/0!</v>
      </c>
      <c r="CG195" s="117" t="e">
        <f>CG218/CG228*100</f>
        <v>#DIV/0!</v>
      </c>
      <c r="CH195" s="117" t="e">
        <f>CH218/CH228*100</f>
        <v>#DIV/0!</v>
      </c>
      <c r="CJ195" s="117" t="e">
        <f>CJ218/CJ228*100</f>
        <v>#DIV/0!</v>
      </c>
      <c r="CK195" s="117" t="e">
        <f>CK218/CK228*100</f>
        <v>#DIV/0!</v>
      </c>
      <c r="CM195" s="117" t="e">
        <f>CM218/CM228*100</f>
        <v>#DIV/0!</v>
      </c>
      <c r="CN195" s="117" t="e">
        <f>CN218/CN228*100</f>
        <v>#DIV/0!</v>
      </c>
      <c r="CP195" s="117" t="e">
        <f>CP218/CP228*100</f>
        <v>#DIV/0!</v>
      </c>
      <c r="CQ195" s="117" t="e">
        <f>CQ218/CQ228*100</f>
        <v>#DIV/0!</v>
      </c>
      <c r="CS195" s="117" t="e">
        <f>CS218/CS228*100</f>
        <v>#DIV/0!</v>
      </c>
      <c r="CT195" s="117" t="e">
        <f>CT218/CT228*100</f>
        <v>#DIV/0!</v>
      </c>
      <c r="CV195" s="117" t="e">
        <f>CV218/CV228*100</f>
        <v>#DIV/0!</v>
      </c>
      <c r="CW195" s="117" t="e">
        <f>CW218/CW228*100</f>
        <v>#DIV/0!</v>
      </c>
      <c r="CY195" s="117" t="e">
        <f>CY218/CY228*100</f>
        <v>#DIV/0!</v>
      </c>
      <c r="CZ195" s="117" t="e">
        <f>CZ218/CZ228*100</f>
        <v>#DIV/0!</v>
      </c>
      <c r="DB195" s="117" t="e">
        <f>DB218/DB228*100</f>
        <v>#DIV/0!</v>
      </c>
      <c r="DC195" s="117" t="e">
        <f>DC218/DC228*100</f>
        <v>#DIV/0!</v>
      </c>
      <c r="DE195" s="117">
        <f>DE218/DE228*100</f>
        <v>0</v>
      </c>
      <c r="DF195" s="117" t="e">
        <f>DF218/DF228*100</f>
        <v>#DIV/0!</v>
      </c>
    </row>
    <row r="196" spans="1:110" s="89" customFormat="1" x14ac:dyDescent="0.25">
      <c r="A196" s="54"/>
      <c r="B196" s="46" t="s">
        <v>1739</v>
      </c>
      <c r="C196" s="42"/>
      <c r="D196" s="42"/>
      <c r="E196" s="44"/>
      <c r="F196" s="44"/>
      <c r="G196" s="44"/>
      <c r="H196" s="44"/>
      <c r="I196" s="44"/>
      <c r="J196" s="44"/>
      <c r="K196" s="44"/>
      <c r="L196" s="44"/>
      <c r="N196" s="44"/>
      <c r="O196" s="44"/>
      <c r="P196" s="44"/>
      <c r="Q196" s="44"/>
      <c r="S196" s="44"/>
      <c r="T196" s="44"/>
      <c r="V196" s="44"/>
      <c r="W196" s="44"/>
      <c r="Y196" s="44"/>
      <c r="Z196" s="44"/>
      <c r="AB196" s="44"/>
      <c r="AC196" s="44"/>
      <c r="AE196" s="44"/>
      <c r="AF196" s="44"/>
      <c r="AH196" s="44"/>
      <c r="AI196" s="44"/>
      <c r="AK196" s="44"/>
      <c r="AL196" s="44"/>
      <c r="AN196" s="44"/>
      <c r="AO196" s="44"/>
      <c r="AQ196" s="44"/>
      <c r="AR196" s="44"/>
      <c r="AT196" s="44"/>
      <c r="AU196" s="44"/>
      <c r="AW196" s="44"/>
      <c r="AX196" s="44"/>
      <c r="AZ196" s="44"/>
      <c r="BA196" s="44"/>
      <c r="BC196" s="44"/>
      <c r="BD196" s="44"/>
      <c r="BF196" s="44"/>
      <c r="BG196" s="44"/>
      <c r="BI196" s="44"/>
      <c r="BJ196" s="44"/>
      <c r="BL196" s="44"/>
      <c r="BM196" s="44"/>
      <c r="BO196" s="44"/>
      <c r="BP196" s="44"/>
      <c r="BR196" s="44"/>
      <c r="BS196" s="44"/>
      <c r="BU196" s="44"/>
      <c r="BV196" s="44"/>
      <c r="BX196" s="44"/>
      <c r="BY196" s="44"/>
      <c r="CA196" s="44"/>
      <c r="CB196" s="44"/>
      <c r="CD196" s="44"/>
      <c r="CE196" s="44"/>
      <c r="CG196" s="44"/>
      <c r="CH196" s="44"/>
      <c r="CJ196" s="44"/>
      <c r="CK196" s="44"/>
      <c r="CM196" s="44"/>
      <c r="CN196" s="44"/>
      <c r="CP196" s="44"/>
      <c r="CQ196" s="44"/>
      <c r="CS196" s="44"/>
      <c r="CT196" s="44"/>
      <c r="CV196" s="44"/>
      <c r="CW196" s="44"/>
      <c r="CY196" s="44"/>
      <c r="CZ196" s="44"/>
      <c r="DB196" s="44"/>
      <c r="DC196" s="44"/>
      <c r="DE196" s="44"/>
      <c r="DF196" s="44"/>
    </row>
    <row r="197" spans="1:110" s="89" customFormat="1" x14ac:dyDescent="0.25">
      <c r="A197" s="54"/>
      <c r="B197" s="46" t="s">
        <v>1182</v>
      </c>
      <c r="C197" s="42"/>
      <c r="D197" s="42" t="s">
        <v>8</v>
      </c>
      <c r="E197" s="44"/>
      <c r="F197" s="44"/>
      <c r="G197" s="44"/>
      <c r="H197" s="44"/>
      <c r="I197" s="117">
        <f t="shared" ref="I197:K198" si="809">I217/I227*100</f>
        <v>30.149253731343283</v>
      </c>
      <c r="J197" s="117">
        <f t="shared" si="809"/>
        <v>30.538922155688624</v>
      </c>
      <c r="K197" s="117">
        <f t="shared" si="809"/>
        <v>33.770491803278688</v>
      </c>
      <c r="L197" s="117">
        <f t="shared" ref="L197" si="810">L217/L227*100</f>
        <v>34.640522875816991</v>
      </c>
      <c r="N197" s="117">
        <f t="shared" ref="N197:P198" si="811">N217/N227*100</f>
        <v>33.770491803278688</v>
      </c>
      <c r="O197" s="117" t="e">
        <f t="shared" si="811"/>
        <v>#DIV/0!</v>
      </c>
      <c r="P197" s="117" t="e">
        <f t="shared" ref="P197:Q197" si="812">P217/P227*100</f>
        <v>#DIV/0!</v>
      </c>
      <c r="Q197" s="117" t="e">
        <f t="shared" si="812"/>
        <v>#DIV/0!</v>
      </c>
      <c r="S197" s="117">
        <f t="shared" ref="S197:T198" si="813">S217/S227*100</f>
        <v>40</v>
      </c>
      <c r="T197" s="117" t="e">
        <f t="shared" si="813"/>
        <v>#DIV/0!</v>
      </c>
      <c r="V197" s="117">
        <f t="shared" ref="V197:W197" si="814">V217/V227*100</f>
        <v>70</v>
      </c>
      <c r="W197" s="117" t="e">
        <f t="shared" si="814"/>
        <v>#DIV/0!</v>
      </c>
      <c r="Y197" s="117">
        <f t="shared" ref="Y197:Z198" si="815">Y217/Y227*100</f>
        <v>18.75</v>
      </c>
      <c r="Z197" s="117" t="e">
        <f t="shared" si="815"/>
        <v>#DIV/0!</v>
      </c>
      <c r="AB197" s="117">
        <f t="shared" ref="AB197:AC197" si="816">AB217/AB227*100</f>
        <v>0</v>
      </c>
      <c r="AC197" s="117" t="e">
        <f t="shared" si="816"/>
        <v>#DIV/0!</v>
      </c>
      <c r="AE197" s="117">
        <f t="shared" ref="AE197:AF197" si="817">AE217/AE227*100</f>
        <v>0</v>
      </c>
      <c r="AF197" s="117" t="e">
        <f t="shared" si="817"/>
        <v>#DIV/0!</v>
      </c>
      <c r="AH197" s="117" t="e">
        <f t="shared" ref="AH197:AI197" si="818">AH217/AH227*100</f>
        <v>#DIV/0!</v>
      </c>
      <c r="AI197" s="117" t="e">
        <f t="shared" si="818"/>
        <v>#DIV/0!</v>
      </c>
      <c r="AK197" s="117">
        <f t="shared" ref="AK197:AL197" si="819">AK217/AK227*100</f>
        <v>9.0909090909090917</v>
      </c>
      <c r="AL197" s="117" t="e">
        <f t="shared" si="819"/>
        <v>#DIV/0!</v>
      </c>
      <c r="AN197" s="117" t="e">
        <f t="shared" ref="AN197:AO197" si="820">AN217/AN227*100</f>
        <v>#DIV/0!</v>
      </c>
      <c r="AO197" s="117" t="e">
        <f t="shared" si="820"/>
        <v>#DIV/0!</v>
      </c>
      <c r="AQ197" s="117">
        <f t="shared" ref="AQ197:AR197" si="821">AQ217/AQ227*100</f>
        <v>18.181818181818183</v>
      </c>
      <c r="AR197" s="117" t="e">
        <f t="shared" si="821"/>
        <v>#DIV/0!</v>
      </c>
      <c r="AT197" s="117">
        <f t="shared" ref="AT197:AU197" si="822">AT217/AT227*100</f>
        <v>25</v>
      </c>
      <c r="AU197" s="117" t="e">
        <f t="shared" si="822"/>
        <v>#DIV/0!</v>
      </c>
      <c r="AW197" s="117">
        <f t="shared" ref="AW197:AX197" si="823">AW217/AW227*100</f>
        <v>9.0909090909090917</v>
      </c>
      <c r="AX197" s="117" t="e">
        <f t="shared" si="823"/>
        <v>#DIV/0!</v>
      </c>
      <c r="AZ197" s="117">
        <f t="shared" ref="AZ197:BA197" si="824">AZ217/AZ227*100</f>
        <v>40.625</v>
      </c>
      <c r="BA197" s="117" t="e">
        <f t="shared" si="824"/>
        <v>#DIV/0!</v>
      </c>
      <c r="BC197" s="117" t="e">
        <f t="shared" ref="BC197:BD197" si="825">BC217/BC227*100</f>
        <v>#DIV/0!</v>
      </c>
      <c r="BD197" s="117" t="e">
        <f t="shared" si="825"/>
        <v>#DIV/0!</v>
      </c>
      <c r="BF197" s="117">
        <f t="shared" ref="BF197:BG197" si="826">BF217/BF227*100</f>
        <v>43.75</v>
      </c>
      <c r="BG197" s="117" t="e">
        <f t="shared" si="826"/>
        <v>#DIV/0!</v>
      </c>
      <c r="BI197" s="117">
        <f t="shared" ref="BI197:BJ197" si="827">BI217/BI227*100</f>
        <v>53.333333333333336</v>
      </c>
      <c r="BJ197" s="117" t="e">
        <f t="shared" si="827"/>
        <v>#DIV/0!</v>
      </c>
      <c r="BL197" s="117">
        <f t="shared" ref="BL197:BM197" si="828">BL217/BL227*100</f>
        <v>33.333333333333329</v>
      </c>
      <c r="BM197" s="117" t="e">
        <f t="shared" si="828"/>
        <v>#DIV/0!</v>
      </c>
      <c r="BO197" s="117">
        <f t="shared" ref="BO197:BP197" si="829">BO217/BO227*100</f>
        <v>47.368421052631575</v>
      </c>
      <c r="BP197" s="117" t="e">
        <f t="shared" si="829"/>
        <v>#DIV/0!</v>
      </c>
      <c r="BR197" s="117">
        <f t="shared" ref="BR197:BS197" si="830">BR217/BR227*100</f>
        <v>31.578947368421051</v>
      </c>
      <c r="BS197" s="117" t="e">
        <f t="shared" si="830"/>
        <v>#DIV/0!</v>
      </c>
      <c r="BU197" s="117">
        <f t="shared" ref="BU197:BV197" si="831">BU217/BU227*100</f>
        <v>11.111111111111111</v>
      </c>
      <c r="BV197" s="117" t="e">
        <f t="shared" si="831"/>
        <v>#DIV/0!</v>
      </c>
      <c r="BX197" s="117">
        <f t="shared" ref="BX197:BY197" si="832">BX217/BX227*100</f>
        <v>30</v>
      </c>
      <c r="BY197" s="117" t="e">
        <f t="shared" si="832"/>
        <v>#DIV/0!</v>
      </c>
      <c r="CA197" s="117">
        <f t="shared" ref="CA197:CB197" si="833">CA217/CA227*100</f>
        <v>44.444444444444443</v>
      </c>
      <c r="CB197" s="117" t="e">
        <f t="shared" si="833"/>
        <v>#DIV/0!</v>
      </c>
      <c r="CD197" s="117" t="e">
        <f t="shared" ref="CD197:CE197" si="834">CD217/CD227*100</f>
        <v>#DIV/0!</v>
      </c>
      <c r="CE197" s="117" t="e">
        <f t="shared" si="834"/>
        <v>#DIV/0!</v>
      </c>
      <c r="CG197" s="117">
        <f t="shared" ref="CG197:CH197" si="835">CG217/CG227*100</f>
        <v>50</v>
      </c>
      <c r="CH197" s="117" t="e">
        <f t="shared" si="835"/>
        <v>#DIV/0!</v>
      </c>
      <c r="CJ197" s="117" t="e">
        <f t="shared" ref="CJ197:CK197" si="836">CJ217/CJ227*100</f>
        <v>#DIV/0!</v>
      </c>
      <c r="CK197" s="117" t="e">
        <f t="shared" si="836"/>
        <v>#DIV/0!</v>
      </c>
      <c r="CM197" s="117" t="e">
        <f t="shared" ref="CM197:CN197" si="837">CM217/CM227*100</f>
        <v>#DIV/0!</v>
      </c>
      <c r="CN197" s="117" t="e">
        <f t="shared" si="837"/>
        <v>#DIV/0!</v>
      </c>
      <c r="CP197" s="117" t="e">
        <f t="shared" ref="CP197:CQ197" si="838">CP217/CP227*100</f>
        <v>#DIV/0!</v>
      </c>
      <c r="CQ197" s="117" t="e">
        <f t="shared" si="838"/>
        <v>#DIV/0!</v>
      </c>
      <c r="CS197" s="117" t="e">
        <f t="shared" ref="CS197:CT197" si="839">CS217/CS227*100</f>
        <v>#DIV/0!</v>
      </c>
      <c r="CT197" s="117" t="e">
        <f t="shared" si="839"/>
        <v>#DIV/0!</v>
      </c>
      <c r="CV197" s="117" t="e">
        <f t="shared" ref="CV197:CW197" si="840">CV217/CV227*100</f>
        <v>#DIV/0!</v>
      </c>
      <c r="CW197" s="117" t="e">
        <f t="shared" si="840"/>
        <v>#DIV/0!</v>
      </c>
      <c r="CY197" s="117">
        <f t="shared" ref="CY197:CZ197" si="841">CY217/CY227*100</f>
        <v>81.818181818181827</v>
      </c>
      <c r="CZ197" s="117" t="e">
        <f t="shared" si="841"/>
        <v>#DIV/0!</v>
      </c>
      <c r="DB197" s="117" t="e">
        <f t="shared" ref="DB197:DC197" si="842">DB217/DB227*100</f>
        <v>#DIV/0!</v>
      </c>
      <c r="DC197" s="117" t="e">
        <f t="shared" si="842"/>
        <v>#DIV/0!</v>
      </c>
      <c r="DE197" s="117" t="e">
        <f t="shared" ref="DE197:DF197" si="843">DE217/DE227*100</f>
        <v>#DIV/0!</v>
      </c>
      <c r="DF197" s="117" t="e">
        <f t="shared" si="843"/>
        <v>#DIV/0!</v>
      </c>
    </row>
    <row r="198" spans="1:110" s="89" customFormat="1" x14ac:dyDescent="0.25">
      <c r="A198" s="54"/>
      <c r="B198" s="46" t="s">
        <v>1184</v>
      </c>
      <c r="C198" s="42"/>
      <c r="D198" s="42" t="s">
        <v>8</v>
      </c>
      <c r="E198" s="44"/>
      <c r="F198" s="44"/>
      <c r="G198" s="44"/>
      <c r="H198" s="44"/>
      <c r="I198" s="117" t="e">
        <f t="shared" si="809"/>
        <v>#DIV/0!</v>
      </c>
      <c r="J198" s="117" t="e">
        <f t="shared" si="809"/>
        <v>#DIV/0!</v>
      </c>
      <c r="K198" s="117">
        <f t="shared" si="809"/>
        <v>0</v>
      </c>
      <c r="L198" s="117">
        <f t="shared" ref="L198" si="844">L218/L228*100</f>
        <v>0</v>
      </c>
      <c r="N198" s="117">
        <f t="shared" ref="N198" si="845">N218/N228*100</f>
        <v>0</v>
      </c>
      <c r="O198" s="117" t="e">
        <f t="shared" si="811"/>
        <v>#DIV/0!</v>
      </c>
      <c r="P198" s="117" t="e">
        <f t="shared" si="811"/>
        <v>#DIV/0!</v>
      </c>
      <c r="Q198" s="117" t="e">
        <f t="shared" ref="Q198" si="846">Q218/Q228*100</f>
        <v>#DIV/0!</v>
      </c>
      <c r="S198" s="117" t="e">
        <f t="shared" ref="S198" si="847">S218/S228*100</f>
        <v>#DIV/0!</v>
      </c>
      <c r="T198" s="117" t="e">
        <f t="shared" si="813"/>
        <v>#DIV/0!</v>
      </c>
      <c r="V198" s="117" t="e">
        <f t="shared" ref="V198:W198" si="848">V218/V228*100</f>
        <v>#DIV/0!</v>
      </c>
      <c r="W198" s="117" t="e">
        <f t="shared" si="848"/>
        <v>#DIV/0!</v>
      </c>
      <c r="Y198" s="117" t="e">
        <f t="shared" ref="Y198" si="849">Y218/Y228*100</f>
        <v>#DIV/0!</v>
      </c>
      <c r="Z198" s="117" t="e">
        <f t="shared" si="815"/>
        <v>#DIV/0!</v>
      </c>
      <c r="AB198" s="117" t="e">
        <f t="shared" ref="AB198:AC198" si="850">AB218/AB228*100</f>
        <v>#DIV/0!</v>
      </c>
      <c r="AC198" s="117" t="e">
        <f t="shared" si="850"/>
        <v>#DIV/0!</v>
      </c>
      <c r="AE198" s="117" t="e">
        <f t="shared" ref="AE198:AF198" si="851">AE218/AE228*100</f>
        <v>#DIV/0!</v>
      </c>
      <c r="AF198" s="117" t="e">
        <f t="shared" si="851"/>
        <v>#DIV/0!</v>
      </c>
      <c r="AH198" s="117" t="e">
        <f t="shared" ref="AH198:AI198" si="852">AH218/AH228*100</f>
        <v>#DIV/0!</v>
      </c>
      <c r="AI198" s="117" t="e">
        <f t="shared" si="852"/>
        <v>#DIV/0!</v>
      </c>
      <c r="AK198" s="117" t="e">
        <f t="shared" ref="AK198:AL198" si="853">AK218/AK228*100</f>
        <v>#DIV/0!</v>
      </c>
      <c r="AL198" s="117" t="e">
        <f t="shared" si="853"/>
        <v>#DIV/0!</v>
      </c>
      <c r="AN198" s="117" t="e">
        <f t="shared" ref="AN198:AO198" si="854">AN218/AN228*100</f>
        <v>#DIV/0!</v>
      </c>
      <c r="AO198" s="117" t="e">
        <f t="shared" si="854"/>
        <v>#DIV/0!</v>
      </c>
      <c r="AQ198" s="117" t="e">
        <f t="shared" ref="AQ198:AR198" si="855">AQ218/AQ228*100</f>
        <v>#DIV/0!</v>
      </c>
      <c r="AR198" s="117" t="e">
        <f t="shared" si="855"/>
        <v>#DIV/0!</v>
      </c>
      <c r="AT198" s="117" t="e">
        <f t="shared" ref="AT198:AU198" si="856">AT218/AT228*100</f>
        <v>#DIV/0!</v>
      </c>
      <c r="AU198" s="117" t="e">
        <f t="shared" si="856"/>
        <v>#DIV/0!</v>
      </c>
      <c r="AW198" s="117" t="e">
        <f t="shared" ref="AW198:AX198" si="857">AW218/AW228*100</f>
        <v>#DIV/0!</v>
      </c>
      <c r="AX198" s="117" t="e">
        <f t="shared" si="857"/>
        <v>#DIV/0!</v>
      </c>
      <c r="AZ198" s="117" t="e">
        <f t="shared" ref="AZ198:BA198" si="858">AZ218/AZ228*100</f>
        <v>#DIV/0!</v>
      </c>
      <c r="BA198" s="117" t="e">
        <f t="shared" si="858"/>
        <v>#DIV/0!</v>
      </c>
      <c r="BC198" s="117" t="e">
        <f t="shared" ref="BC198:BD198" si="859">BC218/BC228*100</f>
        <v>#DIV/0!</v>
      </c>
      <c r="BD198" s="117" t="e">
        <f t="shared" si="859"/>
        <v>#DIV/0!</v>
      </c>
      <c r="BF198" s="117" t="e">
        <f t="shared" ref="BF198:BG198" si="860">BF218/BF228*100</f>
        <v>#DIV/0!</v>
      </c>
      <c r="BG198" s="117" t="e">
        <f t="shared" si="860"/>
        <v>#DIV/0!</v>
      </c>
      <c r="BI198" s="117" t="e">
        <f t="shared" ref="BI198:BJ198" si="861">BI218/BI228*100</f>
        <v>#DIV/0!</v>
      </c>
      <c r="BJ198" s="117" t="e">
        <f t="shared" si="861"/>
        <v>#DIV/0!</v>
      </c>
      <c r="BL198" s="117" t="e">
        <f t="shared" ref="BL198:BM198" si="862">BL218/BL228*100</f>
        <v>#DIV/0!</v>
      </c>
      <c r="BM198" s="117" t="e">
        <f t="shared" si="862"/>
        <v>#DIV/0!</v>
      </c>
      <c r="BO198" s="117" t="e">
        <f t="shared" ref="BO198:BP198" si="863">BO218/BO228*100</f>
        <v>#DIV/0!</v>
      </c>
      <c r="BP198" s="117" t="e">
        <f t="shared" si="863"/>
        <v>#DIV/0!</v>
      </c>
      <c r="BR198" s="117" t="e">
        <f t="shared" ref="BR198:BS198" si="864">BR218/BR228*100</f>
        <v>#DIV/0!</v>
      </c>
      <c r="BS198" s="117" t="e">
        <f t="shared" si="864"/>
        <v>#DIV/0!</v>
      </c>
      <c r="BU198" s="117" t="e">
        <f t="shared" ref="BU198:BV198" si="865">BU218/BU228*100</f>
        <v>#DIV/0!</v>
      </c>
      <c r="BV198" s="117" t="e">
        <f t="shared" si="865"/>
        <v>#DIV/0!</v>
      </c>
      <c r="BX198" s="117" t="e">
        <f t="shared" ref="BX198:BY198" si="866">BX218/BX228*100</f>
        <v>#DIV/0!</v>
      </c>
      <c r="BY198" s="117" t="e">
        <f t="shared" si="866"/>
        <v>#DIV/0!</v>
      </c>
      <c r="CA198" s="117" t="e">
        <f t="shared" ref="CA198:CB198" si="867">CA218/CA228*100</f>
        <v>#DIV/0!</v>
      </c>
      <c r="CB198" s="117" t="e">
        <f t="shared" si="867"/>
        <v>#DIV/0!</v>
      </c>
      <c r="CD198" s="117" t="e">
        <f t="shared" ref="CD198:CE198" si="868">CD218/CD228*100</f>
        <v>#DIV/0!</v>
      </c>
      <c r="CE198" s="117" t="e">
        <f t="shared" si="868"/>
        <v>#DIV/0!</v>
      </c>
      <c r="CG198" s="117" t="e">
        <f t="shared" ref="CG198:CH198" si="869">CG218/CG228*100</f>
        <v>#DIV/0!</v>
      </c>
      <c r="CH198" s="117" t="e">
        <f t="shared" si="869"/>
        <v>#DIV/0!</v>
      </c>
      <c r="CJ198" s="117" t="e">
        <f t="shared" ref="CJ198:CK198" si="870">CJ218/CJ228*100</f>
        <v>#DIV/0!</v>
      </c>
      <c r="CK198" s="117" t="e">
        <f t="shared" si="870"/>
        <v>#DIV/0!</v>
      </c>
      <c r="CM198" s="117" t="e">
        <f t="shared" ref="CM198:CN198" si="871">CM218/CM228*100</f>
        <v>#DIV/0!</v>
      </c>
      <c r="CN198" s="117" t="e">
        <f t="shared" si="871"/>
        <v>#DIV/0!</v>
      </c>
      <c r="CP198" s="117" t="e">
        <f t="shared" ref="CP198:CQ198" si="872">CP218/CP228*100</f>
        <v>#DIV/0!</v>
      </c>
      <c r="CQ198" s="117" t="e">
        <f t="shared" si="872"/>
        <v>#DIV/0!</v>
      </c>
      <c r="CS198" s="117" t="e">
        <f t="shared" ref="CS198:CT198" si="873">CS218/CS228*100</f>
        <v>#DIV/0!</v>
      </c>
      <c r="CT198" s="117" t="e">
        <f t="shared" si="873"/>
        <v>#DIV/0!</v>
      </c>
      <c r="CV198" s="117" t="e">
        <f t="shared" ref="CV198:CW198" si="874">CV218/CV228*100</f>
        <v>#DIV/0!</v>
      </c>
      <c r="CW198" s="117" t="e">
        <f t="shared" si="874"/>
        <v>#DIV/0!</v>
      </c>
      <c r="CY198" s="117" t="e">
        <f t="shared" ref="CY198:CZ198" si="875">CY218/CY228*100</f>
        <v>#DIV/0!</v>
      </c>
      <c r="CZ198" s="117" t="e">
        <f t="shared" si="875"/>
        <v>#DIV/0!</v>
      </c>
      <c r="DB198" s="117" t="e">
        <f t="shared" ref="DB198:DC198" si="876">DB218/DB228*100</f>
        <v>#DIV/0!</v>
      </c>
      <c r="DC198" s="117" t="e">
        <f t="shared" si="876"/>
        <v>#DIV/0!</v>
      </c>
      <c r="DE198" s="117">
        <f t="shared" ref="DE198:DF198" si="877">DE218/DE228*100</f>
        <v>0</v>
      </c>
      <c r="DF198" s="117" t="e">
        <f t="shared" si="877"/>
        <v>#DIV/0!</v>
      </c>
    </row>
    <row r="199" spans="1:110" s="89" customFormat="1" x14ac:dyDescent="0.25">
      <c r="A199" s="166"/>
      <c r="B199" s="70" t="s">
        <v>2094</v>
      </c>
      <c r="C199" s="13"/>
      <c r="D199" s="87"/>
      <c r="E199" s="87"/>
      <c r="F199" s="87"/>
      <c r="G199" s="87"/>
      <c r="H199" s="87"/>
      <c r="I199" s="87"/>
      <c r="J199" s="87"/>
      <c r="K199" s="87"/>
      <c r="L199" s="87"/>
    </row>
    <row r="200" spans="1:110" s="89" customFormat="1" ht="30" x14ac:dyDescent="0.25">
      <c r="A200" s="166"/>
      <c r="B200" s="70" t="s">
        <v>180</v>
      </c>
      <c r="C200" s="6" t="s">
        <v>2695</v>
      </c>
      <c r="D200" s="87"/>
      <c r="E200" s="87"/>
      <c r="F200" s="87"/>
      <c r="G200" s="87"/>
      <c r="H200" s="87"/>
      <c r="I200" s="87"/>
      <c r="J200" s="87"/>
      <c r="K200" s="87"/>
      <c r="L200" s="87"/>
    </row>
    <row r="201" spans="1:110" s="89" customFormat="1" x14ac:dyDescent="0.25">
      <c r="A201" s="166"/>
      <c r="B201" s="70" t="s">
        <v>1182</v>
      </c>
      <c r="C201" s="13"/>
      <c r="D201" s="13" t="s">
        <v>950</v>
      </c>
      <c r="E201" s="87"/>
      <c r="F201" s="87"/>
      <c r="G201" s="87"/>
      <c r="H201" s="257"/>
      <c r="I201" s="256">
        <f>1756-9</f>
        <v>1747</v>
      </c>
      <c r="J201" s="256">
        <v>1840</v>
      </c>
      <c r="K201" s="256">
        <v>1592</v>
      </c>
      <c r="L201" s="256">
        <v>1797</v>
      </c>
      <c r="N201" s="241">
        <f>P201+S201+V201+Y201+AB201+AE201+AH201+AK201+AN201+AQ201+AW201+AZ201+BC201+BF201+BI201+BL201+BO201+BR201+BU201+BX201+CA201+CD201+CG201+CJ201+AT201+DE201</f>
        <v>1592</v>
      </c>
      <c r="O201" s="241">
        <f t="shared" ref="O201:O202" si="878">Q201+T201+W201+Z201+AC201+AF201+AI201+AL201+AO201+AR201+AX201+BA201+BD201+BG201+BJ201+BM201+BP201+BS201+BV201+BY201+CB201+CE201+CH201+CK201+AU201+DF201</f>
        <v>0</v>
      </c>
      <c r="P201" s="89">
        <v>34</v>
      </c>
      <c r="S201" s="89">
        <v>130</v>
      </c>
      <c r="V201" s="89">
        <v>63</v>
      </c>
      <c r="Y201" s="89">
        <v>202</v>
      </c>
      <c r="AB201" s="89">
        <v>109</v>
      </c>
      <c r="AE201" s="89">
        <v>90</v>
      </c>
      <c r="AH201" s="89">
        <v>61</v>
      </c>
      <c r="AK201" s="89">
        <v>57</v>
      </c>
      <c r="AN201" s="89">
        <v>28</v>
      </c>
      <c r="AQ201" s="89">
        <v>54</v>
      </c>
      <c r="AT201" s="89">
        <v>16</v>
      </c>
      <c r="AW201" s="89">
        <v>40</v>
      </c>
      <c r="AZ201" s="89">
        <v>75</v>
      </c>
      <c r="BC201" s="89">
        <v>98</v>
      </c>
      <c r="BF201" s="89">
        <v>67</v>
      </c>
      <c r="BI201" s="89">
        <v>59</v>
      </c>
      <c r="BL201" s="89">
        <v>46</v>
      </c>
      <c r="BO201" s="89">
        <v>49</v>
      </c>
      <c r="BR201" s="89">
        <v>39</v>
      </c>
      <c r="BU201" s="89">
        <v>56</v>
      </c>
      <c r="BX201" s="89">
        <v>45</v>
      </c>
      <c r="CA201" s="89">
        <v>60</v>
      </c>
      <c r="CD201" s="89">
        <v>26</v>
      </c>
      <c r="CG201" s="89">
        <v>60</v>
      </c>
      <c r="CJ201" s="89">
        <v>28</v>
      </c>
      <c r="CS201" s="89">
        <v>44</v>
      </c>
      <c r="CV201" s="89">
        <v>35</v>
      </c>
      <c r="CY201" s="89">
        <v>70</v>
      </c>
      <c r="DB201" s="89">
        <v>27</v>
      </c>
    </row>
    <row r="202" spans="1:110" s="89" customFormat="1" x14ac:dyDescent="0.25">
      <c r="A202" s="166"/>
      <c r="B202" s="70" t="s">
        <v>1184</v>
      </c>
      <c r="C202" s="13"/>
      <c r="D202" s="13" t="s">
        <v>950</v>
      </c>
      <c r="E202" s="87"/>
      <c r="F202" s="87"/>
      <c r="G202" s="87"/>
      <c r="H202" s="257"/>
      <c r="I202" s="256">
        <v>37</v>
      </c>
      <c r="J202" s="256">
        <v>62</v>
      </c>
      <c r="K202" s="256">
        <v>80</v>
      </c>
      <c r="L202" s="256">
        <v>126</v>
      </c>
      <c r="N202" s="241">
        <f t="shared" ref="N202" si="879">P202+S202+V202+Y202+AB202+AE202+AH202+AK202+AN202+AQ202+AW202+AZ202+BC202+BF202+BI202+BL202+BO202+BR202+BU202+BX202+CA202+CD202+CG202+CJ202+AT202+DE202</f>
        <v>80</v>
      </c>
      <c r="O202" s="241">
        <f t="shared" si="878"/>
        <v>0</v>
      </c>
      <c r="DE202" s="89">
        <v>80</v>
      </c>
    </row>
    <row r="203" spans="1:110" s="89" customFormat="1" ht="30" x14ac:dyDescent="0.25">
      <c r="A203" s="166"/>
      <c r="B203" s="70" t="s">
        <v>382</v>
      </c>
      <c r="C203" s="6" t="s">
        <v>2696</v>
      </c>
      <c r="D203" s="13"/>
      <c r="E203" s="87"/>
      <c r="F203" s="87"/>
      <c r="G203" s="87"/>
      <c r="H203" s="257"/>
      <c r="I203" s="257"/>
      <c r="J203" s="257"/>
      <c r="K203" s="257"/>
      <c r="L203" s="257"/>
    </row>
    <row r="204" spans="1:110" s="89" customFormat="1" x14ac:dyDescent="0.25">
      <c r="A204" s="166"/>
      <c r="B204" s="70" t="s">
        <v>1182</v>
      </c>
      <c r="C204" s="13"/>
      <c r="D204" s="13" t="s">
        <v>950</v>
      </c>
      <c r="E204" s="87"/>
      <c r="F204" s="87"/>
      <c r="G204" s="87"/>
      <c r="H204" s="257"/>
      <c r="I204" s="256">
        <v>1207</v>
      </c>
      <c r="J204" s="256">
        <v>1253</v>
      </c>
      <c r="K204" s="256">
        <v>1060</v>
      </c>
      <c r="L204" s="256">
        <v>1234</v>
      </c>
      <c r="N204" s="241">
        <f>P204+S204+V204+Y204+AB204+AE204+AH204+AK204+AN204+AQ204+AW204+AZ204+BC204+BF204+BI204+BL204+BO204+BR204+BU204+BX204+CA204+CD204+CG204+CJ204+AT204+DE204</f>
        <v>1060</v>
      </c>
      <c r="O204" s="241">
        <f t="shared" ref="O204:O205" si="880">Q204+T204+W204+Z204+AC204+AF204+AI204+AL204+AO204+AR204+AX204+BA204+BD204+BG204+BJ204+BM204+BP204+BS204+BV204+BY204+CB204+CE204+CH204+CK204+AU204+DF204</f>
        <v>0</v>
      </c>
      <c r="P204" s="89">
        <v>20</v>
      </c>
      <c r="S204" s="89">
        <v>84</v>
      </c>
      <c r="V204" s="89">
        <v>40</v>
      </c>
      <c r="Y204" s="89">
        <v>94</v>
      </c>
      <c r="AB204" s="89">
        <v>87</v>
      </c>
      <c r="AE204" s="89">
        <v>84</v>
      </c>
      <c r="AH204" s="89">
        <v>49</v>
      </c>
      <c r="AK204" s="89">
        <v>35</v>
      </c>
      <c r="AN204" s="89">
        <v>26</v>
      </c>
      <c r="AQ204" s="89">
        <v>33</v>
      </c>
      <c r="AT204" s="89">
        <v>10</v>
      </c>
      <c r="AW204" s="89">
        <v>16</v>
      </c>
      <c r="AZ204" s="89">
        <v>50</v>
      </c>
      <c r="BC204" s="89">
        <v>89</v>
      </c>
      <c r="BF204" s="89">
        <v>46</v>
      </c>
      <c r="BI204" s="89">
        <v>38</v>
      </c>
      <c r="BL204" s="89">
        <v>33</v>
      </c>
      <c r="BO204" s="89">
        <v>23</v>
      </c>
      <c r="BR204" s="89">
        <v>16</v>
      </c>
      <c r="BU204" s="89">
        <v>37</v>
      </c>
      <c r="BX204" s="89">
        <v>25</v>
      </c>
      <c r="CA204" s="89">
        <v>41</v>
      </c>
      <c r="CD204" s="89">
        <v>22</v>
      </c>
      <c r="CG204" s="89">
        <v>35</v>
      </c>
      <c r="CJ204" s="89">
        <v>27</v>
      </c>
      <c r="CS204" s="89">
        <v>35</v>
      </c>
      <c r="CV204" s="89">
        <v>30</v>
      </c>
      <c r="CY204" s="89">
        <v>58</v>
      </c>
      <c r="DB204" s="89">
        <v>21</v>
      </c>
    </row>
    <row r="205" spans="1:110" s="89" customFormat="1" x14ac:dyDescent="0.25">
      <c r="A205" s="166"/>
      <c r="B205" s="70" t="s">
        <v>1184</v>
      </c>
      <c r="C205" s="13"/>
      <c r="D205" s="13" t="s">
        <v>950</v>
      </c>
      <c r="E205" s="87"/>
      <c r="F205" s="87"/>
      <c r="G205" s="87"/>
      <c r="H205" s="257"/>
      <c r="I205" s="256">
        <v>34</v>
      </c>
      <c r="J205" s="256">
        <v>53</v>
      </c>
      <c r="K205" s="256">
        <v>65</v>
      </c>
      <c r="L205" s="256">
        <v>93</v>
      </c>
      <c r="N205" s="241">
        <f t="shared" ref="N205" si="881">P205+S205+V205+Y205+AB205+AE205+AH205+AK205+AN205+AQ205+AW205+AZ205+BC205+BF205+BI205+BL205+BO205+BR205+BU205+BX205+CA205+CD205+CG205+CJ205+AT205+DE205</f>
        <v>65</v>
      </c>
      <c r="O205" s="241">
        <f t="shared" si="880"/>
        <v>0</v>
      </c>
      <c r="DE205" s="89">
        <v>65</v>
      </c>
    </row>
    <row r="206" spans="1:110" s="89" customFormat="1" ht="30" x14ac:dyDescent="0.25">
      <c r="A206" s="166"/>
      <c r="B206" s="70" t="s">
        <v>1739</v>
      </c>
      <c r="C206" s="6" t="s">
        <v>2697</v>
      </c>
      <c r="D206" s="13"/>
      <c r="E206" s="87"/>
      <c r="F206" s="87"/>
      <c r="G206" s="87"/>
      <c r="H206" s="257"/>
      <c r="I206" s="257"/>
      <c r="J206" s="257"/>
      <c r="K206" s="257"/>
      <c r="L206" s="257"/>
    </row>
    <row r="207" spans="1:110" s="89" customFormat="1" x14ac:dyDescent="0.25">
      <c r="A207" s="166"/>
      <c r="B207" s="70" t="s">
        <v>1182</v>
      </c>
      <c r="C207" s="13"/>
      <c r="D207" s="13" t="s">
        <v>950</v>
      </c>
      <c r="E207" s="87"/>
      <c r="F207" s="87"/>
      <c r="G207" s="87"/>
      <c r="H207" s="257"/>
      <c r="I207" s="256">
        <f>224</f>
        <v>224</v>
      </c>
      <c r="J207" s="256">
        <v>226</v>
      </c>
      <c r="K207" s="256">
        <v>196</v>
      </c>
      <c r="L207" s="256">
        <v>195</v>
      </c>
      <c r="N207" s="241">
        <f>P207+S207+V207+Y207+AB207+AE207+AH207+AK207+AN207+AQ207+AW207+AZ207+BC207+BF207+BI207+BL207+BO207+BR207+BU207+BX207+CA207+CD207+CG207+CJ207+AT207+DE207</f>
        <v>196</v>
      </c>
      <c r="O207" s="241">
        <f t="shared" ref="O207:O208" si="882">Q207+T207+W207+Z207+AC207+AF207+AI207+AL207+AO207+AR207+AX207+BA207+BD207+BG207+BJ207+BM207+BP207+BS207+BV207+BY207+CB207+CE207+CH207+CK207+AU207+DF207</f>
        <v>0</v>
      </c>
      <c r="P207" s="89">
        <v>0</v>
      </c>
      <c r="S207" s="89">
        <v>13</v>
      </c>
      <c r="V207" s="89">
        <v>6</v>
      </c>
      <c r="Y207" s="89">
        <v>52</v>
      </c>
      <c r="AB207" s="89">
        <v>2</v>
      </c>
      <c r="AE207" s="89">
        <v>4</v>
      </c>
      <c r="AH207" s="89">
        <v>0</v>
      </c>
      <c r="AK207" s="89">
        <v>8</v>
      </c>
      <c r="AN207" s="89">
        <v>0</v>
      </c>
      <c r="AQ207" s="89">
        <v>9</v>
      </c>
      <c r="AT207" s="89">
        <v>3</v>
      </c>
      <c r="AW207" s="89">
        <v>8</v>
      </c>
      <c r="AZ207" s="89">
        <v>19</v>
      </c>
      <c r="BC207" s="89">
        <v>0</v>
      </c>
      <c r="BF207" s="89">
        <v>9</v>
      </c>
      <c r="BI207" s="89">
        <v>7</v>
      </c>
      <c r="BL207" s="89">
        <v>4</v>
      </c>
      <c r="BO207" s="89">
        <v>10</v>
      </c>
      <c r="BR207" s="89">
        <v>13</v>
      </c>
      <c r="BU207" s="89">
        <v>8</v>
      </c>
      <c r="BX207" s="89">
        <v>7</v>
      </c>
      <c r="CA207" s="89">
        <v>5</v>
      </c>
      <c r="CD207" s="89">
        <v>0</v>
      </c>
      <c r="CG207" s="89">
        <v>9</v>
      </c>
      <c r="CJ207" s="89">
        <v>0</v>
      </c>
      <c r="CS207" s="89">
        <v>0</v>
      </c>
      <c r="CV207" s="89">
        <v>0</v>
      </c>
      <c r="CY207" s="89">
        <v>2</v>
      </c>
      <c r="DB207" s="89">
        <v>0</v>
      </c>
    </row>
    <row r="208" spans="1:110" s="89" customFormat="1" x14ac:dyDescent="0.25">
      <c r="A208" s="166"/>
      <c r="B208" s="70" t="s">
        <v>1184</v>
      </c>
      <c r="C208" s="13"/>
      <c r="D208" s="13" t="s">
        <v>950</v>
      </c>
      <c r="E208" s="87"/>
      <c r="F208" s="87"/>
      <c r="G208" s="87"/>
      <c r="H208" s="257"/>
      <c r="I208" s="256">
        <v>0</v>
      </c>
      <c r="J208" s="256">
        <v>0</v>
      </c>
      <c r="K208" s="256">
        <v>2</v>
      </c>
      <c r="L208" s="256">
        <v>11</v>
      </c>
      <c r="N208" s="241">
        <f t="shared" ref="N208" si="883">P208+S208+V208+Y208+AB208+AE208+AH208+AK208+AN208+AQ208+AW208+AZ208+BC208+BF208+BI208+BL208+BO208+BR208+BU208+BX208+CA208+CD208+CG208+CJ208+AT208+DE208</f>
        <v>2</v>
      </c>
      <c r="O208" s="241">
        <f t="shared" si="882"/>
        <v>0</v>
      </c>
      <c r="DE208" s="89">
        <v>2</v>
      </c>
    </row>
    <row r="209" spans="1:109" s="89" customFormat="1" ht="30" x14ac:dyDescent="0.25">
      <c r="A209" s="166"/>
      <c r="B209" s="70" t="s">
        <v>1740</v>
      </c>
      <c r="C209" s="13"/>
      <c r="D209" s="13"/>
      <c r="E209" s="87"/>
      <c r="F209" s="87"/>
      <c r="G209" s="87"/>
      <c r="H209" s="257"/>
      <c r="I209" s="257"/>
      <c r="J209" s="257"/>
      <c r="K209" s="257"/>
      <c r="L209" s="257"/>
    </row>
    <row r="210" spans="1:109" s="89" customFormat="1" ht="30" x14ac:dyDescent="0.25">
      <c r="A210" s="166"/>
      <c r="B210" s="70" t="s">
        <v>180</v>
      </c>
      <c r="C210" s="6" t="s">
        <v>2698</v>
      </c>
      <c r="D210" s="13"/>
      <c r="E210" s="87"/>
      <c r="F210" s="87"/>
      <c r="G210" s="87"/>
      <c r="H210" s="257"/>
      <c r="I210" s="257"/>
      <c r="J210" s="257"/>
      <c r="K210" s="257"/>
      <c r="L210" s="257"/>
    </row>
    <row r="211" spans="1:109" s="89" customFormat="1" x14ac:dyDescent="0.25">
      <c r="A211" s="166"/>
      <c r="B211" s="70" t="s">
        <v>1182</v>
      </c>
      <c r="C211" s="13"/>
      <c r="D211" s="13" t="s">
        <v>950</v>
      </c>
      <c r="E211" s="87"/>
      <c r="F211" s="87"/>
      <c r="G211" s="87"/>
      <c r="H211" s="257"/>
      <c r="I211" s="256">
        <f>166-3</f>
        <v>163</v>
      </c>
      <c r="J211" s="256">
        <v>161</v>
      </c>
      <c r="K211" s="256">
        <v>157</v>
      </c>
      <c r="L211" s="256">
        <v>170</v>
      </c>
      <c r="N211" s="241">
        <f>P211+S211+V211+Y211+AB211+AE211+AH211+AK211+AN211+AQ211+AW211+AZ211+BC211+BF211+BI211+BL211+BO211+BR211+BU211+BX211+CA211+CD211+CG211+CJ211+AT211+DE211</f>
        <v>157</v>
      </c>
      <c r="O211" s="241">
        <f t="shared" ref="O211:O212" si="884">Q211+T211+W211+Z211+AC211+AF211+AI211+AL211+AO211+AR211+AX211+BA211+BD211+BG211+BJ211+BM211+BP211+BS211+BV211+BY211+CB211+CE211+CH211+CK211+AU211+DF211</f>
        <v>0</v>
      </c>
      <c r="P211" s="89">
        <v>0</v>
      </c>
      <c r="S211" s="89">
        <v>17</v>
      </c>
      <c r="V211" s="89">
        <v>18</v>
      </c>
      <c r="Y211" s="89">
        <v>17</v>
      </c>
      <c r="AB211" s="89">
        <v>3</v>
      </c>
      <c r="AE211" s="89">
        <v>5</v>
      </c>
      <c r="AH211" s="89">
        <v>0</v>
      </c>
      <c r="AK211" s="89">
        <v>4</v>
      </c>
      <c r="AN211" s="89">
        <v>1</v>
      </c>
      <c r="AQ211" s="89">
        <v>3</v>
      </c>
      <c r="AT211" s="89">
        <v>1</v>
      </c>
      <c r="AW211" s="89">
        <v>1</v>
      </c>
      <c r="AZ211" s="89">
        <v>15</v>
      </c>
      <c r="BC211" s="89">
        <v>4</v>
      </c>
      <c r="BF211" s="89">
        <v>8</v>
      </c>
      <c r="BI211" s="89">
        <v>9</v>
      </c>
      <c r="BL211" s="89">
        <v>4</v>
      </c>
      <c r="BO211" s="89">
        <v>14</v>
      </c>
      <c r="BR211" s="89">
        <v>6</v>
      </c>
      <c r="BU211" s="89">
        <v>1</v>
      </c>
      <c r="BX211" s="89">
        <v>6</v>
      </c>
      <c r="CA211" s="89">
        <v>6</v>
      </c>
      <c r="CD211" s="89">
        <v>0</v>
      </c>
      <c r="CG211" s="89">
        <v>14</v>
      </c>
      <c r="CJ211" s="89">
        <v>0</v>
      </c>
      <c r="CS211" s="89">
        <v>1</v>
      </c>
      <c r="CV211" s="89">
        <v>0</v>
      </c>
      <c r="CY211" s="89">
        <v>9</v>
      </c>
      <c r="DB211" s="89">
        <v>0</v>
      </c>
    </row>
    <row r="212" spans="1:109" s="89" customFormat="1" x14ac:dyDescent="0.25">
      <c r="A212" s="166"/>
      <c r="B212" s="70" t="s">
        <v>1184</v>
      </c>
      <c r="C212" s="13"/>
      <c r="D212" s="13" t="s">
        <v>950</v>
      </c>
      <c r="E212" s="87"/>
      <c r="F212" s="87"/>
      <c r="G212" s="87"/>
      <c r="H212" s="257"/>
      <c r="I212" s="256">
        <v>0</v>
      </c>
      <c r="J212" s="256">
        <v>1</v>
      </c>
      <c r="K212" s="256">
        <v>1</v>
      </c>
      <c r="L212" s="256">
        <v>1</v>
      </c>
      <c r="N212" s="241">
        <f t="shared" ref="N212" si="885">P212+S212+V212+Y212+AB212+AE212+AH212+AK212+AN212+AQ212+AW212+AZ212+BC212+BF212+BI212+BL212+BO212+BR212+BU212+BX212+CA212+CD212+CG212+CJ212+AT212+DE212</f>
        <v>1</v>
      </c>
      <c r="O212" s="241">
        <f t="shared" si="884"/>
        <v>0</v>
      </c>
      <c r="DE212" s="89">
        <v>1</v>
      </c>
    </row>
    <row r="213" spans="1:109" s="89" customFormat="1" ht="30" x14ac:dyDescent="0.25">
      <c r="A213" s="166"/>
      <c r="B213" s="70" t="s">
        <v>382</v>
      </c>
      <c r="C213" s="6" t="s">
        <v>2699</v>
      </c>
      <c r="D213" s="13"/>
      <c r="E213" s="87"/>
      <c r="F213" s="87"/>
      <c r="G213" s="87"/>
      <c r="H213" s="257"/>
      <c r="I213" s="257"/>
      <c r="J213" s="257"/>
      <c r="K213" s="257"/>
      <c r="L213" s="257"/>
    </row>
    <row r="214" spans="1:109" s="89" customFormat="1" x14ac:dyDescent="0.25">
      <c r="A214" s="166"/>
      <c r="B214" s="70" t="s">
        <v>1182</v>
      </c>
      <c r="C214" s="13"/>
      <c r="D214" s="13" t="s">
        <v>950</v>
      </c>
      <c r="E214" s="87"/>
      <c r="F214" s="87"/>
      <c r="G214" s="87"/>
      <c r="H214" s="257"/>
      <c r="I214" s="256">
        <f>18+1</f>
        <v>19</v>
      </c>
      <c r="J214" s="256">
        <v>19</v>
      </c>
      <c r="K214" s="256">
        <v>20</v>
      </c>
      <c r="L214" s="256">
        <v>20</v>
      </c>
      <c r="N214" s="241">
        <f>P214+S214+V214+Y214+AB214+AE214+AH214+AK214+AN214+AQ214+AW214+AZ214+BC214+BF214+BI214+BL214+BO214+BR214+BU214+BX214+CA214+CD214+CG214+CJ214+AT214+DE214</f>
        <v>20</v>
      </c>
      <c r="O214" s="241">
        <f t="shared" ref="O214:O215" si="886">Q214+T214+W214+Z214+AC214+AF214+AI214+AL214+AO214+AR214+AX214+BA214+BD214+BG214+BJ214+BM214+BP214+BS214+BV214+BY214+CB214+CE214+CH214+CK214+AU214+DF214</f>
        <v>0</v>
      </c>
      <c r="P214" s="89">
        <v>0</v>
      </c>
      <c r="S214" s="89">
        <v>2</v>
      </c>
      <c r="V214" s="89">
        <v>1</v>
      </c>
      <c r="Y214" s="89">
        <v>1</v>
      </c>
      <c r="AB214" s="89">
        <v>0</v>
      </c>
      <c r="AE214" s="89">
        <v>5</v>
      </c>
      <c r="AH214" s="89">
        <v>0</v>
      </c>
      <c r="AK214" s="89">
        <v>2</v>
      </c>
      <c r="AN214" s="89">
        <v>0</v>
      </c>
      <c r="AQ214" s="89">
        <v>1</v>
      </c>
      <c r="AT214" s="89">
        <v>0</v>
      </c>
      <c r="AW214" s="89">
        <v>0</v>
      </c>
      <c r="AZ214" s="89">
        <v>1</v>
      </c>
      <c r="BC214" s="89">
        <v>1</v>
      </c>
      <c r="BF214" s="89">
        <v>0</v>
      </c>
      <c r="BI214" s="89">
        <v>0</v>
      </c>
      <c r="BL214" s="89">
        <v>2</v>
      </c>
      <c r="BO214" s="89">
        <v>0</v>
      </c>
      <c r="BR214" s="89">
        <v>0</v>
      </c>
      <c r="BU214" s="89">
        <v>0</v>
      </c>
      <c r="BX214" s="89">
        <v>0</v>
      </c>
      <c r="CA214" s="89">
        <v>1</v>
      </c>
      <c r="CD214" s="89">
        <v>0</v>
      </c>
      <c r="CG214" s="89">
        <v>3</v>
      </c>
      <c r="CJ214" s="89">
        <v>0</v>
      </c>
      <c r="CS214" s="89">
        <v>0</v>
      </c>
      <c r="CV214" s="89">
        <v>0</v>
      </c>
      <c r="CY214" s="89">
        <v>0</v>
      </c>
      <c r="DB214" s="89">
        <v>0</v>
      </c>
    </row>
    <row r="215" spans="1:109" s="89" customFormat="1" x14ac:dyDescent="0.25">
      <c r="A215" s="166"/>
      <c r="B215" s="70" t="s">
        <v>1184</v>
      </c>
      <c r="C215" s="13"/>
      <c r="D215" s="13" t="s">
        <v>950</v>
      </c>
      <c r="E215" s="87"/>
      <c r="F215" s="87"/>
      <c r="G215" s="87"/>
      <c r="H215" s="257"/>
      <c r="I215" s="256">
        <v>0</v>
      </c>
      <c r="J215" s="256">
        <v>0</v>
      </c>
      <c r="K215" s="256">
        <v>0</v>
      </c>
      <c r="L215" s="256">
        <v>0</v>
      </c>
      <c r="N215" s="241">
        <f t="shared" ref="N215" si="887">P215+S215+V215+Y215+AB215+AE215+AH215+AK215+AN215+AQ215+AW215+AZ215+BC215+BF215+BI215+BL215+BO215+BR215+BU215+BX215+CA215+CD215+CG215+CJ215+AT215+DE215</f>
        <v>0</v>
      </c>
      <c r="O215" s="241">
        <f t="shared" si="886"/>
        <v>0</v>
      </c>
      <c r="DE215" s="89">
        <v>0</v>
      </c>
    </row>
    <row r="216" spans="1:109" s="89" customFormat="1" ht="30" x14ac:dyDescent="0.25">
      <c r="A216" s="166"/>
      <c r="B216" s="70" t="s">
        <v>1739</v>
      </c>
      <c r="C216" s="6" t="s">
        <v>2700</v>
      </c>
      <c r="D216" s="13"/>
      <c r="E216" s="87"/>
      <c r="F216" s="87"/>
      <c r="G216" s="87"/>
      <c r="H216" s="257"/>
      <c r="I216" s="257"/>
      <c r="J216" s="257"/>
      <c r="K216" s="257"/>
      <c r="L216" s="257"/>
    </row>
    <row r="217" spans="1:109" s="89" customFormat="1" x14ac:dyDescent="0.25">
      <c r="A217" s="166"/>
      <c r="B217" s="70" t="s">
        <v>1182</v>
      </c>
      <c r="C217" s="13"/>
      <c r="D217" s="13" t="s">
        <v>950</v>
      </c>
      <c r="E217" s="87"/>
      <c r="F217" s="87"/>
      <c r="G217" s="87"/>
      <c r="H217" s="257"/>
      <c r="I217" s="256">
        <f>110-9</f>
        <v>101</v>
      </c>
      <c r="J217" s="256">
        <v>102</v>
      </c>
      <c r="K217" s="256">
        <v>103</v>
      </c>
      <c r="L217" s="256">
        <v>106</v>
      </c>
      <c r="N217" s="241">
        <f>P217+S217+V217+Y217+AB217+AE217+AH217+AK217+AN217+AQ217+AW217+AZ217+BC217+BF217+BI217+BL217+BO217+BR217+BU217+BX217+CA217+CD217+CG217+CJ217+AT217+DE217</f>
        <v>103</v>
      </c>
      <c r="O217" s="241">
        <f t="shared" ref="O217:O218" si="888">Q217+T217+W217+Z217+AC217+AF217+AI217+AL217+AO217+AR217+AX217+BA217+BD217+BG217+BJ217+BM217+BP217+BS217+BV217+BY217+CB217+CE217+CH217+CK217+AU217+DF217</f>
        <v>0</v>
      </c>
      <c r="P217" s="89">
        <v>0</v>
      </c>
      <c r="S217" s="89">
        <v>10</v>
      </c>
      <c r="V217" s="89">
        <v>14</v>
      </c>
      <c r="Y217" s="89">
        <v>12</v>
      </c>
      <c r="AB217" s="89">
        <v>0</v>
      </c>
      <c r="AE217" s="89">
        <v>0</v>
      </c>
      <c r="AH217" s="89">
        <v>0</v>
      </c>
      <c r="AK217" s="89">
        <v>1</v>
      </c>
      <c r="AN217" s="89">
        <v>0</v>
      </c>
      <c r="AQ217" s="89">
        <v>2</v>
      </c>
      <c r="AT217" s="89">
        <v>1</v>
      </c>
      <c r="AW217" s="89">
        <v>1</v>
      </c>
      <c r="AZ217" s="89">
        <v>13</v>
      </c>
      <c r="BC217" s="89">
        <v>0</v>
      </c>
      <c r="BF217" s="89">
        <v>7</v>
      </c>
      <c r="BI217" s="89">
        <v>8</v>
      </c>
      <c r="BL217" s="89">
        <v>2</v>
      </c>
      <c r="BO217" s="89">
        <v>9</v>
      </c>
      <c r="BR217" s="89">
        <v>6</v>
      </c>
      <c r="BU217" s="89">
        <v>1</v>
      </c>
      <c r="BX217" s="89">
        <v>3</v>
      </c>
      <c r="CA217" s="89">
        <v>4</v>
      </c>
      <c r="CD217" s="89">
        <v>0</v>
      </c>
      <c r="CG217" s="89">
        <v>9</v>
      </c>
      <c r="CJ217" s="89">
        <v>0</v>
      </c>
      <c r="CS217" s="89">
        <v>0</v>
      </c>
      <c r="CV217" s="89">
        <v>0</v>
      </c>
      <c r="CY217" s="89">
        <v>9</v>
      </c>
      <c r="DB217" s="89">
        <v>0</v>
      </c>
    </row>
    <row r="218" spans="1:109" s="89" customFormat="1" x14ac:dyDescent="0.25">
      <c r="A218" s="166"/>
      <c r="B218" s="70" t="s">
        <v>1184</v>
      </c>
      <c r="C218" s="13"/>
      <c r="D218" s="13" t="s">
        <v>950</v>
      </c>
      <c r="E218" s="87"/>
      <c r="F218" s="87"/>
      <c r="G218" s="87"/>
      <c r="H218" s="257"/>
      <c r="I218" s="256">
        <v>0</v>
      </c>
      <c r="J218" s="256">
        <v>0</v>
      </c>
      <c r="K218" s="256">
        <v>0</v>
      </c>
      <c r="L218" s="256">
        <v>0</v>
      </c>
      <c r="N218" s="241">
        <f t="shared" ref="N218" si="889">P218+S218+V218+Y218+AB218+AE218+AH218+AK218+AN218+AQ218+AW218+AZ218+BC218+BF218+BI218+BL218+BO218+BR218+BU218+BX218+CA218+CD218+CG218+CJ218+AT218+DE218</f>
        <v>0</v>
      </c>
      <c r="O218" s="241">
        <f t="shared" si="888"/>
        <v>0</v>
      </c>
      <c r="DE218" s="89">
        <v>0</v>
      </c>
    </row>
    <row r="219" spans="1:109" s="89" customFormat="1" x14ac:dyDescent="0.25">
      <c r="A219" s="166"/>
      <c r="B219" s="70" t="s">
        <v>2095</v>
      </c>
      <c r="C219" s="13"/>
      <c r="D219" s="13"/>
      <c r="E219" s="87"/>
      <c r="F219" s="87"/>
      <c r="G219" s="87"/>
      <c r="H219" s="257"/>
      <c r="I219" s="257"/>
      <c r="J219" s="257"/>
      <c r="K219" s="257"/>
      <c r="L219" s="257"/>
    </row>
    <row r="220" spans="1:109" s="89" customFormat="1" ht="30" x14ac:dyDescent="0.25">
      <c r="A220" s="166"/>
      <c r="B220" s="70" t="s">
        <v>180</v>
      </c>
      <c r="C220" s="6" t="s">
        <v>2692</v>
      </c>
      <c r="D220" s="13"/>
      <c r="E220" s="87"/>
      <c r="F220" s="87"/>
      <c r="G220" s="87"/>
      <c r="H220" s="257"/>
      <c r="I220" s="257"/>
      <c r="J220" s="257"/>
      <c r="K220" s="257"/>
      <c r="L220" s="257"/>
    </row>
    <row r="221" spans="1:109" s="89" customFormat="1" x14ac:dyDescent="0.25">
      <c r="A221" s="166"/>
      <c r="B221" s="70" t="s">
        <v>1182</v>
      </c>
      <c r="C221" s="13"/>
      <c r="D221" s="13" t="s">
        <v>950</v>
      </c>
      <c r="E221" s="87"/>
      <c r="F221" s="87"/>
      <c r="G221" s="87"/>
      <c r="H221" s="257"/>
      <c r="I221" s="256">
        <v>1926</v>
      </c>
      <c r="J221" s="256">
        <v>2012</v>
      </c>
      <c r="K221" s="256">
        <v>1762</v>
      </c>
      <c r="L221" s="256">
        <v>1985</v>
      </c>
      <c r="N221" s="241">
        <f>P221+S221+V221+Y221+AB221+AE221+AH221+AK221+AN221+AQ221+AW221+AZ221+BC221+BF221+BI221+BL221+BO221+BR221+BU221+BX221+CA221+CD221+CG221+CJ221+AT221+DE221</f>
        <v>1762</v>
      </c>
      <c r="O221" s="241">
        <f t="shared" ref="O221:O222" si="890">Q221+T221+W221+Z221+AC221+AF221+AI221+AL221+AO221+AR221+AX221+BA221+BD221+BG221+BJ221+BM221+BP221+BS221+BV221+BY221+CB221+CE221+CH221+CK221+AU221+DF221</f>
        <v>0</v>
      </c>
      <c r="P221" s="89">
        <v>34</v>
      </c>
      <c r="S221" s="89">
        <v>149</v>
      </c>
      <c r="V221" s="89">
        <v>81</v>
      </c>
      <c r="Y221" s="89">
        <v>219</v>
      </c>
      <c r="AB221" s="89">
        <v>112</v>
      </c>
      <c r="AE221" s="89">
        <v>95</v>
      </c>
      <c r="AH221" s="89">
        <v>61</v>
      </c>
      <c r="AK221" s="89">
        <v>63</v>
      </c>
      <c r="AN221" s="89">
        <v>29</v>
      </c>
      <c r="AQ221" s="89">
        <v>57</v>
      </c>
      <c r="AT221" s="89">
        <v>17</v>
      </c>
      <c r="AW221" s="89">
        <v>44</v>
      </c>
      <c r="AZ221" s="89">
        <v>90</v>
      </c>
      <c r="BC221" s="89">
        <v>102</v>
      </c>
      <c r="BF221" s="89">
        <v>75</v>
      </c>
      <c r="BI221" s="89">
        <v>68</v>
      </c>
      <c r="BL221" s="89">
        <v>50</v>
      </c>
      <c r="BO221" s="89">
        <v>63</v>
      </c>
      <c r="BR221" s="89">
        <v>45</v>
      </c>
      <c r="BU221" s="89">
        <v>62</v>
      </c>
      <c r="BX221" s="89">
        <v>52</v>
      </c>
      <c r="CA221" s="89">
        <v>66</v>
      </c>
      <c r="CD221" s="89">
        <v>26</v>
      </c>
      <c r="CG221" s="89">
        <v>74</v>
      </c>
      <c r="CJ221" s="89">
        <v>28</v>
      </c>
      <c r="CS221" s="89">
        <v>45</v>
      </c>
      <c r="CV221" s="89">
        <v>35</v>
      </c>
      <c r="CY221" s="89">
        <v>79</v>
      </c>
      <c r="DB221" s="89">
        <v>27</v>
      </c>
    </row>
    <row r="222" spans="1:109" s="89" customFormat="1" x14ac:dyDescent="0.25">
      <c r="A222" s="166"/>
      <c r="B222" s="70" t="s">
        <v>1184</v>
      </c>
      <c r="C222" s="13"/>
      <c r="D222" s="13" t="s">
        <v>950</v>
      </c>
      <c r="E222" s="87"/>
      <c r="F222" s="87"/>
      <c r="G222" s="87"/>
      <c r="H222" s="257"/>
      <c r="I222" s="256">
        <v>38</v>
      </c>
      <c r="J222" s="256">
        <v>63</v>
      </c>
      <c r="K222" s="256">
        <v>81</v>
      </c>
      <c r="L222" s="256">
        <v>127</v>
      </c>
      <c r="N222" s="241">
        <f t="shared" ref="N222" si="891">P222+S222+V222+Y222+AB222+AE222+AH222+AK222+AN222+AQ222+AW222+AZ222+BC222+BF222+BI222+BL222+BO222+BR222+BU222+BX222+CA222+CD222+CG222+CJ222+AT222+DE222</f>
        <v>81</v>
      </c>
      <c r="O222" s="241">
        <f t="shared" si="890"/>
        <v>0</v>
      </c>
      <c r="DE222" s="89">
        <v>81</v>
      </c>
    </row>
    <row r="223" spans="1:109" s="89" customFormat="1" ht="30" x14ac:dyDescent="0.25">
      <c r="A223" s="166"/>
      <c r="B223" s="70" t="s">
        <v>382</v>
      </c>
      <c r="C223" s="6" t="s">
        <v>2693</v>
      </c>
      <c r="D223" s="13"/>
      <c r="E223" s="87"/>
      <c r="F223" s="87"/>
      <c r="G223" s="87"/>
      <c r="H223" s="257"/>
      <c r="I223" s="257"/>
      <c r="J223" s="257"/>
      <c r="K223" s="257"/>
      <c r="L223" s="257"/>
    </row>
    <row r="224" spans="1:109" s="89" customFormat="1" x14ac:dyDescent="0.25">
      <c r="A224" s="166"/>
      <c r="B224" s="70" t="s">
        <v>1182</v>
      </c>
      <c r="C224" s="13"/>
      <c r="D224" s="13" t="s">
        <v>8</v>
      </c>
      <c r="E224" s="87"/>
      <c r="F224" s="87"/>
      <c r="G224" s="87"/>
      <c r="H224" s="257"/>
      <c r="I224" s="256">
        <v>1225</v>
      </c>
      <c r="J224" s="256">
        <v>1273</v>
      </c>
      <c r="K224" s="256">
        <v>1081</v>
      </c>
      <c r="L224" s="256">
        <v>1262</v>
      </c>
      <c r="N224" s="241">
        <f>P224+S224+V224+Y224+AB224+AE224+AH224+AK224+AN224+AQ224+AW224+AZ224+BC224+BF224+BI224+BL224+BO224+BR224+BU224+BX224+CA224+CD224+CG224+CJ224+AT224+DE224</f>
        <v>1081</v>
      </c>
      <c r="O224" s="241">
        <f t="shared" ref="O224:O225" si="892">Q224+T224+W224+Z224+AC224+AF224+AI224+AL224+AO224+AR224+AX224+BA224+BD224+BG224+BJ224+BM224+BP224+BS224+BV224+BY224+CB224+CE224+CH224+CK224+AU224+DF224</f>
        <v>0</v>
      </c>
      <c r="P224" s="89">
        <v>20</v>
      </c>
      <c r="S224" s="89">
        <v>86</v>
      </c>
      <c r="V224" s="89">
        <v>41</v>
      </c>
      <c r="Y224" s="89">
        <v>95</v>
      </c>
      <c r="AB224" s="89">
        <v>87</v>
      </c>
      <c r="AE224" s="89">
        <v>89</v>
      </c>
      <c r="AH224" s="89">
        <v>49</v>
      </c>
      <c r="AK224" s="89">
        <v>37</v>
      </c>
      <c r="AN224" s="89">
        <v>26</v>
      </c>
      <c r="AQ224" s="89">
        <v>34</v>
      </c>
      <c r="AT224" s="89">
        <v>10</v>
      </c>
      <c r="AW224" s="89">
        <v>16</v>
      </c>
      <c r="AZ224" s="89">
        <v>51</v>
      </c>
      <c r="BC224" s="89">
        <v>90</v>
      </c>
      <c r="BF224" s="89">
        <v>46</v>
      </c>
      <c r="BI224" s="89">
        <v>38</v>
      </c>
      <c r="BL224" s="89">
        <v>35</v>
      </c>
      <c r="BO224" s="89">
        <v>23</v>
      </c>
      <c r="BR224" s="89">
        <v>16</v>
      </c>
      <c r="BU224" s="89">
        <v>38</v>
      </c>
      <c r="BX224" s="89">
        <v>25</v>
      </c>
      <c r="CA224" s="89">
        <v>42</v>
      </c>
      <c r="CD224" s="89">
        <v>22</v>
      </c>
      <c r="CG224" s="89">
        <v>38</v>
      </c>
      <c r="CJ224" s="89">
        <v>27</v>
      </c>
      <c r="CS224" s="89">
        <v>35</v>
      </c>
      <c r="CV224" s="89">
        <v>30</v>
      </c>
      <c r="CY224" s="89">
        <v>58</v>
      </c>
      <c r="DB224" s="89">
        <v>21</v>
      </c>
    </row>
    <row r="225" spans="1:109" s="89" customFormat="1" x14ac:dyDescent="0.25">
      <c r="A225" s="166"/>
      <c r="B225" s="70" t="s">
        <v>1184</v>
      </c>
      <c r="C225" s="13"/>
      <c r="D225" s="13" t="s">
        <v>8</v>
      </c>
      <c r="E225" s="87"/>
      <c r="F225" s="87"/>
      <c r="G225" s="87"/>
      <c r="H225" s="257"/>
      <c r="I225" s="256">
        <v>35</v>
      </c>
      <c r="J225" s="256">
        <v>53</v>
      </c>
      <c r="K225" s="256">
        <v>65</v>
      </c>
      <c r="L225" s="256">
        <v>93</v>
      </c>
      <c r="N225" s="241">
        <f t="shared" ref="N225" si="893">P225+S225+V225+Y225+AB225+AE225+AH225+AK225+AN225+AQ225+AW225+AZ225+BC225+BF225+BI225+BL225+BO225+BR225+BU225+BX225+CA225+CD225+CG225+CJ225+AT225+DE225</f>
        <v>65</v>
      </c>
      <c r="O225" s="241">
        <f t="shared" si="892"/>
        <v>0</v>
      </c>
      <c r="DE225" s="89">
        <v>65</v>
      </c>
    </row>
    <row r="226" spans="1:109" s="89" customFormat="1" ht="30" x14ac:dyDescent="0.25">
      <c r="A226" s="166"/>
      <c r="B226" s="70" t="s">
        <v>1739</v>
      </c>
      <c r="C226" s="6" t="s">
        <v>2694</v>
      </c>
      <c r="D226" s="13"/>
      <c r="E226" s="87"/>
      <c r="F226" s="87"/>
      <c r="G226" s="87"/>
      <c r="H226" s="257"/>
      <c r="I226" s="257"/>
      <c r="J226" s="257"/>
      <c r="K226" s="257"/>
      <c r="L226" s="257"/>
    </row>
    <row r="227" spans="1:109" s="89" customFormat="1" x14ac:dyDescent="0.25">
      <c r="A227" s="166"/>
      <c r="B227" s="70" t="s">
        <v>1182</v>
      </c>
      <c r="C227" s="13"/>
      <c r="D227" s="13" t="s">
        <v>8</v>
      </c>
      <c r="E227" s="87"/>
      <c r="F227" s="87"/>
      <c r="G227" s="87"/>
      <c r="H227" s="257"/>
      <c r="I227" s="256">
        <v>335</v>
      </c>
      <c r="J227" s="256">
        <v>334</v>
      </c>
      <c r="K227" s="256">
        <v>305</v>
      </c>
      <c r="L227" s="256">
        <v>306</v>
      </c>
      <c r="N227" s="241">
        <f>P227+S227+V227+Y227+AB227+AE227+AH227+AK227+AN227+AQ227+AW227+AZ227+BC227+BF227+BI227+BL227+BO227+BR227+BU227+BX227+CA227+CD227+CG227+CJ227+AT227+DE227</f>
        <v>305</v>
      </c>
      <c r="O227" s="241">
        <f t="shared" ref="O227:O228" si="894">Q227+T227+W227+Z227+AC227+AF227+AI227+AL227+AO227+AR227+AX227+BA227+BD227+BG227+BJ227+BM227+BP227+BS227+BV227+BY227+CB227+CE227+CH227+CK227+AU227+DF227</f>
        <v>0</v>
      </c>
      <c r="P227" s="89">
        <v>0</v>
      </c>
      <c r="S227" s="89">
        <v>25</v>
      </c>
      <c r="V227" s="89">
        <v>20</v>
      </c>
      <c r="Y227" s="89">
        <v>64</v>
      </c>
      <c r="AB227" s="89">
        <v>2</v>
      </c>
      <c r="AE227" s="89">
        <v>4</v>
      </c>
      <c r="AH227" s="89">
        <v>0</v>
      </c>
      <c r="AK227" s="89">
        <v>11</v>
      </c>
      <c r="AN227" s="89">
        <v>0</v>
      </c>
      <c r="AQ227" s="89">
        <v>11</v>
      </c>
      <c r="AT227" s="89">
        <v>4</v>
      </c>
      <c r="AW227" s="89">
        <v>11</v>
      </c>
      <c r="AZ227" s="89">
        <v>32</v>
      </c>
      <c r="BC227" s="89">
        <v>0</v>
      </c>
      <c r="BF227" s="89">
        <v>16</v>
      </c>
      <c r="BI227" s="89">
        <v>15</v>
      </c>
      <c r="BL227" s="89">
        <v>6</v>
      </c>
      <c r="BO227" s="89">
        <v>19</v>
      </c>
      <c r="BR227" s="89">
        <v>19</v>
      </c>
      <c r="BU227" s="89">
        <v>9</v>
      </c>
      <c r="BX227" s="89">
        <v>10</v>
      </c>
      <c r="CA227" s="89">
        <v>9</v>
      </c>
      <c r="CD227" s="89">
        <v>0</v>
      </c>
      <c r="CG227" s="89">
        <v>18</v>
      </c>
      <c r="CJ227" s="89">
        <v>0</v>
      </c>
      <c r="CS227" s="89">
        <v>0</v>
      </c>
      <c r="CV227" s="89">
        <v>0</v>
      </c>
      <c r="CY227" s="89">
        <v>11</v>
      </c>
      <c r="DB227" s="89">
        <v>0</v>
      </c>
    </row>
    <row r="228" spans="1:109" s="89" customFormat="1" x14ac:dyDescent="0.25">
      <c r="A228" s="166"/>
      <c r="B228" s="70" t="s">
        <v>1184</v>
      </c>
      <c r="C228" s="13"/>
      <c r="D228" s="13" t="s">
        <v>8</v>
      </c>
      <c r="E228" s="87"/>
      <c r="F228" s="87"/>
      <c r="G228" s="87"/>
      <c r="H228" s="257"/>
      <c r="I228" s="256">
        <v>0</v>
      </c>
      <c r="J228" s="256">
        <v>0</v>
      </c>
      <c r="K228" s="256">
        <v>2</v>
      </c>
      <c r="L228" s="256">
        <v>11</v>
      </c>
      <c r="N228" s="241">
        <f t="shared" ref="N228" si="895">P228+S228+V228+Y228+AB228+AE228+AH228+AK228+AN228+AQ228+AW228+AZ228+BC228+BF228+BI228+BL228+BO228+BR228+BU228+BX228+CA228+CD228+CG228+CJ228+AT228+DE228</f>
        <v>2</v>
      </c>
      <c r="O228" s="241">
        <f t="shared" si="894"/>
        <v>0</v>
      </c>
      <c r="DE228" s="89">
        <v>2</v>
      </c>
    </row>
    <row r="229" spans="1:109" ht="90" hidden="1" x14ac:dyDescent="0.25">
      <c r="A229" s="150" t="s">
        <v>391</v>
      </c>
      <c r="B229" s="51" t="s">
        <v>381</v>
      </c>
      <c r="C229" s="158"/>
      <c r="D229" s="150"/>
      <c r="E229" s="159"/>
      <c r="F229" s="159"/>
      <c r="G229" s="159"/>
      <c r="H229" s="159"/>
      <c r="I229" s="159"/>
      <c r="J229" s="159"/>
      <c r="K229" s="159"/>
      <c r="L229" s="159"/>
      <c r="M229" s="3" t="s">
        <v>23</v>
      </c>
    </row>
    <row r="230" spans="1:109" hidden="1" x14ac:dyDescent="0.25">
      <c r="A230" s="150"/>
      <c r="B230" s="51" t="s">
        <v>180</v>
      </c>
      <c r="C230" s="158"/>
      <c r="D230" s="150" t="s">
        <v>8</v>
      </c>
      <c r="E230" s="164">
        <v>86.67</v>
      </c>
      <c r="F230" s="164" t="e">
        <f>F232/F234*100</f>
        <v>#DIV/0!</v>
      </c>
      <c r="G230" s="164" t="e">
        <f>G232/G234*100</f>
        <v>#DIV/0!</v>
      </c>
      <c r="H230" s="164">
        <v>80</v>
      </c>
      <c r="I230" s="164">
        <f>I236/I237*100</f>
        <v>85.921325051759837</v>
      </c>
      <c r="J230" s="164">
        <f>J236/J237*100</f>
        <v>85.921325051759837</v>
      </c>
      <c r="K230" s="164">
        <f>K236/K237*100</f>
        <v>85.921325051759837</v>
      </c>
      <c r="L230" s="164">
        <f>L236/L237*100</f>
        <v>85.921325051759837</v>
      </c>
      <c r="M230" s="3"/>
    </row>
    <row r="231" spans="1:109" hidden="1" x14ac:dyDescent="0.25">
      <c r="A231" s="150"/>
      <c r="B231" s="51" t="s">
        <v>382</v>
      </c>
      <c r="C231" s="158"/>
      <c r="D231" s="150" t="s">
        <v>8</v>
      </c>
      <c r="E231" s="164">
        <v>100</v>
      </c>
      <c r="F231" s="164" t="e">
        <f>F233/F235*100</f>
        <v>#DIV/0!</v>
      </c>
      <c r="G231" s="164" t="e">
        <f>G233/G235*100</f>
        <v>#DIV/0!</v>
      </c>
      <c r="H231" s="164">
        <v>100</v>
      </c>
      <c r="I231" s="164">
        <f>I238/I239*100</f>
        <v>93.170731707317074</v>
      </c>
      <c r="J231" s="164">
        <f>J238/J239*100</f>
        <v>93.170731707317074</v>
      </c>
      <c r="K231" s="164">
        <f>K238/K239*100</f>
        <v>93.170731707317074</v>
      </c>
      <c r="L231" s="164">
        <f>L238/L239*100</f>
        <v>93.170731707317074</v>
      </c>
      <c r="M231" s="3"/>
    </row>
    <row r="232" spans="1:109" ht="90" hidden="1" x14ac:dyDescent="0.25">
      <c r="A232" s="8"/>
      <c r="B232" s="16" t="s">
        <v>383</v>
      </c>
      <c r="C232" s="6" t="s">
        <v>384</v>
      </c>
      <c r="D232" s="6" t="s">
        <v>950</v>
      </c>
      <c r="E232" s="12"/>
      <c r="F232" s="12">
        <v>0</v>
      </c>
      <c r="G232" s="12">
        <v>0</v>
      </c>
      <c r="H232" s="12"/>
      <c r="I232" s="12"/>
      <c r="J232" s="12"/>
      <c r="K232" s="12"/>
      <c r="L232" s="12"/>
      <c r="M232" s="3"/>
    </row>
    <row r="233" spans="1:109" ht="90" hidden="1" x14ac:dyDescent="0.25">
      <c r="A233" s="8"/>
      <c r="B233" s="16" t="s">
        <v>385</v>
      </c>
      <c r="C233" s="6" t="s">
        <v>386</v>
      </c>
      <c r="D233" s="6" t="s">
        <v>950</v>
      </c>
      <c r="E233" s="12"/>
      <c r="F233" s="12">
        <v>0</v>
      </c>
      <c r="G233" s="12">
        <v>0</v>
      </c>
      <c r="H233" s="12"/>
      <c r="I233" s="12"/>
      <c r="J233" s="12"/>
      <c r="K233" s="12"/>
      <c r="L233" s="12"/>
    </row>
    <row r="234" spans="1:109" ht="90" hidden="1" x14ac:dyDescent="0.25">
      <c r="A234" s="8"/>
      <c r="B234" s="16" t="s">
        <v>387</v>
      </c>
      <c r="C234" s="6" t="s">
        <v>388</v>
      </c>
      <c r="D234" s="6" t="s">
        <v>950</v>
      </c>
      <c r="E234" s="12"/>
      <c r="F234" s="12">
        <v>0</v>
      </c>
      <c r="G234" s="12">
        <v>0</v>
      </c>
      <c r="H234" s="12"/>
      <c r="I234" s="12"/>
      <c r="J234" s="12"/>
      <c r="K234" s="12"/>
      <c r="L234" s="12"/>
    </row>
    <row r="235" spans="1:109" ht="75" hidden="1" x14ac:dyDescent="0.25">
      <c r="A235" s="8"/>
      <c r="B235" s="16" t="s">
        <v>389</v>
      </c>
      <c r="C235" s="6" t="s">
        <v>390</v>
      </c>
      <c r="D235" s="6" t="s">
        <v>950</v>
      </c>
      <c r="E235" s="12"/>
      <c r="F235" s="12">
        <v>0</v>
      </c>
      <c r="G235" s="12">
        <v>0</v>
      </c>
      <c r="H235" s="12"/>
      <c r="I235" s="12"/>
      <c r="J235" s="12"/>
      <c r="K235" s="12"/>
      <c r="L235" s="12"/>
    </row>
    <row r="236" spans="1:109" ht="30" hidden="1" x14ac:dyDescent="0.25">
      <c r="A236" s="8"/>
      <c r="B236" s="16"/>
      <c r="C236" s="6" t="s">
        <v>2061</v>
      </c>
      <c r="D236" s="6"/>
      <c r="E236" s="12"/>
      <c r="F236" s="12"/>
      <c r="G236" s="12"/>
      <c r="H236" s="12"/>
      <c r="I236" s="12">
        <v>830</v>
      </c>
      <c r="J236" s="12">
        <v>830</v>
      </c>
      <c r="K236" s="12">
        <v>830</v>
      </c>
      <c r="L236" s="12">
        <v>830</v>
      </c>
    </row>
    <row r="237" spans="1:109" ht="30" hidden="1" x14ac:dyDescent="0.25">
      <c r="A237" s="8"/>
      <c r="B237" s="16"/>
      <c r="C237" s="6" t="s">
        <v>2062</v>
      </c>
      <c r="D237" s="6"/>
      <c r="E237" s="12"/>
      <c r="F237" s="12"/>
      <c r="G237" s="12"/>
      <c r="H237" s="12"/>
      <c r="I237" s="12">
        <v>966</v>
      </c>
      <c r="J237" s="12">
        <v>966</v>
      </c>
      <c r="K237" s="12">
        <v>966</v>
      </c>
      <c r="L237" s="12">
        <v>966</v>
      </c>
    </row>
    <row r="238" spans="1:109" ht="30" hidden="1" x14ac:dyDescent="0.25">
      <c r="A238" s="8"/>
      <c r="B238" s="16"/>
      <c r="C238" s="6" t="s">
        <v>2060</v>
      </c>
      <c r="D238" s="6"/>
      <c r="E238" s="12"/>
      <c r="F238" s="12"/>
      <c r="G238" s="12"/>
      <c r="H238" s="12"/>
      <c r="I238" s="12">
        <v>191</v>
      </c>
      <c r="J238" s="12">
        <v>191</v>
      </c>
      <c r="K238" s="12">
        <v>191</v>
      </c>
      <c r="L238" s="12">
        <v>191</v>
      </c>
    </row>
    <row r="239" spans="1:109" ht="30" hidden="1" x14ac:dyDescent="0.25">
      <c r="A239" s="8"/>
      <c r="B239" s="16"/>
      <c r="C239" s="6" t="s">
        <v>2059</v>
      </c>
      <c r="D239" s="6"/>
      <c r="E239" s="12"/>
      <c r="F239" s="12"/>
      <c r="G239" s="12"/>
      <c r="H239" s="12"/>
      <c r="I239" s="12">
        <v>205</v>
      </c>
      <c r="J239" s="12">
        <v>205</v>
      </c>
      <c r="K239" s="12">
        <v>205</v>
      </c>
      <c r="L239" s="12">
        <v>205</v>
      </c>
    </row>
    <row r="240" spans="1:109" ht="90" hidden="1" x14ac:dyDescent="0.25">
      <c r="A240" s="150" t="s">
        <v>392</v>
      </c>
      <c r="B240" s="51" t="s">
        <v>393</v>
      </c>
      <c r="C240" s="158"/>
      <c r="D240" s="150"/>
      <c r="E240" s="159"/>
      <c r="F240" s="159"/>
      <c r="G240" s="159"/>
      <c r="H240" s="159"/>
      <c r="I240" s="159"/>
      <c r="J240" s="159"/>
      <c r="K240" s="159"/>
      <c r="L240" s="159"/>
      <c r="M240" s="3" t="s">
        <v>281</v>
      </c>
    </row>
    <row r="241" spans="1:13" hidden="1" x14ac:dyDescent="0.25">
      <c r="A241" s="169"/>
      <c r="B241" s="51" t="s">
        <v>180</v>
      </c>
      <c r="C241" s="158"/>
      <c r="D241" s="150"/>
      <c r="E241" s="159"/>
      <c r="F241" s="159"/>
      <c r="G241" s="159"/>
      <c r="H241" s="159"/>
      <c r="I241" s="159"/>
      <c r="J241" s="159"/>
      <c r="K241" s="159"/>
      <c r="L241" s="159"/>
      <c r="M241" s="3"/>
    </row>
    <row r="242" spans="1:13" hidden="1" x14ac:dyDescent="0.25">
      <c r="A242" s="169"/>
      <c r="B242" s="135" t="s">
        <v>1182</v>
      </c>
      <c r="C242" s="150"/>
      <c r="D242" s="150" t="s">
        <v>8</v>
      </c>
      <c r="E242" s="164">
        <v>87.8</v>
      </c>
      <c r="F242" s="164">
        <v>90.14</v>
      </c>
      <c r="G242" s="164">
        <v>89.76</v>
      </c>
      <c r="H242" s="164">
        <v>91.22</v>
      </c>
      <c r="I242" s="164">
        <f t="shared" ref="I242:K243" si="896">I248/I251*100</f>
        <v>90.724637681159422</v>
      </c>
      <c r="J242" s="164">
        <f t="shared" si="896"/>
        <v>90.724637681159422</v>
      </c>
      <c r="K242" s="164">
        <f t="shared" si="896"/>
        <v>90.724637681159422</v>
      </c>
      <c r="L242" s="164">
        <f t="shared" ref="L242" si="897">L248/L251*100</f>
        <v>90.724637681159422</v>
      </c>
      <c r="M242" s="3"/>
    </row>
    <row r="243" spans="1:13" hidden="1" x14ac:dyDescent="0.25">
      <c r="A243" s="169"/>
      <c r="B243" s="135" t="s">
        <v>1184</v>
      </c>
      <c r="C243" s="150"/>
      <c r="D243" s="150" t="s">
        <v>8</v>
      </c>
      <c r="E243" s="164">
        <v>100</v>
      </c>
      <c r="F243" s="164" t="e">
        <f>F249/F252*100</f>
        <v>#DIV/0!</v>
      </c>
      <c r="G243" s="164" t="e">
        <f>G249/G252*100</f>
        <v>#DIV/0!</v>
      </c>
      <c r="H243" s="164">
        <v>100</v>
      </c>
      <c r="I243" s="164">
        <f t="shared" si="896"/>
        <v>97.368421052631575</v>
      </c>
      <c r="J243" s="164">
        <f t="shared" si="896"/>
        <v>97.368421052631575</v>
      </c>
      <c r="K243" s="164">
        <f t="shared" si="896"/>
        <v>97.368421052631575</v>
      </c>
      <c r="L243" s="164">
        <f t="shared" ref="L243" si="898">L249/L252*100</f>
        <v>97.368421052631575</v>
      </c>
      <c r="M243" s="3"/>
    </row>
    <row r="244" spans="1:13" hidden="1" x14ac:dyDescent="0.25">
      <c r="A244" s="169"/>
      <c r="B244" s="51" t="s">
        <v>382</v>
      </c>
      <c r="C244" s="158"/>
      <c r="D244" s="150"/>
      <c r="E244" s="159"/>
      <c r="F244" s="159"/>
      <c r="G244" s="159"/>
      <c r="H244" s="159"/>
      <c r="I244" s="159"/>
      <c r="J244" s="159"/>
      <c r="K244" s="159"/>
      <c r="L244" s="159"/>
      <c r="M244" s="3"/>
    </row>
    <row r="245" spans="1:13" hidden="1" x14ac:dyDescent="0.25">
      <c r="A245" s="169"/>
      <c r="B245" s="135" t="s">
        <v>1182</v>
      </c>
      <c r="C245" s="158"/>
      <c r="D245" s="150" t="s">
        <v>8</v>
      </c>
      <c r="E245" s="164">
        <v>97.51</v>
      </c>
      <c r="F245" s="164">
        <v>97.55</v>
      </c>
      <c r="G245" s="164">
        <v>97.13</v>
      </c>
      <c r="H245" s="164">
        <v>98.07</v>
      </c>
      <c r="I245" s="164">
        <f t="shared" ref="I245:K246" si="899">I254/I257*100</f>
        <v>96.760710553813993</v>
      </c>
      <c r="J245" s="164">
        <f t="shared" si="899"/>
        <v>96.760710553813993</v>
      </c>
      <c r="K245" s="164">
        <f t="shared" si="899"/>
        <v>96.760710553813993</v>
      </c>
      <c r="L245" s="164">
        <f t="shared" ref="L245" si="900">L254/L257*100</f>
        <v>96.760710553813993</v>
      </c>
      <c r="M245" s="3"/>
    </row>
    <row r="246" spans="1:13" hidden="1" x14ac:dyDescent="0.25">
      <c r="A246" s="169"/>
      <c r="B246" s="135" t="s">
        <v>1184</v>
      </c>
      <c r="C246" s="158"/>
      <c r="D246" s="150" t="s">
        <v>8</v>
      </c>
      <c r="E246" s="164">
        <v>100</v>
      </c>
      <c r="F246" s="164" t="e">
        <f>F255/F258*100</f>
        <v>#DIV/0!</v>
      </c>
      <c r="G246" s="164" t="e">
        <f>G255/G258*100</f>
        <v>#DIV/0!</v>
      </c>
      <c r="H246" s="164">
        <v>100</v>
      </c>
      <c r="I246" s="164">
        <f t="shared" si="899"/>
        <v>97.142857142857139</v>
      </c>
      <c r="J246" s="164">
        <f t="shared" si="899"/>
        <v>97.142857142857139</v>
      </c>
      <c r="K246" s="164">
        <f t="shared" si="899"/>
        <v>97.142857142857139</v>
      </c>
      <c r="L246" s="164">
        <f t="shared" ref="L246" si="901">L255/L258*100</f>
        <v>97.142857142857139</v>
      </c>
      <c r="M246" s="3"/>
    </row>
    <row r="247" spans="1:13" ht="90" hidden="1" x14ac:dyDescent="0.25">
      <c r="A247" s="23"/>
      <c r="B247" s="16" t="s">
        <v>394</v>
      </c>
      <c r="C247" s="6" t="s">
        <v>2061</v>
      </c>
      <c r="D247" s="6" t="s">
        <v>950</v>
      </c>
      <c r="E247" s="12"/>
      <c r="F247" s="12"/>
      <c r="G247" s="12"/>
      <c r="H247" s="12"/>
      <c r="I247" s="12"/>
      <c r="J247" s="12"/>
      <c r="K247" s="12"/>
      <c r="L247" s="12"/>
    </row>
    <row r="248" spans="1:13" hidden="1" x14ac:dyDescent="0.25">
      <c r="A248" s="23"/>
      <c r="B248" s="16" t="s">
        <v>1182</v>
      </c>
      <c r="C248" s="6"/>
      <c r="D248" s="6"/>
      <c r="E248" s="12"/>
      <c r="F248" s="12">
        <v>1131</v>
      </c>
      <c r="G248" s="12"/>
      <c r="H248" s="12"/>
      <c r="I248" s="12">
        <v>1565</v>
      </c>
      <c r="J248" s="12">
        <v>1565</v>
      </c>
      <c r="K248" s="12">
        <v>1565</v>
      </c>
      <c r="L248" s="12">
        <v>1565</v>
      </c>
    </row>
    <row r="249" spans="1:13" hidden="1" x14ac:dyDescent="0.25">
      <c r="A249" s="23"/>
      <c r="B249" s="16" t="s">
        <v>1184</v>
      </c>
      <c r="C249" s="6"/>
      <c r="D249" s="6"/>
      <c r="E249" s="12"/>
      <c r="F249" s="12">
        <v>0</v>
      </c>
      <c r="G249" s="12"/>
      <c r="H249" s="12"/>
      <c r="I249" s="12">
        <v>37</v>
      </c>
      <c r="J249" s="12">
        <v>37</v>
      </c>
      <c r="K249" s="12">
        <v>37</v>
      </c>
      <c r="L249" s="12">
        <v>37</v>
      </c>
    </row>
    <row r="250" spans="1:13" ht="75" hidden="1" x14ac:dyDescent="0.25">
      <c r="A250" s="23"/>
      <c r="B250" s="16" t="s">
        <v>395</v>
      </c>
      <c r="C250" s="6" t="s">
        <v>2062</v>
      </c>
      <c r="D250" s="6" t="s">
        <v>950</v>
      </c>
      <c r="E250" s="12"/>
      <c r="F250" s="12"/>
      <c r="G250" s="12"/>
      <c r="H250" s="12"/>
      <c r="I250" s="12"/>
      <c r="J250" s="12"/>
      <c r="K250" s="12"/>
      <c r="L250" s="12"/>
    </row>
    <row r="251" spans="1:13" hidden="1" x14ac:dyDescent="0.25">
      <c r="A251" s="23"/>
      <c r="B251" s="16" t="s">
        <v>1182</v>
      </c>
      <c r="C251" s="6"/>
      <c r="D251" s="6"/>
      <c r="E251" s="12"/>
      <c r="F251" s="12">
        <v>1772</v>
      </c>
      <c r="G251" s="12"/>
      <c r="H251" s="12">
        <v>1657</v>
      </c>
      <c r="I251" s="12">
        <v>1725</v>
      </c>
      <c r="J251" s="12">
        <v>1725</v>
      </c>
      <c r="K251" s="12">
        <v>1725</v>
      </c>
      <c r="L251" s="12">
        <v>1725</v>
      </c>
    </row>
    <row r="252" spans="1:13" hidden="1" x14ac:dyDescent="0.25">
      <c r="A252" s="23"/>
      <c r="B252" s="16" t="s">
        <v>1184</v>
      </c>
      <c r="C252" s="6"/>
      <c r="D252" s="6"/>
      <c r="E252" s="12"/>
      <c r="F252" s="12">
        <v>0</v>
      </c>
      <c r="G252" s="12"/>
      <c r="H252" s="12"/>
      <c r="I252" s="12">
        <v>38</v>
      </c>
      <c r="J252" s="12">
        <v>38</v>
      </c>
      <c r="K252" s="12">
        <v>38</v>
      </c>
      <c r="L252" s="12">
        <v>38</v>
      </c>
    </row>
    <row r="253" spans="1:13" ht="75" hidden="1" x14ac:dyDescent="0.25">
      <c r="A253" s="23"/>
      <c r="B253" s="16" t="s">
        <v>397</v>
      </c>
      <c r="C253" s="6" t="s">
        <v>2060</v>
      </c>
      <c r="D253" s="6" t="s">
        <v>950</v>
      </c>
      <c r="E253" s="12"/>
      <c r="F253" s="12"/>
      <c r="G253" s="12"/>
      <c r="H253" s="12"/>
      <c r="I253" s="12"/>
      <c r="J253" s="12"/>
      <c r="K253" s="12"/>
      <c r="L253" s="12"/>
    </row>
    <row r="254" spans="1:13" hidden="1" x14ac:dyDescent="0.25">
      <c r="A254" s="23"/>
      <c r="B254" s="16" t="s">
        <v>1182</v>
      </c>
      <c r="C254" s="6"/>
      <c r="D254" s="6"/>
      <c r="E254" s="12"/>
      <c r="F254" s="12">
        <v>668</v>
      </c>
      <c r="G254" s="12"/>
      <c r="H254" s="12"/>
      <c r="I254" s="12">
        <v>926</v>
      </c>
      <c r="J254" s="12">
        <v>926</v>
      </c>
      <c r="K254" s="12">
        <v>926</v>
      </c>
      <c r="L254" s="12">
        <v>926</v>
      </c>
    </row>
    <row r="255" spans="1:13" hidden="1" x14ac:dyDescent="0.25">
      <c r="A255" s="23"/>
      <c r="B255" s="16" t="s">
        <v>1184</v>
      </c>
      <c r="C255" s="6"/>
      <c r="D255" s="6"/>
      <c r="E255" s="12"/>
      <c r="F255" s="12">
        <v>0</v>
      </c>
      <c r="G255" s="12"/>
      <c r="H255" s="12"/>
      <c r="I255" s="12">
        <v>34</v>
      </c>
      <c r="J255" s="12">
        <v>34</v>
      </c>
      <c r="K255" s="12">
        <v>34</v>
      </c>
      <c r="L255" s="12">
        <v>34</v>
      </c>
    </row>
    <row r="256" spans="1:13" ht="75" hidden="1" x14ac:dyDescent="0.25">
      <c r="A256" s="23"/>
      <c r="B256" s="16" t="s">
        <v>398</v>
      </c>
      <c r="C256" s="6" t="s">
        <v>2059</v>
      </c>
      <c r="D256" s="6" t="s">
        <v>950</v>
      </c>
      <c r="E256" s="12"/>
      <c r="F256" s="12"/>
      <c r="G256" s="12"/>
      <c r="H256" s="12"/>
      <c r="I256" s="12"/>
      <c r="J256" s="12"/>
      <c r="K256" s="12"/>
      <c r="L256" s="12"/>
    </row>
    <row r="257" spans="1:110" hidden="1" x14ac:dyDescent="0.25">
      <c r="A257" s="23"/>
      <c r="B257" s="16" t="s">
        <v>1182</v>
      </c>
      <c r="C257" s="6"/>
      <c r="D257" s="6"/>
      <c r="E257" s="12"/>
      <c r="F257" s="12">
        <v>1133</v>
      </c>
      <c r="G257" s="12"/>
      <c r="H257" s="12"/>
      <c r="I257" s="12">
        <v>957</v>
      </c>
      <c r="J257" s="12">
        <v>957</v>
      </c>
      <c r="K257" s="12">
        <v>957</v>
      </c>
      <c r="L257" s="12">
        <v>957</v>
      </c>
    </row>
    <row r="258" spans="1:110" hidden="1" x14ac:dyDescent="0.25">
      <c r="A258" s="23"/>
      <c r="B258" s="16" t="s">
        <v>1184</v>
      </c>
      <c r="C258" s="6"/>
      <c r="D258" s="6"/>
      <c r="E258" s="12"/>
      <c r="F258" s="12">
        <v>0</v>
      </c>
      <c r="G258" s="12"/>
      <c r="H258" s="12"/>
      <c r="I258" s="12">
        <v>35</v>
      </c>
      <c r="J258" s="12">
        <v>35</v>
      </c>
      <c r="K258" s="12">
        <v>35</v>
      </c>
      <c r="L258" s="12">
        <v>35</v>
      </c>
    </row>
    <row r="259" spans="1:110" ht="75" x14ac:dyDescent="0.25">
      <c r="A259" s="42" t="s">
        <v>392</v>
      </c>
      <c r="B259" s="46" t="s">
        <v>1741</v>
      </c>
      <c r="C259" s="42"/>
      <c r="D259" s="42"/>
      <c r="E259" s="49"/>
      <c r="F259" s="49"/>
      <c r="G259" s="49"/>
      <c r="H259" s="49"/>
      <c r="I259" s="49"/>
      <c r="J259" s="49"/>
      <c r="K259" s="49"/>
      <c r="L259" s="49"/>
    </row>
    <row r="260" spans="1:110" x14ac:dyDescent="0.25">
      <c r="A260" s="55"/>
      <c r="B260" s="46" t="s">
        <v>1126</v>
      </c>
      <c r="C260" s="42"/>
      <c r="D260" s="42"/>
      <c r="E260" s="49"/>
      <c r="F260" s="49"/>
      <c r="G260" s="49"/>
      <c r="H260" s="49"/>
      <c r="I260" s="49"/>
      <c r="J260" s="49"/>
      <c r="K260" s="49"/>
      <c r="L260" s="49"/>
    </row>
    <row r="261" spans="1:110" x14ac:dyDescent="0.25">
      <c r="A261" s="55"/>
      <c r="B261" s="46" t="s">
        <v>1182</v>
      </c>
      <c r="C261" s="42"/>
      <c r="D261" s="42" t="s">
        <v>8</v>
      </c>
      <c r="E261" s="49"/>
      <c r="F261" s="49"/>
      <c r="G261" s="49"/>
      <c r="H261" s="49"/>
      <c r="I261" s="45">
        <f>I268/$I$274*100</f>
        <v>30.114226375908622</v>
      </c>
      <c r="J261" s="45">
        <f>J268/$J$274*100</f>
        <v>29.473161033797219</v>
      </c>
      <c r="K261" s="45">
        <f>K268/$K$274*100</f>
        <v>32.122587968217935</v>
      </c>
      <c r="L261" s="45">
        <f>L268/$L$274*100</f>
        <v>34.408060453400502</v>
      </c>
      <c r="N261" s="45">
        <f t="shared" ref="N261:Q262" si="902">N268/N274*100</f>
        <v>32.122587968217935</v>
      </c>
      <c r="O261" s="45" t="e">
        <f t="shared" si="902"/>
        <v>#DIV/0!</v>
      </c>
      <c r="P261" s="45">
        <f t="shared" si="902"/>
        <v>32.352941176470587</v>
      </c>
      <c r="Q261" s="45" t="e">
        <f t="shared" si="902"/>
        <v>#DIV/0!</v>
      </c>
      <c r="S261" s="45">
        <f>S268/S274*100</f>
        <v>44.966442953020135</v>
      </c>
      <c r="T261" s="45" t="e">
        <f>T268/T274*100</f>
        <v>#DIV/0!</v>
      </c>
      <c r="V261" s="45">
        <f>V268/V274*100</f>
        <v>22.222222222222221</v>
      </c>
      <c r="W261" s="45" t="e">
        <f>W268/W274*100</f>
        <v>#DIV/0!</v>
      </c>
      <c r="Y261" s="45">
        <f>Y268/Y274*100</f>
        <v>26.484018264840181</v>
      </c>
      <c r="Z261" s="45" t="e">
        <f>Z268/Z274*100</f>
        <v>#DIV/0!</v>
      </c>
      <c r="AA261" s="241"/>
      <c r="AB261" s="45">
        <f>AB268/AB274*100</f>
        <v>45.535714285714285</v>
      </c>
      <c r="AC261" s="45" t="e">
        <f>AC268/AC274*100</f>
        <v>#DIV/0!</v>
      </c>
      <c r="AD261" s="241"/>
      <c r="AE261" s="45">
        <f>AE268/AE274*100</f>
        <v>32.631578947368425</v>
      </c>
      <c r="AF261" s="45" t="e">
        <f>AF268/AF274*100</f>
        <v>#DIV/0!</v>
      </c>
      <c r="AH261" s="45">
        <f>AH268/AH274*100</f>
        <v>50.819672131147541</v>
      </c>
      <c r="AI261" s="45" t="e">
        <f>AI268/AI274*100</f>
        <v>#DIV/0!</v>
      </c>
      <c r="AJ261" s="241"/>
      <c r="AK261" s="45">
        <f>AK268/AK274*100</f>
        <v>12.698412698412698</v>
      </c>
      <c r="AL261" s="45" t="e">
        <f>AL268/AL274*100</f>
        <v>#DIV/0!</v>
      </c>
      <c r="AM261" s="241"/>
      <c r="AN261" s="45">
        <f>AN268/AN274*100</f>
        <v>27.586206896551722</v>
      </c>
      <c r="AO261" s="45" t="e">
        <f>AO268/AO274*100</f>
        <v>#DIV/0!</v>
      </c>
      <c r="AQ261" s="45">
        <f>AQ268/AQ274*100</f>
        <v>29.82456140350877</v>
      </c>
      <c r="AR261" s="45" t="e">
        <f>AR268/AR274*100</f>
        <v>#DIV/0!</v>
      </c>
      <c r="AS261" s="241"/>
      <c r="AT261" s="45">
        <f>AT268/AT274*100</f>
        <v>58.82352941176471</v>
      </c>
      <c r="AU261" s="45" t="e">
        <f>AU268/AU274*100</f>
        <v>#DIV/0!</v>
      </c>
      <c r="AW261" s="45">
        <f>AW268/AW274*100</f>
        <v>27.27272727272727</v>
      </c>
      <c r="AX261" s="45" t="e">
        <f>AX268/AX274*100</f>
        <v>#DIV/0!</v>
      </c>
      <c r="AZ261" s="45">
        <f>AZ268/AZ274*100</f>
        <v>32.222222222222221</v>
      </c>
      <c r="BA261" s="45" t="e">
        <f>BA268/BA274*100</f>
        <v>#DIV/0!</v>
      </c>
      <c r="BB261" s="241"/>
      <c r="BC261" s="45">
        <f>BC268/BC274*100</f>
        <v>58.82352941176471</v>
      </c>
      <c r="BD261" s="45" t="e">
        <f>BD268/BD274*100</f>
        <v>#DIV/0!</v>
      </c>
      <c r="BE261" s="241"/>
      <c r="BF261" s="45">
        <f>BF268/BF274*100</f>
        <v>20</v>
      </c>
      <c r="BG261" s="45" t="e">
        <f>BG268/BG274*100</f>
        <v>#DIV/0!</v>
      </c>
      <c r="BI261" s="45">
        <f>BI268/BI274*100</f>
        <v>27.941176470588236</v>
      </c>
      <c r="BJ261" s="45" t="e">
        <f>BJ268/BJ274*100</f>
        <v>#DIV/0!</v>
      </c>
      <c r="BK261" s="241"/>
      <c r="BL261" s="45">
        <f>BL268/BL274*100</f>
        <v>46</v>
      </c>
      <c r="BM261" s="45" t="e">
        <f>BM268/BM274*100</f>
        <v>#DIV/0!</v>
      </c>
      <c r="BN261" s="241"/>
      <c r="BO261" s="45">
        <f>BO268/BO274*100</f>
        <v>11.111111111111111</v>
      </c>
      <c r="BP261" s="45" t="e">
        <f>BP268/BP274*100</f>
        <v>#DIV/0!</v>
      </c>
      <c r="BR261" s="45">
        <f>BR268/BR274*100</f>
        <v>24.444444444444443</v>
      </c>
      <c r="BS261" s="45" t="e">
        <f>BS268/BS274*100</f>
        <v>#DIV/0!</v>
      </c>
      <c r="BT261" s="241"/>
      <c r="BU261" s="45">
        <f>BU268/BU274*100</f>
        <v>14.516129032258066</v>
      </c>
      <c r="BV261" s="45" t="e">
        <f>BV268/BV274*100</f>
        <v>#DIV/0!</v>
      </c>
      <c r="BW261" s="241"/>
      <c r="BX261" s="45">
        <f>BX268/BX274*100</f>
        <v>36.538461538461533</v>
      </c>
      <c r="BY261" s="45" t="e">
        <f>BY268/BY274*100</f>
        <v>#DIV/0!</v>
      </c>
      <c r="CA261" s="45">
        <f>CA268/CA274*100</f>
        <v>24.242424242424242</v>
      </c>
      <c r="CB261" s="45" t="e">
        <f>CB268/CB274*100</f>
        <v>#DIV/0!</v>
      </c>
      <c r="CC261" s="241"/>
      <c r="CD261" s="45">
        <f>CD268/CD274*100</f>
        <v>53.846153846153847</v>
      </c>
      <c r="CE261" s="45" t="e">
        <f>CE268/CE274*100</f>
        <v>#DIV/0!</v>
      </c>
      <c r="CF261" s="241"/>
      <c r="CG261" s="45">
        <f>CG268/CG274*100</f>
        <v>16.216216216216218</v>
      </c>
      <c r="CH261" s="45" t="e">
        <f>CH268/CH274*100</f>
        <v>#DIV/0!</v>
      </c>
      <c r="CJ261" s="45">
        <f>CJ268/CJ274*100</f>
        <v>35.714285714285715</v>
      </c>
      <c r="CK261" s="45" t="e">
        <f>CK268/CK274*100</f>
        <v>#DIV/0!</v>
      </c>
      <c r="CM261" s="45" t="e">
        <f>CM268/CM274*100</f>
        <v>#DIV/0!</v>
      </c>
      <c r="CN261" s="45" t="e">
        <f>CN268/CN274*100</f>
        <v>#DIV/0!</v>
      </c>
      <c r="CP261" s="45" t="e">
        <f>CP268/CP274*100</f>
        <v>#DIV/0!</v>
      </c>
      <c r="CQ261" s="45" t="e">
        <f>CQ268/CQ274*100</f>
        <v>#DIV/0!</v>
      </c>
      <c r="CS261" s="45">
        <f>CS268/CS274*100</f>
        <v>48.888888888888886</v>
      </c>
      <c r="CT261" s="45" t="e">
        <f>CT268/CT274*100</f>
        <v>#DIV/0!</v>
      </c>
      <c r="CV261" s="45">
        <f>CV268/CV274*100</f>
        <v>31.428571428571427</v>
      </c>
      <c r="CW261" s="45" t="e">
        <f>CW268/CW274*100</f>
        <v>#DIV/0!</v>
      </c>
      <c r="CY261" s="45">
        <f>CY268/CY274*100</f>
        <v>30.37974683544304</v>
      </c>
      <c r="CZ261" s="45" t="e">
        <f>CZ268/CZ274*100</f>
        <v>#DIV/0!</v>
      </c>
      <c r="DB261" s="45">
        <f>DB268/DB274*100</f>
        <v>37.037037037037038</v>
      </c>
      <c r="DC261" s="45" t="e">
        <f>DC268/DC274*100</f>
        <v>#DIV/0!</v>
      </c>
      <c r="DE261" s="45" t="e">
        <f>DE268/DE274*100</f>
        <v>#DIV/0!</v>
      </c>
      <c r="DF261" s="45" t="e">
        <f>DF268/DF274*100</f>
        <v>#DIV/0!</v>
      </c>
    </row>
    <row r="262" spans="1:110" x14ac:dyDescent="0.25">
      <c r="A262" s="55"/>
      <c r="B262" s="46" t="s">
        <v>1184</v>
      </c>
      <c r="C262" s="42"/>
      <c r="D262" s="42" t="s">
        <v>8</v>
      </c>
      <c r="E262" s="49"/>
      <c r="F262" s="49"/>
      <c r="G262" s="49"/>
      <c r="H262" s="49"/>
      <c r="I262" s="45">
        <f>I269/$I$275*100</f>
        <v>2.6315789473684208</v>
      </c>
      <c r="J262" s="45">
        <f>J269/$J$275*100</f>
        <v>3.1746031746031744</v>
      </c>
      <c r="K262" s="45">
        <f>K269/$K$275*100</f>
        <v>11.111111111111111</v>
      </c>
      <c r="L262" s="45">
        <f>L269/$L$275*100</f>
        <v>9.4488188976377945</v>
      </c>
      <c r="N262" s="45">
        <f t="shared" si="902"/>
        <v>11.111111111111111</v>
      </c>
      <c r="O262" s="45" t="e">
        <f t="shared" si="902"/>
        <v>#DIV/0!</v>
      </c>
      <c r="P262" s="45" t="e">
        <f t="shared" si="902"/>
        <v>#DIV/0!</v>
      </c>
      <c r="Q262" s="45" t="e">
        <f t="shared" si="902"/>
        <v>#DIV/0!</v>
      </c>
      <c r="S262" s="45" t="e">
        <f>S269/S275*100</f>
        <v>#DIV/0!</v>
      </c>
      <c r="T262" s="45" t="e">
        <f>T269/T275*100</f>
        <v>#DIV/0!</v>
      </c>
      <c r="V262" s="45" t="e">
        <f>V269/V275*100</f>
        <v>#DIV/0!</v>
      </c>
      <c r="W262" s="45" t="e">
        <f>W269/W275*100</f>
        <v>#DIV/0!</v>
      </c>
      <c r="Y262" s="45" t="e">
        <f>Y269/Y275*100</f>
        <v>#DIV/0!</v>
      </c>
      <c r="Z262" s="45" t="e">
        <f>Z269/Z275*100</f>
        <v>#DIV/0!</v>
      </c>
      <c r="AA262" s="241"/>
      <c r="AB262" s="45" t="e">
        <f>AB269/AB275*100</f>
        <v>#DIV/0!</v>
      </c>
      <c r="AC262" s="45" t="e">
        <f>AC269/AC275*100</f>
        <v>#DIV/0!</v>
      </c>
      <c r="AD262" s="241"/>
      <c r="AE262" s="45" t="e">
        <f>AE269/AE275*100</f>
        <v>#DIV/0!</v>
      </c>
      <c r="AF262" s="45" t="e">
        <f>AF269/AF275*100</f>
        <v>#DIV/0!</v>
      </c>
      <c r="AH262" s="45" t="e">
        <f>AH269/AH275*100</f>
        <v>#DIV/0!</v>
      </c>
      <c r="AI262" s="45" t="e">
        <f>AI269/AI275*100</f>
        <v>#DIV/0!</v>
      </c>
      <c r="AJ262" s="241"/>
      <c r="AK262" s="45" t="e">
        <f>AK269/AK275*100</f>
        <v>#DIV/0!</v>
      </c>
      <c r="AL262" s="45" t="e">
        <f>AL269/AL275*100</f>
        <v>#DIV/0!</v>
      </c>
      <c r="AM262" s="241"/>
      <c r="AN262" s="45" t="e">
        <f>AN269/AN275*100</f>
        <v>#DIV/0!</v>
      </c>
      <c r="AO262" s="45" t="e">
        <f>AO269/AO275*100</f>
        <v>#DIV/0!</v>
      </c>
      <c r="AQ262" s="45" t="e">
        <f>AQ269/AQ275*100</f>
        <v>#DIV/0!</v>
      </c>
      <c r="AR262" s="45" t="e">
        <f>AR269/AR275*100</f>
        <v>#DIV/0!</v>
      </c>
      <c r="AS262" s="241"/>
      <c r="AT262" s="45" t="e">
        <f>AT269/AT275*100</f>
        <v>#DIV/0!</v>
      </c>
      <c r="AU262" s="45" t="e">
        <f>AU269/AU275*100</f>
        <v>#DIV/0!</v>
      </c>
      <c r="AW262" s="45" t="e">
        <f>AW269/AW275*100</f>
        <v>#DIV/0!</v>
      </c>
      <c r="AX262" s="45" t="e">
        <f>AX269/AX275*100</f>
        <v>#DIV/0!</v>
      </c>
      <c r="AZ262" s="45" t="e">
        <f>AZ269/AZ275*100</f>
        <v>#DIV/0!</v>
      </c>
      <c r="BA262" s="45" t="e">
        <f>BA269/BA275*100</f>
        <v>#DIV/0!</v>
      </c>
      <c r="BB262" s="241"/>
      <c r="BC262" s="45" t="e">
        <f>BC269/BC275*100</f>
        <v>#DIV/0!</v>
      </c>
      <c r="BD262" s="45" t="e">
        <f>BD269/BD275*100</f>
        <v>#DIV/0!</v>
      </c>
      <c r="BE262" s="241"/>
      <c r="BF262" s="45" t="e">
        <f>BF269/BF275*100</f>
        <v>#DIV/0!</v>
      </c>
      <c r="BG262" s="45" t="e">
        <f>BG269/BG275*100</f>
        <v>#DIV/0!</v>
      </c>
      <c r="BI262" s="45" t="e">
        <f>BI269/BI275*100</f>
        <v>#DIV/0!</v>
      </c>
      <c r="BJ262" s="45" t="e">
        <f>BJ269/BJ275*100</f>
        <v>#DIV/0!</v>
      </c>
      <c r="BK262" s="241"/>
      <c r="BL262" s="45" t="e">
        <f>BL269/BL275*100</f>
        <v>#DIV/0!</v>
      </c>
      <c r="BM262" s="45" t="e">
        <f>BM269/BM275*100</f>
        <v>#DIV/0!</v>
      </c>
      <c r="BN262" s="241"/>
      <c r="BO262" s="45" t="e">
        <f>BO269/BO275*100</f>
        <v>#DIV/0!</v>
      </c>
      <c r="BP262" s="45" t="e">
        <f>BP269/BP275*100</f>
        <v>#DIV/0!</v>
      </c>
      <c r="BR262" s="45" t="e">
        <f>BR269/BR275*100</f>
        <v>#DIV/0!</v>
      </c>
      <c r="BS262" s="45" t="e">
        <f>BS269/BS275*100</f>
        <v>#DIV/0!</v>
      </c>
      <c r="BT262" s="241"/>
      <c r="BU262" s="45" t="e">
        <f>BU269/BU275*100</f>
        <v>#DIV/0!</v>
      </c>
      <c r="BV262" s="45" t="e">
        <f>BV269/BV275*100</f>
        <v>#DIV/0!</v>
      </c>
      <c r="BW262" s="241"/>
      <c r="BX262" s="45" t="e">
        <f>BX269/BX275*100</f>
        <v>#DIV/0!</v>
      </c>
      <c r="BY262" s="45" t="e">
        <f>BY269/BY275*100</f>
        <v>#DIV/0!</v>
      </c>
      <c r="CA262" s="45" t="e">
        <f>CA269/CA275*100</f>
        <v>#DIV/0!</v>
      </c>
      <c r="CB262" s="45" t="e">
        <f>CB269/CB275*100</f>
        <v>#DIV/0!</v>
      </c>
      <c r="CC262" s="241"/>
      <c r="CD262" s="45" t="e">
        <f>CD269/CD275*100</f>
        <v>#DIV/0!</v>
      </c>
      <c r="CE262" s="45" t="e">
        <f>CE269/CE275*100</f>
        <v>#DIV/0!</v>
      </c>
      <c r="CF262" s="241"/>
      <c r="CG262" s="45" t="e">
        <f>CG269/CG275*100</f>
        <v>#DIV/0!</v>
      </c>
      <c r="CH262" s="45" t="e">
        <f>CH269/CH275*100</f>
        <v>#DIV/0!</v>
      </c>
      <c r="CJ262" s="45" t="e">
        <f>CJ269/CJ275*100</f>
        <v>#DIV/0!</v>
      </c>
      <c r="CK262" s="45" t="e">
        <f>CK269/CK275*100</f>
        <v>#DIV/0!</v>
      </c>
      <c r="CM262" s="45" t="e">
        <f>CM269/CM275*100</f>
        <v>#DIV/0!</v>
      </c>
      <c r="CN262" s="45" t="e">
        <f>CN269/CN275*100</f>
        <v>#DIV/0!</v>
      </c>
      <c r="CP262" s="45" t="e">
        <f>CP269/CP275*100</f>
        <v>#DIV/0!</v>
      </c>
      <c r="CQ262" s="45" t="e">
        <f>CQ269/CQ275*100</f>
        <v>#DIV/0!</v>
      </c>
      <c r="CS262" s="45" t="e">
        <f>CS269/CS275*100</f>
        <v>#DIV/0!</v>
      </c>
      <c r="CT262" s="45" t="e">
        <f>CT269/CT275*100</f>
        <v>#DIV/0!</v>
      </c>
      <c r="CV262" s="45" t="e">
        <f>CV269/CV275*100</f>
        <v>#DIV/0!</v>
      </c>
      <c r="CW262" s="45" t="e">
        <f>CW269/CW275*100</f>
        <v>#DIV/0!</v>
      </c>
      <c r="CY262" s="45" t="e">
        <f>CY269/CY275*100</f>
        <v>#DIV/0!</v>
      </c>
      <c r="CZ262" s="45" t="e">
        <f>CZ269/CZ275*100</f>
        <v>#DIV/0!</v>
      </c>
      <c r="DB262" s="45" t="e">
        <f>DB269/DB275*100</f>
        <v>#DIV/0!</v>
      </c>
      <c r="DC262" s="45" t="e">
        <f>DC269/DC275*100</f>
        <v>#DIV/0!</v>
      </c>
      <c r="DE262" s="45">
        <f>DE269/DE275*100</f>
        <v>11.111111111111111</v>
      </c>
      <c r="DF262" s="45" t="e">
        <f>DF269/DF275*100</f>
        <v>#DIV/0!</v>
      </c>
    </row>
    <row r="263" spans="1:110" x14ac:dyDescent="0.25">
      <c r="A263" s="55"/>
      <c r="B263" s="46" t="s">
        <v>1127</v>
      </c>
      <c r="C263" s="42"/>
      <c r="D263" s="42"/>
      <c r="E263" s="49"/>
      <c r="F263" s="49"/>
      <c r="G263" s="49"/>
      <c r="H263" s="49"/>
      <c r="I263" s="49"/>
      <c r="J263" s="49"/>
      <c r="K263" s="49"/>
      <c r="L263" s="49"/>
      <c r="N263" s="49"/>
      <c r="O263" s="49"/>
      <c r="P263" s="49"/>
      <c r="Q263" s="49"/>
      <c r="S263" s="49"/>
      <c r="T263" s="49"/>
      <c r="V263" s="49"/>
      <c r="W263" s="49"/>
      <c r="Y263" s="49"/>
      <c r="Z263" s="49"/>
      <c r="AA263" s="241"/>
      <c r="AB263" s="49"/>
      <c r="AC263" s="49"/>
      <c r="AD263" s="241"/>
      <c r="AE263" s="49"/>
      <c r="AF263" s="49"/>
      <c r="AH263" s="49"/>
      <c r="AI263" s="49"/>
      <c r="AJ263" s="241"/>
      <c r="AK263" s="49"/>
      <c r="AL263" s="49"/>
      <c r="AM263" s="241"/>
      <c r="AN263" s="49"/>
      <c r="AO263" s="49"/>
      <c r="AQ263" s="49"/>
      <c r="AR263" s="49"/>
      <c r="AS263" s="241"/>
      <c r="AT263" s="49"/>
      <c r="AU263" s="49"/>
      <c r="AW263" s="49"/>
      <c r="AX263" s="49"/>
      <c r="AZ263" s="49"/>
      <c r="BA263" s="49"/>
      <c r="BB263" s="241"/>
      <c r="BC263" s="49"/>
      <c r="BD263" s="49"/>
      <c r="BE263" s="241"/>
      <c r="BF263" s="49"/>
      <c r="BG263" s="49"/>
      <c r="BI263" s="49"/>
      <c r="BJ263" s="49"/>
      <c r="BK263" s="241"/>
      <c r="BL263" s="49"/>
      <c r="BM263" s="49"/>
      <c r="BN263" s="241"/>
      <c r="BO263" s="49"/>
      <c r="BP263" s="49"/>
      <c r="BR263" s="49"/>
      <c r="BS263" s="49"/>
      <c r="BT263" s="241"/>
      <c r="BU263" s="49"/>
      <c r="BV263" s="49"/>
      <c r="BW263" s="241"/>
      <c r="BX263" s="49"/>
      <c r="BY263" s="49"/>
      <c r="CA263" s="49"/>
      <c r="CB263" s="49"/>
      <c r="CC263" s="241"/>
      <c r="CD263" s="49"/>
      <c r="CE263" s="49"/>
      <c r="CF263" s="241"/>
      <c r="CG263" s="49"/>
      <c r="CH263" s="49"/>
      <c r="CJ263" s="49"/>
      <c r="CK263" s="49"/>
      <c r="CM263" s="49"/>
      <c r="CN263" s="49"/>
      <c r="CP263" s="49"/>
      <c r="CQ263" s="49"/>
      <c r="CS263" s="49"/>
      <c r="CT263" s="49"/>
      <c r="CV263" s="49"/>
      <c r="CW263" s="49"/>
      <c r="CY263" s="49"/>
      <c r="CZ263" s="49"/>
      <c r="DB263" s="49"/>
      <c r="DC263" s="49"/>
      <c r="DE263" s="49"/>
      <c r="DF263" s="49"/>
    </row>
    <row r="264" spans="1:110" x14ac:dyDescent="0.25">
      <c r="A264" s="55"/>
      <c r="B264" s="46" t="s">
        <v>1182</v>
      </c>
      <c r="C264" s="42"/>
      <c r="D264" s="42" t="s">
        <v>8</v>
      </c>
      <c r="E264" s="49"/>
      <c r="F264" s="49"/>
      <c r="G264" s="49"/>
      <c r="H264" s="49"/>
      <c r="I264" s="45">
        <f>I271/$I$274*100</f>
        <v>24.143302180685357</v>
      </c>
      <c r="J264" s="45">
        <f>J271/$J$274*100</f>
        <v>22.266401590457257</v>
      </c>
      <c r="K264" s="45">
        <f>K271/$K$274*100</f>
        <v>18.558456299659479</v>
      </c>
      <c r="L264" s="45">
        <f>L271/$L$274*100</f>
        <v>21.410579345088159</v>
      </c>
      <c r="N264" s="45">
        <f t="shared" ref="N264:Q265" si="903">N271/N274*100</f>
        <v>18.558456299659479</v>
      </c>
      <c r="O264" s="45" t="e">
        <f t="shared" si="903"/>
        <v>#DIV/0!</v>
      </c>
      <c r="P264" s="45">
        <f t="shared" si="903"/>
        <v>8.8235294117647065</v>
      </c>
      <c r="Q264" s="45" t="e">
        <f t="shared" si="903"/>
        <v>#DIV/0!</v>
      </c>
      <c r="S264" s="45">
        <f>S271/S274*100</f>
        <v>16.107382550335569</v>
      </c>
      <c r="T264" s="45" t="e">
        <f>T271/T274*100</f>
        <v>#DIV/0!</v>
      </c>
      <c r="V264" s="45">
        <f>V271/V274*100</f>
        <v>32.098765432098766</v>
      </c>
      <c r="W264" s="45" t="e">
        <f>W271/W274*100</f>
        <v>#DIV/0!</v>
      </c>
      <c r="Y264" s="45">
        <f>Y271/Y274*100</f>
        <v>18.264840182648399</v>
      </c>
      <c r="Z264" s="45" t="e">
        <f>Z271/Z274*100</f>
        <v>#DIV/0!</v>
      </c>
      <c r="AA264" s="241"/>
      <c r="AB264" s="45">
        <f>AB271/AB274*100</f>
        <v>6.25</v>
      </c>
      <c r="AC264" s="45" t="e">
        <f>AC271/AC274*100</f>
        <v>#DIV/0!</v>
      </c>
      <c r="AD264" s="241"/>
      <c r="AE264" s="45">
        <f>AE271/AE274*100</f>
        <v>16.842105263157894</v>
      </c>
      <c r="AF264" s="45" t="e">
        <f>AF271/AF274*100</f>
        <v>#DIV/0!</v>
      </c>
      <c r="AH264" s="45">
        <f>AH271/AH274*100</f>
        <v>24.590163934426229</v>
      </c>
      <c r="AI264" s="45" t="e">
        <f>AI271/AI274*100</f>
        <v>#DIV/0!</v>
      </c>
      <c r="AJ264" s="241"/>
      <c r="AK264" s="45">
        <f>AK271/AK274*100</f>
        <v>22.222222222222221</v>
      </c>
      <c r="AL264" s="45" t="e">
        <f>AL271/AL274*100</f>
        <v>#DIV/0!</v>
      </c>
      <c r="AM264" s="241"/>
      <c r="AN264" s="45">
        <f>AN271/AN274*100</f>
        <v>17.241379310344829</v>
      </c>
      <c r="AO264" s="45" t="e">
        <f>AO271/AO274*100</f>
        <v>#DIV/0!</v>
      </c>
      <c r="AQ264" s="45">
        <f>AQ271/AQ274*100</f>
        <v>5.2631578947368416</v>
      </c>
      <c r="AR264" s="45" t="e">
        <f>AR271/AR274*100</f>
        <v>#DIV/0!</v>
      </c>
      <c r="AS264" s="241"/>
      <c r="AT264" s="45">
        <f>AT271/AT274*100</f>
        <v>23.52941176470588</v>
      </c>
      <c r="AU264" s="45" t="e">
        <f>AU271/AU274*100</f>
        <v>#DIV/0!</v>
      </c>
      <c r="AW264" s="45">
        <f>AW271/AW274*100</f>
        <v>20.454545454545457</v>
      </c>
      <c r="AX264" s="45" t="e">
        <f>AX271/AX274*100</f>
        <v>#DIV/0!</v>
      </c>
      <c r="AZ264" s="45">
        <f>AZ271/AZ274*100</f>
        <v>10</v>
      </c>
      <c r="BA264" s="45" t="e">
        <f>BA271/BA274*100</f>
        <v>#DIV/0!</v>
      </c>
      <c r="BB264" s="241"/>
      <c r="BC264" s="45">
        <f>BC271/BC274*100</f>
        <v>21.568627450980394</v>
      </c>
      <c r="BD264" s="45" t="e">
        <f>BD271/BD274*100</f>
        <v>#DIV/0!</v>
      </c>
      <c r="BE264" s="241"/>
      <c r="BF264" s="45">
        <f>BF271/BF274*100</f>
        <v>20</v>
      </c>
      <c r="BG264" s="45" t="e">
        <f>BG271/BG274*100</f>
        <v>#DIV/0!</v>
      </c>
      <c r="BI264" s="45">
        <f>BI271/BI274*100</f>
        <v>17.647058823529413</v>
      </c>
      <c r="BJ264" s="45" t="e">
        <f>BJ271/BJ274*100</f>
        <v>#DIV/0!</v>
      </c>
      <c r="BK264" s="241"/>
      <c r="BL264" s="45">
        <f>BL271/BL274*100</f>
        <v>8</v>
      </c>
      <c r="BM264" s="45" t="e">
        <f>BM271/BM274*100</f>
        <v>#DIV/0!</v>
      </c>
      <c r="BN264" s="241"/>
      <c r="BO264" s="45">
        <f>BO271/BO274*100</f>
        <v>15.873015873015872</v>
      </c>
      <c r="BP264" s="45" t="e">
        <f>BP271/BP274*100</f>
        <v>#DIV/0!</v>
      </c>
      <c r="BR264" s="45">
        <f>BR271/BR274*100</f>
        <v>20</v>
      </c>
      <c r="BS264" s="45" t="e">
        <f>BS271/BS274*100</f>
        <v>#DIV/0!</v>
      </c>
      <c r="BT264" s="241"/>
      <c r="BU264" s="45">
        <f>BU271/BU274*100</f>
        <v>14.516129032258066</v>
      </c>
      <c r="BV264" s="45" t="e">
        <f>BV271/BV274*100</f>
        <v>#DIV/0!</v>
      </c>
      <c r="BW264" s="241"/>
      <c r="BX264" s="45">
        <f>BX271/BX274*100</f>
        <v>38.461538461538467</v>
      </c>
      <c r="BY264" s="45" t="e">
        <f>BY271/BY274*100</f>
        <v>#DIV/0!</v>
      </c>
      <c r="CA264" s="45">
        <f>CA271/CA274*100</f>
        <v>28.787878787878789</v>
      </c>
      <c r="CB264" s="45" t="e">
        <f>CB271/CB274*100</f>
        <v>#DIV/0!</v>
      </c>
      <c r="CC264" s="241"/>
      <c r="CD264" s="45">
        <f>CD271/CD274*100</f>
        <v>19.230769230769234</v>
      </c>
      <c r="CE264" s="45" t="e">
        <f>CE271/CE274*100</f>
        <v>#DIV/0!</v>
      </c>
      <c r="CF264" s="241"/>
      <c r="CG264" s="45">
        <f>CG271/CG274*100</f>
        <v>29.72972972972973</v>
      </c>
      <c r="CH264" s="45" t="e">
        <f>CH271/CH274*100</f>
        <v>#DIV/0!</v>
      </c>
      <c r="CJ264" s="45">
        <f>CJ271/CJ274*100</f>
        <v>17.857142857142858</v>
      </c>
      <c r="CK264" s="45" t="e">
        <f>CK271/CK274*100</f>
        <v>#DIV/0!</v>
      </c>
      <c r="CM264" s="45" t="e">
        <f>CM271/CM274*100</f>
        <v>#DIV/0!</v>
      </c>
      <c r="CN264" s="45" t="e">
        <f>CN271/CN274*100</f>
        <v>#DIV/0!</v>
      </c>
      <c r="CP264" s="45" t="e">
        <f>CP271/CP274*100</f>
        <v>#DIV/0!</v>
      </c>
      <c r="CQ264" s="45" t="e">
        <f>CQ271/CQ274*100</f>
        <v>#DIV/0!</v>
      </c>
      <c r="CS264" s="45">
        <f>CS271/CS274*100</f>
        <v>28.888888888888886</v>
      </c>
      <c r="CT264" s="45" t="e">
        <f>CT271/CT274*100</f>
        <v>#DIV/0!</v>
      </c>
      <c r="CV264" s="45">
        <f>CV271/CV274*100</f>
        <v>45.714285714285715</v>
      </c>
      <c r="CW264" s="45" t="e">
        <f>CW271/CW274*100</f>
        <v>#DIV/0!</v>
      </c>
      <c r="CY264" s="45">
        <f>CY271/CY274*100</f>
        <v>24.050632911392405</v>
      </c>
      <c r="CZ264" s="45" t="e">
        <f>CZ271/CZ274*100</f>
        <v>#DIV/0!</v>
      </c>
      <c r="DB264" s="45">
        <f>DB271/DB274*100</f>
        <v>29.629629629629626</v>
      </c>
      <c r="DC264" s="45" t="e">
        <f>DC271/DC274*100</f>
        <v>#DIV/0!</v>
      </c>
      <c r="DE264" s="45" t="e">
        <f>DE271/DE274*100</f>
        <v>#DIV/0!</v>
      </c>
      <c r="DF264" s="45" t="e">
        <f>DF271/DF274*100</f>
        <v>#DIV/0!</v>
      </c>
    </row>
    <row r="265" spans="1:110" x14ac:dyDescent="0.25">
      <c r="A265" s="55"/>
      <c r="B265" s="46" t="s">
        <v>1184</v>
      </c>
      <c r="C265" s="42"/>
      <c r="D265" s="42" t="s">
        <v>8</v>
      </c>
      <c r="E265" s="49"/>
      <c r="F265" s="49"/>
      <c r="G265" s="49"/>
      <c r="H265" s="49"/>
      <c r="I265" s="45">
        <f>I272/$I$275*100</f>
        <v>47.368421052631575</v>
      </c>
      <c r="J265" s="45">
        <f>J272/$J$275*100</f>
        <v>25.396825396825395</v>
      </c>
      <c r="K265" s="45">
        <f>K272/$K$275*100</f>
        <v>18.518518518518519</v>
      </c>
      <c r="L265" s="45">
        <f>L272/$L$275*100</f>
        <v>19.685039370078741</v>
      </c>
      <c r="N265" s="45">
        <f t="shared" si="903"/>
        <v>18.518518518518519</v>
      </c>
      <c r="O265" s="45" t="e">
        <f t="shared" si="903"/>
        <v>#DIV/0!</v>
      </c>
      <c r="P265" s="45" t="e">
        <f t="shared" si="903"/>
        <v>#DIV/0!</v>
      </c>
      <c r="Q265" s="45" t="e">
        <f t="shared" si="903"/>
        <v>#DIV/0!</v>
      </c>
      <c r="S265" s="45" t="e">
        <f>S272/S275*100</f>
        <v>#DIV/0!</v>
      </c>
      <c r="T265" s="45" t="e">
        <f>T272/T275*100</f>
        <v>#DIV/0!</v>
      </c>
      <c r="V265" s="45" t="e">
        <f>V272/V275*100</f>
        <v>#DIV/0!</v>
      </c>
      <c r="W265" s="45" t="e">
        <f>W272/W275*100</f>
        <v>#DIV/0!</v>
      </c>
      <c r="Y265" s="45" t="e">
        <f>Y272/Y275*100</f>
        <v>#DIV/0!</v>
      </c>
      <c r="Z265" s="45" t="e">
        <f>Z272/Z275*100</f>
        <v>#DIV/0!</v>
      </c>
      <c r="AA265" s="241"/>
      <c r="AB265" s="45" t="e">
        <f>AB272/AB275*100</f>
        <v>#DIV/0!</v>
      </c>
      <c r="AC265" s="45" t="e">
        <f>AC272/AC275*100</f>
        <v>#DIV/0!</v>
      </c>
      <c r="AD265" s="241"/>
      <c r="AE265" s="45" t="e">
        <f>AE272/AE275*100</f>
        <v>#DIV/0!</v>
      </c>
      <c r="AF265" s="45" t="e">
        <f>AF272/AF275*100</f>
        <v>#DIV/0!</v>
      </c>
      <c r="AH265" s="45" t="e">
        <f>AH272/AH275*100</f>
        <v>#DIV/0!</v>
      </c>
      <c r="AI265" s="45" t="e">
        <f>AI272/AI275*100</f>
        <v>#DIV/0!</v>
      </c>
      <c r="AJ265" s="241"/>
      <c r="AK265" s="45" t="e">
        <f>AK272/AK275*100</f>
        <v>#DIV/0!</v>
      </c>
      <c r="AL265" s="45" t="e">
        <f>AL272/AL275*100</f>
        <v>#DIV/0!</v>
      </c>
      <c r="AM265" s="241"/>
      <c r="AN265" s="45" t="e">
        <f>AN272/AN275*100</f>
        <v>#DIV/0!</v>
      </c>
      <c r="AO265" s="45" t="e">
        <f>AO272/AO275*100</f>
        <v>#DIV/0!</v>
      </c>
      <c r="AQ265" s="45" t="e">
        <f>AQ272/AQ275*100</f>
        <v>#DIV/0!</v>
      </c>
      <c r="AR265" s="45" t="e">
        <f>AR272/AR275*100</f>
        <v>#DIV/0!</v>
      </c>
      <c r="AS265" s="241"/>
      <c r="AT265" s="45" t="e">
        <f>AT272/AT275*100</f>
        <v>#DIV/0!</v>
      </c>
      <c r="AU265" s="45" t="e">
        <f>AU272/AU275*100</f>
        <v>#DIV/0!</v>
      </c>
      <c r="AW265" s="45" t="e">
        <f>AW272/AW275*100</f>
        <v>#DIV/0!</v>
      </c>
      <c r="AX265" s="45" t="e">
        <f>AX272/AX275*100</f>
        <v>#DIV/0!</v>
      </c>
      <c r="AZ265" s="45" t="e">
        <f>AZ272/AZ275*100</f>
        <v>#DIV/0!</v>
      </c>
      <c r="BA265" s="45" t="e">
        <f>BA272/BA275*100</f>
        <v>#DIV/0!</v>
      </c>
      <c r="BB265" s="241"/>
      <c r="BC265" s="45" t="e">
        <f>BC272/BC275*100</f>
        <v>#DIV/0!</v>
      </c>
      <c r="BD265" s="45" t="e">
        <f>BD272/BD275*100</f>
        <v>#DIV/0!</v>
      </c>
      <c r="BE265" s="241"/>
      <c r="BF265" s="45" t="e">
        <f>BF272/BF275*100</f>
        <v>#DIV/0!</v>
      </c>
      <c r="BG265" s="45" t="e">
        <f>BG272/BG275*100</f>
        <v>#DIV/0!</v>
      </c>
      <c r="BI265" s="45" t="e">
        <f>BI272/BI275*100</f>
        <v>#DIV/0!</v>
      </c>
      <c r="BJ265" s="45" t="e">
        <f>BJ272/BJ275*100</f>
        <v>#DIV/0!</v>
      </c>
      <c r="BK265" s="241"/>
      <c r="BL265" s="45" t="e">
        <f>BL272/BL275*100</f>
        <v>#DIV/0!</v>
      </c>
      <c r="BM265" s="45" t="e">
        <f>BM272/BM275*100</f>
        <v>#DIV/0!</v>
      </c>
      <c r="BN265" s="241"/>
      <c r="BO265" s="45" t="e">
        <f>BO272/BO275*100</f>
        <v>#DIV/0!</v>
      </c>
      <c r="BP265" s="45" t="e">
        <f>BP272/BP275*100</f>
        <v>#DIV/0!</v>
      </c>
      <c r="BR265" s="45" t="e">
        <f>BR272/BR275*100</f>
        <v>#DIV/0!</v>
      </c>
      <c r="BS265" s="45" t="e">
        <f>BS272/BS275*100</f>
        <v>#DIV/0!</v>
      </c>
      <c r="BT265" s="241"/>
      <c r="BU265" s="45" t="e">
        <f>BU272/BU275*100</f>
        <v>#DIV/0!</v>
      </c>
      <c r="BV265" s="45" t="e">
        <f>BV272/BV275*100</f>
        <v>#DIV/0!</v>
      </c>
      <c r="BW265" s="241"/>
      <c r="BX265" s="45" t="e">
        <f>BX272/BX275*100</f>
        <v>#DIV/0!</v>
      </c>
      <c r="BY265" s="45" t="e">
        <f>BY272/BY275*100</f>
        <v>#DIV/0!</v>
      </c>
      <c r="CA265" s="45" t="e">
        <f>CA272/CA275*100</f>
        <v>#DIV/0!</v>
      </c>
      <c r="CB265" s="45" t="e">
        <f>CB272/CB275*100</f>
        <v>#DIV/0!</v>
      </c>
      <c r="CC265" s="241"/>
      <c r="CD265" s="45" t="e">
        <f>CD272/CD275*100</f>
        <v>#DIV/0!</v>
      </c>
      <c r="CE265" s="45" t="e">
        <f>CE272/CE275*100</f>
        <v>#DIV/0!</v>
      </c>
      <c r="CF265" s="241"/>
      <c r="CG265" s="45" t="e">
        <f>CG272/CG275*100</f>
        <v>#DIV/0!</v>
      </c>
      <c r="CH265" s="45" t="e">
        <f>CH272/CH275*100</f>
        <v>#DIV/0!</v>
      </c>
      <c r="CJ265" s="45" t="e">
        <f>CJ272/CJ275*100</f>
        <v>#DIV/0!</v>
      </c>
      <c r="CK265" s="45" t="e">
        <f>CK272/CK275*100</f>
        <v>#DIV/0!</v>
      </c>
      <c r="CM265" s="45" t="e">
        <f>CM272/CM275*100</f>
        <v>#DIV/0!</v>
      </c>
      <c r="CN265" s="45" t="e">
        <f>CN272/CN275*100</f>
        <v>#DIV/0!</v>
      </c>
      <c r="CP265" s="45" t="e">
        <f>CP272/CP275*100</f>
        <v>#DIV/0!</v>
      </c>
      <c r="CQ265" s="45" t="e">
        <f>CQ272/CQ275*100</f>
        <v>#DIV/0!</v>
      </c>
      <c r="CS265" s="45" t="e">
        <f>CS272/CS275*100</f>
        <v>#DIV/0!</v>
      </c>
      <c r="CT265" s="45" t="e">
        <f>CT272/CT275*100</f>
        <v>#DIV/0!</v>
      </c>
      <c r="CV265" s="45" t="e">
        <f>CV272/CV275*100</f>
        <v>#DIV/0!</v>
      </c>
      <c r="CW265" s="45" t="e">
        <f>CW272/CW275*100</f>
        <v>#DIV/0!</v>
      </c>
      <c r="CY265" s="45" t="e">
        <f>CY272/CY275*100</f>
        <v>#DIV/0!</v>
      </c>
      <c r="CZ265" s="45" t="e">
        <f>CZ272/CZ275*100</f>
        <v>#DIV/0!</v>
      </c>
      <c r="DB265" s="45" t="e">
        <f>DB272/DB275*100</f>
        <v>#DIV/0!</v>
      </c>
      <c r="DC265" s="45" t="e">
        <f>DC272/DC275*100</f>
        <v>#DIV/0!</v>
      </c>
      <c r="DE265" s="45">
        <f>DE272/DE275*100</f>
        <v>18.518518518518519</v>
      </c>
      <c r="DF265" s="45" t="e">
        <f>DF272/DF275*100</f>
        <v>#DIV/0!</v>
      </c>
    </row>
    <row r="266" spans="1:110" x14ac:dyDescent="0.25">
      <c r="A266" s="23"/>
      <c r="B266" s="16" t="s">
        <v>2088</v>
      </c>
      <c r="C266" s="6"/>
      <c r="D266" s="6"/>
      <c r="E266" s="12"/>
      <c r="F266" s="12"/>
      <c r="G266" s="12"/>
      <c r="H266" s="12"/>
      <c r="I266" s="12"/>
      <c r="J266" s="12"/>
      <c r="K266" s="12"/>
      <c r="L266" s="12"/>
    </row>
    <row r="267" spans="1:110" ht="30" x14ac:dyDescent="0.25">
      <c r="A267" s="23"/>
      <c r="B267" s="16" t="s">
        <v>1126</v>
      </c>
      <c r="C267" s="6" t="s">
        <v>2791</v>
      </c>
      <c r="D267" s="6"/>
      <c r="E267" s="12"/>
      <c r="F267" s="12"/>
      <c r="G267" s="12"/>
      <c r="H267" s="12"/>
      <c r="I267" s="12"/>
      <c r="J267" s="12"/>
      <c r="K267" s="12"/>
      <c r="L267" s="12"/>
    </row>
    <row r="268" spans="1:110" x14ac:dyDescent="0.25">
      <c r="A268" s="23"/>
      <c r="B268" s="16" t="s">
        <v>1182</v>
      </c>
      <c r="C268" s="6"/>
      <c r="D268" s="6" t="s">
        <v>950</v>
      </c>
      <c r="E268" s="12"/>
      <c r="F268" s="12"/>
      <c r="G268" s="12"/>
      <c r="H268" s="35"/>
      <c r="I268" s="35">
        <f>572+8</f>
        <v>580</v>
      </c>
      <c r="J268" s="35">
        <v>593</v>
      </c>
      <c r="K268" s="35">
        <v>566</v>
      </c>
      <c r="L268" s="35">
        <v>683</v>
      </c>
      <c r="N268" s="241">
        <f>P268+S268+V268+Y268+AB268+AE268+AH268+AK268+AN268+AQ268+AW268+AZ268+BC268+BF268+BI268+BL268+BO268+BR268+BU268+BX268+CA268+CD268+CG268+CJ268+AT268+DE268</f>
        <v>566</v>
      </c>
      <c r="O268" s="241">
        <f t="shared" ref="O268:O269" si="904">Q268+T268+W268+Z268+AC268+AF268+AI268+AL268+AO268+AR268+AX268+BA268+BD268+BG268+BJ268+BM268+BP268+BS268+BV268+BY268+CB268+CE268+CH268+CK268+AU268+DF268</f>
        <v>0</v>
      </c>
      <c r="P268">
        <v>11</v>
      </c>
      <c r="S268">
        <v>67</v>
      </c>
      <c r="V268">
        <v>18</v>
      </c>
      <c r="Y268">
        <v>58</v>
      </c>
      <c r="AB268">
        <v>51</v>
      </c>
      <c r="AE268">
        <v>31</v>
      </c>
      <c r="AH268">
        <v>31</v>
      </c>
      <c r="AK268">
        <v>8</v>
      </c>
      <c r="AN268">
        <v>8</v>
      </c>
      <c r="AQ268">
        <v>17</v>
      </c>
      <c r="AT268" s="241">
        <v>10</v>
      </c>
      <c r="AW268">
        <v>12</v>
      </c>
      <c r="AZ268">
        <v>29</v>
      </c>
      <c r="BC268">
        <v>60</v>
      </c>
      <c r="BF268">
        <v>15</v>
      </c>
      <c r="BI268">
        <v>19</v>
      </c>
      <c r="BL268">
        <v>23</v>
      </c>
      <c r="BO268">
        <v>7</v>
      </c>
      <c r="BR268">
        <v>11</v>
      </c>
      <c r="BU268">
        <v>9</v>
      </c>
      <c r="BX268">
        <v>19</v>
      </c>
      <c r="CA268">
        <v>16</v>
      </c>
      <c r="CD268">
        <v>14</v>
      </c>
      <c r="CG268">
        <v>12</v>
      </c>
      <c r="CJ268">
        <v>10</v>
      </c>
      <c r="CS268">
        <v>22</v>
      </c>
      <c r="CV268">
        <v>11</v>
      </c>
      <c r="CY268">
        <v>24</v>
      </c>
      <c r="DB268">
        <v>10</v>
      </c>
    </row>
    <row r="269" spans="1:110" x14ac:dyDescent="0.25">
      <c r="A269" s="23"/>
      <c r="B269" s="16" t="s">
        <v>1184</v>
      </c>
      <c r="C269" s="6"/>
      <c r="D269" s="6" t="s">
        <v>950</v>
      </c>
      <c r="E269" s="12"/>
      <c r="F269" s="12"/>
      <c r="G269" s="12"/>
      <c r="H269" s="35"/>
      <c r="I269" s="35">
        <v>1</v>
      </c>
      <c r="J269" s="35">
        <v>2</v>
      </c>
      <c r="K269" s="35">
        <v>9</v>
      </c>
      <c r="L269" s="35">
        <v>12</v>
      </c>
      <c r="N269" s="241">
        <f t="shared" ref="N269" si="905">P269+S269+V269+Y269+AB269+AE269+AH269+AK269+AN269+AQ269+AW269+AZ269+BC269+BF269+BI269+BL269+BO269+BR269+BU269+BX269+CA269+CD269+CG269+CJ269+AT269+DE269</f>
        <v>9</v>
      </c>
      <c r="O269" s="241">
        <f t="shared" si="904"/>
        <v>0</v>
      </c>
      <c r="DE269">
        <v>9</v>
      </c>
    </row>
    <row r="270" spans="1:110" ht="30" x14ac:dyDescent="0.25">
      <c r="A270" s="23"/>
      <c r="B270" s="16" t="s">
        <v>1127</v>
      </c>
      <c r="C270" s="6" t="s">
        <v>2792</v>
      </c>
      <c r="D270" s="6"/>
      <c r="E270" s="12"/>
      <c r="F270" s="12"/>
      <c r="G270" s="12"/>
      <c r="H270" s="35"/>
      <c r="I270" s="35"/>
      <c r="J270" s="35"/>
      <c r="K270" s="35"/>
      <c r="L270" s="35"/>
    </row>
    <row r="271" spans="1:110" x14ac:dyDescent="0.25">
      <c r="A271" s="23"/>
      <c r="B271" s="16" t="s">
        <v>1182</v>
      </c>
      <c r="C271" s="6"/>
      <c r="D271" s="6" t="s">
        <v>950</v>
      </c>
      <c r="E271" s="12"/>
      <c r="F271" s="12"/>
      <c r="G271" s="12"/>
      <c r="H271" s="35"/>
      <c r="I271" s="35">
        <f>486-21</f>
        <v>465</v>
      </c>
      <c r="J271" s="35">
        <f>478-30</f>
        <v>448</v>
      </c>
      <c r="K271" s="35">
        <v>327</v>
      </c>
      <c r="L271" s="35">
        <v>425</v>
      </c>
      <c r="N271" s="241">
        <f>P271+S271+V271+Y271+AB271+AE271+AH271+AK271+AN271+AQ271+AW271+AZ271+BC271+BF271+BI271+BL271+BO271+BR271+BU271+BX271+CA271+CD271+CG271+CJ271+AT271+DE271</f>
        <v>327</v>
      </c>
      <c r="O271" s="241">
        <f t="shared" ref="O271:O272" si="906">Q271+T271+W271+Z271+AC271+AF271+AI271+AL271+AO271+AR271+AX271+BA271+BD271+BG271+BJ271+BM271+BP271+BS271+BV271+BY271+CB271+CE271+CH271+CK271+AU271+DF271</f>
        <v>0</v>
      </c>
      <c r="P271">
        <v>3</v>
      </c>
      <c r="S271">
        <v>24</v>
      </c>
      <c r="V271">
        <v>26</v>
      </c>
      <c r="Y271">
        <v>40</v>
      </c>
      <c r="AB271">
        <v>7</v>
      </c>
      <c r="AE271">
        <v>16</v>
      </c>
      <c r="AH271">
        <v>15</v>
      </c>
      <c r="AK271">
        <v>14</v>
      </c>
      <c r="AN271">
        <v>5</v>
      </c>
      <c r="AQ271">
        <v>3</v>
      </c>
      <c r="AT271" s="241">
        <v>4</v>
      </c>
      <c r="AW271">
        <v>9</v>
      </c>
      <c r="AZ271">
        <v>9</v>
      </c>
      <c r="BC271">
        <v>22</v>
      </c>
      <c r="BF271">
        <v>15</v>
      </c>
      <c r="BI271">
        <v>12</v>
      </c>
      <c r="BL271">
        <v>4</v>
      </c>
      <c r="BO271">
        <v>10</v>
      </c>
      <c r="BR271">
        <v>9</v>
      </c>
      <c r="BU271">
        <v>9</v>
      </c>
      <c r="BX271">
        <v>20</v>
      </c>
      <c r="CA271">
        <v>19</v>
      </c>
      <c r="CD271">
        <v>5</v>
      </c>
      <c r="CG271">
        <v>22</v>
      </c>
      <c r="CJ271">
        <v>5</v>
      </c>
      <c r="CS271">
        <v>13</v>
      </c>
      <c r="CV271">
        <v>16</v>
      </c>
      <c r="CY271">
        <v>19</v>
      </c>
      <c r="DB271">
        <v>8</v>
      </c>
    </row>
    <row r="272" spans="1:110" x14ac:dyDescent="0.25">
      <c r="A272" s="23"/>
      <c r="B272" s="16" t="s">
        <v>1184</v>
      </c>
      <c r="C272" s="6"/>
      <c r="D272" s="6" t="s">
        <v>950</v>
      </c>
      <c r="E272" s="12"/>
      <c r="F272" s="12"/>
      <c r="G272" s="12"/>
      <c r="H272" s="35"/>
      <c r="I272" s="35">
        <v>18</v>
      </c>
      <c r="J272" s="35">
        <v>16</v>
      </c>
      <c r="K272" s="35">
        <v>15</v>
      </c>
      <c r="L272" s="35">
        <v>25</v>
      </c>
      <c r="N272" s="241">
        <f t="shared" ref="N272" si="907">P272+S272+V272+Y272+AB272+AE272+AH272+AK272+AN272+AQ272+AW272+AZ272+BC272+BF272+BI272+BL272+BO272+BR272+BU272+BX272+CA272+CD272+CG272+CJ272+AT272+DE272</f>
        <v>15</v>
      </c>
      <c r="O272" s="241">
        <f t="shared" si="906"/>
        <v>0</v>
      </c>
      <c r="DE272">
        <v>15</v>
      </c>
    </row>
    <row r="273" spans="1:110" ht="30" x14ac:dyDescent="0.25">
      <c r="A273" s="23"/>
      <c r="B273" s="16" t="s">
        <v>2089</v>
      </c>
      <c r="C273" s="6" t="s">
        <v>2692</v>
      </c>
      <c r="D273" s="6"/>
      <c r="E273" s="12"/>
      <c r="F273" s="12"/>
      <c r="G273" s="12"/>
      <c r="H273" s="35"/>
      <c r="I273" s="35"/>
      <c r="J273" s="35"/>
      <c r="K273" s="35"/>
      <c r="L273" s="35"/>
    </row>
    <row r="274" spans="1:110" x14ac:dyDescent="0.25">
      <c r="A274" s="23"/>
      <c r="B274" s="16" t="s">
        <v>1182</v>
      </c>
      <c r="C274" s="6"/>
      <c r="D274" s="6" t="s">
        <v>950</v>
      </c>
      <c r="E274" s="12"/>
      <c r="F274" s="12"/>
      <c r="G274" s="12"/>
      <c r="H274" s="35"/>
      <c r="I274" s="35">
        <f>I221</f>
        <v>1926</v>
      </c>
      <c r="J274" s="35">
        <f t="shared" ref="J274:L274" si="908">J221</f>
        <v>2012</v>
      </c>
      <c r="K274" s="35">
        <f t="shared" si="908"/>
        <v>1762</v>
      </c>
      <c r="L274" s="35">
        <f t="shared" si="908"/>
        <v>1985</v>
      </c>
      <c r="N274" s="241">
        <f>P274+S274+V274+Y274+AB274+AE274+AH274+AK274+AN274+AQ274+AW274+AZ274+BC274+BF274+BI274+BL274+BO274+BR274+BU274+BX274+CA274+CD274+CG274+CJ274+AT274+DE274</f>
        <v>1762</v>
      </c>
      <c r="O274" s="241">
        <f t="shared" ref="O274:O275" si="909">Q274+T274+W274+Z274+AC274+AF274+AI274+AL274+AO274+AR274+AX274+BA274+BD274+BG274+BJ274+BM274+BP274+BS274+BV274+BY274+CB274+CE274+CH274+CK274+AU274+DF274</f>
        <v>0</v>
      </c>
      <c r="P274" s="241">
        <f t="shared" ref="P274:Q274" si="910">P221</f>
        <v>34</v>
      </c>
      <c r="Q274" s="241">
        <f t="shared" si="910"/>
        <v>0</v>
      </c>
      <c r="S274" s="241">
        <f t="shared" ref="S274:T274" si="911">S221</f>
        <v>149</v>
      </c>
      <c r="T274" s="241">
        <f t="shared" si="911"/>
        <v>0</v>
      </c>
      <c r="V274" s="241">
        <f t="shared" ref="V274:W274" si="912">V221</f>
        <v>81</v>
      </c>
      <c r="W274" s="241">
        <f t="shared" si="912"/>
        <v>0</v>
      </c>
      <c r="Y274" s="241">
        <f t="shared" ref="Y274:Z274" si="913">Y221</f>
        <v>219</v>
      </c>
      <c r="Z274" s="241">
        <f t="shared" si="913"/>
        <v>0</v>
      </c>
      <c r="AA274" s="241"/>
      <c r="AB274" s="241">
        <f t="shared" ref="AB274:AC274" si="914">AB221</f>
        <v>112</v>
      </c>
      <c r="AC274" s="241">
        <f t="shared" si="914"/>
        <v>0</v>
      </c>
      <c r="AD274" s="241"/>
      <c r="AE274" s="241">
        <f t="shared" ref="AE274:AF274" si="915">AE221</f>
        <v>95</v>
      </c>
      <c r="AF274" s="241">
        <f t="shared" si="915"/>
        <v>0</v>
      </c>
      <c r="AH274" s="241">
        <f t="shared" ref="AH274:AI274" si="916">AH221</f>
        <v>61</v>
      </c>
      <c r="AI274" s="241">
        <f t="shared" si="916"/>
        <v>0</v>
      </c>
      <c r="AJ274" s="241"/>
      <c r="AK274" s="241">
        <f t="shared" ref="AK274:AL274" si="917">AK221</f>
        <v>63</v>
      </c>
      <c r="AL274" s="241">
        <f t="shared" si="917"/>
        <v>0</v>
      </c>
      <c r="AM274" s="241"/>
      <c r="AN274" s="241">
        <f t="shared" ref="AN274:AO274" si="918">AN221</f>
        <v>29</v>
      </c>
      <c r="AO274" s="241">
        <f t="shared" si="918"/>
        <v>0</v>
      </c>
      <c r="AQ274" s="241">
        <f t="shared" ref="AQ274:AR274" si="919">AQ221</f>
        <v>57</v>
      </c>
      <c r="AR274" s="241">
        <f t="shared" si="919"/>
        <v>0</v>
      </c>
      <c r="AS274" s="241"/>
      <c r="AT274" s="241">
        <f t="shared" ref="AT274:AU274" si="920">AT221</f>
        <v>17</v>
      </c>
      <c r="AU274" s="241">
        <f t="shared" si="920"/>
        <v>0</v>
      </c>
      <c r="AW274" s="241">
        <f t="shared" ref="AW274:AX274" si="921">AW221</f>
        <v>44</v>
      </c>
      <c r="AX274" s="241">
        <f t="shared" si="921"/>
        <v>0</v>
      </c>
      <c r="AZ274" s="241">
        <f t="shared" ref="AZ274:BA274" si="922">AZ221</f>
        <v>90</v>
      </c>
      <c r="BA274" s="241">
        <f t="shared" si="922"/>
        <v>0</v>
      </c>
      <c r="BB274" s="241"/>
      <c r="BC274" s="241">
        <f t="shared" ref="BC274:BD274" si="923">BC221</f>
        <v>102</v>
      </c>
      <c r="BD274" s="241">
        <f t="shared" si="923"/>
        <v>0</v>
      </c>
      <c r="BE274" s="241"/>
      <c r="BF274" s="241">
        <f t="shared" ref="BF274:BG274" si="924">BF221</f>
        <v>75</v>
      </c>
      <c r="BG274" s="241">
        <f t="shared" si="924"/>
        <v>0</v>
      </c>
      <c r="BI274" s="241">
        <f t="shared" ref="BI274:BJ274" si="925">BI221</f>
        <v>68</v>
      </c>
      <c r="BJ274" s="241">
        <f t="shared" si="925"/>
        <v>0</v>
      </c>
      <c r="BK274" s="241"/>
      <c r="BL274" s="241">
        <f t="shared" ref="BL274:BM274" si="926">BL221</f>
        <v>50</v>
      </c>
      <c r="BM274" s="241">
        <f t="shared" si="926"/>
        <v>0</v>
      </c>
      <c r="BN274" s="241"/>
      <c r="BO274" s="241">
        <f t="shared" ref="BO274:BP274" si="927">BO221</f>
        <v>63</v>
      </c>
      <c r="BP274" s="241">
        <f t="shared" si="927"/>
        <v>0</v>
      </c>
      <c r="BR274" s="241">
        <f t="shared" ref="BR274:BS274" si="928">BR221</f>
        <v>45</v>
      </c>
      <c r="BS274" s="241">
        <f t="shared" si="928"/>
        <v>0</v>
      </c>
      <c r="BT274" s="241"/>
      <c r="BU274" s="241">
        <f t="shared" ref="BU274:BV274" si="929">BU221</f>
        <v>62</v>
      </c>
      <c r="BV274" s="241">
        <f t="shared" si="929"/>
        <v>0</v>
      </c>
      <c r="BW274" s="241"/>
      <c r="BX274" s="241">
        <f t="shared" ref="BX274:BY274" si="930">BX221</f>
        <v>52</v>
      </c>
      <c r="BY274" s="241">
        <f t="shared" si="930"/>
        <v>0</v>
      </c>
      <c r="CA274" s="241">
        <f t="shared" ref="CA274:CB274" si="931">CA221</f>
        <v>66</v>
      </c>
      <c r="CB274" s="241">
        <f t="shared" si="931"/>
        <v>0</v>
      </c>
      <c r="CC274" s="241"/>
      <c r="CD274" s="241">
        <f t="shared" ref="CD274:CE274" si="932">CD221</f>
        <v>26</v>
      </c>
      <c r="CE274" s="241">
        <f t="shared" si="932"/>
        <v>0</v>
      </c>
      <c r="CF274" s="241"/>
      <c r="CG274" s="241">
        <f t="shared" ref="CG274:CH274" si="933">CG221</f>
        <v>74</v>
      </c>
      <c r="CH274" s="241">
        <f t="shared" si="933"/>
        <v>0</v>
      </c>
      <c r="CJ274" s="241">
        <f t="shared" ref="CJ274:CK274" si="934">CJ221</f>
        <v>28</v>
      </c>
      <c r="CK274" s="241">
        <f t="shared" si="934"/>
        <v>0</v>
      </c>
      <c r="CM274" s="241">
        <f t="shared" ref="CM274:CN274" si="935">CM221</f>
        <v>0</v>
      </c>
      <c r="CN274" s="241">
        <f t="shared" si="935"/>
        <v>0</v>
      </c>
      <c r="CP274" s="241">
        <f t="shared" ref="CP274:CQ274" si="936">CP221</f>
        <v>0</v>
      </c>
      <c r="CQ274" s="241">
        <f t="shared" si="936"/>
        <v>0</v>
      </c>
      <c r="CS274" s="241">
        <f t="shared" ref="CS274:CT274" si="937">CS221</f>
        <v>45</v>
      </c>
      <c r="CT274" s="241">
        <f t="shared" si="937"/>
        <v>0</v>
      </c>
      <c r="CV274" s="241">
        <f t="shared" ref="CV274:CW274" si="938">CV221</f>
        <v>35</v>
      </c>
      <c r="CW274" s="241">
        <f t="shared" si="938"/>
        <v>0</v>
      </c>
      <c r="CY274" s="241">
        <f t="shared" ref="CY274:CZ274" si="939">CY221</f>
        <v>79</v>
      </c>
      <c r="CZ274" s="241">
        <f t="shared" si="939"/>
        <v>0</v>
      </c>
      <c r="DB274" s="241">
        <f t="shared" ref="DB274:DC274" si="940">DB221</f>
        <v>27</v>
      </c>
      <c r="DC274" s="241">
        <f t="shared" si="940"/>
        <v>0</v>
      </c>
      <c r="DE274" s="241">
        <f t="shared" ref="DE274:DF274" si="941">DE221</f>
        <v>0</v>
      </c>
      <c r="DF274" s="241">
        <f t="shared" si="941"/>
        <v>0</v>
      </c>
    </row>
    <row r="275" spans="1:110" x14ac:dyDescent="0.25">
      <c r="A275" s="23"/>
      <c r="B275" s="16" t="s">
        <v>1184</v>
      </c>
      <c r="C275" s="6"/>
      <c r="D275" s="6" t="s">
        <v>950</v>
      </c>
      <c r="E275" s="12"/>
      <c r="F275" s="12"/>
      <c r="G275" s="12"/>
      <c r="H275" s="35"/>
      <c r="I275" s="35">
        <f t="shared" ref="I275:L275" si="942">I222</f>
        <v>38</v>
      </c>
      <c r="J275" s="35">
        <f t="shared" si="942"/>
        <v>63</v>
      </c>
      <c r="K275" s="35">
        <f t="shared" si="942"/>
        <v>81</v>
      </c>
      <c r="L275" s="35">
        <f t="shared" si="942"/>
        <v>127</v>
      </c>
      <c r="N275" s="241">
        <f t="shared" ref="N275" si="943">P275+S275+V275+Y275+AB275+AE275+AH275+AK275+AN275+AQ275+AW275+AZ275+BC275+BF275+BI275+BL275+BO275+BR275+BU275+BX275+CA275+CD275+CG275+CJ275+AT275+DE275</f>
        <v>81</v>
      </c>
      <c r="O275" s="241">
        <f t="shared" si="909"/>
        <v>0</v>
      </c>
      <c r="P275" s="241">
        <f t="shared" ref="P275:Q275" si="944">P222</f>
        <v>0</v>
      </c>
      <c r="Q275" s="241">
        <f t="shared" si="944"/>
        <v>0</v>
      </c>
      <c r="S275" s="241">
        <f t="shared" ref="S275:T275" si="945">S222</f>
        <v>0</v>
      </c>
      <c r="T275" s="241">
        <f t="shared" si="945"/>
        <v>0</v>
      </c>
      <c r="V275" s="241">
        <f t="shared" ref="V275:W275" si="946">V222</f>
        <v>0</v>
      </c>
      <c r="W275" s="241">
        <f t="shared" si="946"/>
        <v>0</v>
      </c>
      <c r="Y275" s="241">
        <f t="shared" ref="Y275:Z275" si="947">Y222</f>
        <v>0</v>
      </c>
      <c r="Z275" s="241">
        <f t="shared" si="947"/>
        <v>0</v>
      </c>
      <c r="AA275" s="241"/>
      <c r="AB275" s="241">
        <f t="shared" ref="AB275:AC275" si="948">AB222</f>
        <v>0</v>
      </c>
      <c r="AC275" s="241">
        <f t="shared" si="948"/>
        <v>0</v>
      </c>
      <c r="AD275" s="241"/>
      <c r="AE275" s="241">
        <f t="shared" ref="AE275:AF275" si="949">AE222</f>
        <v>0</v>
      </c>
      <c r="AF275" s="241">
        <f t="shared" si="949"/>
        <v>0</v>
      </c>
      <c r="AH275" s="241">
        <f t="shared" ref="AH275:AI275" si="950">AH222</f>
        <v>0</v>
      </c>
      <c r="AI275" s="241">
        <f t="shared" si="950"/>
        <v>0</v>
      </c>
      <c r="AJ275" s="241"/>
      <c r="AK275" s="241">
        <f t="shared" ref="AK275:AL275" si="951">AK222</f>
        <v>0</v>
      </c>
      <c r="AL275" s="241">
        <f t="shared" si="951"/>
        <v>0</v>
      </c>
      <c r="AM275" s="241"/>
      <c r="AN275" s="241">
        <f t="shared" ref="AN275:AO275" si="952">AN222</f>
        <v>0</v>
      </c>
      <c r="AO275" s="241">
        <f t="shared" si="952"/>
        <v>0</v>
      </c>
      <c r="AQ275" s="241">
        <f t="shared" ref="AQ275:AR275" si="953">AQ222</f>
        <v>0</v>
      </c>
      <c r="AR275" s="241">
        <f t="shared" si="953"/>
        <v>0</v>
      </c>
      <c r="AS275" s="241"/>
      <c r="AT275" s="241">
        <f t="shared" ref="AT275:AU275" si="954">AT222</f>
        <v>0</v>
      </c>
      <c r="AU275" s="241">
        <f t="shared" si="954"/>
        <v>0</v>
      </c>
      <c r="AW275" s="241">
        <f t="shared" ref="AW275:AX275" si="955">AW222</f>
        <v>0</v>
      </c>
      <c r="AX275" s="241">
        <f t="shared" si="955"/>
        <v>0</v>
      </c>
      <c r="AZ275" s="241">
        <f t="shared" ref="AZ275:BA275" si="956">AZ222</f>
        <v>0</v>
      </c>
      <c r="BA275" s="241">
        <f t="shared" si="956"/>
        <v>0</v>
      </c>
      <c r="BB275" s="241"/>
      <c r="BC275" s="241">
        <f t="shared" ref="BC275:BD275" si="957">BC222</f>
        <v>0</v>
      </c>
      <c r="BD275" s="241">
        <f t="shared" si="957"/>
        <v>0</v>
      </c>
      <c r="BE275" s="241"/>
      <c r="BF275" s="241">
        <f t="shared" ref="BF275:BG275" si="958">BF222</f>
        <v>0</v>
      </c>
      <c r="BG275" s="241">
        <f t="shared" si="958"/>
        <v>0</v>
      </c>
      <c r="BI275" s="241">
        <f t="shared" ref="BI275:BJ275" si="959">BI222</f>
        <v>0</v>
      </c>
      <c r="BJ275" s="241">
        <f t="shared" si="959"/>
        <v>0</v>
      </c>
      <c r="BK275" s="241"/>
      <c r="BL275" s="241">
        <f t="shared" ref="BL275:BM275" si="960">BL222</f>
        <v>0</v>
      </c>
      <c r="BM275" s="241">
        <f t="shared" si="960"/>
        <v>0</v>
      </c>
      <c r="BN275" s="241"/>
      <c r="BO275" s="241">
        <f t="shared" ref="BO275:BP275" si="961">BO222</f>
        <v>0</v>
      </c>
      <c r="BP275" s="241">
        <f t="shared" si="961"/>
        <v>0</v>
      </c>
      <c r="BR275" s="241">
        <f t="shared" ref="BR275:BS275" si="962">BR222</f>
        <v>0</v>
      </c>
      <c r="BS275" s="241">
        <f t="shared" si="962"/>
        <v>0</v>
      </c>
      <c r="BT275" s="241"/>
      <c r="BU275" s="241">
        <f t="shared" ref="BU275:BV275" si="963">BU222</f>
        <v>0</v>
      </c>
      <c r="BV275" s="241">
        <f t="shared" si="963"/>
        <v>0</v>
      </c>
      <c r="BW275" s="241"/>
      <c r="BX275" s="241">
        <f t="shared" ref="BX275:BY275" si="964">BX222</f>
        <v>0</v>
      </c>
      <c r="BY275" s="241">
        <f t="shared" si="964"/>
        <v>0</v>
      </c>
      <c r="CA275" s="241">
        <f t="shared" ref="CA275:CB275" si="965">CA222</f>
        <v>0</v>
      </c>
      <c r="CB275" s="241">
        <f t="shared" si="965"/>
        <v>0</v>
      </c>
      <c r="CC275" s="241"/>
      <c r="CD275" s="241">
        <f t="shared" ref="CD275:CE275" si="966">CD222</f>
        <v>0</v>
      </c>
      <c r="CE275" s="241">
        <f t="shared" si="966"/>
        <v>0</v>
      </c>
      <c r="CF275" s="241"/>
      <c r="CG275" s="241">
        <f t="shared" ref="CG275:CH275" si="967">CG222</f>
        <v>0</v>
      </c>
      <c r="CH275" s="241">
        <f t="shared" si="967"/>
        <v>0</v>
      </c>
      <c r="CJ275" s="241">
        <f t="shared" ref="CJ275:CK275" si="968">CJ222</f>
        <v>0</v>
      </c>
      <c r="CK275" s="241">
        <f t="shared" si="968"/>
        <v>0</v>
      </c>
      <c r="CM275" s="241">
        <f t="shared" ref="CM275:CN275" si="969">CM222</f>
        <v>0</v>
      </c>
      <c r="CN275" s="241">
        <f t="shared" si="969"/>
        <v>0</v>
      </c>
      <c r="CP275" s="241">
        <f t="shared" ref="CP275:CQ275" si="970">CP222</f>
        <v>0</v>
      </c>
      <c r="CQ275" s="241">
        <f t="shared" si="970"/>
        <v>0</v>
      </c>
      <c r="CS275" s="241">
        <f t="shared" ref="CS275:CT275" si="971">CS222</f>
        <v>0</v>
      </c>
      <c r="CT275" s="241">
        <f t="shared" si="971"/>
        <v>0</v>
      </c>
      <c r="CV275" s="241">
        <f t="shared" ref="CV275:CW275" si="972">CV222</f>
        <v>0</v>
      </c>
      <c r="CW275" s="241">
        <f t="shared" si="972"/>
        <v>0</v>
      </c>
      <c r="CY275" s="241">
        <f t="shared" ref="CY275:CZ275" si="973">CY222</f>
        <v>0</v>
      </c>
      <c r="CZ275" s="241">
        <f t="shared" si="973"/>
        <v>0</v>
      </c>
      <c r="DB275" s="241">
        <f t="shared" ref="DB275:DC275" si="974">DB222</f>
        <v>0</v>
      </c>
      <c r="DC275" s="241">
        <f t="shared" si="974"/>
        <v>0</v>
      </c>
      <c r="DE275" s="241">
        <f t="shared" ref="DE275:DF275" si="975">DE222</f>
        <v>81</v>
      </c>
      <c r="DF275" s="241">
        <f t="shared" si="975"/>
        <v>0</v>
      </c>
    </row>
    <row r="276" spans="1:110" ht="90" hidden="1" x14ac:dyDescent="0.25">
      <c r="A276" s="150" t="s">
        <v>404</v>
      </c>
      <c r="B276" s="51" t="s">
        <v>399</v>
      </c>
      <c r="C276" s="150"/>
      <c r="D276" s="150"/>
      <c r="E276" s="159"/>
      <c r="F276" s="159"/>
      <c r="G276" s="159"/>
      <c r="H276" s="159"/>
      <c r="I276" s="159"/>
      <c r="J276" s="159"/>
      <c r="K276" s="159"/>
      <c r="L276" s="159"/>
      <c r="M276" s="3" t="s">
        <v>23</v>
      </c>
    </row>
    <row r="277" spans="1:110" hidden="1" x14ac:dyDescent="0.25">
      <c r="A277" s="157"/>
      <c r="B277" s="51" t="s">
        <v>406</v>
      </c>
      <c r="C277" s="150"/>
      <c r="D277" s="150" t="s">
        <v>8</v>
      </c>
      <c r="E277" s="164">
        <v>10</v>
      </c>
      <c r="F277" s="164" t="e">
        <f>F279/F281*100</f>
        <v>#DIV/0!</v>
      </c>
      <c r="G277" s="164" t="e">
        <f>G279/G281*100</f>
        <v>#DIV/0!</v>
      </c>
      <c r="H277" s="164">
        <v>20</v>
      </c>
      <c r="I277" s="164" t="e">
        <f t="shared" ref="I277:K278" si="976">I282/$I$284*100</f>
        <v>#DIV/0!</v>
      </c>
      <c r="J277" s="164" t="e">
        <f t="shared" si="976"/>
        <v>#DIV/0!</v>
      </c>
      <c r="K277" s="164" t="e">
        <f t="shared" si="976"/>
        <v>#DIV/0!</v>
      </c>
      <c r="L277" s="164" t="e">
        <f t="shared" ref="L277" si="977">L282/$I$284*100</f>
        <v>#DIV/0!</v>
      </c>
      <c r="M277" s="3"/>
    </row>
    <row r="278" spans="1:110" hidden="1" x14ac:dyDescent="0.25">
      <c r="A278" s="157"/>
      <c r="B278" s="51" t="s">
        <v>407</v>
      </c>
      <c r="C278" s="150"/>
      <c r="D278" s="150" t="s">
        <v>8</v>
      </c>
      <c r="E278" s="164">
        <v>28.89</v>
      </c>
      <c r="F278" s="164" t="e">
        <f>F280/F281*100</f>
        <v>#DIV/0!</v>
      </c>
      <c r="G278" s="164" t="e">
        <f>G280/G281*100</f>
        <v>#DIV/0!</v>
      </c>
      <c r="H278" s="164">
        <v>40</v>
      </c>
      <c r="I278" s="164" t="e">
        <f t="shared" si="976"/>
        <v>#DIV/0!</v>
      </c>
      <c r="J278" s="164" t="e">
        <f t="shared" si="976"/>
        <v>#DIV/0!</v>
      </c>
      <c r="K278" s="164" t="e">
        <f t="shared" si="976"/>
        <v>#DIV/0!</v>
      </c>
      <c r="L278" s="164" t="e">
        <f t="shared" ref="L278" si="978">L283/$I$284*100</f>
        <v>#DIV/0!</v>
      </c>
      <c r="M278" s="3"/>
    </row>
    <row r="279" spans="1:110" ht="90" hidden="1" x14ac:dyDescent="0.25">
      <c r="A279" s="18"/>
      <c r="B279" s="16" t="s">
        <v>400</v>
      </c>
      <c r="C279" s="6" t="s">
        <v>401</v>
      </c>
      <c r="D279" s="6" t="s">
        <v>950</v>
      </c>
      <c r="E279" s="12"/>
      <c r="F279" s="12">
        <v>0</v>
      </c>
      <c r="G279" s="12">
        <v>0</v>
      </c>
      <c r="H279" s="12"/>
      <c r="I279" s="12"/>
      <c r="J279" s="12"/>
      <c r="K279" s="12"/>
      <c r="L279" s="12"/>
    </row>
    <row r="280" spans="1:110" ht="90" hidden="1" x14ac:dyDescent="0.25">
      <c r="A280" s="18"/>
      <c r="B280" s="16" t="s">
        <v>402</v>
      </c>
      <c r="C280" s="6" t="s">
        <v>403</v>
      </c>
      <c r="D280" s="6" t="s">
        <v>950</v>
      </c>
      <c r="E280" s="12"/>
      <c r="F280" s="12">
        <v>0</v>
      </c>
      <c r="G280" s="12">
        <v>0</v>
      </c>
      <c r="H280" s="12"/>
      <c r="I280" s="12"/>
      <c r="J280" s="12"/>
      <c r="K280" s="12"/>
      <c r="L280" s="12"/>
    </row>
    <row r="281" spans="1:110" ht="90" hidden="1" x14ac:dyDescent="0.25">
      <c r="A281" s="18"/>
      <c r="B281" s="16" t="s">
        <v>385</v>
      </c>
      <c r="C281" s="6" t="s">
        <v>386</v>
      </c>
      <c r="D281" s="6" t="s">
        <v>950</v>
      </c>
      <c r="E281" s="12"/>
      <c r="F281" s="12">
        <v>0</v>
      </c>
      <c r="G281" s="12">
        <v>0</v>
      </c>
      <c r="H281" s="12"/>
      <c r="I281" s="12"/>
      <c r="J281" s="12"/>
      <c r="K281" s="12"/>
      <c r="L281" s="12"/>
    </row>
    <row r="282" spans="1:110" ht="30" hidden="1" x14ac:dyDescent="0.25">
      <c r="A282" s="152"/>
      <c r="B282" s="16"/>
      <c r="C282" s="6" t="s">
        <v>2055</v>
      </c>
      <c r="D282" s="6" t="s">
        <v>950</v>
      </c>
      <c r="E282" s="12"/>
      <c r="F282" s="12"/>
      <c r="G282" s="12"/>
      <c r="H282" s="12"/>
      <c r="I282" s="12"/>
      <c r="J282" s="12"/>
      <c r="K282" s="12"/>
      <c r="L282" s="12"/>
    </row>
    <row r="283" spans="1:110" ht="30" hidden="1" x14ac:dyDescent="0.25">
      <c r="A283" s="152"/>
      <c r="B283" s="16"/>
      <c r="C283" s="6" t="s">
        <v>2054</v>
      </c>
      <c r="D283" s="6" t="s">
        <v>950</v>
      </c>
      <c r="E283" s="12"/>
      <c r="F283" s="12"/>
      <c r="G283" s="12"/>
      <c r="H283" s="12"/>
      <c r="I283" s="12"/>
      <c r="J283" s="12"/>
      <c r="K283" s="12"/>
      <c r="L283" s="12"/>
    </row>
    <row r="284" spans="1:110" ht="30" hidden="1" x14ac:dyDescent="0.25">
      <c r="A284" s="152"/>
      <c r="B284" s="16"/>
      <c r="C284" s="6" t="s">
        <v>2053</v>
      </c>
      <c r="D284" s="6" t="s">
        <v>950</v>
      </c>
      <c r="E284" s="12"/>
      <c r="F284" s="12"/>
      <c r="G284" s="12"/>
      <c r="H284" s="12"/>
      <c r="I284" s="12"/>
      <c r="J284" s="12"/>
      <c r="K284" s="12"/>
      <c r="L284" s="12"/>
    </row>
    <row r="285" spans="1:110" ht="90" hidden="1" x14ac:dyDescent="0.25">
      <c r="A285" s="150" t="s">
        <v>392</v>
      </c>
      <c r="B285" s="51" t="s">
        <v>405</v>
      </c>
      <c r="C285" s="150"/>
      <c r="D285" s="150"/>
      <c r="E285" s="159"/>
      <c r="F285" s="159"/>
      <c r="G285" s="159"/>
      <c r="H285" s="159"/>
      <c r="I285" s="159"/>
      <c r="J285" s="159"/>
      <c r="K285" s="159"/>
      <c r="L285" s="159"/>
      <c r="M285" s="3" t="s">
        <v>281</v>
      </c>
    </row>
    <row r="286" spans="1:110" hidden="1" x14ac:dyDescent="0.25">
      <c r="A286" s="157"/>
      <c r="B286" s="135" t="s">
        <v>406</v>
      </c>
      <c r="C286" s="150"/>
      <c r="D286" s="150"/>
      <c r="E286" s="159"/>
      <c r="F286" s="159"/>
      <c r="G286" s="159"/>
      <c r="H286" s="159"/>
      <c r="I286" s="159"/>
      <c r="J286" s="159"/>
      <c r="K286" s="159"/>
      <c r="L286" s="159"/>
    </row>
    <row r="287" spans="1:110" hidden="1" x14ac:dyDescent="0.25">
      <c r="A287" s="157"/>
      <c r="B287" s="135" t="s">
        <v>1182</v>
      </c>
      <c r="C287" s="158"/>
      <c r="D287" s="150" t="s">
        <v>8</v>
      </c>
      <c r="E287" s="164">
        <v>30.96</v>
      </c>
      <c r="F287" s="164">
        <v>29.43</v>
      </c>
      <c r="G287" s="164">
        <v>27.26</v>
      </c>
      <c r="H287" s="164">
        <v>29.73</v>
      </c>
      <c r="I287" s="164" t="e">
        <f t="shared" ref="I287:K288" si="979">I301/$I$303*100</f>
        <v>#DIV/0!</v>
      </c>
      <c r="J287" s="164" t="e">
        <f t="shared" si="979"/>
        <v>#DIV/0!</v>
      </c>
      <c r="K287" s="164" t="e">
        <f t="shared" si="979"/>
        <v>#DIV/0!</v>
      </c>
      <c r="L287" s="164" t="e">
        <f t="shared" ref="L287" si="980">L301/$I$303*100</f>
        <v>#DIV/0!</v>
      </c>
    </row>
    <row r="288" spans="1:110" hidden="1" x14ac:dyDescent="0.25">
      <c r="A288" s="157"/>
      <c r="B288" s="135" t="s">
        <v>1184</v>
      </c>
      <c r="C288" s="158"/>
      <c r="D288" s="150" t="s">
        <v>8</v>
      </c>
      <c r="E288" s="164">
        <v>33.33</v>
      </c>
      <c r="F288" s="164" t="e">
        <f>F294/F300*100</f>
        <v>#DIV/0!</v>
      </c>
      <c r="G288" s="164" t="e">
        <f>G294/G300*100</f>
        <v>#DIV/0!</v>
      </c>
      <c r="H288" s="164">
        <v>0</v>
      </c>
      <c r="I288" s="164" t="e">
        <f t="shared" si="979"/>
        <v>#DIV/0!</v>
      </c>
      <c r="J288" s="164" t="e">
        <f t="shared" si="979"/>
        <v>#DIV/0!</v>
      </c>
      <c r="K288" s="164" t="e">
        <f t="shared" si="979"/>
        <v>#DIV/0!</v>
      </c>
      <c r="L288" s="164" t="e">
        <f t="shared" ref="L288" si="981">L302/$I$303*100</f>
        <v>#DIV/0!</v>
      </c>
    </row>
    <row r="289" spans="1:12" hidden="1" x14ac:dyDescent="0.25">
      <c r="A289" s="157"/>
      <c r="B289" s="135" t="s">
        <v>1127</v>
      </c>
      <c r="C289" s="150"/>
      <c r="D289" s="150"/>
      <c r="E289" s="159"/>
      <c r="F289" s="159"/>
      <c r="G289" s="159"/>
      <c r="H289" s="159"/>
      <c r="I289" s="159"/>
      <c r="J289" s="159"/>
      <c r="K289" s="159"/>
      <c r="L289" s="159"/>
    </row>
    <row r="290" spans="1:12" hidden="1" x14ac:dyDescent="0.25">
      <c r="A290" s="157"/>
      <c r="B290" s="135" t="s">
        <v>1182</v>
      </c>
      <c r="C290" s="150"/>
      <c r="D290" s="150" t="s">
        <v>8</v>
      </c>
      <c r="E290" s="164">
        <v>21</v>
      </c>
      <c r="F290" s="164">
        <f>F296/F299*100</f>
        <v>27.200902934537247</v>
      </c>
      <c r="G290" s="164">
        <v>26.04</v>
      </c>
      <c r="H290" s="164">
        <v>25.79</v>
      </c>
      <c r="I290" s="164" t="e">
        <f t="shared" ref="I290:K291" si="982">I304/$I$306*100</f>
        <v>#DIV/0!</v>
      </c>
      <c r="J290" s="164" t="e">
        <f t="shared" si="982"/>
        <v>#DIV/0!</v>
      </c>
      <c r="K290" s="164" t="e">
        <f t="shared" si="982"/>
        <v>#DIV/0!</v>
      </c>
      <c r="L290" s="164" t="e">
        <f t="shared" ref="L290" si="983">L304/$I$306*100</f>
        <v>#DIV/0!</v>
      </c>
    </row>
    <row r="291" spans="1:12" hidden="1" x14ac:dyDescent="0.25">
      <c r="A291" s="157"/>
      <c r="B291" s="135" t="s">
        <v>1184</v>
      </c>
      <c r="C291" s="150"/>
      <c r="D291" s="150" t="s">
        <v>8</v>
      </c>
      <c r="E291" s="164">
        <v>0</v>
      </c>
      <c r="F291" s="164" t="e">
        <f>F297/F300*100</f>
        <v>#DIV/0!</v>
      </c>
      <c r="G291" s="164" t="e">
        <f>G297/G300*100</f>
        <v>#DIV/0!</v>
      </c>
      <c r="H291" s="164">
        <v>72.73</v>
      </c>
      <c r="I291" s="164" t="e">
        <f t="shared" si="982"/>
        <v>#DIV/0!</v>
      </c>
      <c r="J291" s="164" t="e">
        <f t="shared" si="982"/>
        <v>#DIV/0!</v>
      </c>
      <c r="K291" s="164" t="e">
        <f t="shared" si="982"/>
        <v>#DIV/0!</v>
      </c>
      <c r="L291" s="164" t="e">
        <f t="shared" ref="L291" si="984">L305/$I$306*100</f>
        <v>#DIV/0!</v>
      </c>
    </row>
    <row r="292" spans="1:12" ht="90" hidden="1" x14ac:dyDescent="0.25">
      <c r="A292" s="18"/>
      <c r="B292" s="16" t="s">
        <v>408</v>
      </c>
      <c r="C292" s="6" t="s">
        <v>409</v>
      </c>
      <c r="D292" s="6" t="s">
        <v>950</v>
      </c>
      <c r="E292" s="12"/>
      <c r="F292" s="12"/>
      <c r="G292" s="12"/>
      <c r="H292" s="12"/>
      <c r="I292" s="12"/>
      <c r="J292" s="12"/>
      <c r="K292" s="12"/>
      <c r="L292" s="12"/>
    </row>
    <row r="293" spans="1:12" hidden="1" x14ac:dyDescent="0.25">
      <c r="A293" s="82"/>
      <c r="B293" s="16" t="s">
        <v>1182</v>
      </c>
      <c r="C293" s="6"/>
      <c r="D293" s="6"/>
      <c r="E293" s="12"/>
      <c r="F293" s="12">
        <v>521</v>
      </c>
      <c r="G293" s="12"/>
      <c r="H293" s="12"/>
      <c r="I293" s="12"/>
      <c r="J293" s="12"/>
      <c r="K293" s="12"/>
      <c r="L293" s="12"/>
    </row>
    <row r="294" spans="1:12" hidden="1" x14ac:dyDescent="0.25">
      <c r="A294" s="82"/>
      <c r="B294" s="16" t="s">
        <v>1184</v>
      </c>
      <c r="C294" s="6"/>
      <c r="D294" s="6"/>
      <c r="E294" s="12"/>
      <c r="F294" s="12">
        <v>0</v>
      </c>
      <c r="G294" s="12"/>
      <c r="H294" s="12"/>
      <c r="I294" s="12"/>
      <c r="J294" s="12"/>
      <c r="K294" s="12"/>
      <c r="L294" s="12"/>
    </row>
    <row r="295" spans="1:12" ht="90" hidden="1" x14ac:dyDescent="0.25">
      <c r="A295" s="18"/>
      <c r="B295" s="16" t="s">
        <v>410</v>
      </c>
      <c r="C295" s="6" t="s">
        <v>411</v>
      </c>
      <c r="D295" s="6" t="s">
        <v>950</v>
      </c>
      <c r="E295" s="12"/>
      <c r="F295" s="12"/>
      <c r="G295" s="12"/>
      <c r="H295" s="12"/>
      <c r="I295" s="12"/>
      <c r="J295" s="12"/>
      <c r="K295" s="12"/>
      <c r="L295" s="12"/>
    </row>
    <row r="296" spans="1:12" hidden="1" x14ac:dyDescent="0.25">
      <c r="A296" s="82"/>
      <c r="B296" s="16" t="s">
        <v>1182</v>
      </c>
      <c r="C296" s="6"/>
      <c r="D296" s="6"/>
      <c r="E296" s="12"/>
      <c r="F296" s="12">
        <v>482</v>
      </c>
      <c r="G296" s="12"/>
      <c r="H296" s="12"/>
      <c r="I296" s="12"/>
      <c r="J296" s="12"/>
      <c r="K296" s="12"/>
      <c r="L296" s="12"/>
    </row>
    <row r="297" spans="1:12" hidden="1" x14ac:dyDescent="0.25">
      <c r="A297" s="82"/>
      <c r="B297" s="16" t="s">
        <v>1184</v>
      </c>
      <c r="C297" s="6"/>
      <c r="D297" s="6"/>
      <c r="E297" s="12"/>
      <c r="F297" s="12">
        <v>0</v>
      </c>
      <c r="G297" s="12"/>
      <c r="H297" s="12"/>
      <c r="I297" s="12"/>
      <c r="J297" s="12"/>
      <c r="K297" s="12"/>
      <c r="L297" s="12"/>
    </row>
    <row r="298" spans="1:12" ht="75" hidden="1" x14ac:dyDescent="0.25">
      <c r="A298" s="18"/>
      <c r="B298" s="16" t="s">
        <v>412</v>
      </c>
      <c r="C298" s="6" t="s">
        <v>396</v>
      </c>
      <c r="D298" s="6" t="s">
        <v>950</v>
      </c>
      <c r="E298" s="12"/>
      <c r="F298" s="12"/>
      <c r="G298" s="12"/>
      <c r="H298" s="12"/>
      <c r="I298" s="12"/>
      <c r="J298" s="12"/>
      <c r="K298" s="12"/>
      <c r="L298" s="12"/>
    </row>
    <row r="299" spans="1:12" hidden="1" x14ac:dyDescent="0.25">
      <c r="A299" s="82"/>
      <c r="B299" s="16" t="s">
        <v>1182</v>
      </c>
      <c r="C299" s="6"/>
      <c r="D299" s="6"/>
      <c r="E299" s="12"/>
      <c r="F299" s="12">
        <v>1772</v>
      </c>
      <c r="G299" s="12"/>
      <c r="H299" s="12"/>
      <c r="I299" s="12"/>
      <c r="J299" s="12"/>
      <c r="K299" s="12"/>
      <c r="L299" s="12"/>
    </row>
    <row r="300" spans="1:12" hidden="1" x14ac:dyDescent="0.25">
      <c r="A300" s="82"/>
      <c r="B300" s="16" t="s">
        <v>1184</v>
      </c>
      <c r="C300" s="6"/>
      <c r="D300" s="6"/>
      <c r="E300" s="12"/>
      <c r="F300" s="12">
        <v>0</v>
      </c>
      <c r="G300" s="12"/>
      <c r="H300" s="12"/>
      <c r="I300" s="12"/>
      <c r="J300" s="12"/>
      <c r="K300" s="12"/>
      <c r="L300" s="12"/>
    </row>
    <row r="301" spans="1:12" ht="30" hidden="1" x14ac:dyDescent="0.25">
      <c r="A301" s="152"/>
      <c r="B301" s="16" t="s">
        <v>1182</v>
      </c>
      <c r="C301" s="6" t="s">
        <v>2056</v>
      </c>
      <c r="D301" s="6" t="s">
        <v>950</v>
      </c>
      <c r="E301" s="12"/>
      <c r="F301" s="12"/>
      <c r="G301" s="12"/>
      <c r="H301" s="12"/>
      <c r="I301" s="12"/>
      <c r="J301" s="12"/>
      <c r="K301" s="12"/>
      <c r="L301" s="12"/>
    </row>
    <row r="302" spans="1:12" ht="30" hidden="1" x14ac:dyDescent="0.25">
      <c r="A302" s="152"/>
      <c r="B302" s="16"/>
      <c r="C302" s="6" t="s">
        <v>2057</v>
      </c>
      <c r="D302" s="6" t="s">
        <v>950</v>
      </c>
      <c r="E302" s="12"/>
      <c r="F302" s="12"/>
      <c r="G302" s="12"/>
      <c r="H302" s="12"/>
      <c r="I302" s="12"/>
      <c r="J302" s="12"/>
      <c r="K302" s="12"/>
      <c r="L302" s="12"/>
    </row>
    <row r="303" spans="1:12" ht="30" hidden="1" x14ac:dyDescent="0.25">
      <c r="A303" s="152"/>
      <c r="B303" s="16"/>
      <c r="C303" s="6" t="s">
        <v>2058</v>
      </c>
      <c r="D303" s="6" t="s">
        <v>950</v>
      </c>
      <c r="E303" s="12"/>
      <c r="F303" s="12"/>
      <c r="G303" s="12"/>
      <c r="H303" s="12"/>
      <c r="I303" s="12"/>
      <c r="J303" s="12"/>
      <c r="K303" s="12"/>
      <c r="L303" s="12"/>
    </row>
    <row r="304" spans="1:12" ht="30" hidden="1" x14ac:dyDescent="0.25">
      <c r="A304" s="152"/>
      <c r="B304" s="16" t="s">
        <v>1184</v>
      </c>
      <c r="C304" s="6" t="s">
        <v>2056</v>
      </c>
      <c r="D304" s="6" t="s">
        <v>950</v>
      </c>
      <c r="E304" s="12"/>
      <c r="F304" s="12"/>
      <c r="G304" s="12"/>
      <c r="H304" s="12"/>
      <c r="I304" s="12"/>
      <c r="J304" s="12"/>
      <c r="K304" s="12"/>
      <c r="L304" s="12"/>
    </row>
    <row r="305" spans="1:110" ht="30" hidden="1" x14ac:dyDescent="0.25">
      <c r="A305" s="152"/>
      <c r="B305" s="16"/>
      <c r="C305" s="6" t="s">
        <v>2057</v>
      </c>
      <c r="D305" s="6" t="s">
        <v>950</v>
      </c>
      <c r="E305" s="12"/>
      <c r="F305" s="12"/>
      <c r="G305" s="12"/>
      <c r="H305" s="12"/>
      <c r="I305" s="12"/>
      <c r="J305" s="12"/>
      <c r="K305" s="12"/>
      <c r="L305" s="12"/>
    </row>
    <row r="306" spans="1:110" ht="30" hidden="1" x14ac:dyDescent="0.25">
      <c r="A306" s="152"/>
      <c r="B306" s="16"/>
      <c r="C306" s="6" t="s">
        <v>2058</v>
      </c>
      <c r="D306" s="6" t="s">
        <v>950</v>
      </c>
      <c r="E306" s="12"/>
      <c r="F306" s="12"/>
      <c r="G306" s="12"/>
      <c r="H306" s="12"/>
      <c r="I306" s="12"/>
      <c r="J306" s="12"/>
      <c r="K306" s="12"/>
      <c r="L306" s="12"/>
    </row>
    <row r="307" spans="1:110" ht="75" x14ac:dyDescent="0.25">
      <c r="A307" s="42" t="s">
        <v>404</v>
      </c>
      <c r="B307" s="43" t="s">
        <v>414</v>
      </c>
      <c r="C307" s="42"/>
      <c r="D307" s="42" t="s">
        <v>950</v>
      </c>
      <c r="E307" s="49"/>
      <c r="F307" s="49"/>
      <c r="G307" s="49"/>
      <c r="H307" s="49"/>
      <c r="I307" s="49"/>
      <c r="J307" s="49"/>
      <c r="K307" s="49"/>
      <c r="L307" s="49"/>
    </row>
    <row r="308" spans="1:110" ht="60" x14ac:dyDescent="0.25">
      <c r="A308" s="72"/>
      <c r="B308" s="43" t="s">
        <v>415</v>
      </c>
      <c r="C308" s="42"/>
      <c r="D308" s="42" t="s">
        <v>8</v>
      </c>
      <c r="E308" s="45">
        <v>12.93</v>
      </c>
      <c r="F308" s="45" t="e">
        <f t="shared" ref="F308:J308" si="985">(F311+F312)/(F313+F314+F315+F316+F317+F318+F319+F320)*100</f>
        <v>#DIV/0!</v>
      </c>
      <c r="G308" s="45" t="e">
        <f t="shared" si="985"/>
        <v>#DIV/0!</v>
      </c>
      <c r="H308" s="45" t="e">
        <f t="shared" si="985"/>
        <v>#DIV/0!</v>
      </c>
      <c r="I308" s="45" t="e">
        <f t="shared" si="985"/>
        <v>#DIV/0!</v>
      </c>
      <c r="J308" s="45" t="e">
        <f t="shared" si="985"/>
        <v>#DIV/0!</v>
      </c>
      <c r="K308" s="45" t="e">
        <f>(K311+K312)/(K313+K314+K315+K316+K317+K318+K319+K320)*100</f>
        <v>#DIV/0!</v>
      </c>
      <c r="L308" s="45" t="e">
        <f t="shared" ref="L308" si="986">(L311+L312)/(L313+L314+L315+L316+L317+L318+L319+L320)*100</f>
        <v>#DIV/0!</v>
      </c>
      <c r="M308" s="3" t="s">
        <v>281</v>
      </c>
    </row>
    <row r="309" spans="1:110" x14ac:dyDescent="0.25">
      <c r="A309" s="72"/>
      <c r="B309" s="46" t="s">
        <v>1182</v>
      </c>
      <c r="C309" s="42"/>
      <c r="D309" s="42"/>
      <c r="E309" s="45"/>
      <c r="F309" s="45"/>
      <c r="G309" s="45"/>
      <c r="H309" s="45">
        <v>11.85</v>
      </c>
      <c r="I309" s="45">
        <f>(I322+I323+I324)/(I325+I326)</f>
        <v>20.39971448965025</v>
      </c>
      <c r="J309" s="45">
        <f>(J322+J323+J324)/(J325+J326)</f>
        <v>17.949375200256327</v>
      </c>
      <c r="K309" s="45">
        <f>(K322+(K323*0.25)+(K324*0.1))/(K325+K326)</f>
        <v>12.049791620969511</v>
      </c>
      <c r="L309" s="45">
        <f>(L322+(L323*0.25)+(L324*0.1))/(L325+L326)</f>
        <v>12.546133567662565</v>
      </c>
      <c r="M309" s="3"/>
      <c r="N309" s="45">
        <f>(N322+(N323*0.25)+(N324*0.1))/(N325+N326)</f>
        <v>11.621535857837952</v>
      </c>
      <c r="O309" s="45" t="e">
        <f>(O322+(O323*0.25)+(O324*0.1))/(O325+O326)</f>
        <v>#DIV/0!</v>
      </c>
      <c r="P309" s="45" t="e">
        <f>(P322+(P323*0.25)+(P324*0.1))/(P325+P326)</f>
        <v>#DIV/0!</v>
      </c>
      <c r="Q309" s="45" t="e">
        <f>(Q322+(Q323*0.25)+(Q324*0.1))/(Q325+Q326)</f>
        <v>#DIV/0!</v>
      </c>
      <c r="S309" s="45">
        <f>(S322+(S323*0.25)+(S324*0.1))/(S325+S326)</f>
        <v>8.5654596100278546</v>
      </c>
      <c r="T309" s="45" t="e">
        <f>(T322+(T323*0.25)+(T324*0.1))/(T325+T326)</f>
        <v>#DIV/0!</v>
      </c>
      <c r="V309" s="45">
        <f>(V322+(V323*0.25)+(V324*0.1))/(V325+V326)</f>
        <v>20.7</v>
      </c>
      <c r="W309" s="45" t="e">
        <f>(W322+(W323*0.25)+(W324*0.1))/(W325+W326)</f>
        <v>#DIV/0!</v>
      </c>
      <c r="Y309" s="45">
        <f>(Y322+(Y323*0.25)+(Y324*0.1))/(Y325+Y326)</f>
        <v>15.875</v>
      </c>
      <c r="Z309" s="45" t="e">
        <f>(Z322+(Z323*0.25)+(Z324*0.1))/(Z325+Z326)</f>
        <v>#DIV/0!</v>
      </c>
      <c r="AA309" s="241"/>
      <c r="AB309" s="45" t="e">
        <f>(AB322+(AB323*0.25)+(AB324*0.1))/(AB325+AB326)</f>
        <v>#DIV/0!</v>
      </c>
      <c r="AC309" s="45" t="e">
        <f>(AC322+(AC323*0.25)+(AC324*0.1))/(AC325+AC326)</f>
        <v>#DIV/0!</v>
      </c>
      <c r="AD309" s="241"/>
      <c r="AE309" s="45" t="e">
        <f>(AE322+(AE323*0.25)+(AE324*0.1))/(AE325+AE326)</f>
        <v>#DIV/0!</v>
      </c>
      <c r="AF309" s="45" t="e">
        <f>(AF322+(AF323*0.25)+(AF324*0.1))/(AF325+AF326)</f>
        <v>#DIV/0!</v>
      </c>
      <c r="AH309" s="45" t="e">
        <f>(AH322+(AH323*0.25)+(AH324*0.1))/(AH325+AH326)</f>
        <v>#DIV/0!</v>
      </c>
      <c r="AI309" s="45" t="e">
        <f>(AI322+(AI323*0.25)+(AI324*0.1))/(AI325+AI326)</f>
        <v>#DIV/0!</v>
      </c>
      <c r="AJ309" s="241"/>
      <c r="AK309" s="45">
        <f>(AK322+(AK323*0.25)+(AK324*0.1))/(AK325+AK326)</f>
        <v>7.6363636363636367</v>
      </c>
      <c r="AL309" s="45" t="e">
        <f>(AL322+(AL323*0.25)+(AL324*0.1))/(AL325+AL326)</f>
        <v>#DIV/0!</v>
      </c>
      <c r="AM309" s="241"/>
      <c r="AN309" s="45" t="e">
        <f>(AN322+(AN323*0.25)+(AN324*0.1))/(AN325+AN326)</f>
        <v>#DIV/0!</v>
      </c>
      <c r="AO309" s="45" t="e">
        <f>(AO322+(AO323*0.25)+(AO324*0.1))/(AO325+AO326)</f>
        <v>#DIV/0!</v>
      </c>
      <c r="AQ309" s="45">
        <f>(AQ322+(AQ323*0.25)+(AQ324*0.1))/(AQ325+AQ326)</f>
        <v>5.9555555555555557</v>
      </c>
      <c r="AR309" s="45" t="e">
        <f>(AR322+(AR323*0.25)+(AR324*0.1))/(AR325+AR326)</f>
        <v>#DIV/0!</v>
      </c>
      <c r="AS309" s="241"/>
      <c r="AT309" s="45">
        <f>(AT322+(AT323*0.25)+(AT324*0.1))/(AT325+AT326)</f>
        <v>24.5</v>
      </c>
      <c r="AU309" s="45" t="e">
        <f>(AU322+(AU323*0.25)+(AU324*0.1))/(AU325+AU326)</f>
        <v>#DIV/0!</v>
      </c>
      <c r="AW309" s="45">
        <f>(AW322+(AW323*0.25)+(AW324*0.1))/(AW325+AW326)</f>
        <v>11.714285714285714</v>
      </c>
      <c r="AX309" s="45" t="e">
        <f>(AX322+(AX323*0.25)+(AX324*0.1))/(AX325+AX326)</f>
        <v>#DIV/0!</v>
      </c>
      <c r="AZ309" s="45">
        <f>(AZ322+(AZ323*0.25)+(AZ324*0.1))/(AZ325+AZ326)</f>
        <v>12.538461538461538</v>
      </c>
      <c r="BA309" s="45" t="e">
        <f>(BA322+(BA323*0.25)+(BA324*0.1))/(BA325+BA326)</f>
        <v>#DIV/0!</v>
      </c>
      <c r="BB309" s="241"/>
      <c r="BC309" s="45" t="e">
        <f>(BC322+(BC323*0.25)+(BC324*0.1))/(BC325+BC326)</f>
        <v>#DIV/0!</v>
      </c>
      <c r="BD309" s="45" t="e">
        <f>(BD322+(BD323*0.25)+(BD324*0.1))/(BD325+BD326)</f>
        <v>#DIV/0!</v>
      </c>
      <c r="BE309" s="241"/>
      <c r="BF309" s="45">
        <f>(BF322+(BF323*0.25)+(BF324*0.1))/(BF325+BF326)</f>
        <v>15.180327868852459</v>
      </c>
      <c r="BG309" s="45" t="e">
        <f>(BG322+(BG323*0.25)+(BG324*0.1))/(BG325+BG326)</f>
        <v>#DIV/0!</v>
      </c>
      <c r="BI309" s="45">
        <f>(BI322+(BI323*0.25)+(BI324*0.1))/(BI325+BI326)</f>
        <v>13.35</v>
      </c>
      <c r="BJ309" s="45" t="e">
        <f>(BJ322+(BJ323*0.25)+(BJ324*0.1))/(BJ325+BJ326)</f>
        <v>#DIV/0!</v>
      </c>
      <c r="BK309" s="241"/>
      <c r="BL309" s="45">
        <f>(BL322+(BL323*0.25)+(BL324*0.1))/(BL325+BL326)</f>
        <v>15.785714285714286</v>
      </c>
      <c r="BM309" s="45" t="e">
        <f>(BM322+(BM323*0.25)+(BM324*0.1))/(BM325+BM326)</f>
        <v>#DIV/0!</v>
      </c>
      <c r="BN309" s="241"/>
      <c r="BO309" s="45">
        <f>(BO322+(BO323*0.25)+(BO324*0.1))/(BO325+BO326)</f>
        <v>8.3529411764705888</v>
      </c>
      <c r="BP309" s="45" t="e">
        <f>(BP322+(BP323*0.25)+(BP324*0.1))/(BP325+BP326)</f>
        <v>#DIV/0!</v>
      </c>
      <c r="BR309" s="45">
        <f>(BR322+(BR323*0.25)+(BR324*0.1))/(BR325+BR326)</f>
        <v>8.9</v>
      </c>
      <c r="BS309" s="45" t="e">
        <f>(BS322+(BS323*0.25)+(BS324*0.1))/(BS325+BS326)</f>
        <v>#DIV/0!</v>
      </c>
      <c r="BT309" s="241"/>
      <c r="BU309" s="45">
        <f>(BU322+(BU323*0.25)+(BU324*0.1))/(BU325+BU326)</f>
        <v>5.2789699570815447</v>
      </c>
      <c r="BV309" s="45" t="e">
        <f>(BV322+(BV323*0.25)+(BV324*0.1))/(BV325+BV326)</f>
        <v>#DIV/0!</v>
      </c>
      <c r="BW309" s="241"/>
      <c r="BX309" s="45">
        <f>(BX322+(BX323*0.25)+(BX324*0.1))/(BX325+BX326)</f>
        <v>9.1363636363636367</v>
      </c>
      <c r="BY309" s="45" t="e">
        <f>(BY322+(BY323*0.25)+(BY324*0.1))/(BY325+BY326)</f>
        <v>#DIV/0!</v>
      </c>
      <c r="CA309" s="45">
        <f>(CA322+(CA323*0.25)+(CA324*0.1))/(CA325+CA326)</f>
        <v>15.846153846153847</v>
      </c>
      <c r="CB309" s="45" t="e">
        <f>(CB322+(CB323*0.25)+(CB324*0.1))/(CB325+CB326)</f>
        <v>#DIV/0!</v>
      </c>
      <c r="CC309" s="241"/>
      <c r="CD309" s="45" t="e">
        <f>(CD322+(CD323*0.25)+(CD324*0.1))/(CD325+CD326)</f>
        <v>#DIV/0!</v>
      </c>
      <c r="CE309" s="45" t="e">
        <f>(CE322+(CE323*0.25)+(CE324*0.1))/(CE325+CE326)</f>
        <v>#DIV/0!</v>
      </c>
      <c r="CF309" s="241"/>
      <c r="CG309" s="45">
        <f>(CG322+(CG323*0.25)+(CG324*0.1))/(CG325+CG326)</f>
        <v>8.7333333333333325</v>
      </c>
      <c r="CH309" s="45" t="e">
        <f>(CH322+(CH323*0.25)+(CH324*0.1))/(CH325+CH326)</f>
        <v>#DIV/0!</v>
      </c>
      <c r="CJ309" s="45" t="e">
        <f>(CJ322+(CJ323*0.25)+(CJ324*0.1))/(CJ325+CJ326)</f>
        <v>#DIV/0!</v>
      </c>
      <c r="CK309" s="45" t="e">
        <f>(CK322+(CK323*0.25)+(CK324*0.1))/(CK325+CK326)</f>
        <v>#DIV/0!</v>
      </c>
      <c r="DE309" s="45" t="e">
        <f>(DE322+(DE323*0.25)+(DE324*0.1))/(DE325+DE326)</f>
        <v>#DIV/0!</v>
      </c>
      <c r="DF309" s="45" t="e">
        <f>(DF322+(DF323*0.25)+(DF324*0.1))/(DF325+DF326)</f>
        <v>#DIV/0!</v>
      </c>
    </row>
    <row r="310" spans="1:110" x14ac:dyDescent="0.25">
      <c r="A310" s="72"/>
      <c r="B310" s="46" t="s">
        <v>1184</v>
      </c>
      <c r="C310" s="42"/>
      <c r="D310" s="42"/>
      <c r="E310" s="45"/>
      <c r="F310" s="45"/>
      <c r="G310" s="45"/>
      <c r="H310" s="45">
        <v>0</v>
      </c>
      <c r="I310" s="45" t="e">
        <f>(I328+I329+I330)/(I331+I332)</f>
        <v>#DIV/0!</v>
      </c>
      <c r="J310" s="45" t="e">
        <f>(J328+J329+J330)/(J331+J332)</f>
        <v>#DIV/0!</v>
      </c>
      <c r="K310" s="45">
        <f>(K328+(K329*0.25)+(K330*0.1))/(K331+K332)</f>
        <v>10.112359550561797</v>
      </c>
      <c r="L310" s="45">
        <f>(L328+(L329*0.25)+(L330*0.1))/(L331+L332)</f>
        <v>5.6296296296296298</v>
      </c>
      <c r="M310" s="3"/>
      <c r="N310" s="45">
        <f>(N328+(N329*0.25)+(N330*0.1))/(N331+N332)</f>
        <v>10.112359550561797</v>
      </c>
      <c r="O310" s="45" t="e">
        <f>(O328+(O329*0.25)+(O330*0.1))/(O331+O332)</f>
        <v>#DIV/0!</v>
      </c>
      <c r="P310" s="45" t="e">
        <f>(P328+(P329*0.25)+(P330*0.1))/(P331+P332)</f>
        <v>#DIV/0!</v>
      </c>
      <c r="Q310" s="45" t="e">
        <f>(Q328+(Q329*0.25)+(Q330*0.1))/(Q331+Q332)</f>
        <v>#DIV/0!</v>
      </c>
      <c r="S310" s="45" t="e">
        <f>(S328+(S329*0.25)+(S330*0.1))/(S331+S332)</f>
        <v>#DIV/0!</v>
      </c>
      <c r="T310" s="45" t="e">
        <f>(T328+(T329*0.25)+(T330*0.1))/(T331+T332)</f>
        <v>#DIV/0!</v>
      </c>
      <c r="V310" s="45" t="e">
        <f>(V328+(V329*0.25)+(V330*0.1))/(V331+V332)</f>
        <v>#DIV/0!</v>
      </c>
      <c r="W310" s="45" t="e">
        <f>(W328+(W329*0.25)+(W330*0.1))/(W331+W332)</f>
        <v>#DIV/0!</v>
      </c>
      <c r="Y310" s="45" t="e">
        <f>(Y328+(Y329*0.25)+(Y330*0.1))/(Y331+Y332)</f>
        <v>#DIV/0!</v>
      </c>
      <c r="Z310" s="45" t="e">
        <f>(Z328+(Z329*0.25)+(Z330*0.1))/(Z331+Z332)</f>
        <v>#DIV/0!</v>
      </c>
      <c r="AA310" s="241"/>
      <c r="AB310" s="45" t="e">
        <f>(AB328+(AB329*0.25)+(AB330*0.1))/(AB331+AB332)</f>
        <v>#DIV/0!</v>
      </c>
      <c r="AC310" s="45" t="e">
        <f>(AC328+(AC329*0.25)+(AC330*0.1))/(AC331+AC332)</f>
        <v>#DIV/0!</v>
      </c>
      <c r="AD310" s="241"/>
      <c r="AE310" s="45" t="e">
        <f>(AE328+(AE329*0.25)+(AE330*0.1))/(AE331+AE332)</f>
        <v>#DIV/0!</v>
      </c>
      <c r="AF310" s="45" t="e">
        <f>(AF328+(AF329*0.25)+(AF330*0.1))/(AF331+AF332)</f>
        <v>#DIV/0!</v>
      </c>
      <c r="AH310" s="45" t="e">
        <f>(AH328+(AH329*0.25)+(AH330*0.1))/(AH331+AH332)</f>
        <v>#DIV/0!</v>
      </c>
      <c r="AI310" s="45" t="e">
        <f>(AI328+(AI329*0.25)+(AI330*0.1))/(AI331+AI332)</f>
        <v>#DIV/0!</v>
      </c>
      <c r="AJ310" s="241"/>
      <c r="AK310" s="45" t="e">
        <f>(AK328+(AK329*0.25)+(AK330*0.1))/(AK331+AK332)</f>
        <v>#DIV/0!</v>
      </c>
      <c r="AL310" s="45" t="e">
        <f>(AL328+(AL329*0.25)+(AL330*0.1))/(AL331+AL332)</f>
        <v>#DIV/0!</v>
      </c>
      <c r="AM310" s="241"/>
      <c r="AN310" s="45" t="e">
        <f>(AN328+(AN329*0.25)+(AN330*0.1))/(AN331+AN332)</f>
        <v>#DIV/0!</v>
      </c>
      <c r="AO310" s="45" t="e">
        <f>(AO328+(AO329*0.25)+(AO330*0.1))/(AO331+AO332)</f>
        <v>#DIV/0!</v>
      </c>
      <c r="AQ310" s="45" t="e">
        <f>(AQ328+(AQ329*0.25)+(AQ330*0.1))/(AQ331+AQ332)</f>
        <v>#DIV/0!</v>
      </c>
      <c r="AR310" s="45" t="e">
        <f>(AR328+(AR329*0.25)+(AR330*0.1))/(AR331+AR332)</f>
        <v>#DIV/0!</v>
      </c>
      <c r="AS310" s="241"/>
      <c r="AT310" s="45" t="e">
        <f>(AT328+(AT329*0.25)+(AT330*0.1))/(AT331+AT332)</f>
        <v>#DIV/0!</v>
      </c>
      <c r="AU310" s="45" t="e">
        <f>(AU328+(AU329*0.25)+(AU330*0.1))/(AU331+AU332)</f>
        <v>#DIV/0!</v>
      </c>
      <c r="AW310" s="45" t="e">
        <f>(AW328+(AW329*0.25)+(AW330*0.1))/(AW331+AW332)</f>
        <v>#DIV/0!</v>
      </c>
      <c r="AX310" s="45" t="e">
        <f>(AX328+(AX329*0.25)+(AX330*0.1))/(AX331+AX332)</f>
        <v>#DIV/0!</v>
      </c>
      <c r="AZ310" s="45" t="e">
        <f>(AZ328+(AZ329*0.25)+(AZ330*0.1))/(AZ331+AZ332)</f>
        <v>#DIV/0!</v>
      </c>
      <c r="BA310" s="45" t="e">
        <f>(BA328+(BA329*0.25)+(BA330*0.1))/(BA331+BA332)</f>
        <v>#DIV/0!</v>
      </c>
      <c r="BB310" s="241"/>
      <c r="BC310" s="45" t="e">
        <f>(BC328+(BC329*0.25)+(BC330*0.1))/(BC331+BC332)</f>
        <v>#DIV/0!</v>
      </c>
      <c r="BD310" s="45" t="e">
        <f>(BD328+(BD329*0.25)+(BD330*0.1))/(BD331+BD332)</f>
        <v>#DIV/0!</v>
      </c>
      <c r="BE310" s="241"/>
      <c r="BF310" s="45" t="e">
        <f>(BF328+(BF329*0.25)+(BF330*0.1))/(BF331+BF332)</f>
        <v>#DIV/0!</v>
      </c>
      <c r="BG310" s="45" t="e">
        <f>(BG328+(BG329*0.25)+(BG330*0.1))/(BG331+BG332)</f>
        <v>#DIV/0!</v>
      </c>
      <c r="BI310" s="45" t="e">
        <f>(BI328+(BI329*0.25)+(BI330*0.1))/(BI331+BI332)</f>
        <v>#DIV/0!</v>
      </c>
      <c r="BJ310" s="45" t="e">
        <f>(BJ328+(BJ329*0.25)+(BJ330*0.1))/(BJ331+BJ332)</f>
        <v>#DIV/0!</v>
      </c>
      <c r="BK310" s="241"/>
      <c r="BL310" s="45" t="e">
        <f>(BL328+(BL329*0.25)+(BL330*0.1))/(BL331+BL332)</f>
        <v>#DIV/0!</v>
      </c>
      <c r="BM310" s="45" t="e">
        <f>(BM328+(BM329*0.25)+(BM330*0.1))/(BM331+BM332)</f>
        <v>#DIV/0!</v>
      </c>
      <c r="BN310" s="241"/>
      <c r="BO310" s="45" t="e">
        <f>(BO328+(BO329*0.25)+(BO330*0.1))/(BO331+BO332)</f>
        <v>#DIV/0!</v>
      </c>
      <c r="BP310" s="45" t="e">
        <f>(BP328+(BP329*0.25)+(BP330*0.1))/(BP331+BP332)</f>
        <v>#DIV/0!</v>
      </c>
      <c r="BR310" s="45" t="e">
        <f>(BR328+(BR329*0.25)+(BR330*0.1))/(BR331+BR332)</f>
        <v>#DIV/0!</v>
      </c>
      <c r="BS310" s="45" t="e">
        <f>(BS328+(BS329*0.25)+(BS330*0.1))/(BS331+BS332)</f>
        <v>#DIV/0!</v>
      </c>
      <c r="BT310" s="241"/>
      <c r="BU310" s="45" t="e">
        <f>(BU328+(BU329*0.25)+(BU330*0.1))/(BU331+BU332)</f>
        <v>#DIV/0!</v>
      </c>
      <c r="BV310" s="45" t="e">
        <f>(BV328+(BV329*0.25)+(BV330*0.1))/(BV331+BV332)</f>
        <v>#DIV/0!</v>
      </c>
      <c r="BW310" s="241"/>
      <c r="BX310" s="45" t="e">
        <f>(BX328+(BX329*0.25)+(BX330*0.1))/(BX331+BX332)</f>
        <v>#DIV/0!</v>
      </c>
      <c r="BY310" s="45" t="e">
        <f>(BY328+(BY329*0.25)+(BY330*0.1))/(BY331+BY332)</f>
        <v>#DIV/0!</v>
      </c>
      <c r="CA310" s="45" t="e">
        <f>(CA328+(CA329*0.25)+(CA330*0.1))/(CA331+CA332)</f>
        <v>#DIV/0!</v>
      </c>
      <c r="CB310" s="45" t="e">
        <f>(CB328+(CB329*0.25)+(CB330*0.1))/(CB331+CB332)</f>
        <v>#DIV/0!</v>
      </c>
      <c r="CC310" s="241"/>
      <c r="CD310" s="45" t="e">
        <f>(CD328+(CD329*0.25)+(CD330*0.1))/(CD331+CD332)</f>
        <v>#DIV/0!</v>
      </c>
      <c r="CE310" s="45" t="e">
        <f>(CE328+(CE329*0.25)+(CE330*0.1))/(CE331+CE332)</f>
        <v>#DIV/0!</v>
      </c>
      <c r="CF310" s="241"/>
      <c r="CG310" s="45" t="e">
        <f>(CG328+(CG329*0.25)+(CG330*0.1))/(CG331+CG332)</f>
        <v>#DIV/0!</v>
      </c>
      <c r="CH310" s="45" t="e">
        <f>(CH328+(CH329*0.25)+(CH330*0.1))/(CH331+CH332)</f>
        <v>#DIV/0!</v>
      </c>
      <c r="CJ310" s="45" t="e">
        <f>(CJ328+(CJ329*0.25)+(CJ330*0.1))/(CJ331+CJ332)</f>
        <v>#DIV/0!</v>
      </c>
      <c r="CK310" s="45" t="e">
        <f>(CK328+(CK329*0.25)+(CK330*0.1))/(CK331+CK332)</f>
        <v>#DIV/0!</v>
      </c>
      <c r="DE310" s="45">
        <f>(DE328+(DE329*0.25)+(DE330*0.1))/(DE331+DE332)</f>
        <v>10.112359550561797</v>
      </c>
      <c r="DF310" s="45" t="e">
        <f>(DF328+(DF329*0.25)+(DF330*0.1))/(DF331+DF332)</f>
        <v>#DIV/0!</v>
      </c>
    </row>
    <row r="311" spans="1:110" ht="60" hidden="1" x14ac:dyDescent="0.25">
      <c r="A311" s="18"/>
      <c r="B311" s="16" t="s">
        <v>416</v>
      </c>
      <c r="C311" s="6" t="s">
        <v>361</v>
      </c>
      <c r="D311" s="6" t="s">
        <v>950</v>
      </c>
      <c r="E311" s="12"/>
      <c r="F311" s="35">
        <v>6084</v>
      </c>
      <c r="G311" s="35">
        <v>6214</v>
      </c>
      <c r="H311" s="35"/>
      <c r="I311" s="35"/>
      <c r="J311" s="35"/>
      <c r="K311" s="35"/>
      <c r="L311" s="35"/>
      <c r="M311" s="20"/>
    </row>
    <row r="312" spans="1:110" ht="60" hidden="1" x14ac:dyDescent="0.25">
      <c r="A312" s="18"/>
      <c r="B312" s="16" t="s">
        <v>417</v>
      </c>
      <c r="C312" s="6" t="s">
        <v>362</v>
      </c>
      <c r="D312" s="6" t="s">
        <v>950</v>
      </c>
      <c r="E312" s="12"/>
      <c r="F312" s="35">
        <v>425</v>
      </c>
      <c r="G312" s="35">
        <v>547</v>
      </c>
      <c r="H312" s="35"/>
      <c r="I312" s="35"/>
      <c r="J312" s="35"/>
      <c r="K312" s="35"/>
      <c r="L312" s="35"/>
      <c r="M312" s="20"/>
    </row>
    <row r="313" spans="1:110" ht="60" hidden="1" x14ac:dyDescent="0.25">
      <c r="A313" s="18"/>
      <c r="B313" s="16" t="s">
        <v>418</v>
      </c>
      <c r="C313" s="6" t="s">
        <v>419</v>
      </c>
      <c r="D313" s="6" t="s">
        <v>950</v>
      </c>
      <c r="E313" s="12"/>
      <c r="F313" s="35">
        <v>0</v>
      </c>
      <c r="G313" s="35">
        <v>0</v>
      </c>
      <c r="H313" s="35"/>
      <c r="I313" s="35"/>
      <c r="J313" s="35"/>
      <c r="K313" s="35"/>
      <c r="L313" s="35"/>
    </row>
    <row r="314" spans="1:110" ht="60" hidden="1" x14ac:dyDescent="0.25">
      <c r="A314" s="18"/>
      <c r="B314" s="16" t="s">
        <v>420</v>
      </c>
      <c r="C314" s="6" t="s">
        <v>346</v>
      </c>
      <c r="D314" s="6" t="s">
        <v>950</v>
      </c>
      <c r="E314" s="12"/>
      <c r="F314" s="35">
        <v>0</v>
      </c>
      <c r="G314" s="35">
        <v>0</v>
      </c>
      <c r="H314" s="35"/>
      <c r="I314" s="35"/>
      <c r="J314" s="35"/>
      <c r="K314" s="35"/>
      <c r="L314" s="35"/>
      <c r="M314" s="20"/>
    </row>
    <row r="315" spans="1:110" ht="60" hidden="1" x14ac:dyDescent="0.25">
      <c r="A315" s="18"/>
      <c r="B315" s="16" t="s">
        <v>421</v>
      </c>
      <c r="C315" s="6" t="s">
        <v>345</v>
      </c>
      <c r="D315" s="6" t="s">
        <v>950</v>
      </c>
      <c r="E315" s="12"/>
      <c r="F315" s="35">
        <v>0</v>
      </c>
      <c r="G315" s="35">
        <v>0</v>
      </c>
      <c r="H315" s="35"/>
      <c r="I315" s="35"/>
      <c r="J315" s="35"/>
      <c r="K315" s="35"/>
      <c r="L315" s="35"/>
    </row>
    <row r="316" spans="1:110" ht="60" hidden="1" x14ac:dyDescent="0.25">
      <c r="A316" s="18"/>
      <c r="B316" s="16" t="s">
        <v>422</v>
      </c>
      <c r="C316" s="6" t="s">
        <v>347</v>
      </c>
      <c r="D316" s="6" t="s">
        <v>950</v>
      </c>
      <c r="E316" s="12"/>
      <c r="F316" s="35">
        <v>0</v>
      </c>
      <c r="G316" s="35">
        <v>0</v>
      </c>
      <c r="H316" s="35"/>
      <c r="I316" s="35"/>
      <c r="J316" s="35"/>
      <c r="K316" s="35"/>
      <c r="L316" s="35"/>
    </row>
    <row r="317" spans="1:110" ht="60" hidden="1" x14ac:dyDescent="0.25">
      <c r="A317" s="18"/>
      <c r="B317" s="16" t="s">
        <v>423</v>
      </c>
      <c r="C317" s="6" t="s">
        <v>424</v>
      </c>
      <c r="D317" s="6" t="s">
        <v>950</v>
      </c>
      <c r="E317" s="12"/>
      <c r="F317" s="35">
        <v>0</v>
      </c>
      <c r="G317" s="35">
        <v>0</v>
      </c>
      <c r="H317" s="35"/>
      <c r="I317" s="35"/>
      <c r="J317" s="35"/>
      <c r="K317" s="35"/>
      <c r="L317" s="35"/>
    </row>
    <row r="318" spans="1:110" ht="60" hidden="1" x14ac:dyDescent="0.25">
      <c r="A318" s="18"/>
      <c r="B318" s="16" t="s">
        <v>425</v>
      </c>
      <c r="C318" s="6" t="s">
        <v>426</v>
      </c>
      <c r="D318" s="6" t="s">
        <v>950</v>
      </c>
      <c r="E318" s="12"/>
      <c r="F318" s="35">
        <v>0</v>
      </c>
      <c r="G318" s="35">
        <v>0</v>
      </c>
      <c r="H318" s="35"/>
      <c r="I318" s="35"/>
      <c r="J318" s="35"/>
      <c r="K318" s="35"/>
      <c r="L318" s="35"/>
    </row>
    <row r="319" spans="1:110" ht="75" hidden="1" x14ac:dyDescent="0.25">
      <c r="A319" s="18"/>
      <c r="B319" s="16" t="s">
        <v>427</v>
      </c>
      <c r="C319" s="6" t="s">
        <v>390</v>
      </c>
      <c r="D319" s="6" t="s">
        <v>950</v>
      </c>
      <c r="E319" s="12"/>
      <c r="F319" s="35">
        <v>0</v>
      </c>
      <c r="G319" s="35">
        <v>0</v>
      </c>
      <c r="H319" s="35"/>
      <c r="I319" s="35"/>
      <c r="J319" s="35"/>
      <c r="K319" s="35"/>
      <c r="L319" s="35"/>
    </row>
    <row r="320" spans="1:110" ht="75" hidden="1" x14ac:dyDescent="0.25">
      <c r="A320" s="18"/>
      <c r="B320" s="16" t="s">
        <v>428</v>
      </c>
      <c r="C320" s="6" t="s">
        <v>429</v>
      </c>
      <c r="D320" s="6" t="s">
        <v>950</v>
      </c>
      <c r="E320" s="12"/>
      <c r="F320" s="35">
        <v>0</v>
      </c>
      <c r="G320" s="35">
        <v>0</v>
      </c>
      <c r="H320" s="35"/>
      <c r="I320" s="35"/>
      <c r="J320" s="35"/>
      <c r="K320" s="35"/>
      <c r="L320" s="35"/>
    </row>
    <row r="321" spans="1:110" x14ac:dyDescent="0.25">
      <c r="A321" s="168"/>
      <c r="B321" s="16" t="s">
        <v>1182</v>
      </c>
      <c r="C321" s="6"/>
      <c r="D321" s="6"/>
      <c r="E321" s="12"/>
      <c r="F321" s="12"/>
      <c r="G321" s="12"/>
      <c r="H321" s="12"/>
      <c r="I321" s="12"/>
      <c r="J321" s="12"/>
      <c r="K321" s="12"/>
      <c r="L321" s="12"/>
    </row>
    <row r="322" spans="1:110" ht="45" x14ac:dyDescent="0.25">
      <c r="A322" s="168"/>
      <c r="B322" s="16" t="s">
        <v>2800</v>
      </c>
      <c r="C322" s="6" t="s">
        <v>2793</v>
      </c>
      <c r="D322" s="6" t="s">
        <v>950</v>
      </c>
      <c r="E322" s="12"/>
      <c r="F322" s="12"/>
      <c r="G322" s="12"/>
      <c r="H322" s="35"/>
      <c r="I322" s="35">
        <f>I117</f>
        <v>5716</v>
      </c>
      <c r="J322" s="35">
        <f t="shared" ref="J322:L322" si="987">J117</f>
        <v>5602</v>
      </c>
      <c r="K322" s="35">
        <f t="shared" si="987"/>
        <v>5483</v>
      </c>
      <c r="L322" s="35">
        <f t="shared" si="987"/>
        <v>5700</v>
      </c>
      <c r="N322" s="241">
        <f t="shared" ref="N322:O322" si="988">N117</f>
        <v>5483</v>
      </c>
      <c r="O322" s="241">
        <f t="shared" si="988"/>
        <v>0</v>
      </c>
      <c r="P322" s="241">
        <f t="shared" ref="P322:Q322" si="989">P117</f>
        <v>0</v>
      </c>
      <c r="Q322" s="241">
        <f t="shared" si="989"/>
        <v>0</v>
      </c>
      <c r="S322" s="241">
        <f t="shared" ref="S322:T322" si="990">S117</f>
        <v>297</v>
      </c>
      <c r="T322" s="241">
        <f t="shared" si="990"/>
        <v>0</v>
      </c>
      <c r="V322" s="241">
        <f t="shared" ref="V322:W322" si="991">V117</f>
        <v>414</v>
      </c>
      <c r="W322" s="241">
        <f t="shared" si="991"/>
        <v>0</v>
      </c>
      <c r="Y322" s="241">
        <f t="shared" ref="Y322:Z322" si="992">Y117</f>
        <v>1270</v>
      </c>
      <c r="Z322" s="241">
        <f t="shared" si="992"/>
        <v>0</v>
      </c>
      <c r="AA322" s="241"/>
      <c r="AB322" s="241">
        <f t="shared" ref="AB322:AC322" si="993">AB117</f>
        <v>0</v>
      </c>
      <c r="AC322" s="241">
        <f t="shared" si="993"/>
        <v>0</v>
      </c>
      <c r="AD322" s="241"/>
      <c r="AE322" s="241">
        <f t="shared" ref="AE322:AF322" si="994">AE117</f>
        <v>0</v>
      </c>
      <c r="AF322" s="241">
        <f t="shared" si="994"/>
        <v>0</v>
      </c>
      <c r="AH322" s="241">
        <f t="shared" ref="AH322:AI322" si="995">AH117</f>
        <v>0</v>
      </c>
      <c r="AI322" s="241">
        <f t="shared" si="995"/>
        <v>0</v>
      </c>
      <c r="AJ322" s="241"/>
      <c r="AK322" s="241">
        <f t="shared" ref="AK322:AL322" si="996">AK117</f>
        <v>168</v>
      </c>
      <c r="AL322" s="241">
        <f t="shared" si="996"/>
        <v>0</v>
      </c>
      <c r="AM322" s="241"/>
      <c r="AN322" s="241">
        <f t="shared" ref="AN322:AO322" si="997">AN117</f>
        <v>0</v>
      </c>
      <c r="AO322" s="241">
        <f t="shared" si="997"/>
        <v>0</v>
      </c>
      <c r="AQ322" s="241">
        <f t="shared" ref="AQ322:AR322" si="998">AQ117</f>
        <v>268</v>
      </c>
      <c r="AR322" s="241">
        <f t="shared" si="998"/>
        <v>0</v>
      </c>
      <c r="AS322" s="241"/>
      <c r="AT322" s="241">
        <f t="shared" ref="AT322:AU322" si="999">AT117</f>
        <v>98</v>
      </c>
      <c r="AU322" s="241">
        <f t="shared" si="999"/>
        <v>0</v>
      </c>
      <c r="AW322" s="241">
        <f t="shared" ref="AW322:AX322" si="1000">AW117</f>
        <v>164</v>
      </c>
      <c r="AX322" s="241">
        <f t="shared" si="1000"/>
        <v>0</v>
      </c>
      <c r="AZ322" s="241">
        <f t="shared" ref="AZ322:BA322" si="1001">AZ117</f>
        <v>652</v>
      </c>
      <c r="BA322" s="241">
        <f t="shared" si="1001"/>
        <v>0</v>
      </c>
      <c r="BB322" s="241"/>
      <c r="BC322" s="241">
        <f t="shared" ref="BC322:BD322" si="1002">BC117</f>
        <v>0</v>
      </c>
      <c r="BD322" s="241">
        <f t="shared" si="1002"/>
        <v>0</v>
      </c>
      <c r="BE322" s="241"/>
      <c r="BF322" s="241">
        <f t="shared" ref="BF322:BG322" si="1003">BF117</f>
        <v>463</v>
      </c>
      <c r="BG322" s="241">
        <f t="shared" si="1003"/>
        <v>0</v>
      </c>
      <c r="BI322" s="241">
        <f t="shared" ref="BI322:BJ322" si="1004">BI117</f>
        <v>267</v>
      </c>
      <c r="BJ322" s="241">
        <f t="shared" si="1004"/>
        <v>0</v>
      </c>
      <c r="BK322" s="241"/>
      <c r="BL322" s="241">
        <f t="shared" ref="BL322:BM322" si="1005">BL117</f>
        <v>221</v>
      </c>
      <c r="BM322" s="241">
        <f t="shared" si="1005"/>
        <v>0</v>
      </c>
      <c r="BN322" s="241"/>
      <c r="BO322" s="241">
        <f t="shared" ref="BO322:BP322" si="1006">BO117</f>
        <v>142</v>
      </c>
      <c r="BP322" s="241">
        <f t="shared" si="1006"/>
        <v>0</v>
      </c>
      <c r="BR322" s="241">
        <f t="shared" ref="BR322:BS322" si="1007">BR117</f>
        <v>267</v>
      </c>
      <c r="BS322" s="241">
        <f t="shared" si="1007"/>
        <v>0</v>
      </c>
      <c r="BT322" s="241"/>
      <c r="BU322" s="241">
        <f t="shared" ref="BU322:BV322" si="1008">BU117</f>
        <v>123</v>
      </c>
      <c r="BV322" s="241">
        <f t="shared" si="1008"/>
        <v>0</v>
      </c>
      <c r="BW322" s="241"/>
      <c r="BX322" s="241">
        <f t="shared" ref="BX322:BY322" si="1009">BX117</f>
        <v>201</v>
      </c>
      <c r="BY322" s="241">
        <f t="shared" si="1009"/>
        <v>0</v>
      </c>
      <c r="CA322" s="241">
        <f t="shared" ref="CA322:CB322" si="1010">CA117</f>
        <v>206</v>
      </c>
      <c r="CB322" s="241">
        <f t="shared" si="1010"/>
        <v>0</v>
      </c>
      <c r="CC322" s="241"/>
      <c r="CD322" s="241">
        <f t="shared" ref="CD322:CE322" si="1011">CD117</f>
        <v>0</v>
      </c>
      <c r="CE322" s="241">
        <f t="shared" si="1011"/>
        <v>0</v>
      </c>
      <c r="CF322" s="241"/>
      <c r="CG322" s="241">
        <f t="shared" ref="CG322:CH322" si="1012">CG117</f>
        <v>262</v>
      </c>
      <c r="CH322" s="241">
        <f t="shared" si="1012"/>
        <v>0</v>
      </c>
      <c r="CJ322" s="241">
        <f t="shared" ref="CJ322:CK322" si="1013">CJ117</f>
        <v>0</v>
      </c>
      <c r="CK322" s="241">
        <f t="shared" si="1013"/>
        <v>0</v>
      </c>
      <c r="DE322" s="241">
        <f t="shared" ref="DE322:DF322" si="1014">DE117</f>
        <v>0</v>
      </c>
      <c r="DF322" s="241">
        <f t="shared" si="1014"/>
        <v>0</v>
      </c>
    </row>
    <row r="323" spans="1:110" ht="45" x14ac:dyDescent="0.25">
      <c r="A323" s="168"/>
      <c r="B323" s="16" t="s">
        <v>2799</v>
      </c>
      <c r="C323" s="6" t="s">
        <v>2794</v>
      </c>
      <c r="D323" s="6" t="s">
        <v>950</v>
      </c>
      <c r="E323" s="12"/>
      <c r="F323" s="12"/>
      <c r="G323" s="12"/>
      <c r="H323" s="35"/>
      <c r="I323" s="35">
        <f>I120</f>
        <v>0</v>
      </c>
      <c r="J323" s="35">
        <f t="shared" ref="J323:L323" si="1015">J120</f>
        <v>0</v>
      </c>
      <c r="K323" s="35">
        <f t="shared" si="1015"/>
        <v>42</v>
      </c>
      <c r="L323" s="35">
        <f t="shared" si="1015"/>
        <v>44</v>
      </c>
      <c r="N323" s="241">
        <f t="shared" ref="N323:O323" si="1016">N120</f>
        <v>42</v>
      </c>
      <c r="O323" s="241">
        <f t="shared" si="1016"/>
        <v>0</v>
      </c>
      <c r="P323" s="241">
        <f t="shared" ref="P323:Q323" si="1017">P120</f>
        <v>0</v>
      </c>
      <c r="Q323" s="241">
        <f t="shared" si="1017"/>
        <v>0</v>
      </c>
      <c r="S323" s="241">
        <f t="shared" ref="S323:T323" si="1018">S120</f>
        <v>42</v>
      </c>
      <c r="T323" s="241">
        <f t="shared" si="1018"/>
        <v>0</v>
      </c>
      <c r="V323" s="241">
        <f t="shared" ref="V323:W323" si="1019">V120</f>
        <v>0</v>
      </c>
      <c r="W323" s="241">
        <f t="shared" si="1019"/>
        <v>0</v>
      </c>
      <c r="Y323" s="241">
        <f t="shared" ref="Y323:Z323" si="1020">Y120</f>
        <v>0</v>
      </c>
      <c r="Z323" s="241">
        <f t="shared" si="1020"/>
        <v>0</v>
      </c>
      <c r="AA323" s="241"/>
      <c r="AB323" s="241">
        <f t="shared" ref="AB323:AC323" si="1021">AB120</f>
        <v>0</v>
      </c>
      <c r="AC323" s="241">
        <f t="shared" si="1021"/>
        <v>0</v>
      </c>
      <c r="AD323" s="241"/>
      <c r="AE323" s="241">
        <f t="shared" ref="AE323:AF323" si="1022">AE120</f>
        <v>0</v>
      </c>
      <c r="AF323" s="241">
        <f t="shared" si="1022"/>
        <v>0</v>
      </c>
      <c r="AH323" s="241">
        <f t="shared" ref="AH323:AI323" si="1023">AH120</f>
        <v>0</v>
      </c>
      <c r="AI323" s="241">
        <f t="shared" si="1023"/>
        <v>0</v>
      </c>
      <c r="AJ323" s="241"/>
      <c r="AK323" s="241">
        <f t="shared" ref="AK323:AL323" si="1024">AK120</f>
        <v>0</v>
      </c>
      <c r="AL323" s="241">
        <f t="shared" si="1024"/>
        <v>0</v>
      </c>
      <c r="AM323" s="241"/>
      <c r="AN323" s="241">
        <f t="shared" ref="AN323:AO323" si="1025">AN120</f>
        <v>0</v>
      </c>
      <c r="AO323" s="241">
        <f t="shared" si="1025"/>
        <v>0</v>
      </c>
      <c r="AQ323" s="241">
        <f t="shared" ref="AQ323:AR323" si="1026">AQ120</f>
        <v>0</v>
      </c>
      <c r="AR323" s="241">
        <f t="shared" si="1026"/>
        <v>0</v>
      </c>
      <c r="AS323" s="241"/>
      <c r="AT323" s="241">
        <f t="shared" ref="AT323:AU323" si="1027">AT120</f>
        <v>0</v>
      </c>
      <c r="AU323" s="241">
        <f t="shared" si="1027"/>
        <v>0</v>
      </c>
      <c r="AW323" s="241">
        <f t="shared" ref="AW323:AX323" si="1028">AW120</f>
        <v>0</v>
      </c>
      <c r="AX323" s="241">
        <f t="shared" si="1028"/>
        <v>0</v>
      </c>
      <c r="AZ323" s="241">
        <f t="shared" ref="AZ323:BA323" si="1029">AZ120</f>
        <v>0</v>
      </c>
      <c r="BA323" s="241">
        <f t="shared" si="1029"/>
        <v>0</v>
      </c>
      <c r="BB323" s="241"/>
      <c r="BC323" s="241">
        <f t="shared" ref="BC323:BD323" si="1030">BC120</f>
        <v>0</v>
      </c>
      <c r="BD323" s="241">
        <f t="shared" si="1030"/>
        <v>0</v>
      </c>
      <c r="BE323" s="241"/>
      <c r="BF323" s="241">
        <f t="shared" ref="BF323:BG323" si="1031">BF120</f>
        <v>0</v>
      </c>
      <c r="BG323" s="241">
        <f t="shared" si="1031"/>
        <v>0</v>
      </c>
      <c r="BI323" s="241">
        <f t="shared" ref="BI323:BJ323" si="1032">BI120</f>
        <v>0</v>
      </c>
      <c r="BJ323" s="241">
        <f t="shared" si="1032"/>
        <v>0</v>
      </c>
      <c r="BK323" s="241"/>
      <c r="BL323" s="241">
        <f t="shared" ref="BL323:BM323" si="1033">BL120</f>
        <v>0</v>
      </c>
      <c r="BM323" s="241">
        <f t="shared" si="1033"/>
        <v>0</v>
      </c>
      <c r="BN323" s="241"/>
      <c r="BO323" s="241">
        <f t="shared" ref="BO323:BP323" si="1034">BO120</f>
        <v>0</v>
      </c>
      <c r="BP323" s="241">
        <f t="shared" si="1034"/>
        <v>0</v>
      </c>
      <c r="BR323" s="241">
        <f t="shared" ref="BR323:BS323" si="1035">BR120</f>
        <v>0</v>
      </c>
      <c r="BS323" s="241">
        <f t="shared" si="1035"/>
        <v>0</v>
      </c>
      <c r="BT323" s="241"/>
      <c r="BU323" s="241">
        <f t="shared" ref="BU323:BV323" si="1036">BU120</f>
        <v>0</v>
      </c>
      <c r="BV323" s="241">
        <f t="shared" si="1036"/>
        <v>0</v>
      </c>
      <c r="BW323" s="241"/>
      <c r="BX323" s="241">
        <f t="shared" ref="BX323:BY323" si="1037">BX120</f>
        <v>0</v>
      </c>
      <c r="BY323" s="241">
        <f t="shared" si="1037"/>
        <v>0</v>
      </c>
      <c r="CA323" s="241">
        <f t="shared" ref="CA323:CB323" si="1038">CA120</f>
        <v>0</v>
      </c>
      <c r="CB323" s="241">
        <f t="shared" si="1038"/>
        <v>0</v>
      </c>
      <c r="CC323" s="241"/>
      <c r="CD323" s="241">
        <f t="shared" ref="CD323:CE323" si="1039">CD120</f>
        <v>0</v>
      </c>
      <c r="CE323" s="241">
        <f t="shared" si="1039"/>
        <v>0</v>
      </c>
      <c r="CF323" s="241"/>
      <c r="CG323" s="241">
        <f t="shared" ref="CG323:CH323" si="1040">CG120</f>
        <v>0</v>
      </c>
      <c r="CH323" s="241">
        <f t="shared" si="1040"/>
        <v>0</v>
      </c>
      <c r="CJ323" s="241">
        <f t="shared" ref="CJ323:CK323" si="1041">CJ120</f>
        <v>0</v>
      </c>
      <c r="CK323" s="241">
        <f t="shared" si="1041"/>
        <v>0</v>
      </c>
      <c r="DE323" s="241">
        <f t="shared" ref="DE323:DF323" si="1042">DE120</f>
        <v>0</v>
      </c>
      <c r="DF323" s="241">
        <f t="shared" si="1042"/>
        <v>0</v>
      </c>
    </row>
    <row r="324" spans="1:110" ht="45" x14ac:dyDescent="0.25">
      <c r="A324" s="248"/>
      <c r="B324" s="247" t="s">
        <v>2798</v>
      </c>
      <c r="C324" s="6" t="s">
        <v>2795</v>
      </c>
      <c r="D324" s="6" t="s">
        <v>950</v>
      </c>
      <c r="E324" s="12"/>
      <c r="F324" s="12"/>
      <c r="G324" s="12"/>
      <c r="H324" s="35"/>
      <c r="I324" s="35">
        <f>I123</f>
        <v>0</v>
      </c>
      <c r="J324" s="35">
        <f t="shared" ref="J324:L324" si="1043">J123</f>
        <v>0</v>
      </c>
      <c r="K324" s="35">
        <f t="shared" si="1043"/>
        <v>0</v>
      </c>
      <c r="L324" s="35">
        <f t="shared" si="1043"/>
        <v>0</v>
      </c>
      <c r="N324" s="241">
        <f t="shared" ref="N324:O324" si="1044">N123</f>
        <v>0</v>
      </c>
      <c r="O324" s="241">
        <f t="shared" si="1044"/>
        <v>0</v>
      </c>
      <c r="P324" s="241">
        <f t="shared" ref="P324:Q324" si="1045">P123</f>
        <v>0</v>
      </c>
      <c r="Q324" s="241">
        <f t="shared" si="1045"/>
        <v>0</v>
      </c>
      <c r="S324" s="241">
        <f t="shared" ref="S324:T324" si="1046">S123</f>
        <v>0</v>
      </c>
      <c r="T324" s="241">
        <f t="shared" si="1046"/>
        <v>0</v>
      </c>
      <c r="V324" s="241">
        <f t="shared" ref="V324:W324" si="1047">V123</f>
        <v>0</v>
      </c>
      <c r="W324" s="241">
        <f t="shared" si="1047"/>
        <v>0</v>
      </c>
      <c r="Y324" s="241">
        <f t="shared" ref="Y324:Z324" si="1048">Y123</f>
        <v>0</v>
      </c>
      <c r="Z324" s="241">
        <f t="shared" si="1048"/>
        <v>0</v>
      </c>
      <c r="AA324" s="241"/>
      <c r="AB324" s="241">
        <f t="shared" ref="AB324:AC324" si="1049">AB123</f>
        <v>0</v>
      </c>
      <c r="AC324" s="241">
        <f t="shared" si="1049"/>
        <v>0</v>
      </c>
      <c r="AD324" s="241"/>
      <c r="AE324" s="241">
        <f t="shared" ref="AE324:AF324" si="1050">AE123</f>
        <v>0</v>
      </c>
      <c r="AF324" s="241">
        <f t="shared" si="1050"/>
        <v>0</v>
      </c>
      <c r="AH324" s="241">
        <f t="shared" ref="AH324:AI324" si="1051">AH123</f>
        <v>0</v>
      </c>
      <c r="AI324" s="241">
        <f t="shared" si="1051"/>
        <v>0</v>
      </c>
      <c r="AJ324" s="241"/>
      <c r="AK324" s="241">
        <f t="shared" ref="AK324:AL324" si="1052">AK123</f>
        <v>0</v>
      </c>
      <c r="AL324" s="241">
        <f t="shared" si="1052"/>
        <v>0</v>
      </c>
      <c r="AM324" s="241"/>
      <c r="AN324" s="241">
        <f t="shared" ref="AN324:AO324" si="1053">AN123</f>
        <v>0</v>
      </c>
      <c r="AO324" s="241">
        <f t="shared" si="1053"/>
        <v>0</v>
      </c>
      <c r="AQ324" s="241">
        <f t="shared" ref="AQ324:AR324" si="1054">AQ123</f>
        <v>0</v>
      </c>
      <c r="AR324" s="241">
        <f t="shared" si="1054"/>
        <v>0</v>
      </c>
      <c r="AS324" s="241"/>
      <c r="AT324" s="241">
        <f t="shared" ref="AT324:AU324" si="1055">AT123</f>
        <v>0</v>
      </c>
      <c r="AU324" s="241">
        <f t="shared" si="1055"/>
        <v>0</v>
      </c>
      <c r="AW324" s="241">
        <f t="shared" ref="AW324:AX324" si="1056">AW123</f>
        <v>0</v>
      </c>
      <c r="AX324" s="241">
        <f t="shared" si="1056"/>
        <v>0</v>
      </c>
      <c r="AZ324" s="241">
        <f t="shared" ref="AZ324:BA324" si="1057">AZ123</f>
        <v>0</v>
      </c>
      <c r="BA324" s="241">
        <f t="shared" si="1057"/>
        <v>0</v>
      </c>
      <c r="BB324" s="241"/>
      <c r="BC324" s="241">
        <f t="shared" ref="BC324:BD324" si="1058">BC123</f>
        <v>0</v>
      </c>
      <c r="BD324" s="241">
        <f t="shared" si="1058"/>
        <v>0</v>
      </c>
      <c r="BE324" s="241"/>
      <c r="BF324" s="241">
        <f t="shared" ref="BF324:BG324" si="1059">BF123</f>
        <v>0</v>
      </c>
      <c r="BG324" s="241">
        <f t="shared" si="1059"/>
        <v>0</v>
      </c>
      <c r="BI324" s="241">
        <f t="shared" ref="BI324:BJ324" si="1060">BI123</f>
        <v>0</v>
      </c>
      <c r="BJ324" s="241">
        <f t="shared" si="1060"/>
        <v>0</v>
      </c>
      <c r="BK324" s="241"/>
      <c r="BL324" s="241">
        <f t="shared" ref="BL324:BM324" si="1061">BL123</f>
        <v>0</v>
      </c>
      <c r="BM324" s="241">
        <f t="shared" si="1061"/>
        <v>0</v>
      </c>
      <c r="BN324" s="241"/>
      <c r="BO324" s="241">
        <f t="shared" ref="BO324:BP324" si="1062">BO123</f>
        <v>0</v>
      </c>
      <c r="BP324" s="241">
        <f t="shared" si="1062"/>
        <v>0</v>
      </c>
      <c r="BR324" s="241">
        <f t="shared" ref="BR324:BS324" si="1063">BR123</f>
        <v>0</v>
      </c>
      <c r="BS324" s="241">
        <f t="shared" si="1063"/>
        <v>0</v>
      </c>
      <c r="BT324" s="241"/>
      <c r="BU324" s="241">
        <f t="shared" ref="BU324:BV324" si="1064">BU123</f>
        <v>0</v>
      </c>
      <c r="BV324" s="241">
        <f t="shared" si="1064"/>
        <v>0</v>
      </c>
      <c r="BW324" s="241"/>
      <c r="BX324" s="241">
        <f t="shared" ref="BX324:BY324" si="1065">BX123</f>
        <v>0</v>
      </c>
      <c r="BY324" s="241">
        <f t="shared" si="1065"/>
        <v>0</v>
      </c>
      <c r="CA324" s="241">
        <f t="shared" ref="CA324:CB324" si="1066">CA123</f>
        <v>0</v>
      </c>
      <c r="CB324" s="241">
        <f t="shared" si="1066"/>
        <v>0</v>
      </c>
      <c r="CC324" s="241"/>
      <c r="CD324" s="241">
        <f t="shared" ref="CD324:CE324" si="1067">CD123</f>
        <v>0</v>
      </c>
      <c r="CE324" s="241">
        <f t="shared" si="1067"/>
        <v>0</v>
      </c>
      <c r="CF324" s="241"/>
      <c r="CG324" s="241">
        <f t="shared" ref="CG324:CH324" si="1068">CG123</f>
        <v>0</v>
      </c>
      <c r="CH324" s="241">
        <f t="shared" si="1068"/>
        <v>0</v>
      </c>
      <c r="CJ324" s="241">
        <f t="shared" ref="CJ324:CK324" si="1069">CJ123</f>
        <v>0</v>
      </c>
      <c r="CK324" s="241">
        <f t="shared" si="1069"/>
        <v>0</v>
      </c>
      <c r="DE324" s="241">
        <f t="shared" ref="DE324:DF324" si="1070">DE123</f>
        <v>0</v>
      </c>
      <c r="DF324" s="241">
        <f t="shared" si="1070"/>
        <v>0</v>
      </c>
    </row>
    <row r="325" spans="1:110" ht="75" x14ac:dyDescent="0.25">
      <c r="A325" s="168"/>
      <c r="B325" s="16" t="s">
        <v>2796</v>
      </c>
      <c r="C325" s="6" t="s">
        <v>2983</v>
      </c>
      <c r="D325" s="6" t="s">
        <v>950</v>
      </c>
      <c r="E325" s="12"/>
      <c r="F325" s="12"/>
      <c r="G325" s="12"/>
      <c r="H325" s="130"/>
      <c r="I325" s="130">
        <f>138.7+6</f>
        <v>144.69999999999999</v>
      </c>
      <c r="J325" s="130">
        <f>153.2+4</f>
        <v>157.19999999999999</v>
      </c>
      <c r="K325" s="130">
        <v>218</v>
      </c>
      <c r="L325" s="130">
        <v>229.3</v>
      </c>
      <c r="N325" s="241">
        <f>P325+S325+V325+Y325+AB325+AE325+AH325+AK325+AN325+AQ325+AW325+AZ325+BC325+BF325+BI325+BL325+BO325+BR325+BU325+BX325+CA325+CD325+CG325+CJ325+AT325+DE325</f>
        <v>233.5</v>
      </c>
      <c r="O325" s="241">
        <f t="shared" ref="O325:O326" si="1071">Q325+T325+W325+Z325+AC325+AF325+AI325+AL325+AO325+AR325+AX325+BA325+BD325+BG325+BJ325+BM325+BP325+BS325+BV325+BY325+CB325+CE325+CH325+CK325+AU325+DF325</f>
        <v>0</v>
      </c>
      <c r="P325">
        <v>0</v>
      </c>
      <c r="S325" s="241">
        <v>7</v>
      </c>
      <c r="V325">
        <v>0</v>
      </c>
      <c r="Y325">
        <f>33+2</f>
        <v>35</v>
      </c>
      <c r="AB325">
        <v>0</v>
      </c>
      <c r="AE325">
        <v>0</v>
      </c>
      <c r="AH325">
        <v>0</v>
      </c>
      <c r="AK325">
        <f>14+4</f>
        <v>18</v>
      </c>
      <c r="AN325">
        <v>0</v>
      </c>
      <c r="AQ325">
        <v>34</v>
      </c>
      <c r="AT325" s="241">
        <v>0</v>
      </c>
      <c r="AW325">
        <f>6+1</f>
        <v>7</v>
      </c>
      <c r="AZ325">
        <v>20</v>
      </c>
      <c r="BC325">
        <v>0</v>
      </c>
      <c r="BF325">
        <f>14+0.5</f>
        <v>14.5</v>
      </c>
      <c r="BI325">
        <f>7+1</f>
        <v>8</v>
      </c>
      <c r="BL325">
        <v>9</v>
      </c>
      <c r="BO325">
        <f>10+1</f>
        <v>11</v>
      </c>
      <c r="BR325">
        <v>16</v>
      </c>
      <c r="BU325">
        <f>9+5</f>
        <v>14</v>
      </c>
      <c r="BX325">
        <v>14</v>
      </c>
      <c r="CA325">
        <v>5</v>
      </c>
      <c r="CD325">
        <v>0</v>
      </c>
      <c r="CG325">
        <f>20+1</f>
        <v>21</v>
      </c>
      <c r="CJ325">
        <v>0</v>
      </c>
    </row>
    <row r="326" spans="1:110" ht="75" x14ac:dyDescent="0.25">
      <c r="A326" s="168"/>
      <c r="B326" s="16" t="s">
        <v>2797</v>
      </c>
      <c r="C326" s="6" t="s">
        <v>2984</v>
      </c>
      <c r="D326" s="6" t="s">
        <v>950</v>
      </c>
      <c r="E326" s="12"/>
      <c r="F326" s="12"/>
      <c r="G326" s="12"/>
      <c r="H326" s="130"/>
      <c r="I326" s="130">
        <v>135.5</v>
      </c>
      <c r="J326" s="130">
        <v>154.9</v>
      </c>
      <c r="K326" s="130">
        <v>237.9</v>
      </c>
      <c r="L326" s="130">
        <v>225.9</v>
      </c>
      <c r="N326" s="241">
        <f t="shared" ref="N326" si="1072">P326+S326+V326+Y326+AB326+AE326+AH326+AK326+AN326+AQ326+AW326+AZ326+BC326+BF326+BI326+BL326+BO326+BR326+BU326+BX326+CA326+CD326+CG326+CJ326+AT326+DE326</f>
        <v>239.20000000000002</v>
      </c>
      <c r="O326" s="241">
        <f t="shared" si="1071"/>
        <v>0</v>
      </c>
      <c r="P326">
        <v>0</v>
      </c>
      <c r="S326" s="241">
        <v>28.9</v>
      </c>
      <c r="V326">
        <v>20</v>
      </c>
      <c r="Y326">
        <v>45</v>
      </c>
      <c r="AB326">
        <v>0</v>
      </c>
      <c r="AE326">
        <v>0</v>
      </c>
      <c r="AH326">
        <v>0</v>
      </c>
      <c r="AK326">
        <v>4</v>
      </c>
      <c r="AN326">
        <v>0</v>
      </c>
      <c r="AQ326">
        <v>11</v>
      </c>
      <c r="AT326" s="241">
        <v>4</v>
      </c>
      <c r="AW326">
        <v>7</v>
      </c>
      <c r="AZ326">
        <v>32</v>
      </c>
      <c r="BC326">
        <v>0</v>
      </c>
      <c r="BF326">
        <v>16</v>
      </c>
      <c r="BI326">
        <f>11+1</f>
        <v>12</v>
      </c>
      <c r="BL326">
        <v>5</v>
      </c>
      <c r="BO326">
        <v>6</v>
      </c>
      <c r="BR326">
        <v>14</v>
      </c>
      <c r="BU326">
        <f>9+0.3</f>
        <v>9.3000000000000007</v>
      </c>
      <c r="BX326">
        <v>8</v>
      </c>
      <c r="CA326">
        <v>8</v>
      </c>
      <c r="CD326">
        <v>0</v>
      </c>
      <c r="CG326">
        <v>9</v>
      </c>
      <c r="CJ326">
        <v>0</v>
      </c>
    </row>
    <row r="327" spans="1:110" x14ac:dyDescent="0.25">
      <c r="A327" s="168"/>
      <c r="B327" s="16" t="s">
        <v>1184</v>
      </c>
      <c r="C327" s="6"/>
      <c r="D327" s="6"/>
      <c r="E327" s="12"/>
      <c r="F327" s="12"/>
      <c r="G327" s="12"/>
      <c r="H327" s="35"/>
      <c r="I327" s="35"/>
      <c r="J327" s="35"/>
      <c r="K327" s="35"/>
      <c r="L327" s="35"/>
    </row>
    <row r="328" spans="1:110" ht="45" x14ac:dyDescent="0.25">
      <c r="A328" s="168"/>
      <c r="B328" s="16" t="s">
        <v>2800</v>
      </c>
      <c r="C328" s="6" t="s">
        <v>2793</v>
      </c>
      <c r="D328" s="6" t="s">
        <v>950</v>
      </c>
      <c r="E328" s="12"/>
      <c r="F328" s="12"/>
      <c r="G328" s="12"/>
      <c r="H328" s="35"/>
      <c r="I328" s="35">
        <f>I118</f>
        <v>15</v>
      </c>
      <c r="J328" s="35">
        <f>J118</f>
        <v>54</v>
      </c>
      <c r="K328" s="35">
        <f>K118</f>
        <v>90</v>
      </c>
      <c r="L328" s="35">
        <f>L118</f>
        <v>152</v>
      </c>
      <c r="N328" s="241">
        <f>N118</f>
        <v>90</v>
      </c>
      <c r="O328" s="241">
        <f>O118</f>
        <v>0</v>
      </c>
      <c r="P328" s="241">
        <f>P118</f>
        <v>0</v>
      </c>
      <c r="Q328" s="241">
        <f>Q118</f>
        <v>0</v>
      </c>
      <c r="S328" s="241">
        <f>S118</f>
        <v>0</v>
      </c>
      <c r="T328" s="241">
        <f>T118</f>
        <v>0</v>
      </c>
      <c r="V328" s="241">
        <f>V118</f>
        <v>0</v>
      </c>
      <c r="W328" s="241">
        <f>W118</f>
        <v>0</v>
      </c>
      <c r="Y328" s="241">
        <f>Y118</f>
        <v>0</v>
      </c>
      <c r="Z328" s="241">
        <f>Z118</f>
        <v>0</v>
      </c>
      <c r="AA328" s="241"/>
      <c r="AB328" s="241">
        <f>AB118</f>
        <v>0</v>
      </c>
      <c r="AC328" s="241">
        <f>AC118</f>
        <v>0</v>
      </c>
      <c r="AD328" s="241"/>
      <c r="AE328" s="241">
        <f>AE118</f>
        <v>0</v>
      </c>
      <c r="AF328" s="241">
        <f>AF118</f>
        <v>0</v>
      </c>
      <c r="AH328" s="241">
        <f>AH118</f>
        <v>0</v>
      </c>
      <c r="AI328" s="241">
        <f>AI118</f>
        <v>0</v>
      </c>
      <c r="AJ328" s="241"/>
      <c r="AK328" s="241">
        <f>AK118</f>
        <v>0</v>
      </c>
      <c r="AL328" s="241">
        <f>AL118</f>
        <v>0</v>
      </c>
      <c r="AM328" s="241"/>
      <c r="AN328" s="241">
        <f>AN118</f>
        <v>0</v>
      </c>
      <c r="AO328" s="241">
        <f>AO118</f>
        <v>0</v>
      </c>
      <c r="AQ328" s="241">
        <f>AQ118</f>
        <v>0</v>
      </c>
      <c r="AR328" s="241">
        <f>AR118</f>
        <v>0</v>
      </c>
      <c r="AS328" s="241"/>
      <c r="AT328" s="241">
        <f>AT118</f>
        <v>0</v>
      </c>
      <c r="AU328" s="241">
        <f>AU118</f>
        <v>0</v>
      </c>
      <c r="AW328" s="241">
        <f>AW118</f>
        <v>0</v>
      </c>
      <c r="AX328" s="241">
        <f>AX118</f>
        <v>0</v>
      </c>
      <c r="AZ328" s="241">
        <f>AZ118</f>
        <v>0</v>
      </c>
      <c r="BA328" s="241">
        <f>BA118</f>
        <v>0</v>
      </c>
      <c r="BB328" s="241"/>
      <c r="BC328" s="241">
        <f>BC118</f>
        <v>0</v>
      </c>
      <c r="BD328" s="241">
        <f>BD118</f>
        <v>0</v>
      </c>
      <c r="BE328" s="241"/>
      <c r="BF328" s="241">
        <f>BF118</f>
        <v>0</v>
      </c>
      <c r="BG328" s="241">
        <f>BG118</f>
        <v>0</v>
      </c>
      <c r="BI328" s="241">
        <f>BI118</f>
        <v>0</v>
      </c>
      <c r="BJ328" s="241">
        <f>BJ118</f>
        <v>0</v>
      </c>
      <c r="BK328" s="241"/>
      <c r="BL328" s="241">
        <f>BL118</f>
        <v>0</v>
      </c>
      <c r="BM328" s="241">
        <f>BM118</f>
        <v>0</v>
      </c>
      <c r="BN328" s="241"/>
      <c r="BO328" s="241">
        <f>BO118</f>
        <v>0</v>
      </c>
      <c r="BP328" s="241">
        <f>BP118</f>
        <v>0</v>
      </c>
      <c r="BR328" s="241">
        <f>BR118</f>
        <v>0</v>
      </c>
      <c r="BS328" s="241">
        <f>BS118</f>
        <v>0</v>
      </c>
      <c r="BT328" s="241"/>
      <c r="BU328" s="241">
        <f>BU118</f>
        <v>0</v>
      </c>
      <c r="BV328" s="241">
        <f>BV118</f>
        <v>0</v>
      </c>
      <c r="BW328" s="241"/>
      <c r="BX328" s="241">
        <f>BX118</f>
        <v>0</v>
      </c>
      <c r="BY328" s="241">
        <f>BY118</f>
        <v>0</v>
      </c>
      <c r="CA328" s="241">
        <f>CA118</f>
        <v>0</v>
      </c>
      <c r="CB328" s="241">
        <f>CB118</f>
        <v>0</v>
      </c>
      <c r="CC328" s="241"/>
      <c r="CD328" s="241">
        <f>CD118</f>
        <v>0</v>
      </c>
      <c r="CE328" s="241">
        <f>CE118</f>
        <v>0</v>
      </c>
      <c r="CF328" s="241"/>
      <c r="CG328" s="241">
        <f>CG118</f>
        <v>0</v>
      </c>
      <c r="CH328" s="241">
        <f>CH118</f>
        <v>0</v>
      </c>
      <c r="CJ328" s="241">
        <f>CJ118</f>
        <v>0</v>
      </c>
      <c r="CK328" s="241">
        <f>CK118</f>
        <v>0</v>
      </c>
      <c r="DE328" s="241">
        <f>DE118</f>
        <v>90</v>
      </c>
      <c r="DF328" s="241">
        <f>DF118</f>
        <v>0</v>
      </c>
    </row>
    <row r="329" spans="1:110" ht="45" x14ac:dyDescent="0.25">
      <c r="A329" s="168"/>
      <c r="B329" s="16" t="s">
        <v>2799</v>
      </c>
      <c r="C329" s="6" t="s">
        <v>2794</v>
      </c>
      <c r="D329" s="6" t="s">
        <v>950</v>
      </c>
      <c r="E329" s="12"/>
      <c r="F329" s="12"/>
      <c r="G329" s="12"/>
      <c r="H329" s="35"/>
      <c r="I329" s="35">
        <f>I121</f>
        <v>0</v>
      </c>
      <c r="J329" s="35">
        <f>J121</f>
        <v>0</v>
      </c>
      <c r="K329" s="35">
        <f>K121</f>
        <v>0</v>
      </c>
      <c r="L329" s="35">
        <f>L121</f>
        <v>0</v>
      </c>
      <c r="N329" s="241">
        <f>N121</f>
        <v>0</v>
      </c>
      <c r="O329" s="241">
        <f>O121</f>
        <v>0</v>
      </c>
      <c r="P329" s="241">
        <f>P121</f>
        <v>0</v>
      </c>
      <c r="Q329" s="241">
        <f>Q121</f>
        <v>0</v>
      </c>
      <c r="S329" s="241">
        <f>S121</f>
        <v>0</v>
      </c>
      <c r="T329" s="241">
        <f>T121</f>
        <v>0</v>
      </c>
      <c r="V329" s="241">
        <f>V121</f>
        <v>0</v>
      </c>
      <c r="W329" s="241">
        <f>W121</f>
        <v>0</v>
      </c>
      <c r="Y329" s="241">
        <f>Y121</f>
        <v>0</v>
      </c>
      <c r="Z329" s="241">
        <f>Z121</f>
        <v>0</v>
      </c>
      <c r="AA329" s="241"/>
      <c r="AB329" s="241">
        <f>AB121</f>
        <v>0</v>
      </c>
      <c r="AC329" s="241">
        <f>AC121</f>
        <v>0</v>
      </c>
      <c r="AD329" s="241"/>
      <c r="AE329" s="241">
        <f>AE121</f>
        <v>0</v>
      </c>
      <c r="AF329" s="241">
        <f>AF121</f>
        <v>0</v>
      </c>
      <c r="AH329" s="241">
        <f>AH121</f>
        <v>0</v>
      </c>
      <c r="AI329" s="241">
        <f>AI121</f>
        <v>0</v>
      </c>
      <c r="AJ329" s="241"/>
      <c r="AK329" s="241">
        <f>AK121</f>
        <v>0</v>
      </c>
      <c r="AL329" s="241">
        <f>AL121</f>
        <v>0</v>
      </c>
      <c r="AM329" s="241"/>
      <c r="AN329" s="241">
        <f>AN121</f>
        <v>0</v>
      </c>
      <c r="AO329" s="241">
        <f>AO121</f>
        <v>0</v>
      </c>
      <c r="AQ329" s="241">
        <f>AQ121</f>
        <v>0</v>
      </c>
      <c r="AR329" s="241">
        <f>AR121</f>
        <v>0</v>
      </c>
      <c r="AS329" s="241"/>
      <c r="AT329" s="241">
        <f>AT121</f>
        <v>0</v>
      </c>
      <c r="AU329" s="241">
        <f>AU121</f>
        <v>0</v>
      </c>
      <c r="AW329" s="241">
        <f>AW121</f>
        <v>0</v>
      </c>
      <c r="AX329" s="241">
        <f>AX121</f>
        <v>0</v>
      </c>
      <c r="AZ329" s="241">
        <f>AZ121</f>
        <v>0</v>
      </c>
      <c r="BA329" s="241">
        <f>BA121</f>
        <v>0</v>
      </c>
      <c r="BB329" s="241"/>
      <c r="BC329" s="241">
        <f>BC121</f>
        <v>0</v>
      </c>
      <c r="BD329" s="241">
        <f>BD121</f>
        <v>0</v>
      </c>
      <c r="BE329" s="241"/>
      <c r="BF329" s="241">
        <f>BF121</f>
        <v>0</v>
      </c>
      <c r="BG329" s="241">
        <f>BG121</f>
        <v>0</v>
      </c>
      <c r="BI329" s="241">
        <f>BI121</f>
        <v>0</v>
      </c>
      <c r="BJ329" s="241">
        <f>BJ121</f>
        <v>0</v>
      </c>
      <c r="BK329" s="241"/>
      <c r="BL329" s="241">
        <f>BL121</f>
        <v>0</v>
      </c>
      <c r="BM329" s="241">
        <f>BM121</f>
        <v>0</v>
      </c>
      <c r="BN329" s="241"/>
      <c r="BO329" s="241">
        <f>BO121</f>
        <v>0</v>
      </c>
      <c r="BP329" s="241">
        <f>BP121</f>
        <v>0</v>
      </c>
      <c r="BR329" s="241">
        <f>BR121</f>
        <v>0</v>
      </c>
      <c r="BS329" s="241">
        <f>BS121</f>
        <v>0</v>
      </c>
      <c r="BT329" s="241"/>
      <c r="BU329" s="241">
        <f>BU121</f>
        <v>0</v>
      </c>
      <c r="BV329" s="241">
        <f>BV121</f>
        <v>0</v>
      </c>
      <c r="BW329" s="241"/>
      <c r="BX329" s="241">
        <f>BX121</f>
        <v>0</v>
      </c>
      <c r="BY329" s="241">
        <f>BY121</f>
        <v>0</v>
      </c>
      <c r="CA329" s="241">
        <f>CA121</f>
        <v>0</v>
      </c>
      <c r="CB329" s="241">
        <f>CB121</f>
        <v>0</v>
      </c>
      <c r="CC329" s="241"/>
      <c r="CD329" s="241">
        <f>CD121</f>
        <v>0</v>
      </c>
      <c r="CE329" s="241">
        <f>CE121</f>
        <v>0</v>
      </c>
      <c r="CF329" s="241"/>
      <c r="CG329" s="241">
        <f>CG121</f>
        <v>0</v>
      </c>
      <c r="CH329" s="241">
        <f>CH121</f>
        <v>0</v>
      </c>
      <c r="CJ329" s="241">
        <f>CJ121</f>
        <v>0</v>
      </c>
      <c r="CK329" s="241">
        <f>CK121</f>
        <v>0</v>
      </c>
      <c r="DE329" s="241">
        <f>DE121</f>
        <v>0</v>
      </c>
      <c r="DF329" s="241">
        <f>DF121</f>
        <v>0</v>
      </c>
    </row>
    <row r="330" spans="1:110" ht="45" x14ac:dyDescent="0.25">
      <c r="A330" s="168"/>
      <c r="B330" s="167" t="s">
        <v>2798</v>
      </c>
      <c r="C330" s="6" t="s">
        <v>2795</v>
      </c>
      <c r="D330" s="6" t="s">
        <v>950</v>
      </c>
      <c r="E330" s="12"/>
      <c r="F330" s="12"/>
      <c r="G330" s="12"/>
      <c r="H330" s="35"/>
      <c r="I330" s="35">
        <f>I124</f>
        <v>0</v>
      </c>
      <c r="J330" s="35">
        <f>J124</f>
        <v>0</v>
      </c>
      <c r="K330" s="35">
        <f>K124</f>
        <v>0</v>
      </c>
      <c r="L330" s="35">
        <f>L124</f>
        <v>0</v>
      </c>
      <c r="N330" s="241">
        <f>N124</f>
        <v>0</v>
      </c>
      <c r="O330" s="241">
        <f>O124</f>
        <v>0</v>
      </c>
      <c r="P330" s="241">
        <f>P124</f>
        <v>0</v>
      </c>
      <c r="Q330" s="241">
        <f>Q124</f>
        <v>0</v>
      </c>
      <c r="S330" s="241">
        <f>S124</f>
        <v>0</v>
      </c>
      <c r="T330" s="241">
        <f>T124</f>
        <v>0</v>
      </c>
      <c r="V330" s="241">
        <f>V124</f>
        <v>0</v>
      </c>
      <c r="W330" s="241">
        <f>W124</f>
        <v>0</v>
      </c>
      <c r="Y330" s="241">
        <f>Y124</f>
        <v>0</v>
      </c>
      <c r="Z330" s="241">
        <f>Z124</f>
        <v>0</v>
      </c>
      <c r="AA330" s="241"/>
      <c r="AB330" s="241">
        <f>AB124</f>
        <v>0</v>
      </c>
      <c r="AC330" s="241">
        <f>AC124</f>
        <v>0</v>
      </c>
      <c r="AD330" s="241"/>
      <c r="AE330" s="241">
        <f>AE124</f>
        <v>0</v>
      </c>
      <c r="AF330" s="241">
        <f>AF124</f>
        <v>0</v>
      </c>
      <c r="AH330" s="241">
        <f>AH124</f>
        <v>0</v>
      </c>
      <c r="AI330" s="241">
        <f>AI124</f>
        <v>0</v>
      </c>
      <c r="AJ330" s="241"/>
      <c r="AK330" s="241">
        <f>AK124</f>
        <v>0</v>
      </c>
      <c r="AL330" s="241">
        <f>AL124</f>
        <v>0</v>
      </c>
      <c r="AM330" s="241"/>
      <c r="AN330" s="241">
        <f>AN124</f>
        <v>0</v>
      </c>
      <c r="AO330" s="241">
        <f>AO124</f>
        <v>0</v>
      </c>
      <c r="AQ330" s="241">
        <f>AQ124</f>
        <v>0</v>
      </c>
      <c r="AR330" s="241">
        <f>AR124</f>
        <v>0</v>
      </c>
      <c r="AS330" s="241"/>
      <c r="AT330" s="241">
        <f>AT124</f>
        <v>0</v>
      </c>
      <c r="AU330" s="241">
        <f>AU124</f>
        <v>0</v>
      </c>
      <c r="AW330" s="241">
        <f>AW124</f>
        <v>0</v>
      </c>
      <c r="AX330" s="241">
        <f>AX124</f>
        <v>0</v>
      </c>
      <c r="AZ330" s="241">
        <f>AZ124</f>
        <v>0</v>
      </c>
      <c r="BA330" s="241">
        <f>BA124</f>
        <v>0</v>
      </c>
      <c r="BB330" s="241"/>
      <c r="BC330" s="241">
        <f>BC124</f>
        <v>0</v>
      </c>
      <c r="BD330" s="241">
        <f>BD124</f>
        <v>0</v>
      </c>
      <c r="BE330" s="241"/>
      <c r="BF330" s="241">
        <f>BF124</f>
        <v>0</v>
      </c>
      <c r="BG330" s="241">
        <f>BG124</f>
        <v>0</v>
      </c>
      <c r="BI330" s="241">
        <f>BI124</f>
        <v>0</v>
      </c>
      <c r="BJ330" s="241">
        <f>BJ124</f>
        <v>0</v>
      </c>
      <c r="BK330" s="241"/>
      <c r="BL330" s="241">
        <f>BL124</f>
        <v>0</v>
      </c>
      <c r="BM330" s="241">
        <f>BM124</f>
        <v>0</v>
      </c>
      <c r="BN330" s="241"/>
      <c r="BO330" s="241">
        <f>BO124</f>
        <v>0</v>
      </c>
      <c r="BP330" s="241">
        <f>BP124</f>
        <v>0</v>
      </c>
      <c r="BR330" s="241">
        <f>BR124</f>
        <v>0</v>
      </c>
      <c r="BS330" s="241">
        <f>BS124</f>
        <v>0</v>
      </c>
      <c r="BT330" s="241"/>
      <c r="BU330" s="241">
        <f>BU124</f>
        <v>0</v>
      </c>
      <c r="BV330" s="241">
        <f>BV124</f>
        <v>0</v>
      </c>
      <c r="BW330" s="241"/>
      <c r="BX330" s="241">
        <f>BX124</f>
        <v>0</v>
      </c>
      <c r="BY330" s="241">
        <f>BY124</f>
        <v>0</v>
      </c>
      <c r="CA330" s="241">
        <f>CA124</f>
        <v>0</v>
      </c>
      <c r="CB330" s="241">
        <f>CB124</f>
        <v>0</v>
      </c>
      <c r="CC330" s="241"/>
      <c r="CD330" s="241">
        <f>CD124</f>
        <v>0</v>
      </c>
      <c r="CE330" s="241">
        <f>CE124</f>
        <v>0</v>
      </c>
      <c r="CF330" s="241"/>
      <c r="CG330" s="241">
        <f>CG124</f>
        <v>0</v>
      </c>
      <c r="CH330" s="241">
        <f>CH124</f>
        <v>0</v>
      </c>
      <c r="CJ330" s="241">
        <f>CJ124</f>
        <v>0</v>
      </c>
      <c r="CK330" s="241">
        <f>CK124</f>
        <v>0</v>
      </c>
      <c r="DE330" s="241">
        <f>DE124</f>
        <v>0</v>
      </c>
      <c r="DF330" s="241">
        <f>DF124</f>
        <v>0</v>
      </c>
    </row>
    <row r="331" spans="1:110" ht="75" x14ac:dyDescent="0.25">
      <c r="A331" s="168"/>
      <c r="B331" s="16" t="s">
        <v>2796</v>
      </c>
      <c r="C331" s="6" t="s">
        <v>2983</v>
      </c>
      <c r="D331" s="6" t="s">
        <v>950</v>
      </c>
      <c r="E331" s="12"/>
      <c r="F331" s="12"/>
      <c r="G331" s="12"/>
      <c r="H331" s="130"/>
      <c r="I331" s="130">
        <v>0</v>
      </c>
      <c r="J331" s="130">
        <v>0</v>
      </c>
      <c r="K331" s="130">
        <v>7.1</v>
      </c>
      <c r="L331" s="130">
        <v>16</v>
      </c>
      <c r="N331" s="241">
        <f>P331+S331+V331+Y331+AB331+AE331+AH331+AK331+AN331+AQ331+AW331+AZ331+BC331+BF331+BI331+BL331+BO331+BR331+BU331+BX331+CA331+CD331+CG331+CJ331+AT331+DE331</f>
        <v>7.1</v>
      </c>
      <c r="O331" s="241">
        <f t="shared" ref="O331:O332" si="1073">Q331+T331+W331+Z331+AC331+AF331+AI331+AL331+AO331+AR331+AX331+BA331+BD331+BG331+BJ331+BM331+BP331+BS331+BV331+BY331+CB331+CE331+CH331+CK331+AU331+DF331</f>
        <v>0</v>
      </c>
      <c r="DE331">
        <v>7.1</v>
      </c>
    </row>
    <row r="332" spans="1:110" ht="75" x14ac:dyDescent="0.25">
      <c r="A332" s="168"/>
      <c r="B332" s="16" t="s">
        <v>2797</v>
      </c>
      <c r="C332" s="6" t="s">
        <v>2984</v>
      </c>
      <c r="D332" s="6" t="s">
        <v>950</v>
      </c>
      <c r="E332" s="12"/>
      <c r="F332" s="12"/>
      <c r="G332" s="12"/>
      <c r="H332" s="130"/>
      <c r="I332" s="130">
        <v>0</v>
      </c>
      <c r="J332" s="130">
        <v>0</v>
      </c>
      <c r="K332" s="130">
        <v>1.8</v>
      </c>
      <c r="L332" s="130">
        <v>11</v>
      </c>
      <c r="N332" s="241">
        <f t="shared" ref="N332" si="1074">P332+S332+V332+Y332+AB332+AE332+AH332+AK332+AN332+AQ332+AW332+AZ332+BC332+BF332+BI332+BL332+BO332+BR332+BU332+BX332+CA332+CD332+CG332+CJ332+AT332+DE332</f>
        <v>1.8</v>
      </c>
      <c r="O332" s="241">
        <f t="shared" si="1073"/>
        <v>0</v>
      </c>
      <c r="DE332">
        <v>1.8</v>
      </c>
    </row>
    <row r="333" spans="1:110" ht="30" x14ac:dyDescent="0.25">
      <c r="A333" s="72"/>
      <c r="B333" s="43" t="s">
        <v>430</v>
      </c>
      <c r="C333" s="42"/>
      <c r="D333" s="42" t="s">
        <v>8</v>
      </c>
      <c r="E333" s="45">
        <v>8.0299999999999994</v>
      </c>
      <c r="F333" s="45">
        <v>8.31</v>
      </c>
      <c r="G333" s="45">
        <v>7.79</v>
      </c>
      <c r="H333" s="45"/>
      <c r="I333" s="45"/>
      <c r="J333" s="45"/>
      <c r="K333" s="45"/>
      <c r="L333" s="45"/>
      <c r="M333" s="3" t="s">
        <v>23</v>
      </c>
    </row>
    <row r="334" spans="1:110" x14ac:dyDescent="0.25">
      <c r="A334" s="72"/>
      <c r="B334" s="46" t="s">
        <v>1182</v>
      </c>
      <c r="C334" s="42"/>
      <c r="D334" s="42"/>
      <c r="E334" s="45"/>
      <c r="F334" s="45"/>
      <c r="G334" s="45"/>
      <c r="H334" s="45">
        <v>14.35</v>
      </c>
      <c r="I334" s="45">
        <f>(I337+I338+I339)/(I340+I341)</f>
        <v>20.127066017005827</v>
      </c>
      <c r="J334" s="45">
        <f>(J337+J338+J339)/(J340+J341)</f>
        <v>16.048686358913461</v>
      </c>
      <c r="K334" s="45">
        <f>(K337+(K338*0.25)+(K339*0.1))/(K340+K341)</f>
        <v>14.375574637869718</v>
      </c>
      <c r="L334" s="45">
        <f>(L337+(L338*0.25)+(L339*0.1))/(L340+L341)</f>
        <v>15.753502626970228</v>
      </c>
      <c r="M334" s="3"/>
      <c r="N334" s="45">
        <f>(N337+(N338*0.25)+(N339*0.1))/(N340+N341)</f>
        <v>15.256927184019144</v>
      </c>
      <c r="O334" s="45" t="e">
        <f>(O337+(O338*0.25)+(O339*0.1))/(O340+O341)</f>
        <v>#DIV/0!</v>
      </c>
      <c r="P334" s="45">
        <f>(P337+(P338*0.25)+(P339*0.1))/(P340+P341)</f>
        <v>5.9217391304347817</v>
      </c>
      <c r="Q334" s="45" t="e">
        <f>(Q337+(Q338*0.25)+(Q339*0.1))/(Q340+Q341)</f>
        <v>#DIV/0!</v>
      </c>
      <c r="S334" s="45">
        <f>(S337+(S338*0.25)+(S339*0.1))/(S340+S341)</f>
        <v>13.513292433537829</v>
      </c>
      <c r="T334" s="45" t="e">
        <f>(T337+(T338*0.25)+(T339*0.1))/(T340+T341)</f>
        <v>#DIV/0!</v>
      </c>
      <c r="V334" s="45">
        <f>(V337+(V338*0.25)+(V339*0.1))/(V340+V341)</f>
        <v>51.458333333333336</v>
      </c>
      <c r="W334" s="45" t="e">
        <f>(W337+(W338*0.25)+(W339*0.1))/(W340+W341)</f>
        <v>#DIV/0!</v>
      </c>
      <c r="Y334" s="45">
        <f>(Y337+(Y338*0.25)+(Y339*0.1))/(Y340+Y341)</f>
        <v>16.3855421686747</v>
      </c>
      <c r="Z334" s="45" t="e">
        <f>(Z337+(Z338*0.25)+(Z339*0.1))/(Z340+Z341)</f>
        <v>#DIV/0!</v>
      </c>
      <c r="AA334" s="241"/>
      <c r="AB334" s="45">
        <f>(AB337+(AB338*0.25)+(AB339*0.1))/(AB340+AB341)</f>
        <v>3.6794582392776518</v>
      </c>
      <c r="AC334" s="45" t="e">
        <f>(AC337+(AC338*0.25)+(AC339*0.1))/(AC340+AC341)</f>
        <v>#DIV/0!</v>
      </c>
      <c r="AD334" s="241"/>
      <c r="AE334" s="45">
        <f>(AE337+(AE338*0.25)+(AE339*0.1))/(AE340+AE341)</f>
        <v>1.4492753623188406</v>
      </c>
      <c r="AF334" s="45" t="e">
        <f>(AF337+(AF338*0.25)+(AF339*0.1))/(AF340+AF341)</f>
        <v>#DIV/0!</v>
      </c>
      <c r="AH334" s="45">
        <f>(AH337+(AH338*0.25)+(AH339*0.1))/(AH340+AH341)</f>
        <v>2.954954954954955</v>
      </c>
      <c r="AI334" s="45" t="e">
        <f>(AI337+(AI338*0.25)+(AI339*0.1))/(AI340+AI341)</f>
        <v>#DIV/0!</v>
      </c>
      <c r="AJ334" s="241"/>
      <c r="AK334" s="45">
        <f>(AK337+(AK338*0.25)+(AK339*0.1))/(AK340+AK341)</f>
        <v>19</v>
      </c>
      <c r="AL334" s="45" t="e">
        <f>(AL337+(AL338*0.25)+(AL339*0.1))/(AL340+AL341)</f>
        <v>#DIV/0!</v>
      </c>
      <c r="AM334" s="241"/>
      <c r="AN334" s="45">
        <f>(AN337+(AN338*0.25)+(AN339*0.1))/(AN340+AN341)</f>
        <v>10.057471264367816</v>
      </c>
      <c r="AO334" s="45" t="e">
        <f>(AO337+(AO338*0.25)+(AO339*0.1))/(AO340+AO341)</f>
        <v>#DIV/0!</v>
      </c>
      <c r="AQ334" s="45" t="e">
        <f>(AQ337+(AQ338*0.25)+(AQ339*0.1))/(AQ340+AQ341)</f>
        <v>#DIV/0!</v>
      </c>
      <c r="AR334" s="45" t="e">
        <f>(AR337+(AR338*0.25)+(AR339*0.1))/(AR340+AR341)</f>
        <v>#DIV/0!</v>
      </c>
      <c r="AS334" s="241"/>
      <c r="AT334" s="45">
        <f>(AT337+(AT338*0.25)+(AT339*0.1))/(AT340+AT341)</f>
        <v>12</v>
      </c>
      <c r="AU334" s="45" t="e">
        <f>(AU337+(AU338*0.25)+(AU339*0.1))/(AU340+AU341)</f>
        <v>#DIV/0!</v>
      </c>
      <c r="AW334" s="45">
        <f>(AW337+(AW338*0.25)+(AW339*0.1))/(AW340+AW341)</f>
        <v>21.87142857142857</v>
      </c>
      <c r="AX334" s="45" t="e">
        <f>(AX337+(AX338*0.25)+(AX339*0.1))/(AX340+AX341)</f>
        <v>#DIV/0!</v>
      </c>
      <c r="AZ334" s="45">
        <f>(AZ337+(AZ338*0.25)+(AZ339*0.1))/(AZ340+AZ341)</f>
        <v>13.338709677419354</v>
      </c>
      <c r="BA334" s="45" t="e">
        <f>(BA337+(BA338*0.25)+(BA339*0.1))/(BA340+BA341)</f>
        <v>#DIV/0!</v>
      </c>
      <c r="BB334" s="241"/>
      <c r="BC334" s="45">
        <f>(BC337+(BC338*0.25)+(BC339*0.1))/(BC340+BC341)</f>
        <v>13.960550458715597</v>
      </c>
      <c r="BD334" s="45" t="e">
        <f>(BD337+(BD338*0.25)+(BD339*0.1))/(BD340+BD341)</f>
        <v>#DIV/0!</v>
      </c>
      <c r="BE334" s="241"/>
      <c r="BF334" s="45">
        <f>(BF337+(BF338*0.25)+(BF339*0.1))/(BF340+BF341)</f>
        <v>21.713846153846156</v>
      </c>
      <c r="BG334" s="45" t="e">
        <f>(BG337+(BG338*0.25)+(BG339*0.1))/(BG340+BG341)</f>
        <v>#DIV/0!</v>
      </c>
      <c r="BI334" s="45">
        <f>(BI337+(BI338*0.25)+(BI339*0.1))/(BI340+BI341)</f>
        <v>12.894594594594595</v>
      </c>
      <c r="BJ334" s="45" t="e">
        <f>(BJ337+(BJ338*0.25)+(BJ339*0.1))/(BJ340+BJ341)</f>
        <v>#DIV/0!</v>
      </c>
      <c r="BK334" s="241"/>
      <c r="BL334" s="45">
        <f>(BL337+(BL338*0.25)+(BL339*0.1))/(BL340+BL341)</f>
        <v>16.46551724137931</v>
      </c>
      <c r="BM334" s="45" t="e">
        <f>(BM337+(BM338*0.25)+(BM339*0.1))/(BM340+BM341)</f>
        <v>#DIV/0!</v>
      </c>
      <c r="BN334" s="241"/>
      <c r="BO334" s="45">
        <f>(BO337+(BO338*0.25)+(BO339*0.1))/(BO340+BO341)</f>
        <v>12.311538461538463</v>
      </c>
      <c r="BP334" s="45" t="e">
        <f>(BP337+(BP338*0.25)+(BP339*0.1))/(BP340+BP341)</f>
        <v>#DIV/0!</v>
      </c>
      <c r="BR334" s="45">
        <f>(BR337+(BR338*0.25)+(BR339*0.1))/(BR340+BR341)</f>
        <v>32.06</v>
      </c>
      <c r="BS334" s="45" t="e">
        <f>(BS337+(BS338*0.25)+(BS339*0.1))/(BS340+BS341)</f>
        <v>#DIV/0!</v>
      </c>
      <c r="BT334" s="241"/>
      <c r="BU334" s="45">
        <f>(BU337+(BU338*0.25)+(BU339*0.1))/(BU340+BU341)</f>
        <v>16.582758620689653</v>
      </c>
      <c r="BV334" s="45" t="e">
        <f>(BV337+(BV338*0.25)+(BV339*0.1))/(BV340+BV341)</f>
        <v>#DIV/0!</v>
      </c>
      <c r="BW334" s="241"/>
      <c r="BX334" s="45">
        <f>(BX337+(BX338*0.25)+(BX339*0.1))/(BX340+BX341)</f>
        <v>13.876470588235295</v>
      </c>
      <c r="BY334" s="45" t="e">
        <f>(BY337+(BY338*0.25)+(BY339*0.1))/(BY340+BY341)</f>
        <v>#DIV/0!</v>
      </c>
      <c r="CA334" s="45">
        <f>(CA337+(CA338*0.25)+(CA339*0.1))/(CA340+CA341)</f>
        <v>14.383116883116884</v>
      </c>
      <c r="CB334" s="45" t="e">
        <f>(CB337+(CB338*0.25)+(CB339*0.1))/(CB340+CB341)</f>
        <v>#DIV/0!</v>
      </c>
      <c r="CC334" s="241"/>
      <c r="CD334" s="45">
        <f>(CD337+(CD338*0.25)+(CD339*0.1))/(CD340+CD341)</f>
        <v>13.610223642172524</v>
      </c>
      <c r="CE334" s="45" t="e">
        <f>(CE337+(CE338*0.25)+(CE339*0.1))/(CE340+CE341)</f>
        <v>#DIV/0!</v>
      </c>
      <c r="CF334" s="241"/>
      <c r="CG334" s="45">
        <f>(CG337+(CG338*0.25)+(CG339*0.1))/(CG340+CG341)</f>
        <v>13.783333333333333</v>
      </c>
      <c r="CH334" s="45" t="e">
        <f>(CH337+(CH338*0.25)+(CH339*0.1))/(CH340+CH341)</f>
        <v>#DIV/0!</v>
      </c>
      <c r="CJ334" s="45">
        <f>(CJ337+(CJ338*0.25)+(CJ339*0.1))/(CJ340+CJ341)</f>
        <v>8.1999999999999993</v>
      </c>
      <c r="CK334" s="45" t="e">
        <f>(CK337+(CK338*0.25)+(CK339*0.1))/(CK340+CK341)</f>
        <v>#DIV/0!</v>
      </c>
      <c r="DE334" s="45" t="e">
        <f>(DE337+(DE338*0.25)+(DE339*0.1))/(DE340+DE341)</f>
        <v>#DIV/0!</v>
      </c>
      <c r="DF334" s="45" t="e">
        <f>(DF337+(DF338*0.25)+(DF339*0.1))/(DF340+DF341)</f>
        <v>#DIV/0!</v>
      </c>
    </row>
    <row r="335" spans="1:110" x14ac:dyDescent="0.25">
      <c r="A335" s="72"/>
      <c r="B335" s="46" t="s">
        <v>1184</v>
      </c>
      <c r="C335" s="42"/>
      <c r="D335" s="42"/>
      <c r="E335" s="45"/>
      <c r="F335" s="45"/>
      <c r="G335" s="45"/>
      <c r="H335" s="45">
        <v>17.66</v>
      </c>
      <c r="I335" s="45" t="e">
        <f>(I343+I344+I345)/(I346+I347)</f>
        <v>#DIV/0!</v>
      </c>
      <c r="J335" s="45">
        <f>(J343+J344+J345)/(J346+J347)</f>
        <v>128.75536480686696</v>
      </c>
      <c r="K335" s="45">
        <f>(K343+(K344*0.25)+(K345*0.1))/(K346+K347)</f>
        <v>18.12012195121951</v>
      </c>
      <c r="L335" s="45">
        <f>(L343+(L344*0.25)+(L345*0.1))/(L346+L347)</f>
        <v>29.092857142857145</v>
      </c>
      <c r="M335" s="3"/>
      <c r="N335" s="45">
        <f>(N343+(N344*0.25)+(N345*0.1))/(N346+N347)</f>
        <v>18.12012195121951</v>
      </c>
      <c r="O335" s="45" t="e">
        <f>(O343+(O344*0.25)+(O345*0.1))/(O346+O347)</f>
        <v>#DIV/0!</v>
      </c>
      <c r="P335" s="45" t="e">
        <f>(P343+(P344*0.25)+(P345*0.1))/(P346+P347)</f>
        <v>#DIV/0!</v>
      </c>
      <c r="Q335" s="45" t="e">
        <f>(Q343+(Q344*0.25)+(Q345*0.1))/(Q346+Q347)</f>
        <v>#DIV/0!</v>
      </c>
      <c r="S335" s="45" t="e">
        <f>(S343+(S344*0.25)+(S345*0.1))/(S346+S347)</f>
        <v>#DIV/0!</v>
      </c>
      <c r="T335" s="45" t="e">
        <f>(T343+(T344*0.25)+(T345*0.1))/(T346+T347)</f>
        <v>#DIV/0!</v>
      </c>
      <c r="V335" s="45" t="e">
        <f>(V343+(V344*0.25)+(V345*0.1))/(V346+V347)</f>
        <v>#DIV/0!</v>
      </c>
      <c r="W335" s="45" t="e">
        <f>(W343+(W344*0.25)+(W345*0.1))/(W346+W347)</f>
        <v>#DIV/0!</v>
      </c>
      <c r="Y335" s="45" t="e">
        <f>(Y343+(Y344*0.25)+(Y345*0.1))/(Y346+Y347)</f>
        <v>#DIV/0!</v>
      </c>
      <c r="Z335" s="45" t="e">
        <f>(Z343+(Z344*0.25)+(Z345*0.1))/(Z346+Z347)</f>
        <v>#DIV/0!</v>
      </c>
      <c r="AA335" s="241"/>
      <c r="AB335" s="45" t="e">
        <f>(AB343+(AB344*0.25)+(AB345*0.1))/(AB346+AB347)</f>
        <v>#DIV/0!</v>
      </c>
      <c r="AC335" s="45" t="e">
        <f>(AC343+(AC344*0.25)+(AC345*0.1))/(AC346+AC347)</f>
        <v>#DIV/0!</v>
      </c>
      <c r="AD335" s="241"/>
      <c r="AE335" s="45" t="e">
        <f>(AE343+(AE344*0.25)+(AE345*0.1))/(AE346+AE347)</f>
        <v>#DIV/0!</v>
      </c>
      <c r="AF335" s="45" t="e">
        <f>(AF343+(AF344*0.25)+(AF345*0.1))/(AF346+AF347)</f>
        <v>#DIV/0!</v>
      </c>
      <c r="AH335" s="45" t="e">
        <f>(AH343+(AH344*0.25)+(AH345*0.1))/(AH346+AH347)</f>
        <v>#DIV/0!</v>
      </c>
      <c r="AI335" s="45" t="e">
        <f>(AI343+(AI344*0.25)+(AI345*0.1))/(AI346+AI347)</f>
        <v>#DIV/0!</v>
      </c>
      <c r="AJ335" s="241"/>
      <c r="AK335" s="45" t="e">
        <f>(AK343+(AK344*0.25)+(AK345*0.1))/(AK346+AK347)</f>
        <v>#DIV/0!</v>
      </c>
      <c r="AL335" s="45" t="e">
        <f>(AL343+(AL344*0.25)+(AL345*0.1))/(AL346+AL347)</f>
        <v>#DIV/0!</v>
      </c>
      <c r="AM335" s="241"/>
      <c r="AN335" s="45" t="e">
        <f>(AN343+(AN344*0.25)+(AN345*0.1))/(AN346+AN347)</f>
        <v>#DIV/0!</v>
      </c>
      <c r="AO335" s="45" t="e">
        <f>(AO343+(AO344*0.25)+(AO345*0.1))/(AO346+AO347)</f>
        <v>#DIV/0!</v>
      </c>
      <c r="AQ335" s="45" t="e">
        <f>(AQ343+(AQ344*0.25)+(AQ345*0.1))/(AQ346+AQ347)</f>
        <v>#DIV/0!</v>
      </c>
      <c r="AR335" s="45" t="e">
        <f>(AR343+(AR344*0.25)+(AR345*0.1))/(AR346+AR347)</f>
        <v>#DIV/0!</v>
      </c>
      <c r="AS335" s="241"/>
      <c r="AT335" s="45" t="e">
        <f>(AT343+(AT344*0.25)+(AT345*0.1))/(AT346+AT347)</f>
        <v>#DIV/0!</v>
      </c>
      <c r="AU335" s="45" t="e">
        <f>(AU343+(AU344*0.25)+(AU345*0.1))/(AU346+AU347)</f>
        <v>#DIV/0!</v>
      </c>
      <c r="AW335" s="45" t="e">
        <f>(AW343+(AW344*0.25)+(AW345*0.1))/(AW346+AW347)</f>
        <v>#DIV/0!</v>
      </c>
      <c r="AX335" s="45" t="e">
        <f>(AX343+(AX344*0.25)+(AX345*0.1))/(AX346+AX347)</f>
        <v>#DIV/0!</v>
      </c>
      <c r="AZ335" s="45" t="e">
        <f>(AZ343+(AZ344*0.25)+(AZ345*0.1))/(AZ346+AZ347)</f>
        <v>#DIV/0!</v>
      </c>
      <c r="BA335" s="45" t="e">
        <f>(BA343+(BA344*0.25)+(BA345*0.1))/(BA346+BA347)</f>
        <v>#DIV/0!</v>
      </c>
      <c r="BB335" s="241"/>
      <c r="BC335" s="45" t="e">
        <f>(BC343+(BC344*0.25)+(BC345*0.1))/(BC346+BC347)</f>
        <v>#DIV/0!</v>
      </c>
      <c r="BD335" s="45" t="e">
        <f>(BD343+(BD344*0.25)+(BD345*0.1))/(BD346+BD347)</f>
        <v>#DIV/0!</v>
      </c>
      <c r="BE335" s="241"/>
      <c r="BF335" s="45" t="e">
        <f>(BF343+(BF344*0.25)+(BF345*0.1))/(BF346+BF347)</f>
        <v>#DIV/0!</v>
      </c>
      <c r="BG335" s="45" t="e">
        <f>(BG343+(BG344*0.25)+(BG345*0.1))/(BG346+BG347)</f>
        <v>#DIV/0!</v>
      </c>
      <c r="BI335" s="45" t="e">
        <f>(BI343+(BI344*0.25)+(BI345*0.1))/(BI346+BI347)</f>
        <v>#DIV/0!</v>
      </c>
      <c r="BJ335" s="45" t="e">
        <f>(BJ343+(BJ344*0.25)+(BJ345*0.1))/(BJ346+BJ347)</f>
        <v>#DIV/0!</v>
      </c>
      <c r="BK335" s="241"/>
      <c r="BL335" s="45" t="e">
        <f>(BL343+(BL344*0.25)+(BL345*0.1))/(BL346+BL347)</f>
        <v>#DIV/0!</v>
      </c>
      <c r="BM335" s="45" t="e">
        <f>(BM343+(BM344*0.25)+(BM345*0.1))/(BM346+BM347)</f>
        <v>#DIV/0!</v>
      </c>
      <c r="BN335" s="241"/>
      <c r="BO335" s="45" t="e">
        <f>(BO343+(BO344*0.25)+(BO345*0.1))/(BO346+BO347)</f>
        <v>#DIV/0!</v>
      </c>
      <c r="BP335" s="45" t="e">
        <f>(BP343+(BP344*0.25)+(BP345*0.1))/(BP346+BP347)</f>
        <v>#DIV/0!</v>
      </c>
      <c r="BR335" s="45" t="e">
        <f>(BR343+(BR344*0.25)+(BR345*0.1))/(BR346+BR347)</f>
        <v>#DIV/0!</v>
      </c>
      <c r="BS335" s="45" t="e">
        <f>(BS343+(BS344*0.25)+(BS345*0.1))/(BS346+BS347)</f>
        <v>#DIV/0!</v>
      </c>
      <c r="BT335" s="241"/>
      <c r="BU335" s="45" t="e">
        <f>(BU343+(BU344*0.25)+(BU345*0.1))/(BU346+BU347)</f>
        <v>#DIV/0!</v>
      </c>
      <c r="BV335" s="45" t="e">
        <f>(BV343+(BV344*0.25)+(BV345*0.1))/(BV346+BV347)</f>
        <v>#DIV/0!</v>
      </c>
      <c r="BW335" s="241"/>
      <c r="BX335" s="45" t="e">
        <f>(BX343+(BX344*0.25)+(BX345*0.1))/(BX346+BX347)</f>
        <v>#DIV/0!</v>
      </c>
      <c r="BY335" s="45" t="e">
        <f>(BY343+(BY344*0.25)+(BY345*0.1))/(BY346+BY347)</f>
        <v>#DIV/0!</v>
      </c>
      <c r="CA335" s="45" t="e">
        <f>(CA343+(CA344*0.25)+(CA345*0.1))/(CA346+CA347)</f>
        <v>#DIV/0!</v>
      </c>
      <c r="CB335" s="45" t="e">
        <f>(CB343+(CB344*0.25)+(CB345*0.1))/(CB346+CB347)</f>
        <v>#DIV/0!</v>
      </c>
      <c r="CC335" s="241"/>
      <c r="CD335" s="45" t="e">
        <f>(CD343+(CD344*0.25)+(CD345*0.1))/(CD346+CD347)</f>
        <v>#DIV/0!</v>
      </c>
      <c r="CE335" s="45" t="e">
        <f>(CE343+(CE344*0.25)+(CE345*0.1))/(CE346+CE347)</f>
        <v>#DIV/0!</v>
      </c>
      <c r="CF335" s="241"/>
      <c r="CG335" s="45" t="e">
        <f>(CG343+(CG344*0.25)+(CG345*0.1))/(CG346+CG347)</f>
        <v>#DIV/0!</v>
      </c>
      <c r="CH335" s="45" t="e">
        <f>(CH343+(CH344*0.25)+(CH345*0.1))/(CH346+CH347)</f>
        <v>#DIV/0!</v>
      </c>
      <c r="CJ335" s="45" t="e">
        <f>(CJ343+(CJ344*0.25)+(CJ345*0.1))/(CJ346+CJ347)</f>
        <v>#DIV/0!</v>
      </c>
      <c r="CK335" s="45" t="e">
        <f>(CK343+(CK344*0.25)+(CK345*0.1))/(CK346+CK347)</f>
        <v>#DIV/0!</v>
      </c>
      <c r="DE335" s="45">
        <f>(DE343+(DE344*0.25)+(DE345*0.1))/(DE346+DE347)</f>
        <v>18.12012195121951</v>
      </c>
      <c r="DF335" s="45" t="e">
        <f>(DF343+(DF344*0.25)+(DF345*0.1))/(DF346+DF347)</f>
        <v>#DIV/0!</v>
      </c>
    </row>
    <row r="336" spans="1:110" x14ac:dyDescent="0.25">
      <c r="A336" s="168"/>
      <c r="B336" s="16" t="s">
        <v>1182</v>
      </c>
      <c r="C336" s="6"/>
      <c r="D336" s="6"/>
      <c r="E336" s="12"/>
      <c r="F336" s="12"/>
      <c r="G336" s="12"/>
      <c r="H336" s="12"/>
      <c r="I336" s="12"/>
      <c r="J336" s="12"/>
      <c r="K336" s="12"/>
      <c r="L336" s="12"/>
      <c r="M336" s="3"/>
      <c r="Y336" s="241"/>
      <c r="Z336" s="241"/>
      <c r="AA336" s="241"/>
      <c r="AB336" s="241"/>
      <c r="AC336" s="241"/>
      <c r="AD336" s="241"/>
      <c r="AE336" s="241"/>
      <c r="AF336" s="241"/>
      <c r="AH336" s="241"/>
      <c r="AI336" s="241"/>
      <c r="AJ336" s="241"/>
      <c r="AK336" s="241"/>
      <c r="AL336" s="241"/>
      <c r="AM336" s="241"/>
      <c r="AN336" s="241"/>
      <c r="AO336" s="241"/>
      <c r="AQ336" s="241"/>
      <c r="AR336" s="241"/>
      <c r="AS336" s="241"/>
      <c r="AW336" s="241"/>
      <c r="AX336" s="241"/>
      <c r="AZ336" s="241"/>
      <c r="BA336" s="241"/>
      <c r="BB336" s="241"/>
      <c r="BC336" s="241"/>
      <c r="BD336" s="241"/>
      <c r="BE336" s="241"/>
      <c r="BF336" s="241"/>
      <c r="BG336" s="241"/>
      <c r="BI336" s="241"/>
      <c r="BJ336" s="241"/>
      <c r="BK336" s="241"/>
      <c r="BL336" s="241"/>
      <c r="BM336" s="241"/>
      <c r="BN336" s="241"/>
      <c r="BO336" s="241"/>
      <c r="BP336" s="241"/>
      <c r="BR336" s="241"/>
      <c r="BS336" s="241"/>
      <c r="BT336" s="241"/>
      <c r="BU336" s="241"/>
      <c r="BV336" s="241"/>
      <c r="BW336" s="241"/>
      <c r="BX336" s="241"/>
      <c r="BY336" s="241"/>
      <c r="CA336" s="241"/>
      <c r="CB336" s="241"/>
      <c r="CC336" s="241"/>
      <c r="CD336" s="241"/>
      <c r="CE336" s="241"/>
      <c r="CF336" s="241"/>
      <c r="CG336" s="241"/>
      <c r="CH336" s="241"/>
      <c r="CJ336" s="241"/>
      <c r="CK336" s="241"/>
      <c r="DE336" s="241"/>
      <c r="DF336" s="241"/>
    </row>
    <row r="337" spans="1:110" ht="45" x14ac:dyDescent="0.25">
      <c r="A337" s="18"/>
      <c r="B337" s="16" t="s">
        <v>372</v>
      </c>
      <c r="C337" s="6" t="s">
        <v>2801</v>
      </c>
      <c r="D337" s="6" t="s">
        <v>950</v>
      </c>
      <c r="E337" s="12"/>
      <c r="F337" s="35">
        <f t="shared" ref="F337:L337" si="1075">F139</f>
        <v>13414</v>
      </c>
      <c r="G337" s="35">
        <f t="shared" si="1075"/>
        <v>0</v>
      </c>
      <c r="H337" s="35">
        <f t="shared" si="1075"/>
        <v>0</v>
      </c>
      <c r="I337" s="35">
        <f t="shared" si="1075"/>
        <v>16033</v>
      </c>
      <c r="J337" s="35">
        <f t="shared" si="1075"/>
        <v>16867</v>
      </c>
      <c r="K337" s="35">
        <f t="shared" si="1075"/>
        <v>16167</v>
      </c>
      <c r="L337" s="35">
        <f t="shared" si="1075"/>
        <v>17473</v>
      </c>
      <c r="M337" s="20"/>
      <c r="N337" s="241">
        <f>N139</f>
        <v>16167</v>
      </c>
      <c r="O337" s="241">
        <f>O139</f>
        <v>0</v>
      </c>
      <c r="P337" s="241">
        <f>P139</f>
        <v>131</v>
      </c>
      <c r="Q337" s="241">
        <f>Q139</f>
        <v>0</v>
      </c>
      <c r="S337" s="241">
        <f>S139</f>
        <v>1298</v>
      </c>
      <c r="T337" s="241">
        <f>T139</f>
        <v>0</v>
      </c>
      <c r="V337" s="241">
        <f>V139</f>
        <v>604</v>
      </c>
      <c r="W337" s="241">
        <f>W139</f>
        <v>0</v>
      </c>
      <c r="Y337" s="241">
        <f>Y139</f>
        <v>1360</v>
      </c>
      <c r="Z337" s="241">
        <f>Z139</f>
        <v>0</v>
      </c>
      <c r="AA337" s="241"/>
      <c r="AB337" s="241">
        <f>AB139</f>
        <v>326</v>
      </c>
      <c r="AC337" s="241">
        <f>AC139</f>
        <v>0</v>
      </c>
      <c r="AD337" s="241"/>
      <c r="AE337" s="241">
        <f>AE139</f>
        <v>210</v>
      </c>
      <c r="AF337" s="241">
        <f>AF139</f>
        <v>0</v>
      </c>
      <c r="AH337" s="241">
        <f>AH139</f>
        <v>164</v>
      </c>
      <c r="AI337" s="241">
        <f>AI139</f>
        <v>0</v>
      </c>
      <c r="AJ337" s="241"/>
      <c r="AK337" s="241">
        <f>AK139</f>
        <v>587</v>
      </c>
      <c r="AL337" s="241">
        <f>AL139</f>
        <v>0</v>
      </c>
      <c r="AM337" s="241"/>
      <c r="AN337" s="241">
        <f>AN139</f>
        <v>525</v>
      </c>
      <c r="AO337" s="241">
        <f>AO139</f>
        <v>0</v>
      </c>
      <c r="AQ337" s="241">
        <f>AQ139</f>
        <v>379</v>
      </c>
      <c r="AR337" s="241">
        <f>AR139</f>
        <v>0</v>
      </c>
      <c r="AS337" s="241"/>
      <c r="AT337" s="241">
        <f>AT139</f>
        <v>132</v>
      </c>
      <c r="AU337" s="241">
        <f>AU139</f>
        <v>0</v>
      </c>
      <c r="AW337" s="241">
        <f>AW139</f>
        <v>301</v>
      </c>
      <c r="AX337" s="241">
        <f>AX139</f>
        <v>0</v>
      </c>
      <c r="AZ337" s="241">
        <f>AZ139</f>
        <v>396</v>
      </c>
      <c r="BA337" s="241">
        <f>BA139</f>
        <v>0</v>
      </c>
      <c r="BB337" s="241"/>
      <c r="BC337" s="241">
        <f>BC139</f>
        <v>1505</v>
      </c>
      <c r="BD337" s="241">
        <f>BD139</f>
        <v>0</v>
      </c>
      <c r="BE337" s="241"/>
      <c r="BF337" s="241">
        <f>BF139</f>
        <v>690</v>
      </c>
      <c r="BG337" s="241">
        <f>BG139</f>
        <v>0</v>
      </c>
      <c r="BI337" s="241">
        <f>BI139</f>
        <v>472</v>
      </c>
      <c r="BJ337" s="241">
        <f>BJ139</f>
        <v>0</v>
      </c>
      <c r="BK337" s="241"/>
      <c r="BL337" s="241">
        <f>BL139</f>
        <v>473</v>
      </c>
      <c r="BM337" s="241">
        <f>BM139</f>
        <v>0</v>
      </c>
      <c r="BN337" s="241"/>
      <c r="BO337" s="241">
        <f>BO139</f>
        <v>320</v>
      </c>
      <c r="BP337" s="241">
        <f>BP139</f>
        <v>0</v>
      </c>
      <c r="BR337" s="241">
        <f>BR139</f>
        <v>158</v>
      </c>
      <c r="BS337" s="241">
        <f>BS139</f>
        <v>0</v>
      </c>
      <c r="BT337" s="241"/>
      <c r="BU337" s="241">
        <f>BU139</f>
        <v>472</v>
      </c>
      <c r="BV337" s="241">
        <f>BV139</f>
        <v>0</v>
      </c>
      <c r="BW337" s="241"/>
      <c r="BX337" s="241">
        <f>BX139</f>
        <v>225</v>
      </c>
      <c r="BY337" s="241">
        <f>BY139</f>
        <v>0</v>
      </c>
      <c r="CA337" s="241">
        <f>CA139</f>
        <v>527</v>
      </c>
      <c r="CB337" s="241">
        <f>CB139</f>
        <v>0</v>
      </c>
      <c r="CC337" s="241"/>
      <c r="CD337" s="241">
        <f>CD139</f>
        <v>408</v>
      </c>
      <c r="CE337" s="241">
        <f>CE139</f>
        <v>0</v>
      </c>
      <c r="CF337" s="241"/>
      <c r="CG337" s="241">
        <f>CG139</f>
        <v>422</v>
      </c>
      <c r="CH337" s="241">
        <f>CH139</f>
        <v>0</v>
      </c>
      <c r="CJ337" s="241">
        <f>CJ139</f>
        <v>409</v>
      </c>
      <c r="CK337" s="241">
        <f>CK139</f>
        <v>0</v>
      </c>
      <c r="DE337" s="241">
        <f>DE139</f>
        <v>0</v>
      </c>
      <c r="DF337" s="241">
        <f>DF139</f>
        <v>0</v>
      </c>
    </row>
    <row r="338" spans="1:110" ht="45" x14ac:dyDescent="0.25">
      <c r="A338" s="18"/>
      <c r="B338" s="16" t="s">
        <v>373</v>
      </c>
      <c r="C338" s="6" t="s">
        <v>2802</v>
      </c>
      <c r="D338" s="6" t="s">
        <v>950</v>
      </c>
      <c r="E338" s="12"/>
      <c r="F338" s="35">
        <f t="shared" ref="F338:L338" si="1076">F142</f>
        <v>452</v>
      </c>
      <c r="G338" s="35">
        <f t="shared" si="1076"/>
        <v>0</v>
      </c>
      <c r="H338" s="35">
        <f t="shared" si="1076"/>
        <v>0</v>
      </c>
      <c r="I338" s="35">
        <f t="shared" si="1076"/>
        <v>383</v>
      </c>
      <c r="J338" s="35">
        <f t="shared" si="1076"/>
        <v>522</v>
      </c>
      <c r="K338" s="35">
        <f t="shared" si="1076"/>
        <v>456</v>
      </c>
      <c r="L338" s="35">
        <f t="shared" si="1076"/>
        <v>426</v>
      </c>
      <c r="N338" s="241">
        <f>N142</f>
        <v>456</v>
      </c>
      <c r="O338" s="241">
        <f>O142</f>
        <v>0</v>
      </c>
      <c r="P338" s="241">
        <f>P142</f>
        <v>0</v>
      </c>
      <c r="Q338" s="241">
        <f>Q142</f>
        <v>0</v>
      </c>
      <c r="S338" s="241">
        <f>S142</f>
        <v>0</v>
      </c>
      <c r="T338" s="241">
        <f>T142</f>
        <v>0</v>
      </c>
      <c r="V338" s="241">
        <f>V142</f>
        <v>0</v>
      </c>
      <c r="W338" s="241">
        <f>W142</f>
        <v>0</v>
      </c>
      <c r="Y338" s="241">
        <f>Y142</f>
        <v>0</v>
      </c>
      <c r="Z338" s="241">
        <f>Z142</f>
        <v>0</v>
      </c>
      <c r="AA338" s="241"/>
      <c r="AB338" s="241">
        <f>AB142</f>
        <v>0</v>
      </c>
      <c r="AC338" s="241">
        <f>AC142</f>
        <v>0</v>
      </c>
      <c r="AD338" s="241"/>
      <c r="AE338" s="241">
        <f>AE142</f>
        <v>0</v>
      </c>
      <c r="AF338" s="241">
        <f>AF142</f>
        <v>0</v>
      </c>
      <c r="AH338" s="241">
        <f>AH142</f>
        <v>0</v>
      </c>
      <c r="AI338" s="241">
        <f>AI142</f>
        <v>0</v>
      </c>
      <c r="AJ338" s="241"/>
      <c r="AK338" s="241">
        <f>AK142</f>
        <v>8</v>
      </c>
      <c r="AL338" s="241">
        <f>AL142</f>
        <v>0</v>
      </c>
      <c r="AM338" s="241"/>
      <c r="AN338" s="241">
        <f>AN142</f>
        <v>0</v>
      </c>
      <c r="AO338" s="241">
        <f>AO142</f>
        <v>0</v>
      </c>
      <c r="AQ338" s="241">
        <f>AQ142</f>
        <v>0</v>
      </c>
      <c r="AR338" s="241">
        <f>AR142</f>
        <v>0</v>
      </c>
      <c r="AS338" s="241"/>
      <c r="AT338" s="241">
        <f>AT142</f>
        <v>0</v>
      </c>
      <c r="AU338" s="241">
        <f>AU142</f>
        <v>0</v>
      </c>
      <c r="AW338" s="241">
        <f>AW142</f>
        <v>0</v>
      </c>
      <c r="AX338" s="241">
        <f>AX142</f>
        <v>0</v>
      </c>
      <c r="AZ338" s="241">
        <f>AZ142</f>
        <v>0</v>
      </c>
      <c r="BA338" s="241">
        <f>BA142</f>
        <v>0</v>
      </c>
      <c r="BB338" s="241"/>
      <c r="BC338" s="241">
        <f>BC142</f>
        <v>0</v>
      </c>
      <c r="BD338" s="241">
        <f>BD142</f>
        <v>0</v>
      </c>
      <c r="BE338" s="241"/>
      <c r="BF338" s="241">
        <f>BF142</f>
        <v>0</v>
      </c>
      <c r="BG338" s="241">
        <f>BG142</f>
        <v>0</v>
      </c>
      <c r="BI338" s="241">
        <f>BI142</f>
        <v>0</v>
      </c>
      <c r="BJ338" s="241">
        <f>BJ142</f>
        <v>0</v>
      </c>
      <c r="BK338" s="241"/>
      <c r="BL338" s="241">
        <f>BL142</f>
        <v>0</v>
      </c>
      <c r="BM338" s="241">
        <f>BM142</f>
        <v>0</v>
      </c>
      <c r="BN338" s="241"/>
      <c r="BO338" s="241">
        <f>BO142</f>
        <v>0</v>
      </c>
      <c r="BP338" s="241">
        <f>BP142</f>
        <v>0</v>
      </c>
      <c r="BR338" s="241">
        <f>BR142</f>
        <v>0</v>
      </c>
      <c r="BS338" s="241">
        <f>BS142</f>
        <v>0</v>
      </c>
      <c r="BT338" s="241"/>
      <c r="BU338" s="241">
        <f>BU142</f>
        <v>0</v>
      </c>
      <c r="BV338" s="241">
        <f>BV142</f>
        <v>0</v>
      </c>
      <c r="BW338" s="241"/>
      <c r="BX338" s="241">
        <f>BX142</f>
        <v>40</v>
      </c>
      <c r="BY338" s="241">
        <f>BY142</f>
        <v>0</v>
      </c>
      <c r="CA338" s="241">
        <f>CA142</f>
        <v>47</v>
      </c>
      <c r="CB338" s="241">
        <f>CB142</f>
        <v>0</v>
      </c>
      <c r="CC338" s="241"/>
      <c r="CD338" s="241">
        <f>CD142</f>
        <v>72</v>
      </c>
      <c r="CE338" s="241">
        <f>CE142</f>
        <v>0</v>
      </c>
      <c r="CF338" s="241"/>
      <c r="CG338" s="241">
        <f>CG142</f>
        <v>121</v>
      </c>
      <c r="CH338" s="241">
        <f>CH142</f>
        <v>0</v>
      </c>
      <c r="CJ338" s="241">
        <f>CJ142</f>
        <v>168</v>
      </c>
      <c r="CK338" s="241">
        <f>CK142</f>
        <v>0</v>
      </c>
      <c r="DE338" s="241">
        <f>DE142</f>
        <v>0</v>
      </c>
      <c r="DF338" s="241">
        <f>DF142</f>
        <v>0</v>
      </c>
    </row>
    <row r="339" spans="1:110" ht="45" x14ac:dyDescent="0.25">
      <c r="A339" s="81"/>
      <c r="B339" s="81" t="s">
        <v>431</v>
      </c>
      <c r="C339" s="6" t="s">
        <v>2803</v>
      </c>
      <c r="D339" s="6" t="s">
        <v>950</v>
      </c>
      <c r="E339" s="12"/>
      <c r="F339" s="35">
        <f t="shared" ref="F339:L339" si="1077">F145</f>
        <v>6080</v>
      </c>
      <c r="G339" s="35">
        <f t="shared" si="1077"/>
        <v>0</v>
      </c>
      <c r="H339" s="35">
        <f t="shared" si="1077"/>
        <v>0</v>
      </c>
      <c r="I339" s="35">
        <f t="shared" si="1077"/>
        <v>4651</v>
      </c>
      <c r="J339" s="35">
        <f t="shared" si="1077"/>
        <v>4235</v>
      </c>
      <c r="K339" s="35">
        <f t="shared" si="1077"/>
        <v>2926</v>
      </c>
      <c r="L339" s="35">
        <f t="shared" si="1077"/>
        <v>4110</v>
      </c>
      <c r="M339" s="20"/>
      <c r="N339" s="241">
        <f>N145</f>
        <v>2926</v>
      </c>
      <c r="O339" s="241">
        <f>O145</f>
        <v>0</v>
      </c>
      <c r="P339" s="241">
        <f>P145</f>
        <v>52</v>
      </c>
      <c r="Q339" s="241">
        <f>Q145</f>
        <v>0</v>
      </c>
      <c r="S339" s="241">
        <f>S145</f>
        <v>236</v>
      </c>
      <c r="T339" s="241">
        <f>T145</f>
        <v>0</v>
      </c>
      <c r="V339" s="241">
        <f>V145</f>
        <v>135</v>
      </c>
      <c r="W339" s="241">
        <f>W145</f>
        <v>0</v>
      </c>
      <c r="Y339" s="241">
        <f>Y145</f>
        <v>0</v>
      </c>
      <c r="Z339" s="241">
        <f>Z145</f>
        <v>0</v>
      </c>
      <c r="AA339" s="241"/>
      <c r="AB339" s="241">
        <f>AB145</f>
        <v>0</v>
      </c>
      <c r="AC339" s="241">
        <f>AC145</f>
        <v>0</v>
      </c>
      <c r="AD339" s="241"/>
      <c r="AE339" s="241">
        <f>AE145</f>
        <v>0</v>
      </c>
      <c r="AF339" s="241">
        <f>AF145</f>
        <v>0</v>
      </c>
      <c r="AH339" s="241">
        <f>AH145</f>
        <v>0</v>
      </c>
      <c r="AI339" s="241">
        <f>AI145</f>
        <v>0</v>
      </c>
      <c r="AJ339" s="241"/>
      <c r="AK339" s="241">
        <f>AK145</f>
        <v>0</v>
      </c>
      <c r="AL339" s="241">
        <f>AL145</f>
        <v>0</v>
      </c>
      <c r="AM339" s="241"/>
      <c r="AN339" s="241">
        <f>AN145</f>
        <v>0</v>
      </c>
      <c r="AO339" s="241">
        <f>AO145</f>
        <v>0</v>
      </c>
      <c r="AQ339" s="241">
        <f>AQ145</f>
        <v>148</v>
      </c>
      <c r="AR339" s="241">
        <f>AR145</f>
        <v>0</v>
      </c>
      <c r="AS339" s="241"/>
      <c r="AT339" s="241">
        <f>AT145</f>
        <v>0</v>
      </c>
      <c r="AU339" s="241">
        <f>AU145</f>
        <v>0</v>
      </c>
      <c r="AW339" s="241">
        <f>AW145</f>
        <v>52</v>
      </c>
      <c r="AX339" s="241">
        <f>AX145</f>
        <v>0</v>
      </c>
      <c r="AZ339" s="241">
        <f>AZ145</f>
        <v>175</v>
      </c>
      <c r="BA339" s="241">
        <f>BA145</f>
        <v>0</v>
      </c>
      <c r="BB339" s="241"/>
      <c r="BC339" s="241">
        <f>BC145</f>
        <v>167</v>
      </c>
      <c r="BD339" s="241">
        <f>BD145</f>
        <v>0</v>
      </c>
      <c r="BE339" s="241"/>
      <c r="BF339" s="241">
        <f>BF145</f>
        <v>157</v>
      </c>
      <c r="BG339" s="241">
        <f>BG145</f>
        <v>0</v>
      </c>
      <c r="BI339" s="241">
        <f>BI145</f>
        <v>51</v>
      </c>
      <c r="BJ339" s="241">
        <f>BJ145</f>
        <v>0</v>
      </c>
      <c r="BK339" s="241"/>
      <c r="BL339" s="241">
        <f>BL145</f>
        <v>45</v>
      </c>
      <c r="BM339" s="241">
        <f>BM145</f>
        <v>0</v>
      </c>
      <c r="BN339" s="241"/>
      <c r="BO339" s="241">
        <f>BO145</f>
        <v>1</v>
      </c>
      <c r="BP339" s="241">
        <f>BP145</f>
        <v>0</v>
      </c>
      <c r="BR339" s="241">
        <f>BR145</f>
        <v>23</v>
      </c>
      <c r="BS339" s="241">
        <f>BS145</f>
        <v>0</v>
      </c>
      <c r="BT339" s="241"/>
      <c r="BU339" s="241">
        <f>BU145</f>
        <v>89</v>
      </c>
      <c r="BV339" s="241">
        <f>BV145</f>
        <v>0</v>
      </c>
      <c r="BW339" s="241"/>
      <c r="BX339" s="241">
        <f>BX145</f>
        <v>9</v>
      </c>
      <c r="BY339" s="241">
        <f>BY145</f>
        <v>0</v>
      </c>
      <c r="CA339" s="241">
        <f>CA145</f>
        <v>150</v>
      </c>
      <c r="CB339" s="241">
        <f>CB145</f>
        <v>0</v>
      </c>
      <c r="CC339" s="241"/>
      <c r="CD339" s="241">
        <f>CD145</f>
        <v>0</v>
      </c>
      <c r="CE339" s="241">
        <f>CE145</f>
        <v>0</v>
      </c>
      <c r="CF339" s="241"/>
      <c r="CG339" s="241">
        <f>CG145</f>
        <v>26</v>
      </c>
      <c r="CH339" s="241">
        <f>CH145</f>
        <v>0</v>
      </c>
      <c r="CJ339" s="241">
        <f>CJ145</f>
        <v>0</v>
      </c>
      <c r="CK339" s="241">
        <f>CK145</f>
        <v>0</v>
      </c>
      <c r="DE339" s="241">
        <f>DE145</f>
        <v>0</v>
      </c>
      <c r="DF339" s="241">
        <f>DF145</f>
        <v>0</v>
      </c>
    </row>
    <row r="340" spans="1:110" ht="75" x14ac:dyDescent="0.25">
      <c r="A340" s="18"/>
      <c r="B340" s="16" t="s">
        <v>398</v>
      </c>
      <c r="C340" s="6" t="s">
        <v>2985</v>
      </c>
      <c r="D340" s="6" t="s">
        <v>950</v>
      </c>
      <c r="E340" s="12"/>
      <c r="F340" s="130">
        <v>1113</v>
      </c>
      <c r="G340" s="130"/>
      <c r="H340" s="130"/>
      <c r="I340" s="130">
        <f>707.7+293.5</f>
        <v>1001.2</v>
      </c>
      <c r="J340" s="130">
        <f>851.4+440</f>
        <v>1291.4000000000001</v>
      </c>
      <c r="K340" s="130">
        <v>1068.9000000000001</v>
      </c>
      <c r="L340" s="130">
        <v>1062.8</v>
      </c>
      <c r="M340" s="20"/>
      <c r="N340" s="241">
        <f>P340+S340+V340+Y340+AB340+AE340+AH340+AK340+AN340+AQ340+AW340+AZ340+BC340+BF340+BI340+BL340+BO340+BR340+BU340+BX340+CA340+CD340+CG340+CJ340+AT340+DE340</f>
        <v>986.30000000000007</v>
      </c>
      <c r="O340" s="241">
        <f t="shared" ref="O340:O341" si="1078">Q340+T340+W340+Z340+AC340+AF340+AI340+AL340+AO340+AR340+AX340+BA340+BD340+BG340+BJ340+BM340+BP340+BS340+BV340+BY340+CB340+CE340+CH340+CK340+AU340+DF340</f>
        <v>0</v>
      </c>
      <c r="P340" s="241">
        <f>20+3</f>
        <v>23</v>
      </c>
      <c r="S340">
        <f>92.9+1.9</f>
        <v>94.800000000000011</v>
      </c>
      <c r="V340">
        <v>12</v>
      </c>
      <c r="Y340" s="241">
        <f>60+4</f>
        <v>64</v>
      </c>
      <c r="Z340" s="241"/>
      <c r="AA340" s="241"/>
      <c r="AB340" s="241">
        <f>84.7+1.9</f>
        <v>86.600000000000009</v>
      </c>
      <c r="AC340" s="241"/>
      <c r="AD340" s="241"/>
      <c r="AE340" s="241">
        <f>119.7+21.2</f>
        <v>140.9</v>
      </c>
      <c r="AF340" s="241"/>
      <c r="AH340" s="241">
        <f>48.6+6.9</f>
        <v>55.5</v>
      </c>
      <c r="AI340" s="241"/>
      <c r="AJ340" s="241"/>
      <c r="AK340" s="241">
        <f>23+1</f>
        <v>24</v>
      </c>
      <c r="AL340" s="241"/>
      <c r="AM340" s="241"/>
      <c r="AN340" s="241">
        <f>40.9+11.3</f>
        <v>52.2</v>
      </c>
      <c r="AO340" s="241"/>
      <c r="AQ340" s="241">
        <v>0</v>
      </c>
      <c r="AR340" s="241"/>
      <c r="AS340" s="241"/>
      <c r="AT340" s="241">
        <f>10+1</f>
        <v>11</v>
      </c>
      <c r="AW340" s="241">
        <v>10</v>
      </c>
      <c r="AX340" s="241"/>
      <c r="AZ340" s="241">
        <v>31</v>
      </c>
      <c r="BA340" s="241"/>
      <c r="BB340" s="241"/>
      <c r="BC340" s="241">
        <f>90+19</f>
        <v>109</v>
      </c>
      <c r="BD340" s="241"/>
      <c r="BE340" s="241"/>
      <c r="BF340" s="241">
        <f>32+0.5</f>
        <v>32.5</v>
      </c>
      <c r="BG340" s="241"/>
      <c r="BI340" s="241">
        <f>31+2</f>
        <v>33</v>
      </c>
      <c r="BJ340" s="241"/>
      <c r="BK340" s="241"/>
      <c r="BL340" s="241">
        <f>26+2</f>
        <v>28</v>
      </c>
      <c r="BM340" s="241"/>
      <c r="BN340" s="241"/>
      <c r="BO340" s="241">
        <f>13+1</f>
        <v>14</v>
      </c>
      <c r="BP340" s="241"/>
      <c r="BR340" s="241">
        <v>0</v>
      </c>
      <c r="BS340" s="241"/>
      <c r="BT340" s="241"/>
      <c r="BU340" s="241">
        <v>29</v>
      </c>
      <c r="BV340" s="241"/>
      <c r="BW340" s="241"/>
      <c r="BX340" s="241">
        <f>12+3</f>
        <v>15</v>
      </c>
      <c r="BY340" s="241"/>
      <c r="CA340" s="241">
        <f>37+0.5</f>
        <v>37.5</v>
      </c>
      <c r="CB340" s="241"/>
      <c r="CC340" s="241"/>
      <c r="CD340" s="241">
        <f>22+9.3</f>
        <v>31.3</v>
      </c>
      <c r="CE340" s="241"/>
      <c r="CF340" s="241"/>
      <c r="CG340" s="241">
        <f>18+6</f>
        <v>24</v>
      </c>
      <c r="CH340" s="241"/>
      <c r="CJ340" s="241">
        <v>28</v>
      </c>
      <c r="CK340" s="241"/>
      <c r="DE340" s="241"/>
      <c r="DF340" s="241"/>
    </row>
    <row r="341" spans="1:110" ht="75" x14ac:dyDescent="0.25">
      <c r="A341" s="18"/>
      <c r="B341" s="16" t="s">
        <v>432</v>
      </c>
      <c r="C341" s="6" t="s">
        <v>2986</v>
      </c>
      <c r="D341" s="6" t="s">
        <v>950</v>
      </c>
      <c r="E341" s="12"/>
      <c r="F341" s="130">
        <v>284</v>
      </c>
      <c r="G341" s="130"/>
      <c r="H341" s="130"/>
      <c r="I341" s="130">
        <v>45.5</v>
      </c>
      <c r="J341" s="130">
        <v>56</v>
      </c>
      <c r="K341" s="130">
        <v>84</v>
      </c>
      <c r="L341" s="130">
        <v>79.2</v>
      </c>
      <c r="N341" s="241">
        <f t="shared" ref="N341" si="1079">P341+S341+V341+Y341+AB341+AE341+AH341+AK341+AN341+AQ341+AW341+AZ341+BC341+BF341+BI341+BL341+BO341+BR341+BU341+BX341+CA341+CD341+CG341+CJ341+AT341+DE341</f>
        <v>100</v>
      </c>
      <c r="O341" s="241">
        <f t="shared" si="1078"/>
        <v>0</v>
      </c>
      <c r="P341" s="241">
        <v>0</v>
      </c>
      <c r="S341">
        <v>3</v>
      </c>
      <c r="V341">
        <v>0</v>
      </c>
      <c r="Y341" s="241">
        <v>19</v>
      </c>
      <c r="Z341" s="241"/>
      <c r="AA341" s="241"/>
      <c r="AB341" s="241">
        <v>2</v>
      </c>
      <c r="AC341" s="241"/>
      <c r="AD341" s="241"/>
      <c r="AE341" s="241">
        <v>4</v>
      </c>
      <c r="AF341" s="241"/>
      <c r="AH341" s="241">
        <v>0</v>
      </c>
      <c r="AI341" s="241"/>
      <c r="AJ341" s="241"/>
      <c r="AK341" s="241">
        <v>7</v>
      </c>
      <c r="AL341" s="241"/>
      <c r="AM341" s="241"/>
      <c r="AN341" s="241">
        <v>0</v>
      </c>
      <c r="AO341" s="241"/>
      <c r="AQ341" s="241">
        <v>0</v>
      </c>
      <c r="AR341" s="241"/>
      <c r="AS341" s="241"/>
      <c r="AT341" s="241">
        <v>0</v>
      </c>
      <c r="AW341" s="241">
        <v>4</v>
      </c>
      <c r="AX341" s="241"/>
      <c r="AZ341" s="241">
        <v>0</v>
      </c>
      <c r="BA341" s="241"/>
      <c r="BB341" s="241"/>
      <c r="BC341" s="241">
        <v>0</v>
      </c>
      <c r="BD341" s="241"/>
      <c r="BE341" s="241"/>
      <c r="BF341" s="241">
        <v>0</v>
      </c>
      <c r="BG341" s="241"/>
      <c r="BI341" s="241">
        <v>4</v>
      </c>
      <c r="BJ341" s="241"/>
      <c r="BK341" s="241"/>
      <c r="BL341" s="241">
        <v>1</v>
      </c>
      <c r="BM341" s="241"/>
      <c r="BN341" s="241"/>
      <c r="BO341" s="241">
        <f>11+1</f>
        <v>12</v>
      </c>
      <c r="BP341" s="241"/>
      <c r="BR341" s="241">
        <v>5</v>
      </c>
      <c r="BS341" s="241"/>
      <c r="BT341" s="241"/>
      <c r="BU341" s="241">
        <v>0</v>
      </c>
      <c r="BV341" s="241"/>
      <c r="BW341" s="241"/>
      <c r="BX341" s="241">
        <v>2</v>
      </c>
      <c r="BY341" s="241"/>
      <c r="CA341" s="241">
        <v>1</v>
      </c>
      <c r="CB341" s="241"/>
      <c r="CC341" s="241"/>
      <c r="CD341" s="241">
        <v>0</v>
      </c>
      <c r="CE341" s="241"/>
      <c r="CF341" s="241"/>
      <c r="CG341" s="241">
        <v>9</v>
      </c>
      <c r="CH341" s="241"/>
      <c r="CJ341" s="241">
        <v>27</v>
      </c>
      <c r="CK341" s="241"/>
      <c r="DE341" s="241"/>
      <c r="DF341" s="241"/>
    </row>
    <row r="342" spans="1:110" x14ac:dyDescent="0.25">
      <c r="A342" s="168"/>
      <c r="B342" s="16" t="s">
        <v>1184</v>
      </c>
      <c r="C342" s="6"/>
      <c r="D342" s="6"/>
      <c r="E342" s="12"/>
      <c r="F342" s="35"/>
      <c r="G342" s="35"/>
      <c r="H342" s="35"/>
      <c r="I342" s="35"/>
      <c r="J342" s="35"/>
      <c r="K342" s="35"/>
      <c r="L342" s="35"/>
      <c r="M342" s="3"/>
      <c r="Y342" s="241"/>
      <c r="Z342" s="241"/>
      <c r="AA342" s="241"/>
      <c r="AB342" s="241"/>
      <c r="AC342" s="241"/>
      <c r="AD342" s="241"/>
      <c r="AE342" s="241"/>
      <c r="AF342" s="241"/>
      <c r="AH342" s="241"/>
      <c r="AI342" s="241"/>
      <c r="AJ342" s="241"/>
      <c r="AK342" s="241"/>
      <c r="AL342" s="241"/>
      <c r="AM342" s="241"/>
      <c r="AN342" s="241"/>
      <c r="AO342" s="241"/>
      <c r="AQ342" s="241"/>
      <c r="AR342" s="241"/>
      <c r="AS342" s="241"/>
      <c r="AW342" s="241"/>
      <c r="AX342" s="241"/>
      <c r="AZ342" s="241"/>
      <c r="BA342" s="241"/>
      <c r="BB342" s="241"/>
      <c r="BC342" s="241"/>
      <c r="BD342" s="241"/>
      <c r="BE342" s="241"/>
      <c r="BF342" s="241"/>
      <c r="BG342" s="241"/>
      <c r="BI342" s="241"/>
      <c r="BJ342" s="241"/>
      <c r="BK342" s="241"/>
      <c r="BL342" s="241"/>
      <c r="BM342" s="241"/>
      <c r="BN342" s="241"/>
      <c r="BO342" s="241"/>
      <c r="BP342" s="241"/>
      <c r="BR342" s="241"/>
      <c r="BS342" s="241"/>
      <c r="BT342" s="241"/>
      <c r="BU342" s="241"/>
      <c r="BV342" s="241"/>
      <c r="BW342" s="241"/>
      <c r="BX342" s="241"/>
      <c r="BY342" s="241"/>
      <c r="CA342" s="241"/>
      <c r="CB342" s="241"/>
      <c r="CC342" s="241"/>
      <c r="CD342" s="241"/>
      <c r="CE342" s="241"/>
      <c r="CF342" s="241"/>
      <c r="CG342" s="241"/>
      <c r="CH342" s="241"/>
      <c r="CJ342" s="241"/>
      <c r="CK342" s="241"/>
      <c r="DE342" s="241"/>
      <c r="DF342" s="241"/>
    </row>
    <row r="343" spans="1:110" ht="45" x14ac:dyDescent="0.25">
      <c r="A343" s="168"/>
      <c r="B343" s="16" t="s">
        <v>372</v>
      </c>
      <c r="C343" s="6" t="s">
        <v>2801</v>
      </c>
      <c r="D343" s="6" t="s">
        <v>950</v>
      </c>
      <c r="E343" s="12"/>
      <c r="F343" s="35"/>
      <c r="G343" s="35"/>
      <c r="H343" s="35"/>
      <c r="I343" s="35">
        <f>I140</f>
        <v>637</v>
      </c>
      <c r="J343" s="35">
        <f>J140</f>
        <v>924</v>
      </c>
      <c r="K343" s="35">
        <f>K140</f>
        <v>1444</v>
      </c>
      <c r="L343" s="35">
        <f>L140</f>
        <v>2156</v>
      </c>
      <c r="M343" s="20"/>
      <c r="N343" s="241">
        <f>N140</f>
        <v>1444</v>
      </c>
      <c r="O343" s="241">
        <f>O140</f>
        <v>0</v>
      </c>
      <c r="P343" s="241">
        <f>P140</f>
        <v>0</v>
      </c>
      <c r="Q343" s="241">
        <f>Q140</f>
        <v>0</v>
      </c>
      <c r="S343" s="241">
        <f>S140</f>
        <v>0</v>
      </c>
      <c r="T343" s="241">
        <f>T140</f>
        <v>0</v>
      </c>
      <c r="V343" s="241">
        <f>V140</f>
        <v>0</v>
      </c>
      <c r="W343" s="241">
        <f>W140</f>
        <v>0</v>
      </c>
      <c r="Y343" s="241">
        <f>Y140</f>
        <v>0</v>
      </c>
      <c r="Z343" s="241">
        <f>Z140</f>
        <v>0</v>
      </c>
      <c r="AA343" s="241"/>
      <c r="AB343" s="241">
        <f>AB140</f>
        <v>0</v>
      </c>
      <c r="AC343" s="241">
        <f>AC140</f>
        <v>0</v>
      </c>
      <c r="AD343" s="241"/>
      <c r="AE343" s="241">
        <f>AE140</f>
        <v>0</v>
      </c>
      <c r="AF343" s="241">
        <f>AF140</f>
        <v>0</v>
      </c>
      <c r="AH343" s="241">
        <f>AH140</f>
        <v>0</v>
      </c>
      <c r="AI343" s="241">
        <f>AI140</f>
        <v>0</v>
      </c>
      <c r="AJ343" s="241"/>
      <c r="AK343" s="241">
        <f>AK140</f>
        <v>0</v>
      </c>
      <c r="AL343" s="241">
        <f>AL140</f>
        <v>0</v>
      </c>
      <c r="AM343" s="241"/>
      <c r="AN343" s="241">
        <f>AN140</f>
        <v>0</v>
      </c>
      <c r="AO343" s="241">
        <f>AO140</f>
        <v>0</v>
      </c>
      <c r="AQ343" s="241">
        <f>AQ140</f>
        <v>0</v>
      </c>
      <c r="AR343" s="241">
        <f>AR140</f>
        <v>0</v>
      </c>
      <c r="AS343" s="241"/>
      <c r="AT343" s="241">
        <f>AT140</f>
        <v>0</v>
      </c>
      <c r="AU343" s="241">
        <f>AU140</f>
        <v>0</v>
      </c>
      <c r="AW343" s="241">
        <f>AW140</f>
        <v>0</v>
      </c>
      <c r="AX343" s="241">
        <f>AX140</f>
        <v>0</v>
      </c>
      <c r="AZ343" s="241">
        <f>AZ140</f>
        <v>0</v>
      </c>
      <c r="BA343" s="241">
        <f>BA140</f>
        <v>0</v>
      </c>
      <c r="BB343" s="241"/>
      <c r="BC343" s="241">
        <f>BC140</f>
        <v>0</v>
      </c>
      <c r="BD343" s="241">
        <f>BD140</f>
        <v>0</v>
      </c>
      <c r="BE343" s="241"/>
      <c r="BF343" s="241">
        <f>BF140</f>
        <v>0</v>
      </c>
      <c r="BG343" s="241">
        <f>BG140</f>
        <v>0</v>
      </c>
      <c r="BI343" s="241">
        <f>BI140</f>
        <v>0</v>
      </c>
      <c r="BJ343" s="241">
        <f>BJ140</f>
        <v>0</v>
      </c>
      <c r="BK343" s="241"/>
      <c r="BL343" s="241">
        <f>BL140</f>
        <v>0</v>
      </c>
      <c r="BM343" s="241">
        <f>BM140</f>
        <v>0</v>
      </c>
      <c r="BN343" s="241"/>
      <c r="BO343" s="241">
        <f>BO140</f>
        <v>0</v>
      </c>
      <c r="BP343" s="241">
        <f>BP140</f>
        <v>0</v>
      </c>
      <c r="BR343" s="241">
        <f>BR140</f>
        <v>0</v>
      </c>
      <c r="BS343" s="241">
        <f>BS140</f>
        <v>0</v>
      </c>
      <c r="BT343" s="241"/>
      <c r="BU343" s="241">
        <f>BU140</f>
        <v>0</v>
      </c>
      <c r="BV343" s="241">
        <f>BV140</f>
        <v>0</v>
      </c>
      <c r="BW343" s="241"/>
      <c r="BX343" s="241">
        <f>BX140</f>
        <v>0</v>
      </c>
      <c r="BY343" s="241">
        <f>BY140</f>
        <v>0</v>
      </c>
      <c r="CA343" s="241">
        <f>CA140</f>
        <v>0</v>
      </c>
      <c r="CB343" s="241">
        <f>CB140</f>
        <v>0</v>
      </c>
      <c r="CC343" s="241"/>
      <c r="CD343" s="241">
        <f>CD140</f>
        <v>0</v>
      </c>
      <c r="CE343" s="241">
        <f>CE140</f>
        <v>0</v>
      </c>
      <c r="CF343" s="241"/>
      <c r="CG343" s="241">
        <f>CG140</f>
        <v>0</v>
      </c>
      <c r="CH343" s="241">
        <f>CH140</f>
        <v>0</v>
      </c>
      <c r="CJ343" s="241">
        <f>CJ140</f>
        <v>0</v>
      </c>
      <c r="CK343" s="241">
        <f>CK140</f>
        <v>0</v>
      </c>
      <c r="DE343" s="241">
        <f>DE140</f>
        <v>1444</v>
      </c>
      <c r="DF343" s="241">
        <f>DF140</f>
        <v>0</v>
      </c>
    </row>
    <row r="344" spans="1:110" ht="45" x14ac:dyDescent="0.25">
      <c r="A344" s="168"/>
      <c r="B344" s="16" t="s">
        <v>373</v>
      </c>
      <c r="C344" s="6" t="s">
        <v>2802</v>
      </c>
      <c r="D344" s="6" t="s">
        <v>950</v>
      </c>
      <c r="E344" s="12"/>
      <c r="F344" s="35"/>
      <c r="G344" s="35"/>
      <c r="H344" s="35"/>
      <c r="I344" s="35">
        <f>I143</f>
        <v>95</v>
      </c>
      <c r="J344" s="35">
        <f>J143</f>
        <v>41</v>
      </c>
      <c r="K344" s="35">
        <f>K143</f>
        <v>77</v>
      </c>
      <c r="L344" s="35">
        <f>L143</f>
        <v>327</v>
      </c>
      <c r="N344" s="241">
        <f>N143</f>
        <v>77</v>
      </c>
      <c r="O344" s="241">
        <f>O143</f>
        <v>0</v>
      </c>
      <c r="P344" s="241">
        <f>P143</f>
        <v>0</v>
      </c>
      <c r="Q344" s="241">
        <f>Q143</f>
        <v>0</v>
      </c>
      <c r="S344" s="241">
        <f>S143</f>
        <v>0</v>
      </c>
      <c r="T344" s="241">
        <f>T143</f>
        <v>0</v>
      </c>
      <c r="V344" s="241">
        <f>V143</f>
        <v>0</v>
      </c>
      <c r="W344" s="241">
        <f>W143</f>
        <v>0</v>
      </c>
      <c r="Y344" s="241">
        <f>Y143</f>
        <v>0</v>
      </c>
      <c r="Z344" s="241">
        <f>Z143</f>
        <v>0</v>
      </c>
      <c r="AA344" s="241"/>
      <c r="AB344" s="241">
        <f>AB143</f>
        <v>0</v>
      </c>
      <c r="AC344" s="241">
        <f>AC143</f>
        <v>0</v>
      </c>
      <c r="AD344" s="241"/>
      <c r="AE344" s="241">
        <f>AE143</f>
        <v>0</v>
      </c>
      <c r="AF344" s="241">
        <f>AF143</f>
        <v>0</v>
      </c>
      <c r="AH344" s="241">
        <f>AH143</f>
        <v>0</v>
      </c>
      <c r="AI344" s="241">
        <f>AI143</f>
        <v>0</v>
      </c>
      <c r="AJ344" s="241"/>
      <c r="AK344" s="241">
        <f>AK143</f>
        <v>0</v>
      </c>
      <c r="AL344" s="241">
        <f>AL143</f>
        <v>0</v>
      </c>
      <c r="AM344" s="241"/>
      <c r="AN344" s="241">
        <f>AN143</f>
        <v>0</v>
      </c>
      <c r="AO344" s="241">
        <f>AO143</f>
        <v>0</v>
      </c>
      <c r="AQ344" s="241">
        <f>AQ143</f>
        <v>0</v>
      </c>
      <c r="AR344" s="241">
        <f>AR143</f>
        <v>0</v>
      </c>
      <c r="AS344" s="241"/>
      <c r="AT344" s="241">
        <f>AT143</f>
        <v>0</v>
      </c>
      <c r="AU344" s="241">
        <f>AU143</f>
        <v>0</v>
      </c>
      <c r="AW344" s="241">
        <f>AW143</f>
        <v>0</v>
      </c>
      <c r="AX344" s="241">
        <f>AX143</f>
        <v>0</v>
      </c>
      <c r="AZ344" s="241">
        <f>AZ143</f>
        <v>0</v>
      </c>
      <c r="BA344" s="241">
        <f>BA143</f>
        <v>0</v>
      </c>
      <c r="BB344" s="241"/>
      <c r="BC344" s="241">
        <f>BC143</f>
        <v>0</v>
      </c>
      <c r="BD344" s="241">
        <f>BD143</f>
        <v>0</v>
      </c>
      <c r="BE344" s="241"/>
      <c r="BF344" s="241">
        <f>BF143</f>
        <v>0</v>
      </c>
      <c r="BG344" s="241">
        <f>BG143</f>
        <v>0</v>
      </c>
      <c r="BI344" s="241">
        <f>BI143</f>
        <v>0</v>
      </c>
      <c r="BJ344" s="241">
        <f>BJ143</f>
        <v>0</v>
      </c>
      <c r="BK344" s="241"/>
      <c r="BL344" s="241">
        <f>BL143</f>
        <v>0</v>
      </c>
      <c r="BM344" s="241">
        <f>BM143</f>
        <v>0</v>
      </c>
      <c r="BN344" s="241"/>
      <c r="BO344" s="241">
        <f>BO143</f>
        <v>0</v>
      </c>
      <c r="BP344" s="241">
        <f>BP143</f>
        <v>0</v>
      </c>
      <c r="BR344" s="241">
        <f>BR143</f>
        <v>0</v>
      </c>
      <c r="BS344" s="241">
        <f>BS143</f>
        <v>0</v>
      </c>
      <c r="BT344" s="241"/>
      <c r="BU344" s="241">
        <f>BU143</f>
        <v>0</v>
      </c>
      <c r="BV344" s="241">
        <f>BV143</f>
        <v>0</v>
      </c>
      <c r="BW344" s="241"/>
      <c r="BX344" s="241">
        <f>BX143</f>
        <v>0</v>
      </c>
      <c r="BY344" s="241">
        <f>BY143</f>
        <v>0</v>
      </c>
      <c r="CA344" s="241">
        <f>CA143</f>
        <v>0</v>
      </c>
      <c r="CB344" s="241">
        <f>CB143</f>
        <v>0</v>
      </c>
      <c r="CC344" s="241"/>
      <c r="CD344" s="241">
        <f>CD143</f>
        <v>0</v>
      </c>
      <c r="CE344" s="241">
        <f>CE143</f>
        <v>0</v>
      </c>
      <c r="CF344" s="241"/>
      <c r="CG344" s="241">
        <f>CG143</f>
        <v>0</v>
      </c>
      <c r="CH344" s="241">
        <f>CH143</f>
        <v>0</v>
      </c>
      <c r="CJ344" s="241">
        <f>CJ143</f>
        <v>0</v>
      </c>
      <c r="CK344" s="241">
        <f>CK143</f>
        <v>0</v>
      </c>
      <c r="DE344" s="241">
        <f>DE143</f>
        <v>77</v>
      </c>
      <c r="DF344" s="241">
        <f>DF143</f>
        <v>0</v>
      </c>
    </row>
    <row r="345" spans="1:110" ht="45" x14ac:dyDescent="0.25">
      <c r="A345" s="167"/>
      <c r="B345" s="167" t="s">
        <v>431</v>
      </c>
      <c r="C345" s="6" t="s">
        <v>2803</v>
      </c>
      <c r="D345" s="6" t="s">
        <v>950</v>
      </c>
      <c r="E345" s="12"/>
      <c r="F345" s="35"/>
      <c r="G345" s="35"/>
      <c r="H345" s="35"/>
      <c r="I345" s="35">
        <f>I146</f>
        <v>31</v>
      </c>
      <c r="J345" s="35">
        <f>J146</f>
        <v>310</v>
      </c>
      <c r="K345" s="35">
        <f>K146</f>
        <v>226</v>
      </c>
      <c r="L345" s="35">
        <f>L146</f>
        <v>24</v>
      </c>
      <c r="M345" s="20"/>
      <c r="N345" s="241">
        <f>N146</f>
        <v>226</v>
      </c>
      <c r="O345" s="241">
        <f>O146</f>
        <v>0</v>
      </c>
      <c r="P345" s="241">
        <f>P146</f>
        <v>0</v>
      </c>
      <c r="Q345" s="241">
        <f>Q146</f>
        <v>0</v>
      </c>
      <c r="S345" s="241">
        <f>S146</f>
        <v>0</v>
      </c>
      <c r="T345" s="241">
        <f>T146</f>
        <v>0</v>
      </c>
      <c r="V345" s="241">
        <f>V146</f>
        <v>0</v>
      </c>
      <c r="W345" s="241">
        <f>W146</f>
        <v>0</v>
      </c>
      <c r="Y345" s="241">
        <f>Y146</f>
        <v>0</v>
      </c>
      <c r="Z345" s="241">
        <f>Z146</f>
        <v>0</v>
      </c>
      <c r="AA345" s="241"/>
      <c r="AB345" s="241">
        <f>AB146</f>
        <v>0</v>
      </c>
      <c r="AC345" s="241">
        <f>AC146</f>
        <v>0</v>
      </c>
      <c r="AD345" s="241"/>
      <c r="AE345" s="241">
        <f>AE146</f>
        <v>0</v>
      </c>
      <c r="AF345" s="241">
        <f>AF146</f>
        <v>0</v>
      </c>
      <c r="AH345" s="241">
        <f>AH146</f>
        <v>0</v>
      </c>
      <c r="AI345" s="241">
        <f>AI146</f>
        <v>0</v>
      </c>
      <c r="AJ345" s="241"/>
      <c r="AK345" s="241">
        <f>AK146</f>
        <v>0</v>
      </c>
      <c r="AL345" s="241">
        <f>AL146</f>
        <v>0</v>
      </c>
      <c r="AM345" s="241"/>
      <c r="AN345" s="241">
        <f>AN146</f>
        <v>0</v>
      </c>
      <c r="AO345" s="241">
        <f>AO146</f>
        <v>0</v>
      </c>
      <c r="AQ345" s="241">
        <f>AQ146</f>
        <v>0</v>
      </c>
      <c r="AR345" s="241">
        <f>AR146</f>
        <v>0</v>
      </c>
      <c r="AS345" s="241"/>
      <c r="AT345" s="241">
        <f>AT146</f>
        <v>0</v>
      </c>
      <c r="AU345" s="241">
        <f>AU146</f>
        <v>0</v>
      </c>
      <c r="AW345" s="241">
        <f>AW146</f>
        <v>0</v>
      </c>
      <c r="AX345" s="241">
        <f>AX146</f>
        <v>0</v>
      </c>
      <c r="AZ345" s="241">
        <f>AZ146</f>
        <v>0</v>
      </c>
      <c r="BA345" s="241">
        <f>BA146</f>
        <v>0</v>
      </c>
      <c r="BB345" s="241"/>
      <c r="BC345" s="241">
        <f>BC146</f>
        <v>0</v>
      </c>
      <c r="BD345" s="241">
        <f>BD146</f>
        <v>0</v>
      </c>
      <c r="BE345" s="241"/>
      <c r="BF345" s="241">
        <f>BF146</f>
        <v>0</v>
      </c>
      <c r="BG345" s="241">
        <f>BG146</f>
        <v>0</v>
      </c>
      <c r="BI345" s="241">
        <f>BI146</f>
        <v>0</v>
      </c>
      <c r="BJ345" s="241">
        <f>BJ146</f>
        <v>0</v>
      </c>
      <c r="BK345" s="241"/>
      <c r="BL345" s="241">
        <f>BL146</f>
        <v>0</v>
      </c>
      <c r="BM345" s="241">
        <f>BM146</f>
        <v>0</v>
      </c>
      <c r="BN345" s="241"/>
      <c r="BO345" s="241">
        <f>BO146</f>
        <v>0</v>
      </c>
      <c r="BP345" s="241">
        <f>BP146</f>
        <v>0</v>
      </c>
      <c r="BR345" s="241">
        <f>BR146</f>
        <v>0</v>
      </c>
      <c r="BS345" s="241">
        <f>BS146</f>
        <v>0</v>
      </c>
      <c r="BT345" s="241"/>
      <c r="BU345" s="241">
        <f>BU146</f>
        <v>0</v>
      </c>
      <c r="BV345" s="241">
        <f>BV146</f>
        <v>0</v>
      </c>
      <c r="BW345" s="241"/>
      <c r="BX345" s="241">
        <f>BX146</f>
        <v>0</v>
      </c>
      <c r="BY345" s="241">
        <f>BY146</f>
        <v>0</v>
      </c>
      <c r="CA345" s="241">
        <f>CA146</f>
        <v>0</v>
      </c>
      <c r="CB345" s="241">
        <f>CB146</f>
        <v>0</v>
      </c>
      <c r="CC345" s="241"/>
      <c r="CD345" s="241">
        <f>CD146</f>
        <v>0</v>
      </c>
      <c r="CE345" s="241">
        <f>CE146</f>
        <v>0</v>
      </c>
      <c r="CF345" s="241"/>
      <c r="CG345" s="241">
        <f>CG146</f>
        <v>0</v>
      </c>
      <c r="CH345" s="241">
        <f>CH146</f>
        <v>0</v>
      </c>
      <c r="CJ345" s="241">
        <f>CJ146</f>
        <v>0</v>
      </c>
      <c r="CK345" s="241">
        <f>CK146</f>
        <v>0</v>
      </c>
      <c r="DE345" s="241">
        <f>DE146</f>
        <v>226</v>
      </c>
      <c r="DF345" s="241">
        <f>DF146</f>
        <v>0</v>
      </c>
    </row>
    <row r="346" spans="1:110" ht="75" x14ac:dyDescent="0.25">
      <c r="A346" s="168"/>
      <c r="B346" s="16" t="s">
        <v>398</v>
      </c>
      <c r="C346" s="6" t="s">
        <v>2985</v>
      </c>
      <c r="D346" s="6" t="s">
        <v>950</v>
      </c>
      <c r="E346" s="12"/>
      <c r="F346" s="35"/>
      <c r="G346" s="35"/>
      <c r="H346" s="35"/>
      <c r="I346" s="130">
        <v>0</v>
      </c>
      <c r="J346" s="130">
        <v>9.9024999999999999</v>
      </c>
      <c r="K346" s="130">
        <f>76.4+4.5</f>
        <v>80.900000000000006</v>
      </c>
      <c r="L346" s="130">
        <v>77</v>
      </c>
      <c r="M346" s="20"/>
      <c r="N346" s="241">
        <f>P346+S346+V346+Y346+AB346+AE346+AH346+AK346+AN346+AQ346+AW346+AZ346+BC346+BF346+BI346+BL346+BO346+BR346+BU346+BX346+CA346+CD346+CG346+CJ346+AT346+DE346</f>
        <v>80.900000000000006</v>
      </c>
      <c r="O346" s="241">
        <f t="shared" ref="O346:O347" si="1080">Q346+T346+W346+Z346+AC346+AF346+AI346+AL346+AO346+AR346+AX346+BA346+BD346+BG346+BJ346+BM346+BP346+BS346+BV346+BY346+CB346+CE346+CH346+CK346+AU346+DF346</f>
        <v>0</v>
      </c>
      <c r="DE346">
        <f>76.4+4.5</f>
        <v>80.900000000000006</v>
      </c>
    </row>
    <row r="347" spans="1:110" ht="75" x14ac:dyDescent="0.25">
      <c r="A347" s="168"/>
      <c r="B347" s="16" t="s">
        <v>432</v>
      </c>
      <c r="C347" s="6" t="s">
        <v>2986</v>
      </c>
      <c r="D347" s="6" t="s">
        <v>950</v>
      </c>
      <c r="E347" s="12"/>
      <c r="F347" s="35"/>
      <c r="G347" s="35"/>
      <c r="H347" s="35"/>
      <c r="I347" s="130">
        <v>0</v>
      </c>
      <c r="J347" s="130">
        <v>0</v>
      </c>
      <c r="K347" s="130">
        <v>1.1000000000000001</v>
      </c>
      <c r="L347" s="130">
        <v>0</v>
      </c>
      <c r="N347" s="241">
        <f t="shared" ref="N347" si="1081">P347+S347+V347+Y347+AB347+AE347+AH347+AK347+AN347+AQ347+AW347+AZ347+BC347+BF347+BI347+BL347+BO347+BR347+BU347+BX347+CA347+CD347+CG347+CJ347+AT347+DE347</f>
        <v>1.1000000000000001</v>
      </c>
      <c r="O347" s="241">
        <f t="shared" si="1080"/>
        <v>0</v>
      </c>
      <c r="DE347">
        <v>1.1000000000000001</v>
      </c>
    </row>
    <row r="348" spans="1:110" ht="75" x14ac:dyDescent="0.25">
      <c r="A348" s="42" t="s">
        <v>357</v>
      </c>
      <c r="B348" s="43" t="s">
        <v>434</v>
      </c>
      <c r="C348" s="42"/>
      <c r="D348" s="42" t="s">
        <v>8</v>
      </c>
      <c r="E348" s="45" t="e">
        <f>(((E349+E350+E351+E352)/(E353+E354+E355+E356))/12*1000)/E357*100</f>
        <v>#DIV/0!</v>
      </c>
      <c r="F348" s="45">
        <v>106.5</v>
      </c>
      <c r="G348" s="45">
        <v>109.9</v>
      </c>
      <c r="H348" s="45">
        <v>109.14</v>
      </c>
      <c r="I348" s="45">
        <v>106.17</v>
      </c>
      <c r="J348" s="45">
        <v>102.84</v>
      </c>
      <c r="K348" s="45">
        <v>106.35</v>
      </c>
      <c r="L348" s="45">
        <v>101.94</v>
      </c>
      <c r="M348" s="3" t="s">
        <v>23</v>
      </c>
    </row>
    <row r="349" spans="1:110" ht="30" x14ac:dyDescent="0.25">
      <c r="A349" s="419"/>
      <c r="B349" s="419" t="s">
        <v>435</v>
      </c>
      <c r="C349" s="6" t="s">
        <v>436</v>
      </c>
      <c r="D349" s="6" t="s">
        <v>1114</v>
      </c>
      <c r="E349" s="12"/>
      <c r="F349" s="12"/>
      <c r="G349" s="12"/>
      <c r="H349" s="12"/>
      <c r="I349" s="12"/>
      <c r="J349" s="12"/>
      <c r="K349" s="12"/>
      <c r="L349" s="12"/>
      <c r="M349" s="20"/>
    </row>
    <row r="350" spans="1:110" ht="30" x14ac:dyDescent="0.25">
      <c r="A350" s="420"/>
      <c r="B350" s="420"/>
      <c r="C350" s="6" t="s">
        <v>437</v>
      </c>
      <c r="D350" s="6" t="s">
        <v>1114</v>
      </c>
      <c r="E350" s="12"/>
      <c r="F350" s="12"/>
      <c r="G350" s="12"/>
      <c r="H350" s="12"/>
      <c r="I350" s="12"/>
      <c r="J350" s="12"/>
      <c r="K350" s="12"/>
      <c r="L350" s="12"/>
    </row>
    <row r="351" spans="1:110" ht="30" x14ac:dyDescent="0.25">
      <c r="A351" s="420"/>
      <c r="B351" s="420"/>
      <c r="C351" s="6" t="s">
        <v>438</v>
      </c>
      <c r="D351" s="6" t="s">
        <v>1114</v>
      </c>
      <c r="E351" s="12"/>
      <c r="F351" s="12"/>
      <c r="G351" s="12"/>
      <c r="H351" s="12"/>
      <c r="I351" s="12"/>
      <c r="J351" s="12"/>
      <c r="K351" s="12"/>
      <c r="L351" s="12"/>
    </row>
    <row r="352" spans="1:110" ht="30" x14ac:dyDescent="0.25">
      <c r="A352" s="421"/>
      <c r="B352" s="421"/>
      <c r="C352" s="6" t="s">
        <v>439</v>
      </c>
      <c r="D352" s="6" t="s">
        <v>1114</v>
      </c>
      <c r="E352" s="12"/>
      <c r="F352" s="12"/>
      <c r="G352" s="12"/>
      <c r="H352" s="12"/>
      <c r="I352" s="12"/>
      <c r="J352" s="12"/>
      <c r="K352" s="12"/>
      <c r="L352" s="12"/>
    </row>
    <row r="353" spans="1:110" ht="30" x14ac:dyDescent="0.25">
      <c r="A353" s="419"/>
      <c r="B353" s="419" t="s">
        <v>440</v>
      </c>
      <c r="C353" s="6" t="s">
        <v>441</v>
      </c>
      <c r="D353" s="37" t="s">
        <v>950</v>
      </c>
      <c r="E353" s="12"/>
      <c r="F353" s="12"/>
      <c r="G353" s="12"/>
      <c r="H353" s="12"/>
      <c r="I353" s="12"/>
      <c r="J353" s="12"/>
      <c r="K353" s="12"/>
      <c r="L353" s="12"/>
      <c r="M353" s="20"/>
    </row>
    <row r="354" spans="1:110" ht="30" x14ac:dyDescent="0.25">
      <c r="A354" s="420"/>
      <c r="B354" s="420"/>
      <c r="C354" s="6" t="s">
        <v>442</v>
      </c>
      <c r="D354" s="37" t="s">
        <v>950</v>
      </c>
      <c r="E354" s="12"/>
      <c r="F354" s="12"/>
      <c r="G354" s="12"/>
      <c r="H354" s="12"/>
      <c r="I354" s="12"/>
      <c r="J354" s="12"/>
      <c r="K354" s="12"/>
      <c r="L354" s="12"/>
    </row>
    <row r="355" spans="1:110" ht="30" x14ac:dyDescent="0.25">
      <c r="A355" s="420"/>
      <c r="B355" s="420"/>
      <c r="C355" s="6" t="s">
        <v>443</v>
      </c>
      <c r="D355" s="37" t="s">
        <v>950</v>
      </c>
      <c r="E355" s="12"/>
      <c r="F355" s="12"/>
      <c r="G355" s="12"/>
      <c r="H355" s="12"/>
      <c r="I355" s="12"/>
      <c r="J355" s="12"/>
      <c r="K355" s="12"/>
      <c r="L355" s="12"/>
    </row>
    <row r="356" spans="1:110" ht="30" x14ac:dyDescent="0.25">
      <c r="A356" s="421"/>
      <c r="B356" s="421"/>
      <c r="C356" s="6" t="s">
        <v>444</v>
      </c>
      <c r="D356" s="37" t="s">
        <v>950</v>
      </c>
      <c r="E356" s="12"/>
      <c r="F356" s="12"/>
      <c r="G356" s="12"/>
      <c r="H356" s="12"/>
      <c r="I356" s="12"/>
      <c r="J356" s="12"/>
      <c r="K356" s="12"/>
      <c r="L356" s="12"/>
    </row>
    <row r="357" spans="1:110" ht="30" x14ac:dyDescent="0.25">
      <c r="A357" s="18"/>
      <c r="B357" s="16" t="s">
        <v>445</v>
      </c>
      <c r="C357" s="6" t="s">
        <v>178</v>
      </c>
      <c r="D357" s="6" t="s">
        <v>1114</v>
      </c>
      <c r="E357" s="12"/>
      <c r="F357" s="12"/>
      <c r="G357" s="12"/>
      <c r="H357" s="12"/>
      <c r="I357" s="12"/>
      <c r="J357" s="12"/>
      <c r="K357" s="12"/>
      <c r="L357" s="12"/>
    </row>
    <row r="358" spans="1:110" ht="45" hidden="1" x14ac:dyDescent="0.25">
      <c r="A358" s="172" t="s">
        <v>446</v>
      </c>
      <c r="B358" s="171" t="s">
        <v>1453</v>
      </c>
      <c r="C358" s="172"/>
      <c r="D358" s="172" t="s">
        <v>8</v>
      </c>
      <c r="E358" s="173"/>
      <c r="F358" s="173"/>
      <c r="G358" s="173"/>
      <c r="H358" s="173"/>
      <c r="I358" s="173"/>
      <c r="J358" s="173"/>
      <c r="K358" s="173"/>
      <c r="L358" s="173"/>
      <c r="M358" s="3" t="s">
        <v>94</v>
      </c>
    </row>
    <row r="359" spans="1:110" ht="75" hidden="1" x14ac:dyDescent="0.25">
      <c r="A359" s="172" t="s">
        <v>447</v>
      </c>
      <c r="B359" s="171" t="s">
        <v>1454</v>
      </c>
      <c r="C359" s="172"/>
      <c r="D359" s="172" t="s">
        <v>8</v>
      </c>
      <c r="E359" s="173"/>
      <c r="F359" s="173"/>
      <c r="G359" s="173"/>
      <c r="H359" s="173"/>
      <c r="I359" s="173"/>
      <c r="J359" s="173"/>
      <c r="K359" s="173"/>
      <c r="L359" s="173"/>
      <c r="M359" s="3" t="s">
        <v>94</v>
      </c>
    </row>
    <row r="360" spans="1:110" ht="90" hidden="1" x14ac:dyDescent="0.25">
      <c r="A360" s="172" t="s">
        <v>1455</v>
      </c>
      <c r="B360" s="171" t="s">
        <v>1456</v>
      </c>
      <c r="C360" s="172"/>
      <c r="D360" s="172" t="s">
        <v>8</v>
      </c>
      <c r="E360" s="173" t="e">
        <f t="shared" ref="E360:K360" si="1082">E361/E362</f>
        <v>#DIV/0!</v>
      </c>
      <c r="F360" s="173" t="e">
        <f t="shared" si="1082"/>
        <v>#DIV/0!</v>
      </c>
      <c r="G360" s="173" t="e">
        <f t="shared" si="1082"/>
        <v>#DIV/0!</v>
      </c>
      <c r="H360" s="173" t="e">
        <f t="shared" si="1082"/>
        <v>#DIV/0!</v>
      </c>
      <c r="I360" s="173" t="e">
        <f t="shared" si="1082"/>
        <v>#DIV/0!</v>
      </c>
      <c r="J360" s="173" t="e">
        <f t="shared" si="1082"/>
        <v>#DIV/0!</v>
      </c>
      <c r="K360" s="173" t="e">
        <f t="shared" si="1082"/>
        <v>#DIV/0!</v>
      </c>
      <c r="L360" s="173" t="e">
        <f t="shared" ref="L360" si="1083">L361/L362</f>
        <v>#DIV/0!</v>
      </c>
    </row>
    <row r="361" spans="1:110" ht="45" hidden="1" x14ac:dyDescent="0.25">
      <c r="A361" s="121"/>
      <c r="B361" s="16" t="s">
        <v>1457</v>
      </c>
      <c r="C361" s="6"/>
      <c r="D361" s="6" t="s">
        <v>950</v>
      </c>
      <c r="E361" s="12"/>
      <c r="F361" s="12"/>
      <c r="G361" s="12"/>
      <c r="H361" s="12"/>
      <c r="I361" s="12"/>
      <c r="J361" s="12"/>
      <c r="K361" s="12"/>
      <c r="L361" s="12"/>
    </row>
    <row r="362" spans="1:110" ht="45" hidden="1" x14ac:dyDescent="0.25">
      <c r="A362" s="121"/>
      <c r="B362" s="16" t="s">
        <v>1458</v>
      </c>
      <c r="C362" s="6"/>
      <c r="D362" s="6" t="s">
        <v>950</v>
      </c>
      <c r="E362" s="12"/>
      <c r="F362" s="12"/>
      <c r="G362" s="12"/>
      <c r="H362" s="12"/>
      <c r="I362" s="12"/>
      <c r="J362" s="12"/>
      <c r="K362" s="12"/>
      <c r="L362" s="12"/>
    </row>
    <row r="363" spans="1:110" ht="90" hidden="1" x14ac:dyDescent="0.25">
      <c r="A363" s="172" t="s">
        <v>1459</v>
      </c>
      <c r="B363" s="171" t="s">
        <v>1460</v>
      </c>
      <c r="C363" s="172"/>
      <c r="D363" s="172" t="s">
        <v>8</v>
      </c>
      <c r="E363" s="173" t="e">
        <f t="shared" ref="E363:K363" si="1084">E364/E365</f>
        <v>#DIV/0!</v>
      </c>
      <c r="F363" s="173" t="e">
        <f t="shared" si="1084"/>
        <v>#DIV/0!</v>
      </c>
      <c r="G363" s="173" t="e">
        <f t="shared" si="1084"/>
        <v>#DIV/0!</v>
      </c>
      <c r="H363" s="173" t="e">
        <f t="shared" si="1084"/>
        <v>#DIV/0!</v>
      </c>
      <c r="I363" s="173" t="e">
        <f t="shared" si="1084"/>
        <v>#DIV/0!</v>
      </c>
      <c r="J363" s="173" t="e">
        <f t="shared" si="1084"/>
        <v>#DIV/0!</v>
      </c>
      <c r="K363" s="173" t="e">
        <f t="shared" si="1084"/>
        <v>#DIV/0!</v>
      </c>
      <c r="L363" s="173" t="e">
        <f t="shared" ref="L363" si="1085">L364/L365</f>
        <v>#DIV/0!</v>
      </c>
    </row>
    <row r="364" spans="1:110" ht="45" hidden="1" x14ac:dyDescent="0.25">
      <c r="A364" s="121"/>
      <c r="B364" s="16" t="s">
        <v>1461</v>
      </c>
      <c r="C364" s="6"/>
      <c r="D364" s="6" t="s">
        <v>950</v>
      </c>
      <c r="E364" s="12"/>
      <c r="F364" s="12"/>
      <c r="G364" s="12"/>
      <c r="H364" s="12"/>
      <c r="I364" s="12"/>
      <c r="J364" s="12"/>
      <c r="K364" s="12"/>
      <c r="L364" s="12"/>
    </row>
    <row r="365" spans="1:110" ht="45" hidden="1" x14ac:dyDescent="0.25">
      <c r="A365" s="121"/>
      <c r="B365" s="16" t="s">
        <v>1462</v>
      </c>
      <c r="C365" s="6"/>
      <c r="D365" s="6" t="s">
        <v>950</v>
      </c>
      <c r="E365" s="12"/>
      <c r="F365" s="12"/>
      <c r="G365" s="12"/>
      <c r="H365" s="12"/>
      <c r="I365" s="12"/>
      <c r="J365" s="12"/>
      <c r="K365" s="12"/>
      <c r="L365" s="12"/>
    </row>
    <row r="366" spans="1:110" ht="105" x14ac:dyDescent="0.25">
      <c r="A366" s="79" t="s">
        <v>413</v>
      </c>
      <c r="B366" s="97" t="s">
        <v>1744</v>
      </c>
      <c r="C366" s="42"/>
      <c r="D366" s="42" t="s">
        <v>8</v>
      </c>
      <c r="E366" s="49"/>
      <c r="F366" s="49"/>
      <c r="G366" s="49"/>
      <c r="H366" s="49"/>
      <c r="I366" s="49"/>
      <c r="J366" s="49"/>
      <c r="K366" s="49"/>
      <c r="L366" s="49"/>
    </row>
    <row r="367" spans="1:110" x14ac:dyDescent="0.25">
      <c r="A367" s="79"/>
      <c r="B367" s="46" t="s">
        <v>1182</v>
      </c>
      <c r="C367" s="42"/>
      <c r="D367" s="42" t="s">
        <v>8</v>
      </c>
      <c r="E367" s="49"/>
      <c r="F367" s="49"/>
      <c r="G367" s="49"/>
      <c r="H367" s="49"/>
      <c r="I367" s="45">
        <f t="shared" ref="I367:K368" si="1086">I370/I373*100</f>
        <v>13.551401869158877</v>
      </c>
      <c r="J367" s="45">
        <f t="shared" si="1086"/>
        <v>9.393638170974155</v>
      </c>
      <c r="K367" s="45">
        <f t="shared" si="1086"/>
        <v>10.61293984108967</v>
      </c>
      <c r="L367" s="45">
        <f t="shared" ref="L367" si="1087">L370/L373*100</f>
        <v>12.947103274559193</v>
      </c>
      <c r="N367" s="45">
        <f t="shared" ref="N367:P368" si="1088">N370/N373*100</f>
        <v>7.5482406356413163</v>
      </c>
      <c r="O367" s="45" t="e">
        <f t="shared" si="1088"/>
        <v>#DIV/0!</v>
      </c>
      <c r="P367" s="45">
        <f t="shared" ref="P367:Q367" si="1089">P370/P373*100</f>
        <v>0</v>
      </c>
      <c r="Q367" s="45" t="e">
        <f t="shared" si="1089"/>
        <v>#DIV/0!</v>
      </c>
      <c r="S367" s="45">
        <f t="shared" ref="S367:T368" si="1090">S370/S373*100</f>
        <v>0.67114093959731547</v>
      </c>
      <c r="T367" s="45" t="e">
        <f t="shared" si="1090"/>
        <v>#DIV/0!</v>
      </c>
      <c r="V367" s="45">
        <f t="shared" ref="V367:W367" si="1091">V370/V373*100</f>
        <v>0</v>
      </c>
      <c r="W367" s="45" t="e">
        <f t="shared" si="1091"/>
        <v>#DIV/0!</v>
      </c>
      <c r="Y367" s="45">
        <f t="shared" ref="Y367:Z368" si="1092">Y370/Y373*100</f>
        <v>19.634703196347029</v>
      </c>
      <c r="Z367" s="45" t="e">
        <f t="shared" si="1092"/>
        <v>#DIV/0!</v>
      </c>
      <c r="AA367" s="241"/>
      <c r="AB367" s="45">
        <f t="shared" ref="AB367:AC367" si="1093">AB370/AB373*100</f>
        <v>0</v>
      </c>
      <c r="AC367" s="45" t="e">
        <f t="shared" si="1093"/>
        <v>#DIV/0!</v>
      </c>
      <c r="AD367" s="241"/>
      <c r="AE367" s="45">
        <f t="shared" ref="AE367:AF367" si="1094">AE370/AE373*100</f>
        <v>0</v>
      </c>
      <c r="AF367" s="45" t="e">
        <f t="shared" si="1094"/>
        <v>#DIV/0!</v>
      </c>
      <c r="AH367" s="45">
        <f t="shared" ref="AH367:AI367" si="1095">AH370/AH373*100</f>
        <v>0</v>
      </c>
      <c r="AI367" s="45" t="e">
        <f t="shared" si="1095"/>
        <v>#DIV/0!</v>
      </c>
      <c r="AJ367" s="241"/>
      <c r="AK367" s="45">
        <f t="shared" ref="AK367:AL367" si="1096">AK370/AK373*100</f>
        <v>0</v>
      </c>
      <c r="AL367" s="45" t="e">
        <f t="shared" si="1096"/>
        <v>#DIV/0!</v>
      </c>
      <c r="AM367" s="241"/>
      <c r="AN367" s="45">
        <f t="shared" ref="AN367:AO367" si="1097">AN370/AN373*100</f>
        <v>34.482758620689658</v>
      </c>
      <c r="AO367" s="45" t="e">
        <f t="shared" si="1097"/>
        <v>#DIV/0!</v>
      </c>
      <c r="AQ367" s="45">
        <f t="shared" ref="AQ367:AR367" si="1098">AQ370/AQ373*100</f>
        <v>12.280701754385964</v>
      </c>
      <c r="AR367" s="45" t="e">
        <f t="shared" si="1098"/>
        <v>#DIV/0!</v>
      </c>
      <c r="AS367" s="241"/>
      <c r="AT367" s="45">
        <f t="shared" ref="AT367:AU367" si="1099">AT370/AT373*100</f>
        <v>0</v>
      </c>
      <c r="AU367" s="45" t="e">
        <f t="shared" si="1099"/>
        <v>#DIV/0!</v>
      </c>
      <c r="AW367" s="45">
        <f t="shared" ref="AW367:AX367" si="1100">AW370/AW373*100</f>
        <v>27.27272727272727</v>
      </c>
      <c r="AX367" s="45" t="e">
        <f t="shared" si="1100"/>
        <v>#DIV/0!</v>
      </c>
      <c r="AZ367" s="45">
        <f t="shared" ref="AZ367:BA367" si="1101">AZ370/AZ373*100</f>
        <v>3.3333333333333335</v>
      </c>
      <c r="BA367" s="45" t="e">
        <f t="shared" si="1101"/>
        <v>#DIV/0!</v>
      </c>
      <c r="BB367" s="241"/>
      <c r="BC367" s="45">
        <f t="shared" ref="BC367:BD367" si="1102">BC370/BC373*100</f>
        <v>0</v>
      </c>
      <c r="BD367" s="45" t="e">
        <f t="shared" si="1102"/>
        <v>#DIV/0!</v>
      </c>
      <c r="BE367" s="241"/>
      <c r="BF367" s="45">
        <f t="shared" ref="BF367:BG367" si="1103">BF370/BF373*100</f>
        <v>25.333333333333336</v>
      </c>
      <c r="BG367" s="45" t="e">
        <f t="shared" si="1103"/>
        <v>#DIV/0!</v>
      </c>
      <c r="BI367" s="45">
        <f t="shared" ref="BI367:BJ367" si="1104">BI370/BI373*100</f>
        <v>11.76470588235294</v>
      </c>
      <c r="BJ367" s="45" t="e">
        <f t="shared" si="1104"/>
        <v>#DIV/0!</v>
      </c>
      <c r="BK367" s="241"/>
      <c r="BL367" s="45">
        <f t="shared" ref="BL367:BM367" si="1105">BL370/BL373*100</f>
        <v>0</v>
      </c>
      <c r="BM367" s="45" t="e">
        <f t="shared" si="1105"/>
        <v>#DIV/0!</v>
      </c>
      <c r="BN367" s="241"/>
      <c r="BO367" s="45">
        <f t="shared" ref="BO367:BP367" si="1106">BO370/BO373*100</f>
        <v>0</v>
      </c>
      <c r="BP367" s="45" t="e">
        <f t="shared" si="1106"/>
        <v>#DIV/0!</v>
      </c>
      <c r="BR367" s="45">
        <f t="shared" ref="BR367:BS367" si="1107">BR370/BR373*100</f>
        <v>0</v>
      </c>
      <c r="BS367" s="45" t="e">
        <f t="shared" si="1107"/>
        <v>#DIV/0!</v>
      </c>
      <c r="BT367" s="241"/>
      <c r="BU367" s="45">
        <f t="shared" ref="BU367:BV367" si="1108">BU370/BU373*100</f>
        <v>4.838709677419355</v>
      </c>
      <c r="BV367" s="45" t="e">
        <f t="shared" si="1108"/>
        <v>#DIV/0!</v>
      </c>
      <c r="BW367" s="241"/>
      <c r="BX367" s="45">
        <f t="shared" ref="BX367:BY367" si="1109">BX370/BX373*100</f>
        <v>1.9230769230769231</v>
      </c>
      <c r="BY367" s="45" t="e">
        <f t="shared" si="1109"/>
        <v>#DIV/0!</v>
      </c>
      <c r="CA367" s="45">
        <f t="shared" ref="CA367:CB367" si="1110">CA370/CA373*100</f>
        <v>31.818181818181817</v>
      </c>
      <c r="CB367" s="45" t="e">
        <f t="shared" si="1110"/>
        <v>#DIV/0!</v>
      </c>
      <c r="CC367" s="241"/>
      <c r="CD367" s="45">
        <f t="shared" ref="CD367:CE367" si="1111">CD370/CD373*100</f>
        <v>7.6923076923076925</v>
      </c>
      <c r="CE367" s="45" t="e">
        <f t="shared" si="1111"/>
        <v>#DIV/0!</v>
      </c>
      <c r="CF367" s="241"/>
      <c r="CG367" s="45">
        <f t="shared" ref="CG367:CH367" si="1112">CG370/CG373*100</f>
        <v>4.0540540540540544</v>
      </c>
      <c r="CH367" s="45" t="e">
        <f t="shared" si="1112"/>
        <v>#DIV/0!</v>
      </c>
      <c r="CJ367" s="45">
        <f t="shared" ref="CJ367:CK367" si="1113">CJ370/CJ373*100</f>
        <v>0</v>
      </c>
      <c r="CK367" s="45" t="e">
        <f t="shared" si="1113"/>
        <v>#DIV/0!</v>
      </c>
      <c r="CL367" s="241"/>
      <c r="CM367" s="45" t="e">
        <f t="shared" ref="CM367:CN367" si="1114">CM370/CM373*100</f>
        <v>#DIV/0!</v>
      </c>
      <c r="CN367" s="45" t="e">
        <f t="shared" si="1114"/>
        <v>#DIV/0!</v>
      </c>
      <c r="CO367" s="241"/>
      <c r="CP367" s="45" t="e">
        <f t="shared" ref="CP367:CQ367" si="1115">CP370/CP373*100</f>
        <v>#DIV/0!</v>
      </c>
      <c r="CQ367" s="45" t="e">
        <f t="shared" si="1115"/>
        <v>#DIV/0!</v>
      </c>
      <c r="CS367" s="45">
        <f t="shared" ref="CS367:CT367" si="1116">CS370/CS373*100</f>
        <v>0</v>
      </c>
      <c r="CT367" s="45" t="e">
        <f t="shared" si="1116"/>
        <v>#DIV/0!</v>
      </c>
      <c r="CU367" s="241"/>
      <c r="CV367" s="45">
        <f t="shared" ref="CV367:CW367" si="1117">CV370/CV373*100</f>
        <v>0</v>
      </c>
      <c r="CW367" s="45" t="e">
        <f t="shared" si="1117"/>
        <v>#DIV/0!</v>
      </c>
      <c r="CX367" s="241"/>
      <c r="CY367" s="45">
        <f t="shared" ref="CY367:CZ367" si="1118">CY370/CY373*100</f>
        <v>0</v>
      </c>
      <c r="CZ367" s="45" t="e">
        <f t="shared" si="1118"/>
        <v>#DIV/0!</v>
      </c>
      <c r="DB367" s="45">
        <f t="shared" ref="DB367:DC367" si="1119">DB370/DB373*100</f>
        <v>0</v>
      </c>
      <c r="DC367" s="45" t="e">
        <f t="shared" si="1119"/>
        <v>#DIV/0!</v>
      </c>
      <c r="DD367" s="241"/>
      <c r="DE367" s="45" t="e">
        <f t="shared" ref="DE367:DF367" si="1120">DE370/DE373*100</f>
        <v>#DIV/0!</v>
      </c>
      <c r="DF367" s="45" t="e">
        <f t="shared" si="1120"/>
        <v>#DIV/0!</v>
      </c>
    </row>
    <row r="368" spans="1:110" x14ac:dyDescent="0.25">
      <c r="A368" s="79"/>
      <c r="B368" s="46" t="s">
        <v>1184</v>
      </c>
      <c r="C368" s="42"/>
      <c r="D368" s="42" t="s">
        <v>8</v>
      </c>
      <c r="E368" s="49"/>
      <c r="F368" s="49"/>
      <c r="G368" s="49"/>
      <c r="H368" s="49"/>
      <c r="I368" s="45">
        <f t="shared" si="1086"/>
        <v>0</v>
      </c>
      <c r="J368" s="45">
        <f t="shared" si="1086"/>
        <v>26.984126984126984</v>
      </c>
      <c r="K368" s="45">
        <f t="shared" si="1086"/>
        <v>28.39506172839506</v>
      </c>
      <c r="L368" s="45">
        <f t="shared" ref="L368" si="1121">L371/L374*100</f>
        <v>19.685039370078741</v>
      </c>
      <c r="N368" s="45">
        <f t="shared" ref="N368" si="1122">N371/N374*100</f>
        <v>0</v>
      </c>
      <c r="O368" s="45" t="e">
        <f t="shared" si="1088"/>
        <v>#DIV/0!</v>
      </c>
      <c r="P368" s="45" t="e">
        <f t="shared" si="1088"/>
        <v>#DIV/0!</v>
      </c>
      <c r="Q368" s="45" t="e">
        <f t="shared" ref="Q368" si="1123">Q371/Q374*100</f>
        <v>#DIV/0!</v>
      </c>
      <c r="S368" s="45" t="e">
        <f t="shared" ref="S368" si="1124">S371/S374*100</f>
        <v>#DIV/0!</v>
      </c>
      <c r="T368" s="45" t="e">
        <f t="shared" si="1090"/>
        <v>#DIV/0!</v>
      </c>
      <c r="V368" s="45" t="e">
        <f t="shared" ref="V368:W368" si="1125">V371/V374*100</f>
        <v>#DIV/0!</v>
      </c>
      <c r="W368" s="45" t="e">
        <f t="shared" si="1125"/>
        <v>#DIV/0!</v>
      </c>
      <c r="Y368" s="45" t="e">
        <f t="shared" ref="Y368" si="1126">Y371/Y374*100</f>
        <v>#DIV/0!</v>
      </c>
      <c r="Z368" s="45" t="e">
        <f t="shared" si="1092"/>
        <v>#DIV/0!</v>
      </c>
      <c r="AA368" s="241"/>
      <c r="AB368" s="45" t="e">
        <f t="shared" ref="AB368:AC368" si="1127">AB371/AB374*100</f>
        <v>#DIV/0!</v>
      </c>
      <c r="AC368" s="45" t="e">
        <f t="shared" si="1127"/>
        <v>#DIV/0!</v>
      </c>
      <c r="AD368" s="241"/>
      <c r="AE368" s="45" t="e">
        <f t="shared" ref="AE368:AF368" si="1128">AE371/AE374*100</f>
        <v>#DIV/0!</v>
      </c>
      <c r="AF368" s="45" t="e">
        <f t="shared" si="1128"/>
        <v>#DIV/0!</v>
      </c>
      <c r="AH368" s="45" t="e">
        <f t="shared" ref="AH368:AI368" si="1129">AH371/AH374*100</f>
        <v>#DIV/0!</v>
      </c>
      <c r="AI368" s="45" t="e">
        <f t="shared" si="1129"/>
        <v>#DIV/0!</v>
      </c>
      <c r="AJ368" s="241"/>
      <c r="AK368" s="45" t="e">
        <f t="shared" ref="AK368:AL368" si="1130">AK371/AK374*100</f>
        <v>#DIV/0!</v>
      </c>
      <c r="AL368" s="45" t="e">
        <f t="shared" si="1130"/>
        <v>#DIV/0!</v>
      </c>
      <c r="AM368" s="241"/>
      <c r="AN368" s="45" t="e">
        <f t="shared" ref="AN368:AO368" si="1131">AN371/AN374*100</f>
        <v>#DIV/0!</v>
      </c>
      <c r="AO368" s="45" t="e">
        <f t="shared" si="1131"/>
        <v>#DIV/0!</v>
      </c>
      <c r="AQ368" s="45" t="e">
        <f t="shared" ref="AQ368:AR368" si="1132">AQ371/AQ374*100</f>
        <v>#DIV/0!</v>
      </c>
      <c r="AR368" s="45" t="e">
        <f t="shared" si="1132"/>
        <v>#DIV/0!</v>
      </c>
      <c r="AS368" s="241"/>
      <c r="AT368" s="45" t="e">
        <f t="shared" ref="AT368:AU368" si="1133">AT371/AT374*100</f>
        <v>#DIV/0!</v>
      </c>
      <c r="AU368" s="45" t="e">
        <f t="shared" si="1133"/>
        <v>#DIV/0!</v>
      </c>
      <c r="AW368" s="45" t="e">
        <f t="shared" ref="AW368:AX368" si="1134">AW371/AW374*100</f>
        <v>#DIV/0!</v>
      </c>
      <c r="AX368" s="45" t="e">
        <f t="shared" si="1134"/>
        <v>#DIV/0!</v>
      </c>
      <c r="AZ368" s="45" t="e">
        <f t="shared" ref="AZ368:BA368" si="1135">AZ371/AZ374*100</f>
        <v>#DIV/0!</v>
      </c>
      <c r="BA368" s="45" t="e">
        <f t="shared" si="1135"/>
        <v>#DIV/0!</v>
      </c>
      <c r="BB368" s="241"/>
      <c r="BC368" s="45" t="e">
        <f t="shared" ref="BC368:BD368" si="1136">BC371/BC374*100</f>
        <v>#DIV/0!</v>
      </c>
      <c r="BD368" s="45" t="e">
        <f t="shared" si="1136"/>
        <v>#DIV/0!</v>
      </c>
      <c r="BE368" s="241"/>
      <c r="BF368" s="45" t="e">
        <f t="shared" ref="BF368:BG368" si="1137">BF371/BF374*100</f>
        <v>#DIV/0!</v>
      </c>
      <c r="BG368" s="45" t="e">
        <f t="shared" si="1137"/>
        <v>#DIV/0!</v>
      </c>
      <c r="BI368" s="45" t="e">
        <f t="shared" ref="BI368:BJ368" si="1138">BI371/BI374*100</f>
        <v>#DIV/0!</v>
      </c>
      <c r="BJ368" s="45" t="e">
        <f t="shared" si="1138"/>
        <v>#DIV/0!</v>
      </c>
      <c r="BK368" s="241"/>
      <c r="BL368" s="45" t="e">
        <f t="shared" ref="BL368:BM368" si="1139">BL371/BL374*100</f>
        <v>#DIV/0!</v>
      </c>
      <c r="BM368" s="45" t="e">
        <f t="shared" si="1139"/>
        <v>#DIV/0!</v>
      </c>
      <c r="BN368" s="241"/>
      <c r="BO368" s="45" t="e">
        <f t="shared" ref="BO368:BP368" si="1140">BO371/BO374*100</f>
        <v>#DIV/0!</v>
      </c>
      <c r="BP368" s="45" t="e">
        <f t="shared" si="1140"/>
        <v>#DIV/0!</v>
      </c>
      <c r="BR368" s="45" t="e">
        <f t="shared" ref="BR368:BS368" si="1141">BR371/BR374*100</f>
        <v>#DIV/0!</v>
      </c>
      <c r="BS368" s="45" t="e">
        <f t="shared" si="1141"/>
        <v>#DIV/0!</v>
      </c>
      <c r="BT368" s="241"/>
      <c r="BU368" s="45" t="e">
        <f t="shared" ref="BU368:BV368" si="1142">BU371/BU374*100</f>
        <v>#DIV/0!</v>
      </c>
      <c r="BV368" s="45" t="e">
        <f t="shared" si="1142"/>
        <v>#DIV/0!</v>
      </c>
      <c r="BW368" s="241"/>
      <c r="BX368" s="45" t="e">
        <f t="shared" ref="BX368:BY368" si="1143">BX371/BX374*100</f>
        <v>#DIV/0!</v>
      </c>
      <c r="BY368" s="45" t="e">
        <f t="shared" si="1143"/>
        <v>#DIV/0!</v>
      </c>
      <c r="CA368" s="45" t="e">
        <f t="shared" ref="CA368:CB368" si="1144">CA371/CA374*100</f>
        <v>#DIV/0!</v>
      </c>
      <c r="CB368" s="45" t="e">
        <f t="shared" si="1144"/>
        <v>#DIV/0!</v>
      </c>
      <c r="CC368" s="241"/>
      <c r="CD368" s="45" t="e">
        <f t="shared" ref="CD368:CE368" si="1145">CD371/CD374*100</f>
        <v>#DIV/0!</v>
      </c>
      <c r="CE368" s="45" t="e">
        <f t="shared" si="1145"/>
        <v>#DIV/0!</v>
      </c>
      <c r="CF368" s="241"/>
      <c r="CG368" s="45" t="e">
        <f t="shared" ref="CG368:CH368" si="1146">CG371/CG374*100</f>
        <v>#DIV/0!</v>
      </c>
      <c r="CH368" s="45" t="e">
        <f t="shared" si="1146"/>
        <v>#DIV/0!</v>
      </c>
      <c r="CJ368" s="45" t="e">
        <f t="shared" ref="CJ368:CK368" si="1147">CJ371/CJ374*100</f>
        <v>#DIV/0!</v>
      </c>
      <c r="CK368" s="45" t="e">
        <f t="shared" si="1147"/>
        <v>#DIV/0!</v>
      </c>
      <c r="CL368" s="241"/>
      <c r="CM368" s="45" t="e">
        <f t="shared" ref="CM368:CN368" si="1148">CM371/CM374*100</f>
        <v>#DIV/0!</v>
      </c>
      <c r="CN368" s="45" t="e">
        <f t="shared" si="1148"/>
        <v>#DIV/0!</v>
      </c>
      <c r="CO368" s="241"/>
      <c r="CP368" s="45" t="e">
        <f t="shared" ref="CP368:CQ368" si="1149">CP371/CP374*100</f>
        <v>#DIV/0!</v>
      </c>
      <c r="CQ368" s="45" t="e">
        <f t="shared" si="1149"/>
        <v>#DIV/0!</v>
      </c>
      <c r="CS368" s="45" t="e">
        <f t="shared" ref="CS368:CT368" si="1150">CS371/CS374*100</f>
        <v>#DIV/0!</v>
      </c>
      <c r="CT368" s="45" t="e">
        <f t="shared" si="1150"/>
        <v>#DIV/0!</v>
      </c>
      <c r="CU368" s="241"/>
      <c r="CV368" s="45" t="e">
        <f t="shared" ref="CV368:CW368" si="1151">CV371/CV374*100</f>
        <v>#DIV/0!</v>
      </c>
      <c r="CW368" s="45" t="e">
        <f t="shared" si="1151"/>
        <v>#DIV/0!</v>
      </c>
      <c r="CX368" s="241"/>
      <c r="CY368" s="45" t="e">
        <f t="shared" ref="CY368:CZ368" si="1152">CY371/CY374*100</f>
        <v>#DIV/0!</v>
      </c>
      <c r="CZ368" s="45" t="e">
        <f t="shared" si="1152"/>
        <v>#DIV/0!</v>
      </c>
      <c r="DB368" s="45" t="e">
        <f t="shared" ref="DB368:DC368" si="1153">DB371/DB374*100</f>
        <v>#DIV/0!</v>
      </c>
      <c r="DC368" s="45" t="e">
        <f t="shared" si="1153"/>
        <v>#DIV/0!</v>
      </c>
      <c r="DD368" s="241"/>
      <c r="DE368" s="45">
        <f t="shared" ref="DE368:DF368" si="1154">DE371/DE374*100</f>
        <v>0</v>
      </c>
      <c r="DF368" s="45" t="e">
        <f t="shared" si="1154"/>
        <v>#DIV/0!</v>
      </c>
    </row>
    <row r="369" spans="1:110" s="89" customFormat="1" ht="45" x14ac:dyDescent="0.25">
      <c r="A369" s="174"/>
      <c r="B369" s="70" t="s">
        <v>2086</v>
      </c>
      <c r="C369" s="13"/>
      <c r="D369" s="13"/>
      <c r="E369" s="111"/>
      <c r="F369" s="111"/>
      <c r="G369" s="111"/>
      <c r="H369" s="111"/>
      <c r="I369" s="111"/>
      <c r="J369" s="111"/>
      <c r="K369" s="111"/>
      <c r="L369" s="111"/>
    </row>
    <row r="370" spans="1:110" s="89" customFormat="1" ht="30" x14ac:dyDescent="0.25">
      <c r="A370" s="174"/>
      <c r="B370" s="70" t="s">
        <v>1182</v>
      </c>
      <c r="C370" s="6" t="s">
        <v>2705</v>
      </c>
      <c r="D370" s="13" t="s">
        <v>950</v>
      </c>
      <c r="E370" s="111"/>
      <c r="F370" s="111"/>
      <c r="G370" s="111"/>
      <c r="H370" s="140"/>
      <c r="I370" s="140">
        <v>261</v>
      </c>
      <c r="J370" s="140">
        <v>189</v>
      </c>
      <c r="K370" s="140">
        <v>187</v>
      </c>
      <c r="L370" s="140">
        <v>257</v>
      </c>
      <c r="N370" s="241">
        <f>P370+S370+V370+Y370+AB370+AE370+AH370+AK370+AN370+AQ370+AW370+AZ370+BC370+BF370+BI370+BL370+BO370+BR370+BU370+BX370+CA370+CD370+CG370+CJ370+AT370+DE370</f>
        <v>133</v>
      </c>
      <c r="O370" s="241">
        <f t="shared" ref="O370:O371" si="1155">Q370+T370+W370+Z370+AC370+AF370+AI370+AL370+AO370+AR370+AX370+BA370+BD370+BG370+BJ370+BM370+BP370+BS370+BV370+BY370+CB370+CE370+CH370+CK370+AU370+DF370</f>
        <v>0</v>
      </c>
      <c r="P370" s="89">
        <v>0</v>
      </c>
      <c r="S370" s="89">
        <v>1</v>
      </c>
      <c r="V370" s="89">
        <v>0</v>
      </c>
      <c r="Y370" s="89">
        <v>43</v>
      </c>
      <c r="AB370" s="89">
        <v>0</v>
      </c>
      <c r="AE370" s="89">
        <v>0</v>
      </c>
      <c r="AH370" s="89">
        <v>0</v>
      </c>
      <c r="AK370" s="89">
        <v>0</v>
      </c>
      <c r="AN370" s="89">
        <v>10</v>
      </c>
      <c r="AQ370" s="89">
        <v>7</v>
      </c>
      <c r="AT370" s="89">
        <v>0</v>
      </c>
      <c r="AW370" s="89">
        <v>12</v>
      </c>
      <c r="AZ370" s="89">
        <v>3</v>
      </c>
      <c r="BC370" s="89">
        <v>0</v>
      </c>
      <c r="BF370" s="89">
        <v>19</v>
      </c>
      <c r="BI370" s="89">
        <v>8</v>
      </c>
      <c r="BL370" s="89">
        <v>0</v>
      </c>
      <c r="BO370" s="89">
        <v>0</v>
      </c>
      <c r="BR370" s="89">
        <v>0</v>
      </c>
      <c r="BU370" s="89">
        <v>3</v>
      </c>
      <c r="BX370" s="89">
        <v>1</v>
      </c>
      <c r="CA370" s="89">
        <v>21</v>
      </c>
      <c r="CD370" s="89">
        <v>2</v>
      </c>
      <c r="CG370" s="89">
        <v>3</v>
      </c>
      <c r="CJ370" s="89">
        <v>0</v>
      </c>
    </row>
    <row r="371" spans="1:110" s="89" customFormat="1" x14ac:dyDescent="0.25">
      <c r="A371" s="174"/>
      <c r="B371" s="70" t="s">
        <v>1184</v>
      </c>
      <c r="C371" s="13"/>
      <c r="D371" s="13" t="s">
        <v>950</v>
      </c>
      <c r="E371" s="111"/>
      <c r="F371" s="111"/>
      <c r="G371" s="111"/>
      <c r="H371" s="140"/>
      <c r="I371" s="140">
        <v>0</v>
      </c>
      <c r="J371" s="140">
        <v>17</v>
      </c>
      <c r="K371" s="140">
        <v>23</v>
      </c>
      <c r="L371" s="140">
        <v>25</v>
      </c>
      <c r="N371" s="241">
        <f t="shared" ref="N371" si="1156">P371+S371+V371+Y371+AB371+AE371+AH371+AK371+AN371+AQ371+AW371+AZ371+BC371+BF371+BI371+BL371+BO371+BR371+BU371+BX371+CA371+CD371+CG371+CJ371+AT371+DE371</f>
        <v>0</v>
      </c>
      <c r="O371" s="241">
        <f t="shared" si="1155"/>
        <v>0</v>
      </c>
    </row>
    <row r="372" spans="1:110" s="89" customFormat="1" ht="30" x14ac:dyDescent="0.25">
      <c r="A372" s="174"/>
      <c r="B372" s="70" t="s">
        <v>2087</v>
      </c>
      <c r="C372" s="6" t="s">
        <v>2692</v>
      </c>
      <c r="D372" s="13"/>
      <c r="E372" s="111"/>
      <c r="F372" s="111"/>
      <c r="G372" s="111"/>
      <c r="H372" s="140"/>
      <c r="I372" s="140"/>
      <c r="J372" s="140"/>
      <c r="K372" s="140"/>
      <c r="L372" s="140"/>
    </row>
    <row r="373" spans="1:110" s="89" customFormat="1" x14ac:dyDescent="0.25">
      <c r="A373" s="174"/>
      <c r="B373" s="70" t="s">
        <v>1182</v>
      </c>
      <c r="C373" s="13"/>
      <c r="D373" s="13" t="s">
        <v>950</v>
      </c>
      <c r="E373" s="111"/>
      <c r="F373" s="111"/>
      <c r="G373" s="111"/>
      <c r="H373" s="140"/>
      <c r="I373" s="256">
        <f t="shared" ref="I373:L374" si="1157">I274</f>
        <v>1926</v>
      </c>
      <c r="J373" s="256">
        <f t="shared" si="1157"/>
        <v>2012</v>
      </c>
      <c r="K373" s="256">
        <f t="shared" si="1157"/>
        <v>1762</v>
      </c>
      <c r="L373" s="256">
        <f t="shared" si="1157"/>
        <v>1985</v>
      </c>
      <c r="N373" s="241">
        <f>P373+S373+V373+Y373+AB373+AE373+AH373+AK373+AN373+AQ373+AW373+AZ373+BC373+BF373+BI373+BL373+BO373+BR373+BU373+BX373+CA373+CD373+CG373+CJ373+AT373+DE373</f>
        <v>1762</v>
      </c>
      <c r="O373" s="241">
        <f t="shared" ref="O373:O374" si="1158">Q373+T373+W373+Z373+AC373+AF373+AI373+AL373+AO373+AR373+AX373+BA373+BD373+BG373+BJ373+BM373+BP373+BS373+BV373+BY373+CB373+CE373+CH373+CK373+AU373+DF373</f>
        <v>0</v>
      </c>
      <c r="P373" s="89">
        <f>P274</f>
        <v>34</v>
      </c>
      <c r="Q373" s="89">
        <f>Q274</f>
        <v>0</v>
      </c>
      <c r="S373" s="89">
        <f>S274</f>
        <v>149</v>
      </c>
      <c r="T373" s="89">
        <f>T274</f>
        <v>0</v>
      </c>
      <c r="V373" s="89">
        <f>V274</f>
        <v>81</v>
      </c>
      <c r="W373" s="89">
        <f>W274</f>
        <v>0</v>
      </c>
      <c r="Y373" s="89">
        <f>Y274</f>
        <v>219</v>
      </c>
      <c r="Z373" s="89">
        <f>Z274</f>
        <v>0</v>
      </c>
      <c r="AB373" s="89">
        <f>AB274</f>
        <v>112</v>
      </c>
      <c r="AC373" s="89">
        <f>AC274</f>
        <v>0</v>
      </c>
      <c r="AE373" s="89">
        <f>AE274</f>
        <v>95</v>
      </c>
      <c r="AF373" s="89">
        <f>AF274</f>
        <v>0</v>
      </c>
      <c r="AH373" s="89">
        <f>AH274</f>
        <v>61</v>
      </c>
      <c r="AI373" s="89">
        <f>AI274</f>
        <v>0</v>
      </c>
      <c r="AK373" s="89">
        <f>AK274</f>
        <v>63</v>
      </c>
      <c r="AL373" s="89">
        <f>AL274</f>
        <v>0</v>
      </c>
      <c r="AN373" s="89">
        <f>AN274</f>
        <v>29</v>
      </c>
      <c r="AO373" s="89">
        <f>AO274</f>
        <v>0</v>
      </c>
      <c r="AQ373" s="89">
        <f>AQ274</f>
        <v>57</v>
      </c>
      <c r="AR373" s="89">
        <f>AR274</f>
        <v>0</v>
      </c>
      <c r="AT373" s="89">
        <f>AT274</f>
        <v>17</v>
      </c>
      <c r="AU373" s="89">
        <f>AU274</f>
        <v>0</v>
      </c>
      <c r="AW373" s="89">
        <f>AW274</f>
        <v>44</v>
      </c>
      <c r="AX373" s="89">
        <f>AX274</f>
        <v>0</v>
      </c>
      <c r="AZ373" s="89">
        <f>AZ274</f>
        <v>90</v>
      </c>
      <c r="BA373" s="89">
        <f>BA274</f>
        <v>0</v>
      </c>
      <c r="BC373" s="89">
        <f>BC274</f>
        <v>102</v>
      </c>
      <c r="BD373" s="89">
        <f>BD274</f>
        <v>0</v>
      </c>
      <c r="BF373" s="89">
        <f>BF274</f>
        <v>75</v>
      </c>
      <c r="BG373" s="89">
        <f>BG274</f>
        <v>0</v>
      </c>
      <c r="BI373" s="89">
        <f>BI274</f>
        <v>68</v>
      </c>
      <c r="BJ373" s="89">
        <f>BJ274</f>
        <v>0</v>
      </c>
      <c r="BL373" s="89">
        <f>BL274</f>
        <v>50</v>
      </c>
      <c r="BM373" s="89">
        <f>BM274</f>
        <v>0</v>
      </c>
      <c r="BO373" s="89">
        <f>BO274</f>
        <v>63</v>
      </c>
      <c r="BP373" s="89">
        <f>BP274</f>
        <v>0</v>
      </c>
      <c r="BR373" s="89">
        <f>BR274</f>
        <v>45</v>
      </c>
      <c r="BS373" s="89">
        <f>BS274</f>
        <v>0</v>
      </c>
      <c r="BU373" s="89">
        <f>BU274</f>
        <v>62</v>
      </c>
      <c r="BV373" s="89">
        <f>BV274</f>
        <v>0</v>
      </c>
      <c r="BX373" s="89">
        <f>BX274</f>
        <v>52</v>
      </c>
      <c r="BY373" s="89">
        <f>BY274</f>
        <v>0</v>
      </c>
      <c r="CA373" s="89">
        <f>CA274</f>
        <v>66</v>
      </c>
      <c r="CB373" s="89">
        <f>CB274</f>
        <v>0</v>
      </c>
      <c r="CD373" s="89">
        <f>CD274</f>
        <v>26</v>
      </c>
      <c r="CE373" s="89">
        <f>CE274</f>
        <v>0</v>
      </c>
      <c r="CG373" s="89">
        <f>CG274</f>
        <v>74</v>
      </c>
      <c r="CH373" s="89">
        <f>CH274</f>
        <v>0</v>
      </c>
      <c r="CJ373" s="89">
        <f>CJ274</f>
        <v>28</v>
      </c>
      <c r="CK373" s="89">
        <f>CK274</f>
        <v>0</v>
      </c>
      <c r="CM373" s="89">
        <f>CM274</f>
        <v>0</v>
      </c>
      <c r="CN373" s="89">
        <f>CN274</f>
        <v>0</v>
      </c>
      <c r="CP373" s="89">
        <f>CP274</f>
        <v>0</v>
      </c>
      <c r="CQ373" s="89">
        <f>CQ274</f>
        <v>0</v>
      </c>
      <c r="CS373" s="89">
        <f>CS274</f>
        <v>45</v>
      </c>
      <c r="CT373" s="89">
        <f>CT274</f>
        <v>0</v>
      </c>
      <c r="CV373" s="89">
        <f>CV274</f>
        <v>35</v>
      </c>
      <c r="CW373" s="89">
        <f>CW274</f>
        <v>0</v>
      </c>
      <c r="CY373" s="89">
        <f>CY274</f>
        <v>79</v>
      </c>
      <c r="CZ373" s="89">
        <f>CZ274</f>
        <v>0</v>
      </c>
      <c r="DB373" s="89">
        <f>DB274</f>
        <v>27</v>
      </c>
      <c r="DC373" s="89">
        <f>DC274</f>
        <v>0</v>
      </c>
      <c r="DE373" s="89">
        <f>DE274</f>
        <v>0</v>
      </c>
      <c r="DF373" s="89">
        <f>DF274</f>
        <v>0</v>
      </c>
    </row>
    <row r="374" spans="1:110" x14ac:dyDescent="0.25">
      <c r="A374" s="162"/>
      <c r="B374" s="70" t="s">
        <v>1184</v>
      </c>
      <c r="C374" s="13"/>
      <c r="D374" s="13" t="s">
        <v>950</v>
      </c>
      <c r="E374" s="12"/>
      <c r="F374" s="12"/>
      <c r="G374" s="12"/>
      <c r="H374" s="35"/>
      <c r="I374" s="256">
        <f t="shared" si="1157"/>
        <v>38</v>
      </c>
      <c r="J374" s="256">
        <f t="shared" si="1157"/>
        <v>63</v>
      </c>
      <c r="K374" s="256">
        <f t="shared" si="1157"/>
        <v>81</v>
      </c>
      <c r="L374" s="256">
        <f t="shared" si="1157"/>
        <v>127</v>
      </c>
      <c r="N374" s="241">
        <f t="shared" ref="N374" si="1159">P374+S374+V374+Y374+AB374+AE374+AH374+AK374+AN374+AQ374+AW374+AZ374+BC374+BF374+BI374+BL374+BO374+BR374+BU374+BX374+CA374+CD374+CG374+CJ374+AT374+DE374</f>
        <v>81</v>
      </c>
      <c r="O374" s="241">
        <f t="shared" si="1158"/>
        <v>0</v>
      </c>
      <c r="P374" s="89">
        <f>P275</f>
        <v>0</v>
      </c>
      <c r="Q374" s="89">
        <f>Q275</f>
        <v>0</v>
      </c>
      <c r="S374" s="89">
        <f>S275</f>
        <v>0</v>
      </c>
      <c r="T374" s="89">
        <f>T275</f>
        <v>0</v>
      </c>
      <c r="V374" s="89">
        <f>V275</f>
        <v>0</v>
      </c>
      <c r="W374" s="89">
        <f>W275</f>
        <v>0</v>
      </c>
      <c r="Y374" s="89">
        <f>Y275</f>
        <v>0</v>
      </c>
      <c r="Z374" s="89">
        <f>Z275</f>
        <v>0</v>
      </c>
      <c r="AA374" s="241"/>
      <c r="AB374" s="89">
        <f>AB275</f>
        <v>0</v>
      </c>
      <c r="AC374" s="89">
        <f>AC275</f>
        <v>0</v>
      </c>
      <c r="AD374" s="241"/>
      <c r="AE374" s="89">
        <f>AE275</f>
        <v>0</v>
      </c>
      <c r="AF374" s="89">
        <f>AF275</f>
        <v>0</v>
      </c>
      <c r="AH374" s="89">
        <f>AH275</f>
        <v>0</v>
      </c>
      <c r="AI374" s="89">
        <f>AI275</f>
        <v>0</v>
      </c>
      <c r="AJ374" s="241"/>
      <c r="AK374" s="89">
        <f>AK275</f>
        <v>0</v>
      </c>
      <c r="AL374" s="89">
        <f>AL275</f>
        <v>0</v>
      </c>
      <c r="AM374" s="241"/>
      <c r="AN374" s="89">
        <f>AN275</f>
        <v>0</v>
      </c>
      <c r="AO374" s="89">
        <f>AO275</f>
        <v>0</v>
      </c>
      <c r="AQ374" s="89">
        <f>AQ275</f>
        <v>0</v>
      </c>
      <c r="AR374" s="89">
        <f>AR275</f>
        <v>0</v>
      </c>
      <c r="AS374" s="241"/>
      <c r="AT374" s="89">
        <f>AT275</f>
        <v>0</v>
      </c>
      <c r="AU374" s="89">
        <f>AU275</f>
        <v>0</v>
      </c>
      <c r="AW374" s="89">
        <f>AW275</f>
        <v>0</v>
      </c>
      <c r="AX374" s="89">
        <f>AX275</f>
        <v>0</v>
      </c>
      <c r="AZ374" s="89">
        <f>AZ275</f>
        <v>0</v>
      </c>
      <c r="BA374" s="89">
        <f>BA275</f>
        <v>0</v>
      </c>
      <c r="BB374" s="241"/>
      <c r="BC374" s="89">
        <f>BC275</f>
        <v>0</v>
      </c>
      <c r="BD374" s="89">
        <f>BD275</f>
        <v>0</v>
      </c>
      <c r="BE374" s="241"/>
      <c r="BF374" s="89">
        <f>BF275</f>
        <v>0</v>
      </c>
      <c r="BG374" s="89">
        <f>BG275</f>
        <v>0</v>
      </c>
      <c r="BI374" s="89">
        <f>BI275</f>
        <v>0</v>
      </c>
      <c r="BJ374" s="89">
        <f>BJ275</f>
        <v>0</v>
      </c>
      <c r="BK374" s="241"/>
      <c r="BL374" s="89">
        <f>BL275</f>
        <v>0</v>
      </c>
      <c r="BM374" s="89">
        <f>BM275</f>
        <v>0</v>
      </c>
      <c r="BN374" s="241"/>
      <c r="BO374" s="89">
        <f>BO275</f>
        <v>0</v>
      </c>
      <c r="BP374" s="89">
        <f>BP275</f>
        <v>0</v>
      </c>
      <c r="BR374" s="89">
        <f>BR275</f>
        <v>0</v>
      </c>
      <c r="BS374" s="89">
        <f>BS275</f>
        <v>0</v>
      </c>
      <c r="BT374" s="241"/>
      <c r="BU374" s="89">
        <f>BU275</f>
        <v>0</v>
      </c>
      <c r="BV374" s="89">
        <f>BV275</f>
        <v>0</v>
      </c>
      <c r="BW374" s="241"/>
      <c r="BX374" s="89">
        <f>BX275</f>
        <v>0</v>
      </c>
      <c r="BY374" s="89">
        <f>BY275</f>
        <v>0</v>
      </c>
      <c r="CA374" s="89">
        <f>CA275</f>
        <v>0</v>
      </c>
      <c r="CB374" s="89">
        <f>CB275</f>
        <v>0</v>
      </c>
      <c r="CC374" s="241"/>
      <c r="CD374" s="89">
        <f>CD275</f>
        <v>0</v>
      </c>
      <c r="CE374" s="89">
        <f>CE275</f>
        <v>0</v>
      </c>
      <c r="CF374" s="241"/>
      <c r="CG374" s="89">
        <f>CG275</f>
        <v>0</v>
      </c>
      <c r="CH374" s="89">
        <f>CH275</f>
        <v>0</v>
      </c>
      <c r="CJ374" s="89">
        <f>CJ275</f>
        <v>0</v>
      </c>
      <c r="CK374" s="89">
        <f>CK275</f>
        <v>0</v>
      </c>
      <c r="CL374" s="241"/>
      <c r="CM374" s="89">
        <f>CM275</f>
        <v>0</v>
      </c>
      <c r="CN374" s="89">
        <f>CN275</f>
        <v>0</v>
      </c>
      <c r="CO374" s="241"/>
      <c r="CP374" s="89">
        <f>CP275</f>
        <v>0</v>
      </c>
      <c r="CQ374" s="89">
        <f>CQ275</f>
        <v>0</v>
      </c>
      <c r="CS374" s="89">
        <f>CS275</f>
        <v>0</v>
      </c>
      <c r="CT374" s="89">
        <f>CT275</f>
        <v>0</v>
      </c>
      <c r="CU374" s="241"/>
      <c r="CV374" s="89">
        <f>CV275</f>
        <v>0</v>
      </c>
      <c r="CW374" s="89">
        <f>CW275</f>
        <v>0</v>
      </c>
      <c r="CX374" s="241"/>
      <c r="CY374" s="89">
        <f>CY275</f>
        <v>0</v>
      </c>
      <c r="CZ374" s="89">
        <f>CZ275</f>
        <v>0</v>
      </c>
      <c r="DB374" s="89">
        <f>DB275</f>
        <v>0</v>
      </c>
      <c r="DC374" s="89">
        <f>DC275</f>
        <v>0</v>
      </c>
      <c r="DD374" s="241"/>
      <c r="DE374" s="89">
        <f>DE275</f>
        <v>81</v>
      </c>
      <c r="DF374" s="89">
        <f>DF275</f>
        <v>0</v>
      </c>
    </row>
    <row r="375" spans="1:110" ht="90" x14ac:dyDescent="0.25">
      <c r="A375" s="79" t="s">
        <v>433</v>
      </c>
      <c r="B375" s="97" t="s">
        <v>1956</v>
      </c>
      <c r="C375" s="42"/>
      <c r="D375" s="42"/>
      <c r="E375" s="49"/>
      <c r="F375" s="49"/>
      <c r="G375" s="49"/>
      <c r="H375" s="49"/>
      <c r="I375" s="49"/>
      <c r="J375" s="49"/>
      <c r="K375" s="49"/>
      <c r="L375" s="49"/>
    </row>
    <row r="376" spans="1:110" x14ac:dyDescent="0.25">
      <c r="A376" s="79"/>
      <c r="B376" s="46" t="s">
        <v>1182</v>
      </c>
      <c r="C376" s="42"/>
      <c r="D376" s="42"/>
      <c r="E376" s="49"/>
      <c r="F376" s="49"/>
      <c r="G376" s="49"/>
      <c r="H376" s="49"/>
      <c r="I376" s="45">
        <f t="shared" ref="I376:K377" si="1160">I379/I382*100</f>
        <v>6.12668743509865</v>
      </c>
      <c r="J376" s="45">
        <f t="shared" si="1160"/>
        <v>4.1749502982107352</v>
      </c>
      <c r="K376" s="45">
        <f t="shared" si="1160"/>
        <v>7.2644721906923948</v>
      </c>
      <c r="L376" s="45">
        <f t="shared" ref="L376" si="1161">L379/L382*100</f>
        <v>12.594458438287154</v>
      </c>
      <c r="N376" s="45">
        <f t="shared" ref="N376:P377" si="1162">N379/N382*100</f>
        <v>7.2077185017026109</v>
      </c>
      <c r="O376" s="45" t="e">
        <f t="shared" si="1162"/>
        <v>#DIV/0!</v>
      </c>
      <c r="P376" s="45">
        <f t="shared" ref="P376:Q376" si="1163">P379/P382*100</f>
        <v>0</v>
      </c>
      <c r="Q376" s="45" t="e">
        <f t="shared" si="1163"/>
        <v>#DIV/0!</v>
      </c>
      <c r="S376" s="45">
        <f t="shared" ref="S376:T377" si="1164">S379/S382*100</f>
        <v>0.67114093959731547</v>
      </c>
      <c r="T376" s="45" t="e">
        <f t="shared" si="1164"/>
        <v>#DIV/0!</v>
      </c>
      <c r="V376" s="45">
        <f t="shared" ref="V376:W376" si="1165">V379/V382*100</f>
        <v>0</v>
      </c>
      <c r="W376" s="45" t="e">
        <f t="shared" si="1165"/>
        <v>#DIV/0!</v>
      </c>
      <c r="Y376" s="45">
        <f t="shared" ref="Y376:Z377" si="1166">Y379/Y382*100</f>
        <v>18.721461187214611</v>
      </c>
      <c r="Z376" s="45" t="e">
        <f t="shared" si="1166"/>
        <v>#DIV/0!</v>
      </c>
      <c r="AA376" s="241"/>
      <c r="AB376" s="45">
        <f t="shared" ref="AB376:AC376" si="1167">AB379/AB382*100</f>
        <v>0</v>
      </c>
      <c r="AC376" s="45" t="e">
        <f t="shared" si="1167"/>
        <v>#DIV/0!</v>
      </c>
      <c r="AD376" s="241"/>
      <c r="AE376" s="45">
        <f t="shared" ref="AE376:AF376" si="1168">AE379/AE382*100</f>
        <v>0</v>
      </c>
      <c r="AF376" s="45" t="e">
        <f t="shared" si="1168"/>
        <v>#DIV/0!</v>
      </c>
      <c r="AH376" s="45">
        <f t="shared" ref="AH376:AI376" si="1169">AH379/AH382*100</f>
        <v>0</v>
      </c>
      <c r="AI376" s="45" t="e">
        <f t="shared" si="1169"/>
        <v>#DIV/0!</v>
      </c>
      <c r="AJ376" s="241"/>
      <c r="AK376" s="45">
        <f t="shared" ref="AK376:AL376" si="1170">AK379/AK382*100</f>
        <v>0</v>
      </c>
      <c r="AL376" s="45" t="e">
        <f t="shared" si="1170"/>
        <v>#DIV/0!</v>
      </c>
      <c r="AM376" s="241"/>
      <c r="AN376" s="45">
        <f t="shared" ref="AN376:AO376" si="1171">AN379/AN382*100</f>
        <v>34.482758620689658</v>
      </c>
      <c r="AO376" s="45" t="e">
        <f t="shared" si="1171"/>
        <v>#DIV/0!</v>
      </c>
      <c r="AQ376" s="45">
        <f t="shared" ref="AQ376:AR376" si="1172">AQ379/AQ382*100</f>
        <v>12.280701754385964</v>
      </c>
      <c r="AR376" s="45" t="e">
        <f t="shared" si="1172"/>
        <v>#DIV/0!</v>
      </c>
      <c r="AS376" s="241"/>
      <c r="AT376" s="45">
        <f t="shared" ref="AT376:AU376" si="1173">AT379/AT382*100</f>
        <v>0</v>
      </c>
      <c r="AU376" s="45" t="e">
        <f t="shared" si="1173"/>
        <v>#DIV/0!</v>
      </c>
      <c r="AW376" s="45">
        <f t="shared" ref="AW376:AX376" si="1174">AW379/AW382*100</f>
        <v>27.27272727272727</v>
      </c>
      <c r="AX376" s="45" t="e">
        <f t="shared" si="1174"/>
        <v>#DIV/0!</v>
      </c>
      <c r="AZ376" s="45">
        <f t="shared" ref="AZ376:BA376" si="1175">AZ379/AZ382*100</f>
        <v>3.3333333333333335</v>
      </c>
      <c r="BA376" s="45" t="e">
        <f t="shared" si="1175"/>
        <v>#DIV/0!</v>
      </c>
      <c r="BB376" s="241"/>
      <c r="BC376" s="45">
        <f t="shared" ref="BC376:BD376" si="1176">BC379/BC382*100</f>
        <v>0</v>
      </c>
      <c r="BD376" s="45" t="e">
        <f t="shared" si="1176"/>
        <v>#DIV/0!</v>
      </c>
      <c r="BE376" s="241"/>
      <c r="BF376" s="45">
        <f t="shared" ref="BF376:BG376" si="1177">BF379/BF382*100</f>
        <v>21.333333333333336</v>
      </c>
      <c r="BG376" s="45" t="e">
        <f t="shared" si="1177"/>
        <v>#DIV/0!</v>
      </c>
      <c r="BI376" s="45">
        <f t="shared" ref="BI376:BJ376" si="1178">BI379/BI382*100</f>
        <v>11.76470588235294</v>
      </c>
      <c r="BJ376" s="45" t="e">
        <f t="shared" si="1178"/>
        <v>#DIV/0!</v>
      </c>
      <c r="BK376" s="241"/>
      <c r="BL376" s="45">
        <f t="shared" ref="BL376:BM376" si="1179">BL379/BL382*100</f>
        <v>0</v>
      </c>
      <c r="BM376" s="45" t="e">
        <f t="shared" si="1179"/>
        <v>#DIV/0!</v>
      </c>
      <c r="BN376" s="241"/>
      <c r="BO376" s="45">
        <f t="shared" ref="BO376:BP376" si="1180">BO379/BO382*100</f>
        <v>0</v>
      </c>
      <c r="BP376" s="45" t="e">
        <f t="shared" si="1180"/>
        <v>#DIV/0!</v>
      </c>
      <c r="BR376" s="45">
        <f t="shared" ref="BR376:BS376" si="1181">BR379/BR382*100</f>
        <v>0</v>
      </c>
      <c r="BS376" s="45" t="e">
        <f t="shared" si="1181"/>
        <v>#DIV/0!</v>
      </c>
      <c r="BT376" s="241"/>
      <c r="BU376" s="45">
        <f t="shared" ref="BU376:BV376" si="1182">BU379/BU382*100</f>
        <v>4.838709677419355</v>
      </c>
      <c r="BV376" s="45" t="e">
        <f t="shared" si="1182"/>
        <v>#DIV/0!</v>
      </c>
      <c r="BW376" s="241"/>
      <c r="BX376" s="45">
        <f t="shared" ref="BX376:BY376" si="1183">BX379/BX382*100</f>
        <v>0</v>
      </c>
      <c r="BY376" s="45" t="e">
        <f t="shared" si="1183"/>
        <v>#DIV/0!</v>
      </c>
      <c r="CA376" s="45">
        <f t="shared" ref="CA376:CB376" si="1184">CA379/CA382*100</f>
        <v>31.818181818181817</v>
      </c>
      <c r="CB376" s="45" t="e">
        <f t="shared" si="1184"/>
        <v>#DIV/0!</v>
      </c>
      <c r="CC376" s="241"/>
      <c r="CD376" s="45">
        <f t="shared" ref="CD376:CE376" si="1185">CD379/CD382*100</f>
        <v>7.6923076923076925</v>
      </c>
      <c r="CE376" s="45" t="e">
        <f t="shared" si="1185"/>
        <v>#DIV/0!</v>
      </c>
      <c r="CF376" s="241"/>
      <c r="CG376" s="45">
        <f t="shared" ref="CG376:CH376" si="1186">CG379/CG382*100</f>
        <v>4.0540540540540544</v>
      </c>
      <c r="CH376" s="45" t="e">
        <f t="shared" si="1186"/>
        <v>#DIV/0!</v>
      </c>
      <c r="CJ376" s="45">
        <f t="shared" ref="CJ376:CK376" si="1187">CJ379/CJ382*100</f>
        <v>0</v>
      </c>
      <c r="CK376" s="45" t="e">
        <f t="shared" si="1187"/>
        <v>#DIV/0!</v>
      </c>
      <c r="CL376" s="241"/>
      <c r="CM376" s="45" t="e">
        <f t="shared" ref="CM376:CN376" si="1188">CM379/CM382*100</f>
        <v>#DIV/0!</v>
      </c>
      <c r="CN376" s="45" t="e">
        <f t="shared" si="1188"/>
        <v>#DIV/0!</v>
      </c>
      <c r="CO376" s="241"/>
      <c r="CP376" s="45" t="e">
        <f t="shared" ref="CP376:CQ376" si="1189">CP379/CP382*100</f>
        <v>#DIV/0!</v>
      </c>
      <c r="CQ376" s="45" t="e">
        <f t="shared" si="1189"/>
        <v>#DIV/0!</v>
      </c>
      <c r="CS376" s="45">
        <f t="shared" ref="CS376:CT376" si="1190">CS379/CS382*100</f>
        <v>0</v>
      </c>
      <c r="CT376" s="45" t="e">
        <f t="shared" si="1190"/>
        <v>#DIV/0!</v>
      </c>
      <c r="CU376" s="241"/>
      <c r="CV376" s="45">
        <f t="shared" ref="CV376:CW376" si="1191">CV379/CV382*100</f>
        <v>0</v>
      </c>
      <c r="CW376" s="45" t="e">
        <f t="shared" si="1191"/>
        <v>#DIV/0!</v>
      </c>
      <c r="CX376" s="241"/>
      <c r="CY376" s="45">
        <f t="shared" ref="CY376:CZ376" si="1192">CY379/CY382*100</f>
        <v>0</v>
      </c>
      <c r="CZ376" s="45" t="e">
        <f t="shared" si="1192"/>
        <v>#DIV/0!</v>
      </c>
      <c r="DB376" s="45">
        <f t="shared" ref="DB376:DC376" si="1193">DB379/DB382*100</f>
        <v>0</v>
      </c>
      <c r="DC376" s="45" t="e">
        <f t="shared" si="1193"/>
        <v>#DIV/0!</v>
      </c>
      <c r="DD376" s="241"/>
      <c r="DE376" s="45" t="e">
        <f t="shared" ref="DE376:DF376" si="1194">DE379/DE382*100</f>
        <v>#DIV/0!</v>
      </c>
      <c r="DF376" s="45" t="e">
        <f t="shared" si="1194"/>
        <v>#DIV/0!</v>
      </c>
    </row>
    <row r="377" spans="1:110" x14ac:dyDescent="0.25">
      <c r="A377" s="79"/>
      <c r="B377" s="46" t="s">
        <v>1184</v>
      </c>
      <c r="C377" s="42"/>
      <c r="D377" s="42"/>
      <c r="E377" s="49"/>
      <c r="F377" s="49"/>
      <c r="G377" s="49"/>
      <c r="H377" s="49"/>
      <c r="I377" s="45">
        <f t="shared" si="1160"/>
        <v>0</v>
      </c>
      <c r="J377" s="45">
        <f t="shared" si="1160"/>
        <v>0</v>
      </c>
      <c r="K377" s="45">
        <f t="shared" si="1160"/>
        <v>27.160493827160494</v>
      </c>
      <c r="L377" s="45">
        <f t="shared" ref="L377" si="1195">L380/L383*100</f>
        <v>19.685039370078741</v>
      </c>
      <c r="N377" s="45">
        <f t="shared" ref="N377" si="1196">N380/N383*100</f>
        <v>0</v>
      </c>
      <c r="O377" s="45" t="e">
        <f t="shared" si="1162"/>
        <v>#DIV/0!</v>
      </c>
      <c r="P377" s="45" t="e">
        <f t="shared" si="1162"/>
        <v>#DIV/0!</v>
      </c>
      <c r="Q377" s="45" t="e">
        <f t="shared" ref="Q377" si="1197">Q380/Q383*100</f>
        <v>#DIV/0!</v>
      </c>
      <c r="S377" s="45" t="e">
        <f t="shared" ref="S377" si="1198">S380/S383*100</f>
        <v>#DIV/0!</v>
      </c>
      <c r="T377" s="45" t="e">
        <f t="shared" si="1164"/>
        <v>#DIV/0!</v>
      </c>
      <c r="V377" s="45" t="e">
        <f t="shared" ref="V377:W377" si="1199">V380/V383*100</f>
        <v>#DIV/0!</v>
      </c>
      <c r="W377" s="45" t="e">
        <f t="shared" si="1199"/>
        <v>#DIV/0!</v>
      </c>
      <c r="Y377" s="45" t="e">
        <f t="shared" ref="Y377" si="1200">Y380/Y383*100</f>
        <v>#DIV/0!</v>
      </c>
      <c r="Z377" s="45" t="e">
        <f t="shared" si="1166"/>
        <v>#DIV/0!</v>
      </c>
      <c r="AA377" s="241"/>
      <c r="AB377" s="45" t="e">
        <f t="shared" ref="AB377:AC377" si="1201">AB380/AB383*100</f>
        <v>#DIV/0!</v>
      </c>
      <c r="AC377" s="45" t="e">
        <f t="shared" si="1201"/>
        <v>#DIV/0!</v>
      </c>
      <c r="AD377" s="241"/>
      <c r="AE377" s="45" t="e">
        <f t="shared" ref="AE377:AF377" si="1202">AE380/AE383*100</f>
        <v>#DIV/0!</v>
      </c>
      <c r="AF377" s="45" t="e">
        <f t="shared" si="1202"/>
        <v>#DIV/0!</v>
      </c>
      <c r="AH377" s="45" t="e">
        <f t="shared" ref="AH377:AI377" si="1203">AH380/AH383*100</f>
        <v>#DIV/0!</v>
      </c>
      <c r="AI377" s="45" t="e">
        <f t="shared" si="1203"/>
        <v>#DIV/0!</v>
      </c>
      <c r="AJ377" s="241"/>
      <c r="AK377" s="45" t="e">
        <f t="shared" ref="AK377:AL377" si="1204">AK380/AK383*100</f>
        <v>#DIV/0!</v>
      </c>
      <c r="AL377" s="45" t="e">
        <f t="shared" si="1204"/>
        <v>#DIV/0!</v>
      </c>
      <c r="AM377" s="241"/>
      <c r="AN377" s="45" t="e">
        <f t="shared" ref="AN377:AO377" si="1205">AN380/AN383*100</f>
        <v>#DIV/0!</v>
      </c>
      <c r="AO377" s="45" t="e">
        <f t="shared" si="1205"/>
        <v>#DIV/0!</v>
      </c>
      <c r="AQ377" s="45" t="e">
        <f t="shared" ref="AQ377:AR377" si="1206">AQ380/AQ383*100</f>
        <v>#DIV/0!</v>
      </c>
      <c r="AR377" s="45" t="e">
        <f t="shared" si="1206"/>
        <v>#DIV/0!</v>
      </c>
      <c r="AS377" s="241"/>
      <c r="AT377" s="45" t="e">
        <f t="shared" ref="AT377:AU377" si="1207">AT380/AT383*100</f>
        <v>#DIV/0!</v>
      </c>
      <c r="AU377" s="45" t="e">
        <f t="shared" si="1207"/>
        <v>#DIV/0!</v>
      </c>
      <c r="AW377" s="45" t="e">
        <f t="shared" ref="AW377:AX377" si="1208">AW380/AW383*100</f>
        <v>#DIV/0!</v>
      </c>
      <c r="AX377" s="45" t="e">
        <f t="shared" si="1208"/>
        <v>#DIV/0!</v>
      </c>
      <c r="AZ377" s="45" t="e">
        <f t="shared" ref="AZ377:BA377" si="1209">AZ380/AZ383*100</f>
        <v>#DIV/0!</v>
      </c>
      <c r="BA377" s="45" t="e">
        <f t="shared" si="1209"/>
        <v>#DIV/0!</v>
      </c>
      <c r="BB377" s="241"/>
      <c r="BC377" s="45" t="e">
        <f t="shared" ref="BC377:BD377" si="1210">BC380/BC383*100</f>
        <v>#DIV/0!</v>
      </c>
      <c r="BD377" s="45" t="e">
        <f t="shared" si="1210"/>
        <v>#DIV/0!</v>
      </c>
      <c r="BE377" s="241"/>
      <c r="BF377" s="45" t="e">
        <f t="shared" ref="BF377:BG377" si="1211">BF380/BF383*100</f>
        <v>#DIV/0!</v>
      </c>
      <c r="BG377" s="45" t="e">
        <f t="shared" si="1211"/>
        <v>#DIV/0!</v>
      </c>
      <c r="BI377" s="45" t="e">
        <f t="shared" ref="BI377:BJ377" si="1212">BI380/BI383*100</f>
        <v>#DIV/0!</v>
      </c>
      <c r="BJ377" s="45" t="e">
        <f t="shared" si="1212"/>
        <v>#DIV/0!</v>
      </c>
      <c r="BK377" s="241"/>
      <c r="BL377" s="45" t="e">
        <f t="shared" ref="BL377:BM377" si="1213">BL380/BL383*100</f>
        <v>#DIV/0!</v>
      </c>
      <c r="BM377" s="45" t="e">
        <f t="shared" si="1213"/>
        <v>#DIV/0!</v>
      </c>
      <c r="BN377" s="241"/>
      <c r="BO377" s="45" t="e">
        <f t="shared" ref="BO377:BP377" si="1214">BO380/BO383*100</f>
        <v>#DIV/0!</v>
      </c>
      <c r="BP377" s="45" t="e">
        <f t="shared" si="1214"/>
        <v>#DIV/0!</v>
      </c>
      <c r="BR377" s="45" t="e">
        <f t="shared" ref="BR377:BS377" si="1215">BR380/BR383*100</f>
        <v>#DIV/0!</v>
      </c>
      <c r="BS377" s="45" t="e">
        <f t="shared" si="1215"/>
        <v>#DIV/0!</v>
      </c>
      <c r="BT377" s="241"/>
      <c r="BU377" s="45" t="e">
        <f t="shared" ref="BU377:BV377" si="1216">BU380/BU383*100</f>
        <v>#DIV/0!</v>
      </c>
      <c r="BV377" s="45" t="e">
        <f t="shared" si="1216"/>
        <v>#DIV/0!</v>
      </c>
      <c r="BW377" s="241"/>
      <c r="BX377" s="45" t="e">
        <f t="shared" ref="BX377:BY377" si="1217">BX380/BX383*100</f>
        <v>#DIV/0!</v>
      </c>
      <c r="BY377" s="45" t="e">
        <f t="shared" si="1217"/>
        <v>#DIV/0!</v>
      </c>
      <c r="CA377" s="45" t="e">
        <f t="shared" ref="CA377:CB377" si="1218">CA380/CA383*100</f>
        <v>#DIV/0!</v>
      </c>
      <c r="CB377" s="45" t="e">
        <f t="shared" si="1218"/>
        <v>#DIV/0!</v>
      </c>
      <c r="CC377" s="241"/>
      <c r="CD377" s="45" t="e">
        <f t="shared" ref="CD377:CE377" si="1219">CD380/CD383*100</f>
        <v>#DIV/0!</v>
      </c>
      <c r="CE377" s="45" t="e">
        <f t="shared" si="1219"/>
        <v>#DIV/0!</v>
      </c>
      <c r="CF377" s="241"/>
      <c r="CG377" s="45" t="e">
        <f t="shared" ref="CG377:CH377" si="1220">CG380/CG383*100</f>
        <v>#DIV/0!</v>
      </c>
      <c r="CH377" s="45" t="e">
        <f t="shared" si="1220"/>
        <v>#DIV/0!</v>
      </c>
      <c r="CJ377" s="45" t="e">
        <f t="shared" ref="CJ377:CK377" si="1221">CJ380/CJ383*100</f>
        <v>#DIV/0!</v>
      </c>
      <c r="CK377" s="45" t="e">
        <f t="shared" si="1221"/>
        <v>#DIV/0!</v>
      </c>
      <c r="CL377" s="241"/>
      <c r="CM377" s="45" t="e">
        <f t="shared" ref="CM377:CN377" si="1222">CM380/CM383*100</f>
        <v>#DIV/0!</v>
      </c>
      <c r="CN377" s="45" t="e">
        <f t="shared" si="1222"/>
        <v>#DIV/0!</v>
      </c>
      <c r="CO377" s="241"/>
      <c r="CP377" s="45" t="e">
        <f t="shared" ref="CP377:CQ377" si="1223">CP380/CP383*100</f>
        <v>#DIV/0!</v>
      </c>
      <c r="CQ377" s="45" t="e">
        <f t="shared" si="1223"/>
        <v>#DIV/0!</v>
      </c>
      <c r="CS377" s="45" t="e">
        <f t="shared" ref="CS377:CT377" si="1224">CS380/CS383*100</f>
        <v>#DIV/0!</v>
      </c>
      <c r="CT377" s="45" t="e">
        <f t="shared" si="1224"/>
        <v>#DIV/0!</v>
      </c>
      <c r="CU377" s="241"/>
      <c r="CV377" s="45" t="e">
        <f t="shared" ref="CV377:CW377" si="1225">CV380/CV383*100</f>
        <v>#DIV/0!</v>
      </c>
      <c r="CW377" s="45" t="e">
        <f t="shared" si="1225"/>
        <v>#DIV/0!</v>
      </c>
      <c r="CX377" s="241"/>
      <c r="CY377" s="45" t="e">
        <f t="shared" ref="CY377:CZ377" si="1226">CY380/CY383*100</f>
        <v>#DIV/0!</v>
      </c>
      <c r="CZ377" s="45" t="e">
        <f t="shared" si="1226"/>
        <v>#DIV/0!</v>
      </c>
      <c r="DB377" s="45" t="e">
        <f t="shared" ref="DB377:DC377" si="1227">DB380/DB383*100</f>
        <v>#DIV/0!</v>
      </c>
      <c r="DC377" s="45" t="e">
        <f t="shared" si="1227"/>
        <v>#DIV/0!</v>
      </c>
      <c r="DD377" s="241"/>
      <c r="DE377" s="45">
        <f t="shared" ref="DE377:DF377" si="1228">DE380/DE383*100</f>
        <v>0</v>
      </c>
      <c r="DF377" s="45" t="e">
        <f t="shared" si="1228"/>
        <v>#DIV/0!</v>
      </c>
    </row>
    <row r="378" spans="1:110" ht="45" x14ac:dyDescent="0.25">
      <c r="A378" s="77"/>
      <c r="B378" s="70" t="s">
        <v>1461</v>
      </c>
      <c r="C378" s="6"/>
      <c r="D378" s="6"/>
      <c r="E378" s="12"/>
      <c r="F378" s="12"/>
      <c r="G378" s="12"/>
      <c r="H378" s="12"/>
      <c r="I378" s="12"/>
      <c r="J378" s="12"/>
      <c r="K378" s="12"/>
      <c r="L378" s="12"/>
      <c r="P378" s="241"/>
      <c r="Q378" s="241"/>
      <c r="S378" s="241"/>
      <c r="T378" s="241"/>
      <c r="V378" s="241"/>
      <c r="W378" s="241"/>
      <c r="Y378" s="241"/>
      <c r="Z378" s="241"/>
      <c r="AA378" s="241"/>
      <c r="AB378" s="241"/>
      <c r="AC378" s="241"/>
      <c r="AD378" s="241"/>
      <c r="AE378" s="241"/>
      <c r="AF378" s="241"/>
      <c r="AH378" s="241"/>
      <c r="AI378" s="241"/>
      <c r="AJ378" s="241"/>
      <c r="AK378" s="241"/>
      <c r="AL378" s="241"/>
      <c r="AM378" s="241"/>
      <c r="AN378" s="241"/>
      <c r="AO378" s="241"/>
      <c r="AQ378" s="241"/>
      <c r="AR378" s="241"/>
      <c r="AS378" s="241"/>
      <c r="AW378" s="241"/>
      <c r="AX378" s="241"/>
      <c r="AZ378" s="241"/>
      <c r="BA378" s="241"/>
      <c r="BB378" s="241"/>
      <c r="BC378" s="241"/>
      <c r="BD378" s="241"/>
      <c r="BE378" s="241"/>
      <c r="BF378" s="241"/>
      <c r="BG378" s="241"/>
      <c r="BI378" s="241"/>
      <c r="BJ378" s="241"/>
      <c r="BK378" s="241"/>
      <c r="BL378" s="241"/>
      <c r="BM378" s="241"/>
      <c r="BN378" s="241"/>
      <c r="BO378" s="241"/>
      <c r="BP378" s="241"/>
      <c r="BR378" s="241"/>
      <c r="BS378" s="241"/>
      <c r="BT378" s="241"/>
      <c r="BU378" s="241"/>
      <c r="BV378" s="241"/>
      <c r="BW378" s="241"/>
      <c r="BX378" s="241"/>
      <c r="BY378" s="241"/>
      <c r="CA378" s="241"/>
      <c r="CB378" s="241"/>
      <c r="CC378" s="241"/>
      <c r="CD378" s="241"/>
      <c r="CE378" s="241"/>
      <c r="CF378" s="241"/>
      <c r="CG378" s="241"/>
      <c r="CH378" s="241"/>
      <c r="CJ378" s="241"/>
      <c r="CK378" s="241"/>
      <c r="CL378" s="241"/>
      <c r="CM378" s="241"/>
      <c r="CN378" s="241"/>
      <c r="CO378" s="241"/>
      <c r="CP378" s="241"/>
      <c r="CQ378" s="241"/>
      <c r="CS378" s="241"/>
      <c r="CT378" s="241"/>
      <c r="CU378" s="241"/>
      <c r="CV378" s="241"/>
      <c r="CW378" s="241"/>
      <c r="CX378" s="241"/>
      <c r="CY378" s="241"/>
      <c r="CZ378" s="241"/>
      <c r="DB378" s="241"/>
      <c r="DC378" s="241"/>
      <c r="DD378" s="241"/>
      <c r="DE378" s="241"/>
      <c r="DF378" s="241"/>
    </row>
    <row r="379" spans="1:110" ht="30" x14ac:dyDescent="0.25">
      <c r="A379" s="77"/>
      <c r="B379" s="70" t="s">
        <v>1182</v>
      </c>
      <c r="C379" s="6" t="s">
        <v>2920</v>
      </c>
      <c r="D379" s="6"/>
      <c r="E379" s="12"/>
      <c r="F379" s="12"/>
      <c r="G379" s="12"/>
      <c r="H379" s="35"/>
      <c r="I379" s="35">
        <f>105+13</f>
        <v>118</v>
      </c>
      <c r="J379" s="35">
        <v>84</v>
      </c>
      <c r="K379" s="35">
        <v>128</v>
      </c>
      <c r="L379" s="35">
        <v>250</v>
      </c>
      <c r="N379" s="241">
        <f>P379+S379+V379+Y379+AB379+AE379+AH379+AK379+AN379+AQ379+AW379+AZ379+BC379+BF379+BI379+BL379+BO379+BR379+BU379+BX379+CA379+CD379+CG379+CJ379+AT379+DE379</f>
        <v>127</v>
      </c>
      <c r="O379" s="241">
        <f t="shared" ref="O379:O380" si="1229">Q379+T379+W379+Z379+AC379+AF379+AI379+AL379+AO379+AR379+AX379+BA379+BD379+BG379+BJ379+BM379+BP379+BS379+BV379+BY379+CB379+CE379+CH379+CK379+AU379+DF379</f>
        <v>0</v>
      </c>
      <c r="P379" s="241">
        <v>0</v>
      </c>
      <c r="Q379" s="241"/>
      <c r="S379" s="241">
        <v>1</v>
      </c>
      <c r="T379" s="241"/>
      <c r="V379" s="241">
        <v>0</v>
      </c>
      <c r="W379" s="241"/>
      <c r="Y379" s="241">
        <f>16+25</f>
        <v>41</v>
      </c>
      <c r="Z379" s="241"/>
      <c r="AA379" s="241"/>
      <c r="AB379" s="241">
        <v>0</v>
      </c>
      <c r="AC379" s="241"/>
      <c r="AD379" s="241"/>
      <c r="AE379" s="241">
        <v>0</v>
      </c>
      <c r="AF379" s="241"/>
      <c r="AH379" s="241">
        <v>0</v>
      </c>
      <c r="AI379" s="241"/>
      <c r="AJ379" s="241"/>
      <c r="AK379" s="241">
        <v>0</v>
      </c>
      <c r="AL379" s="241"/>
      <c r="AM379" s="241"/>
      <c r="AN379" s="241">
        <v>10</v>
      </c>
      <c r="AO379" s="241"/>
      <c r="AQ379" s="241">
        <v>7</v>
      </c>
      <c r="AR379" s="241"/>
      <c r="AS379" s="241"/>
      <c r="AT379" s="241">
        <v>0</v>
      </c>
      <c r="AW379" s="241">
        <f>8+4</f>
        <v>12</v>
      </c>
      <c r="AX379" s="241"/>
      <c r="AZ379" s="241">
        <f>2+1</f>
        <v>3</v>
      </c>
      <c r="BA379" s="241"/>
      <c r="BB379" s="241"/>
      <c r="BC379" s="241">
        <v>0</v>
      </c>
      <c r="BD379" s="241"/>
      <c r="BE379" s="241"/>
      <c r="BF379" s="241">
        <f>11+5</f>
        <v>16</v>
      </c>
      <c r="BG379" s="241"/>
      <c r="BI379" s="241">
        <v>8</v>
      </c>
      <c r="BJ379" s="241"/>
      <c r="BK379" s="241"/>
      <c r="BL379" s="241">
        <v>0</v>
      </c>
      <c r="BM379" s="241"/>
      <c r="BN379" s="241"/>
      <c r="BO379" s="241">
        <v>0</v>
      </c>
      <c r="BP379" s="241"/>
      <c r="BR379" s="241">
        <v>0</v>
      </c>
      <c r="BS379" s="241"/>
      <c r="BT379" s="241"/>
      <c r="BU379" s="241">
        <v>3</v>
      </c>
      <c r="BV379" s="241"/>
      <c r="BW379" s="241"/>
      <c r="BX379" s="241">
        <v>0</v>
      </c>
      <c r="BY379" s="241"/>
      <c r="CA379" s="241">
        <f>13+8</f>
        <v>21</v>
      </c>
      <c r="CB379" s="241"/>
      <c r="CC379" s="241"/>
      <c r="CD379" s="241">
        <v>2</v>
      </c>
      <c r="CE379" s="241"/>
      <c r="CF379" s="241"/>
      <c r="CG379" s="241">
        <f>2+1</f>
        <v>3</v>
      </c>
      <c r="CH379" s="241"/>
      <c r="CJ379" s="241">
        <v>0</v>
      </c>
      <c r="CK379" s="241"/>
      <c r="CL379" s="241"/>
      <c r="CM379" s="241"/>
      <c r="CN379" s="241"/>
      <c r="CO379" s="241"/>
      <c r="CP379" s="241"/>
      <c r="CQ379" s="241"/>
      <c r="CS379" s="241"/>
      <c r="CT379" s="241"/>
      <c r="CU379" s="241"/>
      <c r="CV379" s="241"/>
      <c r="CW379" s="241"/>
      <c r="CX379" s="241"/>
      <c r="CY379" s="241"/>
      <c r="CZ379" s="241"/>
      <c r="DB379" s="241"/>
      <c r="DC379" s="241"/>
      <c r="DD379" s="241"/>
      <c r="DE379" s="241"/>
      <c r="DF379" s="241"/>
    </row>
    <row r="380" spans="1:110" x14ac:dyDescent="0.25">
      <c r="A380" s="77"/>
      <c r="B380" s="70" t="s">
        <v>1184</v>
      </c>
      <c r="C380" s="6"/>
      <c r="D380" s="6"/>
      <c r="E380" s="12"/>
      <c r="F380" s="12"/>
      <c r="G380" s="12"/>
      <c r="H380" s="35"/>
      <c r="I380" s="35">
        <v>0</v>
      </c>
      <c r="J380" s="35">
        <v>0</v>
      </c>
      <c r="K380" s="35">
        <v>22</v>
      </c>
      <c r="L380" s="35">
        <v>25</v>
      </c>
      <c r="N380" s="241">
        <f t="shared" ref="N380" si="1230">P380+S380+V380+Y380+AB380+AE380+AH380+AK380+AN380+AQ380+AW380+AZ380+BC380+BF380+BI380+BL380+BO380+BR380+BU380+BX380+CA380+CD380+CG380+CJ380+AT380+DE380</f>
        <v>0</v>
      </c>
      <c r="O380" s="241">
        <f t="shared" si="1229"/>
        <v>0</v>
      </c>
      <c r="P380" s="241"/>
      <c r="Q380" s="241"/>
      <c r="S380" s="241"/>
      <c r="T380" s="241"/>
      <c r="V380" s="241"/>
      <c r="W380" s="241"/>
      <c r="Y380" s="241"/>
      <c r="Z380" s="241"/>
      <c r="AA380" s="241"/>
      <c r="AB380" s="241"/>
      <c r="AC380" s="241"/>
      <c r="AD380" s="241"/>
      <c r="AE380" s="241"/>
      <c r="AF380" s="241"/>
      <c r="AH380" s="241"/>
      <c r="AI380" s="241"/>
      <c r="AJ380" s="241"/>
      <c r="AK380" s="241"/>
      <c r="AL380" s="241"/>
      <c r="AM380" s="241"/>
      <c r="AN380" s="241"/>
      <c r="AO380" s="241"/>
      <c r="AQ380" s="241"/>
      <c r="AR380" s="241"/>
      <c r="AS380" s="241"/>
      <c r="AW380" s="241"/>
      <c r="AX380" s="241"/>
      <c r="AZ380" s="241"/>
      <c r="BA380" s="241"/>
      <c r="BB380" s="241"/>
      <c r="BC380" s="241"/>
      <c r="BD380" s="241"/>
      <c r="BE380" s="241"/>
      <c r="BF380" s="241"/>
      <c r="BG380" s="241"/>
      <c r="BI380" s="241"/>
      <c r="BJ380" s="241"/>
      <c r="BK380" s="241"/>
      <c r="BL380" s="241"/>
      <c r="BM380" s="241"/>
      <c r="BN380" s="241"/>
      <c r="BO380" s="241"/>
      <c r="BP380" s="241"/>
      <c r="BR380" s="241"/>
      <c r="BS380" s="241"/>
      <c r="BT380" s="241"/>
      <c r="BU380" s="241"/>
      <c r="BV380" s="241"/>
      <c r="BW380" s="241"/>
      <c r="BX380" s="241"/>
      <c r="BY380" s="241"/>
      <c r="CA380" s="241"/>
      <c r="CB380" s="241"/>
      <c r="CC380" s="241"/>
      <c r="CD380" s="241"/>
      <c r="CE380" s="241"/>
      <c r="CF380" s="241"/>
      <c r="CG380" s="241"/>
      <c r="CH380" s="241"/>
      <c r="CJ380" s="241"/>
      <c r="CK380" s="241"/>
      <c r="CL380" s="241"/>
      <c r="CM380" s="241"/>
      <c r="CN380" s="241"/>
      <c r="CO380" s="241"/>
      <c r="CP380" s="241"/>
      <c r="CQ380" s="241"/>
      <c r="CS380" s="241"/>
      <c r="CT380" s="241"/>
      <c r="CU380" s="241"/>
      <c r="CV380" s="241"/>
      <c r="CW380" s="241"/>
      <c r="CX380" s="241"/>
      <c r="CY380" s="241"/>
      <c r="CZ380" s="241"/>
      <c r="DB380" s="241"/>
      <c r="DC380" s="241"/>
      <c r="DD380" s="241"/>
      <c r="DE380" s="241"/>
      <c r="DF380" s="241"/>
    </row>
    <row r="381" spans="1:110" ht="30" x14ac:dyDescent="0.25">
      <c r="A381" s="77"/>
      <c r="B381" s="96" t="s">
        <v>2085</v>
      </c>
      <c r="C381" s="6" t="s">
        <v>2692</v>
      </c>
      <c r="D381" s="6"/>
      <c r="E381" s="12"/>
      <c r="F381" s="12"/>
      <c r="G381" s="12"/>
      <c r="H381" s="35"/>
      <c r="I381" s="35"/>
      <c r="J381" s="35"/>
      <c r="K381" s="35"/>
      <c r="L381" s="35"/>
      <c r="P381" s="241"/>
      <c r="Q381" s="241"/>
      <c r="S381" s="241"/>
      <c r="T381" s="241"/>
      <c r="V381" s="241"/>
      <c r="W381" s="241"/>
      <c r="Y381" s="241"/>
      <c r="Z381" s="241"/>
      <c r="AA381" s="241"/>
      <c r="AB381" s="241"/>
      <c r="AC381" s="241"/>
      <c r="AD381" s="241"/>
      <c r="AE381" s="241"/>
      <c r="AF381" s="241"/>
      <c r="AH381" s="241"/>
      <c r="AI381" s="241"/>
      <c r="AJ381" s="241"/>
      <c r="AK381" s="241"/>
      <c r="AL381" s="241"/>
      <c r="AM381" s="241"/>
      <c r="AN381" s="241"/>
      <c r="AO381" s="241"/>
      <c r="AQ381" s="241"/>
      <c r="AR381" s="241"/>
      <c r="AS381" s="241"/>
      <c r="AW381" s="241"/>
      <c r="AX381" s="241"/>
      <c r="AZ381" s="241"/>
      <c r="BA381" s="241"/>
      <c r="BB381" s="241"/>
      <c r="BC381" s="241"/>
      <c r="BD381" s="241"/>
      <c r="BE381" s="241"/>
      <c r="BF381" s="241"/>
      <c r="BG381" s="241"/>
      <c r="BI381" s="241"/>
      <c r="BJ381" s="241"/>
      <c r="BK381" s="241"/>
      <c r="BL381" s="241"/>
      <c r="BM381" s="241"/>
      <c r="BN381" s="241"/>
      <c r="BO381" s="241"/>
      <c r="BP381" s="241"/>
      <c r="BR381" s="241"/>
      <c r="BS381" s="241"/>
      <c r="BT381" s="241"/>
      <c r="BU381" s="241"/>
      <c r="BV381" s="241"/>
      <c r="BW381" s="241"/>
      <c r="BX381" s="241"/>
      <c r="BY381" s="241"/>
      <c r="CA381" s="241"/>
      <c r="CB381" s="241"/>
      <c r="CC381" s="241"/>
      <c r="CD381" s="241"/>
      <c r="CE381" s="241"/>
      <c r="CF381" s="241"/>
      <c r="CG381" s="241"/>
      <c r="CH381" s="241"/>
      <c r="CJ381" s="241"/>
      <c r="CK381" s="241"/>
      <c r="CL381" s="241"/>
      <c r="CM381" s="241"/>
      <c r="CN381" s="241"/>
      <c r="CO381" s="241"/>
      <c r="CP381" s="241"/>
      <c r="CQ381" s="241"/>
      <c r="CS381" s="241"/>
      <c r="CT381" s="241"/>
      <c r="CU381" s="241"/>
      <c r="CV381" s="241"/>
      <c r="CW381" s="241"/>
      <c r="CX381" s="241"/>
      <c r="CY381" s="241"/>
      <c r="CZ381" s="241"/>
      <c r="DB381" s="241"/>
      <c r="DC381" s="241"/>
      <c r="DD381" s="241"/>
      <c r="DE381" s="241"/>
      <c r="DF381" s="241"/>
    </row>
    <row r="382" spans="1:110" x14ac:dyDescent="0.25">
      <c r="A382" s="77"/>
      <c r="B382" s="70" t="s">
        <v>1182</v>
      </c>
      <c r="C382" s="6"/>
      <c r="D382" s="6"/>
      <c r="E382" s="12"/>
      <c r="F382" s="12"/>
      <c r="G382" s="12"/>
      <c r="H382" s="35"/>
      <c r="I382" s="256">
        <f t="shared" ref="I382:L383" si="1231">I274</f>
        <v>1926</v>
      </c>
      <c r="J382" s="256">
        <f t="shared" si="1231"/>
        <v>2012</v>
      </c>
      <c r="K382" s="256">
        <f t="shared" si="1231"/>
        <v>1762</v>
      </c>
      <c r="L382" s="256">
        <f t="shared" si="1231"/>
        <v>1985</v>
      </c>
      <c r="N382" s="241">
        <f>P382+S382+V382+Y382+AB382+AE382+AH382+AK382+AN382+AQ382+AW382+AZ382+BC382+BF382+BI382+BL382+BO382+BR382+BU382+BX382+CA382+CD382+CG382+CJ382+AT382+DE382</f>
        <v>1762</v>
      </c>
      <c r="O382" s="241">
        <f t="shared" ref="O382:O383" si="1232">Q382+T382+W382+Z382+AC382+AF382+AI382+AL382+AO382+AR382+AX382+BA382+BD382+BG382+BJ382+BM382+BP382+BS382+BV382+BY382+CB382+CE382+CH382+CK382+AU382+DF382</f>
        <v>0</v>
      </c>
      <c r="P382" s="241">
        <f>P274</f>
        <v>34</v>
      </c>
      <c r="Q382" s="241">
        <f>Q274</f>
        <v>0</v>
      </c>
      <c r="R382" s="241"/>
      <c r="S382" s="241">
        <f>S274</f>
        <v>149</v>
      </c>
      <c r="T382" s="241">
        <f>T274</f>
        <v>0</v>
      </c>
      <c r="U382" s="241"/>
      <c r="V382" s="241">
        <f>V274</f>
        <v>81</v>
      </c>
      <c r="W382" s="241">
        <f>W274</f>
        <v>0</v>
      </c>
      <c r="Y382" s="241">
        <f>Y274</f>
        <v>219</v>
      </c>
      <c r="Z382" s="241">
        <f>Z274</f>
        <v>0</v>
      </c>
      <c r="AA382" s="241"/>
      <c r="AB382" s="241">
        <f>AB274</f>
        <v>112</v>
      </c>
      <c r="AC382" s="241">
        <f>AC274</f>
        <v>0</v>
      </c>
      <c r="AD382" s="241"/>
      <c r="AE382" s="241">
        <f>AE274</f>
        <v>95</v>
      </c>
      <c r="AF382" s="241">
        <f>AF274</f>
        <v>0</v>
      </c>
      <c r="AH382" s="241">
        <f>AH274</f>
        <v>61</v>
      </c>
      <c r="AI382" s="241">
        <f>AI274</f>
        <v>0</v>
      </c>
      <c r="AJ382" s="241"/>
      <c r="AK382" s="241">
        <f>AK274</f>
        <v>63</v>
      </c>
      <c r="AL382" s="241">
        <f>AL274</f>
        <v>0</v>
      </c>
      <c r="AM382" s="241"/>
      <c r="AN382" s="241">
        <f>AN274</f>
        <v>29</v>
      </c>
      <c r="AO382" s="241">
        <f>AO274</f>
        <v>0</v>
      </c>
      <c r="AQ382" s="241">
        <f>AQ274</f>
        <v>57</v>
      </c>
      <c r="AR382" s="241">
        <f>AR274</f>
        <v>0</v>
      </c>
      <c r="AS382" s="241"/>
      <c r="AT382" s="241">
        <f>AT274</f>
        <v>17</v>
      </c>
      <c r="AU382" s="241">
        <f>AU274</f>
        <v>0</v>
      </c>
      <c r="AW382" s="241">
        <f>AW274</f>
        <v>44</v>
      </c>
      <c r="AX382" s="241">
        <f>AX274</f>
        <v>0</v>
      </c>
      <c r="AZ382" s="241">
        <f>AZ274</f>
        <v>90</v>
      </c>
      <c r="BA382" s="241">
        <f>BA274</f>
        <v>0</v>
      </c>
      <c r="BB382" s="241"/>
      <c r="BC382" s="241">
        <f>BC274</f>
        <v>102</v>
      </c>
      <c r="BD382" s="241">
        <f>BD274</f>
        <v>0</v>
      </c>
      <c r="BE382" s="241"/>
      <c r="BF382" s="241">
        <f>BF274</f>
        <v>75</v>
      </c>
      <c r="BG382" s="241">
        <f>BG274</f>
        <v>0</v>
      </c>
      <c r="BI382" s="241">
        <f>BI274</f>
        <v>68</v>
      </c>
      <c r="BJ382" s="241">
        <f>BJ274</f>
        <v>0</v>
      </c>
      <c r="BK382" s="241"/>
      <c r="BL382" s="241">
        <f>BL274</f>
        <v>50</v>
      </c>
      <c r="BM382" s="241">
        <f>BM274</f>
        <v>0</v>
      </c>
      <c r="BN382" s="241"/>
      <c r="BO382" s="241">
        <f>BO274</f>
        <v>63</v>
      </c>
      <c r="BP382" s="241">
        <f>BP274</f>
        <v>0</v>
      </c>
      <c r="BR382" s="241">
        <f>BR274</f>
        <v>45</v>
      </c>
      <c r="BS382" s="241">
        <f>BS274</f>
        <v>0</v>
      </c>
      <c r="BT382" s="241"/>
      <c r="BU382" s="241">
        <f>BU274</f>
        <v>62</v>
      </c>
      <c r="BV382" s="241">
        <f>BV274</f>
        <v>0</v>
      </c>
      <c r="BW382" s="241"/>
      <c r="BX382" s="241">
        <f>BX274</f>
        <v>52</v>
      </c>
      <c r="BY382" s="241">
        <f>BY274</f>
        <v>0</v>
      </c>
      <c r="CA382" s="241">
        <f>CA274</f>
        <v>66</v>
      </c>
      <c r="CB382" s="241">
        <f>CB274</f>
        <v>0</v>
      </c>
      <c r="CC382" s="241"/>
      <c r="CD382" s="241">
        <f>CD274</f>
        <v>26</v>
      </c>
      <c r="CE382" s="241">
        <f>CE274</f>
        <v>0</v>
      </c>
      <c r="CF382" s="241"/>
      <c r="CG382" s="241">
        <f>CG274</f>
        <v>74</v>
      </c>
      <c r="CH382" s="241">
        <f>CH274</f>
        <v>0</v>
      </c>
      <c r="CJ382" s="241">
        <f>CJ274</f>
        <v>28</v>
      </c>
      <c r="CK382" s="241">
        <f>CK274</f>
        <v>0</v>
      </c>
      <c r="CL382" s="241"/>
      <c r="CM382" s="241">
        <f>CM274</f>
        <v>0</v>
      </c>
      <c r="CN382" s="241">
        <f>CN274</f>
        <v>0</v>
      </c>
      <c r="CO382" s="241"/>
      <c r="CP382" s="241">
        <f>CP274</f>
        <v>0</v>
      </c>
      <c r="CQ382" s="241">
        <f>CQ274</f>
        <v>0</v>
      </c>
      <c r="CS382" s="241">
        <f>CS274</f>
        <v>45</v>
      </c>
      <c r="CT382" s="241">
        <f>CT274</f>
        <v>0</v>
      </c>
      <c r="CU382" s="241"/>
      <c r="CV382" s="241">
        <f>CV274</f>
        <v>35</v>
      </c>
      <c r="CW382" s="241">
        <f>CW274</f>
        <v>0</v>
      </c>
      <c r="CX382" s="241"/>
      <c r="CY382" s="241">
        <f>CY274</f>
        <v>79</v>
      </c>
      <c r="CZ382" s="241">
        <f>CZ274</f>
        <v>0</v>
      </c>
      <c r="DB382" s="241">
        <f>DB274</f>
        <v>27</v>
      </c>
      <c r="DC382" s="241">
        <f>DC274</f>
        <v>0</v>
      </c>
      <c r="DD382" s="241"/>
      <c r="DE382" s="241">
        <f>DE274</f>
        <v>0</v>
      </c>
      <c r="DF382" s="241">
        <f>DF274</f>
        <v>0</v>
      </c>
    </row>
    <row r="383" spans="1:110" x14ac:dyDescent="0.25">
      <c r="A383" s="77"/>
      <c r="B383" s="70" t="s">
        <v>1184</v>
      </c>
      <c r="C383" s="6"/>
      <c r="D383" s="6"/>
      <c r="E383" s="12"/>
      <c r="F383" s="12"/>
      <c r="G383" s="12"/>
      <c r="H383" s="35"/>
      <c r="I383" s="256">
        <f t="shared" si="1231"/>
        <v>38</v>
      </c>
      <c r="J383" s="256">
        <f t="shared" si="1231"/>
        <v>63</v>
      </c>
      <c r="K383" s="256">
        <f t="shared" si="1231"/>
        <v>81</v>
      </c>
      <c r="L383" s="256">
        <f t="shared" si="1231"/>
        <v>127</v>
      </c>
      <c r="N383" s="241">
        <f t="shared" ref="N383" si="1233">P383+S383+V383+Y383+AB383+AE383+AH383+AK383+AN383+AQ383+AW383+AZ383+BC383+BF383+BI383+BL383+BO383+BR383+BU383+BX383+CA383+CD383+CG383+CJ383+AT383+DE383</f>
        <v>81</v>
      </c>
      <c r="O383" s="241">
        <f t="shared" si="1232"/>
        <v>0</v>
      </c>
      <c r="P383" s="241">
        <f>P275</f>
        <v>0</v>
      </c>
      <c r="Q383" s="241">
        <f>Q275</f>
        <v>0</v>
      </c>
      <c r="R383" s="241"/>
      <c r="S383" s="241">
        <f>S275</f>
        <v>0</v>
      </c>
      <c r="T383" s="241">
        <f>T275</f>
        <v>0</v>
      </c>
      <c r="U383" s="241"/>
      <c r="V383" s="241">
        <f>V275</f>
        <v>0</v>
      </c>
      <c r="W383" s="241">
        <f>W275</f>
        <v>0</v>
      </c>
      <c r="Y383" s="241">
        <f>Y275</f>
        <v>0</v>
      </c>
      <c r="Z383" s="241">
        <f>Z275</f>
        <v>0</v>
      </c>
      <c r="AA383" s="241"/>
      <c r="AB383" s="241">
        <f>AB275</f>
        <v>0</v>
      </c>
      <c r="AC383" s="241">
        <f>AC275</f>
        <v>0</v>
      </c>
      <c r="AD383" s="241"/>
      <c r="AE383" s="241">
        <f>AE275</f>
        <v>0</v>
      </c>
      <c r="AF383" s="241">
        <f>AF275</f>
        <v>0</v>
      </c>
      <c r="AH383" s="241">
        <f>AH275</f>
        <v>0</v>
      </c>
      <c r="AI383" s="241">
        <f>AI275</f>
        <v>0</v>
      </c>
      <c r="AJ383" s="241"/>
      <c r="AK383" s="241">
        <f>AK275</f>
        <v>0</v>
      </c>
      <c r="AL383" s="241">
        <f>AL275</f>
        <v>0</v>
      </c>
      <c r="AM383" s="241"/>
      <c r="AN383" s="241">
        <f>AN275</f>
        <v>0</v>
      </c>
      <c r="AO383" s="241">
        <f>AO275</f>
        <v>0</v>
      </c>
      <c r="AQ383" s="241">
        <f>AQ275</f>
        <v>0</v>
      </c>
      <c r="AR383" s="241">
        <f>AR275</f>
        <v>0</v>
      </c>
      <c r="AS383" s="241"/>
      <c r="AT383" s="241">
        <f>AT275</f>
        <v>0</v>
      </c>
      <c r="AU383" s="241">
        <f>AU275</f>
        <v>0</v>
      </c>
      <c r="AW383" s="241">
        <f>AW275</f>
        <v>0</v>
      </c>
      <c r="AX383" s="241">
        <f>AX275</f>
        <v>0</v>
      </c>
      <c r="AZ383" s="241">
        <f>AZ275</f>
        <v>0</v>
      </c>
      <c r="BA383" s="241">
        <f>BA275</f>
        <v>0</v>
      </c>
      <c r="BB383" s="241"/>
      <c r="BC383" s="241">
        <f>BC275</f>
        <v>0</v>
      </c>
      <c r="BD383" s="241">
        <f>BD275</f>
        <v>0</v>
      </c>
      <c r="BE383" s="241"/>
      <c r="BF383" s="241">
        <f>BF275</f>
        <v>0</v>
      </c>
      <c r="BG383" s="241">
        <f>BG275</f>
        <v>0</v>
      </c>
      <c r="BI383" s="241">
        <f>BI275</f>
        <v>0</v>
      </c>
      <c r="BJ383" s="241">
        <f>BJ275</f>
        <v>0</v>
      </c>
      <c r="BK383" s="241"/>
      <c r="BL383" s="241">
        <f>BL275</f>
        <v>0</v>
      </c>
      <c r="BM383" s="241">
        <f>BM275</f>
        <v>0</v>
      </c>
      <c r="BN383" s="241"/>
      <c r="BO383" s="241">
        <f>BO275</f>
        <v>0</v>
      </c>
      <c r="BP383" s="241">
        <f>BP275</f>
        <v>0</v>
      </c>
      <c r="BR383" s="241">
        <f>BR275</f>
        <v>0</v>
      </c>
      <c r="BS383" s="241">
        <f>BS275</f>
        <v>0</v>
      </c>
      <c r="BT383" s="241"/>
      <c r="BU383" s="241">
        <f>BU275</f>
        <v>0</v>
      </c>
      <c r="BV383" s="241">
        <f>BV275</f>
        <v>0</v>
      </c>
      <c r="BW383" s="241"/>
      <c r="BX383" s="241">
        <f>BX275</f>
        <v>0</v>
      </c>
      <c r="BY383" s="241">
        <f>BY275</f>
        <v>0</v>
      </c>
      <c r="CA383" s="241">
        <f>CA275</f>
        <v>0</v>
      </c>
      <c r="CB383" s="241">
        <f>CB275</f>
        <v>0</v>
      </c>
      <c r="CC383" s="241"/>
      <c r="CD383" s="241">
        <f>CD275</f>
        <v>0</v>
      </c>
      <c r="CE383" s="241">
        <f>CE275</f>
        <v>0</v>
      </c>
      <c r="CF383" s="241"/>
      <c r="CG383" s="241">
        <f>CG275</f>
        <v>0</v>
      </c>
      <c r="CH383" s="241">
        <f>CH275</f>
        <v>0</v>
      </c>
      <c r="CJ383" s="241">
        <f>CJ275</f>
        <v>0</v>
      </c>
      <c r="CK383" s="241">
        <f>CK275</f>
        <v>0</v>
      </c>
      <c r="CL383" s="241"/>
      <c r="CM383" s="241">
        <f>CM275</f>
        <v>0</v>
      </c>
      <c r="CN383" s="241">
        <f>CN275</f>
        <v>0</v>
      </c>
      <c r="CO383" s="241"/>
      <c r="CP383" s="241">
        <f>CP275</f>
        <v>0</v>
      </c>
      <c r="CQ383" s="241">
        <f>CQ275</f>
        <v>0</v>
      </c>
      <c r="CS383" s="241">
        <f>CS275</f>
        <v>0</v>
      </c>
      <c r="CT383" s="241">
        <f>CT275</f>
        <v>0</v>
      </c>
      <c r="CU383" s="241"/>
      <c r="CV383" s="241">
        <f>CV275</f>
        <v>0</v>
      </c>
      <c r="CW383" s="241">
        <f>CW275</f>
        <v>0</v>
      </c>
      <c r="CX383" s="241"/>
      <c r="CY383" s="241">
        <f>CY275</f>
        <v>0</v>
      </c>
      <c r="CZ383" s="241">
        <f>CZ275</f>
        <v>0</v>
      </c>
      <c r="DB383" s="241">
        <f>DB275</f>
        <v>0</v>
      </c>
      <c r="DC383" s="241">
        <f>DC275</f>
        <v>0</v>
      </c>
      <c r="DD383" s="241"/>
      <c r="DE383" s="241">
        <f>DE275</f>
        <v>81</v>
      </c>
      <c r="DF383" s="241">
        <f>DF275</f>
        <v>0</v>
      </c>
    </row>
    <row r="384" spans="1:110" ht="60" x14ac:dyDescent="0.25">
      <c r="A384" s="47" t="s">
        <v>448</v>
      </c>
      <c r="B384" s="48" t="s">
        <v>449</v>
      </c>
      <c r="C384" s="44"/>
      <c r="D384" s="42"/>
      <c r="E384" s="44"/>
      <c r="F384" s="44"/>
      <c r="G384" s="44"/>
      <c r="H384" s="44"/>
      <c r="I384" s="44"/>
      <c r="J384" s="44"/>
      <c r="K384" s="44"/>
      <c r="L384" s="44"/>
    </row>
    <row r="385" spans="1:95" ht="75" x14ac:dyDescent="0.25">
      <c r="A385" s="42" t="s">
        <v>451</v>
      </c>
      <c r="B385" s="43" t="s">
        <v>450</v>
      </c>
      <c r="C385" s="44"/>
      <c r="D385" s="42"/>
      <c r="E385" s="50"/>
      <c r="F385" s="50"/>
      <c r="G385" s="50"/>
      <c r="H385" s="50"/>
      <c r="I385" s="50"/>
      <c r="J385" s="50"/>
      <c r="K385" s="50"/>
      <c r="L385" s="50"/>
      <c r="M385" s="3" t="s">
        <v>281</v>
      </c>
    </row>
    <row r="386" spans="1:95" x14ac:dyDescent="0.25">
      <c r="A386" s="42"/>
      <c r="B386" s="46" t="s">
        <v>1959</v>
      </c>
      <c r="C386" s="42"/>
      <c r="D386" s="42"/>
      <c r="E386" s="50"/>
      <c r="F386" s="50"/>
      <c r="G386" s="50"/>
      <c r="H386" s="50"/>
      <c r="I386" s="50"/>
      <c r="J386" s="50"/>
      <c r="K386" s="50"/>
      <c r="L386" s="50"/>
      <c r="M386" s="3"/>
    </row>
    <row r="387" spans="1:95" x14ac:dyDescent="0.25">
      <c r="A387" s="42"/>
      <c r="B387" s="46" t="s">
        <v>1301</v>
      </c>
      <c r="C387" s="42"/>
      <c r="D387" s="42" t="s">
        <v>8</v>
      </c>
      <c r="E387" s="50"/>
      <c r="F387" s="50"/>
      <c r="G387" s="50"/>
      <c r="H387" s="50"/>
      <c r="I387" s="45">
        <f t="shared" ref="I387:K388" si="1234">I390/I393*100</f>
        <v>87.891440501043832</v>
      </c>
      <c r="J387" s="45">
        <f t="shared" si="1234"/>
        <v>94.594594594594597</v>
      </c>
      <c r="K387" s="45">
        <f>(K390+K399)/(K393+K402)*100</f>
        <v>96.991929567131336</v>
      </c>
      <c r="L387" s="45">
        <f>(L390+L399)/(L393+L402)*100</f>
        <v>97.869213813372525</v>
      </c>
      <c r="M387" s="3"/>
      <c r="N387" s="45">
        <f t="shared" ref="N387" si="1235">N390/N393*100</f>
        <v>97.663551401869171</v>
      </c>
      <c r="O387" s="45" t="e">
        <f t="shared" ref="O387:P388" si="1236">O390/O393*100</f>
        <v>#DIV/0!</v>
      </c>
      <c r="P387" s="45" t="e">
        <f t="shared" ref="P387:Q387" si="1237">P390/P393*100</f>
        <v>#DIV/0!</v>
      </c>
      <c r="Q387" s="45" t="e">
        <f t="shared" si="1237"/>
        <v>#DIV/0!</v>
      </c>
      <c r="S387" s="45">
        <f t="shared" ref="S387:T388" si="1238">S390/S393*100</f>
        <v>100</v>
      </c>
      <c r="T387" s="45" t="e">
        <f t="shared" si="1238"/>
        <v>#DIV/0!</v>
      </c>
      <c r="V387" s="45">
        <f t="shared" ref="V387:W387" si="1239">V390/V393*100</f>
        <v>100</v>
      </c>
      <c r="W387" s="45" t="e">
        <f t="shared" si="1239"/>
        <v>#DIV/0!</v>
      </c>
      <c r="Y387" s="45">
        <f t="shared" ref="Y387:Z388" si="1240">Y390/Y393*100</f>
        <v>100</v>
      </c>
      <c r="Z387" s="45" t="e">
        <f t="shared" si="1240"/>
        <v>#DIV/0!</v>
      </c>
      <c r="AA387" s="241"/>
      <c r="AB387" s="45" t="e">
        <f t="shared" ref="AB387:AC387" si="1241">AB390/AB393*100</f>
        <v>#DIV/0!</v>
      </c>
      <c r="AC387" s="45" t="e">
        <f t="shared" si="1241"/>
        <v>#DIV/0!</v>
      </c>
      <c r="AD387" s="241"/>
      <c r="AE387" s="45" t="e">
        <f t="shared" ref="AE387:AF387" si="1242">AE390/AE393*100</f>
        <v>#DIV/0!</v>
      </c>
      <c r="AF387" s="45" t="e">
        <f t="shared" si="1242"/>
        <v>#DIV/0!</v>
      </c>
      <c r="AH387" s="45" t="e">
        <f t="shared" ref="AH387:AI387" si="1243">AH390/AH393*100</f>
        <v>#DIV/0!</v>
      </c>
      <c r="AI387" s="45" t="e">
        <f t="shared" si="1243"/>
        <v>#DIV/0!</v>
      </c>
      <c r="AJ387" s="241"/>
      <c r="AK387" s="45">
        <f t="shared" ref="AK387:AL387" si="1244">AK390/AK393*100</f>
        <v>100</v>
      </c>
      <c r="AL387" s="45" t="e">
        <f t="shared" si="1244"/>
        <v>#DIV/0!</v>
      </c>
      <c r="AM387" s="241"/>
      <c r="AN387" s="45" t="e">
        <f t="shared" ref="AN387:AO387" si="1245">AN390/AN393*100</f>
        <v>#DIV/0!</v>
      </c>
      <c r="AO387" s="45" t="e">
        <f t="shared" si="1245"/>
        <v>#DIV/0!</v>
      </c>
      <c r="AQ387" s="45" t="e">
        <f t="shared" ref="AQ387:AR387" si="1246">AQ390/AQ393*100</f>
        <v>#DIV/0!</v>
      </c>
      <c r="AR387" s="45" t="e">
        <f t="shared" si="1246"/>
        <v>#DIV/0!</v>
      </c>
      <c r="AS387" s="241"/>
      <c r="AT387" s="45" t="e">
        <f t="shared" ref="AT387:AU387" si="1247">AT390/AT393*100</f>
        <v>#DIV/0!</v>
      </c>
      <c r="AU387" s="45" t="e">
        <f t="shared" si="1247"/>
        <v>#DIV/0!</v>
      </c>
      <c r="AW387" s="45">
        <f t="shared" ref="AW387:AX387" si="1248">AW390/AW393*100</f>
        <v>100</v>
      </c>
      <c r="AX387" s="45" t="e">
        <f t="shared" si="1248"/>
        <v>#DIV/0!</v>
      </c>
      <c r="AZ387" s="45" t="e">
        <f t="shared" ref="AZ387:BA387" si="1249">AZ390/AZ393*100</f>
        <v>#DIV/0!</v>
      </c>
      <c r="BA387" s="45" t="e">
        <f t="shared" si="1249"/>
        <v>#DIV/0!</v>
      </c>
      <c r="BB387" s="241"/>
      <c r="BC387" s="45" t="e">
        <f t="shared" ref="BC387:BD387" si="1250">BC390/BC393*100</f>
        <v>#DIV/0!</v>
      </c>
      <c r="BD387" s="45" t="e">
        <f t="shared" si="1250"/>
        <v>#DIV/0!</v>
      </c>
      <c r="BE387" s="241"/>
      <c r="BF387" s="45">
        <f t="shared" ref="BF387:BG387" si="1251">BF390/BF393*100</f>
        <v>100</v>
      </c>
      <c r="BG387" s="45" t="e">
        <f t="shared" si="1251"/>
        <v>#DIV/0!</v>
      </c>
      <c r="BI387" s="45">
        <f t="shared" ref="BI387:BJ387" si="1252">BI390/BI393*100</f>
        <v>47.368421052631575</v>
      </c>
      <c r="BJ387" s="45" t="e">
        <f t="shared" si="1252"/>
        <v>#DIV/0!</v>
      </c>
      <c r="BK387" s="241"/>
      <c r="BL387" s="45" t="e">
        <f t="shared" ref="BL387:BM387" si="1253">BL390/BL393*100</f>
        <v>#DIV/0!</v>
      </c>
      <c r="BM387" s="45" t="e">
        <f t="shared" si="1253"/>
        <v>#DIV/0!</v>
      </c>
      <c r="BN387" s="241"/>
      <c r="BO387" s="45">
        <f t="shared" ref="BO387:BP387" si="1254">BO390/BO393*100</f>
        <v>100</v>
      </c>
      <c r="BP387" s="45" t="e">
        <f t="shared" si="1254"/>
        <v>#DIV/0!</v>
      </c>
      <c r="BR387" s="45" t="e">
        <f t="shared" ref="BR387:BS387" si="1255">BR390/BR393*100</f>
        <v>#DIV/0!</v>
      </c>
      <c r="BS387" s="45" t="e">
        <f t="shared" si="1255"/>
        <v>#DIV/0!</v>
      </c>
      <c r="BT387" s="241"/>
      <c r="BU387" s="45" t="e">
        <f t="shared" ref="BU387:BV387" si="1256">BU390/BU393*100</f>
        <v>#DIV/0!</v>
      </c>
      <c r="BV387" s="45" t="e">
        <f t="shared" si="1256"/>
        <v>#DIV/0!</v>
      </c>
      <c r="BW387" s="241"/>
      <c r="BX387" s="45">
        <f t="shared" ref="BX387:BY387" si="1257">BX390/BX393*100</f>
        <v>100</v>
      </c>
      <c r="BY387" s="45" t="e">
        <f t="shared" si="1257"/>
        <v>#DIV/0!</v>
      </c>
      <c r="CA387" s="45">
        <f t="shared" ref="CA387:CB387" si="1258">CA390/CA393*100</f>
        <v>100</v>
      </c>
      <c r="CB387" s="45" t="e">
        <f t="shared" si="1258"/>
        <v>#DIV/0!</v>
      </c>
      <c r="CC387" s="241"/>
      <c r="CD387" s="45" t="e">
        <f t="shared" ref="CD387:CE387" si="1259">CD390/CD393*100</f>
        <v>#DIV/0!</v>
      </c>
      <c r="CE387" s="45" t="e">
        <f t="shared" si="1259"/>
        <v>#DIV/0!</v>
      </c>
      <c r="CF387" s="241"/>
      <c r="CG387" s="45">
        <f t="shared" ref="CG387:CH387" si="1260">CG390/CG393*100</f>
        <v>100</v>
      </c>
      <c r="CH387" s="45" t="e">
        <f t="shared" si="1260"/>
        <v>#DIV/0!</v>
      </c>
      <c r="CJ387" s="45" t="e">
        <f t="shared" ref="CJ387:CK387" si="1261">CJ390/CJ393*100</f>
        <v>#DIV/0!</v>
      </c>
      <c r="CK387" s="45" t="e">
        <f t="shared" si="1261"/>
        <v>#DIV/0!</v>
      </c>
      <c r="CL387" s="241"/>
      <c r="CM387" s="45" t="e">
        <f t="shared" ref="CM387:CN387" si="1262">CM390/CM393*100</f>
        <v>#DIV/0!</v>
      </c>
      <c r="CN387" s="45" t="e">
        <f t="shared" si="1262"/>
        <v>#DIV/0!</v>
      </c>
      <c r="CO387" s="241"/>
      <c r="CP387" s="45" t="e">
        <f t="shared" ref="CP387:CQ387" si="1263">CP390/CP393*100</f>
        <v>#DIV/0!</v>
      </c>
      <c r="CQ387" s="45" t="e">
        <f t="shared" si="1263"/>
        <v>#DIV/0!</v>
      </c>
    </row>
    <row r="388" spans="1:95" x14ac:dyDescent="0.25">
      <c r="A388" s="42"/>
      <c r="B388" s="46" t="s">
        <v>1302</v>
      </c>
      <c r="C388" s="42"/>
      <c r="D388" s="42" t="s">
        <v>8</v>
      </c>
      <c r="E388" s="50"/>
      <c r="F388" s="50"/>
      <c r="G388" s="50"/>
      <c r="H388" s="50"/>
      <c r="I388" s="45" t="e">
        <f t="shared" si="1234"/>
        <v>#DIV/0!</v>
      </c>
      <c r="J388" s="45" t="e">
        <f t="shared" si="1234"/>
        <v>#DIV/0!</v>
      </c>
      <c r="K388" s="45" t="e">
        <f t="shared" si="1234"/>
        <v>#DIV/0!</v>
      </c>
      <c r="L388" s="45" t="e">
        <f t="shared" ref="L388" si="1264">L391/L394*100</f>
        <v>#DIV/0!</v>
      </c>
      <c r="M388" s="3"/>
      <c r="N388" s="45" t="e">
        <f t="shared" ref="N388" si="1265">N391/N394*100</f>
        <v>#DIV/0!</v>
      </c>
      <c r="O388" s="45" t="e">
        <f t="shared" si="1236"/>
        <v>#DIV/0!</v>
      </c>
      <c r="P388" s="45" t="e">
        <f t="shared" si="1236"/>
        <v>#DIV/0!</v>
      </c>
      <c r="Q388" s="45" t="e">
        <f t="shared" ref="Q388" si="1266">Q391/Q394*100</f>
        <v>#DIV/0!</v>
      </c>
      <c r="S388" s="45" t="e">
        <f t="shared" ref="S388" si="1267">S391/S394*100</f>
        <v>#DIV/0!</v>
      </c>
      <c r="T388" s="45" t="e">
        <f t="shared" si="1238"/>
        <v>#DIV/0!</v>
      </c>
      <c r="V388" s="45" t="e">
        <f t="shared" ref="V388:W388" si="1268">V391/V394*100</f>
        <v>#DIV/0!</v>
      </c>
      <c r="W388" s="45" t="e">
        <f t="shared" si="1268"/>
        <v>#DIV/0!</v>
      </c>
      <c r="Y388" s="45" t="e">
        <f t="shared" ref="Y388" si="1269">Y391/Y394*100</f>
        <v>#DIV/0!</v>
      </c>
      <c r="Z388" s="45" t="e">
        <f t="shared" si="1240"/>
        <v>#DIV/0!</v>
      </c>
      <c r="AA388" s="241"/>
      <c r="AB388" s="45" t="e">
        <f t="shared" ref="AB388:AC388" si="1270">AB391/AB394*100</f>
        <v>#DIV/0!</v>
      </c>
      <c r="AC388" s="45" t="e">
        <f t="shared" si="1270"/>
        <v>#DIV/0!</v>
      </c>
      <c r="AD388" s="241"/>
      <c r="AE388" s="45" t="e">
        <f t="shared" ref="AE388:AF388" si="1271">AE391/AE394*100</f>
        <v>#DIV/0!</v>
      </c>
      <c r="AF388" s="45" t="e">
        <f t="shared" si="1271"/>
        <v>#DIV/0!</v>
      </c>
      <c r="AH388" s="45" t="e">
        <f t="shared" ref="AH388:AI388" si="1272">AH391/AH394*100</f>
        <v>#DIV/0!</v>
      </c>
      <c r="AI388" s="45" t="e">
        <f t="shared" si="1272"/>
        <v>#DIV/0!</v>
      </c>
      <c r="AJ388" s="241"/>
      <c r="AK388" s="45" t="e">
        <f t="shared" ref="AK388:AL388" si="1273">AK391/AK394*100</f>
        <v>#DIV/0!</v>
      </c>
      <c r="AL388" s="45" t="e">
        <f t="shared" si="1273"/>
        <v>#DIV/0!</v>
      </c>
      <c r="AM388" s="241"/>
      <c r="AN388" s="45" t="e">
        <f t="shared" ref="AN388:AO388" si="1274">AN391/AN394*100</f>
        <v>#DIV/0!</v>
      </c>
      <c r="AO388" s="45" t="e">
        <f t="shared" si="1274"/>
        <v>#DIV/0!</v>
      </c>
      <c r="AQ388" s="45" t="e">
        <f t="shared" ref="AQ388:AR388" si="1275">AQ391/AQ394*100</f>
        <v>#DIV/0!</v>
      </c>
      <c r="AR388" s="45" t="e">
        <f t="shared" si="1275"/>
        <v>#DIV/0!</v>
      </c>
      <c r="AS388" s="241"/>
      <c r="AT388" s="45" t="e">
        <f t="shared" ref="AT388:AU388" si="1276">AT391/AT394*100</f>
        <v>#DIV/0!</v>
      </c>
      <c r="AU388" s="45" t="e">
        <f t="shared" si="1276"/>
        <v>#DIV/0!</v>
      </c>
      <c r="AW388" s="45" t="e">
        <f t="shared" ref="AW388:AX388" si="1277">AW391/AW394*100</f>
        <v>#DIV/0!</v>
      </c>
      <c r="AX388" s="45" t="e">
        <f t="shared" si="1277"/>
        <v>#DIV/0!</v>
      </c>
      <c r="AZ388" s="45" t="e">
        <f t="shared" ref="AZ388:BA388" si="1278">AZ391/AZ394*100</f>
        <v>#DIV/0!</v>
      </c>
      <c r="BA388" s="45" t="e">
        <f t="shared" si="1278"/>
        <v>#DIV/0!</v>
      </c>
      <c r="BB388" s="241"/>
      <c r="BC388" s="45" t="e">
        <f t="shared" ref="BC388:BD388" si="1279">BC391/BC394*100</f>
        <v>#DIV/0!</v>
      </c>
      <c r="BD388" s="45" t="e">
        <f t="shared" si="1279"/>
        <v>#DIV/0!</v>
      </c>
      <c r="BE388" s="241"/>
      <c r="BF388" s="45" t="e">
        <f t="shared" ref="BF388:BG388" si="1280">BF391/BF394*100</f>
        <v>#DIV/0!</v>
      </c>
      <c r="BG388" s="45" t="e">
        <f t="shared" si="1280"/>
        <v>#DIV/0!</v>
      </c>
      <c r="BI388" s="45" t="e">
        <f t="shared" ref="BI388:BJ388" si="1281">BI391/BI394*100</f>
        <v>#DIV/0!</v>
      </c>
      <c r="BJ388" s="45" t="e">
        <f t="shared" si="1281"/>
        <v>#DIV/0!</v>
      </c>
      <c r="BK388" s="241"/>
      <c r="BL388" s="45" t="e">
        <f t="shared" ref="BL388:BM388" si="1282">BL391/BL394*100</f>
        <v>#DIV/0!</v>
      </c>
      <c r="BM388" s="45" t="e">
        <f t="shared" si="1282"/>
        <v>#DIV/0!</v>
      </c>
      <c r="BN388" s="241"/>
      <c r="BO388" s="45" t="e">
        <f t="shared" ref="BO388:BP388" si="1283">BO391/BO394*100</f>
        <v>#DIV/0!</v>
      </c>
      <c r="BP388" s="45" t="e">
        <f t="shared" si="1283"/>
        <v>#DIV/0!</v>
      </c>
      <c r="BR388" s="45" t="e">
        <f t="shared" ref="BR388:BS388" si="1284">BR391/BR394*100</f>
        <v>#DIV/0!</v>
      </c>
      <c r="BS388" s="45" t="e">
        <f t="shared" si="1284"/>
        <v>#DIV/0!</v>
      </c>
      <c r="BT388" s="241"/>
      <c r="BU388" s="45" t="e">
        <f t="shared" ref="BU388:BV388" si="1285">BU391/BU394*100</f>
        <v>#DIV/0!</v>
      </c>
      <c r="BV388" s="45" t="e">
        <f t="shared" si="1285"/>
        <v>#DIV/0!</v>
      </c>
      <c r="BW388" s="241"/>
      <c r="BX388" s="45" t="e">
        <f t="shared" ref="BX388:BY388" si="1286">BX391/BX394*100</f>
        <v>#DIV/0!</v>
      </c>
      <c r="BY388" s="45" t="e">
        <f t="shared" si="1286"/>
        <v>#DIV/0!</v>
      </c>
      <c r="CA388" s="45" t="e">
        <f t="shared" ref="CA388:CB388" si="1287">CA391/CA394*100</f>
        <v>#DIV/0!</v>
      </c>
      <c r="CB388" s="45" t="e">
        <f t="shared" si="1287"/>
        <v>#DIV/0!</v>
      </c>
      <c r="CC388" s="241"/>
      <c r="CD388" s="45" t="e">
        <f t="shared" ref="CD388:CE388" si="1288">CD391/CD394*100</f>
        <v>#DIV/0!</v>
      </c>
      <c r="CE388" s="45" t="e">
        <f t="shared" si="1288"/>
        <v>#DIV/0!</v>
      </c>
      <c r="CF388" s="241"/>
      <c r="CG388" s="45" t="e">
        <f t="shared" ref="CG388:CH388" si="1289">CG391/CG394*100</f>
        <v>#DIV/0!</v>
      </c>
      <c r="CH388" s="45" t="e">
        <f t="shared" si="1289"/>
        <v>#DIV/0!</v>
      </c>
      <c r="CJ388" s="45" t="e">
        <f t="shared" ref="CJ388:CK388" si="1290">CJ391/CJ394*100</f>
        <v>#DIV/0!</v>
      </c>
      <c r="CK388" s="45" t="e">
        <f t="shared" si="1290"/>
        <v>#DIV/0!</v>
      </c>
      <c r="CL388" s="241"/>
      <c r="CM388" s="45" t="e">
        <f t="shared" ref="CM388:CN388" si="1291">CM391/CM394*100</f>
        <v>#DIV/0!</v>
      </c>
      <c r="CN388" s="45" t="e">
        <f t="shared" si="1291"/>
        <v>#DIV/0!</v>
      </c>
      <c r="CO388" s="241"/>
      <c r="CP388" s="45" t="e">
        <f t="shared" ref="CP388:CQ388" si="1292">CP391/CP394*100</f>
        <v>#DIV/0!</v>
      </c>
      <c r="CQ388" s="45" t="e">
        <f t="shared" si="1292"/>
        <v>#DIV/0!</v>
      </c>
    </row>
    <row r="389" spans="1:95" ht="90" x14ac:dyDescent="0.25">
      <c r="A389" s="13"/>
      <c r="B389" s="16" t="s">
        <v>452</v>
      </c>
      <c r="C389" s="6" t="s">
        <v>2804</v>
      </c>
      <c r="D389" s="13"/>
      <c r="E389" s="109"/>
      <c r="F389" s="109"/>
      <c r="G389" s="109"/>
      <c r="H389" s="109"/>
      <c r="I389" s="109"/>
      <c r="J389" s="109"/>
      <c r="K389" s="109"/>
      <c r="L389" s="109"/>
      <c r="M389" s="3"/>
    </row>
    <row r="390" spans="1:95" x14ac:dyDescent="0.25">
      <c r="A390" s="13"/>
      <c r="B390" s="16" t="s">
        <v>1182</v>
      </c>
      <c r="C390" s="6"/>
      <c r="D390" s="6" t="s">
        <v>950</v>
      </c>
      <c r="E390" s="109"/>
      <c r="F390" s="109"/>
      <c r="G390" s="109"/>
      <c r="H390" s="140"/>
      <c r="I390" s="140">
        <v>842</v>
      </c>
      <c r="J390" s="140">
        <v>875</v>
      </c>
      <c r="K390" s="140">
        <v>836</v>
      </c>
      <c r="L390" s="140">
        <v>749</v>
      </c>
      <c r="M390" s="3"/>
      <c r="N390" s="241">
        <f>P390+S390+V390+Y390+AB390+AE390+AH390+AK390+AN390+AQ390+AW390+AZ390+BC390+BF390+BI390+BL390+BO390+BR390+BU390+BX390+CA390+CD390+CG390+CJ390+AT390+CM390+CP390</f>
        <v>836</v>
      </c>
      <c r="O390" s="241">
        <f>Q390+T390+W390+Z390+AC390+AF390+AI390+AL390+AO390+AR390+AX390+BA390+BD390+BG390+BJ390+BM390+BP390+BS390+BV390+BY390+CB390+CE390+CH390+CK390+AU390+CN390+CQ390</f>
        <v>0</v>
      </c>
      <c r="P390">
        <v>0</v>
      </c>
      <c r="Q390">
        <v>0</v>
      </c>
      <c r="S390">
        <v>107</v>
      </c>
      <c r="V390">
        <v>200</v>
      </c>
      <c r="Y390">
        <v>71</v>
      </c>
      <c r="AB390">
        <v>0</v>
      </c>
      <c r="AE390">
        <v>0</v>
      </c>
      <c r="AH390">
        <v>0</v>
      </c>
      <c r="AK390">
        <v>14</v>
      </c>
      <c r="AN390">
        <v>0</v>
      </c>
      <c r="AQ390">
        <v>0</v>
      </c>
      <c r="AT390" s="241">
        <v>0</v>
      </c>
      <c r="AW390">
        <v>80</v>
      </c>
      <c r="AZ390">
        <v>0</v>
      </c>
      <c r="BC390">
        <v>0</v>
      </c>
      <c r="BF390">
        <v>115</v>
      </c>
      <c r="BI390">
        <v>18</v>
      </c>
      <c r="BL390">
        <v>0</v>
      </c>
      <c r="BO390">
        <v>42</v>
      </c>
      <c r="BR390">
        <v>0</v>
      </c>
      <c r="BU390">
        <v>0</v>
      </c>
      <c r="BX390">
        <v>72</v>
      </c>
      <c r="CA390">
        <v>54</v>
      </c>
      <c r="CD390">
        <v>0</v>
      </c>
      <c r="CG390">
        <v>63</v>
      </c>
      <c r="CJ390">
        <v>0</v>
      </c>
      <c r="CM390">
        <v>0</v>
      </c>
      <c r="CP390">
        <v>0</v>
      </c>
    </row>
    <row r="391" spans="1:95" x14ac:dyDescent="0.25">
      <c r="A391" s="13"/>
      <c r="B391" s="16" t="s">
        <v>1184</v>
      </c>
      <c r="C391" s="87"/>
      <c r="D391" s="6" t="s">
        <v>950</v>
      </c>
      <c r="E391" s="109"/>
      <c r="F391" s="109"/>
      <c r="G391" s="109"/>
      <c r="H391" s="140"/>
      <c r="I391" s="140">
        <v>0</v>
      </c>
      <c r="J391" s="140">
        <v>0</v>
      </c>
      <c r="K391" s="140">
        <v>0</v>
      </c>
      <c r="L391" s="140">
        <v>0</v>
      </c>
      <c r="M391" s="3"/>
      <c r="N391" s="241">
        <f>P391+S391+V391+Y391+AB391+AE391+AH391+AK391+AN391+AQ391+AW391+AZ391+BC391+BF391+BI391+BL391+BO391+BR391+BU391+BX391+CA391+CD391+CG391+CJ391+AT391+CM391+CP391</f>
        <v>0</v>
      </c>
      <c r="O391" s="241">
        <f>Q391+T391+W391+Z391+AC391+AF391+AI391+AL391+AO391+AR391+AX391+BA391+BD391+BG391+BJ391+BM391+BP391+BS391+BV391+BY391+CB391+CE391+CH391+CK391+AU391+CN391+CQ391</f>
        <v>0</v>
      </c>
    </row>
    <row r="392" spans="1:95" ht="75" x14ac:dyDescent="0.25">
      <c r="A392" s="13"/>
      <c r="B392" s="16" t="s">
        <v>453</v>
      </c>
      <c r="C392" s="6" t="s">
        <v>2805</v>
      </c>
      <c r="D392" s="13"/>
      <c r="E392" s="109"/>
      <c r="F392" s="109"/>
      <c r="G392" s="109"/>
      <c r="H392" s="140"/>
      <c r="I392" s="140"/>
      <c r="J392" s="140"/>
      <c r="K392" s="140"/>
      <c r="L392" s="140"/>
      <c r="M392" s="3"/>
    </row>
    <row r="393" spans="1:95" x14ac:dyDescent="0.25">
      <c r="A393" s="13"/>
      <c r="B393" s="16" t="s">
        <v>1182</v>
      </c>
      <c r="C393" s="87"/>
      <c r="D393" s="6" t="s">
        <v>950</v>
      </c>
      <c r="E393" s="109"/>
      <c r="F393" s="109"/>
      <c r="G393" s="109"/>
      <c r="H393" s="140"/>
      <c r="I393" s="140">
        <v>958</v>
      </c>
      <c r="J393" s="140">
        <v>925</v>
      </c>
      <c r="K393" s="140">
        <v>856</v>
      </c>
      <c r="L393" s="140">
        <v>775</v>
      </c>
      <c r="M393" s="3"/>
      <c r="N393" s="241">
        <f>P393+S393+V393+Y393+AB393+AE393+AH393+AK393+AN393+AQ393+AW393+AZ393+BC393+BF393+BI393+BL393+BO393+BR393+BU393+BX393+CA393+CD393+CG393+CJ393+AT393+CM393+CP393</f>
        <v>856</v>
      </c>
      <c r="O393" s="241">
        <f>Q393+T393+W393+Z393+AC393+AF393+AI393+AL393+AO393+AR393+AX393+BA393+BD393+BG393+BJ393+BM393+BP393+BS393+BV393+BY393+CB393+CE393+CH393+CK393+AU393+CN393+CQ393</f>
        <v>0</v>
      </c>
      <c r="P393">
        <v>0</v>
      </c>
      <c r="Q393">
        <v>0</v>
      </c>
      <c r="S393">
        <v>107</v>
      </c>
      <c r="V393">
        <v>200</v>
      </c>
      <c r="Y393">
        <v>71</v>
      </c>
      <c r="AB393">
        <v>0</v>
      </c>
      <c r="AE393">
        <v>0</v>
      </c>
      <c r="AH393">
        <v>0</v>
      </c>
      <c r="AK393">
        <v>14</v>
      </c>
      <c r="AN393">
        <v>0</v>
      </c>
      <c r="AQ393">
        <v>0</v>
      </c>
      <c r="AT393" s="241">
        <v>0</v>
      </c>
      <c r="AW393">
        <v>80</v>
      </c>
      <c r="AZ393">
        <v>0</v>
      </c>
      <c r="BC393">
        <v>0</v>
      </c>
      <c r="BF393">
        <v>115</v>
      </c>
      <c r="BI393">
        <v>38</v>
      </c>
      <c r="BL393">
        <v>0</v>
      </c>
      <c r="BO393">
        <v>42</v>
      </c>
      <c r="BR393">
        <v>0</v>
      </c>
      <c r="BU393">
        <v>0</v>
      </c>
      <c r="BX393">
        <v>72</v>
      </c>
      <c r="CA393">
        <v>54</v>
      </c>
      <c r="CD393">
        <v>0</v>
      </c>
      <c r="CG393">
        <v>63</v>
      </c>
      <c r="CJ393">
        <v>0</v>
      </c>
      <c r="CM393">
        <v>0</v>
      </c>
      <c r="CP393">
        <v>0</v>
      </c>
    </row>
    <row r="394" spans="1:95" x14ac:dyDescent="0.25">
      <c r="A394" s="13"/>
      <c r="B394" s="16" t="s">
        <v>1184</v>
      </c>
      <c r="C394" s="87"/>
      <c r="D394" s="6" t="s">
        <v>950</v>
      </c>
      <c r="E394" s="109"/>
      <c r="F394" s="109"/>
      <c r="G394" s="109"/>
      <c r="H394" s="140"/>
      <c r="I394" s="140">
        <v>0</v>
      </c>
      <c r="J394" s="140">
        <v>0</v>
      </c>
      <c r="K394" s="140">
        <v>0</v>
      </c>
      <c r="L394" s="140">
        <v>0</v>
      </c>
      <c r="M394" s="3"/>
      <c r="N394" s="241">
        <f>P394+S394+V394+Y394+AB394+AE394+AH394+AK394+AN394+AQ394+AW394+AZ394+BC394+BF394+BI394+BL394+BO394+BR394+BU394+BX394+CA394+CD394+CG394+CJ394+AT394+CM394+CP394</f>
        <v>0</v>
      </c>
      <c r="O394" s="241">
        <f>Q394+T394+W394+Z394+AC394+AF394+AI394+AL394+AO394+AR394+AX394+BA394+BD394+BG394+BJ394+BM394+BP394+BS394+BV394+BY394+CB394+CE394+CH394+CK394+AU394+CN394+CQ394</f>
        <v>0</v>
      </c>
    </row>
    <row r="395" spans="1:95" x14ac:dyDescent="0.25">
      <c r="A395" s="42"/>
      <c r="B395" s="46" t="s">
        <v>1732</v>
      </c>
      <c r="C395" s="44"/>
      <c r="D395" s="42"/>
      <c r="E395" s="50"/>
      <c r="F395" s="50"/>
      <c r="G395" s="50"/>
      <c r="H395" s="50"/>
      <c r="I395" s="50"/>
      <c r="J395" s="50"/>
      <c r="K395" s="50"/>
      <c r="L395" s="50"/>
      <c r="M395" s="3"/>
    </row>
    <row r="396" spans="1:95" x14ac:dyDescent="0.25">
      <c r="A396" s="42"/>
      <c r="B396" s="46" t="s">
        <v>1182</v>
      </c>
      <c r="C396" s="44"/>
      <c r="D396" s="42" t="s">
        <v>8</v>
      </c>
      <c r="E396" s="45">
        <v>85.94</v>
      </c>
      <c r="F396" s="45">
        <f t="shared" ref="F396:I397" si="1293">F399/F402*100</f>
        <v>88.349195930423363</v>
      </c>
      <c r="G396" s="45">
        <f t="shared" si="1293"/>
        <v>89.381153305203938</v>
      </c>
      <c r="H396" s="45">
        <v>89.94</v>
      </c>
      <c r="I396" s="45">
        <f t="shared" si="1293"/>
        <v>93.274929141973715</v>
      </c>
      <c r="J396" s="45">
        <f t="shared" ref="J396:L397" si="1294">J399/J402*100</f>
        <v>91.047120418848166</v>
      </c>
      <c r="K396" s="45">
        <f t="shared" si="1294"/>
        <v>96.684491978609628</v>
      </c>
      <c r="L396" s="45">
        <f t="shared" si="1294"/>
        <v>98.356445814072941</v>
      </c>
      <c r="M396" s="3"/>
      <c r="N396" s="45">
        <f t="shared" ref="N396:O396" si="1295">N399/N402*100</f>
        <v>100.87383943200436</v>
      </c>
      <c r="O396" s="45">
        <f t="shared" si="1295"/>
        <v>100</v>
      </c>
      <c r="P396" s="45">
        <f t="shared" ref="P396:Q396" si="1296">P399/P402*100</f>
        <v>100</v>
      </c>
      <c r="Q396" s="45">
        <f t="shared" si="1296"/>
        <v>100</v>
      </c>
      <c r="S396" s="45">
        <f t="shared" ref="S396:T396" si="1297">S399/S402*100</f>
        <v>100</v>
      </c>
      <c r="T396" s="45" t="e">
        <f t="shared" si="1297"/>
        <v>#DIV/0!</v>
      </c>
      <c r="V396" s="45" t="e">
        <f t="shared" ref="V396:W396" si="1298">V399/V402*100</f>
        <v>#DIV/0!</v>
      </c>
      <c r="W396" s="45" t="e">
        <f t="shared" si="1298"/>
        <v>#DIV/0!</v>
      </c>
      <c r="Y396" s="45">
        <f t="shared" ref="Y396:Z396" si="1299">Y399/Y402*100</f>
        <v>100</v>
      </c>
      <c r="Z396" s="45" t="e">
        <f t="shared" si="1299"/>
        <v>#DIV/0!</v>
      </c>
      <c r="AA396" s="241"/>
      <c r="AB396" s="45">
        <f t="shared" ref="AB396:AC396" si="1300">AB399/AB402*100</f>
        <v>100</v>
      </c>
      <c r="AC396" s="45" t="e">
        <f t="shared" si="1300"/>
        <v>#DIV/0!</v>
      </c>
      <c r="AD396" s="241"/>
      <c r="AE396" s="45" t="e">
        <f t="shared" ref="AE396:AF396" si="1301">AE399/AE402*100</f>
        <v>#DIV/0!</v>
      </c>
      <c r="AF396" s="45" t="e">
        <f t="shared" si="1301"/>
        <v>#DIV/0!</v>
      </c>
      <c r="AH396" s="45">
        <f t="shared" ref="AH396:AI396" si="1302">AH399/AH402*100</f>
        <v>100</v>
      </c>
      <c r="AI396" s="45" t="e">
        <f t="shared" si="1302"/>
        <v>#DIV/0!</v>
      </c>
      <c r="AJ396" s="241"/>
      <c r="AK396" s="45">
        <f t="shared" ref="AK396:AL396" si="1303">AK399/AK402*100</f>
        <v>100</v>
      </c>
      <c r="AL396" s="45" t="e">
        <f t="shared" si="1303"/>
        <v>#DIV/0!</v>
      </c>
      <c r="AM396" s="241"/>
      <c r="AN396" s="45" t="e">
        <f t="shared" ref="AN396:AO396" si="1304">AN399/AN402*100</f>
        <v>#DIV/0!</v>
      </c>
      <c r="AO396" s="45" t="e">
        <f t="shared" si="1304"/>
        <v>#DIV/0!</v>
      </c>
      <c r="AQ396" s="45" t="e">
        <f t="shared" ref="AQ396:AR396" si="1305">AQ399/AQ402*100</f>
        <v>#DIV/0!</v>
      </c>
      <c r="AR396" s="45" t="e">
        <f t="shared" si="1305"/>
        <v>#DIV/0!</v>
      </c>
      <c r="AS396" s="241"/>
      <c r="AT396" s="45" t="e">
        <f t="shared" ref="AT396:AU396" si="1306">AT399/AT402*100</f>
        <v>#DIV/0!</v>
      </c>
      <c r="AU396" s="45" t="e">
        <f t="shared" si="1306"/>
        <v>#DIV/0!</v>
      </c>
      <c r="AW396" s="45">
        <f t="shared" ref="AW396:AX396" si="1307">AW399/AW402*100</f>
        <v>100</v>
      </c>
      <c r="AX396" s="45" t="e">
        <f t="shared" si="1307"/>
        <v>#DIV/0!</v>
      </c>
      <c r="AZ396" s="45" t="e">
        <f t="shared" ref="AZ396:BA396" si="1308">AZ399/AZ402*100</f>
        <v>#DIV/0!</v>
      </c>
      <c r="BA396" s="45" t="e">
        <f t="shared" si="1308"/>
        <v>#DIV/0!</v>
      </c>
      <c r="BB396" s="241"/>
      <c r="BC396" s="45">
        <f t="shared" ref="BC396:BD396" si="1309">BC399/BC402*100</f>
        <v>100</v>
      </c>
      <c r="BD396" s="45" t="e">
        <f t="shared" si="1309"/>
        <v>#DIV/0!</v>
      </c>
      <c r="BE396" s="241"/>
      <c r="BF396" s="45">
        <f t="shared" ref="BF396:BG396" si="1310">BF399/BF402*100</f>
        <v>100</v>
      </c>
      <c r="BG396" s="45" t="e">
        <f t="shared" si="1310"/>
        <v>#DIV/0!</v>
      </c>
      <c r="BI396" s="45">
        <f t="shared" ref="BI396:BJ396" si="1311">BI399/BI402*100</f>
        <v>58.18181818181818</v>
      </c>
      <c r="BJ396" s="45" t="e">
        <f t="shared" si="1311"/>
        <v>#DIV/0!</v>
      </c>
      <c r="BK396" s="241"/>
      <c r="BL396" s="45" t="e">
        <f t="shared" ref="BL396:BM396" si="1312">BL399/BL402*100</f>
        <v>#DIV/0!</v>
      </c>
      <c r="BM396" s="45" t="e">
        <f t="shared" si="1312"/>
        <v>#DIV/0!</v>
      </c>
      <c r="BN396" s="241"/>
      <c r="BO396" s="45">
        <f t="shared" ref="BO396:BP396" si="1313">BO399/BO402*100</f>
        <v>100</v>
      </c>
      <c r="BP396" s="45" t="e">
        <f t="shared" si="1313"/>
        <v>#DIV/0!</v>
      </c>
      <c r="BR396" s="45" t="e">
        <f t="shared" ref="BR396:BS396" si="1314">BR399/BR402*100</f>
        <v>#DIV/0!</v>
      </c>
      <c r="BS396" s="45" t="e">
        <f t="shared" si="1314"/>
        <v>#DIV/0!</v>
      </c>
      <c r="BT396" s="241"/>
      <c r="BU396" s="45" t="e">
        <f t="shared" ref="BU396:BV396" si="1315">BU399/BU402*100</f>
        <v>#DIV/0!</v>
      </c>
      <c r="BV396" s="45" t="e">
        <f t="shared" si="1315"/>
        <v>#DIV/0!</v>
      </c>
      <c r="BW396" s="241"/>
      <c r="BX396" s="45">
        <f t="shared" ref="BX396:BY396" si="1316">BX399/BX402*100</f>
        <v>100</v>
      </c>
      <c r="BY396" s="45" t="e">
        <f t="shared" si="1316"/>
        <v>#DIV/0!</v>
      </c>
      <c r="CA396" s="45">
        <f t="shared" ref="CA396:CB396" si="1317">CA399/CA402*100</f>
        <v>100</v>
      </c>
      <c r="CB396" s="45" t="e">
        <f t="shared" si="1317"/>
        <v>#DIV/0!</v>
      </c>
      <c r="CC396" s="241"/>
      <c r="CD396" s="45" t="e">
        <f t="shared" ref="CD396:CE396" si="1318">CD399/CD402*100</f>
        <v>#DIV/0!</v>
      </c>
      <c r="CE396" s="45" t="e">
        <f t="shared" si="1318"/>
        <v>#DIV/0!</v>
      </c>
      <c r="CF396" s="241"/>
      <c r="CG396" s="45">
        <f t="shared" ref="CG396:CH396" si="1319">CG399/CG402*100</f>
        <v>100</v>
      </c>
      <c r="CH396" s="45" t="e">
        <f t="shared" si="1319"/>
        <v>#DIV/0!</v>
      </c>
      <c r="CJ396" s="45" t="e">
        <f t="shared" ref="CJ396:CK396" si="1320">CJ399/CJ402*100</f>
        <v>#DIV/0!</v>
      </c>
      <c r="CK396" s="45" t="e">
        <f t="shared" si="1320"/>
        <v>#DIV/0!</v>
      </c>
      <c r="CL396" s="241"/>
      <c r="CM396" s="45" t="e">
        <f t="shared" ref="CM396:CN396" si="1321">CM399/CM402*100</f>
        <v>#DIV/0!</v>
      </c>
      <c r="CN396" s="45" t="e">
        <f t="shared" si="1321"/>
        <v>#DIV/0!</v>
      </c>
      <c r="CO396" s="241"/>
      <c r="CP396" s="45" t="e">
        <f t="shared" ref="CP396:CQ396" si="1322">CP399/CP402*100</f>
        <v>#DIV/0!</v>
      </c>
      <c r="CQ396" s="45" t="e">
        <f t="shared" si="1322"/>
        <v>#DIV/0!</v>
      </c>
    </row>
    <row r="397" spans="1:95" x14ac:dyDescent="0.25">
      <c r="A397" s="42"/>
      <c r="B397" s="46" t="s">
        <v>1184</v>
      </c>
      <c r="C397" s="44"/>
      <c r="D397" s="42" t="s">
        <v>8</v>
      </c>
      <c r="E397" s="45">
        <v>0</v>
      </c>
      <c r="F397" s="45" t="e">
        <f t="shared" si="1293"/>
        <v>#DIV/0!</v>
      </c>
      <c r="G397" s="45" t="e">
        <f t="shared" si="1293"/>
        <v>#DIV/0!</v>
      </c>
      <c r="H397" s="45">
        <v>0</v>
      </c>
      <c r="I397" s="45">
        <f>I400/I403*100</f>
        <v>100</v>
      </c>
      <c r="J397" s="45" t="e">
        <f t="shared" si="1294"/>
        <v>#DIV/0!</v>
      </c>
      <c r="K397" s="45" t="e">
        <f t="shared" si="1294"/>
        <v>#DIV/0!</v>
      </c>
      <c r="L397" s="45" t="e">
        <f t="shared" si="1294"/>
        <v>#DIV/0!</v>
      </c>
      <c r="M397" s="3"/>
      <c r="N397" s="45" t="e">
        <f t="shared" ref="N397:O397" si="1323">N400/N403*100</f>
        <v>#DIV/0!</v>
      </c>
      <c r="O397" s="45" t="e">
        <f t="shared" si="1323"/>
        <v>#DIV/0!</v>
      </c>
      <c r="P397" s="45" t="e">
        <f t="shared" ref="P397:Q397" si="1324">P400/P403*100</f>
        <v>#DIV/0!</v>
      </c>
      <c r="Q397" s="45" t="e">
        <f t="shared" si="1324"/>
        <v>#DIV/0!</v>
      </c>
      <c r="S397" s="45" t="e">
        <f t="shared" ref="S397:T397" si="1325">S400/S403*100</f>
        <v>#DIV/0!</v>
      </c>
      <c r="T397" s="45" t="e">
        <f t="shared" si="1325"/>
        <v>#DIV/0!</v>
      </c>
      <c r="V397" s="45" t="e">
        <f t="shared" ref="V397:W397" si="1326">V400/V403*100</f>
        <v>#DIV/0!</v>
      </c>
      <c r="W397" s="45" t="e">
        <f t="shared" si="1326"/>
        <v>#DIV/0!</v>
      </c>
      <c r="Y397" s="45" t="e">
        <f t="shared" ref="Y397:Z397" si="1327">Y400/Y403*100</f>
        <v>#DIV/0!</v>
      </c>
      <c r="Z397" s="45" t="e">
        <f t="shared" si="1327"/>
        <v>#DIV/0!</v>
      </c>
      <c r="AA397" s="241"/>
      <c r="AB397" s="45" t="e">
        <f t="shared" ref="AB397:AC397" si="1328">AB400/AB403*100</f>
        <v>#DIV/0!</v>
      </c>
      <c r="AC397" s="45" t="e">
        <f t="shared" si="1328"/>
        <v>#DIV/0!</v>
      </c>
      <c r="AD397" s="241"/>
      <c r="AE397" s="45" t="e">
        <f t="shared" ref="AE397:AF397" si="1329">AE400/AE403*100</f>
        <v>#DIV/0!</v>
      </c>
      <c r="AF397" s="45" t="e">
        <f t="shared" si="1329"/>
        <v>#DIV/0!</v>
      </c>
      <c r="AH397" s="45" t="e">
        <f t="shared" ref="AH397:AI397" si="1330">AH400/AH403*100</f>
        <v>#DIV/0!</v>
      </c>
      <c r="AI397" s="45" t="e">
        <f t="shared" si="1330"/>
        <v>#DIV/0!</v>
      </c>
      <c r="AJ397" s="241"/>
      <c r="AK397" s="45" t="e">
        <f t="shared" ref="AK397:AL397" si="1331">AK400/AK403*100</f>
        <v>#DIV/0!</v>
      </c>
      <c r="AL397" s="45" t="e">
        <f t="shared" si="1331"/>
        <v>#DIV/0!</v>
      </c>
      <c r="AM397" s="241"/>
      <c r="AN397" s="45" t="e">
        <f t="shared" ref="AN397:AO397" si="1332">AN400/AN403*100</f>
        <v>#DIV/0!</v>
      </c>
      <c r="AO397" s="45" t="e">
        <f t="shared" si="1332"/>
        <v>#DIV/0!</v>
      </c>
      <c r="AQ397" s="45" t="e">
        <f t="shared" ref="AQ397:AR397" si="1333">AQ400/AQ403*100</f>
        <v>#DIV/0!</v>
      </c>
      <c r="AR397" s="45" t="e">
        <f t="shared" si="1333"/>
        <v>#DIV/0!</v>
      </c>
      <c r="AS397" s="241"/>
      <c r="AT397" s="45" t="e">
        <f t="shared" ref="AT397:AU397" si="1334">AT400/AT403*100</f>
        <v>#DIV/0!</v>
      </c>
      <c r="AU397" s="45" t="e">
        <f t="shared" si="1334"/>
        <v>#DIV/0!</v>
      </c>
      <c r="AW397" s="45" t="e">
        <f t="shared" ref="AW397:AX397" si="1335">AW400/AW403*100</f>
        <v>#DIV/0!</v>
      </c>
      <c r="AX397" s="45" t="e">
        <f t="shared" si="1335"/>
        <v>#DIV/0!</v>
      </c>
      <c r="AZ397" s="45" t="e">
        <f t="shared" ref="AZ397:BA397" si="1336">AZ400/AZ403*100</f>
        <v>#DIV/0!</v>
      </c>
      <c r="BA397" s="45" t="e">
        <f t="shared" si="1336"/>
        <v>#DIV/0!</v>
      </c>
      <c r="BB397" s="241"/>
      <c r="BC397" s="45" t="e">
        <f t="shared" ref="BC397:BD397" si="1337">BC400/BC403*100</f>
        <v>#DIV/0!</v>
      </c>
      <c r="BD397" s="45" t="e">
        <f t="shared" si="1337"/>
        <v>#DIV/0!</v>
      </c>
      <c r="BE397" s="241"/>
      <c r="BF397" s="45" t="e">
        <f t="shared" ref="BF397:BG397" si="1338">BF400/BF403*100</f>
        <v>#DIV/0!</v>
      </c>
      <c r="BG397" s="45" t="e">
        <f t="shared" si="1338"/>
        <v>#DIV/0!</v>
      </c>
      <c r="BI397" s="45" t="e">
        <f t="shared" ref="BI397:BJ397" si="1339">BI400/BI403*100</f>
        <v>#DIV/0!</v>
      </c>
      <c r="BJ397" s="45" t="e">
        <f t="shared" si="1339"/>
        <v>#DIV/0!</v>
      </c>
      <c r="BK397" s="241"/>
      <c r="BL397" s="45" t="e">
        <f t="shared" ref="BL397:BM397" si="1340">BL400/BL403*100</f>
        <v>#DIV/0!</v>
      </c>
      <c r="BM397" s="45" t="e">
        <f t="shared" si="1340"/>
        <v>#DIV/0!</v>
      </c>
      <c r="BN397" s="241"/>
      <c r="BO397" s="45" t="e">
        <f t="shared" ref="BO397:BP397" si="1341">BO400/BO403*100</f>
        <v>#DIV/0!</v>
      </c>
      <c r="BP397" s="45" t="e">
        <f t="shared" si="1341"/>
        <v>#DIV/0!</v>
      </c>
      <c r="BR397" s="45" t="e">
        <f t="shared" ref="BR397:BS397" si="1342">BR400/BR403*100</f>
        <v>#DIV/0!</v>
      </c>
      <c r="BS397" s="45" t="e">
        <f t="shared" si="1342"/>
        <v>#DIV/0!</v>
      </c>
      <c r="BT397" s="241"/>
      <c r="BU397" s="45" t="e">
        <f t="shared" ref="BU397:BV397" si="1343">BU400/BU403*100</f>
        <v>#DIV/0!</v>
      </c>
      <c r="BV397" s="45" t="e">
        <f t="shared" si="1343"/>
        <v>#DIV/0!</v>
      </c>
      <c r="BW397" s="241"/>
      <c r="BX397" s="45" t="e">
        <f t="shared" ref="BX397:BY397" si="1344">BX400/BX403*100</f>
        <v>#DIV/0!</v>
      </c>
      <c r="BY397" s="45" t="e">
        <f t="shared" si="1344"/>
        <v>#DIV/0!</v>
      </c>
      <c r="CA397" s="45" t="e">
        <f t="shared" ref="CA397:CB397" si="1345">CA400/CA403*100</f>
        <v>#DIV/0!</v>
      </c>
      <c r="CB397" s="45" t="e">
        <f t="shared" si="1345"/>
        <v>#DIV/0!</v>
      </c>
      <c r="CC397" s="241"/>
      <c r="CD397" s="45" t="e">
        <f t="shared" ref="CD397:CE397" si="1346">CD400/CD403*100</f>
        <v>#DIV/0!</v>
      </c>
      <c r="CE397" s="45" t="e">
        <f t="shared" si="1346"/>
        <v>#DIV/0!</v>
      </c>
      <c r="CF397" s="241"/>
      <c r="CG397" s="45" t="e">
        <f t="shared" ref="CG397:CH397" si="1347">CG400/CG403*100</f>
        <v>#DIV/0!</v>
      </c>
      <c r="CH397" s="45" t="e">
        <f t="shared" si="1347"/>
        <v>#DIV/0!</v>
      </c>
      <c r="CJ397" s="45" t="e">
        <f t="shared" ref="CJ397:CK397" si="1348">CJ400/CJ403*100</f>
        <v>#DIV/0!</v>
      </c>
      <c r="CK397" s="45" t="e">
        <f t="shared" si="1348"/>
        <v>#DIV/0!</v>
      </c>
      <c r="CL397" s="241"/>
      <c r="CM397" s="45" t="e">
        <f t="shared" ref="CM397:CN397" si="1349">CM400/CM403*100</f>
        <v>#DIV/0!</v>
      </c>
      <c r="CN397" s="45" t="e">
        <f t="shared" si="1349"/>
        <v>#DIV/0!</v>
      </c>
      <c r="CO397" s="241"/>
      <c r="CP397" s="45" t="e">
        <f t="shared" ref="CP397:CQ397" si="1350">CP400/CP403*100</f>
        <v>#DIV/0!</v>
      </c>
      <c r="CQ397" s="45" t="e">
        <f t="shared" si="1350"/>
        <v>#DIV/0!</v>
      </c>
    </row>
    <row r="398" spans="1:95" ht="90" x14ac:dyDescent="0.25">
      <c r="A398" s="6"/>
      <c r="B398" s="16" t="s">
        <v>452</v>
      </c>
      <c r="C398" s="6" t="s">
        <v>2990</v>
      </c>
      <c r="D398" s="6"/>
      <c r="E398" s="12"/>
      <c r="F398" s="35"/>
      <c r="G398" s="35"/>
      <c r="H398" s="35"/>
      <c r="I398" s="35"/>
      <c r="J398" s="35"/>
      <c r="K398" s="35"/>
      <c r="L398" s="35"/>
      <c r="M398" s="20"/>
    </row>
    <row r="399" spans="1:95" x14ac:dyDescent="0.25">
      <c r="A399" s="6"/>
      <c r="B399" s="16" t="s">
        <v>1182</v>
      </c>
      <c r="C399" s="6"/>
      <c r="D399" s="6" t="s">
        <v>950</v>
      </c>
      <c r="E399" s="12"/>
      <c r="F399" s="35">
        <v>2692</v>
      </c>
      <c r="G399" s="35">
        <v>2542</v>
      </c>
      <c r="H399" s="35"/>
      <c r="I399" s="35">
        <v>1810</v>
      </c>
      <c r="J399" s="35">
        <v>1739</v>
      </c>
      <c r="K399" s="35">
        <v>1808</v>
      </c>
      <c r="L399" s="35">
        <v>1915</v>
      </c>
      <c r="M399" s="20"/>
      <c r="N399" s="241">
        <f>P399+S399+V399+Y399+AB399+AE399+AH399+AK399+AN399+AQ399+AW399+AZ399+BC399+BF399+BI399+BL399+BO399+BR399+BU399+BX399+CA399+CD399+CG399+CJ399+AT399+CM399+CP399</f>
        <v>1847</v>
      </c>
      <c r="O399" s="241">
        <f>Q399+T399+W399+Z399+AC399+AF399+AI399+AL399+AO399+AR399+AX399+BA399+BD399+BG399+BJ399+BM399+BP399+BS399+BV399+BY399+CB399+CE399+CH399+CK399+AU399+CN399+CQ399</f>
        <v>75</v>
      </c>
      <c r="P399">
        <v>125</v>
      </c>
      <c r="Q399">
        <v>75</v>
      </c>
      <c r="S399">
        <v>500</v>
      </c>
      <c r="V399">
        <v>10</v>
      </c>
      <c r="Y399">
        <v>104</v>
      </c>
      <c r="AB399">
        <v>247</v>
      </c>
      <c r="AE399">
        <v>29</v>
      </c>
      <c r="AH399">
        <v>70</v>
      </c>
      <c r="AK399">
        <v>40</v>
      </c>
      <c r="AN399">
        <v>0</v>
      </c>
      <c r="AQ399">
        <v>0</v>
      </c>
      <c r="AT399" s="241">
        <v>0</v>
      </c>
      <c r="AW399">
        <v>100</v>
      </c>
      <c r="AZ399">
        <v>0</v>
      </c>
      <c r="BC399">
        <v>74</v>
      </c>
      <c r="BF399">
        <v>195</v>
      </c>
      <c r="BI399">
        <v>32</v>
      </c>
      <c r="BL399">
        <v>0</v>
      </c>
      <c r="BO399">
        <v>65</v>
      </c>
      <c r="BR399">
        <v>0</v>
      </c>
      <c r="BU399">
        <v>0</v>
      </c>
      <c r="BX399">
        <v>47</v>
      </c>
      <c r="CA399">
        <v>120</v>
      </c>
      <c r="CD399">
        <v>0</v>
      </c>
      <c r="CG399">
        <v>89</v>
      </c>
      <c r="CJ399">
        <v>0</v>
      </c>
      <c r="CM399">
        <v>0</v>
      </c>
      <c r="CP399">
        <v>0</v>
      </c>
    </row>
    <row r="400" spans="1:95" x14ac:dyDescent="0.25">
      <c r="A400" s="6"/>
      <c r="B400" s="16" t="s">
        <v>1184</v>
      </c>
      <c r="C400" s="6"/>
      <c r="D400" s="6" t="s">
        <v>950</v>
      </c>
      <c r="E400" s="12"/>
      <c r="F400" s="35">
        <v>0</v>
      </c>
      <c r="G400" s="35">
        <v>0</v>
      </c>
      <c r="H400" s="35"/>
      <c r="I400" s="35">
        <v>11</v>
      </c>
      <c r="J400" s="35">
        <v>0</v>
      </c>
      <c r="K400" s="35">
        <v>0</v>
      </c>
      <c r="L400" s="35">
        <v>0</v>
      </c>
      <c r="M400" s="20"/>
      <c r="N400" s="241">
        <f>P400+S400+V400+Y400+AB400+AE400+AH400+AK400+AN400+AQ400+AW400+AZ400+BC400+BF400+BI400+BL400+BO400+BR400+BU400+BX400+CA400+CD400+CG400+CJ400+AT400+CM400+CP400</f>
        <v>0</v>
      </c>
      <c r="O400" s="241">
        <f>Q400+T400+W400+Z400+AC400+AF400+AI400+AL400+AO400+AR400+AX400+BA400+BD400+BG400+BJ400+BM400+BP400+BS400+BV400+BY400+CB400+CE400+CH400+CK400+AU400+CN400+CQ400</f>
        <v>0</v>
      </c>
    </row>
    <row r="401" spans="1:95" ht="75" x14ac:dyDescent="0.25">
      <c r="A401" s="6"/>
      <c r="B401" s="16" t="s">
        <v>453</v>
      </c>
      <c r="C401" s="6" t="s">
        <v>2991</v>
      </c>
      <c r="D401" s="6"/>
      <c r="E401" s="12"/>
      <c r="F401" s="35"/>
      <c r="G401" s="35"/>
      <c r="H401" s="35"/>
      <c r="I401" s="35"/>
      <c r="J401" s="35"/>
      <c r="K401" s="35"/>
      <c r="L401" s="35"/>
    </row>
    <row r="402" spans="1:95" x14ac:dyDescent="0.25">
      <c r="A402" s="6"/>
      <c r="B402" s="16" t="s">
        <v>1182</v>
      </c>
      <c r="C402" s="6"/>
      <c r="D402" s="6" t="s">
        <v>950</v>
      </c>
      <c r="E402" s="12"/>
      <c r="F402" s="35">
        <v>3047</v>
      </c>
      <c r="G402" s="35">
        <v>2844</v>
      </c>
      <c r="H402" s="35"/>
      <c r="I402" s="35">
        <f>1966-25.5</f>
        <v>1940.5</v>
      </c>
      <c r="J402" s="35">
        <v>1910</v>
      </c>
      <c r="K402" s="35">
        <v>1870</v>
      </c>
      <c r="L402" s="35">
        <v>1947</v>
      </c>
      <c r="N402" s="241">
        <f>P402+S402+V402+Y402+AB402+AE402+AH402+AK402+AN402+AQ402+AW402+AZ402+BC402+BF402+BI402+BL402+BO402+BR402+BU402+BX402+CA402+CD402+CG402+CJ402+AT402+CM402+CP402</f>
        <v>1831</v>
      </c>
      <c r="O402" s="241">
        <f>Q402+T402+W402+Z402+AC402+AF402+AI402+AL402+AO402+AR402+AX402+BA402+BD402+BG402+BJ402+BM402+BP402+BS402+BV402+BY402+CB402+CE402+CH402+CK402+AU402+CN402+CQ402</f>
        <v>75</v>
      </c>
      <c r="P402">
        <v>125</v>
      </c>
      <c r="Q402">
        <v>75</v>
      </c>
      <c r="S402">
        <v>500</v>
      </c>
      <c r="V402">
        <v>0</v>
      </c>
      <c r="Y402">
        <v>104</v>
      </c>
      <c r="AB402">
        <v>247</v>
      </c>
      <c r="AE402">
        <v>0</v>
      </c>
      <c r="AH402">
        <v>70</v>
      </c>
      <c r="AK402">
        <v>40</v>
      </c>
      <c r="AN402">
        <v>0</v>
      </c>
      <c r="AQ402">
        <v>0</v>
      </c>
      <c r="AT402" s="241">
        <v>0</v>
      </c>
      <c r="AW402">
        <v>100</v>
      </c>
      <c r="AZ402">
        <v>0</v>
      </c>
      <c r="BC402">
        <v>74</v>
      </c>
      <c r="BF402">
        <v>195</v>
      </c>
      <c r="BI402">
        <v>55</v>
      </c>
      <c r="BL402">
        <v>0</v>
      </c>
      <c r="BO402">
        <v>65</v>
      </c>
      <c r="BR402">
        <v>0</v>
      </c>
      <c r="BU402">
        <v>0</v>
      </c>
      <c r="BX402">
        <v>47</v>
      </c>
      <c r="CA402">
        <v>120</v>
      </c>
      <c r="CD402">
        <v>0</v>
      </c>
      <c r="CG402">
        <v>89</v>
      </c>
      <c r="CJ402">
        <v>0</v>
      </c>
      <c r="CM402">
        <v>0</v>
      </c>
      <c r="CP402">
        <v>0</v>
      </c>
    </row>
    <row r="403" spans="1:95" x14ac:dyDescent="0.25">
      <c r="A403" s="6"/>
      <c r="B403" s="16" t="s">
        <v>1184</v>
      </c>
      <c r="C403" s="6"/>
      <c r="D403" s="6" t="s">
        <v>950</v>
      </c>
      <c r="E403" s="12"/>
      <c r="F403" s="35">
        <v>0</v>
      </c>
      <c r="G403" s="35">
        <v>0</v>
      </c>
      <c r="H403" s="35"/>
      <c r="I403" s="35">
        <v>11</v>
      </c>
      <c r="J403" s="35">
        <v>0</v>
      </c>
      <c r="K403" s="35">
        <v>0</v>
      </c>
      <c r="L403" s="35">
        <v>0</v>
      </c>
      <c r="N403" s="241">
        <f>P403+S403+V403+Y403+AB403+AE403+AH403+AK403+AN403+AQ403+AW403+AZ403+BC403+BF403+BI403+BL403+BO403+BR403+BU403+BX403+CA403+CD403+CG403+CJ403+AT403+CM403+CP403</f>
        <v>0</v>
      </c>
      <c r="O403" s="241">
        <f>Q403+T403+W403+Z403+AC403+AF403+AI403+AL403+AO403+AR403+AX403+BA403+BD403+BG403+BJ403+BM403+BP403+BS403+BV403+BY403+CB403+CE403+CH403+CK403+AU403+CN403+CQ403</f>
        <v>0</v>
      </c>
    </row>
    <row r="404" spans="1:95" ht="60" x14ac:dyDescent="0.25">
      <c r="A404" s="42" t="s">
        <v>454</v>
      </c>
      <c r="B404" s="43" t="s">
        <v>455</v>
      </c>
      <c r="C404" s="44"/>
      <c r="D404" s="42"/>
      <c r="E404" s="50"/>
      <c r="F404" s="50"/>
      <c r="G404" s="50"/>
      <c r="H404" s="50"/>
      <c r="I404" s="50"/>
      <c r="J404" s="50"/>
      <c r="K404" s="50"/>
      <c r="L404" s="50"/>
      <c r="M404" s="3" t="s">
        <v>281</v>
      </c>
    </row>
    <row r="405" spans="1:95" x14ac:dyDescent="0.25">
      <c r="A405" s="42"/>
      <c r="B405" s="46" t="s">
        <v>1182</v>
      </c>
      <c r="C405" s="44"/>
      <c r="D405" s="42" t="s">
        <v>8</v>
      </c>
      <c r="E405" s="45">
        <v>162.6</v>
      </c>
      <c r="F405" s="45">
        <v>162.13</v>
      </c>
      <c r="G405" s="45">
        <v>156.47999999999999</v>
      </c>
      <c r="H405" s="45">
        <v>125.98</v>
      </c>
      <c r="I405" s="45">
        <f t="shared" ref="I405:K406" si="1351">(I408/(I411*200/1000))*100</f>
        <v>88.431134373350474</v>
      </c>
      <c r="J405" s="45">
        <f t="shared" si="1351"/>
        <v>83.097880928355195</v>
      </c>
      <c r="K405" s="45">
        <f t="shared" si="1351"/>
        <v>120.54776246523895</v>
      </c>
      <c r="L405" s="45">
        <f t="shared" ref="L405" si="1352">(L408/(L411*200/1000))*100</f>
        <v>78.000714659826812</v>
      </c>
      <c r="M405" s="3"/>
      <c r="N405" s="45">
        <f t="shared" ref="N405" si="1353">(N408/(N411*200/1000))*100</f>
        <v>75.503626976513573</v>
      </c>
      <c r="O405" s="45">
        <f t="shared" ref="O405:P406" si="1354">(O408/(O411*200/1000))*100</f>
        <v>636.9426751592357</v>
      </c>
      <c r="P405" s="45">
        <f t="shared" si="1354"/>
        <v>866.55112651646459</v>
      </c>
      <c r="Q405" s="45">
        <f t="shared" ref="Q405" si="1355">(Q408/(Q411*200/1000))*100</f>
        <v>636.9426751592357</v>
      </c>
      <c r="S405" s="45">
        <f t="shared" ref="S405:T406" si="1356">(S408/(S411*200/1000))*100</f>
        <v>77.58620689655173</v>
      </c>
      <c r="T405" s="45" t="e">
        <f t="shared" si="1356"/>
        <v>#DIV/0!</v>
      </c>
      <c r="V405" s="45">
        <f t="shared" ref="V405:W405" si="1357">(V408/(V411*200/1000))*100</f>
        <v>130.77593722755012</v>
      </c>
      <c r="W405" s="45" t="e">
        <f t="shared" si="1357"/>
        <v>#DIV/0!</v>
      </c>
      <c r="Y405" s="45">
        <f t="shared" ref="Y405:Z406" si="1358">(Y408/(Y411*200/1000))*100</f>
        <v>108.23347506764594</v>
      </c>
      <c r="Z405" s="45" t="e">
        <f t="shared" si="1358"/>
        <v>#DIV/0!</v>
      </c>
      <c r="AA405" s="241"/>
      <c r="AB405" s="45">
        <f t="shared" ref="AB405:AC405" si="1359">(AB408/(AB411*200/1000))*100</f>
        <v>64.724919093851142</v>
      </c>
      <c r="AC405" s="45" t="e">
        <f t="shared" si="1359"/>
        <v>#DIV/0!</v>
      </c>
      <c r="AD405" s="241"/>
      <c r="AE405" s="45">
        <f t="shared" ref="AE405:AF405" si="1360">(AE408/(AE411*200/1000))*100</f>
        <v>243.58974358974356</v>
      </c>
      <c r="AF405" s="45" t="e">
        <f t="shared" si="1360"/>
        <v>#DIV/0!</v>
      </c>
      <c r="AH405" s="45">
        <f t="shared" ref="AH405:AI405" si="1361">(AH408/(AH411*200/1000))*100</f>
        <v>0</v>
      </c>
      <c r="AI405" s="45" t="e">
        <f t="shared" si="1361"/>
        <v>#DIV/0!</v>
      </c>
      <c r="AJ405" s="241"/>
      <c r="AK405" s="45">
        <f t="shared" ref="AK405:AL405" si="1362">(AK408/(AK411*200/1000))*100</f>
        <v>68.152031454783753</v>
      </c>
      <c r="AL405" s="45" t="e">
        <f t="shared" si="1362"/>
        <v>#DIV/0!</v>
      </c>
      <c r="AM405" s="241"/>
      <c r="AN405" s="45" t="e">
        <f t="shared" ref="AN405:AO405" si="1363">(AN408/(AN411*200/1000))*100</f>
        <v>#DIV/0!</v>
      </c>
      <c r="AO405" s="45" t="e">
        <f t="shared" si="1363"/>
        <v>#DIV/0!</v>
      </c>
      <c r="AQ405" s="45">
        <f t="shared" ref="AQ405:AR405" si="1364">(AQ408/(AQ411*200/1000))*100</f>
        <v>69.848661233993013</v>
      </c>
      <c r="AR405" s="45" t="e">
        <f t="shared" si="1364"/>
        <v>#DIV/0!</v>
      </c>
      <c r="AS405" s="241"/>
      <c r="AT405" s="45">
        <f t="shared" ref="AT405:AU405" si="1365">(AT408/(AT411*200/1000))*100</f>
        <v>94.827586206896555</v>
      </c>
      <c r="AU405" s="45" t="e">
        <f t="shared" si="1365"/>
        <v>#DIV/0!</v>
      </c>
      <c r="AW405" s="45">
        <f t="shared" ref="AW405:AX405" si="1366">(AW408/(AW411*200/1000))*100</f>
        <v>105.16252390057362</v>
      </c>
      <c r="AX405" s="45" t="e">
        <f t="shared" si="1366"/>
        <v>#DIV/0!</v>
      </c>
      <c r="AZ405" s="45">
        <f t="shared" ref="AZ405:BA405" si="1367">(AZ408/(AZ411*200/1000))*100</f>
        <v>0</v>
      </c>
      <c r="BA405" s="45" t="e">
        <f t="shared" si="1367"/>
        <v>#DIV/0!</v>
      </c>
      <c r="BB405" s="241"/>
      <c r="BC405" s="45">
        <f t="shared" ref="BC405:BD405" si="1368">(BC408/(BC411*200/1000))*100</f>
        <v>0</v>
      </c>
      <c r="BD405" s="45" t="e">
        <f t="shared" si="1368"/>
        <v>#DIV/0!</v>
      </c>
      <c r="BE405" s="241"/>
      <c r="BF405" s="45">
        <f t="shared" ref="BF405:BG405" si="1369">(BF408/(BF411*200/1000))*100</f>
        <v>19.025875190258752</v>
      </c>
      <c r="BG405" s="45" t="e">
        <f t="shared" si="1369"/>
        <v>#DIV/0!</v>
      </c>
      <c r="BI405" s="45">
        <f t="shared" ref="BI405:BJ405" si="1370">(BI408/(BI411*200/1000))*100</f>
        <v>25.575447570332482</v>
      </c>
      <c r="BJ405" s="45" t="e">
        <f t="shared" si="1370"/>
        <v>#DIV/0!</v>
      </c>
      <c r="BK405" s="241"/>
      <c r="BL405" s="45">
        <f t="shared" ref="BL405:BM405" si="1371">(BL408/(BL411*200/1000))*100</f>
        <v>103.44827586206897</v>
      </c>
      <c r="BM405" s="45" t="e">
        <f t="shared" si="1371"/>
        <v>#DIV/0!</v>
      </c>
      <c r="BN405" s="241"/>
      <c r="BO405" s="45">
        <f t="shared" ref="BO405:BP405" si="1372">(BO408/(BO411*200/1000))*100</f>
        <v>94.382022471910105</v>
      </c>
      <c r="BP405" s="45" t="e">
        <f t="shared" si="1372"/>
        <v>#DIV/0!</v>
      </c>
      <c r="BR405" s="45">
        <f t="shared" ref="BR405:BS405" si="1373">(BR408/(BR411*200/1000))*100</f>
        <v>104.12147505422993</v>
      </c>
      <c r="BS405" s="45" t="e">
        <f t="shared" si="1373"/>
        <v>#DIV/0!</v>
      </c>
      <c r="BT405" s="241"/>
      <c r="BU405" s="45">
        <f t="shared" ref="BU405:BV405" si="1374">(BU408/(BU411*200/1000))*100</f>
        <v>90.448625180897253</v>
      </c>
      <c r="BV405" s="45" t="e">
        <f t="shared" si="1374"/>
        <v>#DIV/0!</v>
      </c>
      <c r="BW405" s="241"/>
      <c r="BX405" s="45">
        <f t="shared" ref="BX405:BY405" si="1375">(BX408/(BX411*200/1000))*100</f>
        <v>129.03225806451613</v>
      </c>
      <c r="BY405" s="45" t="e">
        <f t="shared" si="1375"/>
        <v>#DIV/0!</v>
      </c>
      <c r="CA405" s="45">
        <f t="shared" ref="CA405:CB405" si="1376">(CA408/(CA411*200/1000))*100</f>
        <v>81.846799580272815</v>
      </c>
      <c r="CB405" s="45" t="e">
        <f t="shared" si="1376"/>
        <v>#DIV/0!</v>
      </c>
      <c r="CC405" s="241"/>
      <c r="CD405" s="45">
        <f t="shared" ref="CD405:CE405" si="1377">(CD408/(CD411*200/1000))*100</f>
        <v>0</v>
      </c>
      <c r="CE405" s="45" t="e">
        <f t="shared" si="1377"/>
        <v>#DIV/0!</v>
      </c>
      <c r="CF405" s="241"/>
      <c r="CG405" s="45">
        <f t="shared" ref="CG405:CH405" si="1378">(CG408/(CG411*200/1000))*100</f>
        <v>90.090090090090101</v>
      </c>
      <c r="CH405" s="45" t="e">
        <f t="shared" si="1378"/>
        <v>#DIV/0!</v>
      </c>
      <c r="CJ405" s="45" t="e">
        <f t="shared" ref="CJ405:CK405" si="1379">(CJ408/(CJ411*200/1000))*100</f>
        <v>#DIV/0!</v>
      </c>
      <c r="CK405" s="45" t="e">
        <f t="shared" si="1379"/>
        <v>#DIV/0!</v>
      </c>
      <c r="CL405" s="241"/>
      <c r="CM405" s="45" t="e">
        <f t="shared" ref="CM405:CN405" si="1380">(CM408/(CM411*200/1000))*100</f>
        <v>#DIV/0!</v>
      </c>
      <c r="CN405" s="45" t="e">
        <f t="shared" si="1380"/>
        <v>#DIV/0!</v>
      </c>
      <c r="CO405" s="241"/>
      <c r="CP405" s="45" t="e">
        <f t="shared" ref="CP405:CQ405" si="1381">(CP408/(CP411*200/1000))*100</f>
        <v>#DIV/0!</v>
      </c>
      <c r="CQ405" s="45" t="e">
        <f t="shared" si="1381"/>
        <v>#DIV/0!</v>
      </c>
    </row>
    <row r="406" spans="1:95" x14ac:dyDescent="0.25">
      <c r="A406" s="42"/>
      <c r="B406" s="46" t="s">
        <v>1184</v>
      </c>
      <c r="C406" s="44"/>
      <c r="D406" s="42" t="s">
        <v>8</v>
      </c>
      <c r="E406" s="45">
        <v>85.14</v>
      </c>
      <c r="F406" s="45">
        <v>797.45</v>
      </c>
      <c r="G406" s="45">
        <v>85.25</v>
      </c>
      <c r="H406" s="45">
        <v>94.19</v>
      </c>
      <c r="I406" s="45">
        <f t="shared" si="1351"/>
        <v>325.47097564711282</v>
      </c>
      <c r="J406" s="45">
        <f t="shared" si="1351"/>
        <v>4847.6454293628813</v>
      </c>
      <c r="K406" s="45">
        <f t="shared" si="1351"/>
        <v>128.0925193968672</v>
      </c>
      <c r="L406" s="45">
        <f t="shared" ref="L406" si="1382">(L409/(L412*200/1000))*100</f>
        <v>135.08866728889325</v>
      </c>
      <c r="M406" s="3"/>
      <c r="N406" s="45" t="e">
        <f t="shared" ref="N406" si="1383">(N409/(N412*200/1000))*100</f>
        <v>#DIV/0!</v>
      </c>
      <c r="O406" s="45" t="e">
        <f t="shared" ref="O406" si="1384">(O409/(O412*200/1000))*100</f>
        <v>#DIV/0!</v>
      </c>
      <c r="P406" s="45" t="e">
        <f t="shared" si="1354"/>
        <v>#DIV/0!</v>
      </c>
      <c r="Q406" s="45" t="e">
        <f t="shared" ref="Q406" si="1385">(Q409/(Q412*200/1000))*100</f>
        <v>#DIV/0!</v>
      </c>
      <c r="S406" s="45" t="e">
        <f t="shared" ref="S406" si="1386">(S409/(S412*200/1000))*100</f>
        <v>#DIV/0!</v>
      </c>
      <c r="T406" s="45" t="e">
        <f t="shared" si="1356"/>
        <v>#DIV/0!</v>
      </c>
      <c r="V406" s="45" t="e">
        <f t="shared" ref="V406:W406" si="1387">(V409/(V412*200/1000))*100</f>
        <v>#DIV/0!</v>
      </c>
      <c r="W406" s="45" t="e">
        <f t="shared" si="1387"/>
        <v>#DIV/0!</v>
      </c>
      <c r="Y406" s="45" t="e">
        <f t="shared" ref="Y406" si="1388">(Y409/(Y412*200/1000))*100</f>
        <v>#DIV/0!</v>
      </c>
      <c r="Z406" s="45" t="e">
        <f t="shared" si="1358"/>
        <v>#DIV/0!</v>
      </c>
      <c r="AA406" s="241"/>
      <c r="AB406" s="45" t="e">
        <f t="shared" ref="AB406:AC406" si="1389">(AB409/(AB412*200/1000))*100</f>
        <v>#DIV/0!</v>
      </c>
      <c r="AC406" s="45" t="e">
        <f t="shared" si="1389"/>
        <v>#DIV/0!</v>
      </c>
      <c r="AD406" s="241"/>
      <c r="AE406" s="45" t="e">
        <f t="shared" ref="AE406:AF406" si="1390">(AE409/(AE412*200/1000))*100</f>
        <v>#DIV/0!</v>
      </c>
      <c r="AF406" s="45" t="e">
        <f t="shared" si="1390"/>
        <v>#DIV/0!</v>
      </c>
      <c r="AH406" s="45" t="e">
        <f t="shared" ref="AH406:AI406" si="1391">(AH409/(AH412*200/1000))*100</f>
        <v>#DIV/0!</v>
      </c>
      <c r="AI406" s="45" t="e">
        <f t="shared" si="1391"/>
        <v>#DIV/0!</v>
      </c>
      <c r="AJ406" s="241"/>
      <c r="AK406" s="45" t="e">
        <f t="shared" ref="AK406:AL406" si="1392">(AK409/(AK412*200/1000))*100</f>
        <v>#DIV/0!</v>
      </c>
      <c r="AL406" s="45" t="e">
        <f t="shared" si="1392"/>
        <v>#DIV/0!</v>
      </c>
      <c r="AM406" s="241"/>
      <c r="AN406" s="45" t="e">
        <f t="shared" ref="AN406:AO406" si="1393">(AN409/(AN412*200/1000))*100</f>
        <v>#DIV/0!</v>
      </c>
      <c r="AO406" s="45" t="e">
        <f t="shared" si="1393"/>
        <v>#DIV/0!</v>
      </c>
      <c r="AQ406" s="45" t="e">
        <f t="shared" ref="AQ406:AR406" si="1394">(AQ409/(AQ412*200/1000))*100</f>
        <v>#DIV/0!</v>
      </c>
      <c r="AR406" s="45" t="e">
        <f t="shared" si="1394"/>
        <v>#DIV/0!</v>
      </c>
      <c r="AS406" s="241"/>
      <c r="AT406" s="45" t="e">
        <f t="shared" ref="AT406:AU406" si="1395">(AT409/(AT412*200/1000))*100</f>
        <v>#DIV/0!</v>
      </c>
      <c r="AU406" s="45" t="e">
        <f t="shared" si="1395"/>
        <v>#DIV/0!</v>
      </c>
      <c r="AW406" s="45" t="e">
        <f t="shared" ref="AW406:AX406" si="1396">(AW409/(AW412*200/1000))*100</f>
        <v>#DIV/0!</v>
      </c>
      <c r="AX406" s="45" t="e">
        <f t="shared" si="1396"/>
        <v>#DIV/0!</v>
      </c>
      <c r="AZ406" s="45" t="e">
        <f t="shared" ref="AZ406:BA406" si="1397">(AZ409/(AZ412*200/1000))*100</f>
        <v>#DIV/0!</v>
      </c>
      <c r="BA406" s="45" t="e">
        <f t="shared" si="1397"/>
        <v>#DIV/0!</v>
      </c>
      <c r="BB406" s="241"/>
      <c r="BC406" s="45" t="e">
        <f t="shared" ref="BC406:BD406" si="1398">(BC409/(BC412*200/1000))*100</f>
        <v>#DIV/0!</v>
      </c>
      <c r="BD406" s="45" t="e">
        <f t="shared" si="1398"/>
        <v>#DIV/0!</v>
      </c>
      <c r="BE406" s="241"/>
      <c r="BF406" s="45" t="e">
        <f t="shared" ref="BF406:BG406" si="1399">(BF409/(BF412*200/1000))*100</f>
        <v>#DIV/0!</v>
      </c>
      <c r="BG406" s="45" t="e">
        <f t="shared" si="1399"/>
        <v>#DIV/0!</v>
      </c>
      <c r="BI406" s="45" t="e">
        <f t="shared" ref="BI406:BJ406" si="1400">(BI409/(BI412*200/1000))*100</f>
        <v>#DIV/0!</v>
      </c>
      <c r="BJ406" s="45" t="e">
        <f t="shared" si="1400"/>
        <v>#DIV/0!</v>
      </c>
      <c r="BK406" s="241"/>
      <c r="BL406" s="45" t="e">
        <f t="shared" ref="BL406:BM406" si="1401">(BL409/(BL412*200/1000))*100</f>
        <v>#DIV/0!</v>
      </c>
      <c r="BM406" s="45" t="e">
        <f t="shared" si="1401"/>
        <v>#DIV/0!</v>
      </c>
      <c r="BN406" s="241"/>
      <c r="BO406" s="45" t="e">
        <f t="shared" ref="BO406:BP406" si="1402">(BO409/(BO412*200/1000))*100</f>
        <v>#DIV/0!</v>
      </c>
      <c r="BP406" s="45" t="e">
        <f t="shared" si="1402"/>
        <v>#DIV/0!</v>
      </c>
      <c r="BR406" s="45" t="e">
        <f t="shared" ref="BR406:BS406" si="1403">(BR409/(BR412*200/1000))*100</f>
        <v>#DIV/0!</v>
      </c>
      <c r="BS406" s="45" t="e">
        <f t="shared" si="1403"/>
        <v>#DIV/0!</v>
      </c>
      <c r="BT406" s="241"/>
      <c r="BU406" s="45" t="e">
        <f t="shared" ref="BU406:BV406" si="1404">(BU409/(BU412*200/1000))*100</f>
        <v>#DIV/0!</v>
      </c>
      <c r="BV406" s="45" t="e">
        <f t="shared" si="1404"/>
        <v>#DIV/0!</v>
      </c>
      <c r="BW406" s="241"/>
      <c r="BX406" s="45" t="e">
        <f t="shared" ref="BX406:BY406" si="1405">(BX409/(BX412*200/1000))*100</f>
        <v>#DIV/0!</v>
      </c>
      <c r="BY406" s="45" t="e">
        <f t="shared" si="1405"/>
        <v>#DIV/0!</v>
      </c>
      <c r="CA406" s="45" t="e">
        <f t="shared" ref="CA406:CB406" si="1406">(CA409/(CA412*200/1000))*100</f>
        <v>#DIV/0!</v>
      </c>
      <c r="CB406" s="45" t="e">
        <f t="shared" si="1406"/>
        <v>#DIV/0!</v>
      </c>
      <c r="CC406" s="241"/>
      <c r="CD406" s="45" t="e">
        <f t="shared" ref="CD406:CE406" si="1407">(CD409/(CD412*200/1000))*100</f>
        <v>#DIV/0!</v>
      </c>
      <c r="CE406" s="45" t="e">
        <f t="shared" si="1407"/>
        <v>#DIV/0!</v>
      </c>
      <c r="CF406" s="241"/>
      <c r="CG406" s="45" t="e">
        <f t="shared" ref="CG406:CH406" si="1408">(CG409/(CG412*200/1000))*100</f>
        <v>#DIV/0!</v>
      </c>
      <c r="CH406" s="45" t="e">
        <f t="shared" si="1408"/>
        <v>#DIV/0!</v>
      </c>
      <c r="CJ406" s="45" t="e">
        <f t="shared" ref="CJ406:CK406" si="1409">(CJ409/(CJ412*200/1000))*100</f>
        <v>#DIV/0!</v>
      </c>
      <c r="CK406" s="45" t="e">
        <f t="shared" si="1409"/>
        <v>#DIV/0!</v>
      </c>
      <c r="CL406" s="241"/>
      <c r="CM406" s="45" t="e">
        <f t="shared" ref="CM406:CN406" si="1410">(CM409/(CM412*200/1000))*100</f>
        <v>#DIV/0!</v>
      </c>
      <c r="CN406" s="45" t="e">
        <f t="shared" si="1410"/>
        <v>#DIV/0!</v>
      </c>
      <c r="CO406" s="241"/>
      <c r="CP406" s="45" t="e">
        <f t="shared" ref="CP406:CQ406" si="1411">(CP409/(CP412*200/1000))*100</f>
        <v>#DIV/0!</v>
      </c>
      <c r="CQ406" s="45" t="e">
        <f t="shared" si="1411"/>
        <v>#DIV/0!</v>
      </c>
    </row>
    <row r="407" spans="1:95" ht="105" x14ac:dyDescent="0.25">
      <c r="A407" s="6"/>
      <c r="B407" s="16" t="s">
        <v>456</v>
      </c>
      <c r="C407" s="6" t="s">
        <v>2711</v>
      </c>
      <c r="D407" s="6"/>
      <c r="E407" s="12"/>
      <c r="F407" s="12"/>
      <c r="G407" s="12"/>
      <c r="H407" s="12"/>
      <c r="I407" s="12"/>
      <c r="J407" s="12"/>
      <c r="K407" s="12"/>
      <c r="L407" s="12"/>
      <c r="M407" s="3"/>
    </row>
    <row r="408" spans="1:95" x14ac:dyDescent="0.25">
      <c r="A408" s="6"/>
      <c r="B408" s="16" t="s">
        <v>1182</v>
      </c>
      <c r="C408" s="6"/>
      <c r="D408" s="6" t="s">
        <v>1158</v>
      </c>
      <c r="E408" s="12"/>
      <c r="F408" s="12">
        <v>2809</v>
      </c>
      <c r="G408" s="12">
        <v>3340</v>
      </c>
      <c r="H408" s="12"/>
      <c r="I408" s="12">
        <f>2859-78</f>
        <v>2781</v>
      </c>
      <c r="J408" s="12">
        <v>3294</v>
      </c>
      <c r="K408" s="12">
        <f>3047+998+654</f>
        <v>4699</v>
      </c>
      <c r="L408" s="12">
        <v>3187</v>
      </c>
      <c r="M408" s="3"/>
      <c r="N408" s="241">
        <f>P408+S408+V408+Y408+AB408+AE408+AH408+AK408+AN408+AQ408+AW408+AZ408+BC408+BF408+BI408+BL408+BO408+BR408+BU408+BX408+CA408+CD408+CG408+CJ408+AT408+CM408+CP408</f>
        <v>2802</v>
      </c>
      <c r="O408" s="241">
        <f>Q408+T408+W408+Z408+AC408+AF408+AI408+AL408+AO408+AR408+AX408+BA408+BD408+BG408+BJ408+BM408+BP408+BS408+BV408+BY408+CB408+CE408+CH408+CK408+AU408+CN408+CQ408</f>
        <v>200</v>
      </c>
      <c r="P408">
        <v>200</v>
      </c>
      <c r="Q408">
        <v>200</v>
      </c>
      <c r="S408">
        <v>288</v>
      </c>
      <c r="V408">
        <v>300</v>
      </c>
      <c r="Y408">
        <v>560</v>
      </c>
      <c r="AB408">
        <v>40</v>
      </c>
      <c r="AE408">
        <v>95</v>
      </c>
      <c r="AH408">
        <v>0</v>
      </c>
      <c r="AK408">
        <v>104</v>
      </c>
      <c r="AN408">
        <v>0</v>
      </c>
      <c r="AQ408">
        <v>120</v>
      </c>
      <c r="AT408" s="241">
        <v>44</v>
      </c>
      <c r="AW408">
        <v>110</v>
      </c>
      <c r="AZ408">
        <v>0</v>
      </c>
      <c r="BC408">
        <v>0</v>
      </c>
      <c r="BF408">
        <v>50</v>
      </c>
      <c r="BI408">
        <v>40</v>
      </c>
      <c r="BL408">
        <v>150</v>
      </c>
      <c r="BO408">
        <v>84</v>
      </c>
      <c r="BR408">
        <v>96</v>
      </c>
      <c r="BU408">
        <v>125</v>
      </c>
      <c r="BX408">
        <v>120</v>
      </c>
      <c r="CA408">
        <v>156</v>
      </c>
      <c r="CD408">
        <v>0</v>
      </c>
      <c r="CG408">
        <v>120</v>
      </c>
      <c r="CJ408">
        <v>0</v>
      </c>
      <c r="CM408">
        <v>0</v>
      </c>
      <c r="CP408">
        <v>0</v>
      </c>
    </row>
    <row r="409" spans="1:95" x14ac:dyDescent="0.25">
      <c r="A409" s="6"/>
      <c r="B409" s="16" t="s">
        <v>1184</v>
      </c>
      <c r="C409" s="6"/>
      <c r="D409" s="6" t="s">
        <v>1158</v>
      </c>
      <c r="E409" s="12"/>
      <c r="F409" s="12">
        <v>120</v>
      </c>
      <c r="G409" s="12">
        <v>12</v>
      </c>
      <c r="H409" s="12"/>
      <c r="I409" s="12">
        <v>425</v>
      </c>
      <c r="J409" s="12">
        <v>350</v>
      </c>
      <c r="K409" s="12">
        <v>350</v>
      </c>
      <c r="L409" s="12">
        <v>550</v>
      </c>
      <c r="M409" s="3"/>
      <c r="N409" s="241">
        <f>P409+S409+V409+Y409+AB409+AE409+AH409+AK409+AN409+AQ409+AW409+AZ409+BC409+BF409+BI409+BL409+BO409+BR409+BU409+BX409+CA409+CD409+CG409+CJ409+AT409+CM409+CP409</f>
        <v>0</v>
      </c>
      <c r="O409" s="241">
        <f>Q409+T409+W409+Z409+AC409+AF409+AI409+AL409+AO409+AR409+AX409+BA409+BD409+BG409+BJ409+BM409+BP409+BS409+BV409+BY409+CB409+CE409+CH409+CK409+AU409+CN409+CQ409</f>
        <v>0</v>
      </c>
    </row>
    <row r="410" spans="1:95" ht="75" x14ac:dyDescent="0.25">
      <c r="A410" s="6"/>
      <c r="B410" s="16" t="s">
        <v>457</v>
      </c>
      <c r="C410" s="6" t="s">
        <v>2113</v>
      </c>
      <c r="D410" s="6"/>
      <c r="E410" s="12"/>
      <c r="F410" s="12"/>
      <c r="G410" s="12"/>
      <c r="H410" s="12"/>
      <c r="I410" s="12"/>
      <c r="J410" s="12"/>
      <c r="K410" s="12"/>
      <c r="L410" s="12"/>
      <c r="M410" s="3"/>
    </row>
    <row r="411" spans="1:95" x14ac:dyDescent="0.25">
      <c r="A411" s="6"/>
      <c r="B411" s="16" t="s">
        <v>1182</v>
      </c>
      <c r="C411" s="6"/>
      <c r="D411" s="6" t="s">
        <v>950</v>
      </c>
      <c r="E411" s="12"/>
      <c r="F411" s="12">
        <v>9855</v>
      </c>
      <c r="G411" s="12">
        <v>16746.400000000001</v>
      </c>
      <c r="H411" s="12"/>
      <c r="I411" s="9">
        <v>15724.099999999999</v>
      </c>
      <c r="J411" s="9">
        <v>19820</v>
      </c>
      <c r="K411" s="9">
        <v>19490.2</v>
      </c>
      <c r="L411" s="9">
        <v>20429.300000000003</v>
      </c>
      <c r="M411" s="3"/>
      <c r="N411" s="241">
        <f>P411+S411+V411+Y411+AB411+AE411+AH411+AK411+AN411+AQ411+AW411+AZ411+BC411+BF411+BI411+BL411+BO411+BR411+BU411+BX411+CA411+CD411+CG411+CJ411+AT411+CM411+CP411</f>
        <v>18555.400000000001</v>
      </c>
      <c r="O411" s="241">
        <f>Q411+T411+W411+Z411+AC411+AF411+AI411+AL411+AO411+AR411+AX411+BA411+BD411+BG411+BJ411+BM411+BP411+BS411+BV411+BY411+CB411+CE411+CH411+CK411+AU411+CN411+CQ411</f>
        <v>157</v>
      </c>
      <c r="P411">
        <v>115.4</v>
      </c>
      <c r="Q411">
        <v>157</v>
      </c>
      <c r="S411">
        <v>1856</v>
      </c>
      <c r="V411">
        <v>1147</v>
      </c>
      <c r="Y411">
        <v>2587</v>
      </c>
      <c r="AB411">
        <v>309</v>
      </c>
      <c r="AE411">
        <v>195</v>
      </c>
      <c r="AH411">
        <v>163</v>
      </c>
      <c r="AK411">
        <v>763</v>
      </c>
      <c r="AN411">
        <v>0</v>
      </c>
      <c r="AQ411">
        <v>859</v>
      </c>
      <c r="AT411" s="241">
        <v>232</v>
      </c>
      <c r="AW411">
        <v>523</v>
      </c>
      <c r="AZ411">
        <v>1199</v>
      </c>
      <c r="BC411">
        <v>1638</v>
      </c>
      <c r="BF411">
        <v>1314</v>
      </c>
      <c r="BI411">
        <v>782</v>
      </c>
      <c r="BL411">
        <v>725</v>
      </c>
      <c r="BO411">
        <v>445</v>
      </c>
      <c r="BR411">
        <v>461</v>
      </c>
      <c r="BU411">
        <v>691</v>
      </c>
      <c r="BX411">
        <v>465</v>
      </c>
      <c r="CA411">
        <v>953</v>
      </c>
      <c r="CD411">
        <v>467</v>
      </c>
      <c r="CG411">
        <v>666</v>
      </c>
      <c r="CJ411">
        <v>0</v>
      </c>
      <c r="CM411">
        <v>0</v>
      </c>
      <c r="CP411">
        <v>0</v>
      </c>
    </row>
    <row r="412" spans="1:95" x14ac:dyDescent="0.25">
      <c r="A412" s="6"/>
      <c r="B412" s="16" t="s">
        <v>1184</v>
      </c>
      <c r="C412" s="6"/>
      <c r="D412" s="6" t="s">
        <v>950</v>
      </c>
      <c r="E412" s="12"/>
      <c r="F412" s="12">
        <v>76</v>
      </c>
      <c r="G412" s="12">
        <v>70</v>
      </c>
      <c r="H412" s="12"/>
      <c r="I412" s="9">
        <v>652.9</v>
      </c>
      <c r="J412" s="9">
        <v>36.1</v>
      </c>
      <c r="K412" s="9">
        <v>1366.2</v>
      </c>
      <c r="L412" s="9">
        <v>2035.7</v>
      </c>
      <c r="M412" s="3"/>
      <c r="N412" s="241">
        <f>P412+S412+V412+Y412+AB412+AE412+AH412+AK412+AN412+AQ412+AW412+AZ412+BC412+BF412+BI412+BL412+BO412+BR412+BU412+BX412+CA412+CD412+CG412+CJ412+AT412+CM412+CP412</f>
        <v>0</v>
      </c>
      <c r="O412" s="241">
        <f>Q412+T412+W412+Z412+AC412+AF412+AI412+AL412+AO412+AR412+AX412+BA412+BD412+BG412+BJ412+BM412+BP412+BS412+BV412+BY412+CB412+CE412+CH412+CK412+AU412+CN412+CQ412</f>
        <v>0</v>
      </c>
    </row>
    <row r="413" spans="1:95" ht="60" x14ac:dyDescent="0.25">
      <c r="A413" s="42" t="s">
        <v>691</v>
      </c>
      <c r="B413" s="46" t="s">
        <v>1963</v>
      </c>
      <c r="C413" s="42"/>
      <c r="D413" s="42"/>
      <c r="E413" s="49"/>
      <c r="F413" s="49"/>
      <c r="G413" s="49"/>
      <c r="H413" s="49"/>
      <c r="I413" s="49"/>
      <c r="J413" s="49"/>
      <c r="K413" s="49"/>
      <c r="L413" s="49"/>
      <c r="M413" s="3"/>
    </row>
    <row r="414" spans="1:95" x14ac:dyDescent="0.25">
      <c r="A414" s="54"/>
      <c r="B414" s="46" t="s">
        <v>180</v>
      </c>
      <c r="C414" s="42"/>
      <c r="D414" s="42"/>
      <c r="E414" s="49"/>
      <c r="F414" s="49"/>
      <c r="G414" s="49"/>
      <c r="H414" s="49"/>
      <c r="I414" s="49"/>
      <c r="J414" s="49"/>
      <c r="K414" s="49"/>
      <c r="L414" s="49"/>
      <c r="M414" s="3"/>
    </row>
    <row r="415" spans="1:95" x14ac:dyDescent="0.25">
      <c r="A415" s="54"/>
      <c r="B415" s="46" t="s">
        <v>1182</v>
      </c>
      <c r="C415" s="42"/>
      <c r="D415" s="42" t="s">
        <v>1112</v>
      </c>
      <c r="E415" s="49"/>
      <c r="F415" s="49"/>
      <c r="G415" s="49"/>
      <c r="H415" s="49"/>
      <c r="I415" s="45">
        <f>I422/$I$428*100</f>
        <v>21.151201321777016</v>
      </c>
      <c r="J415" s="45">
        <f>J422/$J$428*100</f>
        <v>21.639807276956304</v>
      </c>
      <c r="K415" s="45">
        <f>K422/$K$428*100</f>
        <v>25.14656331863404</v>
      </c>
      <c r="L415" s="45" t="e">
        <f>L422/$L$428*100</f>
        <v>#DIV/0!</v>
      </c>
      <c r="M415" s="3"/>
      <c r="N415" s="45" t="e">
        <f t="shared" ref="N415:Q416" si="1412">N422/N428*100</f>
        <v>#DIV/0!</v>
      </c>
      <c r="O415" s="45">
        <f t="shared" si="1412"/>
        <v>155.22620904836197</v>
      </c>
      <c r="P415" s="45" t="e">
        <f t="shared" si="1412"/>
        <v>#DIV/0!</v>
      </c>
      <c r="Q415" s="45">
        <f t="shared" si="1412"/>
        <v>155.22620904836197</v>
      </c>
      <c r="S415" s="45" t="e">
        <f>S422/S428*100</f>
        <v>#DIV/0!</v>
      </c>
      <c r="T415" s="45" t="e">
        <f>T422/T428*100</f>
        <v>#DIV/0!</v>
      </c>
      <c r="V415" s="45" t="e">
        <f>V422/V428*100</f>
        <v>#DIV/0!</v>
      </c>
      <c r="W415" s="45" t="e">
        <f>W422/W428*100</f>
        <v>#DIV/0!</v>
      </c>
      <c r="Y415" s="45" t="e">
        <f>Y422/Y428*100</f>
        <v>#DIV/0!</v>
      </c>
      <c r="Z415" s="45" t="e">
        <f>Z422/Z428*100</f>
        <v>#DIV/0!</v>
      </c>
      <c r="AA415" s="241"/>
      <c r="AB415" s="45" t="e">
        <f>AB422/AB428*100</f>
        <v>#DIV/0!</v>
      </c>
      <c r="AC415" s="45" t="e">
        <f>AC422/AC428*100</f>
        <v>#DIV/0!</v>
      </c>
      <c r="AD415" s="241"/>
      <c r="AE415" s="45" t="e">
        <f>AE422/AE428*100</f>
        <v>#DIV/0!</v>
      </c>
      <c r="AF415" s="45" t="e">
        <f>AF422/AF428*100</f>
        <v>#DIV/0!</v>
      </c>
      <c r="AH415" s="45" t="e">
        <f>AH422/AH428*100</f>
        <v>#DIV/0!</v>
      </c>
      <c r="AI415" s="45" t="e">
        <f>AI422/AI428*100</f>
        <v>#DIV/0!</v>
      </c>
      <c r="AJ415" s="241"/>
      <c r="AK415" s="45" t="e">
        <f>AK422/AK428*100</f>
        <v>#DIV/0!</v>
      </c>
      <c r="AL415" s="45" t="e">
        <f>AL422/AL428*100</f>
        <v>#DIV/0!</v>
      </c>
      <c r="AM415" s="241"/>
      <c r="AN415" s="45" t="e">
        <f>AN422/AN428*100</f>
        <v>#DIV/0!</v>
      </c>
      <c r="AO415" s="45" t="e">
        <f>AO422/AO428*100</f>
        <v>#DIV/0!</v>
      </c>
      <c r="AQ415" s="45" t="e">
        <f>AQ422/AQ428*100</f>
        <v>#DIV/0!</v>
      </c>
      <c r="AR415" s="45" t="e">
        <f>AR422/AR428*100</f>
        <v>#DIV/0!</v>
      </c>
      <c r="AS415" s="241"/>
      <c r="AT415" s="45" t="e">
        <f>AT422/AT428*100</f>
        <v>#DIV/0!</v>
      </c>
      <c r="AU415" s="45" t="e">
        <f>AU422/AU428*100</f>
        <v>#DIV/0!</v>
      </c>
      <c r="AW415" s="45" t="e">
        <f>AW422/AW428*100</f>
        <v>#DIV/0!</v>
      </c>
      <c r="AX415" s="45" t="e">
        <f>AX422/AX428*100</f>
        <v>#DIV/0!</v>
      </c>
      <c r="AZ415" s="45" t="e">
        <f>AZ422/AZ428*100</f>
        <v>#DIV/0!</v>
      </c>
      <c r="BA415" s="45" t="e">
        <f>BA422/BA428*100</f>
        <v>#DIV/0!</v>
      </c>
      <c r="BB415" s="241"/>
      <c r="BC415" s="45" t="e">
        <f>BC422/BC428*100</f>
        <v>#DIV/0!</v>
      </c>
      <c r="BD415" s="45" t="e">
        <f>BD422/BD428*100</f>
        <v>#DIV/0!</v>
      </c>
      <c r="BE415" s="241"/>
      <c r="BF415" s="45" t="e">
        <f>BF422/BF428*100</f>
        <v>#DIV/0!</v>
      </c>
      <c r="BG415" s="45" t="e">
        <f>BG422/BG428*100</f>
        <v>#DIV/0!</v>
      </c>
      <c r="BI415" s="45" t="e">
        <f>BI422/BI428*100</f>
        <v>#DIV/0!</v>
      </c>
      <c r="BJ415" s="45" t="e">
        <f>BJ422/BJ428*100</f>
        <v>#DIV/0!</v>
      </c>
      <c r="BK415" s="241"/>
      <c r="BL415" s="45" t="e">
        <f>BL422/BL428*100</f>
        <v>#DIV/0!</v>
      </c>
      <c r="BM415" s="45" t="e">
        <f>BM422/BM428*100</f>
        <v>#DIV/0!</v>
      </c>
      <c r="BN415" s="241"/>
      <c r="BO415" s="45" t="e">
        <f>BO422/BO428*100</f>
        <v>#DIV/0!</v>
      </c>
      <c r="BP415" s="45" t="e">
        <f>BP422/BP428*100</f>
        <v>#DIV/0!</v>
      </c>
      <c r="BR415" s="45" t="e">
        <f>BR422/BR428*100</f>
        <v>#DIV/0!</v>
      </c>
      <c r="BS415" s="45" t="e">
        <f>BS422/BS428*100</f>
        <v>#DIV/0!</v>
      </c>
      <c r="BT415" s="241"/>
      <c r="BU415" s="45" t="e">
        <f>BU422/BU428*100</f>
        <v>#DIV/0!</v>
      </c>
      <c r="BV415" s="45" t="e">
        <f>BV422/BV428*100</f>
        <v>#DIV/0!</v>
      </c>
      <c r="BW415" s="241"/>
      <c r="BX415" s="45" t="e">
        <f>BX422/BX428*100</f>
        <v>#DIV/0!</v>
      </c>
      <c r="BY415" s="45" t="e">
        <f>BY422/BY428*100</f>
        <v>#DIV/0!</v>
      </c>
      <c r="CA415" s="45" t="e">
        <f>CA422/CA428*100</f>
        <v>#DIV/0!</v>
      </c>
      <c r="CB415" s="45" t="e">
        <f>CB422/CB428*100</f>
        <v>#DIV/0!</v>
      </c>
      <c r="CC415" s="241"/>
      <c r="CD415" s="45" t="e">
        <f>CD422/CD428*100</f>
        <v>#DIV/0!</v>
      </c>
      <c r="CE415" s="45" t="e">
        <f>CE422/CE428*100</f>
        <v>#DIV/0!</v>
      </c>
      <c r="CF415" s="241"/>
      <c r="CG415" s="45" t="e">
        <f>CG422/CG428*100</f>
        <v>#DIV/0!</v>
      </c>
      <c r="CH415" s="45" t="e">
        <f>CH422/CH428*100</f>
        <v>#DIV/0!</v>
      </c>
      <c r="CJ415" s="45" t="e">
        <f>CJ422/CJ428*100</f>
        <v>#DIV/0!</v>
      </c>
      <c r="CK415" s="45" t="e">
        <f>CK422/CK428*100</f>
        <v>#DIV/0!</v>
      </c>
      <c r="CL415" s="241"/>
      <c r="CM415" s="45" t="e">
        <f>CM422/CM428*100</f>
        <v>#DIV/0!</v>
      </c>
      <c r="CN415" s="45" t="e">
        <f>CN422/CN428*100</f>
        <v>#DIV/0!</v>
      </c>
      <c r="CO415" s="241"/>
      <c r="CP415" s="45" t="e">
        <f>CP422/CP428*100</f>
        <v>#DIV/0!</v>
      </c>
      <c r="CQ415" s="45" t="e">
        <f>CQ422/CQ428*100</f>
        <v>#DIV/0!</v>
      </c>
    </row>
    <row r="416" spans="1:95" x14ac:dyDescent="0.25">
      <c r="A416" s="54"/>
      <c r="B416" s="46" t="s">
        <v>1184</v>
      </c>
      <c r="C416" s="42"/>
      <c r="D416" s="42" t="s">
        <v>1112</v>
      </c>
      <c r="E416" s="49"/>
      <c r="F416" s="49"/>
      <c r="G416" s="49"/>
      <c r="H416" s="49"/>
      <c r="I416" s="45">
        <f>I423/$I$429*100</f>
        <v>22.765469824293355</v>
      </c>
      <c r="J416" s="45">
        <f>J423/$J$429*100</f>
        <v>16.092182378066951</v>
      </c>
      <c r="K416" s="45">
        <f>K423/$K$429*100</f>
        <v>12.51646903820817</v>
      </c>
      <c r="L416" s="45" t="e">
        <f>L423/$L$429*100</f>
        <v>#DIV/0!</v>
      </c>
      <c r="M416" s="3"/>
      <c r="N416" s="45" t="e">
        <f t="shared" si="1412"/>
        <v>#DIV/0!</v>
      </c>
      <c r="O416" s="45" t="e">
        <f t="shared" si="1412"/>
        <v>#DIV/0!</v>
      </c>
      <c r="P416" s="45" t="e">
        <f t="shared" si="1412"/>
        <v>#DIV/0!</v>
      </c>
      <c r="Q416" s="45" t="e">
        <f t="shared" si="1412"/>
        <v>#DIV/0!</v>
      </c>
      <c r="S416" s="45" t="e">
        <f>S423/S429*100</f>
        <v>#DIV/0!</v>
      </c>
      <c r="T416" s="45" t="e">
        <f>T423/T429*100</f>
        <v>#DIV/0!</v>
      </c>
      <c r="V416" s="45" t="e">
        <f>V423/V429*100</f>
        <v>#DIV/0!</v>
      </c>
      <c r="W416" s="45" t="e">
        <f>W423/W429*100</f>
        <v>#DIV/0!</v>
      </c>
      <c r="Y416" s="45" t="e">
        <f>Y423/Y429*100</f>
        <v>#DIV/0!</v>
      </c>
      <c r="Z416" s="45" t="e">
        <f>Z423/Z429*100</f>
        <v>#DIV/0!</v>
      </c>
      <c r="AA416" s="241"/>
      <c r="AB416" s="45" t="e">
        <f>AB423/AB429*100</f>
        <v>#DIV/0!</v>
      </c>
      <c r="AC416" s="45" t="e">
        <f>AC423/AC429*100</f>
        <v>#DIV/0!</v>
      </c>
      <c r="AD416" s="241"/>
      <c r="AE416" s="45" t="e">
        <f>AE423/AE429*100</f>
        <v>#DIV/0!</v>
      </c>
      <c r="AF416" s="45" t="e">
        <f>AF423/AF429*100</f>
        <v>#DIV/0!</v>
      </c>
      <c r="AH416" s="45" t="e">
        <f>AH423/AH429*100</f>
        <v>#DIV/0!</v>
      </c>
      <c r="AI416" s="45" t="e">
        <f>AI423/AI429*100</f>
        <v>#DIV/0!</v>
      </c>
      <c r="AJ416" s="241"/>
      <c r="AK416" s="45" t="e">
        <f>AK423/AK429*100</f>
        <v>#DIV/0!</v>
      </c>
      <c r="AL416" s="45" t="e">
        <f>AL423/AL429*100</f>
        <v>#DIV/0!</v>
      </c>
      <c r="AM416" s="241"/>
      <c r="AN416" s="45" t="e">
        <f>AN423/AN429*100</f>
        <v>#DIV/0!</v>
      </c>
      <c r="AO416" s="45" t="e">
        <f>AO423/AO429*100</f>
        <v>#DIV/0!</v>
      </c>
      <c r="AQ416" s="45" t="e">
        <f>AQ423/AQ429*100</f>
        <v>#DIV/0!</v>
      </c>
      <c r="AR416" s="45" t="e">
        <f>AR423/AR429*100</f>
        <v>#DIV/0!</v>
      </c>
      <c r="AS416" s="241"/>
      <c r="AT416" s="45" t="e">
        <f>AT423/AT429*100</f>
        <v>#DIV/0!</v>
      </c>
      <c r="AU416" s="45" t="e">
        <f>AU423/AU429*100</f>
        <v>#DIV/0!</v>
      </c>
      <c r="AW416" s="45" t="e">
        <f>AW423/AW429*100</f>
        <v>#DIV/0!</v>
      </c>
      <c r="AX416" s="45" t="e">
        <f>AX423/AX429*100</f>
        <v>#DIV/0!</v>
      </c>
      <c r="AZ416" s="45" t="e">
        <f>AZ423/AZ429*100</f>
        <v>#DIV/0!</v>
      </c>
      <c r="BA416" s="45" t="e">
        <f>BA423/BA429*100</f>
        <v>#DIV/0!</v>
      </c>
      <c r="BB416" s="241"/>
      <c r="BC416" s="45" t="e">
        <f>BC423/BC429*100</f>
        <v>#DIV/0!</v>
      </c>
      <c r="BD416" s="45" t="e">
        <f>BD423/BD429*100</f>
        <v>#DIV/0!</v>
      </c>
      <c r="BE416" s="241"/>
      <c r="BF416" s="45" t="e">
        <f>BF423/BF429*100</f>
        <v>#DIV/0!</v>
      </c>
      <c r="BG416" s="45" t="e">
        <f>BG423/BG429*100</f>
        <v>#DIV/0!</v>
      </c>
      <c r="BI416" s="45" t="e">
        <f>BI423/BI429*100</f>
        <v>#DIV/0!</v>
      </c>
      <c r="BJ416" s="45" t="e">
        <f>BJ423/BJ429*100</f>
        <v>#DIV/0!</v>
      </c>
      <c r="BK416" s="241"/>
      <c r="BL416" s="45" t="e">
        <f>BL423/BL429*100</f>
        <v>#DIV/0!</v>
      </c>
      <c r="BM416" s="45" t="e">
        <f>BM423/BM429*100</f>
        <v>#DIV/0!</v>
      </c>
      <c r="BN416" s="241"/>
      <c r="BO416" s="45" t="e">
        <f>BO423/BO429*100</f>
        <v>#DIV/0!</v>
      </c>
      <c r="BP416" s="45" t="e">
        <f>BP423/BP429*100</f>
        <v>#DIV/0!</v>
      </c>
      <c r="BR416" s="45" t="e">
        <f>BR423/BR429*100</f>
        <v>#DIV/0!</v>
      </c>
      <c r="BS416" s="45" t="e">
        <f>BS423/BS429*100</f>
        <v>#DIV/0!</v>
      </c>
      <c r="BT416" s="241"/>
      <c r="BU416" s="45" t="e">
        <f>BU423/BU429*100</f>
        <v>#DIV/0!</v>
      </c>
      <c r="BV416" s="45" t="e">
        <f>BV423/BV429*100</f>
        <v>#DIV/0!</v>
      </c>
      <c r="BW416" s="241"/>
      <c r="BX416" s="45" t="e">
        <f>BX423/BX429*100</f>
        <v>#DIV/0!</v>
      </c>
      <c r="BY416" s="45" t="e">
        <f>BY423/BY429*100</f>
        <v>#DIV/0!</v>
      </c>
      <c r="CA416" s="45" t="e">
        <f>CA423/CA429*100</f>
        <v>#DIV/0!</v>
      </c>
      <c r="CB416" s="45" t="e">
        <f>CB423/CB429*100</f>
        <v>#DIV/0!</v>
      </c>
      <c r="CC416" s="241"/>
      <c r="CD416" s="45" t="e">
        <f>CD423/CD429*100</f>
        <v>#DIV/0!</v>
      </c>
      <c r="CE416" s="45" t="e">
        <f>CE423/CE429*100</f>
        <v>#DIV/0!</v>
      </c>
      <c r="CF416" s="241"/>
      <c r="CG416" s="45" t="e">
        <f>CG423/CG429*100</f>
        <v>#DIV/0!</v>
      </c>
      <c r="CH416" s="45" t="e">
        <f>CH423/CH429*100</f>
        <v>#DIV/0!</v>
      </c>
      <c r="CJ416" s="45" t="e">
        <f>CJ423/CJ429*100</f>
        <v>#DIV/0!</v>
      </c>
      <c r="CK416" s="45" t="e">
        <f>CK423/CK429*100</f>
        <v>#DIV/0!</v>
      </c>
      <c r="CL416" s="241"/>
      <c r="CM416" s="45" t="e">
        <f>CM423/CM429*100</f>
        <v>#DIV/0!</v>
      </c>
      <c r="CN416" s="45" t="e">
        <f>CN423/CN429*100</f>
        <v>#DIV/0!</v>
      </c>
      <c r="CO416" s="241"/>
      <c r="CP416" s="45" t="e">
        <f>CP423/CP429*100</f>
        <v>#DIV/0!</v>
      </c>
      <c r="CQ416" s="45" t="e">
        <f>CQ423/CQ429*100</f>
        <v>#DIV/0!</v>
      </c>
    </row>
    <row r="417" spans="1:95" x14ac:dyDescent="0.25">
      <c r="A417" s="54"/>
      <c r="B417" s="46" t="s">
        <v>1962</v>
      </c>
      <c r="C417" s="42"/>
      <c r="D417" s="42"/>
      <c r="E417" s="49"/>
      <c r="F417" s="49"/>
      <c r="G417" s="49"/>
      <c r="H417" s="49"/>
      <c r="I417" s="49"/>
      <c r="J417" s="49"/>
      <c r="K417" s="49"/>
      <c r="L417" s="49"/>
      <c r="M417" s="3"/>
      <c r="N417" s="49"/>
      <c r="O417" s="49"/>
      <c r="P417" s="49"/>
      <c r="Q417" s="49"/>
      <c r="S417" s="49"/>
      <c r="T417" s="49"/>
      <c r="V417" s="49"/>
      <c r="W417" s="49"/>
      <c r="Y417" s="49"/>
      <c r="Z417" s="49"/>
      <c r="AA417" s="241"/>
      <c r="AB417" s="49"/>
      <c r="AC417" s="49"/>
      <c r="AD417" s="241"/>
      <c r="AE417" s="49"/>
      <c r="AF417" s="49"/>
      <c r="AH417" s="49"/>
      <c r="AI417" s="49"/>
      <c r="AJ417" s="241"/>
      <c r="AK417" s="49"/>
      <c r="AL417" s="49"/>
      <c r="AM417" s="241"/>
      <c r="AN417" s="49"/>
      <c r="AO417" s="49"/>
      <c r="AQ417" s="49"/>
      <c r="AR417" s="49"/>
      <c r="AS417" s="241"/>
      <c r="AT417" s="49"/>
      <c r="AU417" s="49"/>
      <c r="AW417" s="49"/>
      <c r="AX417" s="49"/>
      <c r="AZ417" s="49"/>
      <c r="BA417" s="49"/>
      <c r="BB417" s="241"/>
      <c r="BC417" s="49"/>
      <c r="BD417" s="49"/>
      <c r="BE417" s="241"/>
      <c r="BF417" s="49"/>
      <c r="BG417" s="49"/>
      <c r="BI417" s="49"/>
      <c r="BJ417" s="49"/>
      <c r="BK417" s="241"/>
      <c r="BL417" s="49"/>
      <c r="BM417" s="49"/>
      <c r="BN417" s="241"/>
      <c r="BO417" s="49"/>
      <c r="BP417" s="49"/>
      <c r="BR417" s="49"/>
      <c r="BS417" s="49"/>
      <c r="BT417" s="241"/>
      <c r="BU417" s="49"/>
      <c r="BV417" s="49"/>
      <c r="BW417" s="241"/>
      <c r="BX417" s="49"/>
      <c r="BY417" s="49"/>
      <c r="CA417" s="49"/>
      <c r="CB417" s="49"/>
      <c r="CC417" s="241"/>
      <c r="CD417" s="49"/>
      <c r="CE417" s="49"/>
      <c r="CF417" s="241"/>
      <c r="CG417" s="49"/>
      <c r="CH417" s="49"/>
      <c r="CJ417" s="49"/>
      <c r="CK417" s="49"/>
      <c r="CL417" s="241"/>
      <c r="CM417" s="49"/>
      <c r="CN417" s="49"/>
      <c r="CO417" s="241"/>
      <c r="CP417" s="49"/>
      <c r="CQ417" s="49"/>
    </row>
    <row r="418" spans="1:95" x14ac:dyDescent="0.25">
      <c r="A418" s="54"/>
      <c r="B418" s="46" t="s">
        <v>1182</v>
      </c>
      <c r="C418" s="42"/>
      <c r="D418" s="42" t="s">
        <v>1112</v>
      </c>
      <c r="E418" s="49"/>
      <c r="F418" s="49"/>
      <c r="G418" s="49"/>
      <c r="H418" s="49"/>
      <c r="I418" s="45">
        <f>I425/$I$428*100</f>
        <v>19.6882009248747</v>
      </c>
      <c r="J418" s="45">
        <f>J425/$J$428*100</f>
        <v>19.20307913828432</v>
      </c>
      <c r="K418" s="45">
        <f>K425/$K$428*100</f>
        <v>22.259816579111387</v>
      </c>
      <c r="L418" s="45" t="e">
        <f>L425/$L$428*100</f>
        <v>#DIV/0!</v>
      </c>
      <c r="M418" s="3"/>
      <c r="N418" s="45" t="e">
        <f t="shared" ref="N418:Q419" si="1413">N425/N428*100</f>
        <v>#DIV/0!</v>
      </c>
      <c r="O418" s="45">
        <f t="shared" si="1413"/>
        <v>155.22620904836197</v>
      </c>
      <c r="P418" s="45" t="e">
        <f t="shared" si="1413"/>
        <v>#DIV/0!</v>
      </c>
      <c r="Q418" s="45">
        <f t="shared" si="1413"/>
        <v>155.22620904836197</v>
      </c>
      <c r="S418" s="45" t="e">
        <f>S425/S428*100</f>
        <v>#DIV/0!</v>
      </c>
      <c r="T418" s="45" t="e">
        <f>T425/T428*100</f>
        <v>#DIV/0!</v>
      </c>
      <c r="V418" s="45" t="e">
        <f>V425/V428*100</f>
        <v>#DIV/0!</v>
      </c>
      <c r="W418" s="45" t="e">
        <f>W425/W428*100</f>
        <v>#DIV/0!</v>
      </c>
      <c r="Y418" s="45" t="e">
        <f>Y425/Y428*100</f>
        <v>#DIV/0!</v>
      </c>
      <c r="Z418" s="45" t="e">
        <f>Z425/Z428*100</f>
        <v>#DIV/0!</v>
      </c>
      <c r="AA418" s="241"/>
      <c r="AB418" s="45" t="e">
        <f>AB425/AB428*100</f>
        <v>#DIV/0!</v>
      </c>
      <c r="AC418" s="45" t="e">
        <f>AC425/AC428*100</f>
        <v>#DIV/0!</v>
      </c>
      <c r="AD418" s="241"/>
      <c r="AE418" s="45" t="e">
        <f>AE425/AE428*100</f>
        <v>#DIV/0!</v>
      </c>
      <c r="AF418" s="45" t="e">
        <f>AF425/AF428*100</f>
        <v>#DIV/0!</v>
      </c>
      <c r="AH418" s="45" t="e">
        <f>AH425/AH428*100</f>
        <v>#DIV/0!</v>
      </c>
      <c r="AI418" s="45" t="e">
        <f>AI425/AI428*100</f>
        <v>#DIV/0!</v>
      </c>
      <c r="AJ418" s="241"/>
      <c r="AK418" s="45" t="e">
        <f>AK425/AK428*100</f>
        <v>#DIV/0!</v>
      </c>
      <c r="AL418" s="45" t="e">
        <f>AL425/AL428*100</f>
        <v>#DIV/0!</v>
      </c>
      <c r="AM418" s="241"/>
      <c r="AN418" s="45" t="e">
        <f>AN425/AN428*100</f>
        <v>#DIV/0!</v>
      </c>
      <c r="AO418" s="45" t="e">
        <f>AO425/AO428*100</f>
        <v>#DIV/0!</v>
      </c>
      <c r="AQ418" s="45" t="e">
        <f>AQ425/AQ428*100</f>
        <v>#DIV/0!</v>
      </c>
      <c r="AR418" s="45" t="e">
        <f>AR425/AR428*100</f>
        <v>#DIV/0!</v>
      </c>
      <c r="AS418" s="241"/>
      <c r="AT418" s="45" t="e">
        <f>AT425/AT428*100</f>
        <v>#DIV/0!</v>
      </c>
      <c r="AU418" s="45" t="e">
        <f>AU425/AU428*100</f>
        <v>#DIV/0!</v>
      </c>
      <c r="AW418" s="45" t="e">
        <f>AW425/AW428*100</f>
        <v>#DIV/0!</v>
      </c>
      <c r="AX418" s="45" t="e">
        <f>AX425/AX428*100</f>
        <v>#DIV/0!</v>
      </c>
      <c r="AZ418" s="45" t="e">
        <f>AZ425/AZ428*100</f>
        <v>#DIV/0!</v>
      </c>
      <c r="BA418" s="45" t="e">
        <f>BA425/BA428*100</f>
        <v>#DIV/0!</v>
      </c>
      <c r="BB418" s="241"/>
      <c r="BC418" s="45" t="e">
        <f>BC425/BC428*100</f>
        <v>#DIV/0!</v>
      </c>
      <c r="BD418" s="45" t="e">
        <f>BD425/BD428*100</f>
        <v>#DIV/0!</v>
      </c>
      <c r="BE418" s="241"/>
      <c r="BF418" s="45" t="e">
        <f>BF425/BF428*100</f>
        <v>#DIV/0!</v>
      </c>
      <c r="BG418" s="45" t="e">
        <f>BG425/BG428*100</f>
        <v>#DIV/0!</v>
      </c>
      <c r="BI418" s="45" t="e">
        <f>BI425/BI428*100</f>
        <v>#DIV/0!</v>
      </c>
      <c r="BJ418" s="45" t="e">
        <f>BJ425/BJ428*100</f>
        <v>#DIV/0!</v>
      </c>
      <c r="BK418" s="241"/>
      <c r="BL418" s="45" t="e">
        <f>BL425/BL428*100</f>
        <v>#DIV/0!</v>
      </c>
      <c r="BM418" s="45" t="e">
        <f>BM425/BM428*100</f>
        <v>#DIV/0!</v>
      </c>
      <c r="BN418" s="241"/>
      <c r="BO418" s="45" t="e">
        <f>BO425/BO428*100</f>
        <v>#DIV/0!</v>
      </c>
      <c r="BP418" s="45" t="e">
        <f>BP425/BP428*100</f>
        <v>#DIV/0!</v>
      </c>
      <c r="BR418" s="45" t="e">
        <f>BR425/BR428*100</f>
        <v>#DIV/0!</v>
      </c>
      <c r="BS418" s="45" t="e">
        <f>BS425/BS428*100</f>
        <v>#DIV/0!</v>
      </c>
      <c r="BT418" s="241"/>
      <c r="BU418" s="45" t="e">
        <f>BU425/BU428*100</f>
        <v>#DIV/0!</v>
      </c>
      <c r="BV418" s="45" t="e">
        <f>BV425/BV428*100</f>
        <v>#DIV/0!</v>
      </c>
      <c r="BW418" s="241"/>
      <c r="BX418" s="45" t="e">
        <f>BX425/BX428*100</f>
        <v>#DIV/0!</v>
      </c>
      <c r="BY418" s="45" t="e">
        <f>BY425/BY428*100</f>
        <v>#DIV/0!</v>
      </c>
      <c r="CA418" s="45" t="e">
        <f>CA425/CA428*100</f>
        <v>#DIV/0!</v>
      </c>
      <c r="CB418" s="45" t="e">
        <f>CB425/CB428*100</f>
        <v>#DIV/0!</v>
      </c>
      <c r="CC418" s="241"/>
      <c r="CD418" s="45" t="e">
        <f>CD425/CD428*100</f>
        <v>#DIV/0!</v>
      </c>
      <c r="CE418" s="45" t="e">
        <f>CE425/CE428*100</f>
        <v>#DIV/0!</v>
      </c>
      <c r="CF418" s="241"/>
      <c r="CG418" s="45" t="e">
        <f>CG425/CG428*100</f>
        <v>#DIV/0!</v>
      </c>
      <c r="CH418" s="45" t="e">
        <f>CH425/CH428*100</f>
        <v>#DIV/0!</v>
      </c>
      <c r="CJ418" s="45" t="e">
        <f>CJ425/CJ428*100</f>
        <v>#DIV/0!</v>
      </c>
      <c r="CK418" s="45" t="e">
        <f>CK425/CK428*100</f>
        <v>#DIV/0!</v>
      </c>
      <c r="CL418" s="241"/>
      <c r="CM418" s="45" t="e">
        <f>CM425/CM428*100</f>
        <v>#DIV/0!</v>
      </c>
      <c r="CN418" s="45" t="e">
        <f>CN425/CN428*100</f>
        <v>#DIV/0!</v>
      </c>
      <c r="CO418" s="241"/>
      <c r="CP418" s="45" t="e">
        <f>CP425/CP428*100</f>
        <v>#DIV/0!</v>
      </c>
      <c r="CQ418" s="45" t="e">
        <f>CQ425/CQ428*100</f>
        <v>#DIV/0!</v>
      </c>
    </row>
    <row r="419" spans="1:95" x14ac:dyDescent="0.25">
      <c r="A419" s="54"/>
      <c r="B419" s="46" t="s">
        <v>1184</v>
      </c>
      <c r="C419" s="42"/>
      <c r="D419" s="42" t="s">
        <v>1112</v>
      </c>
      <c r="E419" s="49"/>
      <c r="F419" s="49"/>
      <c r="G419" s="49"/>
      <c r="H419" s="49"/>
      <c r="I419" s="45">
        <f>I426/$I$429*100</f>
        <v>22.765469824293355</v>
      </c>
      <c r="J419" s="45">
        <f>J426/$J$429*100</f>
        <v>16.092182378066951</v>
      </c>
      <c r="K419" s="45">
        <f>K426/$K$429*100</f>
        <v>12.51646903820817</v>
      </c>
      <c r="L419" s="45" t="e">
        <f>L426/$L$429*100</f>
        <v>#DIV/0!</v>
      </c>
      <c r="M419" s="3"/>
      <c r="N419" s="45" t="e">
        <f t="shared" si="1413"/>
        <v>#DIV/0!</v>
      </c>
      <c r="O419" s="45" t="e">
        <f t="shared" si="1413"/>
        <v>#DIV/0!</v>
      </c>
      <c r="P419" s="45" t="e">
        <f t="shared" si="1413"/>
        <v>#DIV/0!</v>
      </c>
      <c r="Q419" s="45" t="e">
        <f t="shared" si="1413"/>
        <v>#DIV/0!</v>
      </c>
      <c r="S419" s="45" t="e">
        <f>S426/S429*100</f>
        <v>#DIV/0!</v>
      </c>
      <c r="T419" s="45" t="e">
        <f>T426/T429*100</f>
        <v>#DIV/0!</v>
      </c>
      <c r="V419" s="45" t="e">
        <f>V426/V429*100</f>
        <v>#DIV/0!</v>
      </c>
      <c r="W419" s="45" t="e">
        <f>W426/W429*100</f>
        <v>#DIV/0!</v>
      </c>
      <c r="Y419" s="45" t="e">
        <f>Y426/Y429*100</f>
        <v>#DIV/0!</v>
      </c>
      <c r="Z419" s="45" t="e">
        <f>Z426/Z429*100</f>
        <v>#DIV/0!</v>
      </c>
      <c r="AA419" s="241"/>
      <c r="AB419" s="45" t="e">
        <f>AB426/AB429*100</f>
        <v>#DIV/0!</v>
      </c>
      <c r="AC419" s="45" t="e">
        <f>AC426/AC429*100</f>
        <v>#DIV/0!</v>
      </c>
      <c r="AD419" s="241"/>
      <c r="AE419" s="45" t="e">
        <f>AE426/AE429*100</f>
        <v>#DIV/0!</v>
      </c>
      <c r="AF419" s="45" t="e">
        <f>AF426/AF429*100</f>
        <v>#DIV/0!</v>
      </c>
      <c r="AH419" s="45" t="e">
        <f>AH426/AH429*100</f>
        <v>#DIV/0!</v>
      </c>
      <c r="AI419" s="45" t="e">
        <f>AI426/AI429*100</f>
        <v>#DIV/0!</v>
      </c>
      <c r="AJ419" s="241"/>
      <c r="AK419" s="45" t="e">
        <f>AK426/AK429*100</f>
        <v>#DIV/0!</v>
      </c>
      <c r="AL419" s="45" t="e">
        <f>AL426/AL429*100</f>
        <v>#DIV/0!</v>
      </c>
      <c r="AM419" s="241"/>
      <c r="AN419" s="45" t="e">
        <f>AN426/AN429*100</f>
        <v>#DIV/0!</v>
      </c>
      <c r="AO419" s="45" t="e">
        <f>AO426/AO429*100</f>
        <v>#DIV/0!</v>
      </c>
      <c r="AQ419" s="45" t="e">
        <f>AQ426/AQ429*100</f>
        <v>#DIV/0!</v>
      </c>
      <c r="AR419" s="45" t="e">
        <f>AR426/AR429*100</f>
        <v>#DIV/0!</v>
      </c>
      <c r="AS419" s="241"/>
      <c r="AT419" s="45" t="e">
        <f>AT426/AT429*100</f>
        <v>#DIV/0!</v>
      </c>
      <c r="AU419" s="45" t="e">
        <f>AU426/AU429*100</f>
        <v>#DIV/0!</v>
      </c>
      <c r="AW419" s="45" t="e">
        <f>AW426/AW429*100</f>
        <v>#DIV/0!</v>
      </c>
      <c r="AX419" s="45" t="e">
        <f>AX426/AX429*100</f>
        <v>#DIV/0!</v>
      </c>
      <c r="AZ419" s="45" t="e">
        <f>AZ426/AZ429*100</f>
        <v>#DIV/0!</v>
      </c>
      <c r="BA419" s="45" t="e">
        <f>BA426/BA429*100</f>
        <v>#DIV/0!</v>
      </c>
      <c r="BB419" s="241"/>
      <c r="BC419" s="45" t="e">
        <f>BC426/BC429*100</f>
        <v>#DIV/0!</v>
      </c>
      <c r="BD419" s="45" t="e">
        <f>BD426/BD429*100</f>
        <v>#DIV/0!</v>
      </c>
      <c r="BE419" s="241"/>
      <c r="BF419" s="45" t="e">
        <f>BF426/BF429*100</f>
        <v>#DIV/0!</v>
      </c>
      <c r="BG419" s="45" t="e">
        <f>BG426/BG429*100</f>
        <v>#DIV/0!</v>
      </c>
      <c r="BI419" s="45" t="e">
        <f>BI426/BI429*100</f>
        <v>#DIV/0!</v>
      </c>
      <c r="BJ419" s="45" t="e">
        <f>BJ426/BJ429*100</f>
        <v>#DIV/0!</v>
      </c>
      <c r="BK419" s="241"/>
      <c r="BL419" s="45" t="e">
        <f>BL426/BL429*100</f>
        <v>#DIV/0!</v>
      </c>
      <c r="BM419" s="45" t="e">
        <f>BM426/BM429*100</f>
        <v>#DIV/0!</v>
      </c>
      <c r="BN419" s="241"/>
      <c r="BO419" s="45" t="e">
        <f>BO426/BO429*100</f>
        <v>#DIV/0!</v>
      </c>
      <c r="BP419" s="45" t="e">
        <f>BP426/BP429*100</f>
        <v>#DIV/0!</v>
      </c>
      <c r="BR419" s="45" t="e">
        <f>BR426/BR429*100</f>
        <v>#DIV/0!</v>
      </c>
      <c r="BS419" s="45" t="e">
        <f>BS426/BS429*100</f>
        <v>#DIV/0!</v>
      </c>
      <c r="BT419" s="241"/>
      <c r="BU419" s="45" t="e">
        <f>BU426/BU429*100</f>
        <v>#DIV/0!</v>
      </c>
      <c r="BV419" s="45" t="e">
        <f>BV426/BV429*100</f>
        <v>#DIV/0!</v>
      </c>
      <c r="BW419" s="241"/>
      <c r="BX419" s="45" t="e">
        <f>BX426/BX429*100</f>
        <v>#DIV/0!</v>
      </c>
      <c r="BY419" s="45" t="e">
        <f>BY426/BY429*100</f>
        <v>#DIV/0!</v>
      </c>
      <c r="CA419" s="45" t="e">
        <f>CA426/CA429*100</f>
        <v>#DIV/0!</v>
      </c>
      <c r="CB419" s="45" t="e">
        <f>CB426/CB429*100</f>
        <v>#DIV/0!</v>
      </c>
      <c r="CC419" s="241"/>
      <c r="CD419" s="45" t="e">
        <f>CD426/CD429*100</f>
        <v>#DIV/0!</v>
      </c>
      <c r="CE419" s="45" t="e">
        <f>CE426/CE429*100</f>
        <v>#DIV/0!</v>
      </c>
      <c r="CF419" s="241"/>
      <c r="CG419" s="45" t="e">
        <f>CG426/CG429*100</f>
        <v>#DIV/0!</v>
      </c>
      <c r="CH419" s="45" t="e">
        <f>CH426/CH429*100</f>
        <v>#DIV/0!</v>
      </c>
      <c r="CJ419" s="45" t="e">
        <f>CJ426/CJ429*100</f>
        <v>#DIV/0!</v>
      </c>
      <c r="CK419" s="45" t="e">
        <f>CK426/CK429*100</f>
        <v>#DIV/0!</v>
      </c>
      <c r="CL419" s="241"/>
      <c r="CM419" s="45" t="e">
        <f>CM426/CM429*100</f>
        <v>#DIV/0!</v>
      </c>
      <c r="CN419" s="45" t="e">
        <f>CN426/CN429*100</f>
        <v>#DIV/0!</v>
      </c>
      <c r="CO419" s="241"/>
      <c r="CP419" s="45" t="e">
        <f>CP426/CP429*100</f>
        <v>#DIV/0!</v>
      </c>
      <c r="CQ419" s="45" t="e">
        <f>CQ426/CQ429*100</f>
        <v>#DIV/0!</v>
      </c>
    </row>
    <row r="420" spans="1:95" x14ac:dyDescent="0.25">
      <c r="A420" s="6"/>
      <c r="B420" s="16" t="s">
        <v>2082</v>
      </c>
      <c r="C420" s="6"/>
      <c r="D420" s="6"/>
      <c r="E420" s="12"/>
      <c r="F420" s="12"/>
      <c r="G420" s="12"/>
      <c r="H420" s="12"/>
      <c r="I420" s="12"/>
      <c r="J420" s="12"/>
      <c r="K420" s="12"/>
      <c r="L420" s="12"/>
      <c r="M420" s="3"/>
    </row>
    <row r="421" spans="1:95" ht="30" x14ac:dyDescent="0.25">
      <c r="A421" s="6"/>
      <c r="B421" s="16" t="s">
        <v>180</v>
      </c>
      <c r="C421" s="6" t="s">
        <v>466</v>
      </c>
      <c r="D421" s="6"/>
      <c r="E421" s="12"/>
      <c r="F421" s="12"/>
      <c r="G421" s="12"/>
      <c r="H421" s="12"/>
      <c r="I421" s="12"/>
      <c r="J421" s="12"/>
      <c r="K421" s="12"/>
      <c r="L421" s="12"/>
      <c r="M421" s="3"/>
    </row>
    <row r="422" spans="1:95" x14ac:dyDescent="0.25">
      <c r="A422" s="6"/>
      <c r="B422" s="70" t="s">
        <v>1182</v>
      </c>
      <c r="C422" s="6"/>
      <c r="D422" s="6" t="s">
        <v>1112</v>
      </c>
      <c r="E422" s="12"/>
      <c r="F422" s="12"/>
      <c r="G422" s="12"/>
      <c r="H422" s="12"/>
      <c r="I422" s="12">
        <f>4469+114</f>
        <v>4583</v>
      </c>
      <c r="J422" s="12">
        <v>4689</v>
      </c>
      <c r="K422" s="12">
        <v>5366</v>
      </c>
      <c r="L422" s="12"/>
      <c r="M422" s="3"/>
      <c r="N422" s="241">
        <f>P422+S422+V422+Y422+AB422+AE422+AH422+AK422+AN422+AQ422+AW422+AZ422+BC422+BF422+BI422+BL422+BO422+BR422+BU422+BX422+CA422+CD422+CG422+CJ422+AT422+CM422+CP422</f>
        <v>0</v>
      </c>
      <c r="O422" s="241">
        <f>Q422+T422+W422+Z422+AC422+AF422+AI422+AL422+AO422+AR422+AX422+BA422+BD422+BG422+BJ422+BM422+BP422+BS422+BV422+BY422+CB422+CE422+CH422+CK422+AU422+CN422+CQ422</f>
        <v>199</v>
      </c>
      <c r="Q422">
        <v>199</v>
      </c>
    </row>
    <row r="423" spans="1:95" x14ac:dyDescent="0.25">
      <c r="A423" s="6"/>
      <c r="B423" s="70" t="s">
        <v>1184</v>
      </c>
      <c r="C423" s="6"/>
      <c r="D423" s="6" t="s">
        <v>1112</v>
      </c>
      <c r="E423" s="12"/>
      <c r="F423" s="12"/>
      <c r="G423" s="12"/>
      <c r="H423" s="12"/>
      <c r="I423" s="12">
        <v>149</v>
      </c>
      <c r="J423" s="12">
        <v>162</v>
      </c>
      <c r="K423" s="12">
        <v>190</v>
      </c>
      <c r="L423" s="12"/>
      <c r="M423" s="3"/>
      <c r="N423" s="241">
        <f>P423+S423+V423+Y423+AB423+AE423+AH423+AK423+AN423+AQ423+AW423+AZ423+BC423+BF423+BI423+BL423+BO423+BR423+BU423+BX423+CA423+CD423+CG423+CJ423+AT423+CM423+CP423</f>
        <v>0</v>
      </c>
      <c r="O423" s="241">
        <f>Q423+T423+W423+Z423+AC423+AF423+AI423+AL423+AO423+AR423+AX423+BA423+BD423+BG423+BJ423+BM423+BP423+BS423+BV423+BY423+CB423+CE423+CH423+CK423+AU423+CN423+CQ423</f>
        <v>0</v>
      </c>
    </row>
    <row r="424" spans="1:95" ht="30" x14ac:dyDescent="0.25">
      <c r="A424" s="6"/>
      <c r="B424" s="70" t="s">
        <v>2083</v>
      </c>
      <c r="C424" s="6" t="s">
        <v>2978</v>
      </c>
      <c r="D424" s="6"/>
      <c r="E424" s="12"/>
      <c r="F424" s="12"/>
      <c r="G424" s="12"/>
      <c r="H424" s="12"/>
      <c r="I424" s="12"/>
      <c r="J424" s="12"/>
      <c r="K424" s="12"/>
      <c r="L424" s="12"/>
      <c r="M424" s="3"/>
    </row>
    <row r="425" spans="1:95" x14ac:dyDescent="0.25">
      <c r="A425" s="6"/>
      <c r="B425" s="70" t="s">
        <v>1182</v>
      </c>
      <c r="C425" s="6"/>
      <c r="D425" s="6" t="s">
        <v>1112</v>
      </c>
      <c r="E425" s="12"/>
      <c r="F425" s="12"/>
      <c r="G425" s="12"/>
      <c r="H425" s="12"/>
      <c r="I425" s="12">
        <f>4110+156</f>
        <v>4266</v>
      </c>
      <c r="J425" s="12">
        <v>4161</v>
      </c>
      <c r="K425" s="12">
        <v>4750</v>
      </c>
      <c r="L425" s="12"/>
      <c r="M425" s="3"/>
      <c r="N425" s="241">
        <f>P425+S425+V425+Y425+AB425+AE425+AH425+AK425+AN425+AQ425+AW425+AZ425+BC425+BF425+BI425+BL425+BO425+BR425+BU425+BX425+CA425+CD425+CG425+CJ425+AT425+CM425+CP425</f>
        <v>0</v>
      </c>
      <c r="O425" s="241">
        <f>Q425+T425+W425+Z425+AC425+AF425+AI425+AL425+AO425+AR425+AX425+BA425+BD425+BG425+BJ425+BM425+BP425+BS425+BV425+BY425+CB425+CE425+CH425+CK425+AU425+CN425+CQ425</f>
        <v>199</v>
      </c>
      <c r="Q425">
        <v>199</v>
      </c>
    </row>
    <row r="426" spans="1:95" x14ac:dyDescent="0.25">
      <c r="A426" s="6"/>
      <c r="B426" s="70" t="s">
        <v>1184</v>
      </c>
      <c r="C426" s="6"/>
      <c r="D426" s="6" t="s">
        <v>1112</v>
      </c>
      <c r="E426" s="12"/>
      <c r="F426" s="12"/>
      <c r="G426" s="12"/>
      <c r="H426" s="12"/>
      <c r="I426" s="12">
        <v>149</v>
      </c>
      <c r="J426" s="12">
        <v>162</v>
      </c>
      <c r="K426" s="12">
        <v>190</v>
      </c>
      <c r="L426" s="12"/>
      <c r="M426" s="3"/>
      <c r="N426" s="241">
        <f>P426+S426+V426+Y426+AB426+AE426+AH426+AK426+AN426+AQ426+AW426+AZ426+BC426+BF426+BI426+BL426+BO426+BR426+BU426+BX426+CA426+CD426+CG426+CJ426+AT426+CM426+CP426</f>
        <v>0</v>
      </c>
      <c r="O426" s="241">
        <f>Q426+T426+W426+Z426+AC426+AF426+AI426+AL426+AO426+AR426+AX426+BA426+BD426+BG426+BJ426+BM426+BP426+BS426+BV426+BY426+CB426+CE426+CH426+CK426+AU426+CN426+CQ426</f>
        <v>0</v>
      </c>
    </row>
    <row r="427" spans="1:95" ht="30" x14ac:dyDescent="0.25">
      <c r="A427" s="8"/>
      <c r="B427" s="16" t="s">
        <v>2084</v>
      </c>
      <c r="C427" s="6" t="s">
        <v>2710</v>
      </c>
      <c r="D427" s="6"/>
      <c r="E427" s="12"/>
      <c r="F427" s="12"/>
      <c r="G427" s="12"/>
      <c r="H427" s="12"/>
      <c r="I427" s="12"/>
      <c r="J427" s="12"/>
      <c r="K427" s="12"/>
      <c r="L427" s="12"/>
    </row>
    <row r="428" spans="1:95" x14ac:dyDescent="0.25">
      <c r="A428" s="8"/>
      <c r="B428" s="70" t="s">
        <v>1182</v>
      </c>
      <c r="C428" s="6"/>
      <c r="D428" s="6" t="s">
        <v>950</v>
      </c>
      <c r="E428" s="12"/>
      <c r="F428" s="12"/>
      <c r="G428" s="12"/>
      <c r="H428" s="12"/>
      <c r="I428" s="9">
        <v>21667.8</v>
      </c>
      <c r="J428" s="9">
        <v>21668.400000000001</v>
      </c>
      <c r="K428" s="9">
        <v>21338.9</v>
      </c>
      <c r="L428" s="9"/>
      <c r="N428" s="241">
        <f>P428+S428+V428+Y428+AB428+AE428+AH428+AK428+AN428+AQ428+AW428+AZ428+BC428+BF428+BI428+BL428+BO428+BR428+BU428+BX428+CA428+CD428+CG428+CJ428+AT428+CM428+CP428</f>
        <v>0</v>
      </c>
      <c r="O428" s="241">
        <f>Q428+T428+W428+Z428+AC428+AF428+AI428+AL428+AO428+AR428+AX428+BA428+BD428+BG428+BJ428+BM428+BP428+BS428+BV428+BY428+CB428+CE428+CH428+CK428+AU428+CN428+CQ428</f>
        <v>128.19999999999999</v>
      </c>
      <c r="Q428">
        <v>128.19999999999999</v>
      </c>
    </row>
    <row r="429" spans="1:95" x14ac:dyDescent="0.25">
      <c r="A429" s="8"/>
      <c r="B429" s="70" t="s">
        <v>1184</v>
      </c>
      <c r="C429" s="6"/>
      <c r="D429" s="6" t="s">
        <v>950</v>
      </c>
      <c r="E429" s="12"/>
      <c r="F429" s="12"/>
      <c r="G429" s="12"/>
      <c r="H429" s="12"/>
      <c r="I429" s="9">
        <v>654.5</v>
      </c>
      <c r="J429" s="9">
        <v>1006.7</v>
      </c>
      <c r="K429" s="9">
        <v>1518</v>
      </c>
      <c r="L429" s="9"/>
      <c r="N429" s="241">
        <f>P429+S429+V429+Y429+AB429+AE429+AH429+AK429+AN429+AQ429+AW429+AZ429+BC429+BF429+BI429+BL429+BO429+BR429+BU429+BX429+CA429+CD429+CG429+CJ429+AT429+CM429+CP429</f>
        <v>0</v>
      </c>
      <c r="O429" s="241">
        <f>Q429+T429+W429+Z429+AC429+AF429+AI429+AL429+AO429+AR429+AX429+BA429+BD429+BG429+BJ429+BM429+BP429+BS429+BV429+BY429+CB429+CE429+CH429+CK429+AU429+CN429+CQ429</f>
        <v>0</v>
      </c>
    </row>
    <row r="430" spans="1:95" ht="75" hidden="1" x14ac:dyDescent="0.25">
      <c r="A430" s="150" t="s">
        <v>691</v>
      </c>
      <c r="B430" s="51" t="s">
        <v>463</v>
      </c>
      <c r="C430" s="158"/>
      <c r="D430" s="150"/>
      <c r="E430" s="159"/>
      <c r="F430" s="159"/>
      <c r="G430" s="159"/>
      <c r="H430" s="159"/>
      <c r="I430" s="159"/>
      <c r="J430" s="159"/>
      <c r="K430" s="159"/>
      <c r="L430" s="159"/>
      <c r="M430" s="3" t="s">
        <v>23</v>
      </c>
    </row>
    <row r="431" spans="1:95" hidden="1" x14ac:dyDescent="0.25">
      <c r="A431" s="169"/>
      <c r="B431" s="51" t="s">
        <v>180</v>
      </c>
      <c r="C431" s="158"/>
      <c r="D431" s="150" t="s">
        <v>1112</v>
      </c>
      <c r="E431" s="164">
        <v>20.02</v>
      </c>
      <c r="F431" s="164" t="e">
        <f>F433/(F438+F435+F436+F437++F439+F440+F441+F442)</f>
        <v>#DIV/0!</v>
      </c>
      <c r="G431" s="164" t="e">
        <f>G433/(G438+G435+G436+G437++G439+G440+G441+G442)</f>
        <v>#DIV/0!</v>
      </c>
      <c r="H431" s="164">
        <v>10.91</v>
      </c>
      <c r="I431" s="164"/>
      <c r="J431" s="164"/>
      <c r="K431" s="164"/>
      <c r="L431" s="164"/>
      <c r="M431" s="3"/>
    </row>
    <row r="432" spans="1:95" hidden="1" x14ac:dyDescent="0.25">
      <c r="A432" s="169"/>
      <c r="B432" s="51" t="s">
        <v>218</v>
      </c>
      <c r="C432" s="158"/>
      <c r="D432" s="150" t="s">
        <v>1112</v>
      </c>
      <c r="E432" s="164">
        <v>7.16</v>
      </c>
      <c r="F432" s="164" t="e">
        <f>F434/(F439+F436+F437+F438++F440+F441+F442+F435)</f>
        <v>#DIV/0!</v>
      </c>
      <c r="G432" s="164" t="e">
        <f>G434/(G439+G436+G437+G438++G440+G441+G442+G435)</f>
        <v>#DIV/0!</v>
      </c>
      <c r="H432" s="164">
        <v>19.71</v>
      </c>
      <c r="I432" s="164"/>
      <c r="J432" s="164"/>
      <c r="K432" s="164"/>
      <c r="L432" s="164"/>
      <c r="M432" s="3"/>
    </row>
    <row r="433" spans="1:14" ht="75" hidden="1" x14ac:dyDescent="0.25">
      <c r="A433" s="23"/>
      <c r="B433" s="16" t="s">
        <v>458</v>
      </c>
      <c r="C433" s="6" t="s">
        <v>459</v>
      </c>
      <c r="D433" s="6" t="s">
        <v>1112</v>
      </c>
      <c r="E433" s="12"/>
      <c r="F433" s="12">
        <v>0</v>
      </c>
      <c r="G433" s="12">
        <v>0</v>
      </c>
      <c r="H433" s="12"/>
      <c r="I433" s="12"/>
      <c r="J433" s="12"/>
      <c r="K433" s="12"/>
      <c r="L433" s="12"/>
      <c r="M433" s="20"/>
    </row>
    <row r="434" spans="1:14" ht="75" hidden="1" x14ac:dyDescent="0.25">
      <c r="A434" s="23"/>
      <c r="B434" s="16" t="s">
        <v>460</v>
      </c>
      <c r="C434" s="6" t="s">
        <v>461</v>
      </c>
      <c r="D434" s="6" t="s">
        <v>1112</v>
      </c>
      <c r="E434" s="12"/>
      <c r="F434" s="12">
        <v>0</v>
      </c>
      <c r="G434" s="12">
        <v>0</v>
      </c>
      <c r="H434" s="12"/>
      <c r="I434" s="12"/>
      <c r="J434" s="12"/>
      <c r="K434" s="12"/>
      <c r="L434" s="12"/>
    </row>
    <row r="435" spans="1:14" ht="60" hidden="1" x14ac:dyDescent="0.25">
      <c r="A435" s="23"/>
      <c r="B435" s="16" t="s">
        <v>416</v>
      </c>
      <c r="C435" s="6" t="s">
        <v>361</v>
      </c>
      <c r="D435" s="6" t="s">
        <v>950</v>
      </c>
      <c r="E435" s="12"/>
      <c r="F435" s="12">
        <v>0</v>
      </c>
      <c r="G435" s="12">
        <v>0</v>
      </c>
      <c r="H435" s="12"/>
      <c r="I435" s="12"/>
      <c r="J435" s="12"/>
      <c r="K435" s="12"/>
      <c r="L435" s="12"/>
      <c r="M435" s="20"/>
      <c r="N435" s="20"/>
    </row>
    <row r="436" spans="1:14" ht="60" hidden="1" x14ac:dyDescent="0.25">
      <c r="A436" s="23"/>
      <c r="B436" s="16" t="s">
        <v>417</v>
      </c>
      <c r="C436" s="6" t="s">
        <v>362</v>
      </c>
      <c r="D436" s="6" t="s">
        <v>950</v>
      </c>
      <c r="E436" s="12"/>
      <c r="F436" s="12">
        <v>0</v>
      </c>
      <c r="G436" s="12">
        <v>0</v>
      </c>
      <c r="H436" s="12"/>
      <c r="I436" s="12"/>
      <c r="J436" s="12"/>
      <c r="K436" s="12"/>
      <c r="L436" s="12"/>
    </row>
    <row r="437" spans="1:14" ht="60" hidden="1" x14ac:dyDescent="0.25">
      <c r="A437" s="6"/>
      <c r="B437" s="16" t="s">
        <v>418</v>
      </c>
      <c r="C437" s="6" t="s">
        <v>419</v>
      </c>
      <c r="D437" s="6" t="s">
        <v>950</v>
      </c>
      <c r="E437" s="12"/>
      <c r="F437" s="12">
        <v>0</v>
      </c>
      <c r="G437" s="12">
        <v>0</v>
      </c>
      <c r="H437" s="12"/>
      <c r="I437" s="12"/>
      <c r="J437" s="12"/>
      <c r="K437" s="12"/>
      <c r="L437" s="12"/>
    </row>
    <row r="438" spans="1:14" ht="60" hidden="1" x14ac:dyDescent="0.25">
      <c r="A438" s="29"/>
      <c r="B438" s="16" t="s">
        <v>420</v>
      </c>
      <c r="C438" s="6" t="s">
        <v>346</v>
      </c>
      <c r="D438" s="6" t="s">
        <v>950</v>
      </c>
      <c r="E438" s="12"/>
      <c r="F438" s="12">
        <v>0</v>
      </c>
      <c r="G438" s="12">
        <v>0</v>
      </c>
      <c r="H438" s="12"/>
      <c r="I438" s="12"/>
      <c r="J438" s="12"/>
      <c r="K438" s="12"/>
      <c r="L438" s="12"/>
    </row>
    <row r="439" spans="1:14" ht="60" hidden="1" x14ac:dyDescent="0.25">
      <c r="A439" s="22"/>
      <c r="B439" s="16" t="s">
        <v>421</v>
      </c>
      <c r="C439" s="6" t="s">
        <v>345</v>
      </c>
      <c r="D439" s="6" t="s">
        <v>950</v>
      </c>
      <c r="E439" s="12"/>
      <c r="F439" s="12">
        <v>0</v>
      </c>
      <c r="G439" s="12">
        <v>0</v>
      </c>
      <c r="H439" s="12"/>
      <c r="I439" s="12"/>
      <c r="J439" s="12"/>
      <c r="K439" s="12"/>
      <c r="L439" s="12"/>
    </row>
    <row r="440" spans="1:14" ht="60" hidden="1" x14ac:dyDescent="0.25">
      <c r="A440" s="22"/>
      <c r="B440" s="16" t="s">
        <v>422</v>
      </c>
      <c r="C440" s="6" t="s">
        <v>347</v>
      </c>
      <c r="D440" s="6" t="s">
        <v>950</v>
      </c>
      <c r="E440" s="12"/>
      <c r="F440" s="12">
        <v>0</v>
      </c>
      <c r="G440" s="12">
        <v>0</v>
      </c>
      <c r="H440" s="12"/>
      <c r="I440" s="12"/>
      <c r="J440" s="12"/>
      <c r="K440" s="12"/>
      <c r="L440" s="12"/>
    </row>
    <row r="441" spans="1:14" ht="60" hidden="1" x14ac:dyDescent="0.25">
      <c r="A441" s="22"/>
      <c r="B441" s="16" t="s">
        <v>423</v>
      </c>
      <c r="C441" s="6" t="s">
        <v>424</v>
      </c>
      <c r="D441" s="6" t="s">
        <v>950</v>
      </c>
      <c r="E441" s="12"/>
      <c r="F441" s="12">
        <v>0</v>
      </c>
      <c r="G441" s="12">
        <v>0</v>
      </c>
      <c r="H441" s="12"/>
      <c r="I441" s="12"/>
      <c r="J441" s="12"/>
      <c r="K441" s="12"/>
      <c r="L441" s="12"/>
    </row>
    <row r="442" spans="1:14" ht="60" hidden="1" x14ac:dyDescent="0.25">
      <c r="A442" s="22"/>
      <c r="B442" s="16" t="s">
        <v>425</v>
      </c>
      <c r="C442" s="6" t="s">
        <v>426</v>
      </c>
      <c r="D442" s="6" t="s">
        <v>950</v>
      </c>
      <c r="E442" s="12"/>
      <c r="F442" s="12">
        <v>0</v>
      </c>
      <c r="G442" s="12">
        <v>0</v>
      </c>
      <c r="H442" s="12"/>
      <c r="I442" s="12"/>
      <c r="J442" s="12"/>
      <c r="K442" s="12"/>
      <c r="L442" s="12"/>
    </row>
    <row r="443" spans="1:14" s="89" customFormat="1" ht="60" hidden="1" x14ac:dyDescent="0.25">
      <c r="A443" s="150" t="s">
        <v>691</v>
      </c>
      <c r="B443" s="51" t="s">
        <v>464</v>
      </c>
      <c r="C443" s="158"/>
      <c r="D443" s="150"/>
      <c r="E443" s="159"/>
      <c r="F443" s="159"/>
      <c r="G443" s="159"/>
      <c r="H443" s="159"/>
      <c r="I443" s="159"/>
      <c r="J443" s="159"/>
      <c r="K443" s="159"/>
      <c r="L443" s="159"/>
      <c r="M443" s="88" t="s">
        <v>281</v>
      </c>
    </row>
    <row r="444" spans="1:14" s="89" customFormat="1" hidden="1" x14ac:dyDescent="0.25">
      <c r="A444" s="150"/>
      <c r="B444" s="51" t="s">
        <v>180</v>
      </c>
      <c r="C444" s="158"/>
      <c r="D444" s="150"/>
      <c r="E444" s="159"/>
      <c r="F444" s="159"/>
      <c r="G444" s="159"/>
      <c r="H444" s="159"/>
      <c r="I444" s="159"/>
      <c r="J444" s="159"/>
      <c r="K444" s="159"/>
      <c r="L444" s="159"/>
    </row>
    <row r="445" spans="1:14" s="89" customFormat="1" hidden="1" x14ac:dyDescent="0.25">
      <c r="A445" s="150"/>
      <c r="B445" s="135" t="s">
        <v>1182</v>
      </c>
      <c r="C445" s="158"/>
      <c r="D445" s="150" t="s">
        <v>1112</v>
      </c>
      <c r="E445" s="164">
        <v>28.14</v>
      </c>
      <c r="F445" s="164">
        <v>29.02</v>
      </c>
      <c r="G445" s="164">
        <v>32.43</v>
      </c>
      <c r="H445" s="164">
        <v>24.59</v>
      </c>
      <c r="I445" s="164"/>
      <c r="J445" s="164"/>
      <c r="K445" s="164"/>
      <c r="L445" s="164"/>
    </row>
    <row r="446" spans="1:14" s="89" customFormat="1" hidden="1" x14ac:dyDescent="0.25">
      <c r="A446" s="150"/>
      <c r="B446" s="135" t="s">
        <v>1184</v>
      </c>
      <c r="C446" s="158"/>
      <c r="D446" s="150" t="s">
        <v>1112</v>
      </c>
      <c r="E446" s="164">
        <v>19.16</v>
      </c>
      <c r="F446" s="164">
        <v>23.92</v>
      </c>
      <c r="G446" s="164">
        <f>G452/G458*100</f>
        <v>25.575447570332482</v>
      </c>
      <c r="H446" s="164">
        <v>28.25</v>
      </c>
      <c r="I446" s="164"/>
      <c r="J446" s="164"/>
      <c r="K446" s="164"/>
      <c r="L446" s="164"/>
    </row>
    <row r="447" spans="1:14" s="89" customFormat="1" hidden="1" x14ac:dyDescent="0.25">
      <c r="A447" s="150"/>
      <c r="B447" s="51" t="s">
        <v>218</v>
      </c>
      <c r="C447" s="158"/>
      <c r="D447" s="150"/>
      <c r="E447" s="159"/>
      <c r="F447" s="159"/>
      <c r="G447" s="159"/>
      <c r="H447" s="159"/>
      <c r="I447" s="159"/>
      <c r="J447" s="159"/>
      <c r="K447" s="159"/>
      <c r="L447" s="159"/>
    </row>
    <row r="448" spans="1:14" s="89" customFormat="1" hidden="1" x14ac:dyDescent="0.25">
      <c r="A448" s="150"/>
      <c r="B448" s="135" t="s">
        <v>1182</v>
      </c>
      <c r="C448" s="158"/>
      <c r="D448" s="150" t="s">
        <v>1112</v>
      </c>
      <c r="E448" s="164">
        <v>22.89</v>
      </c>
      <c r="F448" s="164">
        <v>25.68</v>
      </c>
      <c r="G448" s="164">
        <v>28.15</v>
      </c>
      <c r="H448" s="164">
        <v>28.18</v>
      </c>
      <c r="I448" s="164"/>
      <c r="J448" s="164"/>
      <c r="K448" s="164"/>
      <c r="L448" s="164"/>
    </row>
    <row r="449" spans="1:95" s="89" customFormat="1" hidden="1" x14ac:dyDescent="0.25">
      <c r="A449" s="150"/>
      <c r="B449" s="135" t="s">
        <v>1184</v>
      </c>
      <c r="C449" s="158"/>
      <c r="D449" s="150" t="s">
        <v>1112</v>
      </c>
      <c r="E449" s="164">
        <v>19.16</v>
      </c>
      <c r="F449" s="164">
        <v>15.55</v>
      </c>
      <c r="G449" s="164">
        <f>G455/G458*100</f>
        <v>25.575447570332482</v>
      </c>
      <c r="H449" s="164">
        <v>28.25</v>
      </c>
      <c r="I449" s="164"/>
      <c r="J449" s="164"/>
      <c r="K449" s="164"/>
      <c r="L449" s="164"/>
    </row>
    <row r="450" spans="1:95" ht="75" hidden="1" x14ac:dyDescent="0.25">
      <c r="A450" s="8"/>
      <c r="B450" s="16" t="s">
        <v>465</v>
      </c>
      <c r="C450" s="6" t="s">
        <v>466</v>
      </c>
      <c r="D450" s="6" t="s">
        <v>1112</v>
      </c>
      <c r="E450" s="12"/>
      <c r="F450" s="12"/>
      <c r="G450" s="12"/>
      <c r="H450" s="12"/>
      <c r="I450" s="12"/>
      <c r="J450" s="12"/>
      <c r="K450" s="12"/>
      <c r="L450" s="12"/>
    </row>
    <row r="451" spans="1:95" hidden="1" x14ac:dyDescent="0.25">
      <c r="A451" s="8"/>
      <c r="B451" s="16" t="s">
        <v>1182</v>
      </c>
      <c r="C451" s="6"/>
      <c r="D451" s="6"/>
      <c r="E451" s="12"/>
      <c r="F451" s="12">
        <v>2816</v>
      </c>
      <c r="G451" s="12">
        <v>3925</v>
      </c>
      <c r="H451" s="12"/>
      <c r="I451" s="12"/>
      <c r="J451" s="12"/>
      <c r="K451" s="12"/>
      <c r="L451" s="12"/>
    </row>
    <row r="452" spans="1:95" hidden="1" x14ac:dyDescent="0.25">
      <c r="A452" s="8"/>
      <c r="B452" s="16" t="s">
        <v>1184</v>
      </c>
      <c r="C452" s="6"/>
      <c r="D452" s="6"/>
      <c r="E452" s="12"/>
      <c r="F452" s="12">
        <v>20</v>
      </c>
      <c r="G452" s="12">
        <v>20</v>
      </c>
      <c r="H452" s="12"/>
      <c r="I452" s="12"/>
      <c r="J452" s="12"/>
      <c r="K452" s="12"/>
      <c r="L452" s="12"/>
    </row>
    <row r="453" spans="1:95" ht="90" hidden="1" x14ac:dyDescent="0.25">
      <c r="A453" s="8"/>
      <c r="B453" s="16" t="s">
        <v>467</v>
      </c>
      <c r="C453" s="6" t="s">
        <v>468</v>
      </c>
      <c r="D453" s="6" t="s">
        <v>1112</v>
      </c>
      <c r="E453" s="12"/>
      <c r="F453" s="12"/>
      <c r="G453" s="12"/>
      <c r="H453" s="12"/>
      <c r="I453" s="12"/>
      <c r="J453" s="12"/>
      <c r="K453" s="12"/>
      <c r="L453" s="12"/>
    </row>
    <row r="454" spans="1:95" hidden="1" x14ac:dyDescent="0.25">
      <c r="A454" s="8"/>
      <c r="B454" s="16" t="s">
        <v>1182</v>
      </c>
      <c r="C454" s="6"/>
      <c r="D454" s="6"/>
      <c r="E454" s="12"/>
      <c r="F454" s="12">
        <v>2492</v>
      </c>
      <c r="G454" s="12">
        <v>3433</v>
      </c>
      <c r="H454" s="12"/>
      <c r="I454" s="12"/>
      <c r="J454" s="12"/>
      <c r="K454" s="12"/>
      <c r="L454" s="12"/>
    </row>
    <row r="455" spans="1:95" hidden="1" x14ac:dyDescent="0.25">
      <c r="A455" s="8"/>
      <c r="B455" s="16" t="s">
        <v>1184</v>
      </c>
      <c r="C455" s="6"/>
      <c r="D455" s="6"/>
      <c r="E455" s="12"/>
      <c r="F455" s="12">
        <v>13</v>
      </c>
      <c r="G455" s="12">
        <v>20</v>
      </c>
      <c r="H455" s="12"/>
      <c r="I455" s="12"/>
      <c r="J455" s="12"/>
      <c r="K455" s="12"/>
      <c r="L455" s="12"/>
    </row>
    <row r="456" spans="1:95" ht="75" hidden="1" x14ac:dyDescent="0.25">
      <c r="A456" s="8"/>
      <c r="B456" s="16" t="s">
        <v>469</v>
      </c>
      <c r="C456" s="6" t="s">
        <v>470</v>
      </c>
      <c r="D456" s="6" t="s">
        <v>950</v>
      </c>
      <c r="E456" s="12"/>
      <c r="F456" s="12"/>
      <c r="G456" s="12"/>
      <c r="H456" s="12"/>
      <c r="I456" s="12"/>
      <c r="J456" s="12"/>
      <c r="K456" s="12"/>
      <c r="L456" s="12"/>
    </row>
    <row r="457" spans="1:95" hidden="1" x14ac:dyDescent="0.25">
      <c r="A457" s="8"/>
      <c r="B457" s="16" t="s">
        <v>1182</v>
      </c>
      <c r="C457" s="6"/>
      <c r="D457" s="6"/>
      <c r="E457" s="12"/>
      <c r="F457" s="12">
        <v>10295</v>
      </c>
      <c r="G457" s="12">
        <v>13098.074301628469</v>
      </c>
      <c r="H457" s="12"/>
      <c r="I457" s="12"/>
      <c r="J457" s="12"/>
      <c r="K457" s="12"/>
      <c r="L457" s="12"/>
    </row>
    <row r="458" spans="1:95" hidden="1" x14ac:dyDescent="0.25">
      <c r="A458" s="8"/>
      <c r="B458" s="16" t="s">
        <v>1184</v>
      </c>
      <c r="C458" s="6"/>
      <c r="D458" s="6"/>
      <c r="E458" s="12"/>
      <c r="F458" s="12">
        <v>84</v>
      </c>
      <c r="G458" s="12">
        <v>78.2</v>
      </c>
      <c r="H458" s="12"/>
      <c r="I458" s="12"/>
      <c r="J458" s="12"/>
      <c r="K458" s="12"/>
      <c r="L458" s="12"/>
    </row>
    <row r="459" spans="1:95" ht="75" x14ac:dyDescent="0.25">
      <c r="A459" s="150" t="s">
        <v>462</v>
      </c>
      <c r="B459" s="51" t="s">
        <v>472</v>
      </c>
      <c r="C459" s="150"/>
      <c r="D459" s="150"/>
      <c r="E459" s="159"/>
      <c r="F459" s="159"/>
      <c r="G459" s="159"/>
      <c r="H459" s="159"/>
      <c r="I459" s="159"/>
      <c r="J459" s="159"/>
      <c r="K459" s="159"/>
      <c r="L459" s="159"/>
      <c r="M459" s="3" t="s">
        <v>281</v>
      </c>
    </row>
    <row r="460" spans="1:95" x14ac:dyDescent="0.25">
      <c r="A460" s="150"/>
      <c r="B460" s="135" t="s">
        <v>1182</v>
      </c>
      <c r="C460" s="150"/>
      <c r="D460" s="150" t="s">
        <v>8</v>
      </c>
      <c r="E460" s="164">
        <v>65.22</v>
      </c>
      <c r="F460" s="164">
        <v>78.569999999999993</v>
      </c>
      <c r="G460" s="164">
        <v>76</v>
      </c>
      <c r="H460" s="164">
        <v>80.77</v>
      </c>
      <c r="I460" s="164">
        <f t="shared" ref="I460:K461" si="1414">I463/I466*100</f>
        <v>84</v>
      </c>
      <c r="J460" s="164">
        <f t="shared" si="1414"/>
        <v>84</v>
      </c>
      <c r="K460" s="164">
        <f t="shared" si="1414"/>
        <v>96.875</v>
      </c>
      <c r="L460" s="164" t="e">
        <f t="shared" ref="L460" si="1415">L463/L466*100</f>
        <v>#DIV/0!</v>
      </c>
      <c r="M460" s="3"/>
      <c r="N460" s="164" t="e">
        <f t="shared" ref="N460:P461" si="1416">N463/N466*100</f>
        <v>#DIV/0!</v>
      </c>
      <c r="O460" s="164">
        <f t="shared" si="1416"/>
        <v>100</v>
      </c>
      <c r="P460" s="164" t="e">
        <f t="shared" ref="P460:Q460" si="1417">P463/P466*100</f>
        <v>#DIV/0!</v>
      </c>
      <c r="Q460" s="164">
        <f t="shared" si="1417"/>
        <v>100</v>
      </c>
      <c r="S460" s="164" t="e">
        <f t="shared" ref="S460:T461" si="1418">S463/S466*100</f>
        <v>#DIV/0!</v>
      </c>
      <c r="T460" s="164" t="e">
        <f t="shared" si="1418"/>
        <v>#DIV/0!</v>
      </c>
      <c r="V460" s="164" t="e">
        <f t="shared" ref="V460:W460" si="1419">V463/V466*100</f>
        <v>#DIV/0!</v>
      </c>
      <c r="W460" s="164" t="e">
        <f t="shared" si="1419"/>
        <v>#DIV/0!</v>
      </c>
      <c r="Y460" s="164" t="e">
        <f t="shared" ref="Y460:Z461" si="1420">Y463/Y466*100</f>
        <v>#DIV/0!</v>
      </c>
      <c r="Z460" s="164" t="e">
        <f t="shared" si="1420"/>
        <v>#DIV/0!</v>
      </c>
      <c r="AA460" s="241"/>
      <c r="AB460" s="164" t="e">
        <f t="shared" ref="AB460:AC460" si="1421">AB463/AB466*100</f>
        <v>#DIV/0!</v>
      </c>
      <c r="AC460" s="164" t="e">
        <f t="shared" si="1421"/>
        <v>#DIV/0!</v>
      </c>
      <c r="AD460" s="241"/>
      <c r="AE460" s="164" t="e">
        <f t="shared" ref="AE460:AF460" si="1422">AE463/AE466*100</f>
        <v>#DIV/0!</v>
      </c>
      <c r="AF460" s="164" t="e">
        <f t="shared" si="1422"/>
        <v>#DIV/0!</v>
      </c>
      <c r="AH460" s="164" t="e">
        <f t="shared" ref="AH460:AI460" si="1423">AH463/AH466*100</f>
        <v>#DIV/0!</v>
      </c>
      <c r="AI460" s="164" t="e">
        <f t="shared" si="1423"/>
        <v>#DIV/0!</v>
      </c>
      <c r="AJ460" s="241"/>
      <c r="AK460" s="164" t="e">
        <f t="shared" ref="AK460:AL460" si="1424">AK463/AK466*100</f>
        <v>#DIV/0!</v>
      </c>
      <c r="AL460" s="164" t="e">
        <f t="shared" si="1424"/>
        <v>#DIV/0!</v>
      </c>
      <c r="AM460" s="241"/>
      <c r="AN460" s="164" t="e">
        <f t="shared" ref="AN460:AO460" si="1425">AN463/AN466*100</f>
        <v>#DIV/0!</v>
      </c>
      <c r="AO460" s="164" t="e">
        <f t="shared" si="1425"/>
        <v>#DIV/0!</v>
      </c>
      <c r="AQ460" s="164" t="e">
        <f t="shared" ref="AQ460:AR460" si="1426">AQ463/AQ466*100</f>
        <v>#DIV/0!</v>
      </c>
      <c r="AR460" s="164" t="e">
        <f t="shared" si="1426"/>
        <v>#DIV/0!</v>
      </c>
      <c r="AS460" s="241"/>
      <c r="AT460" s="164" t="e">
        <f t="shared" ref="AT460:AU460" si="1427">AT463/AT466*100</f>
        <v>#DIV/0!</v>
      </c>
      <c r="AU460" s="164" t="e">
        <f t="shared" si="1427"/>
        <v>#DIV/0!</v>
      </c>
      <c r="AW460" s="164" t="e">
        <f t="shared" ref="AW460:AX460" si="1428">AW463/AW466*100</f>
        <v>#DIV/0!</v>
      </c>
      <c r="AX460" s="164" t="e">
        <f t="shared" si="1428"/>
        <v>#DIV/0!</v>
      </c>
      <c r="AZ460" s="164" t="e">
        <f t="shared" ref="AZ460:BA460" si="1429">AZ463/AZ466*100</f>
        <v>#DIV/0!</v>
      </c>
      <c r="BA460" s="164" t="e">
        <f t="shared" si="1429"/>
        <v>#DIV/0!</v>
      </c>
      <c r="BB460" s="241"/>
      <c r="BC460" s="164" t="e">
        <f t="shared" ref="BC460:BD460" si="1430">BC463/BC466*100</f>
        <v>#DIV/0!</v>
      </c>
      <c r="BD460" s="164" t="e">
        <f t="shared" si="1430"/>
        <v>#DIV/0!</v>
      </c>
      <c r="BE460" s="241"/>
      <c r="BF460" s="164" t="e">
        <f t="shared" ref="BF460:BG460" si="1431">BF463/BF466*100</f>
        <v>#DIV/0!</v>
      </c>
      <c r="BG460" s="164" t="e">
        <f t="shared" si="1431"/>
        <v>#DIV/0!</v>
      </c>
      <c r="BI460" s="164" t="e">
        <f t="shared" ref="BI460:BJ460" si="1432">BI463/BI466*100</f>
        <v>#DIV/0!</v>
      </c>
      <c r="BJ460" s="164" t="e">
        <f t="shared" si="1432"/>
        <v>#DIV/0!</v>
      </c>
      <c r="BK460" s="241"/>
      <c r="BL460" s="164" t="e">
        <f t="shared" ref="BL460:BM460" si="1433">BL463/BL466*100</f>
        <v>#DIV/0!</v>
      </c>
      <c r="BM460" s="164" t="e">
        <f t="shared" si="1433"/>
        <v>#DIV/0!</v>
      </c>
      <c r="BN460" s="241"/>
      <c r="BO460" s="164" t="e">
        <f t="shared" ref="BO460:BP460" si="1434">BO463/BO466*100</f>
        <v>#DIV/0!</v>
      </c>
      <c r="BP460" s="164" t="e">
        <f t="shared" si="1434"/>
        <v>#DIV/0!</v>
      </c>
      <c r="BR460" s="164" t="e">
        <f t="shared" ref="BR460:BS460" si="1435">BR463/BR466*100</f>
        <v>#DIV/0!</v>
      </c>
      <c r="BS460" s="164" t="e">
        <f t="shared" si="1435"/>
        <v>#DIV/0!</v>
      </c>
      <c r="BT460" s="241"/>
      <c r="BU460" s="164" t="e">
        <f t="shared" ref="BU460:BV460" si="1436">BU463/BU466*100</f>
        <v>#DIV/0!</v>
      </c>
      <c r="BV460" s="164" t="e">
        <f t="shared" si="1436"/>
        <v>#DIV/0!</v>
      </c>
      <c r="BW460" s="241"/>
      <c r="BX460" s="164" t="e">
        <f t="shared" ref="BX460:BY460" si="1437">BX463/BX466*100</f>
        <v>#DIV/0!</v>
      </c>
      <c r="BY460" s="164" t="e">
        <f t="shared" si="1437"/>
        <v>#DIV/0!</v>
      </c>
      <c r="CA460" s="164" t="e">
        <f t="shared" ref="CA460:CB460" si="1438">CA463/CA466*100</f>
        <v>#DIV/0!</v>
      </c>
      <c r="CB460" s="164" t="e">
        <f t="shared" si="1438"/>
        <v>#DIV/0!</v>
      </c>
      <c r="CC460" s="241"/>
      <c r="CD460" s="164" t="e">
        <f t="shared" ref="CD460:CE460" si="1439">CD463/CD466*100</f>
        <v>#DIV/0!</v>
      </c>
      <c r="CE460" s="164" t="e">
        <f t="shared" si="1439"/>
        <v>#DIV/0!</v>
      </c>
      <c r="CF460" s="241"/>
      <c r="CG460" s="164" t="e">
        <f t="shared" ref="CG460:CH460" si="1440">CG463/CG466*100</f>
        <v>#DIV/0!</v>
      </c>
      <c r="CH460" s="164" t="e">
        <f t="shared" si="1440"/>
        <v>#DIV/0!</v>
      </c>
      <c r="CJ460" s="164" t="e">
        <f t="shared" ref="CJ460:CK460" si="1441">CJ463/CJ466*100</f>
        <v>#DIV/0!</v>
      </c>
      <c r="CK460" s="164" t="e">
        <f t="shared" si="1441"/>
        <v>#DIV/0!</v>
      </c>
      <c r="CL460" s="241"/>
      <c r="CM460" s="164" t="e">
        <f t="shared" ref="CM460:CN460" si="1442">CM463/CM466*100</f>
        <v>#DIV/0!</v>
      </c>
      <c r="CN460" s="164" t="e">
        <f t="shared" si="1442"/>
        <v>#DIV/0!</v>
      </c>
      <c r="CO460" s="241"/>
      <c r="CP460" s="164" t="e">
        <f t="shared" ref="CP460:CQ460" si="1443">CP463/CP466*100</f>
        <v>#DIV/0!</v>
      </c>
      <c r="CQ460" s="164" t="e">
        <f t="shared" si="1443"/>
        <v>#DIV/0!</v>
      </c>
    </row>
    <row r="461" spans="1:95" x14ac:dyDescent="0.25">
      <c r="A461" s="150"/>
      <c r="B461" s="135" t="s">
        <v>1184</v>
      </c>
      <c r="C461" s="150"/>
      <c r="D461" s="150" t="s">
        <v>8</v>
      </c>
      <c r="E461" s="164">
        <v>100</v>
      </c>
      <c r="F461" s="164">
        <f>F464/F467*100</f>
        <v>100</v>
      </c>
      <c r="G461" s="164">
        <f>G464/G467*100</f>
        <v>100</v>
      </c>
      <c r="H461" s="164">
        <v>100</v>
      </c>
      <c r="I461" s="164">
        <f t="shared" si="1414"/>
        <v>100</v>
      </c>
      <c r="J461" s="164">
        <f t="shared" si="1414"/>
        <v>100</v>
      </c>
      <c r="K461" s="164">
        <f t="shared" si="1414"/>
        <v>100</v>
      </c>
      <c r="L461" s="164" t="e">
        <f t="shared" ref="L461" si="1444">L464/L467*100</f>
        <v>#DIV/0!</v>
      </c>
      <c r="M461" s="3"/>
      <c r="N461" s="164" t="e">
        <f t="shared" ref="N461" si="1445">N464/N467*100</f>
        <v>#DIV/0!</v>
      </c>
      <c r="O461" s="164" t="e">
        <f t="shared" si="1416"/>
        <v>#DIV/0!</v>
      </c>
      <c r="P461" s="164" t="e">
        <f t="shared" si="1416"/>
        <v>#DIV/0!</v>
      </c>
      <c r="Q461" s="164" t="e">
        <f t="shared" ref="Q461" si="1446">Q464/Q467*100</f>
        <v>#DIV/0!</v>
      </c>
      <c r="S461" s="164" t="e">
        <f t="shared" ref="S461" si="1447">S464/S467*100</f>
        <v>#DIV/0!</v>
      </c>
      <c r="T461" s="164" t="e">
        <f t="shared" si="1418"/>
        <v>#DIV/0!</v>
      </c>
      <c r="V461" s="164" t="e">
        <f t="shared" ref="V461:W461" si="1448">V464/V467*100</f>
        <v>#DIV/0!</v>
      </c>
      <c r="W461" s="164" t="e">
        <f t="shared" si="1448"/>
        <v>#DIV/0!</v>
      </c>
      <c r="Y461" s="164" t="e">
        <f t="shared" ref="Y461" si="1449">Y464/Y467*100</f>
        <v>#DIV/0!</v>
      </c>
      <c r="Z461" s="164" t="e">
        <f t="shared" si="1420"/>
        <v>#DIV/0!</v>
      </c>
      <c r="AA461" s="241"/>
      <c r="AB461" s="164" t="e">
        <f t="shared" ref="AB461:AC461" si="1450">AB464/AB467*100</f>
        <v>#DIV/0!</v>
      </c>
      <c r="AC461" s="164" t="e">
        <f t="shared" si="1450"/>
        <v>#DIV/0!</v>
      </c>
      <c r="AD461" s="241"/>
      <c r="AE461" s="164" t="e">
        <f t="shared" ref="AE461:AF461" si="1451">AE464/AE467*100</f>
        <v>#DIV/0!</v>
      </c>
      <c r="AF461" s="164" t="e">
        <f t="shared" si="1451"/>
        <v>#DIV/0!</v>
      </c>
      <c r="AH461" s="164" t="e">
        <f t="shared" ref="AH461:AI461" si="1452">AH464/AH467*100</f>
        <v>#DIV/0!</v>
      </c>
      <c r="AI461" s="164" t="e">
        <f t="shared" si="1452"/>
        <v>#DIV/0!</v>
      </c>
      <c r="AJ461" s="241"/>
      <c r="AK461" s="164" t="e">
        <f t="shared" ref="AK461:AL461" si="1453">AK464/AK467*100</f>
        <v>#DIV/0!</v>
      </c>
      <c r="AL461" s="164" t="e">
        <f t="shared" si="1453"/>
        <v>#DIV/0!</v>
      </c>
      <c r="AM461" s="241"/>
      <c r="AN461" s="164" t="e">
        <f t="shared" ref="AN461:AO461" si="1454">AN464/AN467*100</f>
        <v>#DIV/0!</v>
      </c>
      <c r="AO461" s="164" t="e">
        <f t="shared" si="1454"/>
        <v>#DIV/0!</v>
      </c>
      <c r="AQ461" s="164" t="e">
        <f t="shared" ref="AQ461:AR461" si="1455">AQ464/AQ467*100</f>
        <v>#DIV/0!</v>
      </c>
      <c r="AR461" s="164" t="e">
        <f t="shared" si="1455"/>
        <v>#DIV/0!</v>
      </c>
      <c r="AS461" s="241"/>
      <c r="AT461" s="164" t="e">
        <f t="shared" ref="AT461:AU461" si="1456">AT464/AT467*100</f>
        <v>#DIV/0!</v>
      </c>
      <c r="AU461" s="164" t="e">
        <f t="shared" si="1456"/>
        <v>#DIV/0!</v>
      </c>
      <c r="AW461" s="164" t="e">
        <f t="shared" ref="AW461:AX461" si="1457">AW464/AW467*100</f>
        <v>#DIV/0!</v>
      </c>
      <c r="AX461" s="164" t="e">
        <f t="shared" si="1457"/>
        <v>#DIV/0!</v>
      </c>
      <c r="AZ461" s="164" t="e">
        <f t="shared" ref="AZ461:BA461" si="1458">AZ464/AZ467*100</f>
        <v>#DIV/0!</v>
      </c>
      <c r="BA461" s="164" t="e">
        <f t="shared" si="1458"/>
        <v>#DIV/0!</v>
      </c>
      <c r="BB461" s="241"/>
      <c r="BC461" s="164" t="e">
        <f t="shared" ref="BC461:BD461" si="1459">BC464/BC467*100</f>
        <v>#DIV/0!</v>
      </c>
      <c r="BD461" s="164" t="e">
        <f t="shared" si="1459"/>
        <v>#DIV/0!</v>
      </c>
      <c r="BE461" s="241"/>
      <c r="BF461" s="164" t="e">
        <f t="shared" ref="BF461:BG461" si="1460">BF464/BF467*100</f>
        <v>#DIV/0!</v>
      </c>
      <c r="BG461" s="164" t="e">
        <f t="shared" si="1460"/>
        <v>#DIV/0!</v>
      </c>
      <c r="BI461" s="164" t="e">
        <f t="shared" ref="BI461:BJ461" si="1461">BI464/BI467*100</f>
        <v>#DIV/0!</v>
      </c>
      <c r="BJ461" s="164" t="e">
        <f t="shared" si="1461"/>
        <v>#DIV/0!</v>
      </c>
      <c r="BK461" s="241"/>
      <c r="BL461" s="164" t="e">
        <f t="shared" ref="BL461:BM461" si="1462">BL464/BL467*100</f>
        <v>#DIV/0!</v>
      </c>
      <c r="BM461" s="164" t="e">
        <f t="shared" si="1462"/>
        <v>#DIV/0!</v>
      </c>
      <c r="BN461" s="241"/>
      <c r="BO461" s="164" t="e">
        <f t="shared" ref="BO461:BP461" si="1463">BO464/BO467*100</f>
        <v>#DIV/0!</v>
      </c>
      <c r="BP461" s="164" t="e">
        <f t="shared" si="1463"/>
        <v>#DIV/0!</v>
      </c>
      <c r="BR461" s="164" t="e">
        <f t="shared" ref="BR461:BS461" si="1464">BR464/BR467*100</f>
        <v>#DIV/0!</v>
      </c>
      <c r="BS461" s="164" t="e">
        <f t="shared" si="1464"/>
        <v>#DIV/0!</v>
      </c>
      <c r="BT461" s="241"/>
      <c r="BU461" s="164" t="e">
        <f t="shared" ref="BU461:BV461" si="1465">BU464/BU467*100</f>
        <v>#DIV/0!</v>
      </c>
      <c r="BV461" s="164" t="e">
        <f t="shared" si="1465"/>
        <v>#DIV/0!</v>
      </c>
      <c r="BW461" s="241"/>
      <c r="BX461" s="164" t="e">
        <f t="shared" ref="BX461:BY461" si="1466">BX464/BX467*100</f>
        <v>#DIV/0!</v>
      </c>
      <c r="BY461" s="164" t="e">
        <f t="shared" si="1466"/>
        <v>#DIV/0!</v>
      </c>
      <c r="CA461" s="164" t="e">
        <f t="shared" ref="CA461:CB461" si="1467">CA464/CA467*100</f>
        <v>#DIV/0!</v>
      </c>
      <c r="CB461" s="164" t="e">
        <f t="shared" si="1467"/>
        <v>#DIV/0!</v>
      </c>
      <c r="CC461" s="241"/>
      <c r="CD461" s="164" t="e">
        <f t="shared" ref="CD461:CE461" si="1468">CD464/CD467*100</f>
        <v>#DIV/0!</v>
      </c>
      <c r="CE461" s="164" t="e">
        <f t="shared" si="1468"/>
        <v>#DIV/0!</v>
      </c>
      <c r="CF461" s="241"/>
      <c r="CG461" s="164" t="e">
        <f t="shared" ref="CG461:CH461" si="1469">CG464/CG467*100</f>
        <v>#DIV/0!</v>
      </c>
      <c r="CH461" s="164" t="e">
        <f t="shared" si="1469"/>
        <v>#DIV/0!</v>
      </c>
      <c r="CJ461" s="164" t="e">
        <f t="shared" ref="CJ461:CK461" si="1470">CJ464/CJ467*100</f>
        <v>#DIV/0!</v>
      </c>
      <c r="CK461" s="164" t="e">
        <f t="shared" si="1470"/>
        <v>#DIV/0!</v>
      </c>
      <c r="CL461" s="241"/>
      <c r="CM461" s="164" t="e">
        <f t="shared" ref="CM461:CN461" si="1471">CM464/CM467*100</f>
        <v>#DIV/0!</v>
      </c>
      <c r="CN461" s="164" t="e">
        <f t="shared" si="1471"/>
        <v>#DIV/0!</v>
      </c>
      <c r="CO461" s="241"/>
      <c r="CP461" s="164" t="e">
        <f t="shared" ref="CP461:CQ461" si="1472">CP464/CP467*100</f>
        <v>#DIV/0!</v>
      </c>
      <c r="CQ461" s="164" t="e">
        <f t="shared" si="1472"/>
        <v>#DIV/0!</v>
      </c>
    </row>
    <row r="462" spans="1:95" ht="75" x14ac:dyDescent="0.25">
      <c r="A462" s="8"/>
      <c r="B462" s="16" t="s">
        <v>473</v>
      </c>
      <c r="C462" s="6" t="s">
        <v>2992</v>
      </c>
      <c r="D462" s="6" t="s">
        <v>1112</v>
      </c>
      <c r="E462" s="12"/>
      <c r="F462" s="12"/>
      <c r="G462" s="12"/>
      <c r="H462" s="12"/>
      <c r="I462" s="12"/>
      <c r="J462" s="12"/>
      <c r="K462" s="12"/>
      <c r="L462" s="12"/>
    </row>
    <row r="463" spans="1:95" x14ac:dyDescent="0.25">
      <c r="A463" s="8"/>
      <c r="B463" s="16" t="s">
        <v>1182</v>
      </c>
      <c r="C463" s="6"/>
      <c r="D463" s="6"/>
      <c r="E463" s="12"/>
      <c r="F463" s="12">
        <v>22</v>
      </c>
      <c r="G463" s="12">
        <v>23</v>
      </c>
      <c r="H463" s="12"/>
      <c r="I463" s="12">
        <v>21</v>
      </c>
      <c r="J463" s="12">
        <v>21</v>
      </c>
      <c r="K463" s="12">
        <v>31</v>
      </c>
      <c r="L463" s="12"/>
      <c r="N463" s="241">
        <f>P463+S463+V463+Y463+AB463+AE463+AH463+AK463+AN463+AQ463+AW463+AZ463+BC463+BF463+BI463+BL463+BO463+BR463+BU463+BX463+CA463+CD463+CG463+CJ463+AT463+CM463+CP463</f>
        <v>0</v>
      </c>
      <c r="O463" s="241">
        <f>Q463+T463+W463+Z463+AC463+AF463+AI463+AL463+AO463+AR463+AX463+BA463+BD463+BG463+BJ463+BM463+BP463+BS463+BV463+BY463+CB463+CE463+CH463+CK463+AU463+CN463+CQ463</f>
        <v>1</v>
      </c>
      <c r="Q463">
        <v>1</v>
      </c>
    </row>
    <row r="464" spans="1:95" x14ac:dyDescent="0.25">
      <c r="A464" s="8"/>
      <c r="B464" s="16" t="s">
        <v>1184</v>
      </c>
      <c r="C464" s="6"/>
      <c r="D464" s="6"/>
      <c r="E464" s="12"/>
      <c r="F464" s="12">
        <v>2</v>
      </c>
      <c r="G464" s="12">
        <v>1</v>
      </c>
      <c r="H464" s="12"/>
      <c r="I464" s="12">
        <v>1</v>
      </c>
      <c r="J464" s="12">
        <v>1</v>
      </c>
      <c r="K464" s="12">
        <v>2</v>
      </c>
      <c r="L464" s="12"/>
      <c r="N464" s="241">
        <f>P464+S464+V464+Y464+AB464+AE464+AH464+AK464+AN464+AQ464+AW464+AZ464+BC464+BF464+BI464+BL464+BO464+BR464+BU464+BX464+CA464+CD464+CG464+CJ464+AT464+CM464+CP464</f>
        <v>0</v>
      </c>
      <c r="O464" s="241">
        <f>Q464+T464+W464+Z464+AC464+AF464+AI464+AL464+AO464+AR464+AX464+BA464+BD464+BG464+BJ464+BM464+BP464+BS464+BV464+BY464+CB464+CE464+CH464+CK464+AU464+CN464+CQ464</f>
        <v>0</v>
      </c>
    </row>
    <row r="465" spans="1:110" ht="75" x14ac:dyDescent="0.25">
      <c r="A465" s="8"/>
      <c r="B465" s="16" t="s">
        <v>474</v>
      </c>
      <c r="C465" s="6" t="s">
        <v>475</v>
      </c>
      <c r="D465" s="6" t="s">
        <v>1112</v>
      </c>
      <c r="E465" s="12"/>
      <c r="F465" s="12"/>
      <c r="G465" s="12"/>
      <c r="H465" s="12"/>
      <c r="I465" s="12"/>
      <c r="J465" s="12"/>
      <c r="K465" s="12"/>
      <c r="L465" s="12"/>
    </row>
    <row r="466" spans="1:110" x14ac:dyDescent="0.25">
      <c r="A466" s="8"/>
      <c r="B466" s="16" t="s">
        <v>1182</v>
      </c>
      <c r="C466" s="6"/>
      <c r="D466" s="6"/>
      <c r="E466" s="12"/>
      <c r="F466" s="12">
        <v>24</v>
      </c>
      <c r="G466" s="12">
        <v>25</v>
      </c>
      <c r="H466" s="12"/>
      <c r="I466" s="12">
        <v>25</v>
      </c>
      <c r="J466" s="12">
        <v>25</v>
      </c>
      <c r="K466" s="12">
        <v>32</v>
      </c>
      <c r="L466" s="12"/>
      <c r="N466" s="241">
        <f>P466+S466+V466+Y466+AB466+AE466+AH466+AK466+AN466+AQ466+AW466+AZ466+BC466+BF466+BI466+BL466+BO466+BR466+BU466+BX466+CA466+CD466+CG466+CJ466+AT466+CM466+CP466</f>
        <v>0</v>
      </c>
      <c r="O466" s="241">
        <f>Q466+T466+W466+Z466+AC466+AF466+AI466+AL466+AO466+AR466+AX466+BA466+BD466+BG466+BJ466+BM466+BP466+BS466+BV466+BY466+CB466+CE466+CH466+CK466+AU466+CN466+CQ466</f>
        <v>1</v>
      </c>
      <c r="Q466">
        <v>1</v>
      </c>
    </row>
    <row r="467" spans="1:110" x14ac:dyDescent="0.25">
      <c r="A467" s="8"/>
      <c r="B467" s="16" t="s">
        <v>1184</v>
      </c>
      <c r="C467" s="6"/>
      <c r="D467" s="6"/>
      <c r="E467" s="12"/>
      <c r="F467" s="12">
        <v>2</v>
      </c>
      <c r="G467" s="12">
        <v>1</v>
      </c>
      <c r="H467" s="12"/>
      <c r="I467" s="12">
        <v>1</v>
      </c>
      <c r="J467" s="12">
        <v>1</v>
      </c>
      <c r="K467" s="12">
        <v>2</v>
      </c>
      <c r="L467" s="12"/>
      <c r="N467" s="241">
        <f>P467+S467+V467+Y467+AB467+AE467+AH467+AK467+AN467+AQ467+AW467+AZ467+BC467+BF467+BI467+BL467+BO467+BR467+BU467+BX467+CA467+CD467+CG467+CJ467+AT467+CM467+CP467</f>
        <v>0</v>
      </c>
      <c r="O467" s="241">
        <f>Q467+T467+W467+Z467+AC467+AF467+AI467+AL467+AO467+AR467+AX467+BA467+BD467+BG467+BJ467+BM467+BP467+BS467+BV467+BY467+CB467+CE467+CH467+CK467+AU467+CN467+CQ467</f>
        <v>0</v>
      </c>
    </row>
    <row r="468" spans="1:110" ht="90" x14ac:dyDescent="0.25">
      <c r="A468" s="212" t="s">
        <v>462</v>
      </c>
      <c r="B468" s="219" t="s">
        <v>2961</v>
      </c>
      <c r="C468" s="212"/>
      <c r="D468" s="212"/>
      <c r="E468" s="214"/>
      <c r="F468" s="214"/>
      <c r="G468" s="214"/>
      <c r="H468" s="214"/>
      <c r="I468" s="214"/>
      <c r="J468" s="214"/>
      <c r="K468" s="214"/>
      <c r="L468" s="214"/>
    </row>
    <row r="469" spans="1:110" s="241" customFormat="1" x14ac:dyDescent="0.25">
      <c r="A469" s="212"/>
      <c r="B469" s="219" t="s">
        <v>2962</v>
      </c>
      <c r="C469" s="212"/>
      <c r="D469" s="212"/>
      <c r="E469" s="214"/>
      <c r="F469" s="214"/>
      <c r="G469" s="214"/>
      <c r="H469" s="214"/>
      <c r="I469" s="214"/>
      <c r="J469" s="214"/>
      <c r="K469" s="214"/>
      <c r="L469" s="214"/>
    </row>
    <row r="470" spans="1:110" x14ac:dyDescent="0.25">
      <c r="A470" s="212"/>
      <c r="B470" s="211" t="s">
        <v>1301</v>
      </c>
      <c r="C470" s="212"/>
      <c r="D470" s="212" t="s">
        <v>8</v>
      </c>
      <c r="E470" s="214"/>
      <c r="F470" s="214"/>
      <c r="G470" s="214"/>
      <c r="H470" s="214"/>
      <c r="I470" s="214"/>
      <c r="J470" s="214"/>
      <c r="K470" s="260">
        <f>K477/K485*100</f>
        <v>50</v>
      </c>
      <c r="L470" s="260" t="e">
        <f>L477/L485*100</f>
        <v>#DIV/0!</v>
      </c>
      <c r="N470" s="260" t="e">
        <f t="shared" ref="N470:Q471" si="1473">N477/N485*100</f>
        <v>#DIV/0!</v>
      </c>
      <c r="O470" s="260">
        <f t="shared" si="1473"/>
        <v>0</v>
      </c>
      <c r="P470" s="260" t="e">
        <f t="shared" si="1473"/>
        <v>#DIV/0!</v>
      </c>
      <c r="Q470" s="260">
        <f t="shared" si="1473"/>
        <v>0</v>
      </c>
      <c r="S470" s="260" t="e">
        <f>S477/S485*100</f>
        <v>#DIV/0!</v>
      </c>
      <c r="T470" s="260" t="e">
        <f>T477/T485*100</f>
        <v>#DIV/0!</v>
      </c>
      <c r="V470" s="260" t="e">
        <f>V477/V485*100</f>
        <v>#DIV/0!</v>
      </c>
      <c r="W470" s="260" t="e">
        <f>W477/W485*100</f>
        <v>#DIV/0!</v>
      </c>
      <c r="Y470" s="260" t="e">
        <f>Y477/Y485*100</f>
        <v>#DIV/0!</v>
      </c>
      <c r="Z470" s="260" t="e">
        <f>Z477/Z485*100</f>
        <v>#DIV/0!</v>
      </c>
      <c r="AA470" s="241"/>
      <c r="AB470" s="260" t="e">
        <f>AB477/AB485*100</f>
        <v>#DIV/0!</v>
      </c>
      <c r="AC470" s="260" t="e">
        <f>AC477/AC485*100</f>
        <v>#DIV/0!</v>
      </c>
      <c r="AD470" s="241"/>
      <c r="AE470" s="260" t="e">
        <f>AE477/AE485*100</f>
        <v>#DIV/0!</v>
      </c>
      <c r="AF470" s="260" t="e">
        <f>AF477/AF485*100</f>
        <v>#DIV/0!</v>
      </c>
      <c r="AH470" s="260" t="e">
        <f>AH477/AH485*100</f>
        <v>#DIV/0!</v>
      </c>
      <c r="AI470" s="260" t="e">
        <f>AI477/AI485*100</f>
        <v>#DIV/0!</v>
      </c>
      <c r="AJ470" s="241"/>
      <c r="AK470" s="260" t="e">
        <f>AK477/AK485*100</f>
        <v>#DIV/0!</v>
      </c>
      <c r="AL470" s="260" t="e">
        <f>AL477/AL485*100</f>
        <v>#DIV/0!</v>
      </c>
      <c r="AM470" s="241"/>
      <c r="AN470" s="260" t="e">
        <f>AN477/AN485*100</f>
        <v>#DIV/0!</v>
      </c>
      <c r="AO470" s="260" t="e">
        <f>AO477/AO485*100</f>
        <v>#DIV/0!</v>
      </c>
      <c r="AQ470" s="260" t="e">
        <f>AQ477/AQ485*100</f>
        <v>#DIV/0!</v>
      </c>
      <c r="AR470" s="260" t="e">
        <f>AR477/AR485*100</f>
        <v>#DIV/0!</v>
      </c>
      <c r="AS470" s="241"/>
      <c r="AT470" s="260" t="e">
        <f>AT477/AT485*100</f>
        <v>#DIV/0!</v>
      </c>
      <c r="AU470" s="260" t="e">
        <f>AU477/AU485*100</f>
        <v>#DIV/0!</v>
      </c>
      <c r="AW470" s="260" t="e">
        <f>AW477/AW485*100</f>
        <v>#DIV/0!</v>
      </c>
      <c r="AX470" s="260" t="e">
        <f>AX477/AX485*100</f>
        <v>#DIV/0!</v>
      </c>
      <c r="AZ470" s="260" t="e">
        <f>AZ477/AZ485*100</f>
        <v>#DIV/0!</v>
      </c>
      <c r="BA470" s="260" t="e">
        <f>BA477/BA485*100</f>
        <v>#DIV/0!</v>
      </c>
      <c r="BB470" s="241"/>
      <c r="BC470" s="260" t="e">
        <f>BC477/BC485*100</f>
        <v>#DIV/0!</v>
      </c>
      <c r="BD470" s="260" t="e">
        <f>BD477/BD485*100</f>
        <v>#DIV/0!</v>
      </c>
      <c r="BE470" s="241"/>
      <c r="BF470" s="260" t="e">
        <f>BF477/BF485*100</f>
        <v>#DIV/0!</v>
      </c>
      <c r="BG470" s="260" t="e">
        <f>BG477/BG485*100</f>
        <v>#DIV/0!</v>
      </c>
      <c r="BI470" s="260" t="e">
        <f>BI477/BI485*100</f>
        <v>#DIV/0!</v>
      </c>
      <c r="BJ470" s="260" t="e">
        <f>BJ477/BJ485*100</f>
        <v>#DIV/0!</v>
      </c>
      <c r="BK470" s="241"/>
      <c r="BL470" s="260" t="e">
        <f>BL477/BL485*100</f>
        <v>#DIV/0!</v>
      </c>
      <c r="BM470" s="260" t="e">
        <f>BM477/BM485*100</f>
        <v>#DIV/0!</v>
      </c>
      <c r="BN470" s="241"/>
      <c r="BO470" s="260" t="e">
        <f>BO477/BO485*100</f>
        <v>#DIV/0!</v>
      </c>
      <c r="BP470" s="260" t="e">
        <f>BP477/BP485*100</f>
        <v>#DIV/0!</v>
      </c>
      <c r="BR470" s="260" t="e">
        <f>BR477/BR485*100</f>
        <v>#DIV/0!</v>
      </c>
      <c r="BS470" s="260" t="e">
        <f>BS477/BS485*100</f>
        <v>#DIV/0!</v>
      </c>
      <c r="BT470" s="241"/>
      <c r="BU470" s="260" t="e">
        <f>BU477/BU485*100</f>
        <v>#DIV/0!</v>
      </c>
      <c r="BV470" s="260" t="e">
        <f>BV477/BV485*100</f>
        <v>#DIV/0!</v>
      </c>
      <c r="BW470" s="241"/>
      <c r="BX470" s="260" t="e">
        <f>BX477/BX485*100</f>
        <v>#DIV/0!</v>
      </c>
      <c r="BY470" s="260" t="e">
        <f>BY477/BY485*100</f>
        <v>#DIV/0!</v>
      </c>
      <c r="CA470" s="260" t="e">
        <f>CA477/CA485*100</f>
        <v>#DIV/0!</v>
      </c>
      <c r="CB470" s="260" t="e">
        <f>CB477/CB485*100</f>
        <v>#DIV/0!</v>
      </c>
      <c r="CC470" s="241"/>
      <c r="CD470" s="260" t="e">
        <f>CD477/CD485*100</f>
        <v>#DIV/0!</v>
      </c>
      <c r="CE470" s="260" t="e">
        <f>CE477/CE485*100</f>
        <v>#DIV/0!</v>
      </c>
      <c r="CF470" s="241"/>
      <c r="CG470" s="260" t="e">
        <f>CG477/CG485*100</f>
        <v>#DIV/0!</v>
      </c>
      <c r="CH470" s="260" t="e">
        <f>CH477/CH485*100</f>
        <v>#DIV/0!</v>
      </c>
      <c r="CJ470" s="260" t="e">
        <f>CJ477/CJ485*100</f>
        <v>#DIV/0!</v>
      </c>
      <c r="CK470" s="260" t="e">
        <f>CK477/CK485*100</f>
        <v>#DIV/0!</v>
      </c>
      <c r="CL470" s="241"/>
      <c r="CM470" s="260" t="e">
        <f>CM477/CM485*100</f>
        <v>#DIV/0!</v>
      </c>
      <c r="CN470" s="260" t="e">
        <f>CN477/CN485*100</f>
        <v>#DIV/0!</v>
      </c>
      <c r="CO470" s="241"/>
      <c r="CP470" s="260" t="e">
        <f>CP477/CP485*100</f>
        <v>#DIV/0!</v>
      </c>
      <c r="CQ470" s="260" t="e">
        <f>CQ477/CQ485*100</f>
        <v>#DIV/0!</v>
      </c>
      <c r="CS470" s="260" t="e">
        <f>CS477/CS485*100</f>
        <v>#DIV/0!</v>
      </c>
      <c r="CT470" s="260" t="e">
        <f>CT477/CT485*100</f>
        <v>#DIV/0!</v>
      </c>
      <c r="CU470" s="241"/>
      <c r="CV470" s="260" t="e">
        <f>CV477/CV485*100</f>
        <v>#DIV/0!</v>
      </c>
      <c r="CW470" s="260" t="e">
        <f>CW477/CW485*100</f>
        <v>#DIV/0!</v>
      </c>
      <c r="CX470" s="241"/>
      <c r="CY470" s="260" t="e">
        <f>CY477/CY485*100</f>
        <v>#DIV/0!</v>
      </c>
      <c r="CZ470" s="260" t="e">
        <f>CZ477/CZ485*100</f>
        <v>#DIV/0!</v>
      </c>
      <c r="DB470" s="260" t="e">
        <f>DB477/DB485*100</f>
        <v>#DIV/0!</v>
      </c>
      <c r="DC470" s="260" t="e">
        <f>DC477/DC485*100</f>
        <v>#DIV/0!</v>
      </c>
      <c r="DD470" s="241"/>
      <c r="DE470" s="260" t="e">
        <f>DE477/DE485*100</f>
        <v>#DIV/0!</v>
      </c>
      <c r="DF470" s="260" t="e">
        <f>DF477/DF485*100</f>
        <v>#DIV/0!</v>
      </c>
    </row>
    <row r="471" spans="1:110" x14ac:dyDescent="0.25">
      <c r="A471" s="212"/>
      <c r="B471" s="211" t="s">
        <v>1302</v>
      </c>
      <c r="C471" s="212"/>
      <c r="D471" s="212" t="s">
        <v>8</v>
      </c>
      <c r="E471" s="214"/>
      <c r="F471" s="214"/>
      <c r="G471" s="214"/>
      <c r="H471" s="214"/>
      <c r="I471" s="214"/>
      <c r="J471" s="214"/>
      <c r="K471" s="260">
        <f>K478/K486*100</f>
        <v>50</v>
      </c>
      <c r="L471" s="260" t="e">
        <f>L478/L486*100</f>
        <v>#DIV/0!</v>
      </c>
      <c r="N471" s="260" t="e">
        <f t="shared" si="1473"/>
        <v>#DIV/0!</v>
      </c>
      <c r="O471" s="260" t="e">
        <f t="shared" si="1473"/>
        <v>#DIV/0!</v>
      </c>
      <c r="P471" s="260" t="e">
        <f t="shared" si="1473"/>
        <v>#DIV/0!</v>
      </c>
      <c r="Q471" s="260" t="e">
        <f t="shared" si="1473"/>
        <v>#DIV/0!</v>
      </c>
      <c r="S471" s="260" t="e">
        <f>S478/S486*100</f>
        <v>#DIV/0!</v>
      </c>
      <c r="T471" s="260" t="e">
        <f>T478/T486*100</f>
        <v>#DIV/0!</v>
      </c>
      <c r="V471" s="260" t="e">
        <f>V478/V486*100</f>
        <v>#DIV/0!</v>
      </c>
      <c r="W471" s="260" t="e">
        <f>W478/W486*100</f>
        <v>#DIV/0!</v>
      </c>
      <c r="Y471" s="260" t="e">
        <f>Y478/Y486*100</f>
        <v>#DIV/0!</v>
      </c>
      <c r="Z471" s="260" t="e">
        <f>Z478/Z486*100</f>
        <v>#DIV/0!</v>
      </c>
      <c r="AA471" s="241"/>
      <c r="AB471" s="260" t="e">
        <f>AB478/AB486*100</f>
        <v>#DIV/0!</v>
      </c>
      <c r="AC471" s="260" t="e">
        <f>AC478/AC486*100</f>
        <v>#DIV/0!</v>
      </c>
      <c r="AD471" s="241"/>
      <c r="AE471" s="260" t="e">
        <f>AE478/AE486*100</f>
        <v>#DIV/0!</v>
      </c>
      <c r="AF471" s="260" t="e">
        <f>AF478/AF486*100</f>
        <v>#DIV/0!</v>
      </c>
      <c r="AH471" s="260" t="e">
        <f>AH478/AH486*100</f>
        <v>#DIV/0!</v>
      </c>
      <c r="AI471" s="260" t="e">
        <f>AI478/AI486*100</f>
        <v>#DIV/0!</v>
      </c>
      <c r="AJ471" s="241"/>
      <c r="AK471" s="260" t="e">
        <f>AK478/AK486*100</f>
        <v>#DIV/0!</v>
      </c>
      <c r="AL471" s="260" t="e">
        <f>AL478/AL486*100</f>
        <v>#DIV/0!</v>
      </c>
      <c r="AM471" s="241"/>
      <c r="AN471" s="260" t="e">
        <f>AN478/AN486*100</f>
        <v>#DIV/0!</v>
      </c>
      <c r="AO471" s="260" t="e">
        <f>AO478/AO486*100</f>
        <v>#DIV/0!</v>
      </c>
      <c r="AQ471" s="260" t="e">
        <f>AQ478/AQ486*100</f>
        <v>#DIV/0!</v>
      </c>
      <c r="AR471" s="260" t="e">
        <f>AR478/AR486*100</f>
        <v>#DIV/0!</v>
      </c>
      <c r="AS471" s="241"/>
      <c r="AT471" s="260" t="e">
        <f>AT478/AT486*100</f>
        <v>#DIV/0!</v>
      </c>
      <c r="AU471" s="260" t="e">
        <f>AU478/AU486*100</f>
        <v>#DIV/0!</v>
      </c>
      <c r="AW471" s="260" t="e">
        <f>AW478/AW486*100</f>
        <v>#DIV/0!</v>
      </c>
      <c r="AX471" s="260" t="e">
        <f>AX478/AX486*100</f>
        <v>#DIV/0!</v>
      </c>
      <c r="AZ471" s="260" t="e">
        <f>AZ478/AZ486*100</f>
        <v>#DIV/0!</v>
      </c>
      <c r="BA471" s="260" t="e">
        <f>BA478/BA486*100</f>
        <v>#DIV/0!</v>
      </c>
      <c r="BB471" s="241"/>
      <c r="BC471" s="260" t="e">
        <f>BC478/BC486*100</f>
        <v>#DIV/0!</v>
      </c>
      <c r="BD471" s="260" t="e">
        <f>BD478/BD486*100</f>
        <v>#DIV/0!</v>
      </c>
      <c r="BE471" s="241"/>
      <c r="BF471" s="260" t="e">
        <f>BF478/BF486*100</f>
        <v>#DIV/0!</v>
      </c>
      <c r="BG471" s="260" t="e">
        <f>BG478/BG486*100</f>
        <v>#DIV/0!</v>
      </c>
      <c r="BI471" s="260" t="e">
        <f>BI478/BI486*100</f>
        <v>#DIV/0!</v>
      </c>
      <c r="BJ471" s="260" t="e">
        <f>BJ478/BJ486*100</f>
        <v>#DIV/0!</v>
      </c>
      <c r="BK471" s="241"/>
      <c r="BL471" s="260" t="e">
        <f>BL478/BL486*100</f>
        <v>#DIV/0!</v>
      </c>
      <c r="BM471" s="260" t="e">
        <f>BM478/BM486*100</f>
        <v>#DIV/0!</v>
      </c>
      <c r="BN471" s="241"/>
      <c r="BO471" s="260" t="e">
        <f>BO478/BO486*100</f>
        <v>#DIV/0!</v>
      </c>
      <c r="BP471" s="260" t="e">
        <f>BP478/BP486*100</f>
        <v>#DIV/0!</v>
      </c>
      <c r="BR471" s="260" t="e">
        <f>BR478/BR486*100</f>
        <v>#DIV/0!</v>
      </c>
      <c r="BS471" s="260" t="e">
        <f>BS478/BS486*100</f>
        <v>#DIV/0!</v>
      </c>
      <c r="BT471" s="241"/>
      <c r="BU471" s="260" t="e">
        <f>BU478/BU486*100</f>
        <v>#DIV/0!</v>
      </c>
      <c r="BV471" s="260" t="e">
        <f>BV478/BV486*100</f>
        <v>#DIV/0!</v>
      </c>
      <c r="BW471" s="241"/>
      <c r="BX471" s="260" t="e">
        <f>BX478/BX486*100</f>
        <v>#DIV/0!</v>
      </c>
      <c r="BY471" s="260" t="e">
        <f>BY478/BY486*100</f>
        <v>#DIV/0!</v>
      </c>
      <c r="CA471" s="260" t="e">
        <f>CA478/CA486*100</f>
        <v>#DIV/0!</v>
      </c>
      <c r="CB471" s="260" t="e">
        <f>CB478/CB486*100</f>
        <v>#DIV/0!</v>
      </c>
      <c r="CC471" s="241"/>
      <c r="CD471" s="260" t="e">
        <f>CD478/CD486*100</f>
        <v>#DIV/0!</v>
      </c>
      <c r="CE471" s="260" t="e">
        <f>CE478/CE486*100</f>
        <v>#DIV/0!</v>
      </c>
      <c r="CF471" s="241"/>
      <c r="CG471" s="260" t="e">
        <f>CG478/CG486*100</f>
        <v>#DIV/0!</v>
      </c>
      <c r="CH471" s="260" t="e">
        <f>CH478/CH486*100</f>
        <v>#DIV/0!</v>
      </c>
      <c r="CJ471" s="260" t="e">
        <f>CJ478/CJ486*100</f>
        <v>#DIV/0!</v>
      </c>
      <c r="CK471" s="260" t="e">
        <f>CK478/CK486*100</f>
        <v>#DIV/0!</v>
      </c>
      <c r="CL471" s="241"/>
      <c r="CM471" s="260" t="e">
        <f>CM478/CM486*100</f>
        <v>#DIV/0!</v>
      </c>
      <c r="CN471" s="260" t="e">
        <f>CN478/CN486*100</f>
        <v>#DIV/0!</v>
      </c>
      <c r="CO471" s="241"/>
      <c r="CP471" s="260" t="e">
        <f>CP478/CP486*100</f>
        <v>#DIV/0!</v>
      </c>
      <c r="CQ471" s="260" t="e">
        <f>CQ478/CQ486*100</f>
        <v>#DIV/0!</v>
      </c>
      <c r="CS471" s="260" t="e">
        <f>CS478/CS486*100</f>
        <v>#DIV/0!</v>
      </c>
      <c r="CT471" s="260" t="e">
        <f>CT478/CT486*100</f>
        <v>#DIV/0!</v>
      </c>
      <c r="CU471" s="241"/>
      <c r="CV471" s="260" t="e">
        <f>CV478/CV486*100</f>
        <v>#DIV/0!</v>
      </c>
      <c r="CW471" s="260" t="e">
        <f>CW478/CW486*100</f>
        <v>#DIV/0!</v>
      </c>
      <c r="CX471" s="241"/>
      <c r="CY471" s="260" t="e">
        <f>CY478/CY486*100</f>
        <v>#DIV/0!</v>
      </c>
      <c r="CZ471" s="260" t="e">
        <f>CZ478/CZ486*100</f>
        <v>#DIV/0!</v>
      </c>
      <c r="DB471" s="260" t="e">
        <f>DB478/DB486*100</f>
        <v>#DIV/0!</v>
      </c>
      <c r="DC471" s="260" t="e">
        <f>DC478/DC486*100</f>
        <v>#DIV/0!</v>
      </c>
      <c r="DD471" s="241"/>
      <c r="DE471" s="260" t="e">
        <f>DE478/DE486*100</f>
        <v>#DIV/0!</v>
      </c>
      <c r="DF471" s="260" t="e">
        <f>DF478/DF486*100</f>
        <v>#DIV/0!</v>
      </c>
    </row>
    <row r="472" spans="1:110" s="241" customFormat="1" x14ac:dyDescent="0.25">
      <c r="A472" s="212"/>
      <c r="B472" s="211" t="s">
        <v>2963</v>
      </c>
      <c r="C472" s="212"/>
      <c r="D472" s="212"/>
      <c r="E472" s="214"/>
      <c r="F472" s="214"/>
      <c r="G472" s="214"/>
      <c r="H472" s="214"/>
      <c r="I472" s="214"/>
      <c r="J472" s="214"/>
      <c r="K472" s="214"/>
      <c r="L472" s="214"/>
      <c r="N472" s="214"/>
      <c r="O472" s="214"/>
      <c r="P472" s="214"/>
      <c r="Q472" s="214"/>
      <c r="S472" s="214"/>
      <c r="T472" s="214"/>
      <c r="V472" s="214"/>
      <c r="W472" s="214"/>
      <c r="Y472" s="214"/>
      <c r="Z472" s="214"/>
      <c r="AB472" s="214"/>
      <c r="AC472" s="214"/>
      <c r="AE472" s="214"/>
      <c r="AF472" s="214"/>
      <c r="AH472" s="214"/>
      <c r="AI472" s="214"/>
      <c r="AK472" s="214"/>
      <c r="AL472" s="214"/>
      <c r="AN472" s="214"/>
      <c r="AO472" s="214"/>
      <c r="AQ472" s="214"/>
      <c r="AR472" s="214"/>
      <c r="AT472" s="214"/>
      <c r="AU472" s="214"/>
      <c r="AW472" s="214"/>
      <c r="AX472" s="214"/>
      <c r="AZ472" s="214"/>
      <c r="BA472" s="214"/>
      <c r="BC472" s="214"/>
      <c r="BD472" s="214"/>
      <c r="BF472" s="214"/>
      <c r="BG472" s="214"/>
      <c r="BI472" s="214"/>
      <c r="BJ472" s="214"/>
      <c r="BL472" s="214"/>
      <c r="BM472" s="214"/>
      <c r="BO472" s="214"/>
      <c r="BP472" s="214"/>
      <c r="BR472" s="214"/>
      <c r="BS472" s="214"/>
      <c r="BU472" s="214"/>
      <c r="BV472" s="214"/>
      <c r="BX472" s="214"/>
      <c r="BY472" s="214"/>
      <c r="CA472" s="214"/>
      <c r="CB472" s="214"/>
      <c r="CD472" s="214"/>
      <c r="CE472" s="214"/>
      <c r="CG472" s="214"/>
      <c r="CH472" s="214"/>
      <c r="CJ472" s="214"/>
      <c r="CK472" s="214"/>
      <c r="CM472" s="214"/>
      <c r="CN472" s="214"/>
      <c r="CP472" s="214"/>
      <c r="CQ472" s="214"/>
      <c r="CS472" s="214"/>
      <c r="CT472" s="214"/>
      <c r="CV472" s="214"/>
      <c r="CW472" s="214"/>
      <c r="CY472" s="214"/>
      <c r="CZ472" s="214"/>
      <c r="DB472" s="214"/>
      <c r="DC472" s="214"/>
      <c r="DE472" s="214"/>
      <c r="DF472" s="214"/>
    </row>
    <row r="473" spans="1:110" s="241" customFormat="1" x14ac:dyDescent="0.25">
      <c r="A473" s="212"/>
      <c r="B473" s="211" t="s">
        <v>1301</v>
      </c>
      <c r="C473" s="212"/>
      <c r="D473" s="212"/>
      <c r="E473" s="214"/>
      <c r="F473" s="214"/>
      <c r="G473" s="214"/>
      <c r="H473" s="214"/>
      <c r="I473" s="214"/>
      <c r="J473" s="214"/>
      <c r="K473" s="260" t="e">
        <f>K481/K488*100</f>
        <v>#DIV/0!</v>
      </c>
      <c r="L473" s="260" t="e">
        <f>L481/L488*100</f>
        <v>#DIV/0!</v>
      </c>
      <c r="N473" s="260" t="e">
        <f t="shared" ref="N473:Q474" si="1474">N481/N488*100</f>
        <v>#DIV/0!</v>
      </c>
      <c r="O473" s="260" t="e">
        <f t="shared" si="1474"/>
        <v>#DIV/0!</v>
      </c>
      <c r="P473" s="260" t="e">
        <f t="shared" si="1474"/>
        <v>#DIV/0!</v>
      </c>
      <c r="Q473" s="260" t="e">
        <f t="shared" si="1474"/>
        <v>#DIV/0!</v>
      </c>
      <c r="S473" s="260" t="e">
        <f>S481/S488*100</f>
        <v>#DIV/0!</v>
      </c>
      <c r="T473" s="260" t="e">
        <f>T481/T488*100</f>
        <v>#DIV/0!</v>
      </c>
      <c r="V473" s="260" t="e">
        <f>V481/V488*100</f>
        <v>#DIV/0!</v>
      </c>
      <c r="W473" s="260" t="e">
        <f>W481/W488*100</f>
        <v>#DIV/0!</v>
      </c>
      <c r="Y473" s="260" t="e">
        <f>Y481/Y488*100</f>
        <v>#DIV/0!</v>
      </c>
      <c r="Z473" s="260" t="e">
        <f>Z481/Z488*100</f>
        <v>#DIV/0!</v>
      </c>
      <c r="AB473" s="260" t="e">
        <f>AB481/AB488*100</f>
        <v>#DIV/0!</v>
      </c>
      <c r="AC473" s="260" t="e">
        <f>AC481/AC488*100</f>
        <v>#DIV/0!</v>
      </c>
      <c r="AE473" s="260" t="e">
        <f>AE481/AE488*100</f>
        <v>#DIV/0!</v>
      </c>
      <c r="AF473" s="260" t="e">
        <f>AF481/AF488*100</f>
        <v>#DIV/0!</v>
      </c>
      <c r="AH473" s="260" t="e">
        <f>AH481/AH488*100</f>
        <v>#DIV/0!</v>
      </c>
      <c r="AI473" s="260" t="e">
        <f>AI481/AI488*100</f>
        <v>#DIV/0!</v>
      </c>
      <c r="AK473" s="260" t="e">
        <f>AK481/AK488*100</f>
        <v>#DIV/0!</v>
      </c>
      <c r="AL473" s="260" t="e">
        <f>AL481/AL488*100</f>
        <v>#DIV/0!</v>
      </c>
      <c r="AN473" s="260" t="e">
        <f>AN481/AN488*100</f>
        <v>#DIV/0!</v>
      </c>
      <c r="AO473" s="260" t="e">
        <f>AO481/AO488*100</f>
        <v>#DIV/0!</v>
      </c>
      <c r="AQ473" s="260" t="e">
        <f>AQ481/AQ488*100</f>
        <v>#DIV/0!</v>
      </c>
      <c r="AR473" s="260" t="e">
        <f>AR481/AR488*100</f>
        <v>#DIV/0!</v>
      </c>
      <c r="AT473" s="260" t="e">
        <f>AT481/AT488*100</f>
        <v>#DIV/0!</v>
      </c>
      <c r="AU473" s="260" t="e">
        <f>AU481/AU488*100</f>
        <v>#DIV/0!</v>
      </c>
      <c r="AW473" s="260" t="e">
        <f>AW481/AW488*100</f>
        <v>#DIV/0!</v>
      </c>
      <c r="AX473" s="260" t="e">
        <f>AX481/AX488*100</f>
        <v>#DIV/0!</v>
      </c>
      <c r="AZ473" s="260" t="e">
        <f>AZ481/AZ488*100</f>
        <v>#DIV/0!</v>
      </c>
      <c r="BA473" s="260" t="e">
        <f>BA481/BA488*100</f>
        <v>#DIV/0!</v>
      </c>
      <c r="BC473" s="260" t="e">
        <f>BC481/BC488*100</f>
        <v>#DIV/0!</v>
      </c>
      <c r="BD473" s="260" t="e">
        <f>BD481/BD488*100</f>
        <v>#DIV/0!</v>
      </c>
      <c r="BF473" s="260" t="e">
        <f>BF481/BF488*100</f>
        <v>#DIV/0!</v>
      </c>
      <c r="BG473" s="260" t="e">
        <f>BG481/BG488*100</f>
        <v>#DIV/0!</v>
      </c>
      <c r="BI473" s="260" t="e">
        <f>BI481/BI488*100</f>
        <v>#DIV/0!</v>
      </c>
      <c r="BJ473" s="260" t="e">
        <f>BJ481/BJ488*100</f>
        <v>#DIV/0!</v>
      </c>
      <c r="BL473" s="260" t="e">
        <f>BL481/BL488*100</f>
        <v>#DIV/0!</v>
      </c>
      <c r="BM473" s="260" t="e">
        <f>BM481/BM488*100</f>
        <v>#DIV/0!</v>
      </c>
      <c r="BO473" s="260" t="e">
        <f>BO481/BO488*100</f>
        <v>#DIV/0!</v>
      </c>
      <c r="BP473" s="260" t="e">
        <f>BP481/BP488*100</f>
        <v>#DIV/0!</v>
      </c>
      <c r="BR473" s="260" t="e">
        <f>BR481/BR488*100</f>
        <v>#DIV/0!</v>
      </c>
      <c r="BS473" s="260" t="e">
        <f>BS481/BS488*100</f>
        <v>#DIV/0!</v>
      </c>
      <c r="BU473" s="260" t="e">
        <f>BU481/BU488*100</f>
        <v>#DIV/0!</v>
      </c>
      <c r="BV473" s="260" t="e">
        <f>BV481/BV488*100</f>
        <v>#DIV/0!</v>
      </c>
      <c r="BX473" s="260" t="e">
        <f>BX481/BX488*100</f>
        <v>#DIV/0!</v>
      </c>
      <c r="BY473" s="260" t="e">
        <f>BY481/BY488*100</f>
        <v>#DIV/0!</v>
      </c>
      <c r="CA473" s="260" t="e">
        <f>CA481/CA488*100</f>
        <v>#DIV/0!</v>
      </c>
      <c r="CB473" s="260" t="e">
        <f>CB481/CB488*100</f>
        <v>#DIV/0!</v>
      </c>
      <c r="CD473" s="260" t="e">
        <f>CD481/CD488*100</f>
        <v>#DIV/0!</v>
      </c>
      <c r="CE473" s="260" t="e">
        <f>CE481/CE488*100</f>
        <v>#DIV/0!</v>
      </c>
      <c r="CG473" s="260" t="e">
        <f>CG481/CG488*100</f>
        <v>#DIV/0!</v>
      </c>
      <c r="CH473" s="260" t="e">
        <f>CH481/CH488*100</f>
        <v>#DIV/0!</v>
      </c>
      <c r="CJ473" s="260" t="e">
        <f>CJ481/CJ488*100</f>
        <v>#DIV/0!</v>
      </c>
      <c r="CK473" s="260" t="e">
        <f>CK481/CK488*100</f>
        <v>#DIV/0!</v>
      </c>
      <c r="CM473" s="260" t="e">
        <f>CM481/CM488*100</f>
        <v>#DIV/0!</v>
      </c>
      <c r="CN473" s="260" t="e">
        <f>CN481/CN488*100</f>
        <v>#DIV/0!</v>
      </c>
      <c r="CP473" s="260" t="e">
        <f>CP481/CP488*100</f>
        <v>#DIV/0!</v>
      </c>
      <c r="CQ473" s="260" t="e">
        <f>CQ481/CQ488*100</f>
        <v>#DIV/0!</v>
      </c>
      <c r="CS473" s="260" t="e">
        <f>CS481/CS488*100</f>
        <v>#DIV/0!</v>
      </c>
      <c r="CT473" s="260" t="e">
        <f>CT481/CT488*100</f>
        <v>#DIV/0!</v>
      </c>
      <c r="CV473" s="260" t="e">
        <f>CV481/CV488*100</f>
        <v>#DIV/0!</v>
      </c>
      <c r="CW473" s="260" t="e">
        <f>CW481/CW488*100</f>
        <v>#DIV/0!</v>
      </c>
      <c r="CY473" s="260" t="e">
        <f>CY481/CY488*100</f>
        <v>#DIV/0!</v>
      </c>
      <c r="CZ473" s="260" t="e">
        <f>CZ481/CZ488*100</f>
        <v>#DIV/0!</v>
      </c>
      <c r="DB473" s="260" t="e">
        <f>DB481/DB488*100</f>
        <v>#DIV/0!</v>
      </c>
      <c r="DC473" s="260" t="e">
        <f>DC481/DC488*100</f>
        <v>#DIV/0!</v>
      </c>
      <c r="DE473" s="260" t="e">
        <f>DE481/DE488*100</f>
        <v>#DIV/0!</v>
      </c>
      <c r="DF473" s="260" t="e">
        <f>DF481/DF488*100</f>
        <v>#DIV/0!</v>
      </c>
    </row>
    <row r="474" spans="1:110" s="241" customFormat="1" x14ac:dyDescent="0.25">
      <c r="A474" s="212"/>
      <c r="B474" s="211" t="s">
        <v>1302</v>
      </c>
      <c r="C474" s="212"/>
      <c r="D474" s="212"/>
      <c r="E474" s="214"/>
      <c r="F474" s="214"/>
      <c r="G474" s="214"/>
      <c r="H474" s="214"/>
      <c r="I474" s="214"/>
      <c r="J474" s="214"/>
      <c r="K474" s="260" t="e">
        <f>K482/K489*100</f>
        <v>#DIV/0!</v>
      </c>
      <c r="L474" s="260" t="e">
        <f>L482/L489*100</f>
        <v>#DIV/0!</v>
      </c>
      <c r="N474" s="260" t="e">
        <f t="shared" si="1474"/>
        <v>#DIV/0!</v>
      </c>
      <c r="O474" s="260" t="e">
        <f t="shared" si="1474"/>
        <v>#DIV/0!</v>
      </c>
      <c r="P474" s="260" t="e">
        <f t="shared" si="1474"/>
        <v>#DIV/0!</v>
      </c>
      <c r="Q474" s="260" t="e">
        <f t="shared" si="1474"/>
        <v>#DIV/0!</v>
      </c>
      <c r="S474" s="260" t="e">
        <f>S482/S489*100</f>
        <v>#DIV/0!</v>
      </c>
      <c r="T474" s="260" t="e">
        <f>T482/T489*100</f>
        <v>#DIV/0!</v>
      </c>
      <c r="V474" s="260" t="e">
        <f>V482/V489*100</f>
        <v>#DIV/0!</v>
      </c>
      <c r="W474" s="260" t="e">
        <f>W482/W489*100</f>
        <v>#DIV/0!</v>
      </c>
      <c r="Y474" s="260" t="e">
        <f>Y482/Y489*100</f>
        <v>#DIV/0!</v>
      </c>
      <c r="Z474" s="260" t="e">
        <f>Z482/Z489*100</f>
        <v>#DIV/0!</v>
      </c>
      <c r="AB474" s="260" t="e">
        <f>AB482/AB489*100</f>
        <v>#DIV/0!</v>
      </c>
      <c r="AC474" s="260" t="e">
        <f>AC482/AC489*100</f>
        <v>#DIV/0!</v>
      </c>
      <c r="AE474" s="260" t="e">
        <f>AE482/AE489*100</f>
        <v>#DIV/0!</v>
      </c>
      <c r="AF474" s="260" t="e">
        <f>AF482/AF489*100</f>
        <v>#DIV/0!</v>
      </c>
      <c r="AH474" s="260" t="e">
        <f>AH482/AH489*100</f>
        <v>#DIV/0!</v>
      </c>
      <c r="AI474" s="260" t="e">
        <f>AI482/AI489*100</f>
        <v>#DIV/0!</v>
      </c>
      <c r="AK474" s="260" t="e">
        <f>AK482/AK489*100</f>
        <v>#DIV/0!</v>
      </c>
      <c r="AL474" s="260" t="e">
        <f>AL482/AL489*100</f>
        <v>#DIV/0!</v>
      </c>
      <c r="AN474" s="260" t="e">
        <f>AN482/AN489*100</f>
        <v>#DIV/0!</v>
      </c>
      <c r="AO474" s="260" t="e">
        <f>AO482/AO489*100</f>
        <v>#DIV/0!</v>
      </c>
      <c r="AQ474" s="260" t="e">
        <f>AQ482/AQ489*100</f>
        <v>#DIV/0!</v>
      </c>
      <c r="AR474" s="260" t="e">
        <f>AR482/AR489*100</f>
        <v>#DIV/0!</v>
      </c>
      <c r="AT474" s="260" t="e">
        <f>AT482/AT489*100</f>
        <v>#DIV/0!</v>
      </c>
      <c r="AU474" s="260" t="e">
        <f>AU482/AU489*100</f>
        <v>#DIV/0!</v>
      </c>
      <c r="AW474" s="260" t="e">
        <f>AW482/AW489*100</f>
        <v>#DIV/0!</v>
      </c>
      <c r="AX474" s="260" t="e">
        <f>AX482/AX489*100</f>
        <v>#DIV/0!</v>
      </c>
      <c r="AZ474" s="260" t="e">
        <f>AZ482/AZ489*100</f>
        <v>#DIV/0!</v>
      </c>
      <c r="BA474" s="260" t="e">
        <f>BA482/BA489*100</f>
        <v>#DIV/0!</v>
      </c>
      <c r="BC474" s="260" t="e">
        <f>BC482/BC489*100</f>
        <v>#DIV/0!</v>
      </c>
      <c r="BD474" s="260" t="e">
        <f>BD482/BD489*100</f>
        <v>#DIV/0!</v>
      </c>
      <c r="BF474" s="260" t="e">
        <f>BF482/BF489*100</f>
        <v>#DIV/0!</v>
      </c>
      <c r="BG474" s="260" t="e">
        <f>BG482/BG489*100</f>
        <v>#DIV/0!</v>
      </c>
      <c r="BI474" s="260" t="e">
        <f>BI482/BI489*100</f>
        <v>#DIV/0!</v>
      </c>
      <c r="BJ474" s="260" t="e">
        <f>BJ482/BJ489*100</f>
        <v>#DIV/0!</v>
      </c>
      <c r="BL474" s="260" t="e">
        <f>BL482/BL489*100</f>
        <v>#DIV/0!</v>
      </c>
      <c r="BM474" s="260" t="e">
        <f>BM482/BM489*100</f>
        <v>#DIV/0!</v>
      </c>
      <c r="BO474" s="260" t="e">
        <f>BO482/BO489*100</f>
        <v>#DIV/0!</v>
      </c>
      <c r="BP474" s="260" t="e">
        <f>BP482/BP489*100</f>
        <v>#DIV/0!</v>
      </c>
      <c r="BR474" s="260" t="e">
        <f>BR482/BR489*100</f>
        <v>#DIV/0!</v>
      </c>
      <c r="BS474" s="260" t="e">
        <f>BS482/BS489*100</f>
        <v>#DIV/0!</v>
      </c>
      <c r="BU474" s="260" t="e">
        <f>BU482/BU489*100</f>
        <v>#DIV/0!</v>
      </c>
      <c r="BV474" s="260" t="e">
        <f>BV482/BV489*100</f>
        <v>#DIV/0!</v>
      </c>
      <c r="BX474" s="260" t="e">
        <f>BX482/BX489*100</f>
        <v>#DIV/0!</v>
      </c>
      <c r="BY474" s="260" t="e">
        <f>BY482/BY489*100</f>
        <v>#DIV/0!</v>
      </c>
      <c r="CA474" s="260" t="e">
        <f>CA482/CA489*100</f>
        <v>#DIV/0!</v>
      </c>
      <c r="CB474" s="260" t="e">
        <f>CB482/CB489*100</f>
        <v>#DIV/0!</v>
      </c>
      <c r="CD474" s="260" t="e">
        <f>CD482/CD489*100</f>
        <v>#DIV/0!</v>
      </c>
      <c r="CE474" s="260" t="e">
        <f>CE482/CE489*100</f>
        <v>#DIV/0!</v>
      </c>
      <c r="CG474" s="260" t="e">
        <f>CG482/CG489*100</f>
        <v>#DIV/0!</v>
      </c>
      <c r="CH474" s="260" t="e">
        <f>CH482/CH489*100</f>
        <v>#DIV/0!</v>
      </c>
      <c r="CJ474" s="260" t="e">
        <f>CJ482/CJ489*100</f>
        <v>#DIV/0!</v>
      </c>
      <c r="CK474" s="260" t="e">
        <f>CK482/CK489*100</f>
        <v>#DIV/0!</v>
      </c>
      <c r="CM474" s="260" t="e">
        <f>CM482/CM489*100</f>
        <v>#DIV/0!</v>
      </c>
      <c r="CN474" s="260" t="e">
        <f>CN482/CN489*100</f>
        <v>#DIV/0!</v>
      </c>
      <c r="CP474" s="260" t="e">
        <f>CP482/CP489*100</f>
        <v>#DIV/0!</v>
      </c>
      <c r="CQ474" s="260" t="e">
        <f>CQ482/CQ489*100</f>
        <v>#DIV/0!</v>
      </c>
      <c r="CS474" s="260" t="e">
        <f>CS482/CS489*100</f>
        <v>#DIV/0!</v>
      </c>
      <c r="CT474" s="260" t="e">
        <f>CT482/CT489*100</f>
        <v>#DIV/0!</v>
      </c>
      <c r="CV474" s="260" t="e">
        <f>CV482/CV489*100</f>
        <v>#DIV/0!</v>
      </c>
      <c r="CW474" s="260" t="e">
        <f>CW482/CW489*100</f>
        <v>#DIV/0!</v>
      </c>
      <c r="CY474" s="260" t="e">
        <f>CY482/CY489*100</f>
        <v>#DIV/0!</v>
      </c>
      <c r="CZ474" s="260" t="e">
        <f>CZ482/CZ489*100</f>
        <v>#DIV/0!</v>
      </c>
      <c r="DB474" s="260" t="e">
        <f>DB482/DB489*100</f>
        <v>#DIV/0!</v>
      </c>
      <c r="DC474" s="260" t="e">
        <f>DC482/DC489*100</f>
        <v>#DIV/0!</v>
      </c>
      <c r="DE474" s="260" t="e">
        <f>DE482/DE489*100</f>
        <v>#DIV/0!</v>
      </c>
      <c r="DF474" s="260" t="e">
        <f>DF482/DF489*100</f>
        <v>#DIV/0!</v>
      </c>
    </row>
    <row r="475" spans="1:110" s="241" customFormat="1" ht="30" x14ac:dyDescent="0.25">
      <c r="A475" s="8"/>
      <c r="B475" s="16" t="s">
        <v>2969</v>
      </c>
      <c r="C475" s="6"/>
      <c r="D475" s="6"/>
      <c r="E475" s="12"/>
      <c r="F475" s="12"/>
      <c r="G475" s="12"/>
      <c r="H475" s="12"/>
      <c r="I475" s="12"/>
      <c r="J475" s="12"/>
      <c r="K475" s="12"/>
      <c r="L475" s="12"/>
    </row>
    <row r="476" spans="1:110" s="241" customFormat="1" x14ac:dyDescent="0.25">
      <c r="A476" s="8"/>
      <c r="B476" s="16" t="s">
        <v>2966</v>
      </c>
      <c r="C476" s="6"/>
      <c r="D476" s="6"/>
      <c r="E476" s="12"/>
      <c r="F476" s="12"/>
      <c r="G476" s="12"/>
      <c r="H476" s="12"/>
      <c r="I476" s="12"/>
      <c r="J476" s="12"/>
      <c r="K476" s="12"/>
      <c r="L476" s="12"/>
    </row>
    <row r="477" spans="1:110" s="241" customFormat="1" x14ac:dyDescent="0.25">
      <c r="A477" s="8"/>
      <c r="B477" s="16" t="s">
        <v>2965</v>
      </c>
      <c r="C477" s="6"/>
      <c r="D477" s="6"/>
      <c r="E477" s="12"/>
      <c r="F477" s="12"/>
      <c r="G477" s="12"/>
      <c r="H477" s="12"/>
      <c r="I477" s="12"/>
      <c r="J477" s="12"/>
      <c r="K477" s="12">
        <v>16</v>
      </c>
      <c r="L477" s="12"/>
      <c r="N477" s="241">
        <f t="shared" ref="N477:N478" si="1475">P477+S477+V477+Y477+AB477+AE477+AH477+AK477+AN477+AQ477+AW477+AZ477+BC477+BF477+BI477+BL477+BO477+BR477+BU477+BX477+CA477+CD477+CG477+CJ477+AT477+CM477+CP477</f>
        <v>0</v>
      </c>
      <c r="O477" s="241">
        <f t="shared" ref="O477:O478" si="1476">Q477+T477+W477+Z477+AC477+AF477+AI477+AL477+AO477+AR477+AX477+BA477+BD477+BG477+BJ477+BM477+BP477+BS477+BV477+BY477+CB477+CE477+CH477+CK477+AU477+CN477+CQ477</f>
        <v>0</v>
      </c>
      <c r="Q477" s="241">
        <v>0</v>
      </c>
    </row>
    <row r="478" spans="1:110" s="241" customFormat="1" x14ac:dyDescent="0.25">
      <c r="A478" s="8"/>
      <c r="B478" s="16" t="s">
        <v>2968</v>
      </c>
      <c r="C478" s="6"/>
      <c r="D478" s="6"/>
      <c r="E478" s="12"/>
      <c r="F478" s="12"/>
      <c r="G478" s="12"/>
      <c r="H478" s="12"/>
      <c r="I478" s="12"/>
      <c r="J478" s="12"/>
      <c r="K478" s="12">
        <v>1</v>
      </c>
      <c r="L478" s="12"/>
      <c r="N478" s="241">
        <f t="shared" si="1475"/>
        <v>0</v>
      </c>
      <c r="O478" s="241">
        <f t="shared" si="1476"/>
        <v>0</v>
      </c>
    </row>
    <row r="479" spans="1:110" s="241" customFormat="1" ht="30" x14ac:dyDescent="0.25">
      <c r="A479" s="8"/>
      <c r="B479" s="16" t="s">
        <v>2970</v>
      </c>
      <c r="C479" s="6"/>
      <c r="D479" s="6"/>
      <c r="E479" s="12"/>
      <c r="F479" s="12"/>
      <c r="G479" s="12"/>
      <c r="H479" s="12"/>
      <c r="I479" s="12"/>
      <c r="J479" s="12"/>
      <c r="K479" s="12"/>
      <c r="L479" s="12"/>
    </row>
    <row r="480" spans="1:110" s="241" customFormat="1" x14ac:dyDescent="0.25">
      <c r="A480" s="8"/>
      <c r="B480" s="16" t="s">
        <v>2967</v>
      </c>
      <c r="C480" s="6"/>
      <c r="D480" s="6"/>
      <c r="E480" s="12"/>
      <c r="F480" s="12"/>
      <c r="G480" s="12"/>
      <c r="H480" s="12"/>
      <c r="I480" s="12"/>
      <c r="J480" s="12"/>
      <c r="K480" s="12"/>
      <c r="L480" s="12"/>
    </row>
    <row r="481" spans="1:95" s="241" customFormat="1" x14ac:dyDescent="0.25">
      <c r="A481" s="8"/>
      <c r="B481" s="16" t="s">
        <v>2965</v>
      </c>
      <c r="C481" s="6"/>
      <c r="D481" s="6"/>
      <c r="E481" s="12"/>
      <c r="F481" s="12"/>
      <c r="G481" s="12"/>
      <c r="H481" s="12"/>
      <c r="I481" s="12"/>
      <c r="J481" s="12"/>
      <c r="K481" s="12">
        <v>0</v>
      </c>
      <c r="L481" s="12"/>
      <c r="N481" s="241">
        <f t="shared" ref="N481:N482" si="1477">P481+S481+V481+Y481+AB481+AE481+AH481+AK481+AN481+AQ481+AW481+AZ481+BC481+BF481+BI481+BL481+BO481+BR481+BU481+BX481+CA481+CD481+CG481+CJ481+AT481+CM481+CP481</f>
        <v>0</v>
      </c>
      <c r="O481" s="241">
        <f t="shared" ref="O481:O482" si="1478">Q481+T481+W481+Z481+AC481+AF481+AI481+AL481+AO481+AR481+AX481+BA481+BD481+BG481+BJ481+BM481+BP481+BS481+BV481+BY481+CB481+CE481+CH481+CK481+AU481+CN481+CQ481</f>
        <v>0</v>
      </c>
      <c r="Q481" s="241">
        <v>0</v>
      </c>
    </row>
    <row r="482" spans="1:95" s="241" customFormat="1" x14ac:dyDescent="0.25">
      <c r="A482" s="8"/>
      <c r="B482" s="16" t="s">
        <v>2968</v>
      </c>
      <c r="C482" s="6"/>
      <c r="D482" s="6"/>
      <c r="E482" s="12"/>
      <c r="F482" s="12"/>
      <c r="G482" s="12"/>
      <c r="H482" s="12"/>
      <c r="I482" s="12"/>
      <c r="J482" s="12"/>
      <c r="K482" s="12">
        <v>0</v>
      </c>
      <c r="L482" s="12"/>
      <c r="N482" s="241">
        <f t="shared" si="1477"/>
        <v>0</v>
      </c>
      <c r="O482" s="241">
        <f t="shared" si="1478"/>
        <v>0</v>
      </c>
    </row>
    <row r="483" spans="1:95" s="241" customFormat="1" x14ac:dyDescent="0.25">
      <c r="A483" s="8"/>
      <c r="B483" s="16" t="s">
        <v>2964</v>
      </c>
      <c r="C483" s="6"/>
      <c r="D483" s="6"/>
      <c r="E483" s="12"/>
      <c r="F483" s="12"/>
      <c r="G483" s="12"/>
      <c r="H483" s="12"/>
      <c r="I483" s="12"/>
      <c r="J483" s="12"/>
      <c r="K483" s="12"/>
      <c r="L483" s="12"/>
    </row>
    <row r="484" spans="1:95" s="241" customFormat="1" x14ac:dyDescent="0.25">
      <c r="A484" s="8"/>
      <c r="B484" s="16" t="s">
        <v>2966</v>
      </c>
      <c r="C484" s="6"/>
      <c r="D484" s="6"/>
      <c r="E484" s="12"/>
      <c r="F484" s="12"/>
      <c r="G484" s="12"/>
      <c r="H484" s="12"/>
      <c r="I484" s="12"/>
      <c r="J484" s="12"/>
      <c r="K484" s="12"/>
      <c r="L484" s="12"/>
    </row>
    <row r="485" spans="1:95" s="241" customFormat="1" x14ac:dyDescent="0.25">
      <c r="A485" s="8"/>
      <c r="B485" s="16" t="s">
        <v>2965</v>
      </c>
      <c r="C485" s="6"/>
      <c r="D485" s="6"/>
      <c r="E485" s="12"/>
      <c r="F485" s="12"/>
      <c r="G485" s="12"/>
      <c r="H485" s="12"/>
      <c r="I485" s="12"/>
      <c r="J485" s="12"/>
      <c r="K485" s="12">
        <v>32</v>
      </c>
      <c r="L485" s="12"/>
      <c r="N485" s="241">
        <f t="shared" ref="N485:N486" si="1479">P485+S485+V485+Y485+AB485+AE485+AH485+AK485+AN485+AQ485+AW485+AZ485+BC485+BF485+BI485+BL485+BO485+BR485+BU485+BX485+CA485+CD485+CG485+CJ485+AT485+CM485+CP485</f>
        <v>0</v>
      </c>
      <c r="O485" s="241">
        <f t="shared" ref="O485:O486" si="1480">Q485+T485+W485+Z485+AC485+AF485+AI485+AL485+AO485+AR485+AX485+BA485+BD485+BG485+BJ485+BM485+BP485+BS485+BV485+BY485+CB485+CE485+CH485+CK485+AU485+CN485+CQ485</f>
        <v>1</v>
      </c>
      <c r="Q485" s="241">
        <v>1</v>
      </c>
    </row>
    <row r="486" spans="1:95" s="241" customFormat="1" x14ac:dyDescent="0.25">
      <c r="A486" s="8"/>
      <c r="B486" s="16" t="s">
        <v>2968</v>
      </c>
      <c r="C486" s="6"/>
      <c r="D486" s="6"/>
      <c r="E486" s="12"/>
      <c r="F486" s="12"/>
      <c r="G486" s="12"/>
      <c r="H486" s="12"/>
      <c r="I486" s="12"/>
      <c r="J486" s="12"/>
      <c r="K486" s="12">
        <v>2</v>
      </c>
      <c r="L486" s="12"/>
      <c r="N486" s="241">
        <f t="shared" si="1479"/>
        <v>0</v>
      </c>
      <c r="O486" s="241">
        <f t="shared" si="1480"/>
        <v>0</v>
      </c>
    </row>
    <row r="487" spans="1:95" x14ac:dyDescent="0.25">
      <c r="A487" s="8"/>
      <c r="B487" s="16" t="s">
        <v>2967</v>
      </c>
      <c r="C487" s="6"/>
      <c r="D487" s="6"/>
      <c r="E487" s="12"/>
      <c r="F487" s="12"/>
      <c r="G487" s="12"/>
      <c r="H487" s="12"/>
      <c r="I487" s="12"/>
      <c r="J487" s="12"/>
      <c r="K487" s="12"/>
      <c r="L487" s="12"/>
    </row>
    <row r="488" spans="1:95" s="241" customFormat="1" x14ac:dyDescent="0.25">
      <c r="A488" s="8"/>
      <c r="B488" s="16" t="s">
        <v>2965</v>
      </c>
      <c r="C488" s="6"/>
      <c r="D488" s="6"/>
      <c r="E488" s="12"/>
      <c r="F488" s="12"/>
      <c r="G488" s="12"/>
      <c r="H488" s="12"/>
      <c r="I488" s="12"/>
      <c r="J488" s="12"/>
      <c r="K488" s="12">
        <v>0</v>
      </c>
      <c r="L488" s="12"/>
      <c r="N488" s="241">
        <f t="shared" ref="N488:N489" si="1481">P488+S488+V488+Y488+AB488+AE488+AH488+AK488+AN488+AQ488+AW488+AZ488+BC488+BF488+BI488+BL488+BO488+BR488+BU488+BX488+CA488+CD488+CG488+CJ488+AT488+CM488+CP488</f>
        <v>0</v>
      </c>
      <c r="O488" s="241">
        <f t="shared" ref="O488:O489" si="1482">Q488+T488+W488+Z488+AC488+AF488+AI488+AL488+AO488+AR488+AX488+BA488+BD488+BG488+BJ488+BM488+BP488+BS488+BV488+BY488+CB488+CE488+CH488+CK488+AU488+CN488+CQ488</f>
        <v>0</v>
      </c>
      <c r="Q488" s="241">
        <v>0</v>
      </c>
    </row>
    <row r="489" spans="1:95" s="241" customFormat="1" x14ac:dyDescent="0.25">
      <c r="A489" s="8"/>
      <c r="B489" s="16" t="s">
        <v>2968</v>
      </c>
      <c r="C489" s="6"/>
      <c r="D489" s="6"/>
      <c r="E489" s="12"/>
      <c r="F489" s="12"/>
      <c r="G489" s="12"/>
      <c r="H489" s="12"/>
      <c r="I489" s="12"/>
      <c r="J489" s="12"/>
      <c r="K489" s="12">
        <v>0</v>
      </c>
      <c r="L489" s="12"/>
      <c r="N489" s="241">
        <f t="shared" si="1481"/>
        <v>0</v>
      </c>
      <c r="O489" s="241">
        <f t="shared" si="1482"/>
        <v>0</v>
      </c>
    </row>
    <row r="490" spans="1:95" ht="60" x14ac:dyDescent="0.25">
      <c r="A490" s="42" t="s">
        <v>471</v>
      </c>
      <c r="B490" s="43" t="s">
        <v>1965</v>
      </c>
      <c r="C490" s="42"/>
      <c r="D490" s="44"/>
      <c r="E490" s="49"/>
      <c r="F490" s="49"/>
      <c r="G490" s="49"/>
      <c r="H490" s="49"/>
      <c r="I490" s="49"/>
      <c r="J490" s="49"/>
      <c r="K490" s="49"/>
      <c r="L490" s="49"/>
    </row>
    <row r="491" spans="1:95" s="89" customFormat="1" ht="30" x14ac:dyDescent="0.25">
      <c r="A491" s="42"/>
      <c r="B491" s="46" t="s">
        <v>1182</v>
      </c>
      <c r="C491" s="42"/>
      <c r="D491" s="177" t="s">
        <v>1111</v>
      </c>
      <c r="E491" s="49"/>
      <c r="F491" s="49"/>
      <c r="G491" s="49"/>
      <c r="H491" s="49"/>
      <c r="I491" s="45">
        <f t="shared" ref="I491:K492" si="1483">(I495-I498-I501)/I504</f>
        <v>14.893713251922208</v>
      </c>
      <c r="J491" s="45">
        <f t="shared" si="1483"/>
        <v>13.409896439054105</v>
      </c>
      <c r="K491" s="45">
        <f t="shared" si="1483"/>
        <v>14.683840310418999</v>
      </c>
      <c r="L491" s="45" t="e">
        <f t="shared" ref="L491" si="1484">(L495-L498-L501)/L504</f>
        <v>#DIV/0!</v>
      </c>
      <c r="N491" s="45">
        <f>(N495-N498-N501)/N504</f>
        <v>16.465016697501778</v>
      </c>
      <c r="O491" s="45">
        <f>(O495-O498-O501)/O504</f>
        <v>208.87675507020282</v>
      </c>
      <c r="P491" s="45">
        <f t="shared" ref="P491:Q491" si="1485">(P495-P498-P501)/P504</f>
        <v>155.77611940298507</v>
      </c>
      <c r="Q491" s="45">
        <f t="shared" si="1485"/>
        <v>208.87675507020282</v>
      </c>
      <c r="S491" s="45">
        <f>(S495-S498-S501)/S504</f>
        <v>15.654348777590195</v>
      </c>
      <c r="T491" s="45" t="e">
        <f>(T495-T498-T501)/T504</f>
        <v>#DIV/0!</v>
      </c>
      <c r="V491" s="45">
        <f t="shared" ref="V491:W491" si="1486">(V495-V498-V501)/V504</f>
        <v>14.50787784477728</v>
      </c>
      <c r="W491" s="45" t="e">
        <f t="shared" si="1486"/>
        <v>#DIV/0!</v>
      </c>
      <c r="Y491" s="45">
        <f>(Y495-Y498-Y501)/Y504</f>
        <v>19.102017067494181</v>
      </c>
      <c r="Z491" s="45" t="e">
        <f>(Z495-Z498-Z501)/Z504</f>
        <v>#DIV/0!</v>
      </c>
      <c r="AB491" s="45">
        <f t="shared" ref="AB491:AC491" si="1487">(AB495-AB498-AB501)/AB504</f>
        <v>56.482200647249194</v>
      </c>
      <c r="AC491" s="45" t="e">
        <f t="shared" si="1487"/>
        <v>#DIV/0!</v>
      </c>
      <c r="AE491" s="45">
        <f t="shared" ref="AE491:AF491" si="1488">(AE495-AE498-AE501)/AE504</f>
        <v>31.189743589743589</v>
      </c>
      <c r="AF491" s="45" t="e">
        <f t="shared" si="1488"/>
        <v>#DIV/0!</v>
      </c>
      <c r="AH491" s="45">
        <f t="shared" ref="AH491:AI491" si="1489">(AH495-AH498-AH501)/AH504</f>
        <v>16.098159509202453</v>
      </c>
      <c r="AI491" s="45" t="e">
        <f t="shared" si="1489"/>
        <v>#DIV/0!</v>
      </c>
      <c r="AK491" s="45">
        <f t="shared" ref="AK491:AL491" si="1490">(AK495-AK498-AK501)/AK504</f>
        <v>10.850726552179657</v>
      </c>
      <c r="AL491" s="45" t="e">
        <f t="shared" si="1490"/>
        <v>#DIV/0!</v>
      </c>
      <c r="AN491" s="45" t="e">
        <f t="shared" ref="AN491:AO491" si="1491">(AN495-AN498-AN501)/AN504</f>
        <v>#DIV/0!</v>
      </c>
      <c r="AO491" s="45" t="e">
        <f t="shared" si="1491"/>
        <v>#DIV/0!</v>
      </c>
      <c r="AQ491" s="45">
        <f t="shared" ref="AQ491:AR491" si="1492">(AQ495-AQ498-AQ501)/AQ504</f>
        <v>13.514405762304923</v>
      </c>
      <c r="AR491" s="45" t="e">
        <f t="shared" si="1492"/>
        <v>#DIV/0!</v>
      </c>
      <c r="AT491" s="45">
        <f t="shared" ref="AT491:AU491" si="1493">(AT495-AT498-AT501)/AT504</f>
        <v>7.4913793103448274</v>
      </c>
      <c r="AU491" s="45" t="e">
        <f t="shared" si="1493"/>
        <v>#DIV/0!</v>
      </c>
      <c r="AW491" s="45">
        <f t="shared" ref="AW491:AX491" si="1494">(AW495-AW498-AW501)/AW504</f>
        <v>17.063097514340345</v>
      </c>
      <c r="AX491" s="45" t="e">
        <f t="shared" si="1494"/>
        <v>#DIV/0!</v>
      </c>
      <c r="AZ491" s="45">
        <f t="shared" ref="AZ491:BA491" si="1495">(AZ495-AZ498-AZ501)/AZ504</f>
        <v>9.0900473933649284</v>
      </c>
      <c r="BA491" s="45" t="e">
        <f t="shared" si="1495"/>
        <v>#DIV/0!</v>
      </c>
      <c r="BC491" s="45">
        <f t="shared" ref="BC491:BD491" si="1496">(BC495-BC498-BC501)/BC504</f>
        <v>8.250134192163177</v>
      </c>
      <c r="BD491" s="45" t="e">
        <f t="shared" si="1496"/>
        <v>#DIV/0!</v>
      </c>
      <c r="BF491" s="45">
        <f t="shared" ref="BF491:BG491" si="1497">(BF495-BF498-BF501)/BF504</f>
        <v>9.2247454972592013</v>
      </c>
      <c r="BG491" s="45" t="e">
        <f t="shared" si="1497"/>
        <v>#DIV/0!</v>
      </c>
      <c r="BI491" s="45">
        <f t="shared" ref="BI491:BJ491" si="1498">(BI495-BI498-BI501)/BI504</f>
        <v>7.7761214256674345</v>
      </c>
      <c r="BJ491" s="45" t="e">
        <f t="shared" si="1498"/>
        <v>#DIV/0!</v>
      </c>
      <c r="BL491" s="45">
        <f t="shared" ref="BL491:BM491" si="1499">(BL495-BL498-BL501)/BL504</f>
        <v>20.406135865595324</v>
      </c>
      <c r="BM491" s="45" t="e">
        <f t="shared" si="1499"/>
        <v>#DIV/0!</v>
      </c>
      <c r="BO491" s="45">
        <f t="shared" ref="BO491:BP491" si="1500">(BO495-BO498-BO501)/BO504</f>
        <v>26.959873044661073</v>
      </c>
      <c r="BP491" s="45" t="e">
        <f t="shared" si="1500"/>
        <v>#DIV/0!</v>
      </c>
      <c r="BR491" s="45">
        <f t="shared" ref="BR491:BS491" si="1501">(BR495-BR498-BR501)/BR504</f>
        <v>9.8720173535791762</v>
      </c>
      <c r="BS491" s="45" t="e">
        <f t="shared" si="1501"/>
        <v>#DIV/0!</v>
      </c>
      <c r="BU491" s="45">
        <f t="shared" ref="BU491:BV491" si="1502">(BU495-BU498-BU501)/BU504</f>
        <v>18.553070761014684</v>
      </c>
      <c r="BV491" s="45" t="e">
        <f t="shared" si="1502"/>
        <v>#DIV/0!</v>
      </c>
      <c r="BX491" s="45">
        <f t="shared" ref="BX491:BY491" si="1503">(BX495-BX498-BX501)/BX504</f>
        <v>20.880913539967374</v>
      </c>
      <c r="BY491" s="45" t="e">
        <f t="shared" si="1503"/>
        <v>#DIV/0!</v>
      </c>
      <c r="CA491" s="45">
        <f t="shared" ref="CA491:CB491" si="1504">(CA495-CA498-CA501)/CA504</f>
        <v>26.359060402684566</v>
      </c>
      <c r="CB491" s="45" t="e">
        <f t="shared" si="1504"/>
        <v>#DIV/0!</v>
      </c>
      <c r="CD491" s="45">
        <f t="shared" ref="CD491:CE491" si="1505">(CD495-CD498-CD501)/CD504</f>
        <v>0</v>
      </c>
      <c r="CE491" s="45" t="e">
        <f t="shared" si="1505"/>
        <v>#DIV/0!</v>
      </c>
      <c r="CG491" s="45">
        <f t="shared" ref="CG491:CH491" si="1506">(CG495-CG498-CG501)/CG504</f>
        <v>12.264264264264265</v>
      </c>
      <c r="CH491" s="45" t="e">
        <f t="shared" si="1506"/>
        <v>#DIV/0!</v>
      </c>
      <c r="CJ491" s="45" t="e">
        <f t="shared" ref="CJ491:CK491" si="1507">(CJ495-CJ498-CJ501)/CJ504</f>
        <v>#DIV/0!</v>
      </c>
      <c r="CK491" s="45" t="e">
        <f t="shared" si="1507"/>
        <v>#DIV/0!</v>
      </c>
      <c r="CM491" s="45">
        <f t="shared" ref="CM491:CN491" si="1508">(CM495-CM498-CM501)/CM504</f>
        <v>10.9</v>
      </c>
      <c r="CN491" s="45" t="e">
        <f t="shared" si="1508"/>
        <v>#DIV/0!</v>
      </c>
      <c r="CP491" s="45">
        <f t="shared" ref="CP491:CQ491" si="1509">(CP495-CP498-CP501)/CP504</f>
        <v>21.244897959183675</v>
      </c>
      <c r="CQ491" s="45" t="e">
        <f t="shared" si="1509"/>
        <v>#DIV/0!</v>
      </c>
    </row>
    <row r="492" spans="1:95" s="89" customFormat="1" ht="30" x14ac:dyDescent="0.25">
      <c r="A492" s="42"/>
      <c r="B492" s="46" t="s">
        <v>1184</v>
      </c>
      <c r="C492" s="42"/>
      <c r="D492" s="177" t="s">
        <v>1111</v>
      </c>
      <c r="E492" s="49"/>
      <c r="F492" s="49"/>
      <c r="G492" s="49"/>
      <c r="H492" s="49"/>
      <c r="I492" s="45">
        <f t="shared" si="1483"/>
        <v>10.663101604278076</v>
      </c>
      <c r="J492" s="45">
        <f t="shared" si="1483"/>
        <v>4.7630873149895701</v>
      </c>
      <c r="K492" s="45">
        <f t="shared" si="1483"/>
        <v>3.1587615283267456</v>
      </c>
      <c r="L492" s="45" t="e">
        <f t="shared" ref="L492" si="1510">(L496-L499-L502)/L505</f>
        <v>#DIV/0!</v>
      </c>
      <c r="N492" s="45" t="e">
        <f t="shared" ref="N492" si="1511">(N496-N499-N502)/N505</f>
        <v>#DIV/0!</v>
      </c>
      <c r="O492" s="45" t="e">
        <f>(O496-O499-O502)/O505</f>
        <v>#DIV/0!</v>
      </c>
      <c r="P492" s="45" t="e">
        <f>(P496-P499-P502)/P505</f>
        <v>#DIV/0!</v>
      </c>
      <c r="Q492" s="45" t="e">
        <f t="shared" ref="Q492" si="1512">(Q496-Q499-Q502)/Q505</f>
        <v>#DIV/0!</v>
      </c>
      <c r="S492" s="45" t="e">
        <f t="shared" ref="S492" si="1513">(S496-S499-S502)/S505</f>
        <v>#DIV/0!</v>
      </c>
      <c r="T492" s="45" t="e">
        <f>(T496-T499-T502)/T505</f>
        <v>#DIV/0!</v>
      </c>
      <c r="V492" s="45" t="e">
        <f t="shared" ref="V492:W492" si="1514">(V496-V499-V502)/V505</f>
        <v>#DIV/0!</v>
      </c>
      <c r="W492" s="45" t="e">
        <f t="shared" si="1514"/>
        <v>#DIV/0!</v>
      </c>
      <c r="Y492" s="45" t="e">
        <f t="shared" ref="Y492" si="1515">(Y496-Y499-Y502)/Y505</f>
        <v>#DIV/0!</v>
      </c>
      <c r="Z492" s="45" t="e">
        <f>(Z496-Z499-Z502)/Z505</f>
        <v>#DIV/0!</v>
      </c>
      <c r="AB492" s="45" t="e">
        <f t="shared" ref="AB492:AC492" si="1516">(AB496-AB499-AB502)/AB505</f>
        <v>#DIV/0!</v>
      </c>
      <c r="AC492" s="45" t="e">
        <f t="shared" si="1516"/>
        <v>#DIV/0!</v>
      </c>
      <c r="AE492" s="45" t="e">
        <f t="shared" ref="AE492:AF492" si="1517">(AE496-AE499-AE502)/AE505</f>
        <v>#DIV/0!</v>
      </c>
      <c r="AF492" s="45" t="e">
        <f t="shared" si="1517"/>
        <v>#DIV/0!</v>
      </c>
      <c r="AH492" s="45" t="e">
        <f t="shared" ref="AH492:AI492" si="1518">(AH496-AH499-AH502)/AH505</f>
        <v>#DIV/0!</v>
      </c>
      <c r="AI492" s="45" t="e">
        <f t="shared" si="1518"/>
        <v>#DIV/0!</v>
      </c>
      <c r="AK492" s="45" t="e">
        <f t="shared" ref="AK492:AL492" si="1519">(AK496-AK499-AK502)/AK505</f>
        <v>#DIV/0!</v>
      </c>
      <c r="AL492" s="45" t="e">
        <f t="shared" si="1519"/>
        <v>#DIV/0!</v>
      </c>
      <c r="AN492" s="45" t="e">
        <f t="shared" ref="AN492:AO492" si="1520">(AN496-AN499-AN502)/AN505</f>
        <v>#DIV/0!</v>
      </c>
      <c r="AO492" s="45" t="e">
        <f t="shared" si="1520"/>
        <v>#DIV/0!</v>
      </c>
      <c r="AQ492" s="45" t="e">
        <f t="shared" ref="AQ492:AR492" si="1521">(AQ496-AQ499-AQ502)/AQ505</f>
        <v>#DIV/0!</v>
      </c>
      <c r="AR492" s="45" t="e">
        <f t="shared" si="1521"/>
        <v>#DIV/0!</v>
      </c>
      <c r="AT492" s="45" t="e">
        <f t="shared" ref="AT492:AU492" si="1522">(AT496-AT499-AT502)/AT505</f>
        <v>#DIV/0!</v>
      </c>
      <c r="AU492" s="45" t="e">
        <f t="shared" si="1522"/>
        <v>#DIV/0!</v>
      </c>
      <c r="AW492" s="45" t="e">
        <f t="shared" ref="AW492:AX492" si="1523">(AW496-AW499-AW502)/AW505</f>
        <v>#DIV/0!</v>
      </c>
      <c r="AX492" s="45" t="e">
        <f t="shared" si="1523"/>
        <v>#DIV/0!</v>
      </c>
      <c r="AZ492" s="45" t="e">
        <f t="shared" ref="AZ492:BA492" si="1524">(AZ496-AZ499-AZ502)/AZ505</f>
        <v>#DIV/0!</v>
      </c>
      <c r="BA492" s="45" t="e">
        <f t="shared" si="1524"/>
        <v>#DIV/0!</v>
      </c>
      <c r="BC492" s="45" t="e">
        <f t="shared" ref="BC492:BD492" si="1525">(BC496-BC499-BC502)/BC505</f>
        <v>#DIV/0!</v>
      </c>
      <c r="BD492" s="45" t="e">
        <f t="shared" si="1525"/>
        <v>#DIV/0!</v>
      </c>
      <c r="BF492" s="45" t="e">
        <f t="shared" ref="BF492:BG492" si="1526">(BF496-BF499-BF502)/BF505</f>
        <v>#DIV/0!</v>
      </c>
      <c r="BG492" s="45" t="e">
        <f t="shared" si="1526"/>
        <v>#DIV/0!</v>
      </c>
      <c r="BI492" s="45" t="e">
        <f t="shared" ref="BI492:BJ492" si="1527">(BI496-BI499-BI502)/BI505</f>
        <v>#DIV/0!</v>
      </c>
      <c r="BJ492" s="45" t="e">
        <f t="shared" si="1527"/>
        <v>#DIV/0!</v>
      </c>
      <c r="BL492" s="45" t="e">
        <f t="shared" ref="BL492:BM492" si="1528">(BL496-BL499-BL502)/BL505</f>
        <v>#DIV/0!</v>
      </c>
      <c r="BM492" s="45" t="e">
        <f t="shared" si="1528"/>
        <v>#DIV/0!</v>
      </c>
      <c r="BO492" s="45" t="e">
        <f t="shared" ref="BO492:BP492" si="1529">(BO496-BO499-BO502)/BO505</f>
        <v>#DIV/0!</v>
      </c>
      <c r="BP492" s="45" t="e">
        <f t="shared" si="1529"/>
        <v>#DIV/0!</v>
      </c>
      <c r="BR492" s="45" t="e">
        <f t="shared" ref="BR492:BS492" si="1530">(BR496-BR499-BR502)/BR505</f>
        <v>#DIV/0!</v>
      </c>
      <c r="BS492" s="45" t="e">
        <f t="shared" si="1530"/>
        <v>#DIV/0!</v>
      </c>
      <c r="BU492" s="45" t="e">
        <f t="shared" ref="BU492:BV492" si="1531">(BU496-BU499-BU502)/BU505</f>
        <v>#DIV/0!</v>
      </c>
      <c r="BV492" s="45" t="e">
        <f t="shared" si="1531"/>
        <v>#DIV/0!</v>
      </c>
      <c r="BX492" s="45" t="e">
        <f t="shared" ref="BX492:BY492" si="1532">(BX496-BX499-BX502)/BX505</f>
        <v>#DIV/0!</v>
      </c>
      <c r="BY492" s="45" t="e">
        <f t="shared" si="1532"/>
        <v>#DIV/0!</v>
      </c>
      <c r="CA492" s="45" t="e">
        <f t="shared" ref="CA492:CB492" si="1533">(CA496-CA499-CA502)/CA505</f>
        <v>#DIV/0!</v>
      </c>
      <c r="CB492" s="45" t="e">
        <f t="shared" si="1533"/>
        <v>#DIV/0!</v>
      </c>
      <c r="CD492" s="45" t="e">
        <f t="shared" ref="CD492:CE492" si="1534">(CD496-CD499-CD502)/CD505</f>
        <v>#DIV/0!</v>
      </c>
      <c r="CE492" s="45" t="e">
        <f t="shared" si="1534"/>
        <v>#DIV/0!</v>
      </c>
      <c r="CG492" s="45" t="e">
        <f t="shared" ref="CG492:CH492" si="1535">(CG496-CG499-CG502)/CG505</f>
        <v>#DIV/0!</v>
      </c>
      <c r="CH492" s="45" t="e">
        <f t="shared" si="1535"/>
        <v>#DIV/0!</v>
      </c>
      <c r="CJ492" s="45" t="e">
        <f t="shared" ref="CJ492:CK492" si="1536">(CJ496-CJ499-CJ502)/CJ505</f>
        <v>#DIV/0!</v>
      </c>
      <c r="CK492" s="45" t="e">
        <f t="shared" si="1536"/>
        <v>#DIV/0!</v>
      </c>
      <c r="CM492" s="45" t="e">
        <f t="shared" ref="CM492:CN492" si="1537">(CM496-CM499-CM502)/CM505</f>
        <v>#DIV/0!</v>
      </c>
      <c r="CN492" s="45" t="e">
        <f t="shared" si="1537"/>
        <v>#DIV/0!</v>
      </c>
      <c r="CP492" s="45" t="e">
        <f t="shared" ref="CP492:CQ492" si="1538">(CP496-CP499-CP502)/CP505</f>
        <v>#DIV/0!</v>
      </c>
      <c r="CQ492" s="45" t="e">
        <f t="shared" si="1538"/>
        <v>#DIV/0!</v>
      </c>
    </row>
    <row r="493" spans="1:95" s="89" customFormat="1" ht="45" x14ac:dyDescent="0.25">
      <c r="A493" s="13"/>
      <c r="B493" s="21" t="s">
        <v>2107</v>
      </c>
      <c r="C493" s="6"/>
      <c r="D493" s="178" t="s">
        <v>1111</v>
      </c>
      <c r="E493" s="111"/>
      <c r="F493" s="111"/>
      <c r="G493" s="111"/>
      <c r="H493" s="111"/>
      <c r="I493" s="111"/>
      <c r="J493" s="111"/>
      <c r="K493" s="111"/>
      <c r="L493" s="111"/>
    </row>
    <row r="494" spans="1:95" s="89" customFormat="1" ht="30" x14ac:dyDescent="0.25">
      <c r="A494" s="13"/>
      <c r="B494" s="21" t="s">
        <v>2716</v>
      </c>
      <c r="C494" s="6" t="s">
        <v>2109</v>
      </c>
      <c r="D494" s="178"/>
      <c r="E494" s="111"/>
      <c r="F494" s="111"/>
      <c r="G494" s="111"/>
      <c r="H494" s="111"/>
      <c r="I494" s="111"/>
      <c r="J494" s="111"/>
      <c r="K494" s="111"/>
      <c r="L494" s="111"/>
    </row>
    <row r="495" spans="1:95" s="89" customFormat="1" x14ac:dyDescent="0.25">
      <c r="A495" s="13"/>
      <c r="B495" s="21" t="s">
        <v>1182</v>
      </c>
      <c r="C495" s="13"/>
      <c r="D495" s="87"/>
      <c r="E495" s="111"/>
      <c r="F495" s="111"/>
      <c r="G495" s="111"/>
      <c r="H495" s="111"/>
      <c r="I495" s="111">
        <f>310835+30900</f>
        <v>341735</v>
      </c>
      <c r="J495" s="111">
        <v>310710</v>
      </c>
      <c r="K495" s="111">
        <v>328215</v>
      </c>
      <c r="L495" s="111"/>
      <c r="N495" s="241">
        <f>P495+S495+V495+Y495+AB495+AE495+AH495+AK495+AN495+AQ495+AW495+AZ495+BC495+BF495+BI495+BL495+BO495+BR495+BU495+BX495+CA495+CD495+CG495+CJ495+AT495+CM495+CP495</f>
        <v>297465</v>
      </c>
      <c r="O495" s="241">
        <f>Q495+T495+W495+Z495+AC495+AF495+AI495+AL495+AO495+AR495+AX495+BA495+BD495+BG495+BJ495+BM495+BP495+BS495+BV495+BY495+CB495+CE495+CH495+CK495+AU495</f>
        <v>26834</v>
      </c>
      <c r="P495" s="89">
        <v>21552</v>
      </c>
      <c r="Q495" s="89">
        <v>26834</v>
      </c>
      <c r="S495" s="89">
        <v>25036</v>
      </c>
      <c r="V495" s="89">
        <v>14917</v>
      </c>
      <c r="Y495" s="89">
        <v>49940</v>
      </c>
      <c r="AB495" s="89">
        <v>18709</v>
      </c>
      <c r="AE495" s="89">
        <v>6129</v>
      </c>
      <c r="AH495" s="89">
        <v>2658</v>
      </c>
      <c r="AK495" s="89">
        <v>8214</v>
      </c>
      <c r="AN495" s="89">
        <v>0</v>
      </c>
      <c r="AQ495" s="89">
        <v>9006</v>
      </c>
      <c r="AT495" s="89">
        <v>1738</v>
      </c>
      <c r="AW495" s="89">
        <v>8924</v>
      </c>
      <c r="AZ495" s="89">
        <v>10418</v>
      </c>
      <c r="BC495" s="89">
        <v>12296</v>
      </c>
      <c r="BF495" s="89">
        <v>10975</v>
      </c>
      <c r="BI495" s="89">
        <v>5738</v>
      </c>
      <c r="BL495" s="89">
        <v>15534</v>
      </c>
      <c r="BO495" s="89">
        <v>11892</v>
      </c>
      <c r="BR495" s="89">
        <v>10195</v>
      </c>
      <c r="BU495" s="89">
        <v>11117</v>
      </c>
      <c r="BX495" s="89">
        <v>8960</v>
      </c>
      <c r="CA495" s="89">
        <v>20423</v>
      </c>
      <c r="CD495" s="89">
        <v>3340</v>
      </c>
      <c r="CG495" s="89">
        <v>8168</v>
      </c>
      <c r="CJ495" s="89">
        <v>0</v>
      </c>
      <c r="CM495" s="89">
        <v>545</v>
      </c>
      <c r="CP495" s="89">
        <v>1041</v>
      </c>
    </row>
    <row r="496" spans="1:95" s="89" customFormat="1" x14ac:dyDescent="0.25">
      <c r="A496" s="13"/>
      <c r="B496" s="21" t="s">
        <v>1184</v>
      </c>
      <c r="C496" s="13"/>
      <c r="D496" s="87"/>
      <c r="E496" s="111"/>
      <c r="F496" s="111"/>
      <c r="G496" s="111"/>
      <c r="H496" s="111"/>
      <c r="I496" s="111">
        <v>6979</v>
      </c>
      <c r="J496" s="111">
        <v>4795</v>
      </c>
      <c r="K496" s="111">
        <v>4795</v>
      </c>
      <c r="L496" s="111"/>
      <c r="N496" s="241">
        <f>P496+S496+V496+Y496+AB496+AE496+AH496+AK496+AN496+AQ496+AW496+AZ496+BC496+BF496+BI496+BL496+BO496+BR496+BU496+BX496+CA496+CD496+CG496+CJ496+AT496+CM496+CP496</f>
        <v>0</v>
      </c>
      <c r="O496" s="241">
        <f>Q496+T496+W496+Z496+AC496+AF496+AI496+AL496+AO496+AR496+AX496+BA496+BD496+BG496+BJ496+BM496+BP496+BS496+BV496+BY496+CB496+CE496+CH496+CK496+AU496</f>
        <v>0</v>
      </c>
    </row>
    <row r="497" spans="1:94" s="89" customFormat="1" ht="30" x14ac:dyDescent="0.25">
      <c r="A497" s="13"/>
      <c r="B497" s="21" t="s">
        <v>2959</v>
      </c>
      <c r="C497" s="6" t="s">
        <v>2110</v>
      </c>
      <c r="D497" s="87"/>
      <c r="E497" s="111"/>
      <c r="F497" s="111"/>
      <c r="G497" s="111"/>
      <c r="H497" s="111"/>
      <c r="I497" s="111"/>
      <c r="J497" s="111"/>
      <c r="K497" s="111"/>
      <c r="L497" s="111"/>
      <c r="N497" s="241"/>
      <c r="O497" s="241"/>
    </row>
    <row r="498" spans="1:94" s="89" customFormat="1" x14ac:dyDescent="0.25">
      <c r="A498" s="13"/>
      <c r="B498" s="21" t="s">
        <v>1182</v>
      </c>
      <c r="C498" s="6"/>
      <c r="D498" s="87"/>
      <c r="E498" s="111"/>
      <c r="F498" s="111"/>
      <c r="G498" s="111"/>
      <c r="H498" s="111"/>
      <c r="I498" s="111">
        <v>15770</v>
      </c>
      <c r="J498" s="111">
        <v>17060</v>
      </c>
      <c r="K498" s="111">
        <v>7248</v>
      </c>
      <c r="L498" s="111"/>
      <c r="N498" s="241">
        <f>P498+S498+V498+Y498+AB498+AE498+AH498+AK498+AN498+AQ498+AW498+AZ498+BC498+BF498+BI498+BL498+BO498+BR498+BU498+BX498+CA498+CD498+CG498+CJ498+AT498+CM498+CP498</f>
        <v>6831</v>
      </c>
      <c r="O498" s="241">
        <f>Q498+T498+W498+Z498+AC498+AF498+AI498+AL498+AO498+AR498+AX498+BA498+BD498+BG498+BJ498+BM498+BP498+BS498+BV498+BY498+CB498+CE498+CH498+CK498+AU498</f>
        <v>56</v>
      </c>
      <c r="P498" s="89">
        <v>678</v>
      </c>
      <c r="Q498" s="89">
        <v>56</v>
      </c>
      <c r="S498" s="89">
        <v>0</v>
      </c>
      <c r="V498" s="89">
        <v>0</v>
      </c>
      <c r="Y498" s="89">
        <v>695</v>
      </c>
      <c r="AB498" s="89">
        <v>1256</v>
      </c>
      <c r="AE498" s="89">
        <v>47</v>
      </c>
      <c r="AH498" s="89">
        <v>34</v>
      </c>
      <c r="AK498" s="89">
        <v>0</v>
      </c>
      <c r="AN498" s="89">
        <v>0</v>
      </c>
      <c r="AQ498" s="89">
        <v>0</v>
      </c>
      <c r="AT498" s="89">
        <v>0</v>
      </c>
      <c r="AW498" s="89">
        <v>0</v>
      </c>
      <c r="AZ498" s="89">
        <v>408</v>
      </c>
      <c r="BC498" s="89">
        <v>0</v>
      </c>
      <c r="BF498" s="89">
        <v>373</v>
      </c>
      <c r="BI498" s="89">
        <v>0</v>
      </c>
      <c r="BL498" s="89">
        <v>0</v>
      </c>
      <c r="BO498" s="89">
        <v>0</v>
      </c>
      <c r="BR498" s="89">
        <v>0</v>
      </c>
      <c r="BU498" s="89">
        <v>0</v>
      </c>
      <c r="BX498" s="89">
        <v>0</v>
      </c>
      <c r="CA498" s="89">
        <v>0</v>
      </c>
      <c r="CD498" s="89">
        <v>3340</v>
      </c>
      <c r="CG498" s="89">
        <v>0</v>
      </c>
      <c r="CJ498" s="89">
        <v>0</v>
      </c>
      <c r="CM498" s="89">
        <v>0</v>
      </c>
      <c r="CP498" s="89">
        <v>0</v>
      </c>
    </row>
    <row r="499" spans="1:94" s="89" customFormat="1" x14ac:dyDescent="0.25">
      <c r="A499" s="13"/>
      <c r="B499" s="21" t="s">
        <v>1184</v>
      </c>
      <c r="C499" s="13"/>
      <c r="D499" s="87"/>
      <c r="E499" s="111"/>
      <c r="F499" s="111"/>
      <c r="G499" s="111"/>
      <c r="H499" s="111"/>
      <c r="I499" s="111">
        <v>0</v>
      </c>
      <c r="J499" s="111">
        <v>0</v>
      </c>
      <c r="K499" s="111">
        <v>0</v>
      </c>
      <c r="L499" s="111"/>
      <c r="N499" s="241">
        <f>P499+S499+V499+Y499+AB499+AE499+AH499+AK499+AN499+AQ499+AW499+AZ499+BC499+BF499+BI499+BL499+BO499+BR499+BU499+BX499+CA499+CD499+CG499+CJ499+AT499+CM499+CP499</f>
        <v>0</v>
      </c>
      <c r="O499" s="241">
        <f>Q499+T499+W499+Z499+AC499+AF499+AI499+AL499+AO499+AR499+AX499+BA499+BD499+BG499+BJ499+BM499+BP499+BS499+BV499+BY499+CB499+CE499+CH499+CK499+AU499</f>
        <v>0</v>
      </c>
    </row>
    <row r="500" spans="1:94" s="89" customFormat="1" ht="30" x14ac:dyDescent="0.25">
      <c r="A500" s="13"/>
      <c r="B500" s="21" t="s">
        <v>2960</v>
      </c>
      <c r="C500" s="6" t="s">
        <v>2111</v>
      </c>
      <c r="D500" s="87"/>
      <c r="E500" s="111"/>
      <c r="F500" s="111"/>
      <c r="G500" s="111"/>
      <c r="H500" s="111"/>
      <c r="I500" s="111"/>
      <c r="J500" s="111"/>
      <c r="K500" s="111"/>
      <c r="L500" s="111"/>
      <c r="N500" s="241"/>
      <c r="O500" s="241"/>
    </row>
    <row r="501" spans="1:94" s="89" customFormat="1" x14ac:dyDescent="0.25">
      <c r="A501" s="13"/>
      <c r="B501" s="21" t="s">
        <v>1182</v>
      </c>
      <c r="C501" s="6"/>
      <c r="D501" s="87"/>
      <c r="E501" s="111"/>
      <c r="F501" s="111"/>
      <c r="G501" s="111"/>
      <c r="H501" s="111"/>
      <c r="I501" s="111">
        <v>3251</v>
      </c>
      <c r="J501" s="111">
        <v>3079</v>
      </c>
      <c r="K501" s="111">
        <v>7630</v>
      </c>
      <c r="L501" s="111"/>
      <c r="N501" s="241">
        <f>P501+S501+V501+Y501+AB501+AE501+AH501+AK501+AN501+AQ501+AW501+AZ501+BC501+BF501+BI501+BL501+BO501+BR501+BU501+BX501+CA501+CD501+CG501+CJ501+AT501+CM501+CP501</f>
        <v>7630</v>
      </c>
      <c r="O501" s="241">
        <f>Q501+T501+W501+Z501+AC501+AF501+AI501+AL501+AO501+AR501+AX501+BA501+BD501+BG501+BJ501+BM501+BP501+BS501+BV501+BY501+CB501+CE501+CH501+CK501+AU501</f>
        <v>0</v>
      </c>
      <c r="P501" s="89">
        <v>0</v>
      </c>
      <c r="Q501" s="89">
        <v>0</v>
      </c>
      <c r="S501" s="89">
        <v>0</v>
      </c>
      <c r="V501" s="89">
        <v>0</v>
      </c>
      <c r="Y501" s="89">
        <v>0</v>
      </c>
      <c r="AB501" s="89">
        <v>0</v>
      </c>
      <c r="AE501" s="89">
        <v>0</v>
      </c>
      <c r="AH501" s="89">
        <v>0</v>
      </c>
      <c r="AK501" s="89">
        <v>0</v>
      </c>
      <c r="AN501" s="89">
        <v>0</v>
      </c>
      <c r="AQ501" s="89">
        <v>0</v>
      </c>
      <c r="AT501" s="89">
        <v>0</v>
      </c>
      <c r="AW501" s="89">
        <v>0</v>
      </c>
      <c r="AZ501" s="89">
        <v>420</v>
      </c>
      <c r="BC501" s="89">
        <v>0</v>
      </c>
      <c r="BF501" s="89">
        <v>0</v>
      </c>
      <c r="BI501" s="89">
        <v>0</v>
      </c>
      <c r="BL501" s="89">
        <v>1566</v>
      </c>
      <c r="BO501" s="89">
        <v>0</v>
      </c>
      <c r="BR501" s="89">
        <v>5644</v>
      </c>
      <c r="BU501" s="89">
        <v>0</v>
      </c>
      <c r="BX501" s="89">
        <v>0</v>
      </c>
      <c r="CA501" s="89">
        <v>0</v>
      </c>
      <c r="CD501" s="89">
        <v>0</v>
      </c>
      <c r="CG501" s="89">
        <v>0</v>
      </c>
      <c r="CJ501" s="89">
        <v>0</v>
      </c>
      <c r="CM501" s="89">
        <v>0</v>
      </c>
      <c r="CP501" s="89">
        <v>0</v>
      </c>
    </row>
    <row r="502" spans="1:94" s="89" customFormat="1" x14ac:dyDescent="0.25">
      <c r="A502" s="13"/>
      <c r="B502" s="21" t="s">
        <v>1184</v>
      </c>
      <c r="C502" s="13"/>
      <c r="D502" s="87"/>
      <c r="E502" s="111"/>
      <c r="F502" s="111"/>
      <c r="G502" s="111"/>
      <c r="H502" s="111"/>
      <c r="I502" s="111">
        <v>0</v>
      </c>
      <c r="J502" s="111">
        <v>0</v>
      </c>
      <c r="K502" s="111">
        <v>0</v>
      </c>
      <c r="L502" s="111"/>
      <c r="N502" s="241">
        <f>P502+S502+V502+Y502+AB502+AE502+AH502+AK502+AN502+AQ502+AW502+AZ502+BC502+BF502+BI502+BL502+BO502+BR502+BU502+BX502+CA502+CD502+CG502+CJ502+AT502+CM502+CP502</f>
        <v>0</v>
      </c>
      <c r="O502" s="241">
        <f>Q502+T502+W502+Z502+AC502+AF502+AI502+AL502+AO502+AR502+AX502+BA502+BD502+BG502+BJ502+BM502+BP502+BS502+BV502+BY502+CB502+CE502+CH502+CK502+AU502</f>
        <v>0</v>
      </c>
    </row>
    <row r="503" spans="1:94" s="89" customFormat="1" ht="30" x14ac:dyDescent="0.25">
      <c r="A503" s="13"/>
      <c r="B503" s="21" t="s">
        <v>2108</v>
      </c>
      <c r="C503" s="6" t="s">
        <v>2112</v>
      </c>
      <c r="D503" s="87"/>
      <c r="E503" s="111"/>
      <c r="F503" s="111"/>
      <c r="G503" s="111"/>
      <c r="H503" s="111"/>
      <c r="I503" s="109"/>
      <c r="J503" s="109"/>
      <c r="K503" s="109"/>
      <c r="L503" s="109"/>
    </row>
    <row r="504" spans="1:94" s="89" customFormat="1" x14ac:dyDescent="0.25">
      <c r="A504" s="13"/>
      <c r="B504" s="21" t="s">
        <v>1182</v>
      </c>
      <c r="C504" s="13"/>
      <c r="D504" s="87"/>
      <c r="E504" s="111"/>
      <c r="F504" s="111"/>
      <c r="G504" s="111"/>
      <c r="H504" s="111"/>
      <c r="I504" s="109">
        <v>21667.8</v>
      </c>
      <c r="J504" s="109">
        <v>21668.400000000001</v>
      </c>
      <c r="K504" s="109">
        <v>21338.9</v>
      </c>
      <c r="L504" s="109"/>
      <c r="N504" s="241">
        <f>P504+S504+V504+Y504+AB504+AE504+AH504+AK504+AN504+AQ504+AW504+AZ504+BC504+BF504+BI504+BL504+BO504+BR504+BU504+BX504+CA504+CD504+CG504+CJ504+AT504+CM504+CP504</f>
        <v>17188.199999999997</v>
      </c>
      <c r="O504" s="241">
        <f>Q504+T504+W504+Z504+AC504+AF504+AI504+AL504+AO504+AR504+AX504+BA504+BD504+BG504+BJ504+BM504+BP504+BS504+BV504+BY504+CB504+CE504+CH504+CK504+AU504</f>
        <v>128.19999999999999</v>
      </c>
      <c r="P504" s="89">
        <v>134</v>
      </c>
      <c r="Q504" s="89">
        <v>128.19999999999999</v>
      </c>
      <c r="S504" s="89">
        <v>1599.3</v>
      </c>
      <c r="V504" s="89">
        <v>1028.2</v>
      </c>
      <c r="Y504" s="89">
        <v>2578</v>
      </c>
      <c r="AB504" s="89">
        <v>309</v>
      </c>
      <c r="AE504" s="89">
        <v>195</v>
      </c>
      <c r="AH504" s="89">
        <v>163</v>
      </c>
      <c r="AK504" s="89">
        <v>757</v>
      </c>
      <c r="AN504" s="89">
        <v>0</v>
      </c>
      <c r="AQ504" s="89">
        <v>666.4</v>
      </c>
      <c r="AT504" s="89">
        <v>232</v>
      </c>
      <c r="AW504" s="89">
        <v>523</v>
      </c>
      <c r="AZ504" s="89">
        <v>1055</v>
      </c>
      <c r="BC504" s="89">
        <v>1490.4</v>
      </c>
      <c r="BF504" s="89">
        <v>1149.3</v>
      </c>
      <c r="BI504" s="89">
        <v>737.9</v>
      </c>
      <c r="BL504" s="89">
        <v>684.5</v>
      </c>
      <c r="BO504" s="89">
        <v>441.1</v>
      </c>
      <c r="BR504" s="89">
        <v>461</v>
      </c>
      <c r="BU504" s="89">
        <v>599.20000000000005</v>
      </c>
      <c r="BX504" s="89">
        <v>429.1</v>
      </c>
      <c r="CA504" s="89">
        <v>774.8</v>
      </c>
      <c r="CD504" s="89">
        <v>416</v>
      </c>
      <c r="CG504" s="89">
        <v>666</v>
      </c>
      <c r="CJ504" s="89">
        <v>0</v>
      </c>
      <c r="CM504" s="89">
        <v>50</v>
      </c>
      <c r="CP504" s="89">
        <v>49</v>
      </c>
    </row>
    <row r="505" spans="1:94" s="89" customFormat="1" x14ac:dyDescent="0.25">
      <c r="A505" s="13"/>
      <c r="B505" s="21" t="s">
        <v>1184</v>
      </c>
      <c r="C505" s="13"/>
      <c r="D505" s="87"/>
      <c r="E505" s="111"/>
      <c r="F505" s="111"/>
      <c r="G505" s="111"/>
      <c r="H505" s="111"/>
      <c r="I505" s="109">
        <v>654.5</v>
      </c>
      <c r="J505" s="109">
        <v>1006.7</v>
      </c>
      <c r="K505" s="109">
        <v>1518</v>
      </c>
      <c r="L505" s="109"/>
      <c r="N505" s="241">
        <f>P505+S505+V505+Y505+AB505+AE505+AH505+AK505+AN505+AQ505+AW505+AZ505+BC505+BF505+BI505+BL505+BO505+BR505+BU505+BX505+CA505+CD505+CG505+CJ505+AT505+CM505+CP505</f>
        <v>0</v>
      </c>
      <c r="O505" s="241">
        <f>Q505+T505+W505+Z505+AC505+AF505+AI505+AL505+AO505+AR505+AX505+BA505+BD505+BG505+BJ505+BM505+BP505+BS505+BV505+BY505+CB505+CE505+CH505+CK505+AU505</f>
        <v>0</v>
      </c>
    </row>
    <row r="506" spans="1:94" ht="60" hidden="1" x14ac:dyDescent="0.25">
      <c r="A506" s="158"/>
      <c r="B506" s="51" t="s">
        <v>476</v>
      </c>
      <c r="C506" s="150"/>
      <c r="D506" s="150" t="s">
        <v>1111</v>
      </c>
      <c r="E506" s="164">
        <v>17.489999999999998</v>
      </c>
      <c r="F506" s="164" t="e">
        <f>(F509+F510+F511)/(F512+F513+F514+F515+F516+F517+F518+F519)</f>
        <v>#DIV/0!</v>
      </c>
      <c r="G506" s="164" t="e">
        <f>(G509+G510+G511)/(G512+G513+G514+G515+G516+G517+G518+G519)</f>
        <v>#DIV/0!</v>
      </c>
      <c r="H506" s="164"/>
      <c r="I506" s="164"/>
      <c r="J506" s="164"/>
      <c r="K506" s="164"/>
      <c r="L506" s="164"/>
      <c r="M506" s="3" t="s">
        <v>281</v>
      </c>
    </row>
    <row r="507" spans="1:94" hidden="1" x14ac:dyDescent="0.25">
      <c r="A507" s="170"/>
      <c r="B507" s="135" t="s">
        <v>1182</v>
      </c>
      <c r="C507" s="150"/>
      <c r="D507" s="150"/>
      <c r="E507" s="164"/>
      <c r="F507" s="164"/>
      <c r="G507" s="164"/>
      <c r="H507" s="164">
        <v>9.61</v>
      </c>
      <c r="I507" s="164"/>
      <c r="J507" s="164"/>
      <c r="K507" s="164"/>
      <c r="L507" s="164"/>
      <c r="M507" s="3"/>
    </row>
    <row r="508" spans="1:94" hidden="1" x14ac:dyDescent="0.25">
      <c r="A508" s="170"/>
      <c r="B508" s="135" t="s">
        <v>1184</v>
      </c>
      <c r="C508" s="150"/>
      <c r="D508" s="150"/>
      <c r="E508" s="164"/>
      <c r="F508" s="164"/>
      <c r="G508" s="164"/>
      <c r="H508" s="164">
        <v>0</v>
      </c>
      <c r="I508" s="164"/>
      <c r="J508" s="164"/>
      <c r="K508" s="164"/>
      <c r="L508" s="164"/>
      <c r="M508" s="3"/>
    </row>
    <row r="509" spans="1:94" ht="45" hidden="1" x14ac:dyDescent="0.25">
      <c r="A509" s="419"/>
      <c r="B509" s="419" t="s">
        <v>477</v>
      </c>
      <c r="C509" s="6" t="s">
        <v>478</v>
      </c>
      <c r="D509" s="6" t="s">
        <v>1111</v>
      </c>
      <c r="E509" s="12"/>
      <c r="F509" s="12">
        <v>0</v>
      </c>
      <c r="G509" s="12">
        <v>0</v>
      </c>
      <c r="H509" s="12"/>
      <c r="I509" s="12"/>
      <c r="J509" s="12"/>
      <c r="K509" s="12"/>
      <c r="L509" s="12"/>
      <c r="M509" s="20"/>
    </row>
    <row r="510" spans="1:94" ht="45" hidden="1" x14ac:dyDescent="0.25">
      <c r="A510" s="420"/>
      <c r="B510" s="420"/>
      <c r="C510" s="6" t="s">
        <v>479</v>
      </c>
      <c r="D510" s="6" t="s">
        <v>1111</v>
      </c>
      <c r="E510" s="12"/>
      <c r="F510" s="12">
        <v>0</v>
      </c>
      <c r="G510" s="12">
        <v>0</v>
      </c>
      <c r="H510" s="12"/>
      <c r="I510" s="12"/>
      <c r="J510" s="12"/>
      <c r="K510" s="12"/>
      <c r="L510" s="12"/>
      <c r="M510" s="20"/>
    </row>
    <row r="511" spans="1:94" ht="45" hidden="1" x14ac:dyDescent="0.25">
      <c r="A511" s="421"/>
      <c r="B511" s="421"/>
      <c r="C511" s="6" t="s">
        <v>480</v>
      </c>
      <c r="D511" s="6" t="s">
        <v>1111</v>
      </c>
      <c r="E511" s="12"/>
      <c r="F511" s="12">
        <v>0</v>
      </c>
      <c r="G511" s="12">
        <v>0</v>
      </c>
      <c r="H511" s="12"/>
      <c r="I511" s="12"/>
      <c r="J511" s="12"/>
      <c r="K511" s="12"/>
      <c r="L511" s="12"/>
    </row>
    <row r="512" spans="1:94" ht="60" hidden="1" x14ac:dyDescent="0.25">
      <c r="A512" s="8"/>
      <c r="B512" s="16" t="s">
        <v>416</v>
      </c>
      <c r="C512" s="6" t="s">
        <v>361</v>
      </c>
      <c r="D512" s="6" t="s">
        <v>950</v>
      </c>
      <c r="E512" s="12"/>
      <c r="F512" s="12">
        <v>0</v>
      </c>
      <c r="G512" s="12">
        <v>0</v>
      </c>
      <c r="H512" s="12"/>
      <c r="I512" s="12"/>
      <c r="J512" s="12"/>
      <c r="K512" s="12"/>
      <c r="L512" s="12"/>
      <c r="M512" s="20"/>
    </row>
    <row r="513" spans="1:13" ht="60" hidden="1" x14ac:dyDescent="0.25">
      <c r="A513" s="8"/>
      <c r="B513" s="16" t="s">
        <v>417</v>
      </c>
      <c r="C513" s="6" t="s">
        <v>362</v>
      </c>
      <c r="D513" s="6" t="s">
        <v>950</v>
      </c>
      <c r="E513" s="12"/>
      <c r="F513" s="12">
        <v>0</v>
      </c>
      <c r="G513" s="12">
        <v>0</v>
      </c>
      <c r="H513" s="12"/>
      <c r="I513" s="12"/>
      <c r="J513" s="12"/>
      <c r="K513" s="12"/>
      <c r="L513" s="12"/>
    </row>
    <row r="514" spans="1:13" ht="60" hidden="1" x14ac:dyDescent="0.25">
      <c r="A514" s="8"/>
      <c r="B514" s="16" t="s">
        <v>418</v>
      </c>
      <c r="C514" s="6" t="s">
        <v>419</v>
      </c>
      <c r="D514" s="6" t="s">
        <v>950</v>
      </c>
      <c r="E514" s="12"/>
      <c r="F514" s="12">
        <v>0</v>
      </c>
      <c r="G514" s="12">
        <v>0</v>
      </c>
      <c r="H514" s="12"/>
      <c r="I514" s="12"/>
      <c r="J514" s="12"/>
      <c r="K514" s="12"/>
      <c r="L514" s="12"/>
    </row>
    <row r="515" spans="1:13" ht="60" hidden="1" x14ac:dyDescent="0.25">
      <c r="A515" s="8"/>
      <c r="B515" s="16" t="s">
        <v>420</v>
      </c>
      <c r="C515" s="6" t="s">
        <v>346</v>
      </c>
      <c r="D515" s="6" t="s">
        <v>950</v>
      </c>
      <c r="E515" s="12"/>
      <c r="F515" s="12">
        <v>0</v>
      </c>
      <c r="G515" s="12">
        <v>0</v>
      </c>
      <c r="H515" s="12"/>
      <c r="I515" s="12"/>
      <c r="J515" s="12"/>
      <c r="K515" s="12"/>
      <c r="L515" s="12"/>
    </row>
    <row r="516" spans="1:13" ht="60" hidden="1" x14ac:dyDescent="0.25">
      <c r="A516" s="8"/>
      <c r="B516" s="16" t="s">
        <v>421</v>
      </c>
      <c r="C516" s="6" t="s">
        <v>345</v>
      </c>
      <c r="D516" s="6" t="s">
        <v>950</v>
      </c>
      <c r="E516" s="12"/>
      <c r="F516" s="12">
        <v>0</v>
      </c>
      <c r="G516" s="12">
        <v>0</v>
      </c>
      <c r="H516" s="12"/>
      <c r="I516" s="12"/>
      <c r="J516" s="12"/>
      <c r="K516" s="12"/>
      <c r="L516" s="12"/>
    </row>
    <row r="517" spans="1:13" ht="60" hidden="1" x14ac:dyDescent="0.25">
      <c r="A517" s="8"/>
      <c r="B517" s="16" t="s">
        <v>422</v>
      </c>
      <c r="C517" s="6" t="s">
        <v>347</v>
      </c>
      <c r="D517" s="6" t="s">
        <v>950</v>
      </c>
      <c r="E517" s="12"/>
      <c r="F517" s="12">
        <v>0</v>
      </c>
      <c r="G517" s="12">
        <v>0</v>
      </c>
      <c r="H517" s="12"/>
      <c r="I517" s="12"/>
      <c r="J517" s="12"/>
      <c r="K517" s="12"/>
      <c r="L517" s="12"/>
    </row>
    <row r="518" spans="1:13" ht="60" hidden="1" x14ac:dyDescent="0.25">
      <c r="A518" s="8"/>
      <c r="B518" s="16" t="s">
        <v>423</v>
      </c>
      <c r="C518" s="6" t="s">
        <v>424</v>
      </c>
      <c r="D518" s="6" t="s">
        <v>950</v>
      </c>
      <c r="E518" s="12"/>
      <c r="F518" s="12">
        <v>0</v>
      </c>
      <c r="G518" s="12">
        <v>0</v>
      </c>
      <c r="H518" s="12"/>
      <c r="I518" s="12"/>
      <c r="J518" s="12"/>
      <c r="K518" s="12"/>
      <c r="L518" s="12"/>
    </row>
    <row r="519" spans="1:13" ht="60" hidden="1" x14ac:dyDescent="0.25">
      <c r="A519" s="8"/>
      <c r="B519" s="16" t="s">
        <v>425</v>
      </c>
      <c r="C519" s="6" t="s">
        <v>426</v>
      </c>
      <c r="D519" s="6" t="s">
        <v>950</v>
      </c>
      <c r="E519" s="12"/>
      <c r="F519" s="12">
        <v>0</v>
      </c>
      <c r="G519" s="12">
        <v>0</v>
      </c>
      <c r="H519" s="12"/>
      <c r="I519" s="12"/>
      <c r="J519" s="12"/>
      <c r="K519" s="12"/>
      <c r="L519" s="12"/>
    </row>
    <row r="520" spans="1:13" ht="30" hidden="1" x14ac:dyDescent="0.25">
      <c r="A520" s="158"/>
      <c r="B520" s="51" t="s">
        <v>481</v>
      </c>
      <c r="C520" s="150"/>
      <c r="D520" s="150" t="s">
        <v>1111</v>
      </c>
      <c r="E520" s="164">
        <v>24.07</v>
      </c>
      <c r="F520" s="164">
        <v>26.16</v>
      </c>
      <c r="G520" s="164">
        <v>16.18</v>
      </c>
      <c r="H520" s="164"/>
      <c r="I520" s="164"/>
      <c r="J520" s="164"/>
      <c r="K520" s="164"/>
      <c r="L520" s="164"/>
      <c r="M520" s="3" t="s">
        <v>46</v>
      </c>
    </row>
    <row r="521" spans="1:13" hidden="1" x14ac:dyDescent="0.25">
      <c r="A521" s="170"/>
      <c r="B521" s="135" t="s">
        <v>1182</v>
      </c>
      <c r="C521" s="150"/>
      <c r="D521" s="150"/>
      <c r="E521" s="164"/>
      <c r="F521" s="164"/>
      <c r="G521" s="164"/>
      <c r="H521" s="164">
        <v>17.190000000000001</v>
      </c>
      <c r="I521" s="164"/>
      <c r="J521" s="164"/>
      <c r="K521" s="164"/>
      <c r="L521" s="164"/>
      <c r="M521" s="3"/>
    </row>
    <row r="522" spans="1:13" hidden="1" x14ac:dyDescent="0.25">
      <c r="A522" s="170"/>
      <c r="B522" s="135" t="s">
        <v>1184</v>
      </c>
      <c r="C522" s="150"/>
      <c r="D522" s="150"/>
      <c r="E522" s="164"/>
      <c r="F522" s="164"/>
      <c r="G522" s="164"/>
      <c r="H522" s="164">
        <v>61.06</v>
      </c>
      <c r="I522" s="164"/>
      <c r="J522" s="164"/>
      <c r="K522" s="164"/>
      <c r="L522" s="164"/>
      <c r="M522" s="3"/>
    </row>
    <row r="523" spans="1:13" ht="45" hidden="1" x14ac:dyDescent="0.25">
      <c r="A523" s="419"/>
      <c r="B523" s="419" t="s">
        <v>482</v>
      </c>
      <c r="C523" s="6" t="s">
        <v>483</v>
      </c>
      <c r="D523" s="6" t="s">
        <v>1111</v>
      </c>
      <c r="E523" s="12"/>
      <c r="F523" s="12"/>
      <c r="G523" s="12">
        <v>374627</v>
      </c>
      <c r="H523" s="12"/>
      <c r="I523" s="12"/>
      <c r="J523" s="12"/>
      <c r="K523" s="12"/>
      <c r="L523" s="12"/>
      <c r="M523" s="20"/>
    </row>
    <row r="524" spans="1:13" ht="30" hidden="1" x14ac:dyDescent="0.25">
      <c r="A524" s="420"/>
      <c r="B524" s="420"/>
      <c r="C524" s="6" t="s">
        <v>485</v>
      </c>
      <c r="D524" s="6" t="s">
        <v>1111</v>
      </c>
      <c r="E524" s="12"/>
      <c r="F524" s="12"/>
      <c r="G524" s="12">
        <v>15090</v>
      </c>
      <c r="H524" s="12"/>
      <c r="I524" s="12"/>
      <c r="J524" s="12"/>
      <c r="K524" s="12"/>
      <c r="L524" s="12"/>
    </row>
    <row r="525" spans="1:13" ht="30" hidden="1" x14ac:dyDescent="0.25">
      <c r="A525" s="420"/>
      <c r="B525" s="420"/>
      <c r="C525" s="6" t="s">
        <v>484</v>
      </c>
      <c r="D525" s="6" t="s">
        <v>1111</v>
      </c>
      <c r="E525" s="12"/>
      <c r="F525" s="12"/>
      <c r="G525" s="12">
        <v>10173</v>
      </c>
      <c r="H525" s="12"/>
      <c r="I525" s="12"/>
      <c r="J525" s="12"/>
      <c r="K525" s="12"/>
      <c r="L525" s="12"/>
    </row>
    <row r="526" spans="1:13" ht="75" hidden="1" x14ac:dyDescent="0.25">
      <c r="A526" s="8"/>
      <c r="B526" s="16" t="s">
        <v>486</v>
      </c>
      <c r="C526" s="6" t="s">
        <v>470</v>
      </c>
      <c r="D526" s="6" t="s">
        <v>950</v>
      </c>
      <c r="E526" s="12"/>
      <c r="F526" s="12"/>
      <c r="G526" s="12">
        <v>18020.099999999999</v>
      </c>
      <c r="H526" s="12"/>
      <c r="I526" s="12"/>
      <c r="J526" s="12"/>
      <c r="K526" s="12"/>
      <c r="L526" s="12"/>
    </row>
    <row r="527" spans="1:13" ht="30" x14ac:dyDescent="0.25">
      <c r="A527" s="47" t="s">
        <v>487</v>
      </c>
      <c r="B527" s="48" t="s">
        <v>488</v>
      </c>
      <c r="C527" s="44"/>
      <c r="D527" s="44"/>
      <c r="E527" s="44"/>
      <c r="F527" s="44"/>
      <c r="G527" s="44"/>
      <c r="H527" s="44"/>
      <c r="I527" s="44"/>
      <c r="J527" s="44"/>
      <c r="K527" s="44"/>
      <c r="L527" s="44"/>
    </row>
    <row r="528" spans="1:13" ht="60" x14ac:dyDescent="0.25">
      <c r="A528" s="42" t="s">
        <v>490</v>
      </c>
      <c r="B528" s="46" t="s">
        <v>1966</v>
      </c>
      <c r="C528" s="42"/>
      <c r="D528" s="44"/>
      <c r="E528" s="44"/>
      <c r="F528" s="44"/>
      <c r="G528" s="44"/>
      <c r="H528" s="44"/>
      <c r="I528" s="44"/>
      <c r="J528" s="44"/>
      <c r="K528" s="44"/>
      <c r="L528" s="44"/>
    </row>
    <row r="529" spans="1:110" x14ac:dyDescent="0.25">
      <c r="A529" s="42" t="s">
        <v>1967</v>
      </c>
      <c r="B529" s="46" t="s">
        <v>1948</v>
      </c>
      <c r="C529" s="42"/>
      <c r="D529" s="44"/>
      <c r="E529" s="44"/>
      <c r="F529" s="44"/>
      <c r="G529" s="44"/>
      <c r="H529" s="44"/>
      <c r="I529" s="44"/>
      <c r="J529" s="44"/>
      <c r="K529" s="44"/>
      <c r="L529" s="44"/>
    </row>
    <row r="530" spans="1:110" x14ac:dyDescent="0.25">
      <c r="A530" s="42"/>
      <c r="B530" s="46" t="s">
        <v>1182</v>
      </c>
      <c r="C530" s="42"/>
      <c r="D530" s="42" t="s">
        <v>8</v>
      </c>
      <c r="E530" s="44"/>
      <c r="F530" s="44"/>
      <c r="G530" s="44"/>
      <c r="H530" s="44"/>
      <c r="I530" s="117">
        <f t="shared" ref="I530:K531" si="1539">I537/I544*100</f>
        <v>63.541666666666664</v>
      </c>
      <c r="J530" s="117">
        <f t="shared" si="1539"/>
        <v>66.666666666666657</v>
      </c>
      <c r="K530" s="117">
        <f t="shared" si="1539"/>
        <v>71.604938271604937</v>
      </c>
      <c r="L530" s="117" t="e">
        <f t="shared" ref="L530" si="1540">L537/L544*100</f>
        <v>#DIV/0!</v>
      </c>
      <c r="N530" s="117">
        <f t="shared" ref="N530:P531" si="1541">N537/N544*100</f>
        <v>71.604938271604937</v>
      </c>
      <c r="O530" s="117">
        <f t="shared" si="1541"/>
        <v>100</v>
      </c>
      <c r="P530" s="117">
        <f t="shared" ref="P530:Q530" si="1542">P537/P544*100</f>
        <v>100</v>
      </c>
      <c r="Q530" s="117">
        <f t="shared" si="1542"/>
        <v>100</v>
      </c>
      <c r="S530" s="117">
        <f t="shared" ref="S530:T531" si="1543">S537/S544*100</f>
        <v>66.666666666666657</v>
      </c>
      <c r="T530" s="117" t="e">
        <f t="shared" si="1543"/>
        <v>#DIV/0!</v>
      </c>
      <c r="V530" s="117">
        <f t="shared" ref="V530:W530" si="1544">V537/V544*100</f>
        <v>100</v>
      </c>
      <c r="W530" s="117" t="e">
        <f t="shared" si="1544"/>
        <v>#DIV/0!</v>
      </c>
      <c r="Y530" s="117">
        <f t="shared" ref="Y530:Z531" si="1545">Y537/Y544*100</f>
        <v>100</v>
      </c>
      <c r="Z530" s="117" t="e">
        <f t="shared" si="1545"/>
        <v>#DIV/0!</v>
      </c>
      <c r="AA530" s="241"/>
      <c r="AB530" s="117">
        <f t="shared" ref="AB530:AC530" si="1546">AB537/AB544*100</f>
        <v>0</v>
      </c>
      <c r="AC530" s="117" t="e">
        <f t="shared" si="1546"/>
        <v>#DIV/0!</v>
      </c>
      <c r="AD530" s="241"/>
      <c r="AE530" s="117">
        <f t="shared" ref="AE530:AF530" si="1547">AE537/AE544*100</f>
        <v>100</v>
      </c>
      <c r="AF530" s="117" t="e">
        <f t="shared" si="1547"/>
        <v>#DIV/0!</v>
      </c>
      <c r="AH530" s="117">
        <f t="shared" ref="AH530:AI530" si="1548">AH537/AH544*100</f>
        <v>100</v>
      </c>
      <c r="AI530" s="117" t="e">
        <f t="shared" si="1548"/>
        <v>#DIV/0!</v>
      </c>
      <c r="AJ530" s="241"/>
      <c r="AK530" s="117">
        <f t="shared" ref="AK530:AL530" si="1549">AK537/AK544*100</f>
        <v>33.333333333333329</v>
      </c>
      <c r="AL530" s="117" t="e">
        <f t="shared" si="1549"/>
        <v>#DIV/0!</v>
      </c>
      <c r="AM530" s="241"/>
      <c r="AN530" s="117" t="e">
        <f t="shared" ref="AN530:AO530" si="1550">AN537/AN544*100</f>
        <v>#DIV/0!</v>
      </c>
      <c r="AO530" s="117" t="e">
        <f t="shared" si="1550"/>
        <v>#DIV/0!</v>
      </c>
      <c r="AQ530" s="117">
        <f t="shared" ref="AQ530:AR530" si="1551">AQ537/AQ544*100</f>
        <v>25</v>
      </c>
      <c r="AR530" s="117" t="e">
        <f t="shared" si="1551"/>
        <v>#DIV/0!</v>
      </c>
      <c r="AS530" s="241"/>
      <c r="AT530" s="117">
        <f t="shared" ref="AT530:AU530" si="1552">AT537/AT544*100</f>
        <v>100</v>
      </c>
      <c r="AU530" s="117" t="e">
        <f t="shared" si="1552"/>
        <v>#DIV/0!</v>
      </c>
      <c r="AW530" s="117">
        <f t="shared" ref="AW530:AX530" si="1553">AW537/AW544*100</f>
        <v>75</v>
      </c>
      <c r="AX530" s="117" t="e">
        <f t="shared" si="1553"/>
        <v>#DIV/0!</v>
      </c>
      <c r="AZ530" s="117">
        <f t="shared" ref="AZ530:BA530" si="1554">AZ537/AZ544*100</f>
        <v>100</v>
      </c>
      <c r="BA530" s="117" t="e">
        <f t="shared" si="1554"/>
        <v>#DIV/0!</v>
      </c>
      <c r="BB530" s="241"/>
      <c r="BC530" s="117">
        <f t="shared" ref="BC530:BD530" si="1555">BC537/BC544*100</f>
        <v>100</v>
      </c>
      <c r="BD530" s="117" t="e">
        <f t="shared" si="1555"/>
        <v>#DIV/0!</v>
      </c>
      <c r="BE530" s="241"/>
      <c r="BF530" s="117">
        <f t="shared" ref="BF530:BG530" si="1556">BF537/BF544*100</f>
        <v>0</v>
      </c>
      <c r="BG530" s="117" t="e">
        <f t="shared" si="1556"/>
        <v>#DIV/0!</v>
      </c>
      <c r="BI530" s="117">
        <f t="shared" ref="BI530:BJ530" si="1557">BI537/BI544*100</f>
        <v>0</v>
      </c>
      <c r="BJ530" s="117" t="e">
        <f t="shared" si="1557"/>
        <v>#DIV/0!</v>
      </c>
      <c r="BK530" s="241"/>
      <c r="BL530" s="117">
        <f t="shared" ref="BL530:BM530" si="1558">BL537/BL544*100</f>
        <v>71.428571428571431</v>
      </c>
      <c r="BM530" s="117" t="e">
        <f t="shared" si="1558"/>
        <v>#DIV/0!</v>
      </c>
      <c r="BN530" s="241"/>
      <c r="BO530" s="117">
        <f t="shared" ref="BO530:BP530" si="1559">BO537/BO544*100</f>
        <v>100</v>
      </c>
      <c r="BP530" s="117" t="e">
        <f t="shared" si="1559"/>
        <v>#DIV/0!</v>
      </c>
      <c r="BR530" s="117">
        <f t="shared" ref="BR530:BS530" si="1560">BR537/BR544*100</f>
        <v>100</v>
      </c>
      <c r="BS530" s="117" t="e">
        <f t="shared" si="1560"/>
        <v>#DIV/0!</v>
      </c>
      <c r="BT530" s="241"/>
      <c r="BU530" s="117">
        <f t="shared" ref="BU530:BV530" si="1561">BU537/BU544*100</f>
        <v>100</v>
      </c>
      <c r="BV530" s="117" t="e">
        <f t="shared" si="1561"/>
        <v>#DIV/0!</v>
      </c>
      <c r="BW530" s="241"/>
      <c r="BX530" s="117">
        <f t="shared" ref="BX530:BY530" si="1562">BX537/BX544*100</f>
        <v>100</v>
      </c>
      <c r="BY530" s="117" t="e">
        <f t="shared" si="1562"/>
        <v>#DIV/0!</v>
      </c>
      <c r="CA530" s="117">
        <f t="shared" ref="CA530:CB530" si="1563">CA537/CA544*100</f>
        <v>66.666666666666657</v>
      </c>
      <c r="CB530" s="117" t="e">
        <f t="shared" si="1563"/>
        <v>#DIV/0!</v>
      </c>
      <c r="CC530" s="241"/>
      <c r="CD530" s="117" t="e">
        <f t="shared" ref="CD530:CE530" si="1564">CD537/CD544*100</f>
        <v>#DIV/0!</v>
      </c>
      <c r="CE530" s="117" t="e">
        <f t="shared" si="1564"/>
        <v>#DIV/0!</v>
      </c>
      <c r="CF530" s="241"/>
      <c r="CG530" s="117">
        <f t="shared" ref="CG530:CH530" si="1565">CG537/CG544*100</f>
        <v>100</v>
      </c>
      <c r="CH530" s="117" t="e">
        <f t="shared" si="1565"/>
        <v>#DIV/0!</v>
      </c>
      <c r="CJ530" s="117" t="e">
        <f t="shared" ref="CJ530:CK530" si="1566">CJ537/CJ544*100</f>
        <v>#DIV/0!</v>
      </c>
      <c r="CK530" s="117" t="e">
        <f t="shared" si="1566"/>
        <v>#DIV/0!</v>
      </c>
      <c r="CM530" s="117" t="e">
        <f t="shared" ref="CM530:CN530" si="1567">CM537/CM544*100</f>
        <v>#DIV/0!</v>
      </c>
      <c r="CN530" s="117" t="e">
        <f t="shared" si="1567"/>
        <v>#DIV/0!</v>
      </c>
      <c r="CP530" s="117">
        <f t="shared" ref="CP530:CQ530" si="1568">CP537/CP544*100</f>
        <v>0</v>
      </c>
      <c r="CQ530" s="117" t="e">
        <f t="shared" si="1568"/>
        <v>#DIV/0!</v>
      </c>
      <c r="DE530" s="117" t="e">
        <f t="shared" ref="DE530:DF530" si="1569">DE537/DE544*100</f>
        <v>#DIV/0!</v>
      </c>
      <c r="DF530" s="117" t="e">
        <f t="shared" si="1569"/>
        <v>#DIV/0!</v>
      </c>
    </row>
    <row r="531" spans="1:110" x14ac:dyDescent="0.25">
      <c r="A531" s="42"/>
      <c r="B531" s="46" t="s">
        <v>1184</v>
      </c>
      <c r="C531" s="42"/>
      <c r="D531" s="42" t="s">
        <v>8</v>
      </c>
      <c r="E531" s="44"/>
      <c r="F531" s="44"/>
      <c r="G531" s="44"/>
      <c r="H531" s="44"/>
      <c r="I531" s="117">
        <f t="shared" si="1539"/>
        <v>100</v>
      </c>
      <c r="J531" s="117">
        <f t="shared" si="1539"/>
        <v>100</v>
      </c>
      <c r="K531" s="117">
        <f t="shared" si="1539"/>
        <v>100</v>
      </c>
      <c r="L531" s="117" t="e">
        <f t="shared" ref="L531" si="1570">L538/L545*100</f>
        <v>#DIV/0!</v>
      </c>
      <c r="N531" s="117" t="e">
        <f t="shared" ref="N531" si="1571">N538/N545*100</f>
        <v>#DIV/0!</v>
      </c>
      <c r="O531" s="117" t="e">
        <f t="shared" si="1541"/>
        <v>#DIV/0!</v>
      </c>
      <c r="P531" s="117" t="e">
        <f t="shared" si="1541"/>
        <v>#DIV/0!</v>
      </c>
      <c r="Q531" s="117" t="e">
        <f t="shared" ref="Q531" si="1572">Q538/Q545*100</f>
        <v>#DIV/0!</v>
      </c>
      <c r="S531" s="117" t="e">
        <f t="shared" ref="S531" si="1573">S538/S545*100</f>
        <v>#DIV/0!</v>
      </c>
      <c r="T531" s="117" t="e">
        <f t="shared" si="1543"/>
        <v>#DIV/0!</v>
      </c>
      <c r="V531" s="117" t="e">
        <f t="shared" ref="V531:W531" si="1574">V538/V545*100</f>
        <v>#DIV/0!</v>
      </c>
      <c r="W531" s="117" t="e">
        <f t="shared" si="1574"/>
        <v>#DIV/0!</v>
      </c>
      <c r="Y531" s="117" t="e">
        <f t="shared" ref="Y531" si="1575">Y538/Y545*100</f>
        <v>#DIV/0!</v>
      </c>
      <c r="Z531" s="117" t="e">
        <f t="shared" si="1545"/>
        <v>#DIV/0!</v>
      </c>
      <c r="AA531" s="241"/>
      <c r="AB531" s="117" t="e">
        <f t="shared" ref="AB531:AC531" si="1576">AB538/AB545*100</f>
        <v>#DIV/0!</v>
      </c>
      <c r="AC531" s="117" t="e">
        <f t="shared" si="1576"/>
        <v>#DIV/0!</v>
      </c>
      <c r="AD531" s="241"/>
      <c r="AE531" s="117" t="e">
        <f t="shared" ref="AE531:AF531" si="1577">AE538/AE545*100</f>
        <v>#DIV/0!</v>
      </c>
      <c r="AF531" s="117" t="e">
        <f t="shared" si="1577"/>
        <v>#DIV/0!</v>
      </c>
      <c r="AH531" s="117" t="e">
        <f t="shared" ref="AH531:AI531" si="1578">AH538/AH545*100</f>
        <v>#DIV/0!</v>
      </c>
      <c r="AI531" s="117" t="e">
        <f t="shared" si="1578"/>
        <v>#DIV/0!</v>
      </c>
      <c r="AJ531" s="241"/>
      <c r="AK531" s="117" t="e">
        <f t="shared" ref="AK531:AL531" si="1579">AK538/AK545*100</f>
        <v>#DIV/0!</v>
      </c>
      <c r="AL531" s="117" t="e">
        <f t="shared" si="1579"/>
        <v>#DIV/0!</v>
      </c>
      <c r="AM531" s="241"/>
      <c r="AN531" s="117" t="e">
        <f t="shared" ref="AN531:AO531" si="1580">AN538/AN545*100</f>
        <v>#DIV/0!</v>
      </c>
      <c r="AO531" s="117" t="e">
        <f t="shared" si="1580"/>
        <v>#DIV/0!</v>
      </c>
      <c r="AQ531" s="117" t="e">
        <f t="shared" ref="AQ531:AR531" si="1581">AQ538/AQ545*100</f>
        <v>#DIV/0!</v>
      </c>
      <c r="AR531" s="117" t="e">
        <f t="shared" si="1581"/>
        <v>#DIV/0!</v>
      </c>
      <c r="AS531" s="241"/>
      <c r="AT531" s="117" t="e">
        <f t="shared" ref="AT531:AU531" si="1582">AT538/AT545*100</f>
        <v>#DIV/0!</v>
      </c>
      <c r="AU531" s="117" t="e">
        <f t="shared" si="1582"/>
        <v>#DIV/0!</v>
      </c>
      <c r="AW531" s="117" t="e">
        <f t="shared" ref="AW531:AX531" si="1583">AW538/AW545*100</f>
        <v>#DIV/0!</v>
      </c>
      <c r="AX531" s="117" t="e">
        <f t="shared" si="1583"/>
        <v>#DIV/0!</v>
      </c>
      <c r="AZ531" s="117" t="e">
        <f t="shared" ref="AZ531:BA531" si="1584">AZ538/AZ545*100</f>
        <v>#DIV/0!</v>
      </c>
      <c r="BA531" s="117" t="e">
        <f t="shared" si="1584"/>
        <v>#DIV/0!</v>
      </c>
      <c r="BB531" s="241"/>
      <c r="BC531" s="117" t="e">
        <f t="shared" ref="BC531:BD531" si="1585">BC538/BC545*100</f>
        <v>#DIV/0!</v>
      </c>
      <c r="BD531" s="117" t="e">
        <f t="shared" si="1585"/>
        <v>#DIV/0!</v>
      </c>
      <c r="BE531" s="241"/>
      <c r="BF531" s="117" t="e">
        <f t="shared" ref="BF531:BG531" si="1586">BF538/BF545*100</f>
        <v>#DIV/0!</v>
      </c>
      <c r="BG531" s="117" t="e">
        <f t="shared" si="1586"/>
        <v>#DIV/0!</v>
      </c>
      <c r="BI531" s="117" t="e">
        <f t="shared" ref="BI531:BJ531" si="1587">BI538/BI545*100</f>
        <v>#DIV/0!</v>
      </c>
      <c r="BJ531" s="117" t="e">
        <f t="shared" si="1587"/>
        <v>#DIV/0!</v>
      </c>
      <c r="BK531" s="241"/>
      <c r="BL531" s="117" t="e">
        <f t="shared" ref="BL531:BM531" si="1588">BL538/BL545*100</f>
        <v>#DIV/0!</v>
      </c>
      <c r="BM531" s="117" t="e">
        <f t="shared" si="1588"/>
        <v>#DIV/0!</v>
      </c>
      <c r="BN531" s="241"/>
      <c r="BO531" s="117" t="e">
        <f t="shared" ref="BO531:BP531" si="1589">BO538/BO545*100</f>
        <v>#DIV/0!</v>
      </c>
      <c r="BP531" s="117" t="e">
        <f t="shared" si="1589"/>
        <v>#DIV/0!</v>
      </c>
      <c r="BR531" s="117" t="e">
        <f t="shared" ref="BR531:BS531" si="1590">BR538/BR545*100</f>
        <v>#DIV/0!</v>
      </c>
      <c r="BS531" s="117" t="e">
        <f t="shared" si="1590"/>
        <v>#DIV/0!</v>
      </c>
      <c r="BT531" s="241"/>
      <c r="BU531" s="117" t="e">
        <f t="shared" ref="BU531:BV531" si="1591">BU538/BU545*100</f>
        <v>#DIV/0!</v>
      </c>
      <c r="BV531" s="117" t="e">
        <f t="shared" si="1591"/>
        <v>#DIV/0!</v>
      </c>
      <c r="BW531" s="241"/>
      <c r="BX531" s="117" t="e">
        <f t="shared" ref="BX531:BY531" si="1592">BX538/BX545*100</f>
        <v>#DIV/0!</v>
      </c>
      <c r="BY531" s="117" t="e">
        <f t="shared" si="1592"/>
        <v>#DIV/0!</v>
      </c>
      <c r="CA531" s="117" t="e">
        <f t="shared" ref="CA531:CB531" si="1593">CA538/CA545*100</f>
        <v>#DIV/0!</v>
      </c>
      <c r="CB531" s="117" t="e">
        <f t="shared" si="1593"/>
        <v>#DIV/0!</v>
      </c>
      <c r="CC531" s="241"/>
      <c r="CD531" s="117" t="e">
        <f t="shared" ref="CD531:CE531" si="1594">CD538/CD545*100</f>
        <v>#DIV/0!</v>
      </c>
      <c r="CE531" s="117" t="e">
        <f t="shared" si="1594"/>
        <v>#DIV/0!</v>
      </c>
      <c r="CF531" s="241"/>
      <c r="CG531" s="117" t="e">
        <f t="shared" ref="CG531:CH531" si="1595">CG538/CG545*100</f>
        <v>#DIV/0!</v>
      </c>
      <c r="CH531" s="117" t="e">
        <f t="shared" si="1595"/>
        <v>#DIV/0!</v>
      </c>
      <c r="CJ531" s="117" t="e">
        <f t="shared" ref="CJ531:CK531" si="1596">CJ538/CJ545*100</f>
        <v>#DIV/0!</v>
      </c>
      <c r="CK531" s="117" t="e">
        <f t="shared" si="1596"/>
        <v>#DIV/0!</v>
      </c>
      <c r="CM531" s="117" t="e">
        <f t="shared" ref="CM531:CN531" si="1597">CM538/CM545*100</f>
        <v>#DIV/0!</v>
      </c>
      <c r="CN531" s="117" t="e">
        <f t="shared" si="1597"/>
        <v>#DIV/0!</v>
      </c>
      <c r="CP531" s="117" t="e">
        <f t="shared" ref="CP531:CQ531" si="1598">CP538/CP545*100</f>
        <v>#DIV/0!</v>
      </c>
      <c r="CQ531" s="117" t="e">
        <f t="shared" si="1598"/>
        <v>#DIV/0!</v>
      </c>
      <c r="DE531" s="117" t="e">
        <f t="shared" ref="DE531:DF531" si="1599">DE538/DE545*100</f>
        <v>#DIV/0!</v>
      </c>
      <c r="DF531" s="117" t="e">
        <f t="shared" si="1599"/>
        <v>#DIV/0!</v>
      </c>
    </row>
    <row r="532" spans="1:110" x14ac:dyDescent="0.25">
      <c r="A532" s="42"/>
      <c r="B532" s="46" t="s">
        <v>1949</v>
      </c>
      <c r="C532" s="42"/>
      <c r="D532" s="42"/>
      <c r="E532" s="44"/>
      <c r="F532" s="44"/>
      <c r="G532" s="44"/>
      <c r="H532" s="44"/>
      <c r="I532" s="67"/>
      <c r="J532" s="67"/>
      <c r="K532" s="67"/>
      <c r="L532" s="67"/>
      <c r="N532" s="67"/>
      <c r="O532" s="67"/>
      <c r="P532" s="67"/>
      <c r="Q532" s="67"/>
      <c r="S532" s="67"/>
      <c r="T532" s="67"/>
      <c r="V532" s="67"/>
      <c r="W532" s="67"/>
      <c r="Y532" s="67"/>
      <c r="Z532" s="67"/>
      <c r="AA532" s="241"/>
      <c r="AB532" s="67"/>
      <c r="AC532" s="67"/>
      <c r="AD532" s="241"/>
      <c r="AE532" s="67"/>
      <c r="AF532" s="67"/>
      <c r="AH532" s="67"/>
      <c r="AI532" s="67"/>
      <c r="AJ532" s="241"/>
      <c r="AK532" s="67"/>
      <c r="AL532" s="67"/>
      <c r="AM532" s="241"/>
      <c r="AN532" s="67"/>
      <c r="AO532" s="67"/>
      <c r="AQ532" s="67"/>
      <c r="AR532" s="67"/>
      <c r="AS532" s="241"/>
      <c r="AT532" s="67"/>
      <c r="AU532" s="67"/>
      <c r="AW532" s="67"/>
      <c r="AX532" s="67"/>
      <c r="AZ532" s="67"/>
      <c r="BA532" s="67"/>
      <c r="BB532" s="241"/>
      <c r="BC532" s="67"/>
      <c r="BD532" s="67"/>
      <c r="BE532" s="241"/>
      <c r="BF532" s="67"/>
      <c r="BG532" s="67"/>
      <c r="BI532" s="67"/>
      <c r="BJ532" s="67"/>
      <c r="BK532" s="241"/>
      <c r="BL532" s="67"/>
      <c r="BM532" s="67"/>
      <c r="BN532" s="241"/>
      <c r="BO532" s="67"/>
      <c r="BP532" s="67"/>
      <c r="BR532" s="67"/>
      <c r="BS532" s="67"/>
      <c r="BT532" s="241"/>
      <c r="BU532" s="67"/>
      <c r="BV532" s="67"/>
      <c r="BW532" s="241"/>
      <c r="BX532" s="67"/>
      <c r="BY532" s="67"/>
      <c r="CA532" s="67"/>
      <c r="CB532" s="67"/>
      <c r="CC532" s="241"/>
      <c r="CD532" s="67"/>
      <c r="CE532" s="67"/>
      <c r="CF532" s="241"/>
      <c r="CG532" s="67"/>
      <c r="CH532" s="67"/>
      <c r="CJ532" s="67"/>
      <c r="CK532" s="67"/>
      <c r="CM532" s="67"/>
      <c r="CN532" s="67"/>
      <c r="CP532" s="67"/>
      <c r="CQ532" s="67"/>
      <c r="DE532" s="67"/>
      <c r="DF532" s="67"/>
    </row>
    <row r="533" spans="1:110" x14ac:dyDescent="0.25">
      <c r="A533" s="42"/>
      <c r="B533" s="46" t="s">
        <v>1182</v>
      </c>
      <c r="C533" s="42"/>
      <c r="D533" s="42" t="s">
        <v>8</v>
      </c>
      <c r="E533" s="44"/>
      <c r="F533" s="44"/>
      <c r="G533" s="44"/>
      <c r="H533" s="44"/>
      <c r="I533" s="117">
        <f t="shared" ref="I533:K534" si="1600">I540/I547*100</f>
        <v>58.82352941176471</v>
      </c>
      <c r="J533" s="117">
        <f t="shared" si="1600"/>
        <v>61.904761904761905</v>
      </c>
      <c r="K533" s="117">
        <f t="shared" si="1600"/>
        <v>52.173913043478258</v>
      </c>
      <c r="L533" s="117" t="e">
        <f t="shared" ref="L533" si="1601">L540/L547*100</f>
        <v>#DIV/0!</v>
      </c>
      <c r="N533" s="117">
        <f t="shared" ref="N533:P534" si="1602">N540/N547*100</f>
        <v>52.173913043478258</v>
      </c>
      <c r="O533" s="117">
        <f t="shared" si="1602"/>
        <v>100</v>
      </c>
      <c r="P533" s="117">
        <f t="shared" ref="P533:Q533" si="1603">P540/P547*100</f>
        <v>100</v>
      </c>
      <c r="Q533" s="117">
        <f t="shared" si="1603"/>
        <v>100</v>
      </c>
      <c r="S533" s="117">
        <f t="shared" ref="S533:T534" si="1604">S540/S547*100</f>
        <v>14.285714285714285</v>
      </c>
      <c r="T533" s="117" t="e">
        <f t="shared" si="1604"/>
        <v>#DIV/0!</v>
      </c>
      <c r="V533" s="117" t="e">
        <f t="shared" ref="V533:W533" si="1605">V540/V547*100</f>
        <v>#DIV/0!</v>
      </c>
      <c r="W533" s="117" t="e">
        <f t="shared" si="1605"/>
        <v>#DIV/0!</v>
      </c>
      <c r="Y533" s="117">
        <f t="shared" ref="Y533:Z534" si="1606">Y540/Y547*100</f>
        <v>100</v>
      </c>
      <c r="Z533" s="117" t="e">
        <f t="shared" si="1606"/>
        <v>#DIV/0!</v>
      </c>
      <c r="AA533" s="241"/>
      <c r="AB533" s="117">
        <f t="shared" ref="AB533:AC533" si="1607">AB540/AB547*100</f>
        <v>0</v>
      </c>
      <c r="AC533" s="117" t="e">
        <f t="shared" si="1607"/>
        <v>#DIV/0!</v>
      </c>
      <c r="AD533" s="241"/>
      <c r="AE533" s="117" t="e">
        <f t="shared" ref="AE533:AF533" si="1608">AE540/AE547*100</f>
        <v>#DIV/0!</v>
      </c>
      <c r="AF533" s="117" t="e">
        <f t="shared" si="1608"/>
        <v>#DIV/0!</v>
      </c>
      <c r="AH533" s="117">
        <f t="shared" ref="AH533:AI533" si="1609">AH540/AH547*100</f>
        <v>100</v>
      </c>
      <c r="AI533" s="117" t="e">
        <f t="shared" si="1609"/>
        <v>#DIV/0!</v>
      </c>
      <c r="AJ533" s="241"/>
      <c r="AK533" s="117" t="e">
        <f t="shared" ref="AK533:AL533" si="1610">AK540/AK547*100</f>
        <v>#DIV/0!</v>
      </c>
      <c r="AL533" s="117" t="e">
        <f t="shared" si="1610"/>
        <v>#DIV/0!</v>
      </c>
      <c r="AM533" s="241"/>
      <c r="AN533" s="117" t="e">
        <f t="shared" ref="AN533:AO533" si="1611">AN540/AN547*100</f>
        <v>#DIV/0!</v>
      </c>
      <c r="AO533" s="117" t="e">
        <f t="shared" si="1611"/>
        <v>#DIV/0!</v>
      </c>
      <c r="AQ533" s="117" t="e">
        <f t="shared" ref="AQ533:AR533" si="1612">AQ540/AQ547*100</f>
        <v>#DIV/0!</v>
      </c>
      <c r="AR533" s="117" t="e">
        <f t="shared" si="1612"/>
        <v>#DIV/0!</v>
      </c>
      <c r="AS533" s="241"/>
      <c r="AT533" s="117" t="e">
        <f t="shared" ref="AT533:AU533" si="1613">AT540/AT547*100</f>
        <v>#DIV/0!</v>
      </c>
      <c r="AU533" s="117" t="e">
        <f t="shared" si="1613"/>
        <v>#DIV/0!</v>
      </c>
      <c r="AW533" s="117">
        <f t="shared" ref="AW533:AX533" si="1614">AW540/AW547*100</f>
        <v>100</v>
      </c>
      <c r="AX533" s="117" t="e">
        <f t="shared" si="1614"/>
        <v>#DIV/0!</v>
      </c>
      <c r="AZ533" s="117" t="e">
        <f t="shared" ref="AZ533:BA533" si="1615">AZ540/AZ547*100</f>
        <v>#DIV/0!</v>
      </c>
      <c r="BA533" s="117" t="e">
        <f t="shared" si="1615"/>
        <v>#DIV/0!</v>
      </c>
      <c r="BB533" s="241"/>
      <c r="BC533" s="117" t="e">
        <f t="shared" ref="BC533:BD533" si="1616">BC540/BC547*100</f>
        <v>#DIV/0!</v>
      </c>
      <c r="BD533" s="117" t="e">
        <f t="shared" si="1616"/>
        <v>#DIV/0!</v>
      </c>
      <c r="BE533" s="241"/>
      <c r="BF533" s="117">
        <f t="shared" ref="BF533:BG533" si="1617">BF540/BF547*100</f>
        <v>0</v>
      </c>
      <c r="BG533" s="117" t="e">
        <f t="shared" si="1617"/>
        <v>#DIV/0!</v>
      </c>
      <c r="BI533" s="117">
        <f t="shared" ref="BI533:BJ533" si="1618">BI540/BI547*100</f>
        <v>0</v>
      </c>
      <c r="BJ533" s="117" t="e">
        <f t="shared" si="1618"/>
        <v>#DIV/0!</v>
      </c>
      <c r="BK533" s="241"/>
      <c r="BL533" s="117" t="e">
        <f t="shared" ref="BL533:BM533" si="1619">BL540/BL547*100</f>
        <v>#DIV/0!</v>
      </c>
      <c r="BM533" s="117" t="e">
        <f t="shared" si="1619"/>
        <v>#DIV/0!</v>
      </c>
      <c r="BN533" s="241"/>
      <c r="BO533" s="117" t="e">
        <f t="shared" ref="BO533:BP533" si="1620">BO540/BO547*100</f>
        <v>#DIV/0!</v>
      </c>
      <c r="BP533" s="117" t="e">
        <f t="shared" si="1620"/>
        <v>#DIV/0!</v>
      </c>
      <c r="BR533" s="117" t="e">
        <f t="shared" ref="BR533:BS533" si="1621">BR540/BR547*100</f>
        <v>#DIV/0!</v>
      </c>
      <c r="BS533" s="117" t="e">
        <f t="shared" si="1621"/>
        <v>#DIV/0!</v>
      </c>
      <c r="BT533" s="241"/>
      <c r="BU533" s="117" t="e">
        <f t="shared" ref="BU533:BV533" si="1622">BU540/BU547*100</f>
        <v>#DIV/0!</v>
      </c>
      <c r="BV533" s="117" t="e">
        <f t="shared" si="1622"/>
        <v>#DIV/0!</v>
      </c>
      <c r="BW533" s="241"/>
      <c r="BX533" s="117">
        <f t="shared" ref="BX533:BY533" si="1623">BX540/BX547*100</f>
        <v>100</v>
      </c>
      <c r="BY533" s="117" t="e">
        <f t="shared" si="1623"/>
        <v>#DIV/0!</v>
      </c>
      <c r="CA533" s="117">
        <f>CA540/CA547*100</f>
        <v>100</v>
      </c>
      <c r="CB533" s="117" t="e">
        <f t="shared" ref="CB533" si="1624">CB540/CB547*100</f>
        <v>#DIV/0!</v>
      </c>
      <c r="CC533" s="241"/>
      <c r="CD533" s="117" t="e">
        <f t="shared" ref="CD533:CE533" si="1625">CD540/CD547*100</f>
        <v>#DIV/0!</v>
      </c>
      <c r="CE533" s="117" t="e">
        <f t="shared" si="1625"/>
        <v>#DIV/0!</v>
      </c>
      <c r="CF533" s="241"/>
      <c r="CG533" s="117">
        <f t="shared" ref="CG533:CH533" si="1626">CG540/CG547*100</f>
        <v>100</v>
      </c>
      <c r="CH533" s="117" t="e">
        <f t="shared" si="1626"/>
        <v>#DIV/0!</v>
      </c>
      <c r="CJ533" s="117" t="e">
        <f t="shared" ref="CJ533:CK533" si="1627">CJ540/CJ547*100</f>
        <v>#DIV/0!</v>
      </c>
      <c r="CK533" s="117" t="e">
        <f t="shared" si="1627"/>
        <v>#DIV/0!</v>
      </c>
      <c r="CM533" s="117" t="e">
        <f t="shared" ref="CM533:CN533" si="1628">CM540/CM547*100</f>
        <v>#DIV/0!</v>
      </c>
      <c r="CN533" s="117" t="e">
        <f t="shared" si="1628"/>
        <v>#DIV/0!</v>
      </c>
      <c r="CP533" s="117" t="e">
        <f t="shared" ref="CP533:CQ533" si="1629">CP540/CP547*100</f>
        <v>#DIV/0!</v>
      </c>
      <c r="CQ533" s="117" t="e">
        <f t="shared" si="1629"/>
        <v>#DIV/0!</v>
      </c>
      <c r="DE533" s="117" t="e">
        <f t="shared" ref="DE533:DF533" si="1630">DE540/DE547*100</f>
        <v>#DIV/0!</v>
      </c>
      <c r="DF533" s="117" t="e">
        <f t="shared" si="1630"/>
        <v>#DIV/0!</v>
      </c>
    </row>
    <row r="534" spans="1:110" x14ac:dyDescent="0.25">
      <c r="A534" s="42"/>
      <c r="B534" s="46" t="s">
        <v>1184</v>
      </c>
      <c r="C534" s="42"/>
      <c r="D534" s="42" t="s">
        <v>8</v>
      </c>
      <c r="E534" s="44"/>
      <c r="F534" s="44"/>
      <c r="G534" s="44"/>
      <c r="H534" s="44"/>
      <c r="I534" s="117" t="e">
        <f t="shared" si="1600"/>
        <v>#DIV/0!</v>
      </c>
      <c r="J534" s="117" t="e">
        <f t="shared" si="1600"/>
        <v>#DIV/0!</v>
      </c>
      <c r="K534" s="117" t="e">
        <f t="shared" si="1600"/>
        <v>#DIV/0!</v>
      </c>
      <c r="L534" s="117" t="e">
        <f t="shared" ref="L534" si="1631">L541/L548*100</f>
        <v>#DIV/0!</v>
      </c>
      <c r="N534" s="117" t="e">
        <f t="shared" ref="N534" si="1632">N541/N548*100</f>
        <v>#DIV/0!</v>
      </c>
      <c r="O534" s="117" t="e">
        <f t="shared" si="1602"/>
        <v>#DIV/0!</v>
      </c>
      <c r="P534" s="117" t="e">
        <f t="shared" si="1602"/>
        <v>#DIV/0!</v>
      </c>
      <c r="Q534" s="117" t="e">
        <f t="shared" ref="Q534" si="1633">Q541/Q548*100</f>
        <v>#DIV/0!</v>
      </c>
      <c r="S534" s="117" t="e">
        <f t="shared" ref="S534" si="1634">S541/S548*100</f>
        <v>#DIV/0!</v>
      </c>
      <c r="T534" s="117" t="e">
        <f t="shared" si="1604"/>
        <v>#DIV/0!</v>
      </c>
      <c r="V534" s="117" t="e">
        <f t="shared" ref="V534:W534" si="1635">V541/V548*100</f>
        <v>#DIV/0!</v>
      </c>
      <c r="W534" s="117" t="e">
        <f t="shared" si="1635"/>
        <v>#DIV/0!</v>
      </c>
      <c r="Y534" s="117" t="e">
        <f t="shared" ref="Y534" si="1636">Y541/Y548*100</f>
        <v>#DIV/0!</v>
      </c>
      <c r="Z534" s="117" t="e">
        <f t="shared" si="1606"/>
        <v>#DIV/0!</v>
      </c>
      <c r="AA534" s="241"/>
      <c r="AB534" s="117" t="e">
        <f t="shared" ref="AB534:AC534" si="1637">AB541/AB548*100</f>
        <v>#DIV/0!</v>
      </c>
      <c r="AC534" s="117" t="e">
        <f t="shared" si="1637"/>
        <v>#DIV/0!</v>
      </c>
      <c r="AD534" s="241"/>
      <c r="AE534" s="117" t="e">
        <f t="shared" ref="AE534:AF534" si="1638">AE541/AE548*100</f>
        <v>#DIV/0!</v>
      </c>
      <c r="AF534" s="117" t="e">
        <f t="shared" si="1638"/>
        <v>#DIV/0!</v>
      </c>
      <c r="AH534" s="117" t="e">
        <f t="shared" ref="AH534:AI534" si="1639">AH541/AH548*100</f>
        <v>#DIV/0!</v>
      </c>
      <c r="AI534" s="117" t="e">
        <f t="shared" si="1639"/>
        <v>#DIV/0!</v>
      </c>
      <c r="AJ534" s="241"/>
      <c r="AK534" s="117" t="e">
        <f t="shared" ref="AK534:AL534" si="1640">AK541/AK548*100</f>
        <v>#DIV/0!</v>
      </c>
      <c r="AL534" s="117" t="e">
        <f t="shared" si="1640"/>
        <v>#DIV/0!</v>
      </c>
      <c r="AM534" s="241"/>
      <c r="AN534" s="117" t="e">
        <f t="shared" ref="AN534:AO534" si="1641">AN541/AN548*100</f>
        <v>#DIV/0!</v>
      </c>
      <c r="AO534" s="117" t="e">
        <f t="shared" si="1641"/>
        <v>#DIV/0!</v>
      </c>
      <c r="AQ534" s="117" t="e">
        <f t="shared" ref="AQ534:AR534" si="1642">AQ541/AQ548*100</f>
        <v>#DIV/0!</v>
      </c>
      <c r="AR534" s="117" t="e">
        <f t="shared" si="1642"/>
        <v>#DIV/0!</v>
      </c>
      <c r="AS534" s="241"/>
      <c r="AT534" s="117" t="e">
        <f t="shared" ref="AT534:AU534" si="1643">AT541/AT548*100</f>
        <v>#DIV/0!</v>
      </c>
      <c r="AU534" s="117" t="e">
        <f t="shared" si="1643"/>
        <v>#DIV/0!</v>
      </c>
      <c r="AW534" s="117" t="e">
        <f t="shared" ref="AW534:AX534" si="1644">AW541/AW548*100</f>
        <v>#DIV/0!</v>
      </c>
      <c r="AX534" s="117" t="e">
        <f t="shared" si="1644"/>
        <v>#DIV/0!</v>
      </c>
      <c r="AZ534" s="117" t="e">
        <f t="shared" ref="AZ534:BA534" si="1645">AZ541/AZ548*100</f>
        <v>#DIV/0!</v>
      </c>
      <c r="BA534" s="117" t="e">
        <f t="shared" si="1645"/>
        <v>#DIV/0!</v>
      </c>
      <c r="BB534" s="241"/>
      <c r="BC534" s="117" t="e">
        <f t="shared" ref="BC534:BD534" si="1646">BC541/BC548*100</f>
        <v>#DIV/0!</v>
      </c>
      <c r="BD534" s="117" t="e">
        <f t="shared" si="1646"/>
        <v>#DIV/0!</v>
      </c>
      <c r="BE534" s="241"/>
      <c r="BF534" s="117" t="e">
        <f t="shared" ref="BF534:BG534" si="1647">BF541/BF548*100</f>
        <v>#DIV/0!</v>
      </c>
      <c r="BG534" s="117" t="e">
        <f t="shared" si="1647"/>
        <v>#DIV/0!</v>
      </c>
      <c r="BI534" s="117" t="e">
        <f t="shared" ref="BI534:BJ534" si="1648">BI541/BI548*100</f>
        <v>#DIV/0!</v>
      </c>
      <c r="BJ534" s="117" t="e">
        <f t="shared" si="1648"/>
        <v>#DIV/0!</v>
      </c>
      <c r="BK534" s="241"/>
      <c r="BL534" s="117" t="e">
        <f t="shared" ref="BL534:BM534" si="1649">BL541/BL548*100</f>
        <v>#DIV/0!</v>
      </c>
      <c r="BM534" s="117" t="e">
        <f t="shared" si="1649"/>
        <v>#DIV/0!</v>
      </c>
      <c r="BN534" s="241"/>
      <c r="BO534" s="117" t="e">
        <f t="shared" ref="BO534:BP534" si="1650">BO541/BO548*100</f>
        <v>#DIV/0!</v>
      </c>
      <c r="BP534" s="117" t="e">
        <f t="shared" si="1650"/>
        <v>#DIV/0!</v>
      </c>
      <c r="BR534" s="117" t="e">
        <f t="shared" ref="BR534:BS534" si="1651">BR541/BR548*100</f>
        <v>#DIV/0!</v>
      </c>
      <c r="BS534" s="117" t="e">
        <f t="shared" si="1651"/>
        <v>#DIV/0!</v>
      </c>
      <c r="BT534" s="241"/>
      <c r="BU534" s="117" t="e">
        <f t="shared" ref="BU534:BV534" si="1652">BU541/BU548*100</f>
        <v>#DIV/0!</v>
      </c>
      <c r="BV534" s="117" t="e">
        <f t="shared" si="1652"/>
        <v>#DIV/0!</v>
      </c>
      <c r="BW534" s="241"/>
      <c r="BX534" s="117" t="e">
        <f t="shared" ref="BX534:BY534" si="1653">BX541/BX548*100</f>
        <v>#DIV/0!</v>
      </c>
      <c r="BY534" s="117" t="e">
        <f t="shared" si="1653"/>
        <v>#DIV/0!</v>
      </c>
      <c r="CA534" s="117" t="e">
        <f t="shared" ref="CA534:CB534" si="1654">CA541/CA548*100</f>
        <v>#DIV/0!</v>
      </c>
      <c r="CB534" s="117" t="e">
        <f t="shared" si="1654"/>
        <v>#DIV/0!</v>
      </c>
      <c r="CC534" s="241"/>
      <c r="CD534" s="117" t="e">
        <f t="shared" ref="CD534:CE534" si="1655">CD541/CD548*100</f>
        <v>#DIV/0!</v>
      </c>
      <c r="CE534" s="117" t="e">
        <f t="shared" si="1655"/>
        <v>#DIV/0!</v>
      </c>
      <c r="CF534" s="241"/>
      <c r="CG534" s="117" t="e">
        <f t="shared" ref="CG534:CH534" si="1656">CG541/CG548*100</f>
        <v>#DIV/0!</v>
      </c>
      <c r="CH534" s="117" t="e">
        <f t="shared" si="1656"/>
        <v>#DIV/0!</v>
      </c>
      <c r="CJ534" s="117" t="e">
        <f t="shared" ref="CJ534:CK534" si="1657">CJ541/CJ548*100</f>
        <v>#DIV/0!</v>
      </c>
      <c r="CK534" s="117" t="e">
        <f t="shared" si="1657"/>
        <v>#DIV/0!</v>
      </c>
      <c r="CM534" s="117" t="e">
        <f t="shared" ref="CM534:CN534" si="1658">CM541/CM548*100</f>
        <v>#DIV/0!</v>
      </c>
      <c r="CN534" s="117" t="e">
        <f t="shared" si="1658"/>
        <v>#DIV/0!</v>
      </c>
      <c r="CP534" s="117" t="e">
        <f t="shared" ref="CP534:CQ534" si="1659">CP541/CP548*100</f>
        <v>#DIV/0!</v>
      </c>
      <c r="CQ534" s="117" t="e">
        <f t="shared" si="1659"/>
        <v>#DIV/0!</v>
      </c>
      <c r="DE534" s="117" t="e">
        <f t="shared" ref="DE534:DF534" si="1660">DE541/DE548*100</f>
        <v>#DIV/0!</v>
      </c>
      <c r="DF534" s="117" t="e">
        <f t="shared" si="1660"/>
        <v>#DIV/0!</v>
      </c>
    </row>
    <row r="535" spans="1:110" x14ac:dyDescent="0.25">
      <c r="A535" s="99"/>
      <c r="B535" s="70" t="s">
        <v>2080</v>
      </c>
      <c r="C535" s="87"/>
      <c r="D535" s="87"/>
      <c r="E535" s="87"/>
      <c r="F535" s="87"/>
      <c r="G535" s="87"/>
      <c r="H535" s="87"/>
      <c r="I535" s="87"/>
      <c r="J535" s="87"/>
      <c r="K535" s="87"/>
      <c r="L535" s="87"/>
    </row>
    <row r="536" spans="1:110" ht="30" x14ac:dyDescent="0.25">
      <c r="A536" s="99"/>
      <c r="B536" s="70" t="s">
        <v>1948</v>
      </c>
      <c r="C536" s="6" t="s">
        <v>2806</v>
      </c>
      <c r="D536" s="13" t="s">
        <v>8</v>
      </c>
      <c r="E536" s="87"/>
      <c r="F536" s="87"/>
      <c r="G536" s="87"/>
      <c r="H536" s="87"/>
      <c r="I536" s="87"/>
      <c r="J536" s="87"/>
      <c r="K536" s="87"/>
      <c r="L536" s="87"/>
    </row>
    <row r="537" spans="1:110" x14ac:dyDescent="0.25">
      <c r="A537" s="99"/>
      <c r="B537" s="70" t="s">
        <v>1182</v>
      </c>
      <c r="C537" s="87"/>
      <c r="D537" s="13" t="s">
        <v>8</v>
      </c>
      <c r="E537" s="87"/>
      <c r="F537" s="87"/>
      <c r="G537" s="87"/>
      <c r="H537" s="87"/>
      <c r="I537" s="137">
        <v>61</v>
      </c>
      <c r="J537" s="137">
        <v>60</v>
      </c>
      <c r="K537" s="137">
        <v>58</v>
      </c>
      <c r="L537" s="137"/>
      <c r="N537" s="241">
        <f>P537+S537+V537+Y537+AB537+AE537+AH537+AK537+AN537+AQ537+AW537+AZ537+BC537+BF537+BI537+BL537+BO537+BR537+BU537+BX537+CA537+CD537+CG537+CJ537+AT537+CM537+CP537</f>
        <v>58</v>
      </c>
      <c r="O537" s="241">
        <f>Q537+T537+W537+Z537+AC537+AF537+AI537+AL537+AO537+AR537+AX537+BA537+BD537+BG537+BJ537+BM537+BP537+BS537+BV537+BY537+CB537+CE537+CH537+CK537+AU537</f>
        <v>6</v>
      </c>
      <c r="P537">
        <v>5</v>
      </c>
      <c r="Q537">
        <v>6</v>
      </c>
      <c r="S537">
        <v>6</v>
      </c>
      <c r="V537">
        <v>2</v>
      </c>
      <c r="Y537">
        <v>12</v>
      </c>
      <c r="AB537">
        <v>0</v>
      </c>
      <c r="AE537">
        <v>2</v>
      </c>
      <c r="AH537">
        <v>1</v>
      </c>
      <c r="AK537">
        <v>1</v>
      </c>
      <c r="AN537">
        <v>0</v>
      </c>
      <c r="AQ537">
        <v>1</v>
      </c>
      <c r="AT537" s="241">
        <v>1</v>
      </c>
      <c r="AW537">
        <v>3</v>
      </c>
      <c r="AZ537">
        <v>4</v>
      </c>
      <c r="BC537">
        <v>2</v>
      </c>
      <c r="BF537">
        <v>0</v>
      </c>
      <c r="BI537">
        <v>0</v>
      </c>
      <c r="BL537">
        <v>5</v>
      </c>
      <c r="BO537">
        <v>1</v>
      </c>
      <c r="BR537">
        <v>3</v>
      </c>
      <c r="BU537">
        <v>1</v>
      </c>
      <c r="BX537">
        <v>2</v>
      </c>
      <c r="CA537">
        <v>2</v>
      </c>
      <c r="CD537">
        <v>0</v>
      </c>
      <c r="CG537">
        <v>4</v>
      </c>
      <c r="CJ537">
        <v>0</v>
      </c>
      <c r="CM537">
        <v>0</v>
      </c>
      <c r="CP537">
        <v>0</v>
      </c>
    </row>
    <row r="538" spans="1:110" x14ac:dyDescent="0.25">
      <c r="A538" s="99"/>
      <c r="B538" s="70" t="s">
        <v>1184</v>
      </c>
      <c r="C538" s="87"/>
      <c r="D538" s="87"/>
      <c r="E538" s="87"/>
      <c r="F538" s="87"/>
      <c r="G538" s="87"/>
      <c r="H538" s="87"/>
      <c r="I538" s="137">
        <v>1</v>
      </c>
      <c r="J538" s="137">
        <v>3</v>
      </c>
      <c r="K538" s="137">
        <v>5</v>
      </c>
      <c r="L538" s="137"/>
      <c r="N538" s="241">
        <f>P538+S538+V538+Y538+AB538+AE538+AH538+AK538+AN538+AQ538+AW538+AZ538+BC538+BF538+BI538+BL538+BO538+BR538+BU538+BX538+CA538+CD538+CG538+CJ538+AT538+CM538+CP538</f>
        <v>0</v>
      </c>
      <c r="O538" s="241">
        <f>Q538+T538+W538+Z538+AC538+AF538+AI538+AL538+AO538+AR538+AX538+BA538+BD538+BG538+BJ538+BM538+BP538+BS538+BV538+BY538+CB538+CE538+CH538+CK538+AU538</f>
        <v>0</v>
      </c>
    </row>
    <row r="539" spans="1:110" x14ac:dyDescent="0.25">
      <c r="A539" s="99"/>
      <c r="B539" s="70" t="s">
        <v>1949</v>
      </c>
      <c r="C539" s="87"/>
      <c r="D539" s="87"/>
      <c r="E539" s="87"/>
      <c r="F539" s="87"/>
      <c r="G539" s="87"/>
      <c r="H539" s="87"/>
      <c r="I539" s="137"/>
      <c r="J539" s="137"/>
      <c r="K539" s="137"/>
      <c r="L539" s="137"/>
    </row>
    <row r="540" spans="1:110" x14ac:dyDescent="0.25">
      <c r="A540" s="99"/>
      <c r="B540" s="70" t="s">
        <v>1182</v>
      </c>
      <c r="C540" s="87"/>
      <c r="D540" s="13" t="s">
        <v>8</v>
      </c>
      <c r="E540" s="87"/>
      <c r="F540" s="87"/>
      <c r="G540" s="87"/>
      <c r="H540" s="87"/>
      <c r="I540" s="137">
        <v>10</v>
      </c>
      <c r="J540" s="137">
        <v>13</v>
      </c>
      <c r="K540" s="137">
        <v>12</v>
      </c>
      <c r="L540" s="137"/>
      <c r="N540" s="241">
        <f>P540+S540+V540+Y540+AB540+AE540+AH540+AK540+AN540+AQ540+AW540+AZ540+BC540+BF540+BI540+BL540+BO540+BR540+BU540+BX540+CA540+CD540+CG540+CJ540+AT540+CM540+CP540</f>
        <v>12</v>
      </c>
      <c r="O540" s="241">
        <f>Q540+T540+W540+Z540+AC540+AF540+AI540+AL540+AO540+AR540+AX540+BA540+BD540+BG540+BJ540+BM540+BP540+BS540+BV540+BY540+CB540+CE540+CH540+CK540+AU540</f>
        <v>2</v>
      </c>
      <c r="P540">
        <v>2</v>
      </c>
      <c r="Q540">
        <v>2</v>
      </c>
      <c r="S540">
        <v>1</v>
      </c>
      <c r="V540">
        <v>0</v>
      </c>
      <c r="Y540">
        <v>2</v>
      </c>
      <c r="AB540">
        <v>0</v>
      </c>
      <c r="AE540">
        <v>0</v>
      </c>
      <c r="AH540">
        <v>1</v>
      </c>
      <c r="AK540">
        <v>0</v>
      </c>
      <c r="AN540">
        <v>0</v>
      </c>
      <c r="AQ540">
        <v>0</v>
      </c>
      <c r="AT540" s="241">
        <v>0</v>
      </c>
      <c r="AW540">
        <v>2</v>
      </c>
      <c r="AZ540">
        <v>0</v>
      </c>
      <c r="BC540">
        <v>0</v>
      </c>
      <c r="BF540">
        <v>0</v>
      </c>
      <c r="BI540">
        <v>0</v>
      </c>
      <c r="BL540">
        <v>0</v>
      </c>
      <c r="BO540">
        <v>0</v>
      </c>
      <c r="BR540">
        <v>0</v>
      </c>
      <c r="BU540">
        <v>0</v>
      </c>
      <c r="BX540">
        <v>2</v>
      </c>
      <c r="CA540">
        <v>1</v>
      </c>
      <c r="CD540">
        <v>0</v>
      </c>
      <c r="CG540">
        <v>1</v>
      </c>
      <c r="CJ540">
        <v>0</v>
      </c>
      <c r="CM540">
        <v>0</v>
      </c>
      <c r="CP540">
        <v>0</v>
      </c>
    </row>
    <row r="541" spans="1:110" x14ac:dyDescent="0.25">
      <c r="A541" s="99"/>
      <c r="B541" s="70" t="s">
        <v>1184</v>
      </c>
      <c r="C541" s="87"/>
      <c r="D541" s="13" t="s">
        <v>8</v>
      </c>
      <c r="E541" s="87"/>
      <c r="F541" s="87"/>
      <c r="G541" s="87"/>
      <c r="H541" s="87"/>
      <c r="I541" s="137">
        <v>0</v>
      </c>
      <c r="J541" s="137">
        <v>0</v>
      </c>
      <c r="K541" s="137">
        <v>0</v>
      </c>
      <c r="L541" s="137"/>
      <c r="N541" s="241">
        <f>P541+S541+V541+Y541+AB541+AE541+AH541+AK541+AN541+AQ541+AW541+AZ541+BC541+BF541+BI541+BL541+BO541+BR541+BU541+BX541+CA541+CD541+CG541+CJ541+AT541+CM541+CP541</f>
        <v>0</v>
      </c>
      <c r="O541" s="241">
        <f>Q541+T541+W541+Z541+AC541+AF541+AI541+AL541+AO541+AR541+AX541+BA541+BD541+BG541+BJ541+BM541+BP541+BS541+BV541+BY541+CB541+CE541+CH541+CK541+AU541</f>
        <v>0</v>
      </c>
    </row>
    <row r="542" spans="1:110" x14ac:dyDescent="0.25">
      <c r="A542" s="99"/>
      <c r="B542" s="70" t="s">
        <v>2081</v>
      </c>
      <c r="C542" s="87"/>
      <c r="D542" s="87"/>
      <c r="E542" s="87"/>
      <c r="F542" s="87"/>
      <c r="G542" s="87"/>
      <c r="H542" s="87"/>
      <c r="I542" s="137"/>
      <c r="J542" s="137"/>
      <c r="K542" s="137"/>
      <c r="L542" s="137"/>
    </row>
    <row r="543" spans="1:110" x14ac:dyDescent="0.25">
      <c r="A543" s="99"/>
      <c r="B543" s="70" t="s">
        <v>1948</v>
      </c>
      <c r="C543" s="87"/>
      <c r="D543" s="13"/>
      <c r="E543" s="87"/>
      <c r="F543" s="87"/>
      <c r="G543" s="87"/>
      <c r="H543" s="87"/>
      <c r="I543" s="137"/>
      <c r="J543" s="137"/>
      <c r="K543" s="137"/>
      <c r="L543" s="137"/>
    </row>
    <row r="544" spans="1:110" ht="30" x14ac:dyDescent="0.25">
      <c r="A544" s="99"/>
      <c r="B544" s="70" t="s">
        <v>1182</v>
      </c>
      <c r="C544" s="6" t="s">
        <v>2806</v>
      </c>
      <c r="D544" s="13" t="s">
        <v>8</v>
      </c>
      <c r="E544" s="87"/>
      <c r="F544" s="87"/>
      <c r="G544" s="87"/>
      <c r="H544" s="87"/>
      <c r="I544" s="137">
        <v>96</v>
      </c>
      <c r="J544" s="137">
        <v>90</v>
      </c>
      <c r="K544" s="137">
        <v>81</v>
      </c>
      <c r="L544" s="137"/>
      <c r="N544" s="241">
        <f>P544+S544+V544+Y544+AB544+AE544+AH544+AK544+AN544+AQ544+AW544+AZ544+BC544+BF544+BI544+BL544+BO544+BR544+BU544+BX544+CA544+CD544+CG544+CJ544+AT544+CM544+CP544</f>
        <v>81</v>
      </c>
      <c r="O544" s="241">
        <f>Q544+T544+W544+Z544+AC544+AF544+AI544+AL544+AO544+AR544+AX544+BA544+BD544+BG544+BJ544+BM544+BP544+BS544+BV544+BY544+CB544+CE544+CH544+CK544+AU544</f>
        <v>6</v>
      </c>
      <c r="P544">
        <v>5</v>
      </c>
      <c r="Q544">
        <v>6</v>
      </c>
      <c r="S544">
        <v>9</v>
      </c>
      <c r="V544">
        <v>2</v>
      </c>
      <c r="Y544">
        <v>12</v>
      </c>
      <c r="AB544">
        <v>2</v>
      </c>
      <c r="AE544">
        <v>2</v>
      </c>
      <c r="AH544">
        <v>1</v>
      </c>
      <c r="AK544">
        <v>3</v>
      </c>
      <c r="AN544">
        <v>0</v>
      </c>
      <c r="AQ544">
        <v>4</v>
      </c>
      <c r="AT544" s="241">
        <v>1</v>
      </c>
      <c r="AW544">
        <v>4</v>
      </c>
      <c r="AZ544">
        <v>4</v>
      </c>
      <c r="BC544">
        <v>2</v>
      </c>
      <c r="BF544">
        <v>3</v>
      </c>
      <c r="BI544">
        <v>5</v>
      </c>
      <c r="BL544">
        <v>7</v>
      </c>
      <c r="BO544">
        <v>1</v>
      </c>
      <c r="BR544">
        <v>3</v>
      </c>
      <c r="BU544">
        <v>1</v>
      </c>
      <c r="BX544">
        <v>2</v>
      </c>
      <c r="CA544">
        <v>3</v>
      </c>
      <c r="CD544">
        <v>0</v>
      </c>
      <c r="CG544">
        <v>4</v>
      </c>
      <c r="CJ544">
        <v>0</v>
      </c>
      <c r="CM544">
        <v>0</v>
      </c>
      <c r="CP544">
        <v>1</v>
      </c>
    </row>
    <row r="545" spans="1:94" x14ac:dyDescent="0.25">
      <c r="A545" s="99"/>
      <c r="B545" s="70" t="s">
        <v>1184</v>
      </c>
      <c r="C545" s="87"/>
      <c r="D545" s="13" t="s">
        <v>8</v>
      </c>
      <c r="E545" s="87"/>
      <c r="F545" s="87"/>
      <c r="G545" s="87"/>
      <c r="H545" s="87"/>
      <c r="I545" s="137">
        <v>1</v>
      </c>
      <c r="J545" s="137">
        <v>3</v>
      </c>
      <c r="K545" s="137">
        <v>5</v>
      </c>
      <c r="L545" s="137"/>
      <c r="N545" s="241">
        <f>P545+S545+V545+Y545+AB545+AE545+AH545+AK545+AN545+AQ545+AW545+AZ545+BC545+BF545+BI545+BL545+BO545+BR545+BU545+BX545+CA545+CD545+CG545+CJ545+AT545+CM545+CP545</f>
        <v>0</v>
      </c>
      <c r="O545" s="241">
        <f>Q545+T545+W545+Z545+AC545+AF545+AI545+AL545+AO545+AR545+AX545+BA545+BD545+BG545+BJ545+BM545+BP545+BS545+BV545+BY545+CB545+CE545+CH545+CK545+AU545</f>
        <v>0</v>
      </c>
    </row>
    <row r="546" spans="1:94" x14ac:dyDescent="0.25">
      <c r="A546" s="99"/>
      <c r="B546" s="70" t="s">
        <v>1949</v>
      </c>
      <c r="C546" s="87"/>
      <c r="D546" s="13"/>
      <c r="E546" s="87"/>
      <c r="F546" s="87"/>
      <c r="G546" s="87"/>
      <c r="H546" s="87"/>
      <c r="I546" s="137"/>
      <c r="J546" s="137"/>
      <c r="K546" s="137"/>
      <c r="L546" s="137"/>
    </row>
    <row r="547" spans="1:94" x14ac:dyDescent="0.25">
      <c r="A547" s="99"/>
      <c r="B547" s="70" t="s">
        <v>1182</v>
      </c>
      <c r="C547" s="87"/>
      <c r="D547" s="13" t="s">
        <v>8</v>
      </c>
      <c r="E547" s="87"/>
      <c r="F547" s="87"/>
      <c r="G547" s="87"/>
      <c r="H547" s="87"/>
      <c r="I547" s="137">
        <v>17</v>
      </c>
      <c r="J547" s="137">
        <v>21</v>
      </c>
      <c r="K547" s="137">
        <v>23</v>
      </c>
      <c r="L547" s="137"/>
      <c r="N547" s="241">
        <f>P547+S547+V547+Y547+AB547+AE547+AH547+AK547+AN547+AQ547+AW547+AZ547+BC547+BF547+BI547+BL547+BO547+BR547+BU547+BX547+CA547+CD547+CG547+CJ547+AT547+CM547+CP547</f>
        <v>23</v>
      </c>
      <c r="O547" s="241">
        <f>Q547+T547+W547+Z547+AC547+AF547+AI547+AL547+AO547+AR547+AX547+BA547+BD547+BG547+BJ547+BM547+BP547+BS547+BV547+BY547+CB547+CE547+CH547+CK547+AU547</f>
        <v>2</v>
      </c>
      <c r="P547">
        <v>2</v>
      </c>
      <c r="Q547">
        <v>2</v>
      </c>
      <c r="S547">
        <v>7</v>
      </c>
      <c r="V547">
        <v>0</v>
      </c>
      <c r="Y547">
        <v>2</v>
      </c>
      <c r="AB547">
        <v>3</v>
      </c>
      <c r="AE547">
        <v>0</v>
      </c>
      <c r="AH547">
        <v>1</v>
      </c>
      <c r="AK547">
        <v>0</v>
      </c>
      <c r="AN547">
        <v>0</v>
      </c>
      <c r="AQ547">
        <v>0</v>
      </c>
      <c r="AT547" s="241">
        <v>0</v>
      </c>
      <c r="AW547">
        <v>2</v>
      </c>
      <c r="AZ547">
        <v>0</v>
      </c>
      <c r="BC547">
        <v>0</v>
      </c>
      <c r="BF547">
        <v>1</v>
      </c>
      <c r="BI547">
        <v>1</v>
      </c>
      <c r="BL547">
        <v>0</v>
      </c>
      <c r="BO547">
        <v>0</v>
      </c>
      <c r="BR547">
        <v>0</v>
      </c>
      <c r="BU547">
        <v>0</v>
      </c>
      <c r="BX547">
        <v>2</v>
      </c>
      <c r="CA547">
        <v>1</v>
      </c>
      <c r="CD547">
        <v>0</v>
      </c>
      <c r="CG547">
        <v>1</v>
      </c>
      <c r="CJ547">
        <v>0</v>
      </c>
      <c r="CM547">
        <v>0</v>
      </c>
      <c r="CP547">
        <v>0</v>
      </c>
    </row>
    <row r="548" spans="1:94" x14ac:dyDescent="0.25">
      <c r="A548" s="99"/>
      <c r="B548" s="70" t="s">
        <v>1184</v>
      </c>
      <c r="C548" s="87"/>
      <c r="D548" s="13" t="s">
        <v>8</v>
      </c>
      <c r="E548" s="87"/>
      <c r="F548" s="87"/>
      <c r="G548" s="87"/>
      <c r="H548" s="87"/>
      <c r="I548" s="137">
        <v>0</v>
      </c>
      <c r="J548" s="137">
        <v>0</v>
      </c>
      <c r="K548" s="137">
        <v>0</v>
      </c>
      <c r="L548" s="137"/>
      <c r="N548" s="241">
        <f>P548+S548+V548+Y548+AB548+AE548+AH548+AK548+AN548+AQ548+AW548+AZ548+BC548+BF548+BI548+BL548+BO548+BR548+BU548+BX548+CA548+CD548+CG548+CJ548+AT548+CM548+CP548</f>
        <v>0</v>
      </c>
      <c r="O548" s="241">
        <f>Q548+T548+W548+Z548+AC548+AF548+AI548+AL548+AO548+AR548+AX548+BA548+BD548+BG548+BJ548+BM548+BP548+BS548+BV548+BY548+CB548+CE548+CH548+CK548+AU548</f>
        <v>0</v>
      </c>
    </row>
    <row r="549" spans="1:94" ht="60" hidden="1" x14ac:dyDescent="0.25">
      <c r="A549" s="150" t="s">
        <v>490</v>
      </c>
      <c r="B549" s="135" t="s">
        <v>1966</v>
      </c>
      <c r="C549" s="158"/>
      <c r="D549" s="150"/>
      <c r="E549" s="159"/>
      <c r="F549" s="159"/>
      <c r="G549" s="159"/>
      <c r="H549" s="159"/>
      <c r="I549" s="159"/>
      <c r="J549" s="159"/>
      <c r="K549" s="159"/>
      <c r="L549" s="159"/>
      <c r="M549" s="3" t="s">
        <v>281</v>
      </c>
    </row>
    <row r="550" spans="1:94" hidden="1" x14ac:dyDescent="0.25">
      <c r="A550" s="169"/>
      <c r="B550" s="135" t="s">
        <v>1182</v>
      </c>
      <c r="C550" s="158"/>
      <c r="D550" s="150" t="s">
        <v>8</v>
      </c>
      <c r="E550" s="164">
        <v>50</v>
      </c>
      <c r="F550" s="164">
        <v>53.57</v>
      </c>
      <c r="G550" s="164">
        <v>48.15</v>
      </c>
      <c r="H550" s="164">
        <v>73.08</v>
      </c>
      <c r="I550" s="164"/>
      <c r="J550" s="164"/>
      <c r="K550" s="164"/>
      <c r="L550" s="164"/>
      <c r="M550" s="3"/>
    </row>
    <row r="551" spans="1:94" hidden="1" x14ac:dyDescent="0.25">
      <c r="A551" s="169"/>
      <c r="B551" s="135" t="s">
        <v>1184</v>
      </c>
      <c r="C551" s="158"/>
      <c r="D551" s="150" t="s">
        <v>8</v>
      </c>
      <c r="E551" s="164">
        <v>100</v>
      </c>
      <c r="F551" s="164">
        <v>100</v>
      </c>
      <c r="G551" s="164">
        <v>0</v>
      </c>
      <c r="H551" s="164">
        <v>100</v>
      </c>
      <c r="I551" s="164"/>
      <c r="J551" s="164"/>
      <c r="K551" s="164"/>
      <c r="L551" s="164"/>
      <c r="M551" s="3"/>
    </row>
    <row r="552" spans="1:94" ht="61.5" hidden="1" customHeight="1" x14ac:dyDescent="0.25">
      <c r="A552" s="419"/>
      <c r="B552" s="419" t="s">
        <v>491</v>
      </c>
      <c r="C552" s="6" t="s">
        <v>492</v>
      </c>
      <c r="D552" s="6" t="s">
        <v>1112</v>
      </c>
      <c r="E552" s="12"/>
      <c r="F552" s="12"/>
      <c r="G552" s="12"/>
      <c r="H552" s="12"/>
      <c r="I552" s="12"/>
      <c r="J552" s="12"/>
      <c r="K552" s="12"/>
      <c r="L552" s="12"/>
      <c r="M552" s="20"/>
    </row>
    <row r="553" spans="1:94" ht="61.5" hidden="1" customHeight="1" x14ac:dyDescent="0.25">
      <c r="A553" s="421"/>
      <c r="B553" s="421"/>
      <c r="C553" s="6" t="s">
        <v>1180</v>
      </c>
      <c r="D553" s="6" t="s">
        <v>1112</v>
      </c>
      <c r="E553" s="12"/>
      <c r="F553" s="12"/>
      <c r="G553" s="12"/>
      <c r="H553" s="12"/>
      <c r="I553" s="12"/>
      <c r="J553" s="12"/>
      <c r="K553" s="12"/>
      <c r="L553" s="12"/>
    </row>
    <row r="554" spans="1:94" ht="30" hidden="1" x14ac:dyDescent="0.25">
      <c r="A554" s="419"/>
      <c r="B554" s="419" t="s">
        <v>493</v>
      </c>
      <c r="C554" s="6" t="s">
        <v>494</v>
      </c>
      <c r="D554" s="6" t="s">
        <v>1112</v>
      </c>
      <c r="E554" s="12"/>
      <c r="F554" s="12"/>
      <c r="G554" s="12"/>
      <c r="H554" s="12"/>
      <c r="I554" s="12"/>
      <c r="J554" s="12"/>
      <c r="K554" s="12"/>
      <c r="L554" s="12"/>
      <c r="M554" s="20"/>
    </row>
    <row r="555" spans="1:94" ht="30" hidden="1" x14ac:dyDescent="0.25">
      <c r="A555" s="421"/>
      <c r="B555" s="421"/>
      <c r="C555" s="6" t="s">
        <v>495</v>
      </c>
      <c r="D555" s="6" t="s">
        <v>1112</v>
      </c>
      <c r="E555" s="12"/>
      <c r="F555" s="12"/>
      <c r="G555" s="12"/>
      <c r="H555" s="12"/>
      <c r="I555" s="12"/>
      <c r="J555" s="12"/>
      <c r="K555" s="12"/>
      <c r="L555" s="12"/>
    </row>
    <row r="556" spans="1:94" ht="45" hidden="1" x14ac:dyDescent="0.25">
      <c r="A556" s="150" t="s">
        <v>496</v>
      </c>
      <c r="B556" s="51" t="s">
        <v>497</v>
      </c>
      <c r="C556" s="158"/>
      <c r="D556" s="150"/>
      <c r="E556" s="159"/>
      <c r="F556" s="159"/>
      <c r="G556" s="159"/>
      <c r="H556" s="159"/>
      <c r="I556" s="159"/>
      <c r="J556" s="159"/>
      <c r="K556" s="159"/>
      <c r="L556" s="159"/>
      <c r="M556" s="3"/>
    </row>
    <row r="557" spans="1:94" ht="60" hidden="1" x14ac:dyDescent="0.25">
      <c r="A557" s="150"/>
      <c r="B557" s="51" t="s">
        <v>498</v>
      </c>
      <c r="C557" s="158"/>
      <c r="D557" s="150" t="s">
        <v>8</v>
      </c>
      <c r="E557" s="164">
        <v>1.27</v>
      </c>
      <c r="F557" s="164">
        <v>1.86</v>
      </c>
      <c r="G557" s="164">
        <v>1.76</v>
      </c>
      <c r="H557" s="164">
        <v>1</v>
      </c>
      <c r="I557" s="164"/>
      <c r="J557" s="164"/>
      <c r="K557" s="164"/>
      <c r="L557" s="164"/>
      <c r="M557" s="3" t="s">
        <v>281</v>
      </c>
    </row>
    <row r="558" spans="1:94" ht="30" hidden="1" x14ac:dyDescent="0.25">
      <c r="A558" s="419"/>
      <c r="B558" s="419" t="s">
        <v>499</v>
      </c>
      <c r="C558" s="6" t="s">
        <v>500</v>
      </c>
      <c r="D558" s="6" t="s">
        <v>950</v>
      </c>
      <c r="E558" s="12"/>
      <c r="F558" s="12"/>
      <c r="G558" s="12"/>
      <c r="H558" s="12"/>
      <c r="I558" s="12"/>
      <c r="J558" s="12"/>
      <c r="K558" s="12"/>
      <c r="L558" s="12"/>
      <c r="M558" s="3"/>
    </row>
    <row r="559" spans="1:94" ht="30" hidden="1" x14ac:dyDescent="0.25">
      <c r="A559" s="420"/>
      <c r="B559" s="420"/>
      <c r="C559" s="6" t="s">
        <v>501</v>
      </c>
      <c r="D559" s="6" t="s">
        <v>950</v>
      </c>
      <c r="E559" s="12"/>
      <c r="F559" s="12"/>
      <c r="G559" s="12"/>
      <c r="H559" s="12"/>
      <c r="I559" s="12"/>
      <c r="J559" s="12"/>
      <c r="K559" s="12"/>
      <c r="L559" s="12"/>
      <c r="M559" s="3"/>
    </row>
    <row r="560" spans="1:94" ht="45" hidden="1" x14ac:dyDescent="0.25">
      <c r="A560" s="420"/>
      <c r="B560" s="420"/>
      <c r="C560" s="6" t="s">
        <v>502</v>
      </c>
      <c r="D560" s="6" t="s">
        <v>950</v>
      </c>
      <c r="E560" s="12"/>
      <c r="F560" s="12"/>
      <c r="G560" s="12"/>
      <c r="H560" s="12"/>
      <c r="I560" s="12"/>
      <c r="J560" s="12"/>
      <c r="K560" s="12"/>
      <c r="L560" s="12"/>
      <c r="M560" s="3"/>
    </row>
    <row r="561" spans="1:110" ht="45" hidden="1" x14ac:dyDescent="0.25">
      <c r="A561" s="421"/>
      <c r="B561" s="421"/>
      <c r="C561" s="6" t="s">
        <v>503</v>
      </c>
      <c r="D561" s="6" t="s">
        <v>950</v>
      </c>
      <c r="E561" s="12"/>
      <c r="F561" s="12"/>
      <c r="G561" s="12"/>
      <c r="H561" s="12"/>
      <c r="I561" s="12"/>
      <c r="J561" s="12"/>
      <c r="K561" s="12"/>
      <c r="L561" s="12"/>
      <c r="M561" s="3"/>
    </row>
    <row r="562" spans="1:110" ht="45" hidden="1" x14ac:dyDescent="0.25">
      <c r="A562" s="419"/>
      <c r="B562" s="419" t="s">
        <v>325</v>
      </c>
      <c r="C562" s="6" t="s">
        <v>326</v>
      </c>
      <c r="D562" s="6" t="s">
        <v>950</v>
      </c>
      <c r="E562" s="12"/>
      <c r="F562" s="12"/>
      <c r="G562" s="12"/>
      <c r="H562" s="12"/>
      <c r="I562" s="12"/>
      <c r="J562" s="12"/>
      <c r="K562" s="12"/>
      <c r="L562" s="12"/>
      <c r="M562" s="3"/>
    </row>
    <row r="563" spans="1:110" ht="30" hidden="1" x14ac:dyDescent="0.25">
      <c r="A563" s="421"/>
      <c r="B563" s="421"/>
      <c r="C563" s="6" t="s">
        <v>327</v>
      </c>
      <c r="D563" s="6" t="s">
        <v>950</v>
      </c>
      <c r="E563" s="12"/>
      <c r="F563" s="12"/>
      <c r="G563" s="12"/>
      <c r="H563" s="12"/>
      <c r="I563" s="12"/>
      <c r="J563" s="12"/>
      <c r="K563" s="12"/>
      <c r="L563" s="12"/>
      <c r="M563" s="3"/>
    </row>
    <row r="564" spans="1:110" hidden="1" x14ac:dyDescent="0.25">
      <c r="A564" s="163"/>
      <c r="B564" s="135" t="s">
        <v>1128</v>
      </c>
      <c r="C564" s="150"/>
      <c r="D564" s="150" t="s">
        <v>8</v>
      </c>
      <c r="E564" s="159" t="s">
        <v>1412</v>
      </c>
      <c r="F564" s="164">
        <v>0.69</v>
      </c>
      <c r="G564" s="164">
        <v>0.9</v>
      </c>
      <c r="H564" s="164">
        <v>1.03</v>
      </c>
      <c r="I564" s="164"/>
      <c r="J564" s="164"/>
      <c r="K564" s="164"/>
      <c r="L564" s="164"/>
      <c r="M564" s="3"/>
    </row>
    <row r="565" spans="1:110" ht="45" x14ac:dyDescent="0.25">
      <c r="A565" s="42" t="s">
        <v>511</v>
      </c>
      <c r="B565" s="43" t="s">
        <v>504</v>
      </c>
      <c r="C565" s="42"/>
      <c r="D565" s="42"/>
      <c r="E565" s="49"/>
      <c r="F565" s="49"/>
      <c r="G565" s="49"/>
      <c r="H565" s="49"/>
      <c r="I565" s="49"/>
      <c r="J565" s="49"/>
      <c r="K565" s="49"/>
      <c r="L565" s="49"/>
      <c r="M565" s="3"/>
    </row>
    <row r="566" spans="1:110" x14ac:dyDescent="0.25">
      <c r="A566" s="55"/>
      <c r="B566" s="46" t="s">
        <v>1182</v>
      </c>
      <c r="C566" s="42"/>
      <c r="D566" s="42"/>
      <c r="E566" s="49"/>
      <c r="F566" s="49"/>
      <c r="G566" s="49"/>
      <c r="H566" s="49"/>
      <c r="I566" s="49"/>
      <c r="J566" s="49"/>
      <c r="K566" s="49"/>
      <c r="L566" s="49"/>
      <c r="M566" s="3"/>
    </row>
    <row r="567" spans="1:110" x14ac:dyDescent="0.25">
      <c r="A567" s="55"/>
      <c r="B567" s="46" t="s">
        <v>2002</v>
      </c>
      <c r="C567" s="42"/>
      <c r="D567" s="42"/>
      <c r="E567" s="49"/>
      <c r="F567" s="49"/>
      <c r="G567" s="49"/>
      <c r="H567" s="49"/>
      <c r="I567" s="45">
        <f>I575/$I$578*100</f>
        <v>0.33603405145054699</v>
      </c>
      <c r="J567" s="45">
        <f>J575/$J$578*100</f>
        <v>0.45911995886285173</v>
      </c>
      <c r="K567" s="45">
        <f>K575/$K$578*100</f>
        <v>0.35494934992422428</v>
      </c>
      <c r="L567" s="45" t="e">
        <f>L575/$L$578*100</f>
        <v>#DIV/0!</v>
      </c>
      <c r="M567" s="3"/>
      <c r="N567" s="45">
        <f>N575/N578*100</f>
        <v>0.23131530669219114</v>
      </c>
      <c r="O567" s="45" t="e">
        <f>O575/O578*100</f>
        <v>#DIV/0!</v>
      </c>
      <c r="P567" s="45">
        <f>P575/P578*100</f>
        <v>4.3715846994535523</v>
      </c>
      <c r="Q567" s="45" t="e">
        <f>Q575/Q578*100</f>
        <v>#DIV/0!</v>
      </c>
      <c r="S567" s="45">
        <f>S575/S578*100</f>
        <v>0</v>
      </c>
      <c r="T567" s="45" t="e">
        <f>T575/T578*100</f>
        <v>#DIV/0!</v>
      </c>
      <c r="V567" s="45">
        <f>V575/V578*100</f>
        <v>0</v>
      </c>
      <c r="W567" s="45" t="e">
        <f>W575/W578*100</f>
        <v>#DIV/0!</v>
      </c>
      <c r="Y567" s="45">
        <f>Y575/Y578*100</f>
        <v>0.60836501901140683</v>
      </c>
      <c r="Z567" s="45" t="e">
        <f>Z575/Z578*100</f>
        <v>#DIV/0!</v>
      </c>
      <c r="AA567" s="241"/>
      <c r="AB567" s="45">
        <f>AB575/AB578*100</f>
        <v>0.30674846625766872</v>
      </c>
      <c r="AC567" s="45" t="e">
        <f>AC575/AC578*100</f>
        <v>#DIV/0!</v>
      </c>
      <c r="AD567" s="241"/>
      <c r="AE567" s="45">
        <f>AE575/AE578*100</f>
        <v>0</v>
      </c>
      <c r="AF567" s="45" t="e">
        <f>AF575/AF578*100</f>
        <v>#DIV/0!</v>
      </c>
      <c r="AH567" s="45">
        <f>AH575/AH578*100</f>
        <v>0.6097560975609756</v>
      </c>
      <c r="AI567" s="45" t="e">
        <f>AI575/AI578*100</f>
        <v>#DIV/0!</v>
      </c>
      <c r="AJ567" s="241"/>
      <c r="AK567" s="45">
        <f>AK575/AK578*100</f>
        <v>0.65530799475753598</v>
      </c>
      <c r="AL567" s="45" t="e">
        <f>AL575/AL578*100</f>
        <v>#DIV/0!</v>
      </c>
      <c r="AM567" s="241"/>
      <c r="AN567" s="45">
        <f>AN575/AN578*100</f>
        <v>0</v>
      </c>
      <c r="AO567" s="45" t="e">
        <f>AO575/AO578*100</f>
        <v>#DIV/0!</v>
      </c>
      <c r="AQ567" s="45">
        <f>AQ575/AQ578*100</f>
        <v>0</v>
      </c>
      <c r="AR567" s="45" t="e">
        <f>AR575/AR578*100</f>
        <v>#DIV/0!</v>
      </c>
      <c r="AS567" s="241"/>
      <c r="AT567" s="45">
        <f>AT575/AT578*100</f>
        <v>0</v>
      </c>
      <c r="AU567" s="45" t="e">
        <f>AU575/AU578*100</f>
        <v>#DIV/0!</v>
      </c>
      <c r="AW567" s="45">
        <f>AW575/AW578*100</f>
        <v>0</v>
      </c>
      <c r="AX567" s="45" t="e">
        <f>AX575/AX578*100</f>
        <v>#DIV/0!</v>
      </c>
      <c r="AZ567" s="45">
        <f>AZ575/AZ578*100</f>
        <v>0</v>
      </c>
      <c r="BA567" s="45" t="e">
        <f>BA575/BA578*100</f>
        <v>#DIV/0!</v>
      </c>
      <c r="BB567" s="241"/>
      <c r="BC567" s="45">
        <f>BC575/BC578*100</f>
        <v>5.9808612440191387E-2</v>
      </c>
      <c r="BD567" s="45" t="e">
        <f>BD575/BD578*100</f>
        <v>#DIV/0!</v>
      </c>
      <c r="BE567" s="241"/>
      <c r="BF567" s="45">
        <f>BF575/BF578*100</f>
        <v>0</v>
      </c>
      <c r="BG567" s="45" t="e">
        <f>BG575/BG578*100</f>
        <v>#DIV/0!</v>
      </c>
      <c r="BI567" s="45">
        <f>BI575/BI578*100</f>
        <v>0.37974683544303794</v>
      </c>
      <c r="BJ567" s="45" t="e">
        <f>BJ575/BJ578*100</f>
        <v>#DIV/0!</v>
      </c>
      <c r="BK567" s="241"/>
      <c r="BL567" s="45">
        <f>BL575/BL578*100</f>
        <v>0.54127198917456021</v>
      </c>
      <c r="BM567" s="45" t="e">
        <f>BM575/BM578*100</f>
        <v>#DIV/0!</v>
      </c>
      <c r="BN567" s="241"/>
      <c r="BO567" s="45">
        <f>BO575/BO578*100</f>
        <v>0</v>
      </c>
      <c r="BP567" s="45" t="e">
        <f>BP575/BP578*100</f>
        <v>#DIV/0!</v>
      </c>
      <c r="BR567" s="45">
        <f>BR575/BR578*100</f>
        <v>0.6696428571428571</v>
      </c>
      <c r="BS567" s="45" t="e">
        <f>BS575/BS578*100</f>
        <v>#DIV/0!</v>
      </c>
      <c r="BT567" s="241"/>
      <c r="BU567" s="45">
        <f>BU575/BU578*100</f>
        <v>0.14619883040935672</v>
      </c>
      <c r="BV567" s="45" t="e">
        <f>BV575/BV578*100</f>
        <v>#DIV/0!</v>
      </c>
      <c r="BW567" s="241"/>
      <c r="BX567" s="45">
        <f>BX575/BX578*100</f>
        <v>1.4736842105263157</v>
      </c>
      <c r="BY567" s="45" t="e">
        <f>BY575/BY578*100</f>
        <v>#DIV/0!</v>
      </c>
      <c r="CA567" s="45">
        <f>CA575/CA578*100</f>
        <v>0.21505376344086022</v>
      </c>
      <c r="CB567" s="45" t="e">
        <f>CB575/CB578*100</f>
        <v>#DIV/0!</v>
      </c>
      <c r="CC567" s="241"/>
      <c r="CD567" s="45">
        <f>CD575/CD578*100</f>
        <v>0.41666666666666669</v>
      </c>
      <c r="CE567" s="45" t="e">
        <f>CE575/CE578*100</f>
        <v>#DIV/0!</v>
      </c>
      <c r="CF567" s="241"/>
      <c r="CG567" s="45">
        <f>CG575/CG578*100</f>
        <v>0.48134777376654636</v>
      </c>
      <c r="CH567" s="45" t="e">
        <f>CH575/CH578*100</f>
        <v>#DIV/0!</v>
      </c>
      <c r="CJ567" s="45">
        <f>CJ575/CJ578*100</f>
        <v>0</v>
      </c>
      <c r="CK567" s="45" t="e">
        <f>CK575/CK578*100</f>
        <v>#DIV/0!</v>
      </c>
      <c r="CL567" s="241"/>
      <c r="CM567" s="45" t="e">
        <f>CM575/CM578*100</f>
        <v>#DIV/0!</v>
      </c>
      <c r="CN567" s="45" t="e">
        <f>CN575/CN578*100</f>
        <v>#DIV/0!</v>
      </c>
      <c r="CO567" s="241"/>
      <c r="CP567" s="45" t="e">
        <f>CP575/CP578*100</f>
        <v>#DIV/0!</v>
      </c>
      <c r="CQ567" s="45" t="e">
        <f>CQ575/CQ578*100</f>
        <v>#DIV/0!</v>
      </c>
      <c r="CS567" s="45">
        <f>CS575/CS578*100</f>
        <v>0</v>
      </c>
      <c r="CT567" s="45" t="e">
        <f>CT575/CT578*100</f>
        <v>#DIV/0!</v>
      </c>
      <c r="CU567" s="241"/>
      <c r="CV567" s="45">
        <f>CV575/CV578*100</f>
        <v>0</v>
      </c>
      <c r="CW567" s="45" t="e">
        <f>CW575/CW578*100</f>
        <v>#DIV/0!</v>
      </c>
      <c r="CX567" s="241"/>
      <c r="CY567" s="45">
        <f>CY575/CY578*100</f>
        <v>0</v>
      </c>
      <c r="CZ567" s="45" t="e">
        <f>CZ575/CZ578*100</f>
        <v>#DIV/0!</v>
      </c>
      <c r="DB567" s="45">
        <f>DB575/DB578*100</f>
        <v>0</v>
      </c>
      <c r="DC567" s="45" t="e">
        <f>DC575/DC578*100</f>
        <v>#DIV/0!</v>
      </c>
      <c r="DD567" s="241"/>
      <c r="DE567" s="45" t="e">
        <f>DE575/DE578*100</f>
        <v>#DIV/0!</v>
      </c>
      <c r="DF567" s="45" t="e">
        <f>DF575/DF578*100</f>
        <v>#DIV/0!</v>
      </c>
    </row>
    <row r="568" spans="1:110" x14ac:dyDescent="0.25">
      <c r="A568" s="55"/>
      <c r="B568" s="46" t="s">
        <v>2003</v>
      </c>
      <c r="C568" s="42"/>
      <c r="D568" s="42"/>
      <c r="E568" s="49"/>
      <c r="F568" s="49"/>
      <c r="G568" s="49"/>
      <c r="H568" s="49"/>
      <c r="I568" s="45">
        <f>I576/$I$578*100</f>
        <v>0.32483291640219542</v>
      </c>
      <c r="J568" s="45">
        <f>J576/$J$578*100</f>
        <v>0.43340924116653201</v>
      </c>
      <c r="K568" s="45">
        <f>K576/$K$578*100</f>
        <v>0.29911462072266093</v>
      </c>
      <c r="L568" s="45" t="e">
        <f>L576/$L$578*100</f>
        <v>#DIV/0!</v>
      </c>
      <c r="M568" s="3"/>
      <c r="N568" s="45">
        <f>N576/N578*100</f>
        <v>0.17946877243359655</v>
      </c>
      <c r="O568" s="45" t="e">
        <f>O576/O578*100</f>
        <v>#DIV/0!</v>
      </c>
      <c r="P568" s="45">
        <f>P576/P578*100</f>
        <v>4.3715846994535523</v>
      </c>
      <c r="Q568" s="45" t="e">
        <f>Q576/Q578*100</f>
        <v>#DIV/0!</v>
      </c>
      <c r="S568" s="45">
        <f>S576/S578*100</f>
        <v>0</v>
      </c>
      <c r="T568" s="45" t="e">
        <f>T576/T578*100</f>
        <v>#DIV/0!</v>
      </c>
      <c r="V568" s="45">
        <f>V576/V578*100</f>
        <v>0</v>
      </c>
      <c r="W568" s="45" t="e">
        <f>W576/W578*100</f>
        <v>#DIV/0!</v>
      </c>
      <c r="Y568" s="45">
        <f>Y576/Y578*100</f>
        <v>0.45627376425855515</v>
      </c>
      <c r="Z568" s="45" t="e">
        <f>Z576/Z578*100</f>
        <v>#DIV/0!</v>
      </c>
      <c r="AA568" s="241"/>
      <c r="AB568" s="45">
        <f>AB576/AB578*100</f>
        <v>0.30674846625766872</v>
      </c>
      <c r="AC568" s="45" t="e">
        <f>AC576/AC578*100</f>
        <v>#DIV/0!</v>
      </c>
      <c r="AD568" s="241"/>
      <c r="AE568" s="45">
        <f>AE576/AE578*100</f>
        <v>0</v>
      </c>
      <c r="AF568" s="45" t="e">
        <f>AF576/AF578*100</f>
        <v>#DIV/0!</v>
      </c>
      <c r="AH568" s="45">
        <f>AH576/AH578*100</f>
        <v>0.6097560975609756</v>
      </c>
      <c r="AI568" s="45" t="e">
        <f>AI576/AI578*100</f>
        <v>#DIV/0!</v>
      </c>
      <c r="AJ568" s="241"/>
      <c r="AK568" s="45">
        <f>AK576/AK578*100</f>
        <v>0.52424639580602883</v>
      </c>
      <c r="AL568" s="45" t="e">
        <f>AL576/AL578*100</f>
        <v>#DIV/0!</v>
      </c>
      <c r="AM568" s="241"/>
      <c r="AN568" s="45">
        <f>AN576/AN578*100</f>
        <v>0</v>
      </c>
      <c r="AO568" s="45" t="e">
        <f>AO576/AO578*100</f>
        <v>#DIV/0!</v>
      </c>
      <c r="AQ568" s="45">
        <f>AQ576/AQ578*100</f>
        <v>0</v>
      </c>
      <c r="AR568" s="45" t="e">
        <f>AR576/AR578*100</f>
        <v>#DIV/0!</v>
      </c>
      <c r="AS568" s="241"/>
      <c r="AT568" s="45">
        <f>AT576/AT578*100</f>
        <v>0</v>
      </c>
      <c r="AU568" s="45" t="e">
        <f>AU576/AU578*100</f>
        <v>#DIV/0!</v>
      </c>
      <c r="AW568" s="45">
        <f>AW576/AW578*100</f>
        <v>0</v>
      </c>
      <c r="AX568" s="45" t="e">
        <f>AX576/AX578*100</f>
        <v>#DIV/0!</v>
      </c>
      <c r="AZ568" s="45">
        <f>AZ576/AZ578*100</f>
        <v>0</v>
      </c>
      <c r="BA568" s="45" t="e">
        <f>BA576/BA578*100</f>
        <v>#DIV/0!</v>
      </c>
      <c r="BB568" s="241"/>
      <c r="BC568" s="45">
        <f>BC576/BC578*100</f>
        <v>0</v>
      </c>
      <c r="BD568" s="45" t="e">
        <f>BD576/BD578*100</f>
        <v>#DIV/0!</v>
      </c>
      <c r="BE568" s="241"/>
      <c r="BF568" s="45">
        <f>BF576/BF578*100</f>
        <v>0</v>
      </c>
      <c r="BG568" s="45" t="e">
        <f>BG576/BG578*100</f>
        <v>#DIV/0!</v>
      </c>
      <c r="BI568" s="45">
        <f>BI576/BI578*100</f>
        <v>0.37974683544303794</v>
      </c>
      <c r="BJ568" s="45" t="e">
        <f>BJ576/BJ578*100</f>
        <v>#DIV/0!</v>
      </c>
      <c r="BK568" s="241"/>
      <c r="BL568" s="45">
        <f>BL576/BL578*100</f>
        <v>0.54127198917456021</v>
      </c>
      <c r="BM568" s="45" t="e">
        <f>BM576/BM578*100</f>
        <v>#DIV/0!</v>
      </c>
      <c r="BN568" s="241"/>
      <c r="BO568" s="45">
        <f>BO576/BO578*100</f>
        <v>0</v>
      </c>
      <c r="BP568" s="45" t="e">
        <f>BP576/BP578*100</f>
        <v>#DIV/0!</v>
      </c>
      <c r="BR568" s="45">
        <f>BR576/BR578*100</f>
        <v>0.6696428571428571</v>
      </c>
      <c r="BS568" s="45" t="e">
        <f>BS576/BS578*100</f>
        <v>#DIV/0!</v>
      </c>
      <c r="BT568" s="241"/>
      <c r="BU568" s="45">
        <f>BU576/BU578*100</f>
        <v>0</v>
      </c>
      <c r="BV568" s="45" t="e">
        <f>BV576/BV578*100</f>
        <v>#DIV/0!</v>
      </c>
      <c r="BW568" s="241"/>
      <c r="BX568" s="45">
        <f>BX576/BX578*100</f>
        <v>1.4736842105263157</v>
      </c>
      <c r="BY568" s="45" t="e">
        <f>BY576/BY578*100</f>
        <v>#DIV/0!</v>
      </c>
      <c r="CA568" s="45">
        <f>CA576/CA578*100</f>
        <v>0</v>
      </c>
      <c r="CB568" s="45" t="e">
        <f>CB576/CB578*100</f>
        <v>#DIV/0!</v>
      </c>
      <c r="CC568" s="241"/>
      <c r="CD568" s="45">
        <f>CD576/CD578*100</f>
        <v>0.41666666666666669</v>
      </c>
      <c r="CE568" s="45" t="e">
        <f>CE576/CE578*100</f>
        <v>#DIV/0!</v>
      </c>
      <c r="CF568" s="241"/>
      <c r="CG568" s="45">
        <f>CG576/CG578*100</f>
        <v>0</v>
      </c>
      <c r="CH568" s="45" t="e">
        <f>CH576/CH578*100</f>
        <v>#DIV/0!</v>
      </c>
      <c r="CJ568" s="45">
        <f>CJ576/CJ578*100</f>
        <v>0</v>
      </c>
      <c r="CK568" s="45" t="e">
        <f>CK576/CK578*100</f>
        <v>#DIV/0!</v>
      </c>
      <c r="CL568" s="241"/>
      <c r="CM568" s="45" t="e">
        <f>CM576/CM578*100</f>
        <v>#DIV/0!</v>
      </c>
      <c r="CN568" s="45" t="e">
        <f>CN576/CN578*100</f>
        <v>#DIV/0!</v>
      </c>
      <c r="CO568" s="241"/>
      <c r="CP568" s="45" t="e">
        <f>CP576/CP578*100</f>
        <v>#DIV/0!</v>
      </c>
      <c r="CQ568" s="45" t="e">
        <f>CQ576/CQ578*100</f>
        <v>#DIV/0!</v>
      </c>
      <c r="CS568" s="45">
        <f>CS576/CS578*100</f>
        <v>0</v>
      </c>
      <c r="CT568" s="45" t="e">
        <f>CT576/CT578*100</f>
        <v>#DIV/0!</v>
      </c>
      <c r="CU568" s="241"/>
      <c r="CV568" s="45">
        <f>CV576/CV578*100</f>
        <v>0</v>
      </c>
      <c r="CW568" s="45" t="e">
        <f>CW576/CW578*100</f>
        <v>#DIV/0!</v>
      </c>
      <c r="CX568" s="241"/>
      <c r="CY568" s="45">
        <f>CY576/CY578*100</f>
        <v>0</v>
      </c>
      <c r="CZ568" s="45" t="e">
        <f>CZ576/CZ578*100</f>
        <v>#DIV/0!</v>
      </c>
      <c r="DB568" s="45">
        <f>DB576/DB578*100</f>
        <v>0</v>
      </c>
      <c r="DC568" s="45" t="e">
        <f>DC576/DC578*100</f>
        <v>#DIV/0!</v>
      </c>
      <c r="DD568" s="241"/>
      <c r="DE568" s="45" t="e">
        <f>DE576/DE578*100</f>
        <v>#DIV/0!</v>
      </c>
      <c r="DF568" s="45" t="e">
        <f>DF576/DF578*100</f>
        <v>#DIV/0!</v>
      </c>
    </row>
    <row r="569" spans="1:110" ht="30" x14ac:dyDescent="0.25">
      <c r="A569" s="55"/>
      <c r="B569" s="46" t="s">
        <v>2079</v>
      </c>
      <c r="C569" s="42"/>
      <c r="D569" s="42"/>
      <c r="E569" s="49"/>
      <c r="F569" s="49"/>
      <c r="G569" s="49"/>
      <c r="H569" s="49"/>
      <c r="I569" s="45">
        <f>I577/$I$578*100</f>
        <v>0.39577343837508872</v>
      </c>
      <c r="J569" s="45">
        <f>J577/$J$578*100</f>
        <v>0.45177403952104611</v>
      </c>
      <c r="K569" s="45">
        <f>K577/$K$578*100</f>
        <v>0.64608758076094763</v>
      </c>
      <c r="L569" s="45" t="e">
        <f>L577/$L$578*100</f>
        <v>#DIV/0!</v>
      </c>
      <c r="M569" s="3"/>
      <c r="N569" s="45">
        <f>N577/N578*100</f>
        <v>0.63412299593204113</v>
      </c>
      <c r="O569" s="45" t="e">
        <f>O577/O578*100</f>
        <v>#DIV/0!</v>
      </c>
      <c r="P569" s="45">
        <f>P577/P578*100</f>
        <v>0</v>
      </c>
      <c r="Q569" s="45" t="e">
        <f>Q577/Q578*100</f>
        <v>#DIV/0!</v>
      </c>
      <c r="S569" s="45">
        <f>S577/S578*100</f>
        <v>0.7474639615589963</v>
      </c>
      <c r="T569" s="45" t="e">
        <f>T577/T578*100</f>
        <v>#DIV/0!</v>
      </c>
      <c r="V569" s="45">
        <f>V577/V578*100</f>
        <v>1.0407632263660018</v>
      </c>
      <c r="W569" s="45" t="e">
        <f>W577/W578*100</f>
        <v>#DIV/0!</v>
      </c>
      <c r="Y569" s="45">
        <f>Y577/Y578*100</f>
        <v>0.79847908745247154</v>
      </c>
      <c r="Z569" s="45" t="e">
        <f>Z577/Z578*100</f>
        <v>#DIV/0!</v>
      </c>
      <c r="AA569" s="241"/>
      <c r="AB569" s="45">
        <f>AB577/AB578*100</f>
        <v>0</v>
      </c>
      <c r="AC569" s="45" t="e">
        <f>AC577/AC578*100</f>
        <v>#DIV/0!</v>
      </c>
      <c r="AD569" s="241"/>
      <c r="AE569" s="45">
        <f>AE577/AE578*100</f>
        <v>0</v>
      </c>
      <c r="AF569" s="45" t="e">
        <f>AF577/AF578*100</f>
        <v>#DIV/0!</v>
      </c>
      <c r="AH569" s="45">
        <f>AH577/AH578*100</f>
        <v>0</v>
      </c>
      <c r="AI569" s="45" t="e">
        <f>AI577/AI578*100</f>
        <v>#DIV/0!</v>
      </c>
      <c r="AJ569" s="241"/>
      <c r="AK569" s="45">
        <f>AK577/AK578*100</f>
        <v>0</v>
      </c>
      <c r="AL569" s="45" t="e">
        <f>AL577/AL578*100</f>
        <v>#DIV/0!</v>
      </c>
      <c r="AM569" s="241"/>
      <c r="AN569" s="45">
        <f>AN577/AN578*100</f>
        <v>0.38095238095238093</v>
      </c>
      <c r="AO569" s="45" t="e">
        <f>AO577/AO578*100</f>
        <v>#DIV/0!</v>
      </c>
      <c r="AQ569" s="45">
        <f>AQ577/AQ578*100</f>
        <v>1.1320754716981132</v>
      </c>
      <c r="AR569" s="45" t="e">
        <f>AR577/AR578*100</f>
        <v>#DIV/0!</v>
      </c>
      <c r="AS569" s="241"/>
      <c r="AT569" s="45">
        <f>AT577/AT578*100</f>
        <v>1.3043478260869565</v>
      </c>
      <c r="AU569" s="45" t="e">
        <f>AU577/AU578*100</f>
        <v>#DIV/0!</v>
      </c>
      <c r="AW569" s="45">
        <f>AW577/AW578*100</f>
        <v>0.19342359767891684</v>
      </c>
      <c r="AX569" s="45" t="e">
        <f>AX577/AX578*100</f>
        <v>#DIV/0!</v>
      </c>
      <c r="AZ569" s="45">
        <f>AZ577/AZ578*100</f>
        <v>0.73589533932951756</v>
      </c>
      <c r="BA569" s="45" t="e">
        <f>BA577/BA578*100</f>
        <v>#DIV/0!</v>
      </c>
      <c r="BB569" s="241"/>
      <c r="BC569" s="45">
        <f>BC577/BC578*100</f>
        <v>2.5717703349282295</v>
      </c>
      <c r="BD569" s="45" t="e">
        <f>BD577/BD578*100</f>
        <v>#DIV/0!</v>
      </c>
      <c r="BE569" s="241"/>
      <c r="BF569" s="45">
        <f>BF577/BF578*100</f>
        <v>1.2213740458015268</v>
      </c>
      <c r="BG569" s="45" t="e">
        <f>BG577/BG578*100</f>
        <v>#DIV/0!</v>
      </c>
      <c r="BI569" s="45">
        <f>BI577/BI578*100</f>
        <v>0</v>
      </c>
      <c r="BJ569" s="45" t="e">
        <f>BJ577/BJ578*100</f>
        <v>#DIV/0!</v>
      </c>
      <c r="BK569" s="241"/>
      <c r="BL569" s="45">
        <f>BL577/BL578*100</f>
        <v>0</v>
      </c>
      <c r="BM569" s="45" t="e">
        <f>BM577/BM578*100</f>
        <v>#DIV/0!</v>
      </c>
      <c r="BN569" s="241"/>
      <c r="BO569" s="45">
        <f>BO577/BO578*100</f>
        <v>2.159827213822894</v>
      </c>
      <c r="BP569" s="45" t="e">
        <f>BP577/BP578*100</f>
        <v>#DIV/0!</v>
      </c>
      <c r="BR569" s="45">
        <f>BR577/BR578*100</f>
        <v>0</v>
      </c>
      <c r="BS569" s="45" t="e">
        <f>BS577/BS578*100</f>
        <v>#DIV/0!</v>
      </c>
      <c r="BT569" s="241"/>
      <c r="BU569" s="45">
        <f>BU577/BU578*100</f>
        <v>0.73099415204678353</v>
      </c>
      <c r="BV569" s="45" t="e">
        <f>BV577/BV578*100</f>
        <v>#DIV/0!</v>
      </c>
      <c r="BW569" s="241"/>
      <c r="BX569" s="45">
        <f>BX577/BX578*100</f>
        <v>0</v>
      </c>
      <c r="BY569" s="45" t="e">
        <f>BY577/BY578*100</f>
        <v>#DIV/0!</v>
      </c>
      <c r="CA569" s="45">
        <f>CA577/CA578*100</f>
        <v>0.64516129032258063</v>
      </c>
      <c r="CB569" s="45" t="e">
        <f>CB577/CB578*100</f>
        <v>#DIV/0!</v>
      </c>
      <c r="CC569" s="241"/>
      <c r="CD569" s="45">
        <f>CD577/CD578*100</f>
        <v>0</v>
      </c>
      <c r="CE569" s="45" t="e">
        <f>CE577/CE578*100</f>
        <v>#DIV/0!</v>
      </c>
      <c r="CF569" s="241"/>
      <c r="CG569" s="45">
        <f>CG577/CG578*100</f>
        <v>0.96269554753309272</v>
      </c>
      <c r="CH569" s="45" t="e">
        <f>CH577/CH578*100</f>
        <v>#DIV/0!</v>
      </c>
      <c r="CJ569" s="45">
        <f>CJ577/CJ578*100</f>
        <v>0</v>
      </c>
      <c r="CK569" s="45" t="e">
        <f>CK577/CK578*100</f>
        <v>#DIV/0!</v>
      </c>
      <c r="CL569" s="241"/>
      <c r="CM569" s="45" t="e">
        <f>CM577/CM578*100</f>
        <v>#DIV/0!</v>
      </c>
      <c r="CN569" s="45" t="e">
        <f>CN577/CN578*100</f>
        <v>#DIV/0!</v>
      </c>
      <c r="CO569" s="241"/>
      <c r="CP569" s="45" t="e">
        <f>CP577/CP578*100</f>
        <v>#DIV/0!</v>
      </c>
      <c r="CQ569" s="45" t="e">
        <f>CQ577/CQ578*100</f>
        <v>#DIV/0!</v>
      </c>
      <c r="CS569" s="45">
        <f>CS577/CS578*100</f>
        <v>0</v>
      </c>
      <c r="CT569" s="45" t="e">
        <f>CT577/CT578*100</f>
        <v>#DIV/0!</v>
      </c>
      <c r="CU569" s="241"/>
      <c r="CV569" s="45">
        <f>CV577/CV578*100</f>
        <v>0</v>
      </c>
      <c r="CW569" s="45" t="e">
        <f>CW577/CW578*100</f>
        <v>#DIV/0!</v>
      </c>
      <c r="CX569" s="241"/>
      <c r="CY569" s="45">
        <f>CY577/CY578*100</f>
        <v>0</v>
      </c>
      <c r="CZ569" s="45" t="e">
        <f>CZ577/CZ578*100</f>
        <v>#DIV/0!</v>
      </c>
      <c r="DB569" s="45">
        <f>DB577/DB578*100</f>
        <v>0</v>
      </c>
      <c r="DC569" s="45" t="e">
        <f>DC577/DC578*100</f>
        <v>#DIV/0!</v>
      </c>
      <c r="DD569" s="241"/>
      <c r="DE569" s="45" t="e">
        <f>DE577/DE578*100</f>
        <v>#DIV/0!</v>
      </c>
      <c r="DF569" s="45" t="e">
        <f>DF577/DF578*100</f>
        <v>#DIV/0!</v>
      </c>
    </row>
    <row r="570" spans="1:110" x14ac:dyDescent="0.25">
      <c r="A570" s="55"/>
      <c r="B570" s="46" t="s">
        <v>1184</v>
      </c>
      <c r="C570" s="42"/>
      <c r="D570" s="42"/>
      <c r="E570" s="49"/>
      <c r="F570" s="49"/>
      <c r="G570" s="49"/>
      <c r="H570" s="49"/>
      <c r="I570" s="49"/>
      <c r="J570" s="49"/>
      <c r="K570" s="49"/>
      <c r="L570" s="49"/>
      <c r="M570" s="3"/>
      <c r="N570" s="49"/>
      <c r="O570" s="49"/>
      <c r="P570" s="49"/>
      <c r="Q570" s="49"/>
      <c r="S570" s="49"/>
      <c r="T570" s="49"/>
      <c r="V570" s="49"/>
      <c r="W570" s="49"/>
      <c r="Y570" s="49"/>
      <c r="Z570" s="49"/>
      <c r="AA570" s="241"/>
      <c r="AB570" s="49"/>
      <c r="AC570" s="49"/>
      <c r="AD570" s="241"/>
      <c r="AE570" s="49"/>
      <c r="AF570" s="49"/>
      <c r="AH570" s="49"/>
      <c r="AI570" s="49"/>
      <c r="AJ570" s="241"/>
      <c r="AK570" s="49"/>
      <c r="AL570" s="49"/>
      <c r="AM570" s="241"/>
      <c r="AN570" s="49"/>
      <c r="AO570" s="49"/>
      <c r="AQ570" s="49"/>
      <c r="AR570" s="49"/>
      <c r="AS570" s="241"/>
      <c r="AT570" s="49"/>
      <c r="AU570" s="49"/>
      <c r="AW570" s="49"/>
      <c r="AX570" s="49"/>
      <c r="AZ570" s="49"/>
      <c r="BA570" s="49"/>
      <c r="BB570" s="241"/>
      <c r="BC570" s="49"/>
      <c r="BD570" s="49"/>
      <c r="BE570" s="241"/>
      <c r="BF570" s="49"/>
      <c r="BG570" s="49"/>
      <c r="BI570" s="49"/>
      <c r="BJ570" s="49"/>
      <c r="BK570" s="241"/>
      <c r="BL570" s="49"/>
      <c r="BM570" s="49"/>
      <c r="BN570" s="241"/>
      <c r="BO570" s="49"/>
      <c r="BP570" s="49"/>
      <c r="BR570" s="49"/>
      <c r="BS570" s="49"/>
      <c r="BT570" s="241"/>
      <c r="BU570" s="49"/>
      <c r="BV570" s="49"/>
      <c r="BW570" s="241"/>
      <c r="BX570" s="49"/>
      <c r="BY570" s="49"/>
      <c r="CA570" s="49"/>
      <c r="CB570" s="49"/>
      <c r="CC570" s="241"/>
      <c r="CD570" s="49"/>
      <c r="CE570" s="49"/>
      <c r="CF570" s="241"/>
      <c r="CG570" s="49"/>
      <c r="CH570" s="49"/>
      <c r="CJ570" s="49"/>
      <c r="CK570" s="49"/>
      <c r="CL570" s="241"/>
      <c r="CM570" s="49"/>
      <c r="CN570" s="49"/>
      <c r="CO570" s="241"/>
      <c r="CP570" s="49"/>
      <c r="CQ570" s="49"/>
      <c r="CS570" s="49"/>
      <c r="CT570" s="49"/>
      <c r="CU570" s="241"/>
      <c r="CV570" s="49"/>
      <c r="CW570" s="49"/>
      <c r="CX570" s="241"/>
      <c r="CY570" s="49"/>
      <c r="CZ570" s="49"/>
      <c r="DB570" s="49"/>
      <c r="DC570" s="49"/>
      <c r="DD570" s="241"/>
      <c r="DE570" s="49"/>
      <c r="DF570" s="49"/>
    </row>
    <row r="571" spans="1:110" x14ac:dyDescent="0.25">
      <c r="A571" s="55"/>
      <c r="B571" s="46" t="s">
        <v>2002</v>
      </c>
      <c r="C571" s="42"/>
      <c r="D571" s="42"/>
      <c r="E571" s="49"/>
      <c r="F571" s="49"/>
      <c r="G571" s="49"/>
      <c r="H571" s="49"/>
      <c r="I571" s="45">
        <f>I580/$I$583*100</f>
        <v>0</v>
      </c>
      <c r="J571" s="45">
        <f>J580/$J$583*100</f>
        <v>0</v>
      </c>
      <c r="K571" s="45">
        <f>K580/$K$583*100</f>
        <v>0.38105606967882416</v>
      </c>
      <c r="L571" s="45" t="e">
        <f>L580/$L$583*100</f>
        <v>#DIV/0!</v>
      </c>
      <c r="M571" s="3"/>
      <c r="N571" s="45">
        <f>N580/N583*100</f>
        <v>0</v>
      </c>
      <c r="O571" s="45" t="e">
        <f>O580/O583*100</f>
        <v>#DIV/0!</v>
      </c>
      <c r="P571" s="45" t="e">
        <f>P580/P583*100</f>
        <v>#DIV/0!</v>
      </c>
      <c r="Q571" s="45" t="e">
        <f>Q580/Q583*100</f>
        <v>#DIV/0!</v>
      </c>
      <c r="S571" s="45" t="e">
        <f>S580/S583*100</f>
        <v>#DIV/0!</v>
      </c>
      <c r="T571" s="45" t="e">
        <f>T580/T583*100</f>
        <v>#DIV/0!</v>
      </c>
      <c r="V571" s="45" t="e">
        <f>V580/V583*100</f>
        <v>#DIV/0!</v>
      </c>
      <c r="W571" s="45" t="e">
        <f>W580/W583*100</f>
        <v>#DIV/0!</v>
      </c>
      <c r="Y571" s="45" t="e">
        <f>Y580/Y583*100</f>
        <v>#DIV/0!</v>
      </c>
      <c r="Z571" s="45" t="e">
        <f>Z580/Z583*100</f>
        <v>#DIV/0!</v>
      </c>
      <c r="AA571" s="241"/>
      <c r="AB571" s="45" t="e">
        <f>AB580/AB583*100</f>
        <v>#DIV/0!</v>
      </c>
      <c r="AC571" s="45" t="e">
        <f>AC580/AC583*100</f>
        <v>#DIV/0!</v>
      </c>
      <c r="AD571" s="241"/>
      <c r="AE571" s="45" t="e">
        <f>AE580/AE583*100</f>
        <v>#DIV/0!</v>
      </c>
      <c r="AF571" s="45" t="e">
        <f>AF580/AF583*100</f>
        <v>#DIV/0!</v>
      </c>
      <c r="AH571" s="45" t="e">
        <f>AH580/AH583*100</f>
        <v>#DIV/0!</v>
      </c>
      <c r="AI571" s="45" t="e">
        <f>AI580/AI583*100</f>
        <v>#DIV/0!</v>
      </c>
      <c r="AJ571" s="241"/>
      <c r="AK571" s="45" t="e">
        <f>AK580/AK583*100</f>
        <v>#DIV/0!</v>
      </c>
      <c r="AL571" s="45" t="e">
        <f>AL580/AL583*100</f>
        <v>#DIV/0!</v>
      </c>
      <c r="AM571" s="241"/>
      <c r="AN571" s="45" t="e">
        <f>AN580/AN583*100</f>
        <v>#DIV/0!</v>
      </c>
      <c r="AO571" s="45" t="e">
        <f>AO580/AO583*100</f>
        <v>#DIV/0!</v>
      </c>
      <c r="AQ571" s="45" t="e">
        <f>AQ580/AQ583*100</f>
        <v>#DIV/0!</v>
      </c>
      <c r="AR571" s="45" t="e">
        <f>AR580/AR583*100</f>
        <v>#DIV/0!</v>
      </c>
      <c r="AS571" s="241"/>
      <c r="AT571" s="45" t="e">
        <f>AT580/AT583*100</f>
        <v>#DIV/0!</v>
      </c>
      <c r="AU571" s="45" t="e">
        <f>AU580/AU583*100</f>
        <v>#DIV/0!</v>
      </c>
      <c r="AW571" s="45" t="e">
        <f>AW580/AW583*100</f>
        <v>#DIV/0!</v>
      </c>
      <c r="AX571" s="45" t="e">
        <f>AX580/AX583*100</f>
        <v>#DIV/0!</v>
      </c>
      <c r="AZ571" s="45" t="e">
        <f>AZ580/AZ583*100</f>
        <v>#DIV/0!</v>
      </c>
      <c r="BA571" s="45" t="e">
        <f>BA580/BA583*100</f>
        <v>#DIV/0!</v>
      </c>
      <c r="BB571" s="241"/>
      <c r="BC571" s="45" t="e">
        <f>BC580/BC583*100</f>
        <v>#DIV/0!</v>
      </c>
      <c r="BD571" s="45" t="e">
        <f>BD580/BD583*100</f>
        <v>#DIV/0!</v>
      </c>
      <c r="BE571" s="241"/>
      <c r="BF571" s="45" t="e">
        <f>BF580/BF583*100</f>
        <v>#DIV/0!</v>
      </c>
      <c r="BG571" s="45" t="e">
        <f>BG580/BG583*100</f>
        <v>#DIV/0!</v>
      </c>
      <c r="BI571" s="45" t="e">
        <f>BI580/BI583*100</f>
        <v>#DIV/0!</v>
      </c>
      <c r="BJ571" s="45" t="e">
        <f>BJ580/BJ583*100</f>
        <v>#DIV/0!</v>
      </c>
      <c r="BK571" s="241"/>
      <c r="BL571" s="45" t="e">
        <f>BL580/BL583*100</f>
        <v>#DIV/0!</v>
      </c>
      <c r="BM571" s="45" t="e">
        <f>BM580/BM583*100</f>
        <v>#DIV/0!</v>
      </c>
      <c r="BN571" s="241"/>
      <c r="BO571" s="45" t="e">
        <f>BO580/BO583*100</f>
        <v>#DIV/0!</v>
      </c>
      <c r="BP571" s="45" t="e">
        <f>BP580/BP583*100</f>
        <v>#DIV/0!</v>
      </c>
      <c r="BR571" s="45" t="e">
        <f>BR580/BR583*100</f>
        <v>#DIV/0!</v>
      </c>
      <c r="BS571" s="45" t="e">
        <f>BS580/BS583*100</f>
        <v>#DIV/0!</v>
      </c>
      <c r="BT571" s="241"/>
      <c r="BU571" s="45" t="e">
        <f>BU580/BU583*100</f>
        <v>#DIV/0!</v>
      </c>
      <c r="BV571" s="45" t="e">
        <f>BV580/BV583*100</f>
        <v>#DIV/0!</v>
      </c>
      <c r="BW571" s="241"/>
      <c r="BX571" s="45" t="e">
        <f>BX580/BX583*100</f>
        <v>#DIV/0!</v>
      </c>
      <c r="BY571" s="45" t="e">
        <f>BY580/BY583*100</f>
        <v>#DIV/0!</v>
      </c>
      <c r="CA571" s="45" t="e">
        <f>CA580/CA583*100</f>
        <v>#DIV/0!</v>
      </c>
      <c r="CB571" s="45" t="e">
        <f>CB580/CB583*100</f>
        <v>#DIV/0!</v>
      </c>
      <c r="CC571" s="241"/>
      <c r="CD571" s="45" t="e">
        <f>CD580/CD583*100</f>
        <v>#DIV/0!</v>
      </c>
      <c r="CE571" s="45" t="e">
        <f>CE580/CE583*100</f>
        <v>#DIV/0!</v>
      </c>
      <c r="CF571" s="241"/>
      <c r="CG571" s="45" t="e">
        <f>CG580/CG583*100</f>
        <v>#DIV/0!</v>
      </c>
      <c r="CH571" s="45" t="e">
        <f>CH580/CH583*100</f>
        <v>#DIV/0!</v>
      </c>
      <c r="CJ571" s="45" t="e">
        <f>CJ580/CJ583*100</f>
        <v>#DIV/0!</v>
      </c>
      <c r="CK571" s="45" t="e">
        <f>CK580/CK583*100</f>
        <v>#DIV/0!</v>
      </c>
      <c r="CL571" s="241"/>
      <c r="CM571" s="45" t="e">
        <f>CM580/CM583*100</f>
        <v>#DIV/0!</v>
      </c>
      <c r="CN571" s="45" t="e">
        <f>CN580/CN583*100</f>
        <v>#DIV/0!</v>
      </c>
      <c r="CO571" s="241"/>
      <c r="CP571" s="45" t="e">
        <f>CP580/CP583*100</f>
        <v>#DIV/0!</v>
      </c>
      <c r="CQ571" s="45" t="e">
        <f>CQ580/CQ583*100</f>
        <v>#DIV/0!</v>
      </c>
      <c r="CS571" s="45" t="e">
        <f>CS580/CS583*100</f>
        <v>#DIV/0!</v>
      </c>
      <c r="CT571" s="45" t="e">
        <f>CT580/CT583*100</f>
        <v>#DIV/0!</v>
      </c>
      <c r="CU571" s="241"/>
      <c r="CV571" s="45" t="e">
        <f>CV580/CV583*100</f>
        <v>#DIV/0!</v>
      </c>
      <c r="CW571" s="45" t="e">
        <f>CW580/CW583*100</f>
        <v>#DIV/0!</v>
      </c>
      <c r="CX571" s="241"/>
      <c r="CY571" s="45" t="e">
        <f>CY580/CY583*100</f>
        <v>#DIV/0!</v>
      </c>
      <c r="CZ571" s="45" t="e">
        <f>CZ580/CZ583*100</f>
        <v>#DIV/0!</v>
      </c>
      <c r="DB571" s="45" t="e">
        <f>DB580/DB583*100</f>
        <v>#DIV/0!</v>
      </c>
      <c r="DC571" s="45" t="e">
        <f>DC580/DC583*100</f>
        <v>#DIV/0!</v>
      </c>
      <c r="DD571" s="241"/>
      <c r="DE571" s="45">
        <f>DE580/DE583*100</f>
        <v>0</v>
      </c>
      <c r="DF571" s="45" t="e">
        <f>DF580/DF583*100</f>
        <v>#DIV/0!</v>
      </c>
    </row>
    <row r="572" spans="1:110" x14ac:dyDescent="0.25">
      <c r="A572" s="55"/>
      <c r="B572" s="46" t="s">
        <v>2003</v>
      </c>
      <c r="C572" s="42"/>
      <c r="D572" s="42"/>
      <c r="E572" s="49"/>
      <c r="F572" s="49"/>
      <c r="G572" s="49"/>
      <c r="H572" s="49"/>
      <c r="I572" s="45">
        <f>I581/$I$583*100</f>
        <v>0</v>
      </c>
      <c r="J572" s="45">
        <f>J581/$J$583*100</f>
        <v>0</v>
      </c>
      <c r="K572" s="45">
        <f>K581/$K$583*100</f>
        <v>0.38105606967882416</v>
      </c>
      <c r="L572" s="45" t="e">
        <f>L581/$L$583*100</f>
        <v>#DIV/0!</v>
      </c>
      <c r="M572" s="3"/>
      <c r="N572" s="45">
        <f>N581/N583*100</f>
        <v>0</v>
      </c>
      <c r="O572" s="45" t="e">
        <f>O581/O583*100</f>
        <v>#DIV/0!</v>
      </c>
      <c r="P572" s="45" t="e">
        <f>P581/P583*100</f>
        <v>#DIV/0!</v>
      </c>
      <c r="Q572" s="45" t="e">
        <f>Q581/Q583*100</f>
        <v>#DIV/0!</v>
      </c>
      <c r="S572" s="45" t="e">
        <f>S581/S583*100</f>
        <v>#DIV/0!</v>
      </c>
      <c r="T572" s="45" t="e">
        <f>T581/T583*100</f>
        <v>#DIV/0!</v>
      </c>
      <c r="V572" s="45" t="e">
        <f>V581/V583*100</f>
        <v>#DIV/0!</v>
      </c>
      <c r="W572" s="45" t="e">
        <f>W581/W583*100</f>
        <v>#DIV/0!</v>
      </c>
      <c r="Y572" s="45" t="e">
        <f>Y581/Y583*100</f>
        <v>#DIV/0!</v>
      </c>
      <c r="Z572" s="45" t="e">
        <f>Z581/Z583*100</f>
        <v>#DIV/0!</v>
      </c>
      <c r="AA572" s="241"/>
      <c r="AB572" s="45" t="e">
        <f>AB581/AB583*100</f>
        <v>#DIV/0!</v>
      </c>
      <c r="AC572" s="45" t="e">
        <f>AC581/AC583*100</f>
        <v>#DIV/0!</v>
      </c>
      <c r="AD572" s="241"/>
      <c r="AE572" s="45" t="e">
        <f>AE581/AE583*100</f>
        <v>#DIV/0!</v>
      </c>
      <c r="AF572" s="45" t="e">
        <f>AF581/AF583*100</f>
        <v>#DIV/0!</v>
      </c>
      <c r="AH572" s="45" t="e">
        <f>AH581/AH583*100</f>
        <v>#DIV/0!</v>
      </c>
      <c r="AI572" s="45" t="e">
        <f>AI581/AI583*100</f>
        <v>#DIV/0!</v>
      </c>
      <c r="AJ572" s="241"/>
      <c r="AK572" s="45" t="e">
        <f>AK581/AK583*100</f>
        <v>#DIV/0!</v>
      </c>
      <c r="AL572" s="45" t="e">
        <f>AL581/AL583*100</f>
        <v>#DIV/0!</v>
      </c>
      <c r="AM572" s="241"/>
      <c r="AN572" s="45" t="e">
        <f>AN581/AN583*100</f>
        <v>#DIV/0!</v>
      </c>
      <c r="AO572" s="45" t="e">
        <f>AO581/AO583*100</f>
        <v>#DIV/0!</v>
      </c>
      <c r="AQ572" s="45" t="e">
        <f>AQ581/AQ583*100</f>
        <v>#DIV/0!</v>
      </c>
      <c r="AR572" s="45" t="e">
        <f>AR581/AR583*100</f>
        <v>#DIV/0!</v>
      </c>
      <c r="AS572" s="241"/>
      <c r="AT572" s="45" t="e">
        <f>AT581/AT583*100</f>
        <v>#DIV/0!</v>
      </c>
      <c r="AU572" s="45" t="e">
        <f>AU581/AU583*100</f>
        <v>#DIV/0!</v>
      </c>
      <c r="AW572" s="45" t="e">
        <f>AW581/AW583*100</f>
        <v>#DIV/0!</v>
      </c>
      <c r="AX572" s="45" t="e">
        <f>AX581/AX583*100</f>
        <v>#DIV/0!</v>
      </c>
      <c r="AZ572" s="45" t="e">
        <f>AZ581/AZ583*100</f>
        <v>#DIV/0!</v>
      </c>
      <c r="BA572" s="45" t="e">
        <f>BA581/BA583*100</f>
        <v>#DIV/0!</v>
      </c>
      <c r="BB572" s="241"/>
      <c r="BC572" s="45" t="e">
        <f>BC581/BC583*100</f>
        <v>#DIV/0!</v>
      </c>
      <c r="BD572" s="45" t="e">
        <f>BD581/BD583*100</f>
        <v>#DIV/0!</v>
      </c>
      <c r="BE572" s="241"/>
      <c r="BF572" s="45" t="e">
        <f>BF581/BF583*100</f>
        <v>#DIV/0!</v>
      </c>
      <c r="BG572" s="45" t="e">
        <f>BG581/BG583*100</f>
        <v>#DIV/0!</v>
      </c>
      <c r="BI572" s="45" t="e">
        <f>BI581/BI583*100</f>
        <v>#DIV/0!</v>
      </c>
      <c r="BJ572" s="45" t="e">
        <f>BJ581/BJ583*100</f>
        <v>#DIV/0!</v>
      </c>
      <c r="BK572" s="241"/>
      <c r="BL572" s="45" t="e">
        <f>BL581/BL583*100</f>
        <v>#DIV/0!</v>
      </c>
      <c r="BM572" s="45" t="e">
        <f>BM581/BM583*100</f>
        <v>#DIV/0!</v>
      </c>
      <c r="BN572" s="241"/>
      <c r="BO572" s="45" t="e">
        <f>BO581/BO583*100</f>
        <v>#DIV/0!</v>
      </c>
      <c r="BP572" s="45" t="e">
        <f>BP581/BP583*100</f>
        <v>#DIV/0!</v>
      </c>
      <c r="BR572" s="45" t="e">
        <f>BR581/BR583*100</f>
        <v>#DIV/0!</v>
      </c>
      <c r="BS572" s="45" t="e">
        <f>BS581/BS583*100</f>
        <v>#DIV/0!</v>
      </c>
      <c r="BT572" s="241"/>
      <c r="BU572" s="45" t="e">
        <f>BU581/BU583*100</f>
        <v>#DIV/0!</v>
      </c>
      <c r="BV572" s="45" t="e">
        <f>BV581/BV583*100</f>
        <v>#DIV/0!</v>
      </c>
      <c r="BW572" s="241"/>
      <c r="BX572" s="45" t="e">
        <f>BX581/BX583*100</f>
        <v>#DIV/0!</v>
      </c>
      <c r="BY572" s="45" t="e">
        <f>BY581/BY583*100</f>
        <v>#DIV/0!</v>
      </c>
      <c r="CA572" s="45" t="e">
        <f>CA581/CA583*100</f>
        <v>#DIV/0!</v>
      </c>
      <c r="CB572" s="45" t="e">
        <f>CB581/CB583*100</f>
        <v>#DIV/0!</v>
      </c>
      <c r="CC572" s="241"/>
      <c r="CD572" s="45" t="e">
        <f>CD581/CD583*100</f>
        <v>#DIV/0!</v>
      </c>
      <c r="CE572" s="45" t="e">
        <f>CE581/CE583*100</f>
        <v>#DIV/0!</v>
      </c>
      <c r="CF572" s="241"/>
      <c r="CG572" s="45" t="e">
        <f>CG581/CG583*100</f>
        <v>#DIV/0!</v>
      </c>
      <c r="CH572" s="45" t="e">
        <f>CH581/CH583*100</f>
        <v>#DIV/0!</v>
      </c>
      <c r="CJ572" s="45" t="e">
        <f>CJ581/CJ583*100</f>
        <v>#DIV/0!</v>
      </c>
      <c r="CK572" s="45" t="e">
        <f>CK581/CK583*100</f>
        <v>#DIV/0!</v>
      </c>
      <c r="CL572" s="241"/>
      <c r="CM572" s="45" t="e">
        <f>CM581/CM583*100</f>
        <v>#DIV/0!</v>
      </c>
      <c r="CN572" s="45" t="e">
        <f>CN581/CN583*100</f>
        <v>#DIV/0!</v>
      </c>
      <c r="CO572" s="241"/>
      <c r="CP572" s="45" t="e">
        <f>CP581/CP583*100</f>
        <v>#DIV/0!</v>
      </c>
      <c r="CQ572" s="45" t="e">
        <f>CQ581/CQ583*100</f>
        <v>#DIV/0!</v>
      </c>
      <c r="CS572" s="45" t="e">
        <f>CS581/CS583*100</f>
        <v>#DIV/0!</v>
      </c>
      <c r="CT572" s="45" t="e">
        <f>CT581/CT583*100</f>
        <v>#DIV/0!</v>
      </c>
      <c r="CU572" s="241"/>
      <c r="CV572" s="45" t="e">
        <f>CV581/CV583*100</f>
        <v>#DIV/0!</v>
      </c>
      <c r="CW572" s="45" t="e">
        <f>CW581/CW583*100</f>
        <v>#DIV/0!</v>
      </c>
      <c r="CX572" s="241"/>
      <c r="CY572" s="45" t="e">
        <f>CY581/CY583*100</f>
        <v>#DIV/0!</v>
      </c>
      <c r="CZ572" s="45" t="e">
        <f>CZ581/CZ583*100</f>
        <v>#DIV/0!</v>
      </c>
      <c r="DB572" s="45" t="e">
        <f>DB581/DB583*100</f>
        <v>#DIV/0!</v>
      </c>
      <c r="DC572" s="45" t="e">
        <f>DC581/DC583*100</f>
        <v>#DIV/0!</v>
      </c>
      <c r="DD572" s="241"/>
      <c r="DE572" s="45">
        <f>DE581/DE583*100</f>
        <v>0</v>
      </c>
      <c r="DF572" s="45" t="e">
        <f>DF581/DF583*100</f>
        <v>#DIV/0!</v>
      </c>
    </row>
    <row r="573" spans="1:110" ht="30" x14ac:dyDescent="0.25">
      <c r="A573" s="55"/>
      <c r="B573" s="46" t="s">
        <v>2079</v>
      </c>
      <c r="C573" s="42"/>
      <c r="D573" s="42"/>
      <c r="E573" s="49"/>
      <c r="F573" s="49"/>
      <c r="G573" s="49"/>
      <c r="H573" s="49"/>
      <c r="I573" s="45">
        <f>I582/$I$583*100</f>
        <v>0</v>
      </c>
      <c r="J573" s="45">
        <f>J582/$J$583*100</f>
        <v>0</v>
      </c>
      <c r="K573" s="45">
        <f>K582/$K$583*100</f>
        <v>0</v>
      </c>
      <c r="L573" s="45" t="e">
        <f>L582/$L$583*100</f>
        <v>#DIV/0!</v>
      </c>
      <c r="M573" s="3"/>
      <c r="N573" s="45">
        <f>N582/N583*100</f>
        <v>0</v>
      </c>
      <c r="O573" s="45" t="e">
        <f>O582/O583*100</f>
        <v>#DIV/0!</v>
      </c>
      <c r="P573" s="45" t="e">
        <f>P582/P583*100</f>
        <v>#DIV/0!</v>
      </c>
      <c r="Q573" s="45" t="e">
        <f>Q582/Q583*100</f>
        <v>#DIV/0!</v>
      </c>
      <c r="S573" s="45" t="e">
        <f>S582/S583*100</f>
        <v>#DIV/0!</v>
      </c>
      <c r="T573" s="45" t="e">
        <f>T582/T583*100</f>
        <v>#DIV/0!</v>
      </c>
      <c r="V573" s="45" t="e">
        <f>V582/V583*100</f>
        <v>#DIV/0!</v>
      </c>
      <c r="W573" s="45" t="e">
        <f>W582/W583*100</f>
        <v>#DIV/0!</v>
      </c>
      <c r="Y573" s="45" t="e">
        <f>Y582/Y583*100</f>
        <v>#DIV/0!</v>
      </c>
      <c r="Z573" s="45" t="e">
        <f>Z582/Z583*100</f>
        <v>#DIV/0!</v>
      </c>
      <c r="AA573" s="241"/>
      <c r="AB573" s="45" t="e">
        <f>AB582/AB583*100</f>
        <v>#DIV/0!</v>
      </c>
      <c r="AC573" s="45" t="e">
        <f>AC582/AC583*100</f>
        <v>#DIV/0!</v>
      </c>
      <c r="AD573" s="241"/>
      <c r="AE573" s="45" t="e">
        <f>AE582/AE583*100</f>
        <v>#DIV/0!</v>
      </c>
      <c r="AF573" s="45" t="e">
        <f>AF582/AF583*100</f>
        <v>#DIV/0!</v>
      </c>
      <c r="AH573" s="45" t="e">
        <f>AH582/AH583*100</f>
        <v>#DIV/0!</v>
      </c>
      <c r="AI573" s="45" t="e">
        <f>AI582/AI583*100</f>
        <v>#DIV/0!</v>
      </c>
      <c r="AJ573" s="241"/>
      <c r="AK573" s="45" t="e">
        <f>AK582/AK583*100</f>
        <v>#DIV/0!</v>
      </c>
      <c r="AL573" s="45" t="e">
        <f>AL582/AL583*100</f>
        <v>#DIV/0!</v>
      </c>
      <c r="AM573" s="241"/>
      <c r="AN573" s="45" t="e">
        <f>AN582/AN583*100</f>
        <v>#DIV/0!</v>
      </c>
      <c r="AO573" s="45" t="e">
        <f>AO582/AO583*100</f>
        <v>#DIV/0!</v>
      </c>
      <c r="AQ573" s="45" t="e">
        <f>AQ582/AQ583*100</f>
        <v>#DIV/0!</v>
      </c>
      <c r="AR573" s="45" t="e">
        <f>AR582/AR583*100</f>
        <v>#DIV/0!</v>
      </c>
      <c r="AS573" s="241"/>
      <c r="AT573" s="45" t="e">
        <f>AT582/AT583*100</f>
        <v>#DIV/0!</v>
      </c>
      <c r="AU573" s="45" t="e">
        <f>AU582/AU583*100</f>
        <v>#DIV/0!</v>
      </c>
      <c r="AW573" s="45" t="e">
        <f>AW582/AW583*100</f>
        <v>#DIV/0!</v>
      </c>
      <c r="AX573" s="45" t="e">
        <f>AX582/AX583*100</f>
        <v>#DIV/0!</v>
      </c>
      <c r="AZ573" s="45" t="e">
        <f>AZ582/AZ583*100</f>
        <v>#DIV/0!</v>
      </c>
      <c r="BA573" s="45" t="e">
        <f>BA582/BA583*100</f>
        <v>#DIV/0!</v>
      </c>
      <c r="BB573" s="241"/>
      <c r="BC573" s="45" t="e">
        <f>BC582/BC583*100</f>
        <v>#DIV/0!</v>
      </c>
      <c r="BD573" s="45" t="e">
        <f>BD582/BD583*100</f>
        <v>#DIV/0!</v>
      </c>
      <c r="BE573" s="241"/>
      <c r="BF573" s="45" t="e">
        <f>BF582/BF583*100</f>
        <v>#DIV/0!</v>
      </c>
      <c r="BG573" s="45" t="e">
        <f>BG582/BG583*100</f>
        <v>#DIV/0!</v>
      </c>
      <c r="BI573" s="45" t="e">
        <f>BI582/BI583*100</f>
        <v>#DIV/0!</v>
      </c>
      <c r="BJ573" s="45" t="e">
        <f>BJ582/BJ583*100</f>
        <v>#DIV/0!</v>
      </c>
      <c r="BK573" s="241"/>
      <c r="BL573" s="45" t="e">
        <f>BL582/BL583*100</f>
        <v>#DIV/0!</v>
      </c>
      <c r="BM573" s="45" t="e">
        <f>BM582/BM583*100</f>
        <v>#DIV/0!</v>
      </c>
      <c r="BN573" s="241"/>
      <c r="BO573" s="45" t="e">
        <f>BO582/BO583*100</f>
        <v>#DIV/0!</v>
      </c>
      <c r="BP573" s="45" t="e">
        <f>BP582/BP583*100</f>
        <v>#DIV/0!</v>
      </c>
      <c r="BR573" s="45" t="e">
        <f>BR582/BR583*100</f>
        <v>#DIV/0!</v>
      </c>
      <c r="BS573" s="45" t="e">
        <f>BS582/BS583*100</f>
        <v>#DIV/0!</v>
      </c>
      <c r="BT573" s="241"/>
      <c r="BU573" s="45" t="e">
        <f>BU582/BU583*100</f>
        <v>#DIV/0!</v>
      </c>
      <c r="BV573" s="45" t="e">
        <f>BV582/BV583*100</f>
        <v>#DIV/0!</v>
      </c>
      <c r="BW573" s="241"/>
      <c r="BX573" s="45" t="e">
        <f>BX582/BX583*100</f>
        <v>#DIV/0!</v>
      </c>
      <c r="BY573" s="45" t="e">
        <f>BY582/BY583*100</f>
        <v>#DIV/0!</v>
      </c>
      <c r="CA573" s="45" t="e">
        <f>CA582/CA583*100</f>
        <v>#DIV/0!</v>
      </c>
      <c r="CB573" s="45" t="e">
        <f>CB582/CB583*100</f>
        <v>#DIV/0!</v>
      </c>
      <c r="CC573" s="241"/>
      <c r="CD573" s="45" t="e">
        <f>CD582/CD583*100</f>
        <v>#DIV/0!</v>
      </c>
      <c r="CE573" s="45" t="e">
        <f>CE582/CE583*100</f>
        <v>#DIV/0!</v>
      </c>
      <c r="CF573" s="241"/>
      <c r="CG573" s="45" t="e">
        <f>CG582/CG583*100</f>
        <v>#DIV/0!</v>
      </c>
      <c r="CH573" s="45" t="e">
        <f>CH582/CH583*100</f>
        <v>#DIV/0!</v>
      </c>
      <c r="CJ573" s="45" t="e">
        <f>CJ582/CJ583*100</f>
        <v>#DIV/0!</v>
      </c>
      <c r="CK573" s="45" t="e">
        <f>CK582/CK583*100</f>
        <v>#DIV/0!</v>
      </c>
      <c r="CL573" s="241"/>
      <c r="CM573" s="45" t="e">
        <f>CM582/CM583*100</f>
        <v>#DIV/0!</v>
      </c>
      <c r="CN573" s="45" t="e">
        <f>CN582/CN583*100</f>
        <v>#DIV/0!</v>
      </c>
      <c r="CO573" s="241"/>
      <c r="CP573" s="45" t="e">
        <f>CP582/CP583*100</f>
        <v>#DIV/0!</v>
      </c>
      <c r="CQ573" s="45" t="e">
        <f>CQ582/CQ583*100</f>
        <v>#DIV/0!</v>
      </c>
      <c r="CS573" s="45" t="e">
        <f>CS582/CS583*100</f>
        <v>#DIV/0!</v>
      </c>
      <c r="CT573" s="45" t="e">
        <f>CT582/CT583*100</f>
        <v>#DIV/0!</v>
      </c>
      <c r="CU573" s="241"/>
      <c r="CV573" s="45" t="e">
        <f>CV582/CV583*100</f>
        <v>#DIV/0!</v>
      </c>
      <c r="CW573" s="45" t="e">
        <f>CW582/CW583*100</f>
        <v>#DIV/0!</v>
      </c>
      <c r="CX573" s="241"/>
      <c r="CY573" s="45" t="e">
        <f>CY582/CY583*100</f>
        <v>#DIV/0!</v>
      </c>
      <c r="CZ573" s="45" t="e">
        <f>CZ582/CZ583*100</f>
        <v>#DIV/0!</v>
      </c>
      <c r="DB573" s="45" t="e">
        <f>DB582/DB583*100</f>
        <v>#DIV/0!</v>
      </c>
      <c r="DC573" s="45" t="e">
        <f>DC582/DC583*100</f>
        <v>#DIV/0!</v>
      </c>
      <c r="DD573" s="241"/>
      <c r="DE573" s="45">
        <f>DE582/DE583*100</f>
        <v>0</v>
      </c>
      <c r="DF573" s="45" t="e">
        <f>DF582/DF583*100</f>
        <v>#DIV/0!</v>
      </c>
    </row>
    <row r="574" spans="1:110" x14ac:dyDescent="0.25">
      <c r="A574" s="160"/>
      <c r="B574" s="70" t="s">
        <v>1182</v>
      </c>
      <c r="C574" s="13"/>
      <c r="D574" s="13"/>
      <c r="E574" s="111"/>
      <c r="F574" s="111"/>
      <c r="G574" s="111"/>
      <c r="H574" s="111"/>
      <c r="I574" s="111"/>
      <c r="J574" s="111"/>
      <c r="K574" s="111"/>
      <c r="L574" s="111"/>
      <c r="M574" s="3"/>
    </row>
    <row r="575" spans="1:110" ht="60" x14ac:dyDescent="0.25">
      <c r="A575" s="160"/>
      <c r="B575" s="70" t="s">
        <v>2002</v>
      </c>
      <c r="C575" s="6" t="s">
        <v>2807</v>
      </c>
      <c r="D575" s="13"/>
      <c r="E575" s="111"/>
      <c r="F575" s="111"/>
      <c r="G575" s="111"/>
      <c r="H575" s="140"/>
      <c r="I575" s="140">
        <v>90</v>
      </c>
      <c r="J575" s="140">
        <f>1+124</f>
        <v>125</v>
      </c>
      <c r="K575" s="140">
        <f>86+3</f>
        <v>89</v>
      </c>
      <c r="L575" s="140">
        <v>180</v>
      </c>
      <c r="M575" s="3"/>
      <c r="N575" s="241">
        <f t="shared" ref="N575:N577" si="1661">P575+S575+V575+Y575+AB575+AE575+AH575+AK575+AN575+AQ575+AW575+AZ575+BC575+BF575+BI575+BL575+BO575+BR575+BU575+BX575+CA575+CD575+CG575+CJ575+AT575+CM575+CP575</f>
        <v>58</v>
      </c>
      <c r="O575" s="241">
        <f t="shared" ref="O575:O577" si="1662">Q575+T575+W575+Z575+AC575+AF575+AI575+AL575+AO575+AR575+AX575+BA575+BD575+BG575+BJ575+BM575+BP575+BS575+BV575+BY575+CB575+CE575+CH575+CK575+AU575</f>
        <v>0</v>
      </c>
      <c r="P575">
        <v>8</v>
      </c>
      <c r="S575">
        <v>0</v>
      </c>
      <c r="V575">
        <v>0</v>
      </c>
      <c r="Y575">
        <v>16</v>
      </c>
      <c r="AB575">
        <v>1</v>
      </c>
      <c r="AE575">
        <v>0</v>
      </c>
      <c r="AH575">
        <v>1</v>
      </c>
      <c r="AK575">
        <v>5</v>
      </c>
      <c r="AN575">
        <v>0</v>
      </c>
      <c r="AQ575">
        <v>0</v>
      </c>
      <c r="AT575" s="241">
        <v>0</v>
      </c>
      <c r="AW575">
        <v>0</v>
      </c>
      <c r="AZ575">
        <v>0</v>
      </c>
      <c r="BC575">
        <v>1</v>
      </c>
      <c r="BF575">
        <v>0</v>
      </c>
      <c r="BI575">
        <v>3</v>
      </c>
      <c r="BL575">
        <v>4</v>
      </c>
      <c r="BO575">
        <v>0</v>
      </c>
      <c r="BR575">
        <v>3</v>
      </c>
      <c r="BU575">
        <v>1</v>
      </c>
      <c r="BX575">
        <v>7</v>
      </c>
      <c r="CA575">
        <v>2</v>
      </c>
      <c r="CD575">
        <v>2</v>
      </c>
      <c r="CG575">
        <v>4</v>
      </c>
    </row>
    <row r="576" spans="1:110" ht="60" x14ac:dyDescent="0.25">
      <c r="A576" s="160"/>
      <c r="B576" s="70" t="s">
        <v>2003</v>
      </c>
      <c r="C576" s="6" t="s">
        <v>2808</v>
      </c>
      <c r="D576" s="13"/>
      <c r="E576" s="111"/>
      <c r="F576" s="111"/>
      <c r="G576" s="111"/>
      <c r="H576" s="140"/>
      <c r="I576" s="140">
        <v>87</v>
      </c>
      <c r="J576" s="140">
        <f>1+117</f>
        <v>118</v>
      </c>
      <c r="K576" s="140">
        <f>72+3</f>
        <v>75</v>
      </c>
      <c r="L576" s="140">
        <v>102</v>
      </c>
      <c r="M576" s="3"/>
      <c r="N576" s="241">
        <f t="shared" si="1661"/>
        <v>45</v>
      </c>
      <c r="O576" s="241">
        <f t="shared" si="1662"/>
        <v>0</v>
      </c>
      <c r="P576">
        <v>8</v>
      </c>
      <c r="S576">
        <v>0</v>
      </c>
      <c r="V576">
        <v>0</v>
      </c>
      <c r="Y576">
        <v>12</v>
      </c>
      <c r="AB576">
        <v>1</v>
      </c>
      <c r="AE576">
        <v>0</v>
      </c>
      <c r="AH576">
        <v>1</v>
      </c>
      <c r="AK576">
        <v>4</v>
      </c>
      <c r="AN576">
        <v>0</v>
      </c>
      <c r="AQ576">
        <v>0</v>
      </c>
      <c r="AT576" s="241">
        <v>0</v>
      </c>
      <c r="AW576">
        <v>0</v>
      </c>
      <c r="AZ576">
        <v>0</v>
      </c>
      <c r="BC576">
        <v>0</v>
      </c>
      <c r="BF576">
        <v>0</v>
      </c>
      <c r="BI576">
        <v>3</v>
      </c>
      <c r="BL576">
        <v>4</v>
      </c>
      <c r="BO576">
        <v>0</v>
      </c>
      <c r="BR576">
        <v>3</v>
      </c>
      <c r="BU576">
        <v>0</v>
      </c>
      <c r="BX576">
        <v>7</v>
      </c>
      <c r="CA576">
        <v>0</v>
      </c>
      <c r="CD576">
        <v>2</v>
      </c>
      <c r="CG576">
        <v>0</v>
      </c>
    </row>
    <row r="577" spans="1:110" ht="60" x14ac:dyDescent="0.25">
      <c r="A577" s="160"/>
      <c r="B577" s="70" t="s">
        <v>2079</v>
      </c>
      <c r="C577" s="6" t="s">
        <v>2809</v>
      </c>
      <c r="D577" s="13"/>
      <c r="E577" s="111"/>
      <c r="F577" s="111"/>
      <c r="G577" s="111"/>
      <c r="H577" s="140"/>
      <c r="I577" s="140">
        <f>1+94+11</f>
        <v>106</v>
      </c>
      <c r="J577" s="140">
        <v>123</v>
      </c>
      <c r="K577" s="140">
        <f>1+161</f>
        <v>162</v>
      </c>
      <c r="L577" s="140">
        <v>150</v>
      </c>
      <c r="M577" s="3"/>
      <c r="N577" s="241">
        <f t="shared" si="1661"/>
        <v>159</v>
      </c>
      <c r="O577" s="241">
        <f t="shared" si="1662"/>
        <v>0</v>
      </c>
      <c r="P577">
        <v>0</v>
      </c>
      <c r="S577">
        <v>14</v>
      </c>
      <c r="V577">
        <v>12</v>
      </c>
      <c r="Y577">
        <v>21</v>
      </c>
      <c r="AB577">
        <v>0</v>
      </c>
      <c r="AE577">
        <v>0</v>
      </c>
      <c r="AH577">
        <v>0</v>
      </c>
      <c r="AK577">
        <v>0</v>
      </c>
      <c r="AN577">
        <v>2</v>
      </c>
      <c r="AQ577">
        <v>9</v>
      </c>
      <c r="AT577" s="241">
        <v>3</v>
      </c>
      <c r="AW577">
        <v>1</v>
      </c>
      <c r="AZ577">
        <v>9</v>
      </c>
      <c r="BC577">
        <f>23+20</f>
        <v>43</v>
      </c>
      <c r="BF577">
        <v>16</v>
      </c>
      <c r="BI577">
        <v>0</v>
      </c>
      <c r="BL577">
        <v>0</v>
      </c>
      <c r="BO577">
        <v>10</v>
      </c>
      <c r="BR577">
        <v>0</v>
      </c>
      <c r="BU577">
        <v>5</v>
      </c>
      <c r="BX577">
        <v>0</v>
      </c>
      <c r="CA577">
        <v>6</v>
      </c>
      <c r="CD577">
        <v>0</v>
      </c>
      <c r="CG577">
        <v>8</v>
      </c>
    </row>
    <row r="578" spans="1:110" ht="45" x14ac:dyDescent="0.25">
      <c r="A578" s="160"/>
      <c r="B578" s="21" t="s">
        <v>2071</v>
      </c>
      <c r="C578" s="6" t="s">
        <v>2709</v>
      </c>
      <c r="D578" s="13"/>
      <c r="E578" s="111"/>
      <c r="F578" s="111"/>
      <c r="G578" s="111"/>
      <c r="H578" s="140"/>
      <c r="I578" s="140">
        <f>I76+I86</f>
        <v>26783</v>
      </c>
      <c r="J578" s="140">
        <f>J76+J86</f>
        <v>27226</v>
      </c>
      <c r="K578" s="140">
        <f>K76+K86</f>
        <v>25074</v>
      </c>
      <c r="L578" s="140">
        <f>L76+L86</f>
        <v>0</v>
      </c>
      <c r="M578" s="3"/>
      <c r="N578" s="241">
        <f>N76+N86</f>
        <v>25074</v>
      </c>
      <c r="O578" s="241">
        <f>O76+O86</f>
        <v>0</v>
      </c>
      <c r="P578" s="241">
        <f>P76+P86</f>
        <v>183</v>
      </c>
      <c r="Q578" s="241">
        <f>Q76+Q86</f>
        <v>0</v>
      </c>
      <c r="S578" s="241">
        <f>S76+S86</f>
        <v>1873</v>
      </c>
      <c r="T578" s="241">
        <f>T76+T86</f>
        <v>0</v>
      </c>
      <c r="V578" s="241">
        <f>V76+V86</f>
        <v>1153</v>
      </c>
      <c r="W578" s="241">
        <f>W76+W86</f>
        <v>0</v>
      </c>
      <c r="Y578" s="241">
        <f>Y76+Y86</f>
        <v>2630</v>
      </c>
      <c r="Z578" s="241">
        <f>Z76+Z86</f>
        <v>0</v>
      </c>
      <c r="AA578" s="241"/>
      <c r="AB578" s="241">
        <f>AB76+AB86</f>
        <v>326</v>
      </c>
      <c r="AC578" s="241">
        <f>AC76+AC86</f>
        <v>0</v>
      </c>
      <c r="AD578" s="241"/>
      <c r="AE578" s="241">
        <f>AE76+AE86</f>
        <v>210</v>
      </c>
      <c r="AF578" s="241">
        <f>AF76+AF86</f>
        <v>0</v>
      </c>
      <c r="AH578" s="241">
        <f>AH76+AH86</f>
        <v>164</v>
      </c>
      <c r="AI578" s="241">
        <f>AI76+AI86</f>
        <v>0</v>
      </c>
      <c r="AJ578" s="241"/>
      <c r="AK578" s="241">
        <f>AK76+AK86</f>
        <v>763</v>
      </c>
      <c r="AL578" s="241">
        <f>AL76+AL86</f>
        <v>0</v>
      </c>
      <c r="AM578" s="241"/>
      <c r="AN578" s="241">
        <f>AN76+AN86</f>
        <v>525</v>
      </c>
      <c r="AO578" s="241">
        <f>AO76+AO86</f>
        <v>0</v>
      </c>
      <c r="AQ578" s="241">
        <f>AQ76+AQ86</f>
        <v>795</v>
      </c>
      <c r="AR578" s="241">
        <f>AR76+AR86</f>
        <v>0</v>
      </c>
      <c r="AS578" s="241"/>
      <c r="AT578" s="241">
        <f>AT76+AT86</f>
        <v>230</v>
      </c>
      <c r="AU578" s="241">
        <f>AU76+AU86</f>
        <v>0</v>
      </c>
      <c r="AW578" s="241">
        <f>AW76+AW86</f>
        <v>517</v>
      </c>
      <c r="AX578" s="241">
        <f>AX76+AX86</f>
        <v>0</v>
      </c>
      <c r="AZ578" s="241">
        <f>AZ76+AZ86</f>
        <v>1223</v>
      </c>
      <c r="BA578" s="241">
        <f>BA76+BA86</f>
        <v>0</v>
      </c>
      <c r="BB578" s="241"/>
      <c r="BC578" s="241">
        <f>BC76+BC86</f>
        <v>1672</v>
      </c>
      <c r="BD578" s="241">
        <f>BD76+BD86</f>
        <v>0</v>
      </c>
      <c r="BE578" s="241"/>
      <c r="BF578" s="241">
        <f>BF76+BF86</f>
        <v>1310</v>
      </c>
      <c r="BG578" s="241">
        <f>BG76+BG86</f>
        <v>0</v>
      </c>
      <c r="BI578" s="241">
        <f>BI76+BI86</f>
        <v>790</v>
      </c>
      <c r="BJ578" s="241">
        <f>BJ76+BJ86</f>
        <v>0</v>
      </c>
      <c r="BK578" s="241"/>
      <c r="BL578" s="241">
        <f>BL76+BL86</f>
        <v>739</v>
      </c>
      <c r="BM578" s="241">
        <f>BM76+BM86</f>
        <v>0</v>
      </c>
      <c r="BN578" s="241"/>
      <c r="BO578" s="241">
        <f>BO76+BO86</f>
        <v>463</v>
      </c>
      <c r="BP578" s="241">
        <f>BP76+BP86</f>
        <v>0</v>
      </c>
      <c r="BR578" s="241">
        <f>BR76+BR86</f>
        <v>448</v>
      </c>
      <c r="BS578" s="241">
        <f>BS76+BS86</f>
        <v>0</v>
      </c>
      <c r="BT578" s="241"/>
      <c r="BU578" s="241">
        <f>BU76+BU86</f>
        <v>684</v>
      </c>
      <c r="BV578" s="241">
        <f>BV76+BV86</f>
        <v>0</v>
      </c>
      <c r="BW578" s="241"/>
      <c r="BX578" s="241">
        <f>BX76+BX86</f>
        <v>475</v>
      </c>
      <c r="BY578" s="241">
        <f>BY76+BY86</f>
        <v>0</v>
      </c>
      <c r="CA578" s="241">
        <f>CA76+CA86</f>
        <v>930</v>
      </c>
      <c r="CB578" s="241">
        <f>CB76+CB86</f>
        <v>0</v>
      </c>
      <c r="CC578" s="241"/>
      <c r="CD578" s="241">
        <f>CD76+CD86</f>
        <v>480</v>
      </c>
      <c r="CE578" s="241">
        <f>CE76+CE86</f>
        <v>0</v>
      </c>
      <c r="CF578" s="241"/>
      <c r="CG578" s="241">
        <f>CG76+CG86</f>
        <v>831</v>
      </c>
      <c r="CH578" s="241">
        <f>CH76+CH86</f>
        <v>0</v>
      </c>
      <c r="CJ578" s="241">
        <f>CJ76+CJ86</f>
        <v>577</v>
      </c>
      <c r="CK578" s="241">
        <f>CK76+CK86</f>
        <v>0</v>
      </c>
      <c r="CL578" s="241"/>
      <c r="CM578" s="241">
        <f>CM76+CM86</f>
        <v>0</v>
      </c>
      <c r="CN578" s="241">
        <f>CN76+CN86</f>
        <v>0</v>
      </c>
      <c r="CO578" s="241"/>
      <c r="CP578" s="241">
        <f>CP76+CP86</f>
        <v>0</v>
      </c>
      <c r="CQ578" s="241">
        <f>CQ76+CQ86</f>
        <v>0</v>
      </c>
      <c r="CS578" s="241">
        <f>CS76+CS86</f>
        <v>1403</v>
      </c>
      <c r="CT578" s="241">
        <f>CT76+CT86</f>
        <v>0</v>
      </c>
      <c r="CU578" s="241"/>
      <c r="CV578" s="241">
        <f>CV76+CV86</f>
        <v>928</v>
      </c>
      <c r="CW578" s="241">
        <f>CW76+CW86</f>
        <v>0</v>
      </c>
      <c r="CX578" s="241"/>
      <c r="CY578" s="241">
        <f>CY76+CY86</f>
        <v>1982</v>
      </c>
      <c r="CZ578" s="241">
        <f>CZ76+CZ86</f>
        <v>0</v>
      </c>
      <c r="DB578" s="241">
        <f>DB76+DB86</f>
        <v>770</v>
      </c>
      <c r="DC578" s="241">
        <f>DC76+DC86</f>
        <v>0</v>
      </c>
      <c r="DD578" s="241"/>
      <c r="DE578" s="241">
        <f>DE76+DE86</f>
        <v>0</v>
      </c>
      <c r="DF578" s="241">
        <f>DF76+DF86</f>
        <v>0</v>
      </c>
    </row>
    <row r="579" spans="1:110" x14ac:dyDescent="0.25">
      <c r="A579" s="160"/>
      <c r="B579" s="70" t="s">
        <v>1184</v>
      </c>
      <c r="C579" s="13"/>
      <c r="D579" s="13"/>
      <c r="E579" s="111"/>
      <c r="F579" s="111"/>
      <c r="G579" s="111"/>
      <c r="H579" s="140"/>
      <c r="I579" s="140"/>
      <c r="J579" s="140"/>
      <c r="K579" s="140"/>
      <c r="L579" s="140"/>
      <c r="M579" s="3"/>
      <c r="P579" s="241"/>
      <c r="Q579" s="241"/>
      <c r="S579" s="241"/>
      <c r="T579" s="241"/>
      <c r="V579" s="241"/>
      <c r="W579" s="241"/>
      <c r="Y579" s="241"/>
      <c r="Z579" s="241"/>
      <c r="AA579" s="241"/>
      <c r="AB579" s="241"/>
      <c r="AC579" s="241"/>
      <c r="AD579" s="241"/>
      <c r="AE579" s="241"/>
      <c r="AF579" s="241"/>
      <c r="AH579" s="241"/>
      <c r="AI579" s="241"/>
      <c r="AJ579" s="241"/>
      <c r="AK579" s="241"/>
      <c r="AL579" s="241"/>
      <c r="AM579" s="241"/>
      <c r="AN579" s="241"/>
      <c r="AO579" s="241"/>
      <c r="AQ579" s="241"/>
      <c r="AR579" s="241"/>
      <c r="AS579" s="241"/>
      <c r="AW579" s="241"/>
      <c r="AX579" s="241"/>
      <c r="AZ579" s="241"/>
      <c r="BA579" s="241"/>
      <c r="BB579" s="241"/>
      <c r="BC579" s="241"/>
      <c r="BD579" s="241"/>
      <c r="BE579" s="241"/>
      <c r="BF579" s="241"/>
      <c r="BG579" s="241"/>
      <c r="BI579" s="241"/>
      <c r="BJ579" s="241"/>
      <c r="BK579" s="241"/>
      <c r="BL579" s="241"/>
      <c r="BM579" s="241"/>
      <c r="BN579" s="241"/>
      <c r="BO579" s="241"/>
      <c r="BP579" s="241"/>
      <c r="BR579" s="241"/>
      <c r="BS579" s="241"/>
      <c r="BT579" s="241"/>
      <c r="BU579" s="241"/>
      <c r="BV579" s="241"/>
      <c r="BW579" s="241"/>
      <c r="BX579" s="241"/>
      <c r="BY579" s="241"/>
      <c r="CA579" s="241"/>
      <c r="CB579" s="241"/>
      <c r="CC579" s="241"/>
      <c r="CD579" s="241"/>
      <c r="CE579" s="241"/>
      <c r="CF579" s="241"/>
      <c r="CG579" s="241"/>
      <c r="CH579" s="241"/>
      <c r="CJ579" s="241"/>
      <c r="CK579" s="241"/>
      <c r="CL579" s="241"/>
      <c r="CM579" s="241"/>
      <c r="CN579" s="241"/>
      <c r="CO579" s="241"/>
      <c r="CP579" s="241"/>
      <c r="CQ579" s="241"/>
      <c r="CS579" s="241"/>
      <c r="CT579" s="241"/>
      <c r="CU579" s="241"/>
      <c r="CV579" s="241"/>
      <c r="CW579" s="241"/>
      <c r="CX579" s="241"/>
      <c r="CY579" s="241"/>
      <c r="CZ579" s="241"/>
      <c r="DB579" s="241"/>
      <c r="DC579" s="241"/>
      <c r="DD579" s="241"/>
      <c r="DE579" s="241"/>
      <c r="DF579" s="241"/>
    </row>
    <row r="580" spans="1:110" ht="60" x14ac:dyDescent="0.25">
      <c r="A580" s="160"/>
      <c r="B580" s="70" t="s">
        <v>2002</v>
      </c>
      <c r="C580" s="6" t="s">
        <v>2807</v>
      </c>
      <c r="D580" s="13"/>
      <c r="E580" s="111"/>
      <c r="F580" s="111"/>
      <c r="G580" s="111"/>
      <c r="H580" s="140"/>
      <c r="I580" s="140">
        <v>0</v>
      </c>
      <c r="J580" s="140">
        <v>0</v>
      </c>
      <c r="K580" s="140">
        <v>7</v>
      </c>
      <c r="L580" s="140">
        <v>21</v>
      </c>
      <c r="M580" s="3"/>
      <c r="N580" s="241">
        <f t="shared" ref="N580:N582" si="1663">P580+S580+V580+Y580+AB580+AE580+AH580+AK580+AN580+AQ580+AW580+AZ580+BC580+BF580+BI580+BL580+BO580+BR580+BU580+BX580+CA580+CD580+CG580+CJ580+AT580+CM580+CP580</f>
        <v>0</v>
      </c>
      <c r="O580" s="241">
        <f t="shared" ref="O580:O582" si="1664">Q580+T580+W580+Z580+AC580+AF580+AI580+AL580+AO580+AR580+AX580+BA580+BD580+BG580+BJ580+BM580+BP580+BS580+BV580+BY580+CB580+CE580+CH580+CK580+AU580</f>
        <v>0</v>
      </c>
      <c r="P580" s="241"/>
      <c r="Q580" s="241"/>
      <c r="S580" s="241"/>
      <c r="T580" s="241"/>
      <c r="V580" s="241"/>
      <c r="W580" s="241"/>
      <c r="Y580" s="241"/>
      <c r="Z580" s="241"/>
      <c r="AA580" s="241"/>
      <c r="AB580" s="241"/>
      <c r="AC580" s="241"/>
      <c r="AD580" s="241"/>
      <c r="AE580" s="241"/>
      <c r="AF580" s="241"/>
      <c r="AH580" s="241"/>
      <c r="AI580" s="241"/>
      <c r="AJ580" s="241"/>
      <c r="AK580" s="241"/>
      <c r="AL580" s="241"/>
      <c r="AM580" s="241"/>
      <c r="AN580" s="241"/>
      <c r="AO580" s="241"/>
      <c r="AQ580" s="241"/>
      <c r="AR580" s="241"/>
      <c r="AS580" s="241"/>
      <c r="AW580" s="241"/>
      <c r="AX580" s="241"/>
      <c r="AZ580" s="241"/>
      <c r="BA580" s="241"/>
      <c r="BB580" s="241"/>
      <c r="BC580" s="241"/>
      <c r="BD580" s="241"/>
      <c r="BE580" s="241"/>
      <c r="BF580" s="241"/>
      <c r="BG580" s="241"/>
      <c r="BI580" s="241"/>
      <c r="BJ580" s="241"/>
      <c r="BK580" s="241"/>
      <c r="BL580" s="241"/>
      <c r="BM580" s="241"/>
      <c r="BN580" s="241"/>
      <c r="BO580" s="241"/>
      <c r="BP580" s="241"/>
      <c r="BR580" s="241"/>
      <c r="BS580" s="241"/>
      <c r="BT580" s="241"/>
      <c r="BU580" s="241"/>
      <c r="BV580" s="241"/>
      <c r="BW580" s="241"/>
      <c r="BX580" s="241"/>
      <c r="BY580" s="241"/>
      <c r="CA580" s="241"/>
      <c r="CB580" s="241"/>
      <c r="CC580" s="241"/>
      <c r="CD580" s="241"/>
      <c r="CE580" s="241"/>
      <c r="CF580" s="241"/>
      <c r="CG580" s="241"/>
      <c r="CH580" s="241"/>
      <c r="CJ580" s="241"/>
      <c r="CK580" s="241"/>
      <c r="CL580" s="241"/>
      <c r="CM580" s="241"/>
      <c r="CN580" s="241"/>
      <c r="CO580" s="241"/>
      <c r="CP580" s="241"/>
      <c r="CQ580" s="241"/>
      <c r="CS580" s="241"/>
      <c r="CT580" s="241"/>
      <c r="CU580" s="241"/>
      <c r="CV580" s="241"/>
      <c r="CW580" s="241"/>
      <c r="CX580" s="241"/>
      <c r="CY580" s="241"/>
      <c r="CZ580" s="241"/>
      <c r="DB580" s="241"/>
      <c r="DC580" s="241"/>
      <c r="DD580" s="241"/>
      <c r="DE580" s="241"/>
      <c r="DF580" s="241"/>
    </row>
    <row r="581" spans="1:110" ht="60" x14ac:dyDescent="0.25">
      <c r="A581" s="160"/>
      <c r="B581" s="70" t="s">
        <v>2003</v>
      </c>
      <c r="C581" s="6" t="s">
        <v>2808</v>
      </c>
      <c r="D581" s="13"/>
      <c r="E581" s="111"/>
      <c r="F581" s="111"/>
      <c r="G581" s="111"/>
      <c r="H581" s="140"/>
      <c r="I581" s="140">
        <v>0</v>
      </c>
      <c r="J581" s="140">
        <v>0</v>
      </c>
      <c r="K581" s="140">
        <v>7</v>
      </c>
      <c r="L581" s="140">
        <v>21</v>
      </c>
      <c r="M581" s="3"/>
      <c r="N581" s="241">
        <f t="shared" si="1663"/>
        <v>0</v>
      </c>
      <c r="O581" s="241">
        <f t="shared" si="1664"/>
        <v>0</v>
      </c>
      <c r="P581" s="241"/>
      <c r="Q581" s="241"/>
      <c r="S581" s="241"/>
      <c r="T581" s="241"/>
      <c r="V581" s="241"/>
      <c r="W581" s="241"/>
      <c r="Y581" s="241"/>
      <c r="Z581" s="241"/>
      <c r="AA581" s="241"/>
      <c r="AB581" s="241"/>
      <c r="AC581" s="241"/>
      <c r="AD581" s="241"/>
      <c r="AE581" s="241"/>
      <c r="AF581" s="241"/>
      <c r="AH581" s="241"/>
      <c r="AI581" s="241"/>
      <c r="AJ581" s="241"/>
      <c r="AK581" s="241"/>
      <c r="AL581" s="241"/>
      <c r="AM581" s="241"/>
      <c r="AN581" s="241"/>
      <c r="AO581" s="241"/>
      <c r="AQ581" s="241"/>
      <c r="AR581" s="241"/>
      <c r="AS581" s="241"/>
      <c r="AW581" s="241"/>
      <c r="AX581" s="241"/>
      <c r="AZ581" s="241"/>
      <c r="BA581" s="241"/>
      <c r="BB581" s="241"/>
      <c r="BC581" s="241"/>
      <c r="BD581" s="241"/>
      <c r="BE581" s="241"/>
      <c r="BF581" s="241"/>
      <c r="BG581" s="241"/>
      <c r="BI581" s="241"/>
      <c r="BJ581" s="241"/>
      <c r="BK581" s="241"/>
      <c r="BL581" s="241"/>
      <c r="BM581" s="241"/>
      <c r="BN581" s="241"/>
      <c r="BO581" s="241"/>
      <c r="BP581" s="241"/>
      <c r="BR581" s="241"/>
      <c r="BS581" s="241"/>
      <c r="BT581" s="241"/>
      <c r="BU581" s="241"/>
      <c r="BV581" s="241"/>
      <c r="BW581" s="241"/>
      <c r="BX581" s="241"/>
      <c r="BY581" s="241"/>
      <c r="CA581" s="241"/>
      <c r="CB581" s="241"/>
      <c r="CC581" s="241"/>
      <c r="CD581" s="241"/>
      <c r="CE581" s="241"/>
      <c r="CF581" s="241"/>
      <c r="CG581" s="241"/>
      <c r="CH581" s="241"/>
      <c r="CJ581" s="241"/>
      <c r="CK581" s="241"/>
      <c r="CL581" s="241"/>
      <c r="CM581" s="241"/>
      <c r="CN581" s="241"/>
      <c r="CO581" s="241"/>
      <c r="CP581" s="241"/>
      <c r="CQ581" s="241"/>
      <c r="CS581" s="241"/>
      <c r="CT581" s="241"/>
      <c r="CU581" s="241"/>
      <c r="CV581" s="241"/>
      <c r="CW581" s="241"/>
      <c r="CX581" s="241"/>
      <c r="CY581" s="241"/>
      <c r="CZ581" s="241"/>
      <c r="DB581" s="241"/>
      <c r="DC581" s="241"/>
      <c r="DD581" s="241"/>
      <c r="DE581" s="241"/>
      <c r="DF581" s="241"/>
    </row>
    <row r="582" spans="1:110" ht="60" x14ac:dyDescent="0.25">
      <c r="A582" s="160"/>
      <c r="B582" s="70" t="s">
        <v>2079</v>
      </c>
      <c r="C582" s="6" t="s">
        <v>2809</v>
      </c>
      <c r="D582" s="13"/>
      <c r="E582" s="111"/>
      <c r="F582" s="111"/>
      <c r="G582" s="111"/>
      <c r="H582" s="140"/>
      <c r="I582" s="140">
        <v>0</v>
      </c>
      <c r="J582" s="140">
        <v>0</v>
      </c>
      <c r="K582" s="140">
        <v>0</v>
      </c>
      <c r="L582" s="140">
        <v>0</v>
      </c>
      <c r="M582" s="3"/>
      <c r="N582" s="241">
        <f t="shared" si="1663"/>
        <v>0</v>
      </c>
      <c r="O582" s="241">
        <f t="shared" si="1664"/>
        <v>0</v>
      </c>
      <c r="P582" s="241"/>
      <c r="Q582" s="241"/>
      <c r="S582" s="241"/>
      <c r="T582" s="241"/>
      <c r="V582" s="241"/>
      <c r="W582" s="241"/>
      <c r="Y582" s="241"/>
      <c r="Z582" s="241"/>
      <c r="AA582" s="241"/>
      <c r="AB582" s="241"/>
      <c r="AC582" s="241"/>
      <c r="AD582" s="241"/>
      <c r="AE582" s="241"/>
      <c r="AF582" s="241"/>
      <c r="AH582" s="241"/>
      <c r="AI582" s="241"/>
      <c r="AJ582" s="241"/>
      <c r="AK582" s="241"/>
      <c r="AL582" s="241"/>
      <c r="AM582" s="241"/>
      <c r="AN582" s="241"/>
      <c r="AO582" s="241"/>
      <c r="AQ582" s="241"/>
      <c r="AR582" s="241"/>
      <c r="AS582" s="241"/>
      <c r="AW582" s="241"/>
      <c r="AX582" s="241"/>
      <c r="AZ582" s="241"/>
      <c r="BA582" s="241"/>
      <c r="BB582" s="241"/>
      <c r="BC582" s="241"/>
      <c r="BD582" s="241"/>
      <c r="BE582" s="241"/>
      <c r="BF582" s="241"/>
      <c r="BG582" s="241"/>
      <c r="BI582" s="241"/>
      <c r="BJ582" s="241"/>
      <c r="BK582" s="241"/>
      <c r="BL582" s="241"/>
      <c r="BM582" s="241"/>
      <c r="BN582" s="241"/>
      <c r="BO582" s="241"/>
      <c r="BP582" s="241"/>
      <c r="BR582" s="241"/>
      <c r="BS582" s="241"/>
      <c r="BT582" s="241"/>
      <c r="BU582" s="241"/>
      <c r="BV582" s="241"/>
      <c r="BW582" s="241"/>
      <c r="BX582" s="241"/>
      <c r="BY582" s="241"/>
      <c r="CA582" s="241"/>
      <c r="CB582" s="241"/>
      <c r="CC582" s="241"/>
      <c r="CD582" s="241"/>
      <c r="CE582" s="241"/>
      <c r="CF582" s="241"/>
      <c r="CG582" s="241"/>
      <c r="CH582" s="241"/>
      <c r="CJ582" s="241"/>
      <c r="CK582" s="241"/>
      <c r="CL582" s="241"/>
      <c r="CM582" s="241"/>
      <c r="CN582" s="241"/>
      <c r="CO582" s="241"/>
      <c r="CP582" s="241"/>
      <c r="CQ582" s="241"/>
      <c r="CS582" s="241"/>
      <c r="CT582" s="241"/>
      <c r="CU582" s="241"/>
      <c r="CV582" s="241"/>
      <c r="CW582" s="241"/>
      <c r="CX582" s="241"/>
      <c r="CY582" s="241"/>
      <c r="CZ582" s="241"/>
      <c r="DB582" s="241"/>
      <c r="DC582" s="241"/>
      <c r="DD582" s="241"/>
      <c r="DE582" s="241"/>
      <c r="DF582" s="241"/>
    </row>
    <row r="583" spans="1:110" ht="45" x14ac:dyDescent="0.25">
      <c r="A583" s="160"/>
      <c r="B583" s="21" t="s">
        <v>2071</v>
      </c>
      <c r="C583" s="6" t="s">
        <v>2709</v>
      </c>
      <c r="D583" s="13"/>
      <c r="E583" s="111"/>
      <c r="F583" s="111"/>
      <c r="G583" s="111"/>
      <c r="H583" s="140"/>
      <c r="I583" s="140">
        <f>I77+I87</f>
        <v>778</v>
      </c>
      <c r="J583" s="140">
        <f>J77+J87</f>
        <v>1329</v>
      </c>
      <c r="K583" s="140">
        <f>K77+K87</f>
        <v>1837</v>
      </c>
      <c r="L583" s="140">
        <f>L77+L87</f>
        <v>0</v>
      </c>
      <c r="M583" s="3"/>
      <c r="N583" s="241">
        <f>N77+N87</f>
        <v>1837</v>
      </c>
      <c r="O583" s="241">
        <f>O77+O87</f>
        <v>0</v>
      </c>
      <c r="P583" s="241">
        <f>P77+P87</f>
        <v>0</v>
      </c>
      <c r="Q583" s="241">
        <f>Q77+Q87</f>
        <v>0</v>
      </c>
      <c r="S583" s="241">
        <f>S77+S87</f>
        <v>0</v>
      </c>
      <c r="T583" s="241">
        <f>T77+T87</f>
        <v>0</v>
      </c>
      <c r="V583" s="241">
        <f>V77+V87</f>
        <v>0</v>
      </c>
      <c r="W583" s="241">
        <f>W77+W87</f>
        <v>0</v>
      </c>
      <c r="Y583" s="241">
        <f>Y77+Y87</f>
        <v>0</v>
      </c>
      <c r="Z583" s="241">
        <f>Z77+Z87</f>
        <v>0</v>
      </c>
      <c r="AA583" s="241"/>
      <c r="AB583" s="241">
        <f>AB77+AB87</f>
        <v>0</v>
      </c>
      <c r="AC583" s="241">
        <f>AC77+AC87</f>
        <v>0</v>
      </c>
      <c r="AD583" s="241"/>
      <c r="AE583" s="241">
        <f>AE77+AE87</f>
        <v>0</v>
      </c>
      <c r="AF583" s="241">
        <f>AF77+AF87</f>
        <v>0</v>
      </c>
      <c r="AH583" s="241">
        <f>AH77+AH87</f>
        <v>0</v>
      </c>
      <c r="AI583" s="241">
        <f>AI77+AI87</f>
        <v>0</v>
      </c>
      <c r="AJ583" s="241"/>
      <c r="AK583" s="241">
        <f>AK77+AK87</f>
        <v>0</v>
      </c>
      <c r="AL583" s="241">
        <f>AL77+AL87</f>
        <v>0</v>
      </c>
      <c r="AM583" s="241"/>
      <c r="AN583" s="241">
        <f>AN77+AN87</f>
        <v>0</v>
      </c>
      <c r="AO583" s="241">
        <f>AO77+AO87</f>
        <v>0</v>
      </c>
      <c r="AQ583" s="241">
        <f>AQ77+AQ87</f>
        <v>0</v>
      </c>
      <c r="AR583" s="241">
        <f>AR77+AR87</f>
        <v>0</v>
      </c>
      <c r="AS583" s="241"/>
      <c r="AT583" s="241">
        <f>AT77+AT87</f>
        <v>0</v>
      </c>
      <c r="AU583" s="241">
        <f>AU77+AU87</f>
        <v>0</v>
      </c>
      <c r="AW583" s="241">
        <f>AW77+AW87</f>
        <v>0</v>
      </c>
      <c r="AX583" s="241">
        <f>AX77+AX87</f>
        <v>0</v>
      </c>
      <c r="AZ583" s="241">
        <f>AZ77+AZ87</f>
        <v>0</v>
      </c>
      <c r="BA583" s="241">
        <f>BA77+BA87</f>
        <v>0</v>
      </c>
      <c r="BB583" s="241"/>
      <c r="BC583" s="241">
        <f>BC77+BC87</f>
        <v>0</v>
      </c>
      <c r="BD583" s="241">
        <f>BD77+BD87</f>
        <v>0</v>
      </c>
      <c r="BE583" s="241"/>
      <c r="BF583" s="241">
        <f>BF77+BF87</f>
        <v>0</v>
      </c>
      <c r="BG583" s="241">
        <f>BG77+BG87</f>
        <v>0</v>
      </c>
      <c r="BI583" s="241">
        <f>BI77+BI87</f>
        <v>0</v>
      </c>
      <c r="BJ583" s="241">
        <f>BJ77+BJ87</f>
        <v>0</v>
      </c>
      <c r="BK583" s="241"/>
      <c r="BL583" s="241">
        <f>BL77+BL87</f>
        <v>0</v>
      </c>
      <c r="BM583" s="241">
        <f>BM77+BM87</f>
        <v>0</v>
      </c>
      <c r="BN583" s="241"/>
      <c r="BO583" s="241">
        <f>BO77+BO87</f>
        <v>0</v>
      </c>
      <c r="BP583" s="241">
        <f>BP77+BP87</f>
        <v>0</v>
      </c>
      <c r="BR583" s="241">
        <f>BR77+BR87</f>
        <v>0</v>
      </c>
      <c r="BS583" s="241">
        <f>BS77+BS87</f>
        <v>0</v>
      </c>
      <c r="BT583" s="241"/>
      <c r="BU583" s="241">
        <f>BU77+BU87</f>
        <v>0</v>
      </c>
      <c r="BV583" s="241">
        <f>BV77+BV87</f>
        <v>0</v>
      </c>
      <c r="BW583" s="241"/>
      <c r="BX583" s="241">
        <f>BX77+BX87</f>
        <v>0</v>
      </c>
      <c r="BY583" s="241">
        <f>BY77+BY87</f>
        <v>0</v>
      </c>
      <c r="CA583" s="241">
        <f>CA77+CA87</f>
        <v>0</v>
      </c>
      <c r="CB583" s="241">
        <f>CB77+CB87</f>
        <v>0</v>
      </c>
      <c r="CC583" s="241"/>
      <c r="CD583" s="241">
        <f>CD77+CD87</f>
        <v>0</v>
      </c>
      <c r="CE583" s="241">
        <f>CE77+CE87</f>
        <v>0</v>
      </c>
      <c r="CF583" s="241"/>
      <c r="CG583" s="241">
        <f>CG77+CG87</f>
        <v>0</v>
      </c>
      <c r="CH583" s="241">
        <f>CH77+CH87</f>
        <v>0</v>
      </c>
      <c r="CJ583" s="241">
        <f>CJ77+CJ87</f>
        <v>0</v>
      </c>
      <c r="CK583" s="241">
        <f>CK77+CK87</f>
        <v>0</v>
      </c>
      <c r="CL583" s="241"/>
      <c r="CM583" s="241">
        <f>CM77+CM87</f>
        <v>0</v>
      </c>
      <c r="CN583" s="241">
        <f>CN77+CN87</f>
        <v>0</v>
      </c>
      <c r="CO583" s="241"/>
      <c r="CP583" s="241">
        <f>CP77+CP87</f>
        <v>0</v>
      </c>
      <c r="CQ583" s="241">
        <f>CQ77+CQ87</f>
        <v>0</v>
      </c>
      <c r="CS583" s="241">
        <f>CS77+CS87</f>
        <v>0</v>
      </c>
      <c r="CT583" s="241">
        <f>CT77+CT87</f>
        <v>0</v>
      </c>
      <c r="CU583" s="241"/>
      <c r="CV583" s="241">
        <f>CV77+CV87</f>
        <v>0</v>
      </c>
      <c r="CW583" s="241">
        <f>CW77+CW87</f>
        <v>0</v>
      </c>
      <c r="CX583" s="241"/>
      <c r="CY583" s="241">
        <f>CY77+CY87</f>
        <v>0</v>
      </c>
      <c r="CZ583" s="241">
        <f>CZ77+CZ87</f>
        <v>0</v>
      </c>
      <c r="DB583" s="241">
        <f>DB77+DB87</f>
        <v>0</v>
      </c>
      <c r="DC583" s="241">
        <f>DC77+DC87</f>
        <v>0</v>
      </c>
      <c r="DD583" s="241"/>
      <c r="DE583" s="241">
        <f>DE77+DE87</f>
        <v>1837</v>
      </c>
      <c r="DF583" s="241">
        <f>DF77+DF87</f>
        <v>0</v>
      </c>
    </row>
    <row r="584" spans="1:110" ht="60" hidden="1" x14ac:dyDescent="0.25">
      <c r="A584" s="163"/>
      <c r="B584" s="51" t="s">
        <v>498</v>
      </c>
      <c r="C584" s="150"/>
      <c r="D584" s="150" t="s">
        <v>8</v>
      </c>
      <c r="E584" s="164">
        <v>0.94</v>
      </c>
      <c r="F584" s="164">
        <v>0.93</v>
      </c>
      <c r="G584" s="164">
        <v>0.79</v>
      </c>
      <c r="H584" s="164"/>
      <c r="I584" s="164"/>
      <c r="J584" s="164"/>
      <c r="K584" s="164"/>
      <c r="L584" s="164"/>
      <c r="M584" s="3" t="s">
        <v>281</v>
      </c>
    </row>
    <row r="585" spans="1:110" hidden="1" x14ac:dyDescent="0.25">
      <c r="A585" s="165"/>
      <c r="B585" s="135" t="s">
        <v>1182</v>
      </c>
      <c r="C585" s="150"/>
      <c r="D585" s="150"/>
      <c r="E585" s="164"/>
      <c r="F585" s="164"/>
      <c r="G585" s="164"/>
      <c r="H585" s="164">
        <v>0.61</v>
      </c>
      <c r="I585" s="164"/>
      <c r="J585" s="164"/>
      <c r="K585" s="164"/>
      <c r="L585" s="164"/>
      <c r="M585" s="3"/>
    </row>
    <row r="586" spans="1:110" hidden="1" x14ac:dyDescent="0.25">
      <c r="A586" s="165"/>
      <c r="B586" s="135" t="s">
        <v>1184</v>
      </c>
      <c r="C586" s="150"/>
      <c r="D586" s="150"/>
      <c r="E586" s="164"/>
      <c r="F586" s="164"/>
      <c r="G586" s="164"/>
      <c r="H586" s="164">
        <v>0</v>
      </c>
      <c r="I586" s="164"/>
      <c r="J586" s="164"/>
      <c r="K586" s="164"/>
      <c r="L586" s="164"/>
      <c r="M586" s="3"/>
    </row>
    <row r="587" spans="1:110" ht="60" hidden="1" customHeight="1" x14ac:dyDescent="0.25">
      <c r="A587" s="419"/>
      <c r="B587" s="419" t="s">
        <v>506</v>
      </c>
      <c r="C587" s="6" t="s">
        <v>507</v>
      </c>
      <c r="D587" s="6" t="s">
        <v>950</v>
      </c>
      <c r="E587" s="12"/>
      <c r="F587" s="12"/>
      <c r="G587" s="12"/>
      <c r="H587" s="12"/>
      <c r="I587" s="12"/>
      <c r="J587" s="12"/>
      <c r="K587" s="12"/>
      <c r="L587" s="12"/>
      <c r="M587" s="3"/>
    </row>
    <row r="588" spans="1:110" ht="30" hidden="1" x14ac:dyDescent="0.25">
      <c r="A588" s="420"/>
      <c r="B588" s="420"/>
      <c r="C588" s="6" t="s">
        <v>508</v>
      </c>
      <c r="D588" s="6" t="s">
        <v>950</v>
      </c>
      <c r="E588" s="12"/>
      <c r="F588" s="12"/>
      <c r="G588" s="12"/>
      <c r="H588" s="12"/>
      <c r="I588" s="12"/>
      <c r="J588" s="12"/>
      <c r="K588" s="12"/>
      <c r="L588" s="12"/>
      <c r="M588" s="3"/>
    </row>
    <row r="589" spans="1:110" ht="45" hidden="1" x14ac:dyDescent="0.25">
      <c r="A589" s="420"/>
      <c r="B589" s="420"/>
      <c r="C589" s="6" t="s">
        <v>509</v>
      </c>
      <c r="D589" s="6" t="s">
        <v>950</v>
      </c>
      <c r="E589" s="12"/>
      <c r="F589" s="12"/>
      <c r="G589" s="12"/>
      <c r="H589" s="12"/>
      <c r="I589" s="12"/>
      <c r="J589" s="12"/>
      <c r="K589" s="12"/>
      <c r="L589" s="12"/>
      <c r="M589" s="3"/>
    </row>
    <row r="590" spans="1:110" ht="45" hidden="1" x14ac:dyDescent="0.25">
      <c r="A590" s="421"/>
      <c r="B590" s="421"/>
      <c r="C590" s="6" t="s">
        <v>510</v>
      </c>
      <c r="D590" s="6" t="s">
        <v>950</v>
      </c>
      <c r="E590" s="12"/>
      <c r="F590" s="12"/>
      <c r="G590" s="12"/>
      <c r="H590" s="12"/>
      <c r="I590" s="12"/>
      <c r="J590" s="12"/>
      <c r="K590" s="12"/>
      <c r="L590" s="12"/>
      <c r="M590" s="3"/>
    </row>
    <row r="591" spans="1:110" ht="45" hidden="1" x14ac:dyDescent="0.25">
      <c r="A591" s="419"/>
      <c r="B591" s="419" t="s">
        <v>325</v>
      </c>
      <c r="C591" s="6" t="s">
        <v>326</v>
      </c>
      <c r="D591" s="6" t="s">
        <v>950</v>
      </c>
      <c r="E591" s="12"/>
      <c r="F591" s="12"/>
      <c r="G591" s="12"/>
      <c r="H591" s="12"/>
      <c r="I591" s="12"/>
      <c r="J591" s="12"/>
      <c r="K591" s="12"/>
      <c r="L591" s="12"/>
      <c r="M591" s="3"/>
    </row>
    <row r="592" spans="1:110" ht="30" hidden="1" x14ac:dyDescent="0.25">
      <c r="A592" s="421"/>
      <c r="B592" s="421"/>
      <c r="C592" s="6" t="s">
        <v>327</v>
      </c>
      <c r="D592" s="6" t="s">
        <v>950</v>
      </c>
      <c r="E592" s="12"/>
      <c r="F592" s="12"/>
      <c r="G592" s="12"/>
      <c r="H592" s="12"/>
      <c r="I592" s="12"/>
      <c r="J592" s="12"/>
      <c r="K592" s="12"/>
      <c r="L592" s="12"/>
      <c r="M592" s="3"/>
    </row>
    <row r="593" spans="1:110" ht="30" hidden="1" x14ac:dyDescent="0.25">
      <c r="A593" s="163"/>
      <c r="B593" s="51" t="s">
        <v>505</v>
      </c>
      <c r="C593" s="150"/>
      <c r="D593" s="150" t="s">
        <v>8</v>
      </c>
      <c r="E593" s="164">
        <v>0.39</v>
      </c>
      <c r="F593" s="164">
        <v>0.62</v>
      </c>
      <c r="G593" s="164">
        <v>0.83</v>
      </c>
      <c r="H593" s="164"/>
      <c r="I593" s="164"/>
      <c r="J593" s="164"/>
      <c r="K593" s="164"/>
      <c r="L593" s="164"/>
      <c r="M593" s="3" t="s">
        <v>23</v>
      </c>
    </row>
    <row r="594" spans="1:110" hidden="1" x14ac:dyDescent="0.25">
      <c r="A594" s="165"/>
      <c r="B594" s="135" t="s">
        <v>1182</v>
      </c>
      <c r="C594" s="150"/>
      <c r="D594" s="150"/>
      <c r="E594" s="164"/>
      <c r="F594" s="164"/>
      <c r="G594" s="164"/>
      <c r="H594" s="164">
        <v>0.72</v>
      </c>
      <c r="I594" s="164"/>
      <c r="J594" s="164"/>
      <c r="K594" s="164"/>
      <c r="L594" s="164"/>
      <c r="M594" s="3"/>
    </row>
    <row r="595" spans="1:110" hidden="1" x14ac:dyDescent="0.25">
      <c r="A595" s="165"/>
      <c r="B595" s="135" t="s">
        <v>1184</v>
      </c>
      <c r="C595" s="150"/>
      <c r="D595" s="150"/>
      <c r="E595" s="164"/>
      <c r="F595" s="164"/>
      <c r="G595" s="164"/>
      <c r="H595" s="164">
        <v>0</v>
      </c>
      <c r="I595" s="164"/>
      <c r="J595" s="164"/>
      <c r="K595" s="164"/>
      <c r="L595" s="164"/>
      <c r="M595" s="3"/>
    </row>
    <row r="596" spans="1:110" ht="60" hidden="1" x14ac:dyDescent="0.25">
      <c r="A596" s="419"/>
      <c r="B596" s="419" t="s">
        <v>512</v>
      </c>
      <c r="C596" s="6" t="s">
        <v>513</v>
      </c>
      <c r="D596" s="6" t="s">
        <v>950</v>
      </c>
      <c r="E596" s="12"/>
      <c r="F596" s="12"/>
      <c r="G596" s="12"/>
      <c r="H596" s="12"/>
      <c r="I596" s="12"/>
      <c r="J596" s="12"/>
      <c r="K596" s="12"/>
      <c r="L596" s="12"/>
      <c r="M596" s="3"/>
    </row>
    <row r="597" spans="1:110" ht="60" hidden="1" x14ac:dyDescent="0.25">
      <c r="A597" s="421"/>
      <c r="B597" s="421"/>
      <c r="C597" s="6" t="s">
        <v>514</v>
      </c>
      <c r="D597" s="6" t="s">
        <v>950</v>
      </c>
      <c r="E597" s="12"/>
      <c r="F597" s="12"/>
      <c r="G597" s="12"/>
      <c r="H597" s="12"/>
      <c r="I597" s="12"/>
      <c r="J597" s="12"/>
      <c r="K597" s="12"/>
      <c r="L597" s="12"/>
      <c r="M597" s="3"/>
    </row>
    <row r="598" spans="1:110" ht="60" hidden="1" x14ac:dyDescent="0.25">
      <c r="A598" s="18"/>
      <c r="B598" s="16" t="s">
        <v>330</v>
      </c>
      <c r="C598" s="6" t="s">
        <v>331</v>
      </c>
      <c r="D598" s="6" t="s">
        <v>950</v>
      </c>
      <c r="E598" s="12"/>
      <c r="F598" s="12"/>
      <c r="G598" s="12"/>
      <c r="H598" s="12"/>
      <c r="I598" s="12"/>
      <c r="J598" s="12"/>
      <c r="K598" s="12"/>
      <c r="L598" s="12"/>
      <c r="M598" s="3"/>
    </row>
    <row r="599" spans="1:110" ht="45" x14ac:dyDescent="0.25">
      <c r="A599" s="42" t="s">
        <v>511</v>
      </c>
      <c r="B599" s="46" t="s">
        <v>2026</v>
      </c>
      <c r="C599" s="42"/>
      <c r="D599" s="42"/>
      <c r="E599" s="50"/>
      <c r="F599" s="50"/>
      <c r="G599" s="50"/>
      <c r="H599" s="50"/>
      <c r="I599" s="50"/>
      <c r="J599" s="50"/>
      <c r="K599" s="50"/>
      <c r="L599" s="50"/>
      <c r="M599" s="3"/>
    </row>
    <row r="600" spans="1:110" x14ac:dyDescent="0.25">
      <c r="A600" s="55"/>
      <c r="B600" s="46" t="s">
        <v>1182</v>
      </c>
      <c r="C600" s="42"/>
      <c r="D600" s="42"/>
      <c r="E600" s="50"/>
      <c r="F600" s="50"/>
      <c r="G600" s="50"/>
      <c r="H600" s="50"/>
      <c r="I600" s="50"/>
      <c r="J600" s="50"/>
      <c r="K600" s="50"/>
      <c r="L600" s="50"/>
      <c r="M600" s="3"/>
    </row>
    <row r="601" spans="1:110" x14ac:dyDescent="0.25">
      <c r="A601" s="72"/>
      <c r="B601" s="43" t="s">
        <v>1465</v>
      </c>
      <c r="C601" s="42"/>
      <c r="D601" s="42" t="s">
        <v>8</v>
      </c>
      <c r="E601" s="49"/>
      <c r="F601" s="49"/>
      <c r="G601" s="49"/>
      <c r="H601" s="49"/>
      <c r="I601" s="45">
        <f>I610/$I$613*100</f>
        <v>99.428571428571431</v>
      </c>
      <c r="J601" s="45">
        <f>J610/$J$613*100</f>
        <v>99.541284403669721</v>
      </c>
      <c r="K601" s="45">
        <f>K610/$K$613*100</f>
        <v>98.406374501992033</v>
      </c>
      <c r="L601" s="45">
        <f>L610/$L$613*100</f>
        <v>97.706422018348633</v>
      </c>
      <c r="M601" s="3"/>
      <c r="N601" s="45">
        <f>N610/N613*100</f>
        <v>98.630136986301366</v>
      </c>
      <c r="O601" s="45" t="e">
        <f>O610/O613*100</f>
        <v>#DIV/0!</v>
      </c>
      <c r="P601" s="45">
        <f>P610/P613*100</f>
        <v>80</v>
      </c>
      <c r="Q601" s="45" t="e">
        <f>Q610/Q613*100</f>
        <v>#DIV/0!</v>
      </c>
      <c r="S601" s="45">
        <f>S610/S613*100</f>
        <v>100</v>
      </c>
      <c r="T601" s="45" t="e">
        <f>T610/T613*100</f>
        <v>#DIV/0!</v>
      </c>
      <c r="V601" s="45">
        <f>V610/V613*100</f>
        <v>100</v>
      </c>
      <c r="W601" s="45" t="e">
        <f>W610/W613*100</f>
        <v>#DIV/0!</v>
      </c>
      <c r="Y601" s="45">
        <f>Y610/Y613*100</f>
        <v>100</v>
      </c>
      <c r="Z601" s="45" t="e">
        <f>Z610/Z613*100</f>
        <v>#DIV/0!</v>
      </c>
      <c r="AA601" s="241"/>
      <c r="AB601" s="45">
        <f>AB610/AB613*100</f>
        <v>100</v>
      </c>
      <c r="AC601" s="45" t="e">
        <f>AC610/AC613*100</f>
        <v>#DIV/0!</v>
      </c>
      <c r="AD601" s="241"/>
      <c r="AE601" s="45" t="e">
        <f>AE610/AE613*100</f>
        <v>#DIV/0!</v>
      </c>
      <c r="AF601" s="45" t="e">
        <f>AF610/AF613*100</f>
        <v>#DIV/0!</v>
      </c>
      <c r="AH601" s="45">
        <f>AH610/AH613*100</f>
        <v>100</v>
      </c>
      <c r="AI601" s="45" t="e">
        <f>AI610/AI613*100</f>
        <v>#DIV/0!</v>
      </c>
      <c r="AJ601" s="241"/>
      <c r="AK601" s="45">
        <f>AK610/AK613*100</f>
        <v>100</v>
      </c>
      <c r="AL601" s="45" t="e">
        <f>AL610/AL613*100</f>
        <v>#DIV/0!</v>
      </c>
      <c r="AM601" s="241"/>
      <c r="AN601" s="45">
        <f>AN610/AN613*100</f>
        <v>100</v>
      </c>
      <c r="AO601" s="45" t="e">
        <f>AO610/AO613*100</f>
        <v>#DIV/0!</v>
      </c>
      <c r="AQ601" s="45">
        <f>AQ610/AQ613*100</f>
        <v>100</v>
      </c>
      <c r="AR601" s="45" t="e">
        <f>AR610/AR613*100</f>
        <v>#DIV/0!</v>
      </c>
      <c r="AS601" s="241"/>
      <c r="AT601" s="45">
        <f>AT610/AT613*100</f>
        <v>100</v>
      </c>
      <c r="AU601" s="45" t="e">
        <f>AU610/AU613*100</f>
        <v>#DIV/0!</v>
      </c>
      <c r="AW601" s="45">
        <f>AW610/AW613*100</f>
        <v>100</v>
      </c>
      <c r="AX601" s="45" t="e">
        <f>AX610/AX613*100</f>
        <v>#DIV/0!</v>
      </c>
      <c r="AZ601" s="45">
        <f>AZ610/AZ613*100</f>
        <v>100</v>
      </c>
      <c r="BA601" s="45" t="e">
        <f>BA610/BA613*100</f>
        <v>#DIV/0!</v>
      </c>
      <c r="BB601" s="241"/>
      <c r="BC601" s="45">
        <f>BC610/BC613*100</f>
        <v>100</v>
      </c>
      <c r="BD601" s="45" t="e">
        <f>BD610/BD613*100</f>
        <v>#DIV/0!</v>
      </c>
      <c r="BE601" s="241"/>
      <c r="BF601" s="45">
        <f>BF610/BF613*100</f>
        <v>100</v>
      </c>
      <c r="BG601" s="45" t="e">
        <f>BG610/BG613*100</f>
        <v>#DIV/0!</v>
      </c>
      <c r="BI601" s="45">
        <f>BI610/BI613*100</f>
        <v>100</v>
      </c>
      <c r="BJ601" s="45" t="e">
        <f>BJ610/BJ613*100</f>
        <v>#DIV/0!</v>
      </c>
      <c r="BK601" s="241"/>
      <c r="BL601" s="45">
        <f>BL610/BL613*100</f>
        <v>100</v>
      </c>
      <c r="BM601" s="45" t="e">
        <f>BM610/BM613*100</f>
        <v>#DIV/0!</v>
      </c>
      <c r="BN601" s="241"/>
      <c r="BO601" s="45">
        <f>BO610/BO613*100</f>
        <v>100</v>
      </c>
      <c r="BP601" s="45" t="e">
        <f>BP610/BP613*100</f>
        <v>#DIV/0!</v>
      </c>
      <c r="BR601" s="45">
        <f>BR610/BR613*100</f>
        <v>100</v>
      </c>
      <c r="BS601" s="45" t="e">
        <f>BS610/BS613*100</f>
        <v>#DIV/0!</v>
      </c>
      <c r="BT601" s="241"/>
      <c r="BU601" s="45">
        <f>BU610/BU613*100</f>
        <v>100</v>
      </c>
      <c r="BV601" s="45" t="e">
        <f>BV610/BV613*100</f>
        <v>#DIV/0!</v>
      </c>
      <c r="BW601" s="241"/>
      <c r="BX601" s="45">
        <f>BX610/BX613*100</f>
        <v>100</v>
      </c>
      <c r="BY601" s="45" t="e">
        <f>BY610/BY613*100</f>
        <v>#DIV/0!</v>
      </c>
      <c r="CA601" s="45">
        <f>CA610/CA613*100</f>
        <v>87.5</v>
      </c>
      <c r="CB601" s="45" t="e">
        <f>CB610/CB613*100</f>
        <v>#DIV/0!</v>
      </c>
      <c r="CC601" s="241"/>
      <c r="CD601" s="45">
        <f>CD610/CD613*100</f>
        <v>100</v>
      </c>
      <c r="CE601" s="45" t="e">
        <f>CE610/CE613*100</f>
        <v>#DIV/0!</v>
      </c>
      <c r="CF601" s="241"/>
      <c r="CG601" s="45">
        <f>CG610/CG613*100</f>
        <v>100</v>
      </c>
      <c r="CH601" s="45" t="e">
        <f>CH610/CH613*100</f>
        <v>#DIV/0!</v>
      </c>
      <c r="CJ601" s="45" t="e">
        <f>CJ610/CJ613*100</f>
        <v>#DIV/0!</v>
      </c>
      <c r="CK601" s="45" t="e">
        <f>CK610/CK613*100</f>
        <v>#DIV/0!</v>
      </c>
      <c r="DE601" s="45" t="e">
        <f>DE610/DE613*100</f>
        <v>#DIV/0!</v>
      </c>
      <c r="DF601" s="45" t="e">
        <f>DF610/DF613*100</f>
        <v>#DIV/0!</v>
      </c>
    </row>
    <row r="602" spans="1:110" x14ac:dyDescent="0.25">
      <c r="A602" s="72"/>
      <c r="B602" s="43" t="s">
        <v>1466</v>
      </c>
      <c r="C602" s="42"/>
      <c r="D602" s="42" t="s">
        <v>8</v>
      </c>
      <c r="E602" s="49"/>
      <c r="F602" s="49"/>
      <c r="G602" s="49"/>
      <c r="H602" s="49"/>
      <c r="I602" s="45">
        <f>I611/$I$613*100</f>
        <v>0</v>
      </c>
      <c r="J602" s="45">
        <f>J611/$J$613*100</f>
        <v>0</v>
      </c>
      <c r="K602" s="45">
        <f>K611/$K$613*100</f>
        <v>0.39840637450199201</v>
      </c>
      <c r="L602" s="45">
        <f t="shared" ref="L602:L603" si="1665">L611/$L$613*100</f>
        <v>0.45871559633027525</v>
      </c>
      <c r="M602" s="3"/>
      <c r="N602" s="45">
        <f>N611/N613*100</f>
        <v>0.45662100456621002</v>
      </c>
      <c r="O602" s="45" t="e">
        <f>O611/O613*100</f>
        <v>#DIV/0!</v>
      </c>
      <c r="P602" s="45">
        <f>P611/P613*100</f>
        <v>0</v>
      </c>
      <c r="Q602" s="45" t="e">
        <f>Q611/Q613*100</f>
        <v>#DIV/0!</v>
      </c>
      <c r="S602" s="45">
        <f>S611/S613*100</f>
        <v>0</v>
      </c>
      <c r="T602" s="45" t="e">
        <f>T611/T613*100</f>
        <v>#DIV/0!</v>
      </c>
      <c r="V602" s="45">
        <f>V611/V613*100</f>
        <v>0</v>
      </c>
      <c r="W602" s="45" t="e">
        <f>W611/W613*100</f>
        <v>#DIV/0!</v>
      </c>
      <c r="Y602" s="45">
        <f>Y611/Y613*100</f>
        <v>0</v>
      </c>
      <c r="Z602" s="45" t="e">
        <f>Z611/Z613*100</f>
        <v>#DIV/0!</v>
      </c>
      <c r="AA602" s="241"/>
      <c r="AB602" s="45">
        <f>AB611/AB613*100</f>
        <v>0</v>
      </c>
      <c r="AC602" s="45" t="e">
        <f>AC611/AC613*100</f>
        <v>#DIV/0!</v>
      </c>
      <c r="AD602" s="241"/>
      <c r="AE602" s="45" t="e">
        <f>AE611/AE613*100</f>
        <v>#DIV/0!</v>
      </c>
      <c r="AF602" s="45" t="e">
        <f>AF611/AF613*100</f>
        <v>#DIV/0!</v>
      </c>
      <c r="AH602" s="45">
        <f>AH611/AH613*100</f>
        <v>0</v>
      </c>
      <c r="AI602" s="45" t="e">
        <f>AI611/AI613*100</f>
        <v>#DIV/0!</v>
      </c>
      <c r="AJ602" s="241"/>
      <c r="AK602" s="45">
        <f>AK611/AK613*100</f>
        <v>0</v>
      </c>
      <c r="AL602" s="45" t="e">
        <f>AL611/AL613*100</f>
        <v>#DIV/0!</v>
      </c>
      <c r="AM602" s="241"/>
      <c r="AN602" s="45">
        <f>AN611/AN613*100</f>
        <v>0</v>
      </c>
      <c r="AO602" s="45" t="e">
        <f>AO611/AO613*100</f>
        <v>#DIV/0!</v>
      </c>
      <c r="AQ602" s="45">
        <f>AQ611/AQ613*100</f>
        <v>0</v>
      </c>
      <c r="AR602" s="45" t="e">
        <f>AR611/AR613*100</f>
        <v>#DIV/0!</v>
      </c>
      <c r="AS602" s="241"/>
      <c r="AT602" s="45">
        <f>AT611/AT613*100</f>
        <v>0</v>
      </c>
      <c r="AU602" s="45" t="e">
        <f>AU611/AU613*100</f>
        <v>#DIV/0!</v>
      </c>
      <c r="AW602" s="45">
        <f>AW611/AW613*100</f>
        <v>0</v>
      </c>
      <c r="AX602" s="45" t="e">
        <f>AX611/AX613*100</f>
        <v>#DIV/0!</v>
      </c>
      <c r="AZ602" s="45">
        <f>AZ611/AZ613*100</f>
        <v>0</v>
      </c>
      <c r="BA602" s="45" t="e">
        <f>BA611/BA613*100</f>
        <v>#DIV/0!</v>
      </c>
      <c r="BB602" s="241"/>
      <c r="BC602" s="45">
        <f>BC611/BC613*100</f>
        <v>0</v>
      </c>
      <c r="BD602" s="45" t="e">
        <f>BD611/BD613*100</f>
        <v>#DIV/0!</v>
      </c>
      <c r="BE602" s="241"/>
      <c r="BF602" s="45">
        <f>BF611/BF613*100</f>
        <v>0</v>
      </c>
      <c r="BG602" s="45" t="e">
        <f>BG611/BG613*100</f>
        <v>#DIV/0!</v>
      </c>
      <c r="BI602" s="45">
        <f>BI611/BI613*100</f>
        <v>0</v>
      </c>
      <c r="BJ602" s="45" t="e">
        <f>BJ611/BJ613*100</f>
        <v>#DIV/0!</v>
      </c>
      <c r="BK602" s="241"/>
      <c r="BL602" s="45">
        <f>BL611/BL613*100</f>
        <v>0</v>
      </c>
      <c r="BM602" s="45" t="e">
        <f>BM611/BM613*100</f>
        <v>#DIV/0!</v>
      </c>
      <c r="BN602" s="241"/>
      <c r="BO602" s="45">
        <f>BO611/BO613*100</f>
        <v>0</v>
      </c>
      <c r="BP602" s="45" t="e">
        <f>BP611/BP613*100</f>
        <v>#DIV/0!</v>
      </c>
      <c r="BR602" s="45">
        <f>BR611/BR613*100</f>
        <v>0</v>
      </c>
      <c r="BS602" s="45" t="e">
        <f>BS611/BS613*100</f>
        <v>#DIV/0!</v>
      </c>
      <c r="BT602" s="241"/>
      <c r="BU602" s="45">
        <f>BU611/BU613*100</f>
        <v>0</v>
      </c>
      <c r="BV602" s="45" t="e">
        <f>BV611/BV613*100</f>
        <v>#DIV/0!</v>
      </c>
      <c r="BW602" s="241"/>
      <c r="BX602" s="45">
        <f>BX611/BX613*100</f>
        <v>0</v>
      </c>
      <c r="BY602" s="45" t="e">
        <f>BY611/BY613*100</f>
        <v>#DIV/0!</v>
      </c>
      <c r="CA602" s="45">
        <f>CA611/CA613*100</f>
        <v>12.5</v>
      </c>
      <c r="CB602" s="45" t="e">
        <f>CB611/CB613*100</f>
        <v>#DIV/0!</v>
      </c>
      <c r="CC602" s="241"/>
      <c r="CD602" s="45">
        <f>CD611/CD613*100</f>
        <v>0</v>
      </c>
      <c r="CE602" s="45" t="e">
        <f>CE611/CE613*100</f>
        <v>#DIV/0!</v>
      </c>
      <c r="CF602" s="241"/>
      <c r="CG602" s="45">
        <f>CG611/CG613*100</f>
        <v>0</v>
      </c>
      <c r="CH602" s="45" t="e">
        <f>CH611/CH613*100</f>
        <v>#DIV/0!</v>
      </c>
      <c r="CJ602" s="45" t="e">
        <f>CJ611/CJ613*100</f>
        <v>#DIV/0!</v>
      </c>
      <c r="CK602" s="45" t="e">
        <f>CK611/CK613*100</f>
        <v>#DIV/0!</v>
      </c>
      <c r="DE602" s="45" t="e">
        <f>DE611/DE613*100</f>
        <v>#DIV/0!</v>
      </c>
      <c r="DF602" s="45" t="e">
        <f>DF611/DF613*100</f>
        <v>#DIV/0!</v>
      </c>
    </row>
    <row r="603" spans="1:110" x14ac:dyDescent="0.25">
      <c r="A603" s="72"/>
      <c r="B603" s="43" t="s">
        <v>1467</v>
      </c>
      <c r="C603" s="42"/>
      <c r="D603" s="42" t="s">
        <v>8</v>
      </c>
      <c r="E603" s="49"/>
      <c r="F603" s="49"/>
      <c r="G603" s="49"/>
      <c r="H603" s="49"/>
      <c r="I603" s="45">
        <f>I612/$I$613*100</f>
        <v>0.5714285714285714</v>
      </c>
      <c r="J603" s="45">
        <f>J612/$J$613*100</f>
        <v>0.45871559633027525</v>
      </c>
      <c r="K603" s="45">
        <f>K612/$K$613*100</f>
        <v>1.1952191235059761</v>
      </c>
      <c r="L603" s="45">
        <f t="shared" si="1665"/>
        <v>1.834862385321101</v>
      </c>
      <c r="M603" s="3"/>
      <c r="N603" s="45">
        <f>N612/N613*100</f>
        <v>0.91324200913242004</v>
      </c>
      <c r="O603" s="45" t="e">
        <f>O612/O613*100</f>
        <v>#DIV/0!</v>
      </c>
      <c r="P603" s="45">
        <f>P612/P613*100</f>
        <v>20</v>
      </c>
      <c r="Q603" s="45" t="e">
        <f>Q612/Q613*100</f>
        <v>#DIV/0!</v>
      </c>
      <c r="S603" s="45">
        <f>S612/S613*100</f>
        <v>0</v>
      </c>
      <c r="T603" s="45" t="e">
        <f>T612/T613*100</f>
        <v>#DIV/0!</v>
      </c>
      <c r="V603" s="45">
        <f>V612/V613*100</f>
        <v>0</v>
      </c>
      <c r="W603" s="45" t="e">
        <f>W612/W613*100</f>
        <v>#DIV/0!</v>
      </c>
      <c r="Y603" s="45">
        <f>Y612/Y613*100</f>
        <v>0</v>
      </c>
      <c r="Z603" s="45" t="e">
        <f>Z612/Z613*100</f>
        <v>#DIV/0!</v>
      </c>
      <c r="AA603" s="241"/>
      <c r="AB603" s="45">
        <f>AB612/AB613*100</f>
        <v>0</v>
      </c>
      <c r="AC603" s="45" t="e">
        <f>AC612/AC613*100</f>
        <v>#DIV/0!</v>
      </c>
      <c r="AD603" s="241"/>
      <c r="AE603" s="45" t="e">
        <f>AE612/AE613*100</f>
        <v>#DIV/0!</v>
      </c>
      <c r="AF603" s="45" t="e">
        <f>AF612/AF613*100</f>
        <v>#DIV/0!</v>
      </c>
      <c r="AH603" s="45">
        <f>AH612/AH613*100</f>
        <v>0</v>
      </c>
      <c r="AI603" s="45" t="e">
        <f>AI612/AI613*100</f>
        <v>#DIV/0!</v>
      </c>
      <c r="AJ603" s="241"/>
      <c r="AK603" s="45">
        <f>AK612/AK613*100</f>
        <v>0</v>
      </c>
      <c r="AL603" s="45" t="e">
        <f>AL612/AL613*100</f>
        <v>#DIV/0!</v>
      </c>
      <c r="AM603" s="241"/>
      <c r="AN603" s="45">
        <f>AN612/AN613*100</f>
        <v>0</v>
      </c>
      <c r="AO603" s="45" t="e">
        <f>AO612/AO613*100</f>
        <v>#DIV/0!</v>
      </c>
      <c r="AQ603" s="45">
        <f>AQ612/AQ613*100</f>
        <v>0</v>
      </c>
      <c r="AR603" s="45" t="e">
        <f>AR612/AR613*100</f>
        <v>#DIV/0!</v>
      </c>
      <c r="AS603" s="241"/>
      <c r="AT603" s="45">
        <f>AT612/AT613*100</f>
        <v>0</v>
      </c>
      <c r="AU603" s="45" t="e">
        <f>AU612/AU613*100</f>
        <v>#DIV/0!</v>
      </c>
      <c r="AW603" s="45">
        <f>AW612/AW613*100</f>
        <v>0</v>
      </c>
      <c r="AX603" s="45" t="e">
        <f>AX612/AX613*100</f>
        <v>#DIV/0!</v>
      </c>
      <c r="AZ603" s="45">
        <f>AZ612/AZ613*100</f>
        <v>0</v>
      </c>
      <c r="BA603" s="45" t="e">
        <f>BA612/BA613*100</f>
        <v>#DIV/0!</v>
      </c>
      <c r="BB603" s="241"/>
      <c r="BC603" s="45">
        <f>BC612/BC613*100</f>
        <v>0</v>
      </c>
      <c r="BD603" s="45" t="e">
        <f>BD612/BD613*100</f>
        <v>#DIV/0!</v>
      </c>
      <c r="BE603" s="241"/>
      <c r="BF603" s="45">
        <f>BF612/BF613*100</f>
        <v>0</v>
      </c>
      <c r="BG603" s="45" t="e">
        <f>BG612/BG613*100</f>
        <v>#DIV/0!</v>
      </c>
      <c r="BI603" s="45">
        <f>BI612/BI613*100</f>
        <v>0</v>
      </c>
      <c r="BJ603" s="45" t="e">
        <f>BJ612/BJ613*100</f>
        <v>#DIV/0!</v>
      </c>
      <c r="BK603" s="241"/>
      <c r="BL603" s="45">
        <f>BL612/BL613*100</f>
        <v>0</v>
      </c>
      <c r="BM603" s="45" t="e">
        <f>BM612/BM613*100</f>
        <v>#DIV/0!</v>
      </c>
      <c r="BN603" s="241"/>
      <c r="BO603" s="45">
        <f>BO612/BO613*100</f>
        <v>0</v>
      </c>
      <c r="BP603" s="45" t="e">
        <f>BP612/BP613*100</f>
        <v>#DIV/0!</v>
      </c>
      <c r="BR603" s="45">
        <f>BR612/BR613*100</f>
        <v>0</v>
      </c>
      <c r="BS603" s="45" t="e">
        <f>BS612/BS613*100</f>
        <v>#DIV/0!</v>
      </c>
      <c r="BT603" s="241"/>
      <c r="BU603" s="45">
        <f>BU612/BU613*100</f>
        <v>0</v>
      </c>
      <c r="BV603" s="45" t="e">
        <f>BV612/BV613*100</f>
        <v>#DIV/0!</v>
      </c>
      <c r="BW603" s="241"/>
      <c r="BX603" s="45">
        <f>BX612/BX613*100</f>
        <v>0</v>
      </c>
      <c r="BY603" s="45" t="e">
        <f>BY612/BY613*100</f>
        <v>#DIV/0!</v>
      </c>
      <c r="CA603" s="45">
        <f>CA612/CA613*100</f>
        <v>0</v>
      </c>
      <c r="CB603" s="45" t="e">
        <f>CB612/CB613*100</f>
        <v>#DIV/0!</v>
      </c>
      <c r="CC603" s="241"/>
      <c r="CD603" s="45">
        <f>CD612/CD613*100</f>
        <v>0</v>
      </c>
      <c r="CE603" s="45" t="e">
        <f>CE612/CE613*100</f>
        <v>#DIV/0!</v>
      </c>
      <c r="CF603" s="241"/>
      <c r="CG603" s="45">
        <f>CG612/CG613*100</f>
        <v>0</v>
      </c>
      <c r="CH603" s="45" t="e">
        <f>CH612/CH613*100</f>
        <v>#DIV/0!</v>
      </c>
      <c r="CJ603" s="45" t="e">
        <f>CJ612/CJ613*100</f>
        <v>#DIV/0!</v>
      </c>
      <c r="CK603" s="45" t="e">
        <f>CK612/CK613*100</f>
        <v>#DIV/0!</v>
      </c>
      <c r="DE603" s="45" t="e">
        <f>DE612/DE613*100</f>
        <v>#DIV/0!</v>
      </c>
      <c r="DF603" s="45" t="e">
        <f>DF612/DF613*100</f>
        <v>#DIV/0!</v>
      </c>
    </row>
    <row r="604" spans="1:110" x14ac:dyDescent="0.25">
      <c r="A604" s="72"/>
      <c r="B604" s="46" t="s">
        <v>1184</v>
      </c>
      <c r="C604" s="42"/>
      <c r="D604" s="42"/>
      <c r="E604" s="49"/>
      <c r="F604" s="49"/>
      <c r="G604" s="49"/>
      <c r="H604" s="49"/>
      <c r="I604" s="49"/>
      <c r="J604" s="49"/>
      <c r="K604" s="49"/>
      <c r="L604" s="49"/>
      <c r="M604" s="3"/>
      <c r="N604" s="49"/>
      <c r="O604" s="49"/>
      <c r="P604" s="49"/>
      <c r="Q604" s="49"/>
      <c r="S604" s="49"/>
      <c r="T604" s="49"/>
      <c r="V604" s="49"/>
      <c r="W604" s="49"/>
      <c r="Y604" s="49"/>
      <c r="Z604" s="49"/>
      <c r="AA604" s="241"/>
      <c r="AB604" s="49"/>
      <c r="AC604" s="49"/>
      <c r="AD604" s="241"/>
      <c r="AE604" s="49"/>
      <c r="AF604" s="49"/>
      <c r="AH604" s="49"/>
      <c r="AI604" s="49"/>
      <c r="AJ604" s="241"/>
      <c r="AK604" s="49"/>
      <c r="AL604" s="49"/>
      <c r="AM604" s="241"/>
      <c r="AN604" s="49"/>
      <c r="AO604" s="49"/>
      <c r="AQ604" s="49"/>
      <c r="AR604" s="49"/>
      <c r="AS604" s="241"/>
      <c r="AT604" s="49"/>
      <c r="AU604" s="49"/>
      <c r="AW604" s="49"/>
      <c r="AX604" s="49"/>
      <c r="AZ604" s="49"/>
      <c r="BA604" s="49"/>
      <c r="BB604" s="241"/>
      <c r="BC604" s="49"/>
      <c r="BD604" s="49"/>
      <c r="BE604" s="241"/>
      <c r="BF604" s="49"/>
      <c r="BG604" s="49"/>
      <c r="BI604" s="49"/>
      <c r="BJ604" s="49"/>
      <c r="BK604" s="241"/>
      <c r="BL604" s="49"/>
      <c r="BM604" s="49"/>
      <c r="BN604" s="241"/>
      <c r="BO604" s="49"/>
      <c r="BP604" s="49"/>
      <c r="BR604" s="49"/>
      <c r="BS604" s="49"/>
      <c r="BT604" s="241"/>
      <c r="BU604" s="49"/>
      <c r="BV604" s="49"/>
      <c r="BW604" s="241"/>
      <c r="BX604" s="49"/>
      <c r="BY604" s="49"/>
      <c r="CA604" s="49"/>
      <c r="CB604" s="49"/>
      <c r="CC604" s="241"/>
      <c r="CD604" s="49"/>
      <c r="CE604" s="49"/>
      <c r="CF604" s="241"/>
      <c r="CG604" s="49"/>
      <c r="CH604" s="49"/>
      <c r="CJ604" s="49"/>
      <c r="CK604" s="49"/>
      <c r="DE604" s="49"/>
      <c r="DF604" s="49"/>
    </row>
    <row r="605" spans="1:110" x14ac:dyDescent="0.25">
      <c r="A605" s="72"/>
      <c r="B605" s="43" t="s">
        <v>1465</v>
      </c>
      <c r="C605" s="42"/>
      <c r="D605" s="42" t="s">
        <v>8</v>
      </c>
      <c r="E605" s="49"/>
      <c r="F605" s="49"/>
      <c r="G605" s="49"/>
      <c r="H605" s="49"/>
      <c r="I605" s="45" t="e">
        <f>I616/$I$619*100</f>
        <v>#DIV/0!</v>
      </c>
      <c r="J605" s="45" t="e">
        <f>J616/$J$619*100</f>
        <v>#DIV/0!</v>
      </c>
      <c r="K605" s="45">
        <f>K616/$K$619*100</f>
        <v>100</v>
      </c>
      <c r="L605" s="45">
        <f>L616/$L$619*100</f>
        <v>100</v>
      </c>
      <c r="M605" s="3"/>
      <c r="N605" s="45" t="e">
        <f>N616/N619*100</f>
        <v>#DIV/0!</v>
      </c>
      <c r="O605" s="45" t="e">
        <f>O616/O619*100</f>
        <v>#DIV/0!</v>
      </c>
      <c r="P605" s="45" t="e">
        <f>P616/P619*100</f>
        <v>#DIV/0!</v>
      </c>
      <c r="Q605" s="45" t="e">
        <f>Q616/Q619*100</f>
        <v>#DIV/0!</v>
      </c>
      <c r="S605" s="45" t="e">
        <f>S616/S619*100</f>
        <v>#DIV/0!</v>
      </c>
      <c r="T605" s="45" t="e">
        <f>T616/T619*100</f>
        <v>#DIV/0!</v>
      </c>
      <c r="V605" s="45" t="e">
        <f>V616/V619*100</f>
        <v>#DIV/0!</v>
      </c>
      <c r="W605" s="45" t="e">
        <f>W616/W619*100</f>
        <v>#DIV/0!</v>
      </c>
      <c r="Y605" s="45" t="e">
        <f>Y616/Y619*100</f>
        <v>#DIV/0!</v>
      </c>
      <c r="Z605" s="45" t="e">
        <f>Z616/Z619*100</f>
        <v>#DIV/0!</v>
      </c>
      <c r="AA605" s="241"/>
      <c r="AB605" s="45" t="e">
        <f>AB616/AB619*100</f>
        <v>#DIV/0!</v>
      </c>
      <c r="AC605" s="45" t="e">
        <f>AC616/AC619*100</f>
        <v>#DIV/0!</v>
      </c>
      <c r="AD605" s="241"/>
      <c r="AE605" s="45" t="e">
        <f>AE616/AE619*100</f>
        <v>#DIV/0!</v>
      </c>
      <c r="AF605" s="45" t="e">
        <f>AF616/AF619*100</f>
        <v>#DIV/0!</v>
      </c>
      <c r="AH605" s="45" t="e">
        <f>AH616/AH619*100</f>
        <v>#DIV/0!</v>
      </c>
      <c r="AI605" s="45" t="e">
        <f>AI616/AI619*100</f>
        <v>#DIV/0!</v>
      </c>
      <c r="AJ605" s="241"/>
      <c r="AK605" s="45" t="e">
        <f>AK616/AK619*100</f>
        <v>#DIV/0!</v>
      </c>
      <c r="AL605" s="45" t="e">
        <f>AL616/AL619*100</f>
        <v>#DIV/0!</v>
      </c>
      <c r="AM605" s="241"/>
      <c r="AN605" s="45" t="e">
        <f>AN616/AN619*100</f>
        <v>#DIV/0!</v>
      </c>
      <c r="AO605" s="45" t="e">
        <f>AO616/AO619*100</f>
        <v>#DIV/0!</v>
      </c>
      <c r="AQ605" s="45" t="e">
        <f>AQ616/AQ619*100</f>
        <v>#DIV/0!</v>
      </c>
      <c r="AR605" s="45" t="e">
        <f>AR616/AR619*100</f>
        <v>#DIV/0!</v>
      </c>
      <c r="AS605" s="241"/>
      <c r="AT605" s="45" t="e">
        <f>AT616/AT619*100</f>
        <v>#DIV/0!</v>
      </c>
      <c r="AU605" s="45" t="e">
        <f>AU616/AU619*100</f>
        <v>#DIV/0!</v>
      </c>
      <c r="AW605" s="45" t="e">
        <f>AW616/AW619*100</f>
        <v>#DIV/0!</v>
      </c>
      <c r="AX605" s="45" t="e">
        <f>AX616/AX619*100</f>
        <v>#DIV/0!</v>
      </c>
      <c r="AZ605" s="45" t="e">
        <f>AZ616/AZ619*100</f>
        <v>#DIV/0!</v>
      </c>
      <c r="BA605" s="45" t="e">
        <f>BA616/BA619*100</f>
        <v>#DIV/0!</v>
      </c>
      <c r="BB605" s="241"/>
      <c r="BC605" s="45" t="e">
        <f>BC616/BC619*100</f>
        <v>#DIV/0!</v>
      </c>
      <c r="BD605" s="45" t="e">
        <f>BD616/BD619*100</f>
        <v>#DIV/0!</v>
      </c>
      <c r="BE605" s="241"/>
      <c r="BF605" s="45" t="e">
        <f>BF616/BF619*100</f>
        <v>#DIV/0!</v>
      </c>
      <c r="BG605" s="45" t="e">
        <f>BG616/BG619*100</f>
        <v>#DIV/0!</v>
      </c>
      <c r="BI605" s="45" t="e">
        <f>BI616/BI619*100</f>
        <v>#DIV/0!</v>
      </c>
      <c r="BJ605" s="45" t="e">
        <f>BJ616/BJ619*100</f>
        <v>#DIV/0!</v>
      </c>
      <c r="BK605" s="241"/>
      <c r="BL605" s="45" t="e">
        <f>BL616/BL619*100</f>
        <v>#DIV/0!</v>
      </c>
      <c r="BM605" s="45" t="e">
        <f>BM616/BM619*100</f>
        <v>#DIV/0!</v>
      </c>
      <c r="BN605" s="241"/>
      <c r="BO605" s="45" t="e">
        <f>BO616/BO619*100</f>
        <v>#DIV/0!</v>
      </c>
      <c r="BP605" s="45" t="e">
        <f>BP616/BP619*100</f>
        <v>#DIV/0!</v>
      </c>
      <c r="BR605" s="45" t="e">
        <f>BR616/BR619*100</f>
        <v>#DIV/0!</v>
      </c>
      <c r="BS605" s="45" t="e">
        <f>BS616/BS619*100</f>
        <v>#DIV/0!</v>
      </c>
      <c r="BT605" s="241"/>
      <c r="BU605" s="45" t="e">
        <f>BU616/BU619*100</f>
        <v>#DIV/0!</v>
      </c>
      <c r="BV605" s="45" t="e">
        <f>BV616/BV619*100</f>
        <v>#DIV/0!</v>
      </c>
      <c r="BW605" s="241"/>
      <c r="BX605" s="45" t="e">
        <f>BX616/BX619*100</f>
        <v>#DIV/0!</v>
      </c>
      <c r="BY605" s="45" t="e">
        <f>BY616/BY619*100</f>
        <v>#DIV/0!</v>
      </c>
      <c r="CA605" s="45" t="e">
        <f>CA616/CA619*100</f>
        <v>#DIV/0!</v>
      </c>
      <c r="CB605" s="45" t="e">
        <f>CB616/CB619*100</f>
        <v>#DIV/0!</v>
      </c>
      <c r="CC605" s="241"/>
      <c r="CD605" s="45" t="e">
        <f>CD616/CD619*100</f>
        <v>#DIV/0!</v>
      </c>
      <c r="CE605" s="45" t="e">
        <f>CE616/CE619*100</f>
        <v>#DIV/0!</v>
      </c>
      <c r="CF605" s="241"/>
      <c r="CG605" s="45" t="e">
        <f>CG616/CG619*100</f>
        <v>#DIV/0!</v>
      </c>
      <c r="CH605" s="45" t="e">
        <f>CH616/CH619*100</f>
        <v>#DIV/0!</v>
      </c>
      <c r="CJ605" s="45" t="e">
        <f>CJ616/CJ619*100</f>
        <v>#DIV/0!</v>
      </c>
      <c r="CK605" s="45" t="e">
        <f>CK616/CK619*100</f>
        <v>#DIV/0!</v>
      </c>
      <c r="DE605" s="45" t="e">
        <f>DE616/DE619*100</f>
        <v>#DIV/0!</v>
      </c>
      <c r="DF605" s="45" t="e">
        <f>DF616/DF619*100</f>
        <v>#DIV/0!</v>
      </c>
    </row>
    <row r="606" spans="1:110" x14ac:dyDescent="0.25">
      <c r="A606" s="72"/>
      <c r="B606" s="43" t="s">
        <v>1466</v>
      </c>
      <c r="C606" s="42"/>
      <c r="D606" s="42" t="s">
        <v>8</v>
      </c>
      <c r="E606" s="49"/>
      <c r="F606" s="49"/>
      <c r="G606" s="49"/>
      <c r="H606" s="49"/>
      <c r="I606" s="45" t="e">
        <f>I617/$I$619*100</f>
        <v>#DIV/0!</v>
      </c>
      <c r="J606" s="45" t="e">
        <f>J617/$J$619*100</f>
        <v>#DIV/0!</v>
      </c>
      <c r="K606" s="45">
        <f>K617/$K$619*100</f>
        <v>0</v>
      </c>
      <c r="L606" s="45">
        <f t="shared" ref="L606:L607" si="1666">L617/$L$619*100</f>
        <v>0</v>
      </c>
      <c r="M606" s="3"/>
      <c r="N606" s="45" t="e">
        <f>N617/N619*100</f>
        <v>#DIV/0!</v>
      </c>
      <c r="O606" s="45" t="e">
        <f>O617/O619*100</f>
        <v>#DIV/0!</v>
      </c>
      <c r="P606" s="45" t="e">
        <f>P617/P619*100</f>
        <v>#DIV/0!</v>
      </c>
      <c r="Q606" s="45" t="e">
        <f>Q617/Q619*100</f>
        <v>#DIV/0!</v>
      </c>
      <c r="S606" s="45" t="e">
        <f>S617/S619*100</f>
        <v>#DIV/0!</v>
      </c>
      <c r="T606" s="45" t="e">
        <f>T617/T619*100</f>
        <v>#DIV/0!</v>
      </c>
      <c r="V606" s="45" t="e">
        <f>V617/V619*100</f>
        <v>#DIV/0!</v>
      </c>
      <c r="W606" s="45" t="e">
        <f>W617/W619*100</f>
        <v>#DIV/0!</v>
      </c>
      <c r="Y606" s="45" t="e">
        <f>Y617/Y619*100</f>
        <v>#DIV/0!</v>
      </c>
      <c r="Z606" s="45" t="e">
        <f>Z617/Z619*100</f>
        <v>#DIV/0!</v>
      </c>
      <c r="AA606" s="241"/>
      <c r="AB606" s="45" t="e">
        <f>AB617/AB619*100</f>
        <v>#DIV/0!</v>
      </c>
      <c r="AC606" s="45" t="e">
        <f>AC617/AC619*100</f>
        <v>#DIV/0!</v>
      </c>
      <c r="AD606" s="241"/>
      <c r="AE606" s="45" t="e">
        <f>AE617/AE619*100</f>
        <v>#DIV/0!</v>
      </c>
      <c r="AF606" s="45" t="e">
        <f>AF617/AF619*100</f>
        <v>#DIV/0!</v>
      </c>
      <c r="AH606" s="45" t="e">
        <f>AH617/AH619*100</f>
        <v>#DIV/0!</v>
      </c>
      <c r="AI606" s="45" t="e">
        <f>AI617/AI619*100</f>
        <v>#DIV/0!</v>
      </c>
      <c r="AJ606" s="241"/>
      <c r="AK606" s="45" t="e">
        <f>AK617/AK619*100</f>
        <v>#DIV/0!</v>
      </c>
      <c r="AL606" s="45" t="e">
        <f>AL617/AL619*100</f>
        <v>#DIV/0!</v>
      </c>
      <c r="AM606" s="241"/>
      <c r="AN606" s="45" t="e">
        <f>AN617/AN619*100</f>
        <v>#DIV/0!</v>
      </c>
      <c r="AO606" s="45" t="e">
        <f>AO617/AO619*100</f>
        <v>#DIV/0!</v>
      </c>
      <c r="AQ606" s="45" t="e">
        <f>AQ617/AQ619*100</f>
        <v>#DIV/0!</v>
      </c>
      <c r="AR606" s="45" t="e">
        <f>AR617/AR619*100</f>
        <v>#DIV/0!</v>
      </c>
      <c r="AS606" s="241"/>
      <c r="AT606" s="45" t="e">
        <f>AT617/AT619*100</f>
        <v>#DIV/0!</v>
      </c>
      <c r="AU606" s="45" t="e">
        <f>AU617/AU619*100</f>
        <v>#DIV/0!</v>
      </c>
      <c r="AW606" s="45" t="e">
        <f>AW617/AW619*100</f>
        <v>#DIV/0!</v>
      </c>
      <c r="AX606" s="45" t="e">
        <f>AX617/AX619*100</f>
        <v>#DIV/0!</v>
      </c>
      <c r="AZ606" s="45" t="e">
        <f>AZ617/AZ619*100</f>
        <v>#DIV/0!</v>
      </c>
      <c r="BA606" s="45" t="e">
        <f>BA617/BA619*100</f>
        <v>#DIV/0!</v>
      </c>
      <c r="BB606" s="241"/>
      <c r="BC606" s="45" t="e">
        <f>BC617/BC619*100</f>
        <v>#DIV/0!</v>
      </c>
      <c r="BD606" s="45" t="e">
        <f>BD617/BD619*100</f>
        <v>#DIV/0!</v>
      </c>
      <c r="BE606" s="241"/>
      <c r="BF606" s="45" t="e">
        <f>BF617/BF619*100</f>
        <v>#DIV/0!</v>
      </c>
      <c r="BG606" s="45" t="e">
        <f>BG617/BG619*100</f>
        <v>#DIV/0!</v>
      </c>
      <c r="BI606" s="45" t="e">
        <f>BI617/BI619*100</f>
        <v>#DIV/0!</v>
      </c>
      <c r="BJ606" s="45" t="e">
        <f>BJ617/BJ619*100</f>
        <v>#DIV/0!</v>
      </c>
      <c r="BK606" s="241"/>
      <c r="BL606" s="45" t="e">
        <f>BL617/BL619*100</f>
        <v>#DIV/0!</v>
      </c>
      <c r="BM606" s="45" t="e">
        <f>BM617/BM619*100</f>
        <v>#DIV/0!</v>
      </c>
      <c r="BN606" s="241"/>
      <c r="BO606" s="45" t="e">
        <f>BO617/BO619*100</f>
        <v>#DIV/0!</v>
      </c>
      <c r="BP606" s="45" t="e">
        <f>BP617/BP619*100</f>
        <v>#DIV/0!</v>
      </c>
      <c r="BR606" s="45" t="e">
        <f>BR617/BR619*100</f>
        <v>#DIV/0!</v>
      </c>
      <c r="BS606" s="45" t="e">
        <f>BS617/BS619*100</f>
        <v>#DIV/0!</v>
      </c>
      <c r="BT606" s="241"/>
      <c r="BU606" s="45" t="e">
        <f>BU617/BU619*100</f>
        <v>#DIV/0!</v>
      </c>
      <c r="BV606" s="45" t="e">
        <f>BV617/BV619*100</f>
        <v>#DIV/0!</v>
      </c>
      <c r="BW606" s="241"/>
      <c r="BX606" s="45" t="e">
        <f>BX617/BX619*100</f>
        <v>#DIV/0!</v>
      </c>
      <c r="BY606" s="45" t="e">
        <f>BY617/BY619*100</f>
        <v>#DIV/0!</v>
      </c>
      <c r="CA606" s="45" t="e">
        <f>CA617/CA619*100</f>
        <v>#DIV/0!</v>
      </c>
      <c r="CB606" s="45" t="e">
        <f>CB617/CB619*100</f>
        <v>#DIV/0!</v>
      </c>
      <c r="CC606" s="241"/>
      <c r="CD606" s="45" t="e">
        <f>CD617/CD619*100</f>
        <v>#DIV/0!</v>
      </c>
      <c r="CE606" s="45" t="e">
        <f>CE617/CE619*100</f>
        <v>#DIV/0!</v>
      </c>
      <c r="CF606" s="241"/>
      <c r="CG606" s="45" t="e">
        <f>CG617/CG619*100</f>
        <v>#DIV/0!</v>
      </c>
      <c r="CH606" s="45" t="e">
        <f>CH617/CH619*100</f>
        <v>#DIV/0!</v>
      </c>
      <c r="CJ606" s="45" t="e">
        <f>CJ617/CJ619*100</f>
        <v>#DIV/0!</v>
      </c>
      <c r="CK606" s="45" t="e">
        <f>CK617/CK619*100</f>
        <v>#DIV/0!</v>
      </c>
      <c r="DE606" s="45" t="e">
        <f>DE617/DE619*100</f>
        <v>#DIV/0!</v>
      </c>
      <c r="DF606" s="45" t="e">
        <f>DF617/DF619*100</f>
        <v>#DIV/0!</v>
      </c>
    </row>
    <row r="607" spans="1:110" x14ac:dyDescent="0.25">
      <c r="A607" s="72"/>
      <c r="B607" s="43" t="s">
        <v>1467</v>
      </c>
      <c r="C607" s="42"/>
      <c r="D607" s="42" t="s">
        <v>8</v>
      </c>
      <c r="E607" s="49"/>
      <c r="F607" s="49"/>
      <c r="G607" s="49"/>
      <c r="H607" s="49"/>
      <c r="I607" s="45" t="e">
        <f>I618/$I$619*100</f>
        <v>#DIV/0!</v>
      </c>
      <c r="J607" s="45" t="e">
        <f>J618/$J$619*100</f>
        <v>#DIV/0!</v>
      </c>
      <c r="K607" s="45">
        <f>K618/$K$619*100</f>
        <v>0</v>
      </c>
      <c r="L607" s="45">
        <f t="shared" si="1666"/>
        <v>0</v>
      </c>
      <c r="M607" s="3"/>
      <c r="N607" s="45" t="e">
        <f>N618/N619*100</f>
        <v>#DIV/0!</v>
      </c>
      <c r="O607" s="45" t="e">
        <f>O618/O619*100</f>
        <v>#DIV/0!</v>
      </c>
      <c r="P607" s="45" t="e">
        <f>P618/P619*100</f>
        <v>#DIV/0!</v>
      </c>
      <c r="Q607" s="45" t="e">
        <f>Q618/Q619*100</f>
        <v>#DIV/0!</v>
      </c>
      <c r="S607" s="45" t="e">
        <f>S618/S619*100</f>
        <v>#DIV/0!</v>
      </c>
      <c r="T607" s="45" t="e">
        <f>T618/T619*100</f>
        <v>#DIV/0!</v>
      </c>
      <c r="V607" s="45" t="e">
        <f>V618/V619*100</f>
        <v>#DIV/0!</v>
      </c>
      <c r="W607" s="45" t="e">
        <f>W618/W619*100</f>
        <v>#DIV/0!</v>
      </c>
      <c r="Y607" s="45" t="e">
        <f>Y618/Y619*100</f>
        <v>#DIV/0!</v>
      </c>
      <c r="Z607" s="45" t="e">
        <f>Z618/Z619*100</f>
        <v>#DIV/0!</v>
      </c>
      <c r="AA607" s="241"/>
      <c r="AB607" s="45" t="e">
        <f>AB618/AB619*100</f>
        <v>#DIV/0!</v>
      </c>
      <c r="AC607" s="45" t="e">
        <f>AC618/AC619*100</f>
        <v>#DIV/0!</v>
      </c>
      <c r="AD607" s="241"/>
      <c r="AE607" s="45" t="e">
        <f>AE618/AE619*100</f>
        <v>#DIV/0!</v>
      </c>
      <c r="AF607" s="45" t="e">
        <f>AF618/AF619*100</f>
        <v>#DIV/0!</v>
      </c>
      <c r="AH607" s="45" t="e">
        <f>AH618/AH619*100</f>
        <v>#DIV/0!</v>
      </c>
      <c r="AI607" s="45" t="e">
        <f>AI618/AI619*100</f>
        <v>#DIV/0!</v>
      </c>
      <c r="AJ607" s="241"/>
      <c r="AK607" s="45" t="e">
        <f>AK618/AK619*100</f>
        <v>#DIV/0!</v>
      </c>
      <c r="AL607" s="45" t="e">
        <f>AL618/AL619*100</f>
        <v>#DIV/0!</v>
      </c>
      <c r="AM607" s="241"/>
      <c r="AN607" s="45" t="e">
        <f>AN618/AN619*100</f>
        <v>#DIV/0!</v>
      </c>
      <c r="AO607" s="45" t="e">
        <f>AO618/AO619*100</f>
        <v>#DIV/0!</v>
      </c>
      <c r="AQ607" s="45" t="e">
        <f>AQ618/AQ619*100</f>
        <v>#DIV/0!</v>
      </c>
      <c r="AR607" s="45" t="e">
        <f>AR618/AR619*100</f>
        <v>#DIV/0!</v>
      </c>
      <c r="AS607" s="241"/>
      <c r="AT607" s="45" t="e">
        <f>AT618/AT619*100</f>
        <v>#DIV/0!</v>
      </c>
      <c r="AU607" s="45" t="e">
        <f>AU618/AU619*100</f>
        <v>#DIV/0!</v>
      </c>
      <c r="AW607" s="45" t="e">
        <f>AW618/AW619*100</f>
        <v>#DIV/0!</v>
      </c>
      <c r="AX607" s="45" t="e">
        <f>AX618/AX619*100</f>
        <v>#DIV/0!</v>
      </c>
      <c r="AZ607" s="45" t="e">
        <f>AZ618/AZ619*100</f>
        <v>#DIV/0!</v>
      </c>
      <c r="BA607" s="45" t="e">
        <f>BA618/BA619*100</f>
        <v>#DIV/0!</v>
      </c>
      <c r="BB607" s="241"/>
      <c r="BC607" s="45" t="e">
        <f>BC618/BC619*100</f>
        <v>#DIV/0!</v>
      </c>
      <c r="BD607" s="45" t="e">
        <f>BD618/BD619*100</f>
        <v>#DIV/0!</v>
      </c>
      <c r="BE607" s="241"/>
      <c r="BF607" s="45" t="e">
        <f>BF618/BF619*100</f>
        <v>#DIV/0!</v>
      </c>
      <c r="BG607" s="45" t="e">
        <f>BG618/BG619*100</f>
        <v>#DIV/0!</v>
      </c>
      <c r="BI607" s="45" t="e">
        <f>BI618/BI619*100</f>
        <v>#DIV/0!</v>
      </c>
      <c r="BJ607" s="45" t="e">
        <f>BJ618/BJ619*100</f>
        <v>#DIV/0!</v>
      </c>
      <c r="BK607" s="241"/>
      <c r="BL607" s="45" t="e">
        <f>BL618/BL619*100</f>
        <v>#DIV/0!</v>
      </c>
      <c r="BM607" s="45" t="e">
        <f>BM618/BM619*100</f>
        <v>#DIV/0!</v>
      </c>
      <c r="BN607" s="241"/>
      <c r="BO607" s="45" t="e">
        <f>BO618/BO619*100</f>
        <v>#DIV/0!</v>
      </c>
      <c r="BP607" s="45" t="e">
        <f>BP618/BP619*100</f>
        <v>#DIV/0!</v>
      </c>
      <c r="BR607" s="45" t="e">
        <f>BR618/BR619*100</f>
        <v>#DIV/0!</v>
      </c>
      <c r="BS607" s="45" t="e">
        <f>BS618/BS619*100</f>
        <v>#DIV/0!</v>
      </c>
      <c r="BT607" s="241"/>
      <c r="BU607" s="45" t="e">
        <f>BU618/BU619*100</f>
        <v>#DIV/0!</v>
      </c>
      <c r="BV607" s="45" t="e">
        <f>BV618/BV619*100</f>
        <v>#DIV/0!</v>
      </c>
      <c r="BW607" s="241"/>
      <c r="BX607" s="45" t="e">
        <f>BX618/BX619*100</f>
        <v>#DIV/0!</v>
      </c>
      <c r="BY607" s="45" t="e">
        <f>BY618/BY619*100</f>
        <v>#DIV/0!</v>
      </c>
      <c r="CA607" s="45" t="e">
        <f>CA618/CA619*100</f>
        <v>#DIV/0!</v>
      </c>
      <c r="CB607" s="45" t="e">
        <f>CB618/CB619*100</f>
        <v>#DIV/0!</v>
      </c>
      <c r="CC607" s="241"/>
      <c r="CD607" s="45" t="e">
        <f>CD618/CD619*100</f>
        <v>#DIV/0!</v>
      </c>
      <c r="CE607" s="45" t="e">
        <f>CE618/CE619*100</f>
        <v>#DIV/0!</v>
      </c>
      <c r="CF607" s="241"/>
      <c r="CG607" s="45" t="e">
        <f>CG618/CG619*100</f>
        <v>#DIV/0!</v>
      </c>
      <c r="CH607" s="45" t="e">
        <f>CH618/CH619*100</f>
        <v>#DIV/0!</v>
      </c>
      <c r="CJ607" s="45" t="e">
        <f>CJ618/CJ619*100</f>
        <v>#DIV/0!</v>
      </c>
      <c r="CK607" s="45" t="e">
        <f>CK618/CK619*100</f>
        <v>#DIV/0!</v>
      </c>
      <c r="DE607" s="45" t="e">
        <f>DE618/DE619*100</f>
        <v>#DIV/0!</v>
      </c>
      <c r="DF607" s="45" t="e">
        <f>DF618/DF619*100</f>
        <v>#DIV/0!</v>
      </c>
    </row>
    <row r="608" spans="1:110" x14ac:dyDescent="0.25">
      <c r="A608" s="161"/>
      <c r="B608" s="70" t="s">
        <v>1182</v>
      </c>
      <c r="C608" s="13"/>
      <c r="D608" s="13"/>
      <c r="E608" s="111"/>
      <c r="F608" s="111"/>
      <c r="G608" s="111"/>
      <c r="H608" s="111"/>
      <c r="I608" s="111"/>
      <c r="J608" s="111"/>
      <c r="K608" s="111"/>
      <c r="L608" s="111"/>
      <c r="M608" s="3"/>
    </row>
    <row r="609" spans="1:110" ht="30" x14ac:dyDescent="0.25">
      <c r="A609" s="161"/>
      <c r="B609" s="70" t="s">
        <v>2070</v>
      </c>
      <c r="C609" s="13"/>
      <c r="D609" s="13"/>
      <c r="E609" s="111"/>
      <c r="F609" s="111"/>
      <c r="G609" s="111"/>
      <c r="H609" s="111"/>
      <c r="I609" s="111"/>
      <c r="J609" s="111"/>
      <c r="K609" s="111"/>
      <c r="L609" s="111"/>
      <c r="M609" s="3"/>
    </row>
    <row r="610" spans="1:110" ht="60" x14ac:dyDescent="0.25">
      <c r="A610" s="161"/>
      <c r="B610" s="21" t="s">
        <v>1465</v>
      </c>
      <c r="C610" s="6" t="s">
        <v>2921</v>
      </c>
      <c r="D610" s="13" t="s">
        <v>950</v>
      </c>
      <c r="E610" s="111"/>
      <c r="F610" s="111"/>
      <c r="G610" s="111"/>
      <c r="H610" s="140"/>
      <c r="I610" s="140">
        <f>129+55-10</f>
        <v>174</v>
      </c>
      <c r="J610" s="140">
        <v>217</v>
      </c>
      <c r="K610" s="140">
        <v>247</v>
      </c>
      <c r="L610" s="140">
        <v>213</v>
      </c>
      <c r="M610" s="3"/>
      <c r="N610" s="241">
        <f t="shared" ref="N610" si="1667">P610+S610+V610+Y610+AB610+AE610+AH610+AK610+AN610+AQ610+AW610+AZ610+BC610+BF610+BI610+BL610+BO610+BR610+BU610+BX610+CA610+CD610+CG610+CJ610+AT610+CM610+CP610</f>
        <v>216</v>
      </c>
      <c r="O610" s="241">
        <f t="shared" ref="O610" si="1668">Q610+T610+W610+Z610+AC610+AF610+AI610+AL610+AO610+AR610+AX610+BA610+BD610+BG610+BJ610+BM610+BP610+BS610+BV610+BY610+CB610+CE610+CH610+CK610+AU610</f>
        <v>0</v>
      </c>
      <c r="P610">
        <v>8</v>
      </c>
      <c r="S610">
        <v>14</v>
      </c>
      <c r="V610">
        <v>12</v>
      </c>
      <c r="Y610">
        <f>16+21</f>
        <v>37</v>
      </c>
      <c r="AB610">
        <v>1</v>
      </c>
      <c r="AE610">
        <v>0</v>
      </c>
      <c r="AH610">
        <v>1</v>
      </c>
      <c r="AK610">
        <v>5</v>
      </c>
      <c r="AN610">
        <v>2</v>
      </c>
      <c r="AQ610">
        <v>9</v>
      </c>
      <c r="AT610" s="241">
        <v>3</v>
      </c>
      <c r="AW610">
        <v>1</v>
      </c>
      <c r="AZ610">
        <v>9</v>
      </c>
      <c r="BC610">
        <f>1+23+20</f>
        <v>44</v>
      </c>
      <c r="BF610">
        <v>16</v>
      </c>
      <c r="BI610">
        <v>3</v>
      </c>
      <c r="BL610">
        <v>4</v>
      </c>
      <c r="BO610">
        <v>10</v>
      </c>
      <c r="BR610">
        <v>3</v>
      </c>
      <c r="BU610">
        <v>6</v>
      </c>
      <c r="BX610">
        <v>7</v>
      </c>
      <c r="CA610">
        <v>7</v>
      </c>
      <c r="CD610">
        <v>2</v>
      </c>
      <c r="CG610">
        <v>12</v>
      </c>
    </row>
    <row r="611" spans="1:110" ht="75" x14ac:dyDescent="0.25">
      <c r="A611" s="161"/>
      <c r="B611" s="21" t="s">
        <v>1466</v>
      </c>
      <c r="C611" s="6" t="s">
        <v>2922</v>
      </c>
      <c r="D611" s="13" t="s">
        <v>950</v>
      </c>
      <c r="E611" s="111"/>
      <c r="F611" s="111"/>
      <c r="G611" s="111"/>
      <c r="H611" s="140"/>
      <c r="I611" s="140">
        <v>0</v>
      </c>
      <c r="J611" s="140">
        <v>0</v>
      </c>
      <c r="K611" s="140">
        <v>1</v>
      </c>
      <c r="L611" s="140">
        <v>1</v>
      </c>
      <c r="M611" s="3"/>
      <c r="N611" s="241">
        <f t="shared" ref="N611:N612" si="1669">P611+S611+V611+Y611+AB611+AE611+AH611+AK611+AN611+AQ611+AW611+AZ611+BC611+BF611+BI611+BL611+BO611+BR611+BU611+BX611+CA611+CD611+CG611+CJ611+AT611+CM611+CP611</f>
        <v>1</v>
      </c>
      <c r="O611" s="241">
        <f t="shared" ref="O611:O612" si="1670">Q611+T611+W611+Z611+AC611+AF611+AI611+AL611+AO611+AR611+AX611+BA611+BD611+BG611+BJ611+BM611+BP611+BS611+BV611+BY611+CB611+CE611+CH611+CK611+AU611</f>
        <v>0</v>
      </c>
      <c r="P611">
        <v>0</v>
      </c>
      <c r="S611">
        <v>0</v>
      </c>
      <c r="V611">
        <v>0</v>
      </c>
      <c r="Y611">
        <v>0</v>
      </c>
      <c r="AB611">
        <v>0</v>
      </c>
      <c r="AE611">
        <v>0</v>
      </c>
      <c r="AH611">
        <v>0</v>
      </c>
      <c r="AK611">
        <v>0</v>
      </c>
      <c r="AN611">
        <v>0</v>
      </c>
      <c r="AQ611">
        <v>0</v>
      </c>
      <c r="AT611" s="241">
        <v>0</v>
      </c>
      <c r="AW611">
        <v>0</v>
      </c>
      <c r="AZ611">
        <v>0</v>
      </c>
      <c r="BC611">
        <v>0</v>
      </c>
      <c r="BF611">
        <v>0</v>
      </c>
      <c r="BI611">
        <v>0</v>
      </c>
      <c r="BL611">
        <v>0</v>
      </c>
      <c r="BO611">
        <v>0</v>
      </c>
      <c r="BR611">
        <v>0</v>
      </c>
      <c r="BU611">
        <v>0</v>
      </c>
      <c r="BX611">
        <v>0</v>
      </c>
      <c r="CA611">
        <v>1</v>
      </c>
      <c r="CD611">
        <v>0</v>
      </c>
      <c r="CG611">
        <v>0</v>
      </c>
    </row>
    <row r="612" spans="1:110" ht="75" x14ac:dyDescent="0.25">
      <c r="A612" s="161"/>
      <c r="B612" s="21" t="s">
        <v>1467</v>
      </c>
      <c r="C612" s="6" t="s">
        <v>2923</v>
      </c>
      <c r="D612" s="13" t="s">
        <v>950</v>
      </c>
      <c r="E612" s="111"/>
      <c r="F612" s="111"/>
      <c r="G612" s="111"/>
      <c r="H612" s="140"/>
      <c r="I612" s="140">
        <v>1</v>
      </c>
      <c r="J612" s="140">
        <v>1</v>
      </c>
      <c r="K612" s="140">
        <v>3</v>
      </c>
      <c r="L612" s="140">
        <v>4</v>
      </c>
      <c r="M612" s="3"/>
      <c r="N612" s="241">
        <f t="shared" si="1669"/>
        <v>2</v>
      </c>
      <c r="O612" s="241">
        <f t="shared" si="1670"/>
        <v>0</v>
      </c>
      <c r="P612">
        <v>2</v>
      </c>
      <c r="S612">
        <v>0</v>
      </c>
      <c r="V612">
        <v>0</v>
      </c>
      <c r="Y612">
        <v>0</v>
      </c>
      <c r="AB612">
        <v>0</v>
      </c>
      <c r="AE612">
        <v>0</v>
      </c>
      <c r="AH612">
        <v>0</v>
      </c>
      <c r="AK612">
        <v>0</v>
      </c>
      <c r="AN612">
        <v>0</v>
      </c>
      <c r="AQ612">
        <v>0</v>
      </c>
      <c r="AT612" s="241">
        <v>0</v>
      </c>
      <c r="AW612">
        <v>0</v>
      </c>
      <c r="AZ612">
        <v>0</v>
      </c>
      <c r="BC612">
        <v>0</v>
      </c>
      <c r="BF612">
        <v>0</v>
      </c>
      <c r="BI612">
        <v>0</v>
      </c>
      <c r="BL612">
        <v>0</v>
      </c>
      <c r="BO612">
        <v>0</v>
      </c>
      <c r="BR612">
        <v>0</v>
      </c>
      <c r="BU612">
        <v>0</v>
      </c>
      <c r="BX612">
        <v>0</v>
      </c>
      <c r="CA612">
        <v>0</v>
      </c>
      <c r="CD612">
        <v>0</v>
      </c>
      <c r="CG612">
        <v>0</v>
      </c>
    </row>
    <row r="613" spans="1:110" ht="45" x14ac:dyDescent="0.25">
      <c r="A613" s="161"/>
      <c r="B613" s="21" t="s">
        <v>2071</v>
      </c>
      <c r="C613" s="6" t="s">
        <v>2708</v>
      </c>
      <c r="D613" s="13"/>
      <c r="E613" s="111"/>
      <c r="F613" s="111"/>
      <c r="G613" s="111"/>
      <c r="H613" s="140"/>
      <c r="I613" s="140">
        <f>130+55-10</f>
        <v>175</v>
      </c>
      <c r="J613" s="140">
        <v>218</v>
      </c>
      <c r="K613" s="140">
        <v>251</v>
      </c>
      <c r="L613" s="140">
        <v>218</v>
      </c>
      <c r="M613" s="3"/>
      <c r="N613" s="241">
        <f t="shared" ref="N613" si="1671">P613+S613+V613+Y613+AB613+AE613+AH613+AK613+AN613+AQ613+AW613+AZ613+BC613+BF613+BI613+BL613+BO613+BR613+BU613+BX613+CA613+CD613+CG613+CJ613+AT613+CM613+CP613</f>
        <v>219</v>
      </c>
      <c r="O613" s="241">
        <f t="shared" ref="O613" si="1672">Q613+T613+W613+Z613+AC613+AF613+AI613+AL613+AO613+AR613+AX613+BA613+BD613+BG613+BJ613+BM613+BP613+BS613+BV613+BY613+CB613+CE613+CH613+CK613+AU613</f>
        <v>0</v>
      </c>
      <c r="P613" s="241">
        <f>8+2</f>
        <v>10</v>
      </c>
      <c r="S613">
        <v>14</v>
      </c>
      <c r="V613">
        <v>12</v>
      </c>
      <c r="Y613">
        <f>16+21</f>
        <v>37</v>
      </c>
      <c r="AB613">
        <v>1</v>
      </c>
      <c r="AE613">
        <v>0</v>
      </c>
      <c r="AH613">
        <v>1</v>
      </c>
      <c r="AK613">
        <v>5</v>
      </c>
      <c r="AN613">
        <v>2</v>
      </c>
      <c r="AQ613">
        <v>9</v>
      </c>
      <c r="AT613" s="241">
        <v>3</v>
      </c>
      <c r="AW613">
        <v>1</v>
      </c>
      <c r="AZ613">
        <v>9</v>
      </c>
      <c r="BC613">
        <v>44</v>
      </c>
      <c r="BF613">
        <v>16</v>
      </c>
      <c r="BI613">
        <v>3</v>
      </c>
      <c r="BL613">
        <v>4</v>
      </c>
      <c r="BO613">
        <v>10</v>
      </c>
      <c r="BR613">
        <v>3</v>
      </c>
      <c r="BU613">
        <v>6</v>
      </c>
      <c r="BX613">
        <v>7</v>
      </c>
      <c r="CA613">
        <v>8</v>
      </c>
      <c r="CD613">
        <v>2</v>
      </c>
      <c r="CG613">
        <v>12</v>
      </c>
    </row>
    <row r="614" spans="1:110" x14ac:dyDescent="0.25">
      <c r="A614" s="161"/>
      <c r="B614" s="70" t="s">
        <v>1184</v>
      </c>
      <c r="C614" s="13"/>
      <c r="D614" s="13"/>
      <c r="E614" s="111"/>
      <c r="F614" s="111"/>
      <c r="G614" s="111"/>
      <c r="H614" s="140"/>
      <c r="I614" s="140"/>
      <c r="J614" s="140"/>
      <c r="K614" s="140"/>
      <c r="L614" s="140"/>
      <c r="M614" s="3"/>
    </row>
    <row r="615" spans="1:110" ht="30" x14ac:dyDescent="0.25">
      <c r="A615" s="161"/>
      <c r="B615" s="70" t="s">
        <v>2070</v>
      </c>
      <c r="C615" s="13"/>
      <c r="D615" s="13"/>
      <c r="E615" s="111"/>
      <c r="F615" s="111"/>
      <c r="G615" s="111"/>
      <c r="H615" s="140"/>
      <c r="I615" s="140"/>
      <c r="J615" s="140"/>
      <c r="K615" s="140"/>
      <c r="L615" s="140"/>
      <c r="M615" s="3"/>
    </row>
    <row r="616" spans="1:110" ht="60" x14ac:dyDescent="0.25">
      <c r="A616" s="161"/>
      <c r="B616" s="21" t="s">
        <v>1465</v>
      </c>
      <c r="C616" s="6" t="s">
        <v>2921</v>
      </c>
      <c r="D616" s="13" t="s">
        <v>950</v>
      </c>
      <c r="E616" s="111"/>
      <c r="F616" s="111"/>
      <c r="G616" s="111"/>
      <c r="H616" s="140"/>
      <c r="I616" s="140">
        <v>0</v>
      </c>
      <c r="J616" s="140">
        <v>0</v>
      </c>
      <c r="K616" s="140">
        <v>7</v>
      </c>
      <c r="L616" s="140">
        <v>21</v>
      </c>
      <c r="M616" s="3"/>
      <c r="N616" s="241">
        <f t="shared" ref="N616:N619" si="1673">P616+S616+V616+Y616+AB616+AE616+AH616+AK616+AN616+AQ616+AW616+AZ616+BC616+BF616+BI616+BL616+BO616+BR616+BU616+BX616+CA616+CD616+CG616+CJ616+AT616+CM616+CP616</f>
        <v>0</v>
      </c>
      <c r="O616" s="241">
        <f t="shared" ref="O616:O619" si="1674">Q616+T616+W616+Z616+AC616+AF616+AI616+AL616+AO616+AR616+AX616+BA616+BD616+BG616+BJ616+BM616+BP616+BS616+BV616+BY616+CB616+CE616+CH616+CK616+AU616</f>
        <v>0</v>
      </c>
    </row>
    <row r="617" spans="1:110" ht="75" x14ac:dyDescent="0.25">
      <c r="A617" s="161"/>
      <c r="B617" s="21" t="s">
        <v>1466</v>
      </c>
      <c r="C617" s="6" t="s">
        <v>2922</v>
      </c>
      <c r="D617" s="13" t="s">
        <v>950</v>
      </c>
      <c r="E617" s="111"/>
      <c r="F617" s="111"/>
      <c r="G617" s="111"/>
      <c r="H617" s="140"/>
      <c r="I617" s="140">
        <v>0</v>
      </c>
      <c r="J617" s="140">
        <v>0</v>
      </c>
      <c r="K617" s="140">
        <v>0</v>
      </c>
      <c r="L617" s="140">
        <v>0</v>
      </c>
      <c r="M617" s="3"/>
      <c r="N617" s="241">
        <f t="shared" si="1673"/>
        <v>0</v>
      </c>
      <c r="O617" s="241">
        <f t="shared" si="1674"/>
        <v>0</v>
      </c>
    </row>
    <row r="618" spans="1:110" ht="75" x14ac:dyDescent="0.25">
      <c r="A618" s="161"/>
      <c r="B618" s="21" t="s">
        <v>1467</v>
      </c>
      <c r="C618" s="6" t="s">
        <v>2923</v>
      </c>
      <c r="D618" s="13" t="s">
        <v>950</v>
      </c>
      <c r="E618" s="111"/>
      <c r="F618" s="111"/>
      <c r="G618" s="111"/>
      <c r="H618" s="140"/>
      <c r="I618" s="140">
        <v>0</v>
      </c>
      <c r="J618" s="140">
        <v>0</v>
      </c>
      <c r="K618" s="140">
        <v>0</v>
      </c>
      <c r="L618" s="140">
        <v>0</v>
      </c>
      <c r="M618" s="3"/>
      <c r="N618" s="241">
        <f t="shared" si="1673"/>
        <v>0</v>
      </c>
      <c r="O618" s="241">
        <f t="shared" si="1674"/>
        <v>0</v>
      </c>
    </row>
    <row r="619" spans="1:110" ht="45" x14ac:dyDescent="0.25">
      <c r="A619" s="161"/>
      <c r="B619" s="21" t="s">
        <v>2071</v>
      </c>
      <c r="C619" s="6" t="s">
        <v>2708</v>
      </c>
      <c r="D619" s="13"/>
      <c r="E619" s="111"/>
      <c r="F619" s="111"/>
      <c r="G619" s="111"/>
      <c r="H619" s="140"/>
      <c r="I619" s="140">
        <v>0</v>
      </c>
      <c r="J619" s="140">
        <v>0</v>
      </c>
      <c r="K619" s="140">
        <v>7</v>
      </c>
      <c r="L619" s="140">
        <v>21</v>
      </c>
      <c r="M619" s="3"/>
      <c r="N619" s="241">
        <f t="shared" si="1673"/>
        <v>0</v>
      </c>
      <c r="O619" s="241">
        <f t="shared" si="1674"/>
        <v>0</v>
      </c>
    </row>
    <row r="620" spans="1:110" ht="90" x14ac:dyDescent="0.25">
      <c r="A620" s="42" t="s">
        <v>1463</v>
      </c>
      <c r="B620" s="43" t="s">
        <v>1468</v>
      </c>
      <c r="C620" s="42"/>
      <c r="D620" s="42"/>
      <c r="E620" s="49"/>
      <c r="F620" s="49"/>
      <c r="G620" s="49"/>
      <c r="H620" s="49"/>
      <c r="I620" s="49"/>
      <c r="J620" s="49"/>
      <c r="K620" s="49"/>
      <c r="L620" s="49"/>
      <c r="M620" s="3"/>
    </row>
    <row r="621" spans="1:110" x14ac:dyDescent="0.25">
      <c r="A621" s="55"/>
      <c r="B621" s="43" t="s">
        <v>180</v>
      </c>
      <c r="C621" s="42"/>
      <c r="D621" s="42"/>
      <c r="E621" s="49"/>
      <c r="F621" s="49"/>
      <c r="G621" s="49"/>
      <c r="H621" s="49"/>
      <c r="I621" s="49"/>
      <c r="J621" s="49"/>
      <c r="K621" s="49"/>
      <c r="L621" s="49"/>
      <c r="M621" s="3"/>
    </row>
    <row r="622" spans="1:110" x14ac:dyDescent="0.25">
      <c r="A622" s="55"/>
      <c r="B622" s="46" t="s">
        <v>1182</v>
      </c>
      <c r="C622" s="42"/>
      <c r="D622" s="42" t="s">
        <v>8</v>
      </c>
      <c r="E622" s="49"/>
      <c r="F622" s="49"/>
      <c r="G622" s="49"/>
      <c r="H622" s="49"/>
      <c r="I622" s="45">
        <f>(I632+I635)/(I633+I636)*100</f>
        <v>8.5714285714285712</v>
      </c>
      <c r="J622" s="45">
        <f>(J632+J635)/(J633+J636)*100</f>
        <v>15.137614678899084</v>
      </c>
      <c r="K622" s="45">
        <f>(K632+K635)/(K633+K636)*100</f>
        <v>15.139442231075698</v>
      </c>
      <c r="L622" s="45">
        <f>(L632+L635)/(L633+L636)*100</f>
        <v>13.227513227513226</v>
      </c>
      <c r="M622" s="3"/>
      <c r="N622" s="45">
        <f>(N632+N635)/(N633+N636)*100</f>
        <v>11.415525114155251</v>
      </c>
      <c r="O622" s="45" t="e">
        <f>(O632+O635)/(O633+O636)*100</f>
        <v>#DIV/0!</v>
      </c>
      <c r="P622" s="45">
        <f>(P632+P635)/(P633+P636)*100</f>
        <v>0</v>
      </c>
      <c r="Q622" s="45" t="e">
        <f>(Q632+Q635)/(Q633+Q636)*100</f>
        <v>#DIV/0!</v>
      </c>
      <c r="S622" s="45">
        <f>(S632+S635)/(S633+S636)*100</f>
        <v>0</v>
      </c>
      <c r="T622" s="45" t="e">
        <f>(T632+T635)/(T633+T636)*100</f>
        <v>#DIV/0!</v>
      </c>
      <c r="V622" s="45">
        <f>(V632+V635)/(V633+V636)*100</f>
        <v>100</v>
      </c>
      <c r="W622" s="45" t="e">
        <f>(W632+W635)/(W633+W636)*100</f>
        <v>#DIV/0!</v>
      </c>
      <c r="Y622" s="45">
        <f>(Y632+Y635)/(Y633+Y636)*100</f>
        <v>10.810810810810811</v>
      </c>
      <c r="Z622" s="45" t="e">
        <f>(Z632+Z635)/(Z633+Z636)*100</f>
        <v>#DIV/0!</v>
      </c>
      <c r="AA622" s="241"/>
      <c r="AB622" s="45">
        <f>(AB632+AB635)/(AB633+AB636)*100</f>
        <v>0</v>
      </c>
      <c r="AC622" s="45" t="e">
        <f>(AC632+AC635)/(AC633+AC636)*100</f>
        <v>#DIV/0!</v>
      </c>
      <c r="AD622" s="241"/>
      <c r="AE622" s="45" t="e">
        <f>(AE632+AE635)/(AE633+AE636)*100</f>
        <v>#DIV/0!</v>
      </c>
      <c r="AF622" s="45" t="e">
        <f>(AF632+AF635)/(AF633+AF636)*100</f>
        <v>#DIV/0!</v>
      </c>
      <c r="AH622" s="45">
        <f>(AH632+AH635)/(AH633+AH636)*100</f>
        <v>100</v>
      </c>
      <c r="AI622" s="45" t="e">
        <f>(AI632+AI635)/(AI633+AI636)*100</f>
        <v>#DIV/0!</v>
      </c>
      <c r="AJ622" s="241"/>
      <c r="AK622" s="45">
        <f>(AK632+AK635)/(AK633+AK636)*100</f>
        <v>0</v>
      </c>
      <c r="AL622" s="45" t="e">
        <f>(AL632+AL635)/(AL633+AL636)*100</f>
        <v>#DIV/0!</v>
      </c>
      <c r="AM622" s="241"/>
      <c r="AN622" s="45">
        <f>(AN632+AN635)/(AN633+AN636)*100</f>
        <v>0</v>
      </c>
      <c r="AO622" s="45" t="e">
        <f>(AO632+AO635)/(AO633+AO636)*100</f>
        <v>#DIV/0!</v>
      </c>
      <c r="AQ622" s="45">
        <f>(AQ632+AQ635)/(AQ633+AQ636)*100</f>
        <v>0</v>
      </c>
      <c r="AR622" s="45" t="e">
        <f>(AR632+AR635)/(AR633+AR636)*100</f>
        <v>#DIV/0!</v>
      </c>
      <c r="AS622" s="241"/>
      <c r="AT622" s="45">
        <f>(AT632+AT635)/(AT633+AT636)*100</f>
        <v>0</v>
      </c>
      <c r="AU622" s="45" t="e">
        <f>(AU632+AU635)/(AU633+AU636)*100</f>
        <v>#DIV/0!</v>
      </c>
      <c r="AW622" s="45">
        <f>(AW632+AW635)/(AW633+AW636)*100</f>
        <v>0</v>
      </c>
      <c r="AX622" s="45" t="e">
        <f>(AX632+AX635)/(AX633+AX636)*100</f>
        <v>#DIV/0!</v>
      </c>
      <c r="AZ622" s="45">
        <f>(AZ632+AZ635)/(AZ633+AZ636)*100</f>
        <v>0</v>
      </c>
      <c r="BA622" s="45" t="e">
        <f>(BA632+BA635)/(BA633+BA636)*100</f>
        <v>#DIV/0!</v>
      </c>
      <c r="BB622" s="241"/>
      <c r="BC622" s="45">
        <f>(BC632+BC635)/(BC633+BC636)*100</f>
        <v>0</v>
      </c>
      <c r="BD622" s="45" t="e">
        <f>(BD632+BD635)/(BD633+BD636)*100</f>
        <v>#DIV/0!</v>
      </c>
      <c r="BE622" s="241"/>
      <c r="BF622" s="45">
        <f>(BF632+BF635)/(BF633+BF636)*100</f>
        <v>0</v>
      </c>
      <c r="BG622" s="45" t="e">
        <f>(BG632+BG635)/(BG633+BG636)*100</f>
        <v>#DIV/0!</v>
      </c>
      <c r="BI622" s="45">
        <f>(BI632+BI635)/(BI633+BI636)*100</f>
        <v>0</v>
      </c>
      <c r="BJ622" s="45" t="e">
        <f>(BJ632+BJ635)/(BJ633+BJ636)*100</f>
        <v>#DIV/0!</v>
      </c>
      <c r="BK622" s="241"/>
      <c r="BL622" s="45">
        <f>(BL632+BL635)/(BL633+BL636)*100</f>
        <v>0</v>
      </c>
      <c r="BM622" s="45" t="e">
        <f>(BM632+BM635)/(BM633+BM636)*100</f>
        <v>#DIV/0!</v>
      </c>
      <c r="BN622" s="241"/>
      <c r="BO622" s="45">
        <f>(BO632+BO635)/(BO633+BO636)*100</f>
        <v>80</v>
      </c>
      <c r="BP622" s="45" t="e">
        <f>(BP632+BP635)/(BP633+BP636)*100</f>
        <v>#DIV/0!</v>
      </c>
      <c r="BR622" s="45">
        <f>(BR632+BR635)/(BR633+BR636)*100</f>
        <v>0</v>
      </c>
      <c r="BS622" s="45" t="e">
        <f>(BS632+BS635)/(BS633+BS636)*100</f>
        <v>#DIV/0!</v>
      </c>
      <c r="BT622" s="241"/>
      <c r="BU622" s="45">
        <f>(BU632+BU635)/(BU633+BU636)*100</f>
        <v>0</v>
      </c>
      <c r="BV622" s="45" t="e">
        <f>(BV632+BV635)/(BV633+BV636)*100</f>
        <v>#DIV/0!</v>
      </c>
      <c r="BW622" s="241"/>
      <c r="BX622" s="45">
        <f>(BX632+BX635)/(BX633+BX636)*100</f>
        <v>0</v>
      </c>
      <c r="BY622" s="45" t="e">
        <f>(BY632+BY635)/(BY633+BY636)*100</f>
        <v>#DIV/0!</v>
      </c>
      <c r="CA622" s="45">
        <f>(CA632+CA635)/(CA633+CA636)*100</f>
        <v>0</v>
      </c>
      <c r="CB622" s="45" t="e">
        <f>(CB632+CB635)/(CB633+CB636)*100</f>
        <v>#DIV/0!</v>
      </c>
      <c r="CC622" s="241"/>
      <c r="CD622" s="45">
        <f>(CD632+CD635)/(CD633+CD636)*100</f>
        <v>0</v>
      </c>
      <c r="CE622" s="45" t="e">
        <f>(CE632+CE635)/(CE633+CE636)*100</f>
        <v>#DIV/0!</v>
      </c>
      <c r="CF622" s="241"/>
      <c r="CG622" s="45">
        <f>(CG632+CG635)/(CG633+CG636)*100</f>
        <v>0</v>
      </c>
      <c r="CH622" s="45" t="e">
        <f>(CH632+CH635)/(CH633+CH636)*100</f>
        <v>#DIV/0!</v>
      </c>
      <c r="CJ622" s="45" t="e">
        <f>(CJ632+CJ635)/(CJ633+CJ636)*100</f>
        <v>#DIV/0!</v>
      </c>
      <c r="CK622" s="45" t="e">
        <f>(CK632+CK635)/(CK633+CK636)*100</f>
        <v>#DIV/0!</v>
      </c>
      <c r="DE622" s="45" t="e">
        <f>(DE632+DE635)/(DE633+DE636)*100</f>
        <v>#DIV/0!</v>
      </c>
      <c r="DF622" s="45" t="e">
        <f>(DF632+DF635)/(DF633+DF636)*100</f>
        <v>#DIV/0!</v>
      </c>
    </row>
    <row r="623" spans="1:110" x14ac:dyDescent="0.25">
      <c r="A623" s="55"/>
      <c r="B623" s="46" t="s">
        <v>1184</v>
      </c>
      <c r="C623" s="42"/>
      <c r="D623" s="42" t="s">
        <v>8</v>
      </c>
      <c r="E623" s="49"/>
      <c r="F623" s="49"/>
      <c r="G623" s="49"/>
      <c r="H623" s="49"/>
      <c r="I623" s="45" t="e">
        <f>(I639+I642)/(I640+I643)*100</f>
        <v>#DIV/0!</v>
      </c>
      <c r="J623" s="45" t="e">
        <f>(J639+J642)/(J640+J643)*100</f>
        <v>#DIV/0!</v>
      </c>
      <c r="K623" s="45">
        <f>(K639+K642)/(K640+K643)*100</f>
        <v>100</v>
      </c>
      <c r="L623" s="45">
        <f>(L639+L642)/(L640+L643)*100</f>
        <v>100</v>
      </c>
      <c r="M623" s="3"/>
      <c r="N623" s="45">
        <f>(N639+N642)/(N640+N643)*100</f>
        <v>100</v>
      </c>
      <c r="O623" s="45" t="e">
        <f>(O639+O642)/(O640+O643)*100</f>
        <v>#DIV/0!</v>
      </c>
      <c r="P623" s="45" t="e">
        <f>(P639+P642)/(P640+P643)*100</f>
        <v>#DIV/0!</v>
      </c>
      <c r="Q623" s="45" t="e">
        <f>(Q639+Q642)/(Q640+Q643)*100</f>
        <v>#DIV/0!</v>
      </c>
      <c r="S623" s="45" t="e">
        <f>(S639+S642)/(S640+S643)*100</f>
        <v>#DIV/0!</v>
      </c>
      <c r="T623" s="45" t="e">
        <f>(T639+T642)/(T640+T643)*100</f>
        <v>#DIV/0!</v>
      </c>
      <c r="V623" s="45" t="e">
        <f>(V639+V642)/(V640+V643)*100</f>
        <v>#DIV/0!</v>
      </c>
      <c r="W623" s="45" t="e">
        <f>(W639+W642)/(W640+W643)*100</f>
        <v>#DIV/0!</v>
      </c>
      <c r="Y623" s="45" t="e">
        <f>(Y639+Y642)/(Y640+Y643)*100</f>
        <v>#DIV/0!</v>
      </c>
      <c r="Z623" s="45" t="e">
        <f>(Z639+Z642)/(Z640+Z643)*100</f>
        <v>#DIV/0!</v>
      </c>
      <c r="AA623" s="241"/>
      <c r="AB623" s="45" t="e">
        <f>(AB639+AB642)/(AB640+AB643)*100</f>
        <v>#DIV/0!</v>
      </c>
      <c r="AC623" s="45" t="e">
        <f>(AC639+AC642)/(AC640+AC643)*100</f>
        <v>#DIV/0!</v>
      </c>
      <c r="AD623" s="241"/>
      <c r="AE623" s="45" t="e">
        <f>(AE639+AE642)/(AE640+AE643)*100</f>
        <v>#DIV/0!</v>
      </c>
      <c r="AF623" s="45" t="e">
        <f>(AF639+AF642)/(AF640+AF643)*100</f>
        <v>#DIV/0!</v>
      </c>
      <c r="AH623" s="45" t="e">
        <f>(AH639+AH642)/(AH640+AH643)*100</f>
        <v>#DIV/0!</v>
      </c>
      <c r="AI623" s="45" t="e">
        <f>(AI639+AI642)/(AI640+AI643)*100</f>
        <v>#DIV/0!</v>
      </c>
      <c r="AJ623" s="241"/>
      <c r="AK623" s="45" t="e">
        <f>(AK639+AK642)/(AK640+AK643)*100</f>
        <v>#DIV/0!</v>
      </c>
      <c r="AL623" s="45" t="e">
        <f>(AL639+AL642)/(AL640+AL643)*100</f>
        <v>#DIV/0!</v>
      </c>
      <c r="AM623" s="241"/>
      <c r="AN623" s="45" t="e">
        <f>(AN639+AN642)/(AN640+AN643)*100</f>
        <v>#DIV/0!</v>
      </c>
      <c r="AO623" s="45" t="e">
        <f>(AO639+AO642)/(AO640+AO643)*100</f>
        <v>#DIV/0!</v>
      </c>
      <c r="AQ623" s="45" t="e">
        <f>(AQ639+AQ642)/(AQ640+AQ643)*100</f>
        <v>#DIV/0!</v>
      </c>
      <c r="AR623" s="45" t="e">
        <f>(AR639+AR642)/(AR640+AR643)*100</f>
        <v>#DIV/0!</v>
      </c>
      <c r="AS623" s="241"/>
      <c r="AT623" s="45" t="e">
        <f>(AT639+AT642)/(AT640+AT643)*100</f>
        <v>#DIV/0!</v>
      </c>
      <c r="AU623" s="45" t="e">
        <f>(AU639+AU642)/(AU640+AU643)*100</f>
        <v>#DIV/0!</v>
      </c>
      <c r="AW623" s="45" t="e">
        <f>(AW639+AW642)/(AW640+AW643)*100</f>
        <v>#DIV/0!</v>
      </c>
      <c r="AX623" s="45" t="e">
        <f>(AX639+AX642)/(AX640+AX643)*100</f>
        <v>#DIV/0!</v>
      </c>
      <c r="AZ623" s="45" t="e">
        <f>(AZ639+AZ642)/(AZ640+AZ643)*100</f>
        <v>#DIV/0!</v>
      </c>
      <c r="BA623" s="45" t="e">
        <f>(BA639+BA642)/(BA640+BA643)*100</f>
        <v>#DIV/0!</v>
      </c>
      <c r="BB623" s="241"/>
      <c r="BC623" s="45" t="e">
        <f>(BC639+BC642)/(BC640+BC643)*100</f>
        <v>#DIV/0!</v>
      </c>
      <c r="BD623" s="45" t="e">
        <f>(BD639+BD642)/(BD640+BD643)*100</f>
        <v>#DIV/0!</v>
      </c>
      <c r="BE623" s="241"/>
      <c r="BF623" s="45" t="e">
        <f>(BF639+BF642)/(BF640+BF643)*100</f>
        <v>#DIV/0!</v>
      </c>
      <c r="BG623" s="45" t="e">
        <f>(BG639+BG642)/(BG640+BG643)*100</f>
        <v>#DIV/0!</v>
      </c>
      <c r="BI623" s="45" t="e">
        <f>(BI639+BI642)/(BI640+BI643)*100</f>
        <v>#DIV/0!</v>
      </c>
      <c r="BJ623" s="45" t="e">
        <f>(BJ639+BJ642)/(BJ640+BJ643)*100</f>
        <v>#DIV/0!</v>
      </c>
      <c r="BK623" s="241"/>
      <c r="BL623" s="45" t="e">
        <f>(BL639+BL642)/(BL640+BL643)*100</f>
        <v>#DIV/0!</v>
      </c>
      <c r="BM623" s="45" t="e">
        <f>(BM639+BM642)/(BM640+BM643)*100</f>
        <v>#DIV/0!</v>
      </c>
      <c r="BN623" s="241"/>
      <c r="BO623" s="45" t="e">
        <f>(BO639+BO642)/(BO640+BO643)*100</f>
        <v>#DIV/0!</v>
      </c>
      <c r="BP623" s="45" t="e">
        <f>(BP639+BP642)/(BP640+BP643)*100</f>
        <v>#DIV/0!</v>
      </c>
      <c r="BR623" s="45" t="e">
        <f>(BR639+BR642)/(BR640+BR643)*100</f>
        <v>#DIV/0!</v>
      </c>
      <c r="BS623" s="45" t="e">
        <f>(BS639+BS642)/(BS640+BS643)*100</f>
        <v>#DIV/0!</v>
      </c>
      <c r="BT623" s="241"/>
      <c r="BU623" s="45" t="e">
        <f>(BU639+BU642)/(BU640+BU643)*100</f>
        <v>#DIV/0!</v>
      </c>
      <c r="BV623" s="45" t="e">
        <f>(BV639+BV642)/(BV640+BV643)*100</f>
        <v>#DIV/0!</v>
      </c>
      <c r="BW623" s="241"/>
      <c r="BX623" s="45" t="e">
        <f>(BX639+BX642)/(BX640+BX643)*100</f>
        <v>#DIV/0!</v>
      </c>
      <c r="BY623" s="45" t="e">
        <f>(BY639+BY642)/(BY640+BY643)*100</f>
        <v>#DIV/0!</v>
      </c>
      <c r="CA623" s="45" t="e">
        <f>(CA639+CA642)/(CA640+CA643)*100</f>
        <v>#DIV/0!</v>
      </c>
      <c r="CB623" s="45" t="e">
        <f>(CB639+CB642)/(CB640+CB643)*100</f>
        <v>#DIV/0!</v>
      </c>
      <c r="CC623" s="241"/>
      <c r="CD623" s="45" t="e">
        <f>(CD639+CD642)/(CD640+CD643)*100</f>
        <v>#DIV/0!</v>
      </c>
      <c r="CE623" s="45" t="e">
        <f>(CE639+CE642)/(CE640+CE643)*100</f>
        <v>#DIV/0!</v>
      </c>
      <c r="CF623" s="241"/>
      <c r="CG623" s="45" t="e">
        <f>(CG639+CG642)/(CG640+CG643)*100</f>
        <v>#DIV/0!</v>
      </c>
      <c r="CH623" s="45" t="e">
        <f>(CH639+CH642)/(CH640+CH643)*100</f>
        <v>#DIV/0!</v>
      </c>
      <c r="CJ623" s="45" t="e">
        <f>(CJ639+CJ642)/(CJ640+CJ643)*100</f>
        <v>#DIV/0!</v>
      </c>
      <c r="CK623" s="45" t="e">
        <f>(CK639+CK642)/(CK640+CK643)*100</f>
        <v>#DIV/0!</v>
      </c>
      <c r="DE623" s="45">
        <f>(DE639+DE642)/(DE640+DE643)*100</f>
        <v>100</v>
      </c>
      <c r="DF623" s="45" t="e">
        <f>(DF639+DF642)/(DF640+DF643)*100</f>
        <v>#DIV/0!</v>
      </c>
    </row>
    <row r="624" spans="1:110" x14ac:dyDescent="0.25">
      <c r="A624" s="72"/>
      <c r="B624" s="43" t="s">
        <v>498</v>
      </c>
      <c r="C624" s="42"/>
      <c r="D624" s="42"/>
      <c r="E624" s="49"/>
      <c r="F624" s="49"/>
      <c r="G624" s="49"/>
      <c r="H624" s="49"/>
      <c r="I624" s="49"/>
      <c r="J624" s="49"/>
      <c r="K624" s="49"/>
      <c r="L624" s="49"/>
      <c r="M624" s="3"/>
      <c r="N624" s="49"/>
      <c r="O624" s="49"/>
      <c r="P624" s="49"/>
      <c r="Q624" s="49"/>
      <c r="S624" s="49"/>
      <c r="T624" s="49"/>
      <c r="V624" s="49"/>
      <c r="W624" s="49"/>
      <c r="Y624" s="49"/>
      <c r="Z624" s="49"/>
      <c r="AA624" s="241"/>
      <c r="AB624" s="49"/>
      <c r="AC624" s="49"/>
      <c r="AD624" s="241"/>
      <c r="AE624" s="49"/>
      <c r="AF624" s="49"/>
      <c r="AH624" s="49"/>
      <c r="AI624" s="49"/>
      <c r="AJ624" s="241"/>
      <c r="AK624" s="49"/>
      <c r="AL624" s="49"/>
      <c r="AM624" s="241"/>
      <c r="AN624" s="49"/>
      <c r="AO624" s="49"/>
      <c r="AQ624" s="49"/>
      <c r="AR624" s="49"/>
      <c r="AS624" s="241"/>
      <c r="AT624" s="49"/>
      <c r="AU624" s="49"/>
      <c r="AW624" s="49"/>
      <c r="AX624" s="49"/>
      <c r="AZ624" s="49"/>
      <c r="BA624" s="49"/>
      <c r="BB624" s="241"/>
      <c r="BC624" s="49"/>
      <c r="BD624" s="49"/>
      <c r="BE624" s="241"/>
      <c r="BF624" s="49"/>
      <c r="BG624" s="49"/>
      <c r="BI624" s="49"/>
      <c r="BJ624" s="49"/>
      <c r="BK624" s="241"/>
      <c r="BL624" s="49"/>
      <c r="BM624" s="49"/>
      <c r="BN624" s="241"/>
      <c r="BO624" s="49"/>
      <c r="BP624" s="49"/>
      <c r="BR624" s="49"/>
      <c r="BS624" s="49"/>
      <c r="BT624" s="241"/>
      <c r="BU624" s="49"/>
      <c r="BV624" s="49"/>
      <c r="BW624" s="241"/>
      <c r="BX624" s="49"/>
      <c r="BY624" s="49"/>
      <c r="CA624" s="49"/>
      <c r="CB624" s="49"/>
      <c r="CC624" s="241"/>
      <c r="CD624" s="49"/>
      <c r="CE624" s="49"/>
      <c r="CF624" s="241"/>
      <c r="CG624" s="49"/>
      <c r="CH624" s="49"/>
      <c r="CJ624" s="49"/>
      <c r="CK624" s="49"/>
      <c r="DE624" s="49"/>
      <c r="DF624" s="49"/>
    </row>
    <row r="625" spans="1:110" x14ac:dyDescent="0.25">
      <c r="A625" s="72"/>
      <c r="B625" s="46" t="s">
        <v>1182</v>
      </c>
      <c r="C625" s="42"/>
      <c r="D625" s="42" t="s">
        <v>8</v>
      </c>
      <c r="E625" s="49"/>
      <c r="F625" s="49"/>
      <c r="G625" s="49"/>
      <c r="H625" s="49"/>
      <c r="I625" s="45">
        <f>I632/I633*100</f>
        <v>5.4545454545454541</v>
      </c>
      <c r="J625" s="45">
        <f>J632/J633*100</f>
        <v>5.2631578947368416</v>
      </c>
      <c r="K625" s="45">
        <f>K632/K633*100</f>
        <v>12.307692307692308</v>
      </c>
      <c r="L625" s="45">
        <f>L632/L633*100</f>
        <v>10.526315789473683</v>
      </c>
      <c r="M625" s="3"/>
      <c r="N625" s="45">
        <f>N632/N633*100</f>
        <v>12.307692307692308</v>
      </c>
      <c r="O625" s="45" t="e">
        <f>O632/O633*100</f>
        <v>#DIV/0!</v>
      </c>
      <c r="P625" s="45" t="e">
        <f>P632/P633*100</f>
        <v>#DIV/0!</v>
      </c>
      <c r="Q625" s="45" t="e">
        <f>Q632/Q633*100</f>
        <v>#DIV/0!</v>
      </c>
      <c r="S625" s="45">
        <f>S632/S633*100</f>
        <v>0</v>
      </c>
      <c r="T625" s="45" t="e">
        <f>T632/T633*100</f>
        <v>#DIV/0!</v>
      </c>
      <c r="V625" s="45">
        <f>V632/V633*100</f>
        <v>100</v>
      </c>
      <c r="W625" s="45" t="e">
        <f>W632/W633*100</f>
        <v>#DIV/0!</v>
      </c>
      <c r="Y625" s="45">
        <f>Y632/Y633*100</f>
        <v>12</v>
      </c>
      <c r="Z625" s="45" t="e">
        <f>Z632/Z633*100</f>
        <v>#DIV/0!</v>
      </c>
      <c r="AA625" s="241"/>
      <c r="AB625" s="45" t="e">
        <f>AB632/AB633*100</f>
        <v>#DIV/0!</v>
      </c>
      <c r="AC625" s="45" t="e">
        <f>AC632/AC633*100</f>
        <v>#DIV/0!</v>
      </c>
      <c r="AD625" s="241"/>
      <c r="AE625" s="45" t="e">
        <f>AE632/AE633*100</f>
        <v>#DIV/0!</v>
      </c>
      <c r="AF625" s="45" t="e">
        <f>AF632/AF633*100</f>
        <v>#DIV/0!</v>
      </c>
      <c r="AH625" s="45" t="e">
        <f>AH632/AH633*100</f>
        <v>#DIV/0!</v>
      </c>
      <c r="AI625" s="45" t="e">
        <f>AI632/AI633*100</f>
        <v>#DIV/0!</v>
      </c>
      <c r="AJ625" s="241"/>
      <c r="AK625" s="45">
        <f>AK632/AK633*100</f>
        <v>0</v>
      </c>
      <c r="AL625" s="45" t="e">
        <f>AL632/AL633*100</f>
        <v>#DIV/0!</v>
      </c>
      <c r="AM625" s="241"/>
      <c r="AN625" s="45" t="e">
        <f>AN632/AN633*100</f>
        <v>#DIV/0!</v>
      </c>
      <c r="AO625" s="45" t="e">
        <f>AO632/AO633*100</f>
        <v>#DIV/0!</v>
      </c>
      <c r="AQ625" s="45">
        <f>AQ632/AQ633*100</f>
        <v>0</v>
      </c>
      <c r="AR625" s="45" t="e">
        <f>AR632/AR633*100</f>
        <v>#DIV/0!</v>
      </c>
      <c r="AS625" s="241"/>
      <c r="AT625" s="45" t="e">
        <f>AT632/AT633*100</f>
        <v>#DIV/0!</v>
      </c>
      <c r="AU625" s="45" t="e">
        <f>AU632/AU633*100</f>
        <v>#DIV/0!</v>
      </c>
      <c r="AW625" s="45" t="e">
        <f>AW632/AW633*100</f>
        <v>#DIV/0!</v>
      </c>
      <c r="AX625" s="45" t="e">
        <f>AX632/AX633*100</f>
        <v>#DIV/0!</v>
      </c>
      <c r="AZ625" s="45">
        <f>AZ632/AZ633*100</f>
        <v>0</v>
      </c>
      <c r="BA625" s="45" t="e">
        <f>BA632/BA633*100</f>
        <v>#DIV/0!</v>
      </c>
      <c r="BB625" s="241"/>
      <c r="BC625" s="45" t="e">
        <f>BC632/BC633*100</f>
        <v>#DIV/0!</v>
      </c>
      <c r="BD625" s="45" t="e">
        <f>BD632/BD633*100</f>
        <v>#DIV/0!</v>
      </c>
      <c r="BE625" s="241"/>
      <c r="BF625" s="45">
        <f>BF632/BF633*100</f>
        <v>0</v>
      </c>
      <c r="BG625" s="45" t="e">
        <f>BG632/BG633*100</f>
        <v>#DIV/0!</v>
      </c>
      <c r="BI625" s="45">
        <f>BI632/BI633*100</f>
        <v>0</v>
      </c>
      <c r="BJ625" s="45" t="e">
        <f>BJ632/BJ633*100</f>
        <v>#DIV/0!</v>
      </c>
      <c r="BK625" s="241"/>
      <c r="BL625" s="45">
        <f>BL632/BL633*100</f>
        <v>0</v>
      </c>
      <c r="BM625" s="45" t="e">
        <f>BM632/BM633*100</f>
        <v>#DIV/0!</v>
      </c>
      <c r="BN625" s="241"/>
      <c r="BO625" s="45" t="e">
        <f>BO632/BO633*100</f>
        <v>#DIV/0!</v>
      </c>
      <c r="BP625" s="45" t="e">
        <f>BP632/BP633*100</f>
        <v>#DIV/0!</v>
      </c>
      <c r="BR625" s="45">
        <f>BR632/BR633*100</f>
        <v>0</v>
      </c>
      <c r="BS625" s="45" t="e">
        <f>BS632/BS633*100</f>
        <v>#DIV/0!</v>
      </c>
      <c r="BT625" s="241"/>
      <c r="BU625" s="45">
        <f>BU632/BU633*100</f>
        <v>0</v>
      </c>
      <c r="BV625" s="45" t="e">
        <f>BV632/BV633*100</f>
        <v>#DIV/0!</v>
      </c>
      <c r="BW625" s="241"/>
      <c r="BX625" s="45">
        <f>BX632/BX633*100</f>
        <v>0</v>
      </c>
      <c r="BY625" s="45" t="e">
        <f>BY632/BY633*100</f>
        <v>#DIV/0!</v>
      </c>
      <c r="CA625" s="45">
        <f>CA632/CA633*100</f>
        <v>0</v>
      </c>
      <c r="CB625" s="45" t="e">
        <f>CB632/CB633*100</f>
        <v>#DIV/0!</v>
      </c>
      <c r="CC625" s="241"/>
      <c r="CD625" s="45" t="e">
        <f>CD632/CD633*100</f>
        <v>#DIV/0!</v>
      </c>
      <c r="CE625" s="45" t="e">
        <f>CE632/CE633*100</f>
        <v>#DIV/0!</v>
      </c>
      <c r="CF625" s="241"/>
      <c r="CG625" s="45">
        <f>CG632/CG633*100</f>
        <v>0</v>
      </c>
      <c r="CH625" s="45" t="e">
        <f>CH632/CH633*100</f>
        <v>#DIV/0!</v>
      </c>
      <c r="CJ625" s="45" t="e">
        <f>CJ632/CJ633*100</f>
        <v>#DIV/0!</v>
      </c>
      <c r="CK625" s="45" t="e">
        <f>CK632/CK633*100</f>
        <v>#DIV/0!</v>
      </c>
      <c r="DE625" s="45" t="e">
        <f>DE632/DE633*100</f>
        <v>#DIV/0!</v>
      </c>
      <c r="DF625" s="45" t="e">
        <f>DF632/DF633*100</f>
        <v>#DIV/0!</v>
      </c>
    </row>
    <row r="626" spans="1:110" x14ac:dyDescent="0.25">
      <c r="A626" s="72"/>
      <c r="B626" s="46" t="s">
        <v>1184</v>
      </c>
      <c r="C626" s="42"/>
      <c r="D626" s="42" t="s">
        <v>8</v>
      </c>
      <c r="E626" s="49"/>
      <c r="F626" s="49"/>
      <c r="G626" s="49"/>
      <c r="H626" s="49"/>
      <c r="I626" s="45" t="e">
        <f>I639/I640*100</f>
        <v>#DIV/0!</v>
      </c>
      <c r="J626" s="45" t="e">
        <f>J639/J640*100</f>
        <v>#DIV/0!</v>
      </c>
      <c r="K626" s="45">
        <f>K639/K640*100</f>
        <v>100</v>
      </c>
      <c r="L626" s="45">
        <f>L639/L640*100</f>
        <v>100</v>
      </c>
      <c r="M626" s="3"/>
      <c r="N626" s="45">
        <f>N639/N640*100</f>
        <v>100</v>
      </c>
      <c r="O626" s="45" t="e">
        <f>O639/O640*100</f>
        <v>#DIV/0!</v>
      </c>
      <c r="P626" s="45" t="e">
        <f>P639/P640*100</f>
        <v>#DIV/0!</v>
      </c>
      <c r="Q626" s="45" t="e">
        <f>Q639/Q640*100</f>
        <v>#DIV/0!</v>
      </c>
      <c r="S626" s="45" t="e">
        <f>S639/S640*100</f>
        <v>#DIV/0!</v>
      </c>
      <c r="T626" s="45" t="e">
        <f>T639/T640*100</f>
        <v>#DIV/0!</v>
      </c>
      <c r="V626" s="45" t="e">
        <f>V639/V640*100</f>
        <v>#DIV/0!</v>
      </c>
      <c r="W626" s="45" t="e">
        <f>W639/W640*100</f>
        <v>#DIV/0!</v>
      </c>
      <c r="Y626" s="45" t="e">
        <f>Y639/Y640*100</f>
        <v>#DIV/0!</v>
      </c>
      <c r="Z626" s="45" t="e">
        <f>Z639/Z640*100</f>
        <v>#DIV/0!</v>
      </c>
      <c r="AA626" s="241"/>
      <c r="AB626" s="45" t="e">
        <f>AB639/AB640*100</f>
        <v>#DIV/0!</v>
      </c>
      <c r="AC626" s="45" t="e">
        <f>AC639/AC640*100</f>
        <v>#DIV/0!</v>
      </c>
      <c r="AD626" s="241"/>
      <c r="AE626" s="45" t="e">
        <f>AE639/AE640*100</f>
        <v>#DIV/0!</v>
      </c>
      <c r="AF626" s="45" t="e">
        <f>AF639/AF640*100</f>
        <v>#DIV/0!</v>
      </c>
      <c r="AH626" s="45" t="e">
        <f>AH639/AH640*100</f>
        <v>#DIV/0!</v>
      </c>
      <c r="AI626" s="45" t="e">
        <f>AI639/AI640*100</f>
        <v>#DIV/0!</v>
      </c>
      <c r="AJ626" s="241"/>
      <c r="AK626" s="45" t="e">
        <f>AK639/AK640*100</f>
        <v>#DIV/0!</v>
      </c>
      <c r="AL626" s="45" t="e">
        <f>AL639/AL640*100</f>
        <v>#DIV/0!</v>
      </c>
      <c r="AM626" s="241"/>
      <c r="AN626" s="45" t="e">
        <f>AN639/AN640*100</f>
        <v>#DIV/0!</v>
      </c>
      <c r="AO626" s="45" t="e">
        <f>AO639/AO640*100</f>
        <v>#DIV/0!</v>
      </c>
      <c r="AQ626" s="45" t="e">
        <f>AQ639/AQ640*100</f>
        <v>#DIV/0!</v>
      </c>
      <c r="AR626" s="45" t="e">
        <f>AR639/AR640*100</f>
        <v>#DIV/0!</v>
      </c>
      <c r="AS626" s="241"/>
      <c r="AT626" s="45" t="e">
        <f>AT639/AT640*100</f>
        <v>#DIV/0!</v>
      </c>
      <c r="AU626" s="45" t="e">
        <f>AU639/AU640*100</f>
        <v>#DIV/0!</v>
      </c>
      <c r="AW626" s="45" t="e">
        <f>AW639/AW640*100</f>
        <v>#DIV/0!</v>
      </c>
      <c r="AX626" s="45" t="e">
        <f>AX639/AX640*100</f>
        <v>#DIV/0!</v>
      </c>
      <c r="AZ626" s="45" t="e">
        <f>AZ639/AZ640*100</f>
        <v>#DIV/0!</v>
      </c>
      <c r="BA626" s="45" t="e">
        <f>BA639/BA640*100</f>
        <v>#DIV/0!</v>
      </c>
      <c r="BB626" s="241"/>
      <c r="BC626" s="45" t="e">
        <f>BC639/BC640*100</f>
        <v>#DIV/0!</v>
      </c>
      <c r="BD626" s="45" t="e">
        <f>BD639/BD640*100</f>
        <v>#DIV/0!</v>
      </c>
      <c r="BE626" s="241"/>
      <c r="BF626" s="45" t="e">
        <f>BF639/BF640*100</f>
        <v>#DIV/0!</v>
      </c>
      <c r="BG626" s="45" t="e">
        <f>BG639/BG640*100</f>
        <v>#DIV/0!</v>
      </c>
      <c r="BI626" s="45" t="e">
        <f>BI639/BI640*100</f>
        <v>#DIV/0!</v>
      </c>
      <c r="BJ626" s="45" t="e">
        <f>BJ639/BJ640*100</f>
        <v>#DIV/0!</v>
      </c>
      <c r="BK626" s="241"/>
      <c r="BL626" s="45" t="e">
        <f>BL639/BL640*100</f>
        <v>#DIV/0!</v>
      </c>
      <c r="BM626" s="45" t="e">
        <f>BM639/BM640*100</f>
        <v>#DIV/0!</v>
      </c>
      <c r="BN626" s="241"/>
      <c r="BO626" s="45" t="e">
        <f>BO639/BO640*100</f>
        <v>#DIV/0!</v>
      </c>
      <c r="BP626" s="45" t="e">
        <f>BP639/BP640*100</f>
        <v>#DIV/0!</v>
      </c>
      <c r="BR626" s="45" t="e">
        <f>BR639/BR640*100</f>
        <v>#DIV/0!</v>
      </c>
      <c r="BS626" s="45" t="e">
        <f>BS639/BS640*100</f>
        <v>#DIV/0!</v>
      </c>
      <c r="BT626" s="241"/>
      <c r="BU626" s="45" t="e">
        <f>BU639/BU640*100</f>
        <v>#DIV/0!</v>
      </c>
      <c r="BV626" s="45" t="e">
        <f>BV639/BV640*100</f>
        <v>#DIV/0!</v>
      </c>
      <c r="BW626" s="241"/>
      <c r="BX626" s="45" t="e">
        <f>BX639/BX640*100</f>
        <v>#DIV/0!</v>
      </c>
      <c r="BY626" s="45" t="e">
        <f>BY639/BY640*100</f>
        <v>#DIV/0!</v>
      </c>
      <c r="CA626" s="45" t="e">
        <f>CA639/CA640*100</f>
        <v>#DIV/0!</v>
      </c>
      <c r="CB626" s="45" t="e">
        <f>CB639/CB640*100</f>
        <v>#DIV/0!</v>
      </c>
      <c r="CC626" s="241"/>
      <c r="CD626" s="45" t="e">
        <f>CD639/CD640*100</f>
        <v>#DIV/0!</v>
      </c>
      <c r="CE626" s="45" t="e">
        <f>CE639/CE640*100</f>
        <v>#DIV/0!</v>
      </c>
      <c r="CF626" s="241"/>
      <c r="CG626" s="45" t="e">
        <f>CG639/CG640*100</f>
        <v>#DIV/0!</v>
      </c>
      <c r="CH626" s="45" t="e">
        <f>CH639/CH640*100</f>
        <v>#DIV/0!</v>
      </c>
      <c r="CJ626" s="45" t="e">
        <f>CJ639/CJ640*100</f>
        <v>#DIV/0!</v>
      </c>
      <c r="CK626" s="45" t="e">
        <f>CK639/CK640*100</f>
        <v>#DIV/0!</v>
      </c>
      <c r="DE626" s="45">
        <f>DE639/DE640*100</f>
        <v>100</v>
      </c>
      <c r="DF626" s="45" t="e">
        <f>DF639/DF640*100</f>
        <v>#DIV/0!</v>
      </c>
    </row>
    <row r="627" spans="1:110" x14ac:dyDescent="0.25">
      <c r="A627" s="72"/>
      <c r="B627" s="43" t="s">
        <v>1128</v>
      </c>
      <c r="C627" s="42"/>
      <c r="D627" s="42"/>
      <c r="E627" s="49"/>
      <c r="F627" s="49"/>
      <c r="G627" s="49"/>
      <c r="H627" s="49"/>
      <c r="I627" s="49"/>
      <c r="J627" s="49"/>
      <c r="K627" s="49"/>
      <c r="L627" s="49"/>
      <c r="M627" s="3"/>
      <c r="N627" s="49"/>
      <c r="O627" s="49"/>
      <c r="P627" s="49"/>
      <c r="Q627" s="49"/>
      <c r="S627" s="49"/>
      <c r="T627" s="49"/>
      <c r="V627" s="49"/>
      <c r="W627" s="49"/>
      <c r="Y627" s="49"/>
      <c r="Z627" s="49"/>
      <c r="AA627" s="241"/>
      <c r="AB627" s="49"/>
      <c r="AC627" s="49"/>
      <c r="AD627" s="241"/>
      <c r="AE627" s="49"/>
      <c r="AF627" s="49"/>
      <c r="AH627" s="49"/>
      <c r="AI627" s="49"/>
      <c r="AJ627" s="241"/>
      <c r="AK627" s="49"/>
      <c r="AL627" s="49"/>
      <c r="AM627" s="241"/>
      <c r="AN627" s="49"/>
      <c r="AO627" s="49"/>
      <c r="AQ627" s="49"/>
      <c r="AR627" s="49"/>
      <c r="AS627" s="241"/>
      <c r="AT627" s="49"/>
      <c r="AU627" s="49"/>
      <c r="AW627" s="49"/>
      <c r="AX627" s="49"/>
      <c r="AZ627" s="49"/>
      <c r="BA627" s="49"/>
      <c r="BB627" s="241"/>
      <c r="BC627" s="49"/>
      <c r="BD627" s="49"/>
      <c r="BE627" s="241"/>
      <c r="BF627" s="49"/>
      <c r="BG627" s="49"/>
      <c r="BI627" s="49"/>
      <c r="BJ627" s="49"/>
      <c r="BK627" s="241"/>
      <c r="BL627" s="49"/>
      <c r="BM627" s="49"/>
      <c r="BN627" s="241"/>
      <c r="BO627" s="49"/>
      <c r="BP627" s="49"/>
      <c r="BR627" s="49"/>
      <c r="BS627" s="49"/>
      <c r="BT627" s="241"/>
      <c r="BU627" s="49"/>
      <c r="BV627" s="49"/>
      <c r="BW627" s="241"/>
      <c r="BX627" s="49"/>
      <c r="BY627" s="49"/>
      <c r="CA627" s="49"/>
      <c r="CB627" s="49"/>
      <c r="CC627" s="241"/>
      <c r="CD627" s="49"/>
      <c r="CE627" s="49"/>
      <c r="CF627" s="241"/>
      <c r="CG627" s="49"/>
      <c r="CH627" s="49"/>
      <c r="CJ627" s="49"/>
      <c r="CK627" s="49"/>
      <c r="DE627" s="49"/>
      <c r="DF627" s="49"/>
    </row>
    <row r="628" spans="1:110" x14ac:dyDescent="0.25">
      <c r="A628" s="72"/>
      <c r="B628" s="46" t="s">
        <v>1182</v>
      </c>
      <c r="C628" s="42"/>
      <c r="D628" s="42" t="s">
        <v>8</v>
      </c>
      <c r="E628" s="49"/>
      <c r="F628" s="49"/>
      <c r="G628" s="49"/>
      <c r="H628" s="49"/>
      <c r="I628" s="45">
        <f>I635/I636*100</f>
        <v>10</v>
      </c>
      <c r="J628" s="45">
        <f>J635/J636*100</f>
        <v>18.633540372670808</v>
      </c>
      <c r="K628" s="45">
        <f>K635/K636*100</f>
        <v>16.129032258064516</v>
      </c>
      <c r="L628" s="45">
        <f>L635/L636*100</f>
        <v>14.393939393939394</v>
      </c>
      <c r="M628" s="3"/>
      <c r="N628" s="45">
        <f>N635/N636*100</f>
        <v>11.038961038961039</v>
      </c>
      <c r="O628" s="45" t="e">
        <f>O635/O636*100</f>
        <v>#DIV/0!</v>
      </c>
      <c r="P628" s="45">
        <f>P635/P636*100</f>
        <v>0</v>
      </c>
      <c r="Q628" s="45" t="e">
        <f>Q635/Q636*100</f>
        <v>#DIV/0!</v>
      </c>
      <c r="S628" s="45">
        <f>S635/S636*100</f>
        <v>0</v>
      </c>
      <c r="T628" s="45" t="e">
        <f>T635/T636*100</f>
        <v>#DIV/0!</v>
      </c>
      <c r="V628" s="45">
        <f>V635/V636*100</f>
        <v>100</v>
      </c>
      <c r="W628" s="45" t="e">
        <f>W635/W636*100</f>
        <v>#DIV/0!</v>
      </c>
      <c r="Y628" s="45">
        <f>Y635/Y636*100</f>
        <v>8.3333333333333321</v>
      </c>
      <c r="Z628" s="45" t="e">
        <f>Z635/Z636*100</f>
        <v>#DIV/0!</v>
      </c>
      <c r="AA628" s="241"/>
      <c r="AB628" s="45">
        <f>AB635/AB636*100</f>
        <v>0</v>
      </c>
      <c r="AC628" s="45" t="e">
        <f>AC635/AC636*100</f>
        <v>#DIV/0!</v>
      </c>
      <c r="AD628" s="241"/>
      <c r="AE628" s="45" t="e">
        <f>AE635/AE636*100</f>
        <v>#DIV/0!</v>
      </c>
      <c r="AF628" s="45" t="e">
        <f>AF635/AF636*100</f>
        <v>#DIV/0!</v>
      </c>
      <c r="AH628" s="45">
        <f>AH635/AH636*100</f>
        <v>100</v>
      </c>
      <c r="AI628" s="45" t="e">
        <f>AI635/AI636*100</f>
        <v>#DIV/0!</v>
      </c>
      <c r="AJ628" s="241"/>
      <c r="AK628" s="45">
        <f>AK635/AK636*100</f>
        <v>0</v>
      </c>
      <c r="AL628" s="45" t="e">
        <f>AL635/AL636*100</f>
        <v>#DIV/0!</v>
      </c>
      <c r="AM628" s="241"/>
      <c r="AN628" s="45">
        <f>AN635/AN636*100</f>
        <v>0</v>
      </c>
      <c r="AO628" s="45" t="e">
        <f>AO635/AO636*100</f>
        <v>#DIV/0!</v>
      </c>
      <c r="AQ628" s="45">
        <f>AQ635/AQ636*100</f>
        <v>0</v>
      </c>
      <c r="AR628" s="45" t="e">
        <f>AR635/AR636*100</f>
        <v>#DIV/0!</v>
      </c>
      <c r="AS628" s="241"/>
      <c r="AT628" s="45">
        <f>AT635/AT636*100</f>
        <v>0</v>
      </c>
      <c r="AU628" s="45" t="e">
        <f>AU635/AU636*100</f>
        <v>#DIV/0!</v>
      </c>
      <c r="AW628" s="45">
        <f>AW635/AW636*100</f>
        <v>0</v>
      </c>
      <c r="AX628" s="45" t="e">
        <f>AX635/AX636*100</f>
        <v>#DIV/0!</v>
      </c>
      <c r="AZ628" s="45">
        <f>AZ635/AZ636*100</f>
        <v>0</v>
      </c>
      <c r="BA628" s="45" t="e">
        <f>BA635/BA636*100</f>
        <v>#DIV/0!</v>
      </c>
      <c r="BB628" s="241"/>
      <c r="BC628" s="45">
        <f>BC635/BC636*100</f>
        <v>0</v>
      </c>
      <c r="BD628" s="45" t="e">
        <f>BD635/BD636*100</f>
        <v>#DIV/0!</v>
      </c>
      <c r="BE628" s="241"/>
      <c r="BF628" s="45">
        <f>BF635/BF636*100</f>
        <v>0</v>
      </c>
      <c r="BG628" s="45" t="e">
        <f>BG635/BG636*100</f>
        <v>#DIV/0!</v>
      </c>
      <c r="BI628" s="45" t="e">
        <f>BI635/BI636*100</f>
        <v>#DIV/0!</v>
      </c>
      <c r="BJ628" s="45" t="e">
        <f>BJ635/BJ636*100</f>
        <v>#DIV/0!</v>
      </c>
      <c r="BK628" s="241"/>
      <c r="BL628" s="45">
        <f>BL635/BL636*100</f>
        <v>0</v>
      </c>
      <c r="BM628" s="45" t="e">
        <f>BM635/BM636*100</f>
        <v>#DIV/0!</v>
      </c>
      <c r="BN628" s="241"/>
      <c r="BO628" s="45">
        <f>BO635/BO636*100</f>
        <v>80</v>
      </c>
      <c r="BP628" s="45" t="e">
        <f>BP635/BP636*100</f>
        <v>#DIV/0!</v>
      </c>
      <c r="BR628" s="45" t="e">
        <f>BR635/BR636*100</f>
        <v>#DIV/0!</v>
      </c>
      <c r="BS628" s="45" t="e">
        <f>BS635/BS636*100</f>
        <v>#DIV/0!</v>
      </c>
      <c r="BT628" s="241"/>
      <c r="BU628" s="45">
        <f>BU635/BU636*100</f>
        <v>0</v>
      </c>
      <c r="BV628" s="45" t="e">
        <f>BV635/BV636*100</f>
        <v>#DIV/0!</v>
      </c>
      <c r="BW628" s="241"/>
      <c r="BX628" s="45">
        <f>BX635/BX636*100</f>
        <v>0</v>
      </c>
      <c r="BY628" s="45" t="e">
        <f>BY635/BY636*100</f>
        <v>#DIV/0!</v>
      </c>
      <c r="CA628" s="45">
        <f>CA635/CA636*100</f>
        <v>0</v>
      </c>
      <c r="CB628" s="45" t="e">
        <f>CB635/CB636*100</f>
        <v>#DIV/0!</v>
      </c>
      <c r="CC628" s="241"/>
      <c r="CD628" s="45">
        <f>CD635/CD636*100</f>
        <v>0</v>
      </c>
      <c r="CE628" s="45" t="e">
        <f>CE635/CE636*100</f>
        <v>#DIV/0!</v>
      </c>
      <c r="CF628" s="241"/>
      <c r="CG628" s="45">
        <f>CG635/CG636*100</f>
        <v>0</v>
      </c>
      <c r="CH628" s="45" t="e">
        <f>CH635/CH636*100</f>
        <v>#DIV/0!</v>
      </c>
      <c r="CJ628" s="45" t="e">
        <f>CJ635/CJ636*100</f>
        <v>#DIV/0!</v>
      </c>
      <c r="CK628" s="45" t="e">
        <f>CK635/CK636*100</f>
        <v>#DIV/0!</v>
      </c>
      <c r="DE628" s="45" t="e">
        <f>DE635/DE636*100</f>
        <v>#DIV/0!</v>
      </c>
      <c r="DF628" s="45" t="e">
        <f>DF635/DF636*100</f>
        <v>#DIV/0!</v>
      </c>
    </row>
    <row r="629" spans="1:110" x14ac:dyDescent="0.25">
      <c r="A629" s="72"/>
      <c r="B629" s="46" t="s">
        <v>1184</v>
      </c>
      <c r="C629" s="42"/>
      <c r="D629" s="42" t="s">
        <v>8</v>
      </c>
      <c r="E629" s="49"/>
      <c r="F629" s="49"/>
      <c r="G629" s="49"/>
      <c r="H629" s="49"/>
      <c r="I629" s="45" t="e">
        <f>I642/I643*100</f>
        <v>#DIV/0!</v>
      </c>
      <c r="J629" s="45" t="e">
        <f>J642/J643*100</f>
        <v>#DIV/0!</v>
      </c>
      <c r="K629" s="45">
        <f>K642/K643*100</f>
        <v>100</v>
      </c>
      <c r="L629" s="45">
        <f>L642/L643*100</f>
        <v>100</v>
      </c>
      <c r="M629" s="3"/>
      <c r="N629" s="45">
        <f>N642/N643*100</f>
        <v>100</v>
      </c>
      <c r="O629" s="45" t="e">
        <f>O642/O643*100</f>
        <v>#DIV/0!</v>
      </c>
      <c r="P629" s="45" t="e">
        <f>P642/P643*100</f>
        <v>#DIV/0!</v>
      </c>
      <c r="Q629" s="45" t="e">
        <f>Q642/Q643*100</f>
        <v>#DIV/0!</v>
      </c>
      <c r="S629" s="45" t="e">
        <f>S642/S643*100</f>
        <v>#DIV/0!</v>
      </c>
      <c r="T629" s="45" t="e">
        <f>T642/T643*100</f>
        <v>#DIV/0!</v>
      </c>
      <c r="V629" s="45" t="e">
        <f>V642/V643*100</f>
        <v>#DIV/0!</v>
      </c>
      <c r="W629" s="45" t="e">
        <f>W642/W643*100</f>
        <v>#DIV/0!</v>
      </c>
      <c r="Y629" s="45" t="e">
        <f>Y642/Y643*100</f>
        <v>#DIV/0!</v>
      </c>
      <c r="Z629" s="45" t="e">
        <f>Z642/Z643*100</f>
        <v>#DIV/0!</v>
      </c>
      <c r="AA629" s="241"/>
      <c r="AB629" s="45" t="e">
        <f>AB642/AB643*100</f>
        <v>#DIV/0!</v>
      </c>
      <c r="AC629" s="45" t="e">
        <f>AC642/AC643*100</f>
        <v>#DIV/0!</v>
      </c>
      <c r="AD629" s="241"/>
      <c r="AE629" s="45" t="e">
        <f>AE642/AE643*100</f>
        <v>#DIV/0!</v>
      </c>
      <c r="AF629" s="45" t="e">
        <f>AF642/AF643*100</f>
        <v>#DIV/0!</v>
      </c>
      <c r="AH629" s="45" t="e">
        <f>AH642/AH643*100</f>
        <v>#DIV/0!</v>
      </c>
      <c r="AI629" s="45" t="e">
        <f>AI642/AI643*100</f>
        <v>#DIV/0!</v>
      </c>
      <c r="AJ629" s="241"/>
      <c r="AK629" s="45" t="e">
        <f>AK642/AK643*100</f>
        <v>#DIV/0!</v>
      </c>
      <c r="AL629" s="45" t="e">
        <f>AL642/AL643*100</f>
        <v>#DIV/0!</v>
      </c>
      <c r="AM629" s="241"/>
      <c r="AN629" s="45" t="e">
        <f>AN642/AN643*100</f>
        <v>#DIV/0!</v>
      </c>
      <c r="AO629" s="45" t="e">
        <f>AO642/AO643*100</f>
        <v>#DIV/0!</v>
      </c>
      <c r="AQ629" s="45" t="e">
        <f>AQ642/AQ643*100</f>
        <v>#DIV/0!</v>
      </c>
      <c r="AR629" s="45" t="e">
        <f>AR642/AR643*100</f>
        <v>#DIV/0!</v>
      </c>
      <c r="AS629" s="241"/>
      <c r="AT629" s="45" t="e">
        <f>AT642/AT643*100</f>
        <v>#DIV/0!</v>
      </c>
      <c r="AU629" s="45" t="e">
        <f>AU642/AU643*100</f>
        <v>#DIV/0!</v>
      </c>
      <c r="AW629" s="45" t="e">
        <f>AW642/AW643*100</f>
        <v>#DIV/0!</v>
      </c>
      <c r="AX629" s="45" t="e">
        <f>AX642/AX643*100</f>
        <v>#DIV/0!</v>
      </c>
      <c r="AZ629" s="45" t="e">
        <f>AZ642/AZ643*100</f>
        <v>#DIV/0!</v>
      </c>
      <c r="BA629" s="45" t="e">
        <f>BA642/BA643*100</f>
        <v>#DIV/0!</v>
      </c>
      <c r="BB629" s="241"/>
      <c r="BC629" s="45" t="e">
        <f>BC642/BC643*100</f>
        <v>#DIV/0!</v>
      </c>
      <c r="BD629" s="45" t="e">
        <f>BD642/BD643*100</f>
        <v>#DIV/0!</v>
      </c>
      <c r="BE629" s="241"/>
      <c r="BF629" s="45" t="e">
        <f>BF642/BF643*100</f>
        <v>#DIV/0!</v>
      </c>
      <c r="BG629" s="45" t="e">
        <f>BG642/BG643*100</f>
        <v>#DIV/0!</v>
      </c>
      <c r="BI629" s="45" t="e">
        <f>BI642/BI643*100</f>
        <v>#DIV/0!</v>
      </c>
      <c r="BJ629" s="45" t="e">
        <f>BJ642/BJ643*100</f>
        <v>#DIV/0!</v>
      </c>
      <c r="BK629" s="241"/>
      <c r="BL629" s="45" t="e">
        <f>BL642/BL643*100</f>
        <v>#DIV/0!</v>
      </c>
      <c r="BM629" s="45" t="e">
        <f>BM642/BM643*100</f>
        <v>#DIV/0!</v>
      </c>
      <c r="BN629" s="241"/>
      <c r="BO629" s="45" t="e">
        <f>BO642/BO643*100</f>
        <v>#DIV/0!</v>
      </c>
      <c r="BP629" s="45" t="e">
        <f>BP642/BP643*100</f>
        <v>#DIV/0!</v>
      </c>
      <c r="BR629" s="45" t="e">
        <f>BR642/BR643*100</f>
        <v>#DIV/0!</v>
      </c>
      <c r="BS629" s="45" t="e">
        <f>BS642/BS643*100</f>
        <v>#DIV/0!</v>
      </c>
      <c r="BT629" s="241"/>
      <c r="BU629" s="45" t="e">
        <f>BU642/BU643*100</f>
        <v>#DIV/0!</v>
      </c>
      <c r="BV629" s="45" t="e">
        <f>BV642/BV643*100</f>
        <v>#DIV/0!</v>
      </c>
      <c r="BW629" s="241"/>
      <c r="BX629" s="45" t="e">
        <f>BX642/BX643*100</f>
        <v>#DIV/0!</v>
      </c>
      <c r="BY629" s="45" t="e">
        <f>BY642/BY643*100</f>
        <v>#DIV/0!</v>
      </c>
      <c r="CA629" s="45" t="e">
        <f>CA642/CA643*100</f>
        <v>#DIV/0!</v>
      </c>
      <c r="CB629" s="45" t="e">
        <f>CB642/CB643*100</f>
        <v>#DIV/0!</v>
      </c>
      <c r="CC629" s="241"/>
      <c r="CD629" s="45" t="e">
        <f>CD642/CD643*100</f>
        <v>#DIV/0!</v>
      </c>
      <c r="CE629" s="45" t="e">
        <f>CE642/CE643*100</f>
        <v>#DIV/0!</v>
      </c>
      <c r="CF629" s="241"/>
      <c r="CG629" s="45" t="e">
        <f>CG642/CG643*100</f>
        <v>#DIV/0!</v>
      </c>
      <c r="CH629" s="45" t="e">
        <f>CH642/CH643*100</f>
        <v>#DIV/0!</v>
      </c>
      <c r="CJ629" s="45" t="e">
        <f>CJ642/CJ643*100</f>
        <v>#DIV/0!</v>
      </c>
      <c r="CK629" s="45" t="e">
        <f>CK642/CK643*100</f>
        <v>#DIV/0!</v>
      </c>
      <c r="DE629" s="45">
        <f>DE642/DE643*100</f>
        <v>100</v>
      </c>
      <c r="DF629" s="45" t="e">
        <f>DF642/DF643*100</f>
        <v>#DIV/0!</v>
      </c>
    </row>
    <row r="630" spans="1:110" x14ac:dyDescent="0.25">
      <c r="A630" s="155"/>
      <c r="B630" s="21" t="s">
        <v>1182</v>
      </c>
      <c r="C630" s="13"/>
      <c r="D630" s="13"/>
      <c r="E630" s="111"/>
      <c r="F630" s="111"/>
      <c r="G630" s="111"/>
      <c r="H630" s="111"/>
      <c r="I630" s="111"/>
      <c r="J630" s="111"/>
      <c r="K630" s="111"/>
      <c r="L630" s="111"/>
      <c r="M630" s="3"/>
    </row>
    <row r="631" spans="1:110" x14ac:dyDescent="0.25">
      <c r="A631" s="155"/>
      <c r="B631" s="21" t="s">
        <v>498</v>
      </c>
      <c r="C631" s="13"/>
      <c r="D631" s="13"/>
      <c r="E631" s="111"/>
      <c r="F631" s="111"/>
      <c r="G631" s="111"/>
      <c r="H631" s="111"/>
      <c r="I631" s="111"/>
      <c r="J631" s="111"/>
      <c r="K631" s="111"/>
      <c r="L631" s="111"/>
      <c r="M631" s="3"/>
    </row>
    <row r="632" spans="1:110" ht="60" x14ac:dyDescent="0.25">
      <c r="A632" s="155"/>
      <c r="B632" s="21" t="s">
        <v>1470</v>
      </c>
      <c r="C632" s="6" t="s">
        <v>2077</v>
      </c>
      <c r="D632" s="13" t="s">
        <v>950</v>
      </c>
      <c r="E632" s="111"/>
      <c r="F632" s="111"/>
      <c r="G632" s="111"/>
      <c r="H632" s="111"/>
      <c r="I632" s="111">
        <v>3</v>
      </c>
      <c r="J632" s="111">
        <v>3</v>
      </c>
      <c r="K632" s="111">
        <v>8</v>
      </c>
      <c r="L632" s="111">
        <v>6</v>
      </c>
      <c r="M632" s="3"/>
      <c r="N632" s="241">
        <f>P632+S632+V632+Y632+AB632+AE632+AH632+AK632+AN632+AQ632+AW632+AZ632+BC632+BF632+BI632+BL632+BO632+BR632+BU632+BX632+CA632+CD632+CG632+CJ632+AT632+CM632+CP632+DE632</f>
        <v>8</v>
      </c>
      <c r="O632" s="241">
        <f t="shared" ref="O632:O633" si="1675">Q632+T632+W632+Z632+AC632+AF632+AI632+AL632+AO632+AR632+AX632+BA632+BD632+BG632+BJ632+BM632+BP632+BS632+BV632+BY632+CB632+CE632+CH632+CK632+AU632+CN632+CQ632+DF632</f>
        <v>0</v>
      </c>
      <c r="P632">
        <v>0</v>
      </c>
      <c r="S632">
        <v>0</v>
      </c>
      <c r="V632">
        <v>5</v>
      </c>
      <c r="Y632">
        <v>3</v>
      </c>
      <c r="AB632">
        <v>0</v>
      </c>
      <c r="AE632">
        <v>0</v>
      </c>
      <c r="AH632">
        <v>0</v>
      </c>
      <c r="AK632">
        <v>0</v>
      </c>
      <c r="AN632">
        <v>0</v>
      </c>
      <c r="AQ632">
        <v>0</v>
      </c>
      <c r="AT632" s="241">
        <v>0</v>
      </c>
      <c r="AW632">
        <v>0</v>
      </c>
      <c r="AZ632">
        <v>0</v>
      </c>
      <c r="BC632">
        <v>0</v>
      </c>
      <c r="BF632">
        <v>0</v>
      </c>
      <c r="BI632">
        <v>0</v>
      </c>
      <c r="BL632">
        <v>0</v>
      </c>
      <c r="BO632">
        <v>0</v>
      </c>
      <c r="BR632">
        <v>0</v>
      </c>
      <c r="BU632">
        <v>0</v>
      </c>
      <c r="BX632">
        <v>0</v>
      </c>
      <c r="CA632">
        <v>0</v>
      </c>
      <c r="CD632">
        <v>0</v>
      </c>
      <c r="CG632">
        <v>0</v>
      </c>
    </row>
    <row r="633" spans="1:110" ht="60" x14ac:dyDescent="0.25">
      <c r="A633" s="155"/>
      <c r="B633" s="21" t="s">
        <v>1469</v>
      </c>
      <c r="C633" s="6" t="s">
        <v>2076</v>
      </c>
      <c r="D633" s="13" t="s">
        <v>950</v>
      </c>
      <c r="E633" s="111"/>
      <c r="F633" s="111"/>
      <c r="G633" s="111"/>
      <c r="H633" s="111"/>
      <c r="I633" s="111">
        <v>55</v>
      </c>
      <c r="J633" s="111">
        <v>57</v>
      </c>
      <c r="K633" s="111">
        <v>65</v>
      </c>
      <c r="L633" s="111">
        <v>57</v>
      </c>
      <c r="M633" s="3"/>
      <c r="N633" s="241">
        <f t="shared" ref="N633" si="1676">P633+S633+V633+Y633+AB633+AE633+AH633+AK633+AN633+AQ633+AW633+AZ633+BC633+BF633+BI633+BL633+BO633+BR633+BU633+BX633+CA633+CD633+CG633+CJ633+AT633+CM633+CP633+DE633</f>
        <v>65</v>
      </c>
      <c r="O633" s="241">
        <f t="shared" si="1675"/>
        <v>0</v>
      </c>
      <c r="P633">
        <v>0</v>
      </c>
      <c r="S633">
        <v>2</v>
      </c>
      <c r="V633">
        <v>5</v>
      </c>
      <c r="Y633">
        <f>21+4</f>
        <v>25</v>
      </c>
      <c r="AB633">
        <v>0</v>
      </c>
      <c r="AE633">
        <v>0</v>
      </c>
      <c r="AH633">
        <v>0</v>
      </c>
      <c r="AK633">
        <v>1</v>
      </c>
      <c r="AN633">
        <v>0</v>
      </c>
      <c r="AQ633">
        <v>4</v>
      </c>
      <c r="AT633" s="241">
        <v>0</v>
      </c>
      <c r="AW633">
        <v>0</v>
      </c>
      <c r="AZ633">
        <v>7</v>
      </c>
      <c r="BC633">
        <v>0</v>
      </c>
      <c r="BF633">
        <v>7</v>
      </c>
      <c r="BI633">
        <v>3</v>
      </c>
      <c r="BL633">
        <v>1</v>
      </c>
      <c r="BO633">
        <v>0</v>
      </c>
      <c r="BR633">
        <v>3</v>
      </c>
      <c r="BU633">
        <v>1</v>
      </c>
      <c r="BX633">
        <v>2</v>
      </c>
      <c r="CA633">
        <v>1</v>
      </c>
      <c r="CD633">
        <v>0</v>
      </c>
      <c r="CG633">
        <v>3</v>
      </c>
    </row>
    <row r="634" spans="1:110" x14ac:dyDescent="0.25">
      <c r="A634" s="155"/>
      <c r="B634" s="21" t="s">
        <v>1128</v>
      </c>
      <c r="C634" s="13"/>
      <c r="D634" s="13"/>
      <c r="E634" s="111"/>
      <c r="F634" s="111"/>
      <c r="G634" s="111"/>
      <c r="H634" s="111"/>
      <c r="I634" s="111"/>
      <c r="J634" s="111"/>
      <c r="K634" s="111"/>
      <c r="L634" s="111"/>
      <c r="M634" s="3"/>
    </row>
    <row r="635" spans="1:110" ht="60" x14ac:dyDescent="0.25">
      <c r="A635" s="155"/>
      <c r="B635" s="21" t="s">
        <v>1471</v>
      </c>
      <c r="C635" s="6" t="s">
        <v>2075</v>
      </c>
      <c r="D635" s="13" t="s">
        <v>950</v>
      </c>
      <c r="E635" s="111"/>
      <c r="F635" s="111"/>
      <c r="G635" s="111"/>
      <c r="H635" s="111"/>
      <c r="I635" s="111">
        <v>12</v>
      </c>
      <c r="J635" s="111">
        <v>30</v>
      </c>
      <c r="K635" s="111">
        <v>30</v>
      </c>
      <c r="L635" s="111">
        <v>19</v>
      </c>
      <c r="M635" s="3"/>
      <c r="N635" s="241">
        <f>P635+S635+V635+Y635+AB635+AE635+AH635+AK635+AN635+AQ635+AW635+AZ635+BC635+BF635+BI635+BL635+BO635+BR635+BU635+BX635+CA635+CD635+CG635+CJ635+AT635+CM635+CP635+DE635</f>
        <v>17</v>
      </c>
      <c r="O635" s="241">
        <f t="shared" ref="O635:O636" si="1677">Q635+T635+W635+Z635+AC635+AF635+AI635+AL635+AO635+AR635+AX635+BA635+BD635+BG635+BJ635+BM635+BP635+BS635+BV635+BY635+CB635+CE635+CH635+CK635+AU635+CN635+CQ635+DF635</f>
        <v>0</v>
      </c>
      <c r="P635">
        <v>0</v>
      </c>
      <c r="S635">
        <v>0</v>
      </c>
      <c r="V635">
        <v>7</v>
      </c>
      <c r="Y635">
        <v>1</v>
      </c>
      <c r="AB635">
        <v>0</v>
      </c>
      <c r="AE635">
        <v>0</v>
      </c>
      <c r="AH635">
        <v>1</v>
      </c>
      <c r="AK635">
        <v>0</v>
      </c>
      <c r="AN635">
        <v>0</v>
      </c>
      <c r="AQ635">
        <v>0</v>
      </c>
      <c r="AT635" s="241">
        <v>0</v>
      </c>
      <c r="AW635">
        <v>0</v>
      </c>
      <c r="AZ635">
        <v>0</v>
      </c>
      <c r="BC635">
        <v>0</v>
      </c>
      <c r="BF635">
        <v>0</v>
      </c>
      <c r="BI635">
        <v>0</v>
      </c>
      <c r="BL635">
        <v>0</v>
      </c>
      <c r="BO635">
        <v>8</v>
      </c>
      <c r="BR635">
        <v>0</v>
      </c>
      <c r="BU635">
        <v>0</v>
      </c>
      <c r="BX635">
        <v>0</v>
      </c>
      <c r="CA635">
        <v>0</v>
      </c>
      <c r="CD635">
        <v>0</v>
      </c>
      <c r="CG635">
        <v>0</v>
      </c>
    </row>
    <row r="636" spans="1:110" ht="60" x14ac:dyDescent="0.25">
      <c r="A636" s="155"/>
      <c r="B636" s="21" t="s">
        <v>1472</v>
      </c>
      <c r="C636" s="6" t="s">
        <v>2074</v>
      </c>
      <c r="D636" s="13" t="s">
        <v>950</v>
      </c>
      <c r="E636" s="111"/>
      <c r="F636" s="111"/>
      <c r="G636" s="111"/>
      <c r="H636" s="111"/>
      <c r="I636" s="111">
        <v>120</v>
      </c>
      <c r="J636" s="111">
        <v>161</v>
      </c>
      <c r="K636" s="111">
        <f>1+182+3</f>
        <v>186</v>
      </c>
      <c r="L636" s="111">
        <v>132</v>
      </c>
      <c r="M636" s="3"/>
      <c r="N636" s="241">
        <f t="shared" ref="N636" si="1678">P636+S636+V636+Y636+AB636+AE636+AH636+AK636+AN636+AQ636+AW636+AZ636+BC636+BF636+BI636+BL636+BO636+BR636+BU636+BX636+CA636+CD636+CG636+CJ636+AT636+CM636+CP636+DE636</f>
        <v>154</v>
      </c>
      <c r="O636" s="241">
        <f t="shared" si="1677"/>
        <v>0</v>
      </c>
      <c r="P636">
        <f>8+2</f>
        <v>10</v>
      </c>
      <c r="S636">
        <v>12</v>
      </c>
      <c r="V636">
        <v>7</v>
      </c>
      <c r="Y636">
        <v>12</v>
      </c>
      <c r="AB636">
        <v>1</v>
      </c>
      <c r="AE636">
        <v>0</v>
      </c>
      <c r="AH636">
        <v>1</v>
      </c>
      <c r="AK636">
        <v>4</v>
      </c>
      <c r="AN636">
        <v>2</v>
      </c>
      <c r="AQ636">
        <v>5</v>
      </c>
      <c r="AT636" s="241">
        <v>3</v>
      </c>
      <c r="AW636">
        <v>1</v>
      </c>
      <c r="AZ636">
        <v>2</v>
      </c>
      <c r="BC636">
        <f>1+23+20</f>
        <v>44</v>
      </c>
      <c r="BF636">
        <v>9</v>
      </c>
      <c r="BI636">
        <v>0</v>
      </c>
      <c r="BL636">
        <v>3</v>
      </c>
      <c r="BO636">
        <v>10</v>
      </c>
      <c r="BR636">
        <v>0</v>
      </c>
      <c r="BU636">
        <v>5</v>
      </c>
      <c r="BX636">
        <v>5</v>
      </c>
      <c r="CA636">
        <v>7</v>
      </c>
      <c r="CD636">
        <v>2</v>
      </c>
      <c r="CG636">
        <v>9</v>
      </c>
    </row>
    <row r="637" spans="1:110" s="89" customFormat="1" x14ac:dyDescent="0.25">
      <c r="A637" s="155"/>
      <c r="B637" s="21" t="s">
        <v>1184</v>
      </c>
      <c r="C637" s="13"/>
      <c r="D637" s="13"/>
      <c r="E637" s="111"/>
      <c r="F637" s="111"/>
      <c r="G637" s="111"/>
      <c r="H637" s="111"/>
      <c r="I637" s="111"/>
      <c r="J637" s="111"/>
      <c r="K637" s="111"/>
      <c r="L637" s="111"/>
      <c r="M637" s="88"/>
    </row>
    <row r="638" spans="1:110" s="89" customFormat="1" x14ac:dyDescent="0.25">
      <c r="A638" s="155"/>
      <c r="B638" s="21" t="s">
        <v>498</v>
      </c>
      <c r="C638" s="13"/>
      <c r="D638" s="13"/>
      <c r="E638" s="111"/>
      <c r="F638" s="111"/>
      <c r="G638" s="111"/>
      <c r="H638" s="111"/>
      <c r="I638" s="111"/>
      <c r="J638" s="111"/>
      <c r="K638" s="111"/>
      <c r="L638" s="111"/>
      <c r="M638" s="88"/>
    </row>
    <row r="639" spans="1:110" s="89" customFormat="1" ht="60" x14ac:dyDescent="0.25">
      <c r="A639" s="155"/>
      <c r="B639" s="21" t="s">
        <v>1470</v>
      </c>
      <c r="C639" s="6" t="s">
        <v>2987</v>
      </c>
      <c r="D639" s="13" t="s">
        <v>950</v>
      </c>
      <c r="E639" s="111"/>
      <c r="F639" s="111"/>
      <c r="G639" s="111"/>
      <c r="H639" s="111"/>
      <c r="I639" s="111">
        <v>0</v>
      </c>
      <c r="J639" s="111">
        <v>0</v>
      </c>
      <c r="K639" s="111">
        <v>2</v>
      </c>
      <c r="L639" s="111">
        <v>18</v>
      </c>
      <c r="M639" s="88"/>
      <c r="N639" s="241">
        <f>P639+S639+V639+Y639+AB639+AE639+AH639+AK639+AN639+AQ639+AW639+AZ639+BC639+BF639+BI639+BL639+BO639+BR639+BU639+BX639+CA639+CD639+CG639+CJ639+AT639+CM639+CP639+DE639</f>
        <v>2</v>
      </c>
      <c r="O639" s="241">
        <f t="shared" ref="O639:O643" si="1679">Q639+T639+W639+Z639+AC639+AF639+AI639+AL639+AO639+AR639+AX639+BA639+BD639+BG639+BJ639+BM639+BP639+BS639+BV639+BY639+CB639+CE639+CH639+CK639+AU639+CN639+CQ639+DF639</f>
        <v>0</v>
      </c>
      <c r="DE639" s="89">
        <v>2</v>
      </c>
    </row>
    <row r="640" spans="1:110" s="89" customFormat="1" ht="60" x14ac:dyDescent="0.25">
      <c r="A640" s="155"/>
      <c r="B640" s="21" t="s">
        <v>1469</v>
      </c>
      <c r="C640" s="6" t="s">
        <v>2988</v>
      </c>
      <c r="D640" s="13" t="s">
        <v>950</v>
      </c>
      <c r="E640" s="111"/>
      <c r="F640" s="111"/>
      <c r="G640" s="111"/>
      <c r="H640" s="111"/>
      <c r="I640" s="111">
        <v>0</v>
      </c>
      <c r="J640" s="111">
        <v>0</v>
      </c>
      <c r="K640" s="111">
        <v>2</v>
      </c>
      <c r="L640" s="111">
        <v>18</v>
      </c>
      <c r="M640" s="88"/>
      <c r="N640" s="241">
        <f t="shared" ref="N640:N643" si="1680">P640+S640+V640+Y640+AB640+AE640+AH640+AK640+AN640+AQ640+AW640+AZ640+BC640+BF640+BI640+BL640+BO640+BR640+BU640+BX640+CA640+CD640+CG640+CJ640+AT640+CM640+CP640+DE640</f>
        <v>2</v>
      </c>
      <c r="O640" s="241">
        <f t="shared" si="1679"/>
        <v>0</v>
      </c>
      <c r="DE640" s="89">
        <v>2</v>
      </c>
    </row>
    <row r="641" spans="1:110" s="89" customFormat="1" x14ac:dyDescent="0.25">
      <c r="A641" s="155"/>
      <c r="B641" s="21" t="s">
        <v>1128</v>
      </c>
      <c r="C641" s="13"/>
      <c r="D641" s="13"/>
      <c r="E641" s="111"/>
      <c r="F641" s="111"/>
      <c r="G641" s="111"/>
      <c r="H641" s="111"/>
      <c r="I641" s="111"/>
      <c r="J641" s="111"/>
      <c r="K641" s="111"/>
      <c r="L641" s="111"/>
      <c r="M641" s="88"/>
      <c r="N641" s="241"/>
      <c r="O641" s="241"/>
    </row>
    <row r="642" spans="1:110" s="89" customFormat="1" ht="60" x14ac:dyDescent="0.25">
      <c r="A642" s="155"/>
      <c r="B642" s="21" t="s">
        <v>1471</v>
      </c>
      <c r="C642" s="6" t="s">
        <v>2075</v>
      </c>
      <c r="D642" s="13" t="s">
        <v>950</v>
      </c>
      <c r="E642" s="111"/>
      <c r="F642" s="111"/>
      <c r="G642" s="111"/>
      <c r="H642" s="111"/>
      <c r="I642" s="111">
        <v>0</v>
      </c>
      <c r="J642" s="111">
        <v>0</v>
      </c>
      <c r="K642" s="111">
        <v>5</v>
      </c>
      <c r="L642" s="111">
        <v>3</v>
      </c>
      <c r="M642" s="88"/>
      <c r="N642" s="241">
        <f t="shared" si="1680"/>
        <v>5</v>
      </c>
      <c r="O642" s="241">
        <f t="shared" si="1679"/>
        <v>0</v>
      </c>
      <c r="DE642" s="89">
        <v>5</v>
      </c>
    </row>
    <row r="643" spans="1:110" s="89" customFormat="1" ht="60" x14ac:dyDescent="0.25">
      <c r="A643" s="155"/>
      <c r="B643" s="21" t="s">
        <v>1472</v>
      </c>
      <c r="C643" s="6" t="s">
        <v>2074</v>
      </c>
      <c r="D643" s="13" t="s">
        <v>950</v>
      </c>
      <c r="E643" s="111"/>
      <c r="F643" s="111"/>
      <c r="G643" s="111"/>
      <c r="H643" s="111"/>
      <c r="I643" s="111">
        <v>0</v>
      </c>
      <c r="J643" s="111">
        <v>0</v>
      </c>
      <c r="K643" s="111">
        <v>5</v>
      </c>
      <c r="L643" s="111">
        <v>3</v>
      </c>
      <c r="M643" s="88"/>
      <c r="N643" s="241">
        <f t="shared" si="1680"/>
        <v>5</v>
      </c>
      <c r="O643" s="241">
        <f t="shared" si="1679"/>
        <v>0</v>
      </c>
      <c r="DE643" s="89">
        <v>5</v>
      </c>
    </row>
    <row r="644" spans="1:110" ht="45" x14ac:dyDescent="0.25">
      <c r="A644" s="47" t="s">
        <v>515</v>
      </c>
      <c r="B644" s="48" t="s">
        <v>516</v>
      </c>
      <c r="C644" s="44"/>
      <c r="D644" s="44"/>
      <c r="E644" s="44"/>
      <c r="F644" s="44"/>
      <c r="G644" s="44"/>
      <c r="H644" s="44"/>
      <c r="I644" s="44"/>
      <c r="J644" s="44"/>
      <c r="K644" s="44"/>
      <c r="L644" s="44"/>
    </row>
    <row r="645" spans="1:110" ht="60" x14ac:dyDescent="0.25">
      <c r="A645" s="42" t="s">
        <v>517</v>
      </c>
      <c r="B645" s="46" t="s">
        <v>2024</v>
      </c>
      <c r="C645" s="42"/>
      <c r="D645" s="42"/>
      <c r="E645" s="50"/>
      <c r="F645" s="50"/>
      <c r="G645" s="50"/>
      <c r="H645" s="50"/>
      <c r="I645" s="50"/>
      <c r="J645" s="50"/>
      <c r="K645" s="50"/>
      <c r="L645" s="50"/>
      <c r="M645" s="3" t="s">
        <v>281</v>
      </c>
    </row>
    <row r="646" spans="1:110" x14ac:dyDescent="0.25">
      <c r="A646" s="42"/>
      <c r="B646" s="46" t="s">
        <v>180</v>
      </c>
      <c r="C646" s="42"/>
      <c r="D646" s="42"/>
      <c r="E646" s="50"/>
      <c r="F646" s="50"/>
      <c r="G646" s="50"/>
      <c r="H646" s="50"/>
      <c r="I646" s="45">
        <f>(I657+I664+I658+I665)/(I660+I667+I661+I668)*100</f>
        <v>60.129012097674206</v>
      </c>
      <c r="J646" s="45">
        <f>(J657+J664+J658+J665)/(J660+J667+J661+J668)*100</f>
        <v>54.066618330703285</v>
      </c>
      <c r="K646" s="45">
        <f>(K657+K664+K658+K665)/(K660+K667+K661+K668)*100</f>
        <v>48.727570738440299</v>
      </c>
      <c r="L646" s="45">
        <f>(L657+L664+L658+L665)/(L660+L667+L661+L668)*100</f>
        <v>47.074290647933751</v>
      </c>
      <c r="M646" s="3"/>
      <c r="N646" s="45">
        <f>(N657+N664+N658+N665)/(N660+N667+N661+N668)*100</f>
        <v>40.752242926155965</v>
      </c>
      <c r="O646" s="45" t="e">
        <f>(O657+O664+O658+O665)/(O660+O667+O661+O668)*100</f>
        <v>#DIV/0!</v>
      </c>
      <c r="P646" s="45">
        <f>(P657+P664+P658+P665)/(P660+P667+P661+P668)*100</f>
        <v>41.221374045801525</v>
      </c>
      <c r="Q646" s="45" t="e">
        <f>(Q657+Q664+Q658+Q665)/(Q660+Q667+Q661+Q668)*100</f>
        <v>#DIV/0!</v>
      </c>
      <c r="S646" s="45">
        <f>(S657+S664+S658+S665)/(S660+S667+S661+S668)*100</f>
        <v>54.821958456973299</v>
      </c>
      <c r="T646" s="45" t="e">
        <f>(T657+T664+T658+T665)/(T660+T667+T661+T668)*100</f>
        <v>#DIV/0!</v>
      </c>
      <c r="V646" s="45">
        <f>(V657+V664+V658+V665)/(V660+V667+V661+V668)*100</f>
        <v>62.5</v>
      </c>
      <c r="W646" s="45" t="e">
        <f>(W657+W664+W658+W665)/(W660+W667+W661+W668)*100</f>
        <v>#DIV/0!</v>
      </c>
      <c r="Y646" s="45">
        <f>(Y657+Y664+Y658+Y665)/(Y660+Y667+Y661+Y668)*100</f>
        <v>54.394954670871108</v>
      </c>
      <c r="Z646" s="45" t="e">
        <f>(Z657+Z664+Z658+Z665)/(Z660+Z667+Z661+Z668)*100</f>
        <v>#DIV/0!</v>
      </c>
      <c r="AA646" s="241"/>
      <c r="AB646" s="45">
        <f>(AB657+AB664+AB658+AB665)/(AB660+AB667+AB661+AB668)*100</f>
        <v>52.147239263803677</v>
      </c>
      <c r="AC646" s="45" t="e">
        <f>(AC657+AC664+AC658+AC665)/(AC660+AC667+AC661+AC668)*100</f>
        <v>#DIV/0!</v>
      </c>
      <c r="AD646" s="241"/>
      <c r="AE646" s="45">
        <f>(AE657+AE664+AE658+AE665)/(AE660+AE667+AE661+AE668)*100</f>
        <v>91.878172588832484</v>
      </c>
      <c r="AF646" s="45" t="e">
        <f>(AF657+AF664+AF658+AF665)/(AF660+AF667+AF661+AF668)*100</f>
        <v>#DIV/0!</v>
      </c>
      <c r="AH646" s="45">
        <f>(AH657+AH664+AH658+AH665)/(AH660+AH667+AH661+AH668)*100</f>
        <v>72.560975609756099</v>
      </c>
      <c r="AI646" s="45" t="e">
        <f>(AI657+AI664+AI658+AI665)/(AI660+AI667+AI661+AI668)*100</f>
        <v>#DIV/0!</v>
      </c>
      <c r="AJ646" s="241"/>
      <c r="AK646" s="45">
        <f>(AK657+AK664+AK658+AK665)/(AK660+AK667+AK661+AK668)*100</f>
        <v>65.705614567526567</v>
      </c>
      <c r="AL646" s="45" t="e">
        <f>(AL657+AL664+AL658+AL665)/(AL660+AL667+AL661+AL668)*100</f>
        <v>#DIV/0!</v>
      </c>
      <c r="AM646" s="241"/>
      <c r="AN646" s="45">
        <f>(AN657+AN664+AN658+AN665)/(AN660+AN667+AN661+AN668)*100</f>
        <v>65.06550218340611</v>
      </c>
      <c r="AO646" s="45" t="e">
        <f>(AO657+AO664+AO658+AO665)/(AO660+AO667+AO661+AO668)*100</f>
        <v>#DIV/0!</v>
      </c>
      <c r="AQ646" s="45">
        <f>(AQ657+AQ664+AQ658+AQ665)/(AQ660+AQ667+AQ661+AQ668)*100</f>
        <v>53.990610328638496</v>
      </c>
      <c r="AR646" s="45" t="e">
        <f>(AR657+AR664+AR658+AR665)/(AR660+AR667+AR661+AR668)*100</f>
        <v>#DIV/0!</v>
      </c>
      <c r="AS646" s="241"/>
      <c r="AT646" s="45">
        <f>(AT657+AT664+AT658+AT665)/(AT660+AT667+AT661+AT668)*100</f>
        <v>48.695652173913047</v>
      </c>
      <c r="AU646" s="45" t="e">
        <f>(AU657+AU664+AU658+AU665)/(AU660+AU667+AU661+AU668)*100</f>
        <v>#DIV/0!</v>
      </c>
      <c r="AW646" s="45">
        <f>(AW657+AW664+AW658+AW665)/(AW660+AW667+AW661+AW668)*100</f>
        <v>59.388646288209614</v>
      </c>
      <c r="AX646" s="45" t="e">
        <f>(AX657+AX664+AX658+AX665)/(AX660+AX667+AX661+AX668)*100</f>
        <v>#DIV/0!</v>
      </c>
      <c r="AZ646" s="45">
        <f>(AZ657+AZ664+AZ658+AZ665)/(AZ660+AZ667+AZ661+AZ668)*100</f>
        <v>31.388329979879277</v>
      </c>
      <c r="BA646" s="45" t="e">
        <f>(BA657+BA664+BA658+BA665)/(BA660+BA667+BA661+BA668)*100</f>
        <v>#DIV/0!</v>
      </c>
      <c r="BB646" s="241"/>
      <c r="BC646" s="45">
        <f>(BC657+BC664+BC658+BC665)/(BC660+BC667+BC661+BC668)*100</f>
        <v>77.979981801637848</v>
      </c>
      <c r="BD646" s="45" t="e">
        <f>(BD657+BD664+BD658+BD665)/(BD660+BD667+BD661+BD668)*100</f>
        <v>#DIV/0!</v>
      </c>
      <c r="BE646" s="241"/>
      <c r="BF646" s="45">
        <f>(BF657+BF664+BF658+BF665)/(BF660+BF667+BF661+BF668)*100</f>
        <v>59.842519685039377</v>
      </c>
      <c r="BG646" s="45" t="e">
        <f>(BG657+BG664+BG658+BG665)/(BG660+BG667+BG661+BG668)*100</f>
        <v>#DIV/0!</v>
      </c>
      <c r="BI646" s="45">
        <f>(BI657+BI664+BI658+BI665)/(BI660+BI667+BI661+BI668)*100</f>
        <v>52.774018944519618</v>
      </c>
      <c r="BJ646" s="45" t="e">
        <f>(BJ657+BJ664+BJ658+BJ665)/(BJ660+BJ667+BJ661+BJ668)*100</f>
        <v>#DIV/0!</v>
      </c>
      <c r="BK646" s="241"/>
      <c r="BL646" s="45">
        <f>(BL657+BL664+BL658+BL665)/(BL660+BL667+BL661+BL668)*100</f>
        <v>66.551724137931032</v>
      </c>
      <c r="BM646" s="45" t="e">
        <f>(BM657+BM664+BM658+BM665)/(BM660+BM667+BM661+BM668)*100</f>
        <v>#DIV/0!</v>
      </c>
      <c r="BN646" s="241"/>
      <c r="BO646" s="45">
        <f>(BO657+BO664+BO658+BO665)/(BO660+BO667+BO661+BO668)*100</f>
        <v>47.619047619047613</v>
      </c>
      <c r="BP646" s="45" t="e">
        <f>(BP657+BP664+BP658+BP665)/(BP660+BP667+BP661+BP668)*100</f>
        <v>#DIV/0!</v>
      </c>
      <c r="BR646" s="45">
        <f>(BR657+BR664+BR658+BR665)/(BR660+BR667+BR661+BR668)*100</f>
        <v>60.705882352941174</v>
      </c>
      <c r="BS646" s="45" t="e">
        <f>(BS657+BS664+BS658+BS665)/(BS660+BS667+BS661+BS668)*100</f>
        <v>#DIV/0!</v>
      </c>
      <c r="BT646" s="241"/>
      <c r="BU646" s="45">
        <f>(BU657+BU664+BU658+BU665)/(BU660+BU667+BU661+BU668)*100</f>
        <v>58.147512864493997</v>
      </c>
      <c r="BV646" s="45" t="e">
        <f>(BV657+BV664+BV658+BV665)/(BV660+BV667+BV661+BV668)*100</f>
        <v>#DIV/0!</v>
      </c>
      <c r="BW646" s="241"/>
      <c r="BX646" s="45">
        <f>(BX657+BX664+BX658+BX665)/(BX660+BX667+BX661+BX668)*100</f>
        <v>47.961630695443645</v>
      </c>
      <c r="BY646" s="45" t="e">
        <f>(BY657+BY664+BY658+BY665)/(BY660+BY667+BY661+BY668)*100</f>
        <v>#DIV/0!</v>
      </c>
      <c r="CA646" s="45">
        <f>(CA657+CA664+CA658+CA665)/(CA660+CA667+CA661+CA668)*100</f>
        <v>64.665757162346523</v>
      </c>
      <c r="CB646" s="45" t="e">
        <f>(CB657+CB664+CB658+CB665)/(CB660+CB667+CB661+CB668)*100</f>
        <v>#DIV/0!</v>
      </c>
      <c r="CC646" s="241"/>
      <c r="CD646" s="45">
        <f>(CD657+CD664+CD658+CD665)/(CD660+CD667+CD661+CD668)*100</f>
        <v>60.899653979238757</v>
      </c>
      <c r="CE646" s="45" t="e">
        <f>(CE657+CE664+CE658+CE665)/(CE660+CE667+CE661+CE668)*100</f>
        <v>#DIV/0!</v>
      </c>
      <c r="CF646" s="241"/>
      <c r="CG646" s="45">
        <f>(CG657+CG664+CG658+CG665)/(CG660+CG667+CG661+CG668)*100</f>
        <v>78.904991948470212</v>
      </c>
      <c r="CH646" s="45" t="e">
        <f>(CH657+CH664+CH658+CH665)/(CH660+CH667+CH661+CH668)*100</f>
        <v>#DIV/0!</v>
      </c>
      <c r="CJ646" s="45">
        <f>(CJ657+CJ664+CJ658+CJ665)/(CJ660+CJ667+CJ661+CJ668)*100</f>
        <v>61.280487804878049</v>
      </c>
      <c r="CK646" s="45" t="e">
        <f>(CK657+CK664+CK658+CK665)/(CK660+CK667+CK661+CK668)*100</f>
        <v>#DIV/0!</v>
      </c>
      <c r="CL646" s="241"/>
      <c r="CM646" s="45" t="e">
        <f>(CM657+CM664+CM658+CM665)/(CM660+CM667+CM661+CM668)*100</f>
        <v>#DIV/0!</v>
      </c>
      <c r="CN646" s="45" t="e">
        <f>(CN657+CN664+CN658+CN665)/(CN660+CN667+CN661+CN668)*100</f>
        <v>#DIV/0!</v>
      </c>
      <c r="CO646" s="241"/>
      <c r="CP646" s="45" t="e">
        <f>(CP657+CP664+CP658+CP665)/(CP660+CP667+CP661+CP668)*100</f>
        <v>#DIV/0!</v>
      </c>
      <c r="CQ646" s="45" t="e">
        <f>(CQ657+CQ664+CQ658+CQ665)/(CQ660+CQ667+CQ661+CQ668)*100</f>
        <v>#DIV/0!</v>
      </c>
      <c r="CS646" s="45">
        <f>(CS657+CS664+CS658+CS665)/(CS660+CS667+CS661+CS668)*100</f>
        <v>0</v>
      </c>
      <c r="CT646" s="45" t="e">
        <f>(CT657+CT664+CT658+CT665)/(CT660+CT667+CT661+CT668)*100</f>
        <v>#DIV/0!</v>
      </c>
      <c r="CU646" s="241"/>
      <c r="CV646" s="45">
        <f>(CV657+CV664+CV658+CV665)/(CV660+CV667+CV661+CV668)*100</f>
        <v>0</v>
      </c>
      <c r="CW646" s="45" t="e">
        <f>(CW657+CW664+CW658+CW665)/(CW660+CW667+CW661+CW668)*100</f>
        <v>#DIV/0!</v>
      </c>
      <c r="CX646" s="241"/>
      <c r="CY646" s="45">
        <f>(CY657+CY664+CY658+CY665)/(CY660+CY667+CY661+CY668)*100</f>
        <v>0</v>
      </c>
      <c r="CZ646" s="45" t="e">
        <f>(CZ657+CZ664+CZ658+CZ665)/(CZ660+CZ667+CZ661+CZ668)*100</f>
        <v>#DIV/0!</v>
      </c>
      <c r="DB646" s="45">
        <f>(DB657+DB664+DB658+DB665)/(DB660+DB667+DB661+DB668)*100</f>
        <v>0</v>
      </c>
      <c r="DC646" s="45" t="e">
        <f>(DC657+DC664+DC658+DC665)/(DC660+DC667+DC661+DC668)*100</f>
        <v>#DIV/0!</v>
      </c>
      <c r="DD646" s="241"/>
      <c r="DE646" s="45">
        <f>(DE657+DE664+DE658+DE665)/(DE660+DE667+DE661+DE668)*100</f>
        <v>0</v>
      </c>
      <c r="DF646" s="45" t="e">
        <f>(DF657+DF664+DF658+DF665)/(DF660+DF667+DF661+DF668)*100</f>
        <v>#DIV/0!</v>
      </c>
    </row>
    <row r="647" spans="1:110" x14ac:dyDescent="0.25">
      <c r="A647" s="42"/>
      <c r="B647" s="46" t="s">
        <v>1182</v>
      </c>
      <c r="C647" s="42"/>
      <c r="D647" s="42" t="s">
        <v>8</v>
      </c>
      <c r="E647" s="50"/>
      <c r="F647" s="50"/>
      <c r="G647" s="50"/>
      <c r="H647" s="50"/>
      <c r="I647" s="45">
        <f t="shared" ref="I647:K648" si="1681">(I657+I664)/(I660+I667)*100</f>
        <v>61.931583061290176</v>
      </c>
      <c r="J647" s="45">
        <f t="shared" si="1681"/>
        <v>56.419956384351778</v>
      </c>
      <c r="K647" s="45">
        <f t="shared" si="1681"/>
        <v>51.75981524249422</v>
      </c>
      <c r="L647" s="45">
        <f t="shared" ref="L647" si="1682">(L657+L664)/(L660+L667)*100</f>
        <v>50.804815949596517</v>
      </c>
      <c r="M647" s="3"/>
      <c r="N647" s="45">
        <f t="shared" ref="N647:P648" si="1683">(N657+N664)/(N660+N667)*100</f>
        <v>43.639722863741341</v>
      </c>
      <c r="O647" s="45" t="e">
        <f t="shared" si="1683"/>
        <v>#DIV/0!</v>
      </c>
      <c r="P647" s="45">
        <f t="shared" ref="P647:Q647" si="1684">(P657+P664)/(P660+P667)*100</f>
        <v>41.221374045801525</v>
      </c>
      <c r="Q647" s="45" t="e">
        <f t="shared" si="1684"/>
        <v>#DIV/0!</v>
      </c>
      <c r="S647" s="45">
        <f t="shared" ref="S647:T648" si="1685">(S657+S664)/(S660+S667)*100</f>
        <v>54.821958456973299</v>
      </c>
      <c r="T647" s="45" t="e">
        <f t="shared" si="1685"/>
        <v>#DIV/0!</v>
      </c>
      <c r="V647" s="45">
        <f t="shared" ref="V647:W647" si="1686">(V657+V664)/(V660+V667)*100</f>
        <v>62.5</v>
      </c>
      <c r="W647" s="45" t="e">
        <f t="shared" si="1686"/>
        <v>#DIV/0!</v>
      </c>
      <c r="Y647" s="45">
        <f t="shared" ref="Y647:Z648" si="1687">(Y657+Y664)/(Y660+Y667)*100</f>
        <v>54.394954670871108</v>
      </c>
      <c r="Z647" s="45" t="e">
        <f t="shared" si="1687"/>
        <v>#DIV/0!</v>
      </c>
      <c r="AA647" s="241"/>
      <c r="AB647" s="45">
        <f t="shared" ref="AB647:AC647" si="1688">(AB657+AB664)/(AB660+AB667)*100</f>
        <v>52.147239263803677</v>
      </c>
      <c r="AC647" s="45" t="e">
        <f t="shared" si="1688"/>
        <v>#DIV/0!</v>
      </c>
      <c r="AD647" s="241"/>
      <c r="AE647" s="45">
        <f t="shared" ref="AE647:AF647" si="1689">(AE657+AE664)/(AE660+AE667)*100</f>
        <v>91.878172588832484</v>
      </c>
      <c r="AF647" s="45" t="e">
        <f t="shared" si="1689"/>
        <v>#DIV/0!</v>
      </c>
      <c r="AH647" s="45">
        <f t="shared" ref="AH647:AI647" si="1690">(AH657+AH664)/(AH660+AH667)*100</f>
        <v>72.560975609756099</v>
      </c>
      <c r="AI647" s="45" t="e">
        <f t="shared" si="1690"/>
        <v>#DIV/0!</v>
      </c>
      <c r="AJ647" s="241"/>
      <c r="AK647" s="45">
        <f t="shared" ref="AK647:AL647" si="1691">(AK657+AK664)/(AK660+AK667)*100</f>
        <v>65.705614567526567</v>
      </c>
      <c r="AL647" s="45" t="e">
        <f t="shared" si="1691"/>
        <v>#DIV/0!</v>
      </c>
      <c r="AM647" s="241"/>
      <c r="AN647" s="45">
        <f t="shared" ref="AN647:AO647" si="1692">(AN657+AN664)/(AN660+AN667)*100</f>
        <v>65.06550218340611</v>
      </c>
      <c r="AO647" s="45" t="e">
        <f t="shared" si="1692"/>
        <v>#DIV/0!</v>
      </c>
      <c r="AQ647" s="45">
        <f t="shared" ref="AQ647:AR647" si="1693">(AQ657+AQ664)/(AQ660+AQ667)*100</f>
        <v>53.990610328638496</v>
      </c>
      <c r="AR647" s="45" t="e">
        <f t="shared" si="1693"/>
        <v>#DIV/0!</v>
      </c>
      <c r="AS647" s="241"/>
      <c r="AT647" s="45">
        <f t="shared" ref="AT647:AU647" si="1694">(AT657+AT664)/(AT660+AT667)*100</f>
        <v>48.695652173913047</v>
      </c>
      <c r="AU647" s="45" t="e">
        <f t="shared" si="1694"/>
        <v>#DIV/0!</v>
      </c>
      <c r="AW647" s="45">
        <f t="shared" ref="AW647:AX647" si="1695">(AW657+AW664)/(AW660+AW667)*100</f>
        <v>59.388646288209614</v>
      </c>
      <c r="AX647" s="45" t="e">
        <f t="shared" si="1695"/>
        <v>#DIV/0!</v>
      </c>
      <c r="AZ647" s="45">
        <f t="shared" ref="AZ647:BA647" si="1696">(AZ657+AZ664)/(AZ660+AZ667)*100</f>
        <v>31.388329979879277</v>
      </c>
      <c r="BA647" s="45" t="e">
        <f t="shared" si="1696"/>
        <v>#DIV/0!</v>
      </c>
      <c r="BB647" s="241"/>
      <c r="BC647" s="45">
        <f t="shared" ref="BC647:BD647" si="1697">(BC657+BC664)/(BC660+BC667)*100</f>
        <v>77.979981801637848</v>
      </c>
      <c r="BD647" s="45" t="e">
        <f t="shared" si="1697"/>
        <v>#DIV/0!</v>
      </c>
      <c r="BE647" s="241"/>
      <c r="BF647" s="45">
        <f t="shared" ref="BF647:BG647" si="1698">(BF657+BF664)/(BF660+BF667)*100</f>
        <v>59.842519685039377</v>
      </c>
      <c r="BG647" s="45" t="e">
        <f t="shared" si="1698"/>
        <v>#DIV/0!</v>
      </c>
      <c r="BI647" s="45">
        <f t="shared" ref="BI647:BJ647" si="1699">(BI657+BI664)/(BI660+BI667)*100</f>
        <v>52.774018944519618</v>
      </c>
      <c r="BJ647" s="45" t="e">
        <f t="shared" si="1699"/>
        <v>#DIV/0!</v>
      </c>
      <c r="BK647" s="241"/>
      <c r="BL647" s="45">
        <f t="shared" ref="BL647:BM647" si="1700">(BL657+BL664)/(BL660+BL667)*100</f>
        <v>66.551724137931032</v>
      </c>
      <c r="BM647" s="45" t="e">
        <f t="shared" si="1700"/>
        <v>#DIV/0!</v>
      </c>
      <c r="BN647" s="241"/>
      <c r="BO647" s="45">
        <f t="shared" ref="BO647:BP647" si="1701">(BO657+BO664)/(BO660+BO667)*100</f>
        <v>47.619047619047613</v>
      </c>
      <c r="BP647" s="45" t="e">
        <f t="shared" si="1701"/>
        <v>#DIV/0!</v>
      </c>
      <c r="BR647" s="45">
        <f t="shared" ref="BR647:BS647" si="1702">(BR657+BR664)/(BR660+BR667)*100</f>
        <v>60.705882352941174</v>
      </c>
      <c r="BS647" s="45" t="e">
        <f t="shared" si="1702"/>
        <v>#DIV/0!</v>
      </c>
      <c r="BT647" s="241"/>
      <c r="BU647" s="45">
        <f t="shared" ref="BU647:BV647" si="1703">(BU657+BU664)/(BU660+BU667)*100</f>
        <v>58.147512864493997</v>
      </c>
      <c r="BV647" s="45" t="e">
        <f t="shared" si="1703"/>
        <v>#DIV/0!</v>
      </c>
      <c r="BW647" s="241"/>
      <c r="BX647" s="45">
        <f t="shared" ref="BX647:BY647" si="1704">(BX657+BX664)/(BX660+BX667)*100</f>
        <v>47.961630695443645</v>
      </c>
      <c r="BY647" s="45" t="e">
        <f t="shared" si="1704"/>
        <v>#DIV/0!</v>
      </c>
      <c r="CA647" s="45">
        <f t="shared" ref="CA647:CB647" si="1705">(CA657+CA664)/(CA660+CA667)*100</f>
        <v>64.665757162346523</v>
      </c>
      <c r="CB647" s="45" t="e">
        <f t="shared" si="1705"/>
        <v>#DIV/0!</v>
      </c>
      <c r="CC647" s="241"/>
      <c r="CD647" s="45">
        <f t="shared" ref="CD647:CE647" si="1706">(CD657+CD664)/(CD660+CD667)*100</f>
        <v>60.899653979238757</v>
      </c>
      <c r="CE647" s="45" t="e">
        <f t="shared" si="1706"/>
        <v>#DIV/0!</v>
      </c>
      <c r="CF647" s="241"/>
      <c r="CG647" s="45">
        <f t="shared" ref="CG647:CH647" si="1707">(CG657+CG664)/(CG660+CG667)*100</f>
        <v>78.904991948470212</v>
      </c>
      <c r="CH647" s="45" t="e">
        <f t="shared" si="1707"/>
        <v>#DIV/0!</v>
      </c>
      <c r="CJ647" s="45">
        <f t="shared" ref="CJ647:CK647" si="1708">(CJ657+CJ664)/(CJ660+CJ667)*100</f>
        <v>61.280487804878049</v>
      </c>
      <c r="CK647" s="45" t="e">
        <f t="shared" si="1708"/>
        <v>#DIV/0!</v>
      </c>
      <c r="CL647" s="241"/>
      <c r="CM647" s="45" t="e">
        <f t="shared" ref="CM647:CN647" si="1709">(CM657+CM664)/(CM660+CM667)*100</f>
        <v>#DIV/0!</v>
      </c>
      <c r="CN647" s="45" t="e">
        <f t="shared" si="1709"/>
        <v>#DIV/0!</v>
      </c>
      <c r="CO647" s="241"/>
      <c r="CP647" s="45" t="e">
        <f t="shared" ref="CP647:CQ647" si="1710">(CP657+CP664)/(CP660+CP667)*100</f>
        <v>#DIV/0!</v>
      </c>
      <c r="CQ647" s="45" t="e">
        <f t="shared" si="1710"/>
        <v>#DIV/0!</v>
      </c>
      <c r="CS647" s="45">
        <f t="shared" ref="CS647:CT647" si="1711">(CS657+CS664)/(CS660+CS667)*100</f>
        <v>0</v>
      </c>
      <c r="CT647" s="45" t="e">
        <f t="shared" si="1711"/>
        <v>#DIV/0!</v>
      </c>
      <c r="CU647" s="241"/>
      <c r="CV647" s="45">
        <f t="shared" ref="CV647:CW647" si="1712">(CV657+CV664)/(CV660+CV667)*100</f>
        <v>0</v>
      </c>
      <c r="CW647" s="45" t="e">
        <f t="shared" si="1712"/>
        <v>#DIV/0!</v>
      </c>
      <c r="CX647" s="241"/>
      <c r="CY647" s="45">
        <f t="shared" ref="CY647:CZ647" si="1713">(CY657+CY664)/(CY660+CY667)*100</f>
        <v>0</v>
      </c>
      <c r="CZ647" s="45" t="e">
        <f t="shared" si="1713"/>
        <v>#DIV/0!</v>
      </c>
      <c r="DB647" s="45">
        <f t="shared" ref="DB647:DC647" si="1714">(DB657+DB664)/(DB660+DB667)*100</f>
        <v>0</v>
      </c>
      <c r="DC647" s="45" t="e">
        <f t="shared" si="1714"/>
        <v>#DIV/0!</v>
      </c>
      <c r="DD647" s="241"/>
      <c r="DE647" s="45" t="e">
        <f t="shared" ref="DE647:DF647" si="1715">(DE657+DE664)/(DE660+DE667)*100</f>
        <v>#DIV/0!</v>
      </c>
      <c r="DF647" s="45" t="e">
        <f t="shared" si="1715"/>
        <v>#DIV/0!</v>
      </c>
    </row>
    <row r="648" spans="1:110" x14ac:dyDescent="0.25">
      <c r="A648" s="42"/>
      <c r="B648" s="46" t="s">
        <v>1184</v>
      </c>
      <c r="C648" s="42"/>
      <c r="D648" s="42" t="s">
        <v>8</v>
      </c>
      <c r="E648" s="50"/>
      <c r="F648" s="50"/>
      <c r="G648" s="50"/>
      <c r="H648" s="50"/>
      <c r="I648" s="45">
        <f t="shared" si="1681"/>
        <v>0</v>
      </c>
      <c r="J648" s="45">
        <f t="shared" si="1681"/>
        <v>0</v>
      </c>
      <c r="K648" s="45">
        <f t="shared" si="1681"/>
        <v>5.9322033898305087</v>
      </c>
      <c r="L648" s="45">
        <f t="shared" ref="L648" si="1716">(L658+L665)/(L661+L668)*100</f>
        <v>9.6187175043327553</v>
      </c>
      <c r="M648" s="3"/>
      <c r="N648" s="45">
        <f t="shared" ref="N648" si="1717">(N658+N665)/(N661+N668)*100</f>
        <v>0</v>
      </c>
      <c r="O648" s="45" t="e">
        <f t="shared" si="1683"/>
        <v>#DIV/0!</v>
      </c>
      <c r="P648" s="45" t="e">
        <f t="shared" si="1683"/>
        <v>#DIV/0!</v>
      </c>
      <c r="Q648" s="45" t="e">
        <f t="shared" ref="Q648" si="1718">(Q658+Q665)/(Q661+Q668)*100</f>
        <v>#DIV/0!</v>
      </c>
      <c r="S648" s="45" t="e">
        <f t="shared" ref="S648" si="1719">(S658+S665)/(S661+S668)*100</f>
        <v>#DIV/0!</v>
      </c>
      <c r="T648" s="45" t="e">
        <f t="shared" si="1685"/>
        <v>#DIV/0!</v>
      </c>
      <c r="V648" s="45" t="e">
        <f t="shared" ref="V648:W648" si="1720">(V658+V665)/(V661+V668)*100</f>
        <v>#DIV/0!</v>
      </c>
      <c r="W648" s="45" t="e">
        <f t="shared" si="1720"/>
        <v>#DIV/0!</v>
      </c>
      <c r="Y648" s="45" t="e">
        <f t="shared" ref="Y648" si="1721">(Y658+Y665)/(Y661+Y668)*100</f>
        <v>#DIV/0!</v>
      </c>
      <c r="Z648" s="45" t="e">
        <f t="shared" si="1687"/>
        <v>#DIV/0!</v>
      </c>
      <c r="AA648" s="241"/>
      <c r="AB648" s="45" t="e">
        <f t="shared" ref="AB648:AC648" si="1722">(AB658+AB665)/(AB661+AB668)*100</f>
        <v>#DIV/0!</v>
      </c>
      <c r="AC648" s="45" t="e">
        <f t="shared" si="1722"/>
        <v>#DIV/0!</v>
      </c>
      <c r="AD648" s="241"/>
      <c r="AE648" s="45" t="e">
        <f t="shared" ref="AE648:AF648" si="1723">(AE658+AE665)/(AE661+AE668)*100</f>
        <v>#DIV/0!</v>
      </c>
      <c r="AF648" s="45" t="e">
        <f t="shared" si="1723"/>
        <v>#DIV/0!</v>
      </c>
      <c r="AH648" s="45" t="e">
        <f t="shared" ref="AH648:AI648" si="1724">(AH658+AH665)/(AH661+AH668)*100</f>
        <v>#DIV/0!</v>
      </c>
      <c r="AI648" s="45" t="e">
        <f t="shared" si="1724"/>
        <v>#DIV/0!</v>
      </c>
      <c r="AJ648" s="241"/>
      <c r="AK648" s="45" t="e">
        <f t="shared" ref="AK648:AL648" si="1725">(AK658+AK665)/(AK661+AK668)*100</f>
        <v>#DIV/0!</v>
      </c>
      <c r="AL648" s="45" t="e">
        <f t="shared" si="1725"/>
        <v>#DIV/0!</v>
      </c>
      <c r="AM648" s="241"/>
      <c r="AN648" s="45" t="e">
        <f t="shared" ref="AN648:AO648" si="1726">(AN658+AN665)/(AN661+AN668)*100</f>
        <v>#DIV/0!</v>
      </c>
      <c r="AO648" s="45" t="e">
        <f t="shared" si="1726"/>
        <v>#DIV/0!</v>
      </c>
      <c r="AQ648" s="45" t="e">
        <f t="shared" ref="AQ648:AR648" si="1727">(AQ658+AQ665)/(AQ661+AQ668)*100</f>
        <v>#DIV/0!</v>
      </c>
      <c r="AR648" s="45" t="e">
        <f t="shared" si="1727"/>
        <v>#DIV/0!</v>
      </c>
      <c r="AS648" s="241"/>
      <c r="AT648" s="45" t="e">
        <f t="shared" ref="AT648:AU648" si="1728">(AT658+AT665)/(AT661+AT668)*100</f>
        <v>#DIV/0!</v>
      </c>
      <c r="AU648" s="45" t="e">
        <f t="shared" si="1728"/>
        <v>#DIV/0!</v>
      </c>
      <c r="AW648" s="45" t="e">
        <f t="shared" ref="AW648:AX648" si="1729">(AW658+AW665)/(AW661+AW668)*100</f>
        <v>#DIV/0!</v>
      </c>
      <c r="AX648" s="45" t="e">
        <f t="shared" si="1729"/>
        <v>#DIV/0!</v>
      </c>
      <c r="AZ648" s="45" t="e">
        <f t="shared" ref="AZ648:BA648" si="1730">(AZ658+AZ665)/(AZ661+AZ668)*100</f>
        <v>#DIV/0!</v>
      </c>
      <c r="BA648" s="45" t="e">
        <f t="shared" si="1730"/>
        <v>#DIV/0!</v>
      </c>
      <c r="BB648" s="241"/>
      <c r="BC648" s="45" t="e">
        <f t="shared" ref="BC648:BD648" si="1731">(BC658+BC665)/(BC661+BC668)*100</f>
        <v>#DIV/0!</v>
      </c>
      <c r="BD648" s="45" t="e">
        <f t="shared" si="1731"/>
        <v>#DIV/0!</v>
      </c>
      <c r="BE648" s="241"/>
      <c r="BF648" s="45" t="e">
        <f t="shared" ref="BF648:BG648" si="1732">(BF658+BF665)/(BF661+BF668)*100</f>
        <v>#DIV/0!</v>
      </c>
      <c r="BG648" s="45" t="e">
        <f t="shared" si="1732"/>
        <v>#DIV/0!</v>
      </c>
      <c r="BI648" s="45" t="e">
        <f t="shared" ref="BI648:BJ648" si="1733">(BI658+BI665)/(BI661+BI668)*100</f>
        <v>#DIV/0!</v>
      </c>
      <c r="BJ648" s="45" t="e">
        <f t="shared" si="1733"/>
        <v>#DIV/0!</v>
      </c>
      <c r="BK648" s="241"/>
      <c r="BL648" s="45" t="e">
        <f t="shared" ref="BL648:BM648" si="1734">(BL658+BL665)/(BL661+BL668)*100</f>
        <v>#DIV/0!</v>
      </c>
      <c r="BM648" s="45" t="e">
        <f t="shared" si="1734"/>
        <v>#DIV/0!</v>
      </c>
      <c r="BN648" s="241"/>
      <c r="BO648" s="45" t="e">
        <f t="shared" ref="BO648:BP648" si="1735">(BO658+BO665)/(BO661+BO668)*100</f>
        <v>#DIV/0!</v>
      </c>
      <c r="BP648" s="45" t="e">
        <f t="shared" si="1735"/>
        <v>#DIV/0!</v>
      </c>
      <c r="BR648" s="45" t="e">
        <f t="shared" ref="BR648:BS648" si="1736">(BR658+BR665)/(BR661+BR668)*100</f>
        <v>#DIV/0!</v>
      </c>
      <c r="BS648" s="45" t="e">
        <f t="shared" si="1736"/>
        <v>#DIV/0!</v>
      </c>
      <c r="BT648" s="241"/>
      <c r="BU648" s="45" t="e">
        <f t="shared" ref="BU648:BV648" si="1737">(BU658+BU665)/(BU661+BU668)*100</f>
        <v>#DIV/0!</v>
      </c>
      <c r="BV648" s="45" t="e">
        <f t="shared" si="1737"/>
        <v>#DIV/0!</v>
      </c>
      <c r="BW648" s="241"/>
      <c r="BX648" s="45" t="e">
        <f t="shared" ref="BX648:BY648" si="1738">(BX658+BX665)/(BX661+BX668)*100</f>
        <v>#DIV/0!</v>
      </c>
      <c r="BY648" s="45" t="e">
        <f t="shared" si="1738"/>
        <v>#DIV/0!</v>
      </c>
      <c r="CA648" s="45" t="e">
        <f t="shared" ref="CA648:CB648" si="1739">(CA658+CA665)/(CA661+CA668)*100</f>
        <v>#DIV/0!</v>
      </c>
      <c r="CB648" s="45" t="e">
        <f t="shared" si="1739"/>
        <v>#DIV/0!</v>
      </c>
      <c r="CC648" s="241"/>
      <c r="CD648" s="45" t="e">
        <f t="shared" ref="CD648:CE648" si="1740">(CD658+CD665)/(CD661+CD668)*100</f>
        <v>#DIV/0!</v>
      </c>
      <c r="CE648" s="45" t="e">
        <f t="shared" si="1740"/>
        <v>#DIV/0!</v>
      </c>
      <c r="CF648" s="241"/>
      <c r="CG648" s="45" t="e">
        <f t="shared" ref="CG648:CH648" si="1741">(CG658+CG665)/(CG661+CG668)*100</f>
        <v>#DIV/0!</v>
      </c>
      <c r="CH648" s="45" t="e">
        <f t="shared" si="1741"/>
        <v>#DIV/0!</v>
      </c>
      <c r="CJ648" s="45" t="e">
        <f t="shared" ref="CJ648:CK648" si="1742">(CJ658+CJ665)/(CJ661+CJ668)*100</f>
        <v>#DIV/0!</v>
      </c>
      <c r="CK648" s="45" t="e">
        <f t="shared" si="1742"/>
        <v>#DIV/0!</v>
      </c>
      <c r="CL648" s="241"/>
      <c r="CM648" s="45" t="e">
        <f t="shared" ref="CM648:CN648" si="1743">(CM658+CM665)/(CM661+CM668)*100</f>
        <v>#DIV/0!</v>
      </c>
      <c r="CN648" s="45" t="e">
        <f t="shared" si="1743"/>
        <v>#DIV/0!</v>
      </c>
      <c r="CO648" s="241"/>
      <c r="CP648" s="45" t="e">
        <f t="shared" ref="CP648:CQ648" si="1744">(CP658+CP665)/(CP661+CP668)*100</f>
        <v>#DIV/0!</v>
      </c>
      <c r="CQ648" s="45" t="e">
        <f t="shared" si="1744"/>
        <v>#DIV/0!</v>
      </c>
      <c r="CS648" s="45" t="e">
        <f t="shared" ref="CS648:CT648" si="1745">(CS658+CS665)/(CS661+CS668)*100</f>
        <v>#DIV/0!</v>
      </c>
      <c r="CT648" s="45" t="e">
        <f t="shared" si="1745"/>
        <v>#DIV/0!</v>
      </c>
      <c r="CU648" s="241"/>
      <c r="CV648" s="45" t="e">
        <f t="shared" ref="CV648:CW648" si="1746">(CV658+CV665)/(CV661+CV668)*100</f>
        <v>#DIV/0!</v>
      </c>
      <c r="CW648" s="45" t="e">
        <f t="shared" si="1746"/>
        <v>#DIV/0!</v>
      </c>
      <c r="CX648" s="241"/>
      <c r="CY648" s="45" t="e">
        <f t="shared" ref="CY648:CZ648" si="1747">(CY658+CY665)/(CY661+CY668)*100</f>
        <v>#DIV/0!</v>
      </c>
      <c r="CZ648" s="45" t="e">
        <f t="shared" si="1747"/>
        <v>#DIV/0!</v>
      </c>
      <c r="DB648" s="45" t="e">
        <f t="shared" ref="DB648:DC648" si="1748">(DB658+DB665)/(DB661+DB668)*100</f>
        <v>#DIV/0!</v>
      </c>
      <c r="DC648" s="45" t="e">
        <f t="shared" si="1748"/>
        <v>#DIV/0!</v>
      </c>
      <c r="DD648" s="241"/>
      <c r="DE648" s="45">
        <f t="shared" ref="DE648:DF648" si="1749">(DE658+DE665)/(DE661+DE668)*100</f>
        <v>0</v>
      </c>
      <c r="DF648" s="45" t="e">
        <f t="shared" si="1749"/>
        <v>#DIV/0!</v>
      </c>
    </row>
    <row r="649" spans="1:110" x14ac:dyDescent="0.25">
      <c r="A649" s="42"/>
      <c r="B649" s="46" t="s">
        <v>498</v>
      </c>
      <c r="C649" s="42"/>
      <c r="D649" s="42"/>
      <c r="E649" s="50"/>
      <c r="F649" s="50"/>
      <c r="G649" s="50"/>
      <c r="H649" s="50"/>
      <c r="I649" s="45">
        <f>(I657+I658)/(I660+I661)*100</f>
        <v>64.273250741580881</v>
      </c>
      <c r="J649" s="45">
        <f>(J657+J658)/(J660+J661)*100</f>
        <v>52.192362093352195</v>
      </c>
      <c r="K649" s="45">
        <f>(K657+K658)/(K660+K661)*100</f>
        <v>43.764579221245292</v>
      </c>
      <c r="L649" s="45">
        <f>(L657+L658)/(L660+L661)*100</f>
        <v>49.02597402597403</v>
      </c>
      <c r="M649" s="3"/>
      <c r="N649" s="45">
        <f>(N657+N658)/(N660+N661)*100</f>
        <v>43.585142652072491</v>
      </c>
      <c r="O649" s="45" t="e">
        <f>(O657+O658)/(O660+O661)*100</f>
        <v>#DIV/0!</v>
      </c>
      <c r="P649" s="45" t="e">
        <f>(P657+P658)/(P660+P661)*100</f>
        <v>#DIV/0!</v>
      </c>
      <c r="Q649" s="45" t="e">
        <f>(Q657+Q658)/(Q660+Q661)*100</f>
        <v>#DIV/0!</v>
      </c>
      <c r="S649" s="45">
        <f>(S657+S658)/(S660+S661)*100</f>
        <v>51.013513513513509</v>
      </c>
      <c r="T649" s="45" t="e">
        <f>(T657+T658)/(T660+T661)*100</f>
        <v>#DIV/0!</v>
      </c>
      <c r="V649" s="45">
        <f>(V657+V658)/(V660+V661)*100</f>
        <v>39.900249376558605</v>
      </c>
      <c r="W649" s="45" t="e">
        <f>(W657+W658)/(W660+W661)*100</f>
        <v>#DIV/0!</v>
      </c>
      <c r="Y649" s="45">
        <f>(Y657+Y658)/(Y660+Y661)*100</f>
        <v>53.153153153153156</v>
      </c>
      <c r="Z649" s="45" t="e">
        <f>(Z657+Z658)/(Z660+Z661)*100</f>
        <v>#DIV/0!</v>
      </c>
      <c r="AA649" s="241"/>
      <c r="AB649" s="45" t="e">
        <f>(AB657+AB658)/(AB660+AB661)*100</f>
        <v>#DIV/0!</v>
      </c>
      <c r="AC649" s="45" t="e">
        <f>(AC657+AC658)/(AC660+AC661)*100</f>
        <v>#DIV/0!</v>
      </c>
      <c r="AD649" s="241"/>
      <c r="AE649" s="45" t="e">
        <f>(AE657+AE658)/(AE660+AE661)*100</f>
        <v>#DIV/0!</v>
      </c>
      <c r="AF649" s="45" t="e">
        <f>(AF657+AF658)/(AF660+AF661)*100</f>
        <v>#DIV/0!</v>
      </c>
      <c r="AH649" s="45" t="e">
        <f>(AH657+AH658)/(AH660+AH661)*100</f>
        <v>#DIV/0!</v>
      </c>
      <c r="AI649" s="45" t="e">
        <f>(AI657+AI658)/(AI660+AI661)*100</f>
        <v>#DIV/0!</v>
      </c>
      <c r="AJ649" s="241"/>
      <c r="AK649" s="45">
        <f>(AK657+AK658)/(AK660+AK661)*100</f>
        <v>58.04195804195804</v>
      </c>
      <c r="AL649" s="45" t="e">
        <f>(AL657+AL658)/(AL660+AL661)*100</f>
        <v>#DIV/0!</v>
      </c>
      <c r="AM649" s="241"/>
      <c r="AN649" s="45" t="e">
        <f>(AN657+AN658)/(AN660+AN661)*100</f>
        <v>#DIV/0!</v>
      </c>
      <c r="AO649" s="45" t="e">
        <f>(AO657+AO658)/(AO660+AO661)*100</f>
        <v>#DIV/0!</v>
      </c>
      <c r="AQ649" s="45">
        <f>(AQ657+AQ658)/(AQ660+AQ661)*100</f>
        <v>47.307692307692307</v>
      </c>
      <c r="AR649" s="45" t="e">
        <f>(AR657+AR658)/(AR660+AR661)*100</f>
        <v>#DIV/0!</v>
      </c>
      <c r="AS649" s="241"/>
      <c r="AT649" s="45">
        <f>(AT657+AT658)/(AT660+AT661)*100</f>
        <v>34.693877551020407</v>
      </c>
      <c r="AU649" s="45" t="e">
        <f>(AU657+AU658)/(AU660+AU661)*100</f>
        <v>#DIV/0!</v>
      </c>
      <c r="AW649" s="45">
        <f>(AW657+AW658)/(AW660+AW661)*100</f>
        <v>52.531645569620252</v>
      </c>
      <c r="AX649" s="45" t="e">
        <f>(AX657+AX658)/(AX660+AX661)*100</f>
        <v>#DIV/0!</v>
      </c>
      <c r="AZ649" s="45">
        <f>(AZ657+AZ658)/(AZ660+AZ661)*100</f>
        <v>24.749163879598662</v>
      </c>
      <c r="BA649" s="45" t="e">
        <f>(BA657+BA658)/(BA660+BA661)*100</f>
        <v>#DIV/0!</v>
      </c>
      <c r="BB649" s="241"/>
      <c r="BC649" s="45" t="e">
        <f>(BC657+BC658)/(BC660+BC661)*100</f>
        <v>#DIV/0!</v>
      </c>
      <c r="BD649" s="45" t="e">
        <f>(BD657+BD658)/(BD660+BD661)*100</f>
        <v>#DIV/0!</v>
      </c>
      <c r="BE649" s="241"/>
      <c r="BF649" s="45">
        <f>(BF657+BF658)/(BF660+BF661)*100</f>
        <v>55.120481927710841</v>
      </c>
      <c r="BG649" s="45" t="e">
        <f>(BG657+BG658)/(BG660+BG661)*100</f>
        <v>#DIV/0!</v>
      </c>
      <c r="BI649" s="45">
        <f>(BI657+BI658)/(BI660+BI661)*100</f>
        <v>43.820224719101127</v>
      </c>
      <c r="BJ649" s="45" t="e">
        <f>(BJ657+BJ658)/(BJ660+BJ661)*100</f>
        <v>#DIV/0!</v>
      </c>
      <c r="BK649" s="241"/>
      <c r="BL649" s="45">
        <f>(BL657+BL658)/(BL660+BL661)*100</f>
        <v>62.325581395348841</v>
      </c>
      <c r="BM649" s="45" t="e">
        <f>(BM657+BM658)/(BM660+BM661)*100</f>
        <v>#DIV/0!</v>
      </c>
      <c r="BN649" s="241"/>
      <c r="BO649" s="45">
        <f>(BO657+BO658)/(BO660+BO661)*100</f>
        <v>45.774647887323944</v>
      </c>
      <c r="BP649" s="45" t="e">
        <f>(BP657+BP658)/(BP660+BP661)*100</f>
        <v>#DIV/0!</v>
      </c>
      <c r="BR649" s="45">
        <f>(BR657+BR658)/(BR660+BR661)*100</f>
        <v>67.790262172284642</v>
      </c>
      <c r="BS649" s="45" t="e">
        <f>(BS657+BS658)/(BS660+BS661)*100</f>
        <v>#DIV/0!</v>
      </c>
      <c r="BT649" s="241"/>
      <c r="BU649" s="45">
        <f>(BU657+BU658)/(BU660+BU661)*100</f>
        <v>25.203252032520325</v>
      </c>
      <c r="BV649" s="45" t="e">
        <f>(BV657+BV658)/(BV660+BV661)*100</f>
        <v>#DIV/0!</v>
      </c>
      <c r="BW649" s="241"/>
      <c r="BX649" s="45">
        <f>(BX657+BX658)/(BX660+BX661)*100</f>
        <v>34.328358208955223</v>
      </c>
      <c r="BY649" s="45" t="e">
        <f>(BY657+BY658)/(BY660+BY661)*100</f>
        <v>#DIV/0!</v>
      </c>
      <c r="CA649" s="45">
        <f>(CA657+CA658)/(CA660+CA661)*100</f>
        <v>56.796116504854368</v>
      </c>
      <c r="CB649" s="45" t="e">
        <f>(CB657+CB658)/(CB660+CB661)*100</f>
        <v>#DIV/0!</v>
      </c>
      <c r="CC649" s="241"/>
      <c r="CD649" s="45" t="e">
        <f>(CD657+CD658)/(CD660+CD661)*100</f>
        <v>#DIV/0!</v>
      </c>
      <c r="CE649" s="45" t="e">
        <f>(CE657+CE658)/(CE660+CE661)*100</f>
        <v>#DIV/0!</v>
      </c>
      <c r="CF649" s="241"/>
      <c r="CG649" s="45">
        <f>(CG657+CG658)/(CG660+CG661)*100</f>
        <v>42.083333333333336</v>
      </c>
      <c r="CH649" s="45" t="e">
        <f>(CH657+CH658)/(CH660+CH661)*100</f>
        <v>#DIV/0!</v>
      </c>
      <c r="CJ649" s="45" t="e">
        <f>(CJ657+CJ658)/(CJ660+CJ661)*100</f>
        <v>#DIV/0!</v>
      </c>
      <c r="CK649" s="45" t="e">
        <f>(CK657+CK658)/(CK660+CK661)*100</f>
        <v>#DIV/0!</v>
      </c>
      <c r="CL649" s="241"/>
      <c r="CM649" s="45" t="e">
        <f>(CM657+CM658)/(CM660+CM661)*100</f>
        <v>#DIV/0!</v>
      </c>
      <c r="CN649" s="45" t="e">
        <f>(CN657+CN658)/(CN660+CN661)*100</f>
        <v>#DIV/0!</v>
      </c>
      <c r="CO649" s="241"/>
      <c r="CP649" s="45" t="e">
        <f>(CP657+CP658)/(CP660+CP661)*100</f>
        <v>#DIV/0!</v>
      </c>
      <c r="CQ649" s="45" t="e">
        <f>(CQ657+CQ658)/(CQ660+CQ661)*100</f>
        <v>#DIV/0!</v>
      </c>
      <c r="CS649" s="45" t="e">
        <f>(CS657+CS658)/(CS660+CS661)*100</f>
        <v>#DIV/0!</v>
      </c>
      <c r="CT649" s="45" t="e">
        <f>(CT657+CT658)/(CT660+CT661)*100</f>
        <v>#DIV/0!</v>
      </c>
      <c r="CU649" s="241"/>
      <c r="CV649" s="45" t="e">
        <f>(CV657+CV658)/(CV660+CV661)*100</f>
        <v>#DIV/0!</v>
      </c>
      <c r="CW649" s="45" t="e">
        <f>(CW657+CW658)/(CW660+CW661)*100</f>
        <v>#DIV/0!</v>
      </c>
      <c r="CX649" s="241"/>
      <c r="CY649" s="45" t="e">
        <f>(CY657+CY658)/(CY660+CY661)*100</f>
        <v>#DIV/0!</v>
      </c>
      <c r="CZ649" s="45" t="e">
        <f>(CZ657+CZ658)/(CZ660+CZ661)*100</f>
        <v>#DIV/0!</v>
      </c>
      <c r="DB649" s="45" t="e">
        <f>(DB657+DB658)/(DB660+DB661)*100</f>
        <v>#DIV/0!</v>
      </c>
      <c r="DC649" s="45" t="e">
        <f>(DC657+DC658)/(DC660+DC661)*100</f>
        <v>#DIV/0!</v>
      </c>
      <c r="DD649" s="241"/>
      <c r="DE649" s="45">
        <f>(DE657+DE658)/(DE660+DE661)*100</f>
        <v>0</v>
      </c>
      <c r="DF649" s="45" t="e">
        <f>(DF657+DF658)/(DF660+DF661)*100</f>
        <v>#DIV/0!</v>
      </c>
    </row>
    <row r="650" spans="1:110" x14ac:dyDescent="0.25">
      <c r="A650" s="42"/>
      <c r="B650" s="46" t="s">
        <v>1182</v>
      </c>
      <c r="C650" s="42"/>
      <c r="D650" s="42" t="s">
        <v>8</v>
      </c>
      <c r="E650" s="45"/>
      <c r="F650" s="45"/>
      <c r="G650" s="45"/>
      <c r="H650" s="45"/>
      <c r="I650" s="45">
        <f t="shared" ref="I650:K651" si="1750">I657/I660*100</f>
        <v>64.441917424772569</v>
      </c>
      <c r="J650" s="45">
        <f t="shared" si="1750"/>
        <v>52.695465905033913</v>
      </c>
      <c r="K650" s="45">
        <f t="shared" si="1750"/>
        <v>44.300565383913913</v>
      </c>
      <c r="L650" s="45">
        <f t="shared" ref="L650" si="1751">L657/L660*100</f>
        <v>49.807017543859651</v>
      </c>
      <c r="M650" s="3"/>
      <c r="N650" s="45">
        <f t="shared" ref="N650:P651" si="1752">N657/N660*100</f>
        <v>44.300565383913913</v>
      </c>
      <c r="O650" s="45" t="e">
        <f t="shared" si="1752"/>
        <v>#DIV/0!</v>
      </c>
      <c r="P650" s="45" t="e">
        <f t="shared" ref="P650:Q650" si="1753">P657/P660*100</f>
        <v>#DIV/0!</v>
      </c>
      <c r="Q650" s="45" t="e">
        <f t="shared" si="1753"/>
        <v>#DIV/0!</v>
      </c>
      <c r="S650" s="45">
        <f t="shared" ref="S650:T651" si="1754">S657/S660*100</f>
        <v>51.013513513513509</v>
      </c>
      <c r="T650" s="45" t="e">
        <f t="shared" si="1754"/>
        <v>#DIV/0!</v>
      </c>
      <c r="V650" s="45">
        <f t="shared" ref="V650:W650" si="1755">V657/V660*100</f>
        <v>39.900249376558605</v>
      </c>
      <c r="W650" s="45" t="e">
        <f t="shared" si="1755"/>
        <v>#DIV/0!</v>
      </c>
      <c r="Y650" s="45">
        <f t="shared" ref="Y650:Z651" si="1756">Y657/Y660*100</f>
        <v>53.153153153153156</v>
      </c>
      <c r="Z650" s="45" t="e">
        <f t="shared" si="1756"/>
        <v>#DIV/0!</v>
      </c>
      <c r="AA650" s="241"/>
      <c r="AB650" s="45" t="e">
        <f t="shared" ref="AB650:AC650" si="1757">AB657/AB660*100</f>
        <v>#DIV/0!</v>
      </c>
      <c r="AC650" s="45" t="e">
        <f t="shared" si="1757"/>
        <v>#DIV/0!</v>
      </c>
      <c r="AD650" s="241"/>
      <c r="AE650" s="45" t="e">
        <f t="shared" ref="AE650:AF650" si="1758">AE657/AE660*100</f>
        <v>#DIV/0!</v>
      </c>
      <c r="AF650" s="45" t="e">
        <f t="shared" si="1758"/>
        <v>#DIV/0!</v>
      </c>
      <c r="AH650" s="45" t="e">
        <f t="shared" ref="AH650:AI650" si="1759">AH657/AH660*100</f>
        <v>#DIV/0!</v>
      </c>
      <c r="AI650" s="45" t="e">
        <f t="shared" si="1759"/>
        <v>#DIV/0!</v>
      </c>
      <c r="AJ650" s="241"/>
      <c r="AK650" s="45">
        <f t="shared" ref="AK650:AL650" si="1760">AK657/AK660*100</f>
        <v>58.04195804195804</v>
      </c>
      <c r="AL650" s="45" t="e">
        <f t="shared" si="1760"/>
        <v>#DIV/0!</v>
      </c>
      <c r="AM650" s="241"/>
      <c r="AN650" s="45" t="e">
        <f t="shared" ref="AN650:AO650" si="1761">AN657/AN660*100</f>
        <v>#DIV/0!</v>
      </c>
      <c r="AO650" s="45" t="e">
        <f t="shared" si="1761"/>
        <v>#DIV/0!</v>
      </c>
      <c r="AQ650" s="45">
        <f t="shared" ref="AQ650:AR650" si="1762">AQ657/AQ660*100</f>
        <v>47.307692307692307</v>
      </c>
      <c r="AR650" s="45" t="e">
        <f t="shared" si="1762"/>
        <v>#DIV/0!</v>
      </c>
      <c r="AS650" s="241"/>
      <c r="AT650" s="45">
        <f t="shared" ref="AT650:AU650" si="1763">AT657/AT660*100</f>
        <v>34.693877551020407</v>
      </c>
      <c r="AU650" s="45" t="e">
        <f t="shared" si="1763"/>
        <v>#DIV/0!</v>
      </c>
      <c r="AW650" s="45">
        <f t="shared" ref="AW650:AX650" si="1764">AW657/AW660*100</f>
        <v>52.531645569620252</v>
      </c>
      <c r="AX650" s="45" t="e">
        <f t="shared" si="1764"/>
        <v>#DIV/0!</v>
      </c>
      <c r="AZ650" s="45">
        <f t="shared" ref="AZ650:BA650" si="1765">AZ657/AZ660*100</f>
        <v>24.749163879598662</v>
      </c>
      <c r="BA650" s="45" t="e">
        <f t="shared" si="1765"/>
        <v>#DIV/0!</v>
      </c>
      <c r="BB650" s="241"/>
      <c r="BC650" s="45" t="e">
        <f t="shared" ref="BC650:BD650" si="1766">BC657/BC660*100</f>
        <v>#DIV/0!</v>
      </c>
      <c r="BD650" s="45" t="e">
        <f t="shared" si="1766"/>
        <v>#DIV/0!</v>
      </c>
      <c r="BE650" s="241"/>
      <c r="BF650" s="45">
        <f t="shared" ref="BF650:BG650" si="1767">BF657/BF660*100</f>
        <v>55.120481927710841</v>
      </c>
      <c r="BG650" s="45" t="e">
        <f t="shared" si="1767"/>
        <v>#DIV/0!</v>
      </c>
      <c r="BI650" s="45">
        <f t="shared" ref="BI650:BJ650" si="1768">BI657/BI660*100</f>
        <v>43.820224719101127</v>
      </c>
      <c r="BJ650" s="45" t="e">
        <f t="shared" si="1768"/>
        <v>#DIV/0!</v>
      </c>
      <c r="BK650" s="241"/>
      <c r="BL650" s="45">
        <f t="shared" ref="BL650:BM650" si="1769">BL657/BL660*100</f>
        <v>62.325581395348841</v>
      </c>
      <c r="BM650" s="45" t="e">
        <f t="shared" si="1769"/>
        <v>#DIV/0!</v>
      </c>
      <c r="BN650" s="241"/>
      <c r="BO650" s="45">
        <f t="shared" ref="BO650:BP650" si="1770">BO657/BO660*100</f>
        <v>45.774647887323944</v>
      </c>
      <c r="BP650" s="45" t="e">
        <f t="shared" si="1770"/>
        <v>#DIV/0!</v>
      </c>
      <c r="BR650" s="45">
        <f t="shared" ref="BR650:BS650" si="1771">BR657/BR660*100</f>
        <v>67.790262172284642</v>
      </c>
      <c r="BS650" s="45" t="e">
        <f t="shared" si="1771"/>
        <v>#DIV/0!</v>
      </c>
      <c r="BT650" s="241"/>
      <c r="BU650" s="45">
        <f t="shared" ref="BU650:BV650" si="1772">BU657/BU660*100</f>
        <v>25.203252032520325</v>
      </c>
      <c r="BV650" s="45" t="e">
        <f t="shared" si="1772"/>
        <v>#DIV/0!</v>
      </c>
      <c r="BW650" s="241"/>
      <c r="BX650" s="45">
        <f t="shared" ref="BX650:BY650" si="1773">BX657/BX660*100</f>
        <v>34.328358208955223</v>
      </c>
      <c r="BY650" s="45" t="e">
        <f t="shared" si="1773"/>
        <v>#DIV/0!</v>
      </c>
      <c r="CA650" s="45">
        <f t="shared" ref="CA650:CB650" si="1774">CA657/CA660*100</f>
        <v>56.796116504854368</v>
      </c>
      <c r="CB650" s="45" t="e">
        <f t="shared" si="1774"/>
        <v>#DIV/0!</v>
      </c>
      <c r="CC650" s="241"/>
      <c r="CD650" s="45" t="e">
        <f t="shared" ref="CD650:CE650" si="1775">CD657/CD660*100</f>
        <v>#DIV/0!</v>
      </c>
      <c r="CE650" s="45" t="e">
        <f t="shared" si="1775"/>
        <v>#DIV/0!</v>
      </c>
      <c r="CF650" s="241"/>
      <c r="CG650" s="45">
        <f t="shared" ref="CG650:CH650" si="1776">CG657/CG660*100</f>
        <v>42.083333333333336</v>
      </c>
      <c r="CH650" s="45" t="e">
        <f t="shared" si="1776"/>
        <v>#DIV/0!</v>
      </c>
      <c r="CJ650" s="45" t="e">
        <f t="shared" ref="CJ650:CK650" si="1777">CJ657/CJ660*100</f>
        <v>#DIV/0!</v>
      </c>
      <c r="CK650" s="45" t="e">
        <f t="shared" si="1777"/>
        <v>#DIV/0!</v>
      </c>
      <c r="CL650" s="241"/>
      <c r="CM650" s="45" t="e">
        <f t="shared" ref="CM650:CN650" si="1778">CM657/CM660*100</f>
        <v>#DIV/0!</v>
      </c>
      <c r="CN650" s="45" t="e">
        <f t="shared" si="1778"/>
        <v>#DIV/0!</v>
      </c>
      <c r="CO650" s="241"/>
      <c r="CP650" s="45" t="e">
        <f t="shared" ref="CP650:CQ650" si="1779">CP657/CP660*100</f>
        <v>#DIV/0!</v>
      </c>
      <c r="CQ650" s="45" t="e">
        <f t="shared" si="1779"/>
        <v>#DIV/0!</v>
      </c>
      <c r="CS650" s="45" t="e">
        <f t="shared" ref="CS650:CT650" si="1780">CS657/CS660*100</f>
        <v>#DIV/0!</v>
      </c>
      <c r="CT650" s="45" t="e">
        <f t="shared" si="1780"/>
        <v>#DIV/0!</v>
      </c>
      <c r="CU650" s="241"/>
      <c r="CV650" s="45" t="e">
        <f t="shared" ref="CV650:CW650" si="1781">CV657/CV660*100</f>
        <v>#DIV/0!</v>
      </c>
      <c r="CW650" s="45" t="e">
        <f t="shared" si="1781"/>
        <v>#DIV/0!</v>
      </c>
      <c r="CX650" s="241"/>
      <c r="CY650" s="45" t="e">
        <f t="shared" ref="CY650:CZ650" si="1782">CY657/CY660*100</f>
        <v>#DIV/0!</v>
      </c>
      <c r="CZ650" s="45" t="e">
        <f t="shared" si="1782"/>
        <v>#DIV/0!</v>
      </c>
      <c r="DB650" s="45" t="e">
        <f t="shared" ref="DB650:DC650" si="1783">DB657/DB660*100</f>
        <v>#DIV/0!</v>
      </c>
      <c r="DC650" s="45" t="e">
        <f t="shared" si="1783"/>
        <v>#DIV/0!</v>
      </c>
      <c r="DD650" s="241"/>
      <c r="DE650" s="45" t="e">
        <f t="shared" ref="DE650:DF650" si="1784">DE657/DE660*100</f>
        <v>#DIV/0!</v>
      </c>
      <c r="DF650" s="45" t="e">
        <f t="shared" si="1784"/>
        <v>#DIV/0!</v>
      </c>
    </row>
    <row r="651" spans="1:110" x14ac:dyDescent="0.25">
      <c r="A651" s="42"/>
      <c r="B651" s="46" t="s">
        <v>1184</v>
      </c>
      <c r="C651" s="42"/>
      <c r="D651" s="42" t="s">
        <v>8</v>
      </c>
      <c r="E651" s="45"/>
      <c r="F651" s="45"/>
      <c r="G651" s="45"/>
      <c r="H651" s="45"/>
      <c r="I651" s="45">
        <f t="shared" si="1750"/>
        <v>0</v>
      </c>
      <c r="J651" s="45">
        <f t="shared" si="1750"/>
        <v>0</v>
      </c>
      <c r="K651" s="45">
        <f t="shared" si="1750"/>
        <v>11.111111111111111</v>
      </c>
      <c r="L651" s="45">
        <f t="shared" ref="L651" si="1785">L658/L661*100</f>
        <v>19.736842105263158</v>
      </c>
      <c r="M651" s="3"/>
      <c r="N651" s="45">
        <f t="shared" ref="N651" si="1786">N658/N661*100</f>
        <v>0</v>
      </c>
      <c r="O651" s="45" t="e">
        <f t="shared" si="1752"/>
        <v>#DIV/0!</v>
      </c>
      <c r="P651" s="45" t="e">
        <f t="shared" si="1752"/>
        <v>#DIV/0!</v>
      </c>
      <c r="Q651" s="45" t="e">
        <f t="shared" ref="Q651" si="1787">Q658/Q661*100</f>
        <v>#DIV/0!</v>
      </c>
      <c r="S651" s="45" t="e">
        <f t="shared" ref="S651" si="1788">S658/S661*100</f>
        <v>#DIV/0!</v>
      </c>
      <c r="T651" s="45" t="e">
        <f t="shared" si="1754"/>
        <v>#DIV/0!</v>
      </c>
      <c r="V651" s="45" t="e">
        <f t="shared" ref="V651:W651" si="1789">V658/V661*100</f>
        <v>#DIV/0!</v>
      </c>
      <c r="W651" s="45" t="e">
        <f t="shared" si="1789"/>
        <v>#DIV/0!</v>
      </c>
      <c r="Y651" s="45" t="e">
        <f t="shared" ref="Y651" si="1790">Y658/Y661*100</f>
        <v>#DIV/0!</v>
      </c>
      <c r="Z651" s="45" t="e">
        <f t="shared" si="1756"/>
        <v>#DIV/0!</v>
      </c>
      <c r="AA651" s="241"/>
      <c r="AB651" s="45" t="e">
        <f t="shared" ref="AB651:AC651" si="1791">AB658/AB661*100</f>
        <v>#DIV/0!</v>
      </c>
      <c r="AC651" s="45" t="e">
        <f t="shared" si="1791"/>
        <v>#DIV/0!</v>
      </c>
      <c r="AD651" s="241"/>
      <c r="AE651" s="45" t="e">
        <f t="shared" ref="AE651:AF651" si="1792">AE658/AE661*100</f>
        <v>#DIV/0!</v>
      </c>
      <c r="AF651" s="45" t="e">
        <f t="shared" si="1792"/>
        <v>#DIV/0!</v>
      </c>
      <c r="AH651" s="45" t="e">
        <f t="shared" ref="AH651:AI651" si="1793">AH658/AH661*100</f>
        <v>#DIV/0!</v>
      </c>
      <c r="AI651" s="45" t="e">
        <f t="shared" si="1793"/>
        <v>#DIV/0!</v>
      </c>
      <c r="AJ651" s="241"/>
      <c r="AK651" s="45" t="e">
        <f t="shared" ref="AK651:AL651" si="1794">AK658/AK661*100</f>
        <v>#DIV/0!</v>
      </c>
      <c r="AL651" s="45" t="e">
        <f t="shared" si="1794"/>
        <v>#DIV/0!</v>
      </c>
      <c r="AM651" s="241"/>
      <c r="AN651" s="45" t="e">
        <f t="shared" ref="AN651:AO651" si="1795">AN658/AN661*100</f>
        <v>#DIV/0!</v>
      </c>
      <c r="AO651" s="45" t="e">
        <f t="shared" si="1795"/>
        <v>#DIV/0!</v>
      </c>
      <c r="AQ651" s="45" t="e">
        <f t="shared" ref="AQ651:AR651" si="1796">AQ658/AQ661*100</f>
        <v>#DIV/0!</v>
      </c>
      <c r="AR651" s="45" t="e">
        <f t="shared" si="1796"/>
        <v>#DIV/0!</v>
      </c>
      <c r="AS651" s="241"/>
      <c r="AT651" s="45" t="e">
        <f t="shared" ref="AT651:AU651" si="1797">AT658/AT661*100</f>
        <v>#DIV/0!</v>
      </c>
      <c r="AU651" s="45" t="e">
        <f t="shared" si="1797"/>
        <v>#DIV/0!</v>
      </c>
      <c r="AW651" s="45" t="e">
        <f t="shared" ref="AW651:AX651" si="1798">AW658/AW661*100</f>
        <v>#DIV/0!</v>
      </c>
      <c r="AX651" s="45" t="e">
        <f t="shared" si="1798"/>
        <v>#DIV/0!</v>
      </c>
      <c r="AZ651" s="45" t="e">
        <f t="shared" ref="AZ651:BA651" si="1799">AZ658/AZ661*100</f>
        <v>#DIV/0!</v>
      </c>
      <c r="BA651" s="45" t="e">
        <f t="shared" si="1799"/>
        <v>#DIV/0!</v>
      </c>
      <c r="BB651" s="241"/>
      <c r="BC651" s="45" t="e">
        <f t="shared" ref="BC651:BD651" si="1800">BC658/BC661*100</f>
        <v>#DIV/0!</v>
      </c>
      <c r="BD651" s="45" t="e">
        <f t="shared" si="1800"/>
        <v>#DIV/0!</v>
      </c>
      <c r="BE651" s="241"/>
      <c r="BF651" s="45" t="e">
        <f t="shared" ref="BF651:BG651" si="1801">BF658/BF661*100</f>
        <v>#DIV/0!</v>
      </c>
      <c r="BG651" s="45" t="e">
        <f t="shared" si="1801"/>
        <v>#DIV/0!</v>
      </c>
      <c r="BI651" s="45" t="e">
        <f t="shared" ref="BI651:BJ651" si="1802">BI658/BI661*100</f>
        <v>#DIV/0!</v>
      </c>
      <c r="BJ651" s="45" t="e">
        <f t="shared" si="1802"/>
        <v>#DIV/0!</v>
      </c>
      <c r="BK651" s="241"/>
      <c r="BL651" s="45" t="e">
        <f t="shared" ref="BL651:BM651" si="1803">BL658/BL661*100</f>
        <v>#DIV/0!</v>
      </c>
      <c r="BM651" s="45" t="e">
        <f t="shared" si="1803"/>
        <v>#DIV/0!</v>
      </c>
      <c r="BN651" s="241"/>
      <c r="BO651" s="45" t="e">
        <f t="shared" ref="BO651:BP651" si="1804">BO658/BO661*100</f>
        <v>#DIV/0!</v>
      </c>
      <c r="BP651" s="45" t="e">
        <f t="shared" si="1804"/>
        <v>#DIV/0!</v>
      </c>
      <c r="BR651" s="45" t="e">
        <f t="shared" ref="BR651:BS651" si="1805">BR658/BR661*100</f>
        <v>#DIV/0!</v>
      </c>
      <c r="BS651" s="45" t="e">
        <f t="shared" si="1805"/>
        <v>#DIV/0!</v>
      </c>
      <c r="BT651" s="241"/>
      <c r="BU651" s="45" t="e">
        <f t="shared" ref="BU651:BV651" si="1806">BU658/BU661*100</f>
        <v>#DIV/0!</v>
      </c>
      <c r="BV651" s="45" t="e">
        <f t="shared" si="1806"/>
        <v>#DIV/0!</v>
      </c>
      <c r="BW651" s="241"/>
      <c r="BX651" s="45" t="e">
        <f t="shared" ref="BX651:BY651" si="1807">BX658/BX661*100</f>
        <v>#DIV/0!</v>
      </c>
      <c r="BY651" s="45" t="e">
        <f t="shared" si="1807"/>
        <v>#DIV/0!</v>
      </c>
      <c r="CA651" s="45" t="e">
        <f t="shared" ref="CA651:CB651" si="1808">CA658/CA661*100</f>
        <v>#DIV/0!</v>
      </c>
      <c r="CB651" s="45" t="e">
        <f t="shared" si="1808"/>
        <v>#DIV/0!</v>
      </c>
      <c r="CC651" s="241"/>
      <c r="CD651" s="45" t="e">
        <f t="shared" ref="CD651:CE651" si="1809">CD658/CD661*100</f>
        <v>#DIV/0!</v>
      </c>
      <c r="CE651" s="45" t="e">
        <f t="shared" si="1809"/>
        <v>#DIV/0!</v>
      </c>
      <c r="CF651" s="241"/>
      <c r="CG651" s="45" t="e">
        <f t="shared" ref="CG651:CH651" si="1810">CG658/CG661*100</f>
        <v>#DIV/0!</v>
      </c>
      <c r="CH651" s="45" t="e">
        <f t="shared" si="1810"/>
        <v>#DIV/0!</v>
      </c>
      <c r="CJ651" s="45" t="e">
        <f t="shared" ref="CJ651:CK651" si="1811">CJ658/CJ661*100</f>
        <v>#DIV/0!</v>
      </c>
      <c r="CK651" s="45" t="e">
        <f t="shared" si="1811"/>
        <v>#DIV/0!</v>
      </c>
      <c r="CL651" s="241"/>
      <c r="CM651" s="45" t="e">
        <f t="shared" ref="CM651:CN651" si="1812">CM658/CM661*100</f>
        <v>#DIV/0!</v>
      </c>
      <c r="CN651" s="45" t="e">
        <f t="shared" si="1812"/>
        <v>#DIV/0!</v>
      </c>
      <c r="CO651" s="241"/>
      <c r="CP651" s="45" t="e">
        <f t="shared" ref="CP651:CQ651" si="1813">CP658/CP661*100</f>
        <v>#DIV/0!</v>
      </c>
      <c r="CQ651" s="45" t="e">
        <f t="shared" si="1813"/>
        <v>#DIV/0!</v>
      </c>
      <c r="CS651" s="45" t="e">
        <f t="shared" ref="CS651:CT651" si="1814">CS658/CS661*100</f>
        <v>#DIV/0!</v>
      </c>
      <c r="CT651" s="45" t="e">
        <f t="shared" si="1814"/>
        <v>#DIV/0!</v>
      </c>
      <c r="CU651" s="241"/>
      <c r="CV651" s="45" t="e">
        <f t="shared" ref="CV651:CW651" si="1815">CV658/CV661*100</f>
        <v>#DIV/0!</v>
      </c>
      <c r="CW651" s="45" t="e">
        <f t="shared" si="1815"/>
        <v>#DIV/0!</v>
      </c>
      <c r="CX651" s="241"/>
      <c r="CY651" s="45" t="e">
        <f t="shared" ref="CY651:CZ651" si="1816">CY658/CY661*100</f>
        <v>#DIV/0!</v>
      </c>
      <c r="CZ651" s="45" t="e">
        <f t="shared" si="1816"/>
        <v>#DIV/0!</v>
      </c>
      <c r="DB651" s="45" t="e">
        <f t="shared" ref="DB651:DC651" si="1817">DB658/DB661*100</f>
        <v>#DIV/0!</v>
      </c>
      <c r="DC651" s="45" t="e">
        <f t="shared" si="1817"/>
        <v>#DIV/0!</v>
      </c>
      <c r="DD651" s="241"/>
      <c r="DE651" s="45">
        <f t="shared" ref="DE651:DF651" si="1818">DE658/DE661*100</f>
        <v>0</v>
      </c>
      <c r="DF651" s="45" t="e">
        <f t="shared" si="1818"/>
        <v>#DIV/0!</v>
      </c>
    </row>
    <row r="652" spans="1:110" x14ac:dyDescent="0.25">
      <c r="A652" s="42"/>
      <c r="B652" s="46" t="s">
        <v>1128</v>
      </c>
      <c r="C652" s="42"/>
      <c r="D652" s="42"/>
      <c r="E652" s="45"/>
      <c r="F652" s="45"/>
      <c r="G652" s="45"/>
      <c r="H652" s="45"/>
      <c r="I652" s="45">
        <f>(I664+I665)/(I667+I668)*100</f>
        <v>58.704259148170365</v>
      </c>
      <c r="J652" s="45">
        <f>(J664+J665)/(J667+J668)*100</f>
        <v>54.662469788095102</v>
      </c>
      <c r="K652" s="45">
        <f>(K664+K665)/(K667+K668)*100</f>
        <v>50.298109136335242</v>
      </c>
      <c r="L652" s="45">
        <f>(L664+L665)/(L667+L668)*100</f>
        <v>46.492434662998619</v>
      </c>
      <c r="M652" s="3"/>
      <c r="N652" s="45">
        <f>(N664+N665)/(N667+N668)*100</f>
        <v>39.855771960706377</v>
      </c>
      <c r="O652" s="45" t="e">
        <f>(O664+O665)/(O667+O668)*100</f>
        <v>#DIV/0!</v>
      </c>
      <c r="P652" s="45">
        <f>(P664+P665)/(P667+P668)*100</f>
        <v>41.221374045801525</v>
      </c>
      <c r="Q652" s="45" t="e">
        <f>(Q664+Q665)/(Q667+Q668)*100</f>
        <v>#DIV/0!</v>
      </c>
      <c r="S652" s="45">
        <f>(S664+S665)/(S667+S668)*100</f>
        <v>55.893536121673002</v>
      </c>
      <c r="T652" s="45" t="e">
        <f>(T664+T665)/(T667+T668)*100</f>
        <v>#DIV/0!</v>
      </c>
      <c r="V652" s="45">
        <f>(V664+V665)/(V667+V668)*100</f>
        <v>84.337349397590373</v>
      </c>
      <c r="W652" s="45" t="e">
        <f>(W664+W665)/(W667+W668)*100</f>
        <v>#DIV/0!</v>
      </c>
      <c r="Y652" s="45">
        <f>(Y664+Y665)/(Y667+Y668)*100</f>
        <v>55.547112462006076</v>
      </c>
      <c r="Z652" s="45" t="e">
        <f>(Z664+Z665)/(Z667+Z668)*100</f>
        <v>#DIV/0!</v>
      </c>
      <c r="AA652" s="241"/>
      <c r="AB652" s="45">
        <f>(AB664+AB665)/(AB667+AB668)*100</f>
        <v>52.147239263803677</v>
      </c>
      <c r="AC652" s="45" t="e">
        <f>(AC664+AC665)/(AC667+AC668)*100</f>
        <v>#DIV/0!</v>
      </c>
      <c r="AD652" s="241"/>
      <c r="AE652" s="45">
        <f>(AE664+AE665)/(AE667+AE668)*100</f>
        <v>91.878172588832484</v>
      </c>
      <c r="AF652" s="45" t="e">
        <f>(AF664+AF665)/(AF667+AF668)*100</f>
        <v>#DIV/0!</v>
      </c>
      <c r="AH652" s="45">
        <f>(AH664+AH665)/(AH667+AH668)*100</f>
        <v>72.560975609756099</v>
      </c>
      <c r="AI652" s="45" t="e">
        <f>(AI664+AI665)/(AI667+AI668)*100</f>
        <v>#DIV/0!</v>
      </c>
      <c r="AJ652" s="241"/>
      <c r="AK652" s="45">
        <f>(AK664+AK665)/(AK667+AK668)*100</f>
        <v>67.829457364341081</v>
      </c>
      <c r="AL652" s="45" t="e">
        <f>(AL664+AL665)/(AL667+AL668)*100</f>
        <v>#DIV/0!</v>
      </c>
      <c r="AM652" s="241"/>
      <c r="AN652" s="45">
        <f>(AN664+AN665)/(AN667+AN668)*100</f>
        <v>65.06550218340611</v>
      </c>
      <c r="AO652" s="45" t="e">
        <f>(AO664+AO665)/(AO667+AO668)*100</f>
        <v>#DIV/0!</v>
      </c>
      <c r="AQ652" s="45">
        <f>(AQ664+AQ665)/(AQ667+AQ668)*100</f>
        <v>58.575197889182064</v>
      </c>
      <c r="AR652" s="45" t="e">
        <f>(AR664+AR665)/(AR667+AR668)*100</f>
        <v>#DIV/0!</v>
      </c>
      <c r="AS652" s="241"/>
      <c r="AT652" s="45">
        <f>(AT664+AT665)/(AT667+AT668)*100</f>
        <v>59.090909090909093</v>
      </c>
      <c r="AU652" s="45" t="e">
        <f>(AU664+AU665)/(AU667+AU668)*100</f>
        <v>#DIV/0!</v>
      </c>
      <c r="AW652" s="45">
        <f>(AW664+AW665)/(AW667+AW668)*100</f>
        <v>63</v>
      </c>
      <c r="AX652" s="45" t="e">
        <f>(AX664+AX665)/(AX667+AX668)*100</f>
        <v>#DIV/0!</v>
      </c>
      <c r="AZ652" s="45">
        <f>(AZ664+AZ665)/(AZ667+AZ668)*100</f>
        <v>41.414141414141412</v>
      </c>
      <c r="BA652" s="45" t="e">
        <f>(BA664+BA665)/(BA667+BA668)*100</f>
        <v>#DIV/0!</v>
      </c>
      <c r="BB652" s="241"/>
      <c r="BC652" s="45">
        <f>(BC664+BC665)/(BC667+BC668)*100</f>
        <v>77.979981801637848</v>
      </c>
      <c r="BD652" s="45" t="e">
        <f>(BD664+BD665)/(BD667+BD668)*100</f>
        <v>#DIV/0!</v>
      </c>
      <c r="BE652" s="241"/>
      <c r="BF652" s="45">
        <f>(BF664+BF665)/(BF667+BF668)*100</f>
        <v>62.657091561938962</v>
      </c>
      <c r="BG652" s="45" t="e">
        <f>(BG664+BG665)/(BG667+BG668)*100</f>
        <v>#DIV/0!</v>
      </c>
      <c r="BI652" s="45">
        <f>(BI664+BI665)/(BI667+BI668)*100</f>
        <v>57.83898305084746</v>
      </c>
      <c r="BJ652" s="45" t="e">
        <f>(BJ664+BJ665)/(BJ667+BJ668)*100</f>
        <v>#DIV/0!</v>
      </c>
      <c r="BK652" s="241"/>
      <c r="BL652" s="45">
        <f>(BL664+BL665)/(BL667+BL668)*100</f>
        <v>69.041095890410958</v>
      </c>
      <c r="BM652" s="45" t="e">
        <f>(BM664+BM665)/(BM667+BM668)*100</f>
        <v>#DIV/0!</v>
      </c>
      <c r="BN652" s="241"/>
      <c r="BO652" s="45">
        <f>(BO664+BO665)/(BO667+BO668)*100</f>
        <v>48.4375</v>
      </c>
      <c r="BP652" s="45" t="e">
        <f>(BP664+BP665)/(BP667+BP668)*100</f>
        <v>#DIV/0!</v>
      </c>
      <c r="BR652" s="45">
        <f>(BR664+BR665)/(BR667+BR668)*100</f>
        <v>48.734177215189874</v>
      </c>
      <c r="BS652" s="45" t="e">
        <f>(BS664+BS665)/(BS667+BS668)*100</f>
        <v>#DIV/0!</v>
      </c>
      <c r="BT652" s="241"/>
      <c r="BU652" s="45">
        <f>(BU664+BU665)/(BU667+BU668)*100</f>
        <v>66.956521739130437</v>
      </c>
      <c r="BV652" s="45" t="e">
        <f>(BV664+BV665)/(BV667+BV668)*100</f>
        <v>#DIV/0!</v>
      </c>
      <c r="BW652" s="241"/>
      <c r="BX652" s="45">
        <f>(BX664+BX665)/(BX667+BX668)*100</f>
        <v>60.648148148148152</v>
      </c>
      <c r="BY652" s="45" t="e">
        <f>(BY664+BY665)/(BY667+BY668)*100</f>
        <v>#DIV/0!</v>
      </c>
      <c r="CA652" s="45">
        <f>(CA664+CA665)/(CA667+CA668)*100</f>
        <v>67.741935483870961</v>
      </c>
      <c r="CB652" s="45" t="e">
        <f>(CB664+CB665)/(CB667+CB668)*100</f>
        <v>#DIV/0!</v>
      </c>
      <c r="CC652" s="241"/>
      <c r="CD652" s="45">
        <f>(CD664+CD665)/(CD667+CD668)*100</f>
        <v>60.899653979238757</v>
      </c>
      <c r="CE652" s="45" t="e">
        <f>(CE664+CE665)/(CE667+CE668)*100</f>
        <v>#DIV/0!</v>
      </c>
      <c r="CF652" s="241"/>
      <c r="CG652" s="45">
        <f>(CG664+CG665)/(CG667+CG668)*100</f>
        <v>102.0997375328084</v>
      </c>
      <c r="CH652" s="45" t="e">
        <f>(CH664+CH665)/(CH667+CH668)*100</f>
        <v>#DIV/0!</v>
      </c>
      <c r="CJ652" s="45">
        <f>(CJ664+CJ665)/(CJ667+CJ668)*100</f>
        <v>61.280487804878049</v>
      </c>
      <c r="CK652" s="45" t="e">
        <f>(CK664+CK665)/(CK667+CK668)*100</f>
        <v>#DIV/0!</v>
      </c>
      <c r="CL652" s="241"/>
      <c r="CM652" s="45" t="e">
        <f>(CM664+CM665)/(CM667+CM668)*100</f>
        <v>#DIV/0!</v>
      </c>
      <c r="CN652" s="45" t="e">
        <f>(CN664+CN665)/(CN667+CN668)*100</f>
        <v>#DIV/0!</v>
      </c>
      <c r="CO652" s="241"/>
      <c r="CP652" s="45" t="e">
        <f>(CP664+CP665)/(CP667+CP668)*100</f>
        <v>#DIV/0!</v>
      </c>
      <c r="CQ652" s="45" t="e">
        <f>(CQ664+CQ665)/(CQ667+CQ668)*100</f>
        <v>#DIV/0!</v>
      </c>
      <c r="CS652" s="45">
        <f>(CS664+CS665)/(CS667+CS668)*100</f>
        <v>0</v>
      </c>
      <c r="CT652" s="45" t="e">
        <f>(CT664+CT665)/(CT667+CT668)*100</f>
        <v>#DIV/0!</v>
      </c>
      <c r="CU652" s="241"/>
      <c r="CV652" s="45">
        <f>(CV664+CV665)/(CV667+CV668)*100</f>
        <v>0</v>
      </c>
      <c r="CW652" s="45" t="e">
        <f>(CW664+CW665)/(CW667+CW668)*100</f>
        <v>#DIV/0!</v>
      </c>
      <c r="CX652" s="241"/>
      <c r="CY652" s="45">
        <f>(CY664+CY665)/(CY667+CY668)*100</f>
        <v>0</v>
      </c>
      <c r="CZ652" s="45" t="e">
        <f>(CZ664+CZ665)/(CZ667+CZ668)*100</f>
        <v>#DIV/0!</v>
      </c>
      <c r="DB652" s="45">
        <f>(DB664+DB665)/(DB667+DB668)*100</f>
        <v>0</v>
      </c>
      <c r="DC652" s="45" t="e">
        <f>(DC664+DC665)/(DC667+DC668)*100</f>
        <v>#DIV/0!</v>
      </c>
      <c r="DD652" s="241"/>
      <c r="DE652" s="45">
        <f>(DE664+DE665)/(DE667+DE668)*100</f>
        <v>0</v>
      </c>
      <c r="DF652" s="45" t="e">
        <f>(DF664+DF665)/(DF667+DF668)*100</f>
        <v>#DIV/0!</v>
      </c>
    </row>
    <row r="653" spans="1:110" x14ac:dyDescent="0.25">
      <c r="A653" s="42"/>
      <c r="B653" s="46" t="s">
        <v>1182</v>
      </c>
      <c r="C653" s="42"/>
      <c r="D653" s="42" t="s">
        <v>8</v>
      </c>
      <c r="E653" s="45">
        <v>51.55</v>
      </c>
      <c r="F653" s="45">
        <v>53.15</v>
      </c>
      <c r="G653" s="45">
        <v>56.82</v>
      </c>
      <c r="H653" s="45">
        <v>51.64</v>
      </c>
      <c r="I653" s="45">
        <f t="shared" ref="I653:K654" si="1819">I664/I667*100</f>
        <v>61.036611987775217</v>
      </c>
      <c r="J653" s="45">
        <f t="shared" si="1819"/>
        <v>57.656963301120534</v>
      </c>
      <c r="K653" s="45">
        <f t="shared" si="1819"/>
        <v>54.289602276241723</v>
      </c>
      <c r="L653" s="45">
        <f t="shared" ref="L653" si="1820">L664/L667*100</f>
        <v>51.130315343673097</v>
      </c>
      <c r="M653" s="3"/>
      <c r="N653" s="45">
        <f t="shared" ref="N653:P654" si="1821">N664/N667*100</f>
        <v>43.415599678357147</v>
      </c>
      <c r="O653" s="45" t="e">
        <f t="shared" si="1821"/>
        <v>#DIV/0!</v>
      </c>
      <c r="P653" s="45">
        <f t="shared" ref="P653:Q653" si="1822">P664/P667*100</f>
        <v>41.221374045801525</v>
      </c>
      <c r="Q653" s="45" t="e">
        <f t="shared" si="1822"/>
        <v>#DIV/0!</v>
      </c>
      <c r="S653" s="45">
        <f t="shared" ref="S653:T654" si="1823">S664/S667*100</f>
        <v>55.893536121673002</v>
      </c>
      <c r="T653" s="45" t="e">
        <f t="shared" si="1823"/>
        <v>#DIV/0!</v>
      </c>
      <c r="V653" s="45">
        <f t="shared" ref="V653:W653" si="1824">V664/V667*100</f>
        <v>84.337349397590373</v>
      </c>
      <c r="W653" s="45" t="e">
        <f t="shared" si="1824"/>
        <v>#DIV/0!</v>
      </c>
      <c r="Y653" s="45">
        <f t="shared" ref="Y653:Z654" si="1825">Y664/Y667*100</f>
        <v>55.547112462006076</v>
      </c>
      <c r="Z653" s="45" t="e">
        <f t="shared" si="1825"/>
        <v>#DIV/0!</v>
      </c>
      <c r="AA653" s="241"/>
      <c r="AB653" s="45">
        <f t="shared" ref="AB653:AC653" si="1826">AB664/AB667*100</f>
        <v>52.147239263803677</v>
      </c>
      <c r="AC653" s="45" t="e">
        <f t="shared" si="1826"/>
        <v>#DIV/0!</v>
      </c>
      <c r="AD653" s="241"/>
      <c r="AE653" s="45">
        <f t="shared" ref="AE653:AF653" si="1827">AE664/AE667*100</f>
        <v>91.878172588832484</v>
      </c>
      <c r="AF653" s="45" t="e">
        <f t="shared" si="1827"/>
        <v>#DIV/0!</v>
      </c>
      <c r="AH653" s="45">
        <f t="shared" ref="AH653:AI653" si="1828">AH664/AH667*100</f>
        <v>72.560975609756099</v>
      </c>
      <c r="AI653" s="45" t="e">
        <f t="shared" si="1828"/>
        <v>#DIV/0!</v>
      </c>
      <c r="AJ653" s="241"/>
      <c r="AK653" s="45">
        <f t="shared" ref="AK653:AL653" si="1829">AK664/AK667*100</f>
        <v>67.829457364341081</v>
      </c>
      <c r="AL653" s="45" t="e">
        <f t="shared" si="1829"/>
        <v>#DIV/0!</v>
      </c>
      <c r="AM653" s="241"/>
      <c r="AN653" s="45">
        <f t="shared" ref="AN653:AO653" si="1830">AN664/AN667*100</f>
        <v>65.06550218340611</v>
      </c>
      <c r="AO653" s="45" t="e">
        <f t="shared" si="1830"/>
        <v>#DIV/0!</v>
      </c>
      <c r="AQ653" s="45">
        <f t="shared" ref="AQ653:AR653" si="1831">AQ664/AQ667*100</f>
        <v>58.575197889182064</v>
      </c>
      <c r="AR653" s="45" t="e">
        <f t="shared" si="1831"/>
        <v>#DIV/0!</v>
      </c>
      <c r="AS653" s="241"/>
      <c r="AT653" s="45">
        <f t="shared" ref="AT653:AU653" si="1832">AT664/AT667*100</f>
        <v>59.090909090909093</v>
      </c>
      <c r="AU653" s="45" t="e">
        <f t="shared" si="1832"/>
        <v>#DIV/0!</v>
      </c>
      <c r="AW653" s="45">
        <f t="shared" ref="AW653:AX653" si="1833">AW664/AW667*100</f>
        <v>63</v>
      </c>
      <c r="AX653" s="45" t="e">
        <f t="shared" si="1833"/>
        <v>#DIV/0!</v>
      </c>
      <c r="AZ653" s="45">
        <f t="shared" ref="AZ653:BA653" si="1834">AZ664/AZ667*100</f>
        <v>41.414141414141412</v>
      </c>
      <c r="BA653" s="45" t="e">
        <f t="shared" si="1834"/>
        <v>#DIV/0!</v>
      </c>
      <c r="BB653" s="241"/>
      <c r="BC653" s="45">
        <f t="shared" ref="BC653:BD653" si="1835">BC664/BC667*100</f>
        <v>77.979981801637848</v>
      </c>
      <c r="BD653" s="45" t="e">
        <f t="shared" si="1835"/>
        <v>#DIV/0!</v>
      </c>
      <c r="BE653" s="241"/>
      <c r="BF653" s="45">
        <f t="shared" ref="BF653:BG653" si="1836">BF664/BF667*100</f>
        <v>62.657091561938962</v>
      </c>
      <c r="BG653" s="45" t="e">
        <f t="shared" si="1836"/>
        <v>#DIV/0!</v>
      </c>
      <c r="BI653" s="45">
        <f t="shared" ref="BI653:BJ653" si="1837">BI664/BI667*100</f>
        <v>57.83898305084746</v>
      </c>
      <c r="BJ653" s="45" t="e">
        <f t="shared" si="1837"/>
        <v>#DIV/0!</v>
      </c>
      <c r="BK653" s="241"/>
      <c r="BL653" s="45">
        <f t="shared" ref="BL653:BM653" si="1838">BL664/BL667*100</f>
        <v>69.041095890410958</v>
      </c>
      <c r="BM653" s="45" t="e">
        <f t="shared" si="1838"/>
        <v>#DIV/0!</v>
      </c>
      <c r="BN653" s="241"/>
      <c r="BO653" s="45">
        <f t="shared" ref="BO653:BP653" si="1839">BO664/BO667*100</f>
        <v>48.4375</v>
      </c>
      <c r="BP653" s="45" t="e">
        <f t="shared" si="1839"/>
        <v>#DIV/0!</v>
      </c>
      <c r="BR653" s="45">
        <f t="shared" ref="BR653:BS653" si="1840">BR664/BR667*100</f>
        <v>48.734177215189874</v>
      </c>
      <c r="BS653" s="45" t="e">
        <f t="shared" si="1840"/>
        <v>#DIV/0!</v>
      </c>
      <c r="BT653" s="241"/>
      <c r="BU653" s="45">
        <f t="shared" ref="BU653:BV653" si="1841">BU664/BU667*100</f>
        <v>66.956521739130437</v>
      </c>
      <c r="BV653" s="45" t="e">
        <f t="shared" si="1841"/>
        <v>#DIV/0!</v>
      </c>
      <c r="BW653" s="241"/>
      <c r="BX653" s="45">
        <f t="shared" ref="BX653:BY653" si="1842">BX664/BX667*100</f>
        <v>60.648148148148152</v>
      </c>
      <c r="BY653" s="45" t="e">
        <f t="shared" si="1842"/>
        <v>#DIV/0!</v>
      </c>
      <c r="CA653" s="45">
        <f t="shared" ref="CA653:CB653" si="1843">CA664/CA667*100</f>
        <v>67.741935483870961</v>
      </c>
      <c r="CB653" s="45" t="e">
        <f t="shared" si="1843"/>
        <v>#DIV/0!</v>
      </c>
      <c r="CC653" s="241"/>
      <c r="CD653" s="45">
        <f t="shared" ref="CD653:CE653" si="1844">CD664/CD667*100</f>
        <v>60.899653979238757</v>
      </c>
      <c r="CE653" s="45" t="e">
        <f t="shared" si="1844"/>
        <v>#DIV/0!</v>
      </c>
      <c r="CF653" s="241"/>
      <c r="CG653" s="45">
        <f t="shared" ref="CG653:CH653" si="1845">CG664/CG667*100</f>
        <v>102.0997375328084</v>
      </c>
      <c r="CH653" s="45" t="e">
        <f t="shared" si="1845"/>
        <v>#DIV/0!</v>
      </c>
      <c r="CJ653" s="45">
        <f t="shared" ref="CJ653:CK653" si="1846">CJ664/CJ667*100</f>
        <v>61.280487804878049</v>
      </c>
      <c r="CK653" s="45" t="e">
        <f t="shared" si="1846"/>
        <v>#DIV/0!</v>
      </c>
      <c r="CL653" s="241"/>
      <c r="CM653" s="45" t="e">
        <f t="shared" ref="CM653:CN653" si="1847">CM664/CM667*100</f>
        <v>#DIV/0!</v>
      </c>
      <c r="CN653" s="45" t="e">
        <f t="shared" si="1847"/>
        <v>#DIV/0!</v>
      </c>
      <c r="CO653" s="241"/>
      <c r="CP653" s="45" t="e">
        <f t="shared" ref="CP653:CQ653" si="1848">CP664/CP667*100</f>
        <v>#DIV/0!</v>
      </c>
      <c r="CQ653" s="45" t="e">
        <f t="shared" si="1848"/>
        <v>#DIV/0!</v>
      </c>
      <c r="CS653" s="45">
        <f t="shared" ref="CS653:CT653" si="1849">CS664/CS667*100</f>
        <v>0</v>
      </c>
      <c r="CT653" s="45" t="e">
        <f t="shared" si="1849"/>
        <v>#DIV/0!</v>
      </c>
      <c r="CU653" s="241"/>
      <c r="CV653" s="45">
        <f t="shared" ref="CV653:CW653" si="1850">CV664/CV667*100</f>
        <v>0</v>
      </c>
      <c r="CW653" s="45" t="e">
        <f t="shared" si="1850"/>
        <v>#DIV/0!</v>
      </c>
      <c r="CX653" s="241"/>
      <c r="CY653" s="45">
        <f t="shared" ref="CY653:CZ653" si="1851">CY664/CY667*100</f>
        <v>0</v>
      </c>
      <c r="CZ653" s="45" t="e">
        <f t="shared" si="1851"/>
        <v>#DIV/0!</v>
      </c>
      <c r="DB653" s="45">
        <f t="shared" ref="DB653:DC653" si="1852">DB664/DB667*100</f>
        <v>0</v>
      </c>
      <c r="DC653" s="45" t="e">
        <f t="shared" si="1852"/>
        <v>#DIV/0!</v>
      </c>
      <c r="DD653" s="241"/>
      <c r="DE653" s="45" t="e">
        <f t="shared" ref="DE653:DF653" si="1853">DE664/DE667*100</f>
        <v>#DIV/0!</v>
      </c>
      <c r="DF653" s="45" t="e">
        <f t="shared" si="1853"/>
        <v>#DIV/0!</v>
      </c>
    </row>
    <row r="654" spans="1:110" x14ac:dyDescent="0.25">
      <c r="A654" s="42"/>
      <c r="B654" s="46" t="s">
        <v>1184</v>
      </c>
      <c r="C654" s="42"/>
      <c r="D654" s="42" t="s">
        <v>8</v>
      </c>
      <c r="E654" s="45">
        <v>0</v>
      </c>
      <c r="F654" s="45">
        <v>0</v>
      </c>
      <c r="G654" s="45">
        <v>0</v>
      </c>
      <c r="H654" s="45">
        <v>0</v>
      </c>
      <c r="I654" s="45">
        <f t="shared" si="1819"/>
        <v>0</v>
      </c>
      <c r="J654" s="45">
        <f t="shared" si="1819"/>
        <v>0</v>
      </c>
      <c r="K654" s="45">
        <f t="shared" si="1819"/>
        <v>5.609418282548476</v>
      </c>
      <c r="L654" s="45">
        <f t="shared" ref="L654" si="1854">L665/L668*100</f>
        <v>8.9053803339517614</v>
      </c>
      <c r="M654" s="3"/>
      <c r="N654" s="45">
        <f t="shared" ref="N654" si="1855">N665/N668*100</f>
        <v>0</v>
      </c>
      <c r="O654" s="45" t="e">
        <f t="shared" si="1821"/>
        <v>#DIV/0!</v>
      </c>
      <c r="P654" s="45" t="e">
        <f t="shared" si="1821"/>
        <v>#DIV/0!</v>
      </c>
      <c r="Q654" s="45" t="e">
        <f t="shared" ref="Q654" si="1856">Q665/Q668*100</f>
        <v>#DIV/0!</v>
      </c>
      <c r="S654" s="45" t="e">
        <f t="shared" ref="S654" si="1857">S665/S668*100</f>
        <v>#DIV/0!</v>
      </c>
      <c r="T654" s="45" t="e">
        <f t="shared" si="1823"/>
        <v>#DIV/0!</v>
      </c>
      <c r="V654" s="45" t="e">
        <f t="shared" ref="V654:W654" si="1858">V665/V668*100</f>
        <v>#DIV/0!</v>
      </c>
      <c r="W654" s="45" t="e">
        <f t="shared" si="1858"/>
        <v>#DIV/0!</v>
      </c>
      <c r="Y654" s="45" t="e">
        <f t="shared" ref="Y654" si="1859">Y665/Y668*100</f>
        <v>#DIV/0!</v>
      </c>
      <c r="Z654" s="45" t="e">
        <f t="shared" si="1825"/>
        <v>#DIV/0!</v>
      </c>
      <c r="AA654" s="241"/>
      <c r="AB654" s="45" t="e">
        <f t="shared" ref="AB654:AC654" si="1860">AB665/AB668*100</f>
        <v>#DIV/0!</v>
      </c>
      <c r="AC654" s="45" t="e">
        <f t="shared" si="1860"/>
        <v>#DIV/0!</v>
      </c>
      <c r="AD654" s="241"/>
      <c r="AE654" s="45" t="e">
        <f t="shared" ref="AE654:AF654" si="1861">AE665/AE668*100</f>
        <v>#DIV/0!</v>
      </c>
      <c r="AF654" s="45" t="e">
        <f t="shared" si="1861"/>
        <v>#DIV/0!</v>
      </c>
      <c r="AH654" s="45" t="e">
        <f t="shared" ref="AH654:AI654" si="1862">AH665/AH668*100</f>
        <v>#DIV/0!</v>
      </c>
      <c r="AI654" s="45" t="e">
        <f t="shared" si="1862"/>
        <v>#DIV/0!</v>
      </c>
      <c r="AJ654" s="241"/>
      <c r="AK654" s="45" t="e">
        <f t="shared" ref="AK654:AL654" si="1863">AK665/AK668*100</f>
        <v>#DIV/0!</v>
      </c>
      <c r="AL654" s="45" t="e">
        <f t="shared" si="1863"/>
        <v>#DIV/0!</v>
      </c>
      <c r="AM654" s="241"/>
      <c r="AN654" s="45" t="e">
        <f t="shared" ref="AN654:AO654" si="1864">AN665/AN668*100</f>
        <v>#DIV/0!</v>
      </c>
      <c r="AO654" s="45" t="e">
        <f t="shared" si="1864"/>
        <v>#DIV/0!</v>
      </c>
      <c r="AQ654" s="45" t="e">
        <f t="shared" ref="AQ654:AR654" si="1865">AQ665/AQ668*100</f>
        <v>#DIV/0!</v>
      </c>
      <c r="AR654" s="45" t="e">
        <f t="shared" si="1865"/>
        <v>#DIV/0!</v>
      </c>
      <c r="AS654" s="241"/>
      <c r="AT654" s="45" t="e">
        <f t="shared" ref="AT654:AU654" si="1866">AT665/AT668*100</f>
        <v>#DIV/0!</v>
      </c>
      <c r="AU654" s="45" t="e">
        <f t="shared" si="1866"/>
        <v>#DIV/0!</v>
      </c>
      <c r="AW654" s="45" t="e">
        <f t="shared" ref="AW654:AX654" si="1867">AW665/AW668*100</f>
        <v>#DIV/0!</v>
      </c>
      <c r="AX654" s="45" t="e">
        <f t="shared" si="1867"/>
        <v>#DIV/0!</v>
      </c>
      <c r="AZ654" s="45" t="e">
        <f t="shared" ref="AZ654:BA654" si="1868">AZ665/AZ668*100</f>
        <v>#DIV/0!</v>
      </c>
      <c r="BA654" s="45" t="e">
        <f t="shared" si="1868"/>
        <v>#DIV/0!</v>
      </c>
      <c r="BB654" s="241"/>
      <c r="BC654" s="45" t="e">
        <f t="shared" ref="BC654:BD654" si="1869">BC665/BC668*100</f>
        <v>#DIV/0!</v>
      </c>
      <c r="BD654" s="45" t="e">
        <f t="shared" si="1869"/>
        <v>#DIV/0!</v>
      </c>
      <c r="BE654" s="241"/>
      <c r="BF654" s="45" t="e">
        <f t="shared" ref="BF654:BG654" si="1870">BF665/BF668*100</f>
        <v>#DIV/0!</v>
      </c>
      <c r="BG654" s="45" t="e">
        <f t="shared" si="1870"/>
        <v>#DIV/0!</v>
      </c>
      <c r="BI654" s="45" t="e">
        <f t="shared" ref="BI654:BJ654" si="1871">BI665/BI668*100</f>
        <v>#DIV/0!</v>
      </c>
      <c r="BJ654" s="45" t="e">
        <f t="shared" si="1871"/>
        <v>#DIV/0!</v>
      </c>
      <c r="BK654" s="241"/>
      <c r="BL654" s="45" t="e">
        <f t="shared" ref="BL654:BM654" si="1872">BL665/BL668*100</f>
        <v>#DIV/0!</v>
      </c>
      <c r="BM654" s="45" t="e">
        <f t="shared" si="1872"/>
        <v>#DIV/0!</v>
      </c>
      <c r="BN654" s="241"/>
      <c r="BO654" s="45" t="e">
        <f t="shared" ref="BO654:BP654" si="1873">BO665/BO668*100</f>
        <v>#DIV/0!</v>
      </c>
      <c r="BP654" s="45" t="e">
        <f t="shared" si="1873"/>
        <v>#DIV/0!</v>
      </c>
      <c r="BR654" s="45" t="e">
        <f t="shared" ref="BR654:BS654" si="1874">BR665/BR668*100</f>
        <v>#DIV/0!</v>
      </c>
      <c r="BS654" s="45" t="e">
        <f t="shared" si="1874"/>
        <v>#DIV/0!</v>
      </c>
      <c r="BT654" s="241"/>
      <c r="BU654" s="45" t="e">
        <f t="shared" ref="BU654:BV654" si="1875">BU665/BU668*100</f>
        <v>#DIV/0!</v>
      </c>
      <c r="BV654" s="45" t="e">
        <f t="shared" si="1875"/>
        <v>#DIV/0!</v>
      </c>
      <c r="BW654" s="241"/>
      <c r="BX654" s="45" t="e">
        <f t="shared" ref="BX654:BY654" si="1876">BX665/BX668*100</f>
        <v>#DIV/0!</v>
      </c>
      <c r="BY654" s="45" t="e">
        <f t="shared" si="1876"/>
        <v>#DIV/0!</v>
      </c>
      <c r="CA654" s="45" t="e">
        <f t="shared" ref="CA654:CB654" si="1877">CA665/CA668*100</f>
        <v>#DIV/0!</v>
      </c>
      <c r="CB654" s="45" t="e">
        <f t="shared" si="1877"/>
        <v>#DIV/0!</v>
      </c>
      <c r="CC654" s="241"/>
      <c r="CD654" s="45" t="e">
        <f t="shared" ref="CD654:CE654" si="1878">CD665/CD668*100</f>
        <v>#DIV/0!</v>
      </c>
      <c r="CE654" s="45" t="e">
        <f t="shared" si="1878"/>
        <v>#DIV/0!</v>
      </c>
      <c r="CF654" s="241"/>
      <c r="CG654" s="45" t="e">
        <f t="shared" ref="CG654:CH654" si="1879">CG665/CG668*100</f>
        <v>#DIV/0!</v>
      </c>
      <c r="CH654" s="45" t="e">
        <f t="shared" si="1879"/>
        <v>#DIV/0!</v>
      </c>
      <c r="CJ654" s="45" t="e">
        <f t="shared" ref="CJ654:CK654" si="1880">CJ665/CJ668*100</f>
        <v>#DIV/0!</v>
      </c>
      <c r="CK654" s="45" t="e">
        <f t="shared" si="1880"/>
        <v>#DIV/0!</v>
      </c>
      <c r="CL654" s="241"/>
      <c r="CM654" s="45" t="e">
        <f t="shared" ref="CM654:CN654" si="1881">CM665/CM668*100</f>
        <v>#DIV/0!</v>
      </c>
      <c r="CN654" s="45" t="e">
        <f t="shared" si="1881"/>
        <v>#DIV/0!</v>
      </c>
      <c r="CO654" s="241"/>
      <c r="CP654" s="45" t="e">
        <f t="shared" ref="CP654:CQ654" si="1882">CP665/CP668*100</f>
        <v>#DIV/0!</v>
      </c>
      <c r="CQ654" s="45" t="e">
        <f t="shared" si="1882"/>
        <v>#DIV/0!</v>
      </c>
      <c r="CS654" s="45" t="e">
        <f t="shared" ref="CS654:CT654" si="1883">CS665/CS668*100</f>
        <v>#DIV/0!</v>
      </c>
      <c r="CT654" s="45" t="e">
        <f t="shared" si="1883"/>
        <v>#DIV/0!</v>
      </c>
      <c r="CU654" s="241"/>
      <c r="CV654" s="45" t="e">
        <f t="shared" ref="CV654:CW654" si="1884">CV665/CV668*100</f>
        <v>#DIV/0!</v>
      </c>
      <c r="CW654" s="45" t="e">
        <f t="shared" si="1884"/>
        <v>#DIV/0!</v>
      </c>
      <c r="CX654" s="241"/>
      <c r="CY654" s="45" t="e">
        <f t="shared" ref="CY654:CZ654" si="1885">CY665/CY668*100</f>
        <v>#DIV/0!</v>
      </c>
      <c r="CZ654" s="45" t="e">
        <f t="shared" si="1885"/>
        <v>#DIV/0!</v>
      </c>
      <c r="DB654" s="45" t="e">
        <f t="shared" ref="DB654:DC654" si="1886">DB665/DB668*100</f>
        <v>#DIV/0!</v>
      </c>
      <c r="DC654" s="45" t="e">
        <f t="shared" si="1886"/>
        <v>#DIV/0!</v>
      </c>
      <c r="DD654" s="241"/>
      <c r="DE654" s="45">
        <f t="shared" ref="DE654:DF654" si="1887">DE665/DE668*100</f>
        <v>0</v>
      </c>
      <c r="DF654" s="45" t="e">
        <f t="shared" si="1887"/>
        <v>#DIV/0!</v>
      </c>
    </row>
    <row r="655" spans="1:110" x14ac:dyDescent="0.25">
      <c r="A655" s="8"/>
      <c r="B655" s="16" t="s">
        <v>498</v>
      </c>
      <c r="C655" s="6"/>
      <c r="D655" s="6"/>
      <c r="E655" s="12"/>
      <c r="F655" s="12"/>
      <c r="G655" s="12"/>
      <c r="H655" s="12"/>
      <c r="I655" s="12"/>
      <c r="J655" s="12"/>
      <c r="K655" s="12"/>
      <c r="L655" s="12"/>
      <c r="M655" s="3"/>
      <c r="Y655" s="241"/>
      <c r="Z655" s="241"/>
      <c r="AA655" s="241"/>
      <c r="AB655" s="241"/>
      <c r="AC655" s="241"/>
      <c r="AD655" s="241"/>
      <c r="AE655" s="241"/>
      <c r="AF655" s="241"/>
      <c r="AH655" s="241"/>
      <c r="AI655" s="241"/>
      <c r="AJ655" s="241"/>
      <c r="AK655" s="241"/>
      <c r="AL655" s="241"/>
      <c r="AM655" s="241"/>
      <c r="AN655" s="241"/>
      <c r="AO655" s="241"/>
      <c r="AQ655" s="241"/>
      <c r="AR655" s="241"/>
      <c r="AS655" s="241"/>
      <c r="AW655" s="241"/>
      <c r="AX655" s="241"/>
      <c r="AZ655" s="241"/>
      <c r="BA655" s="241"/>
      <c r="BB655" s="241"/>
      <c r="BC655" s="241"/>
      <c r="BD655" s="241"/>
      <c r="BE655" s="241"/>
      <c r="BF655" s="241"/>
      <c r="BG655" s="241"/>
      <c r="BI655" s="241"/>
      <c r="BJ655" s="241"/>
      <c r="BK655" s="241"/>
      <c r="BL655" s="241"/>
      <c r="BM655" s="241"/>
      <c r="BN655" s="241"/>
      <c r="BO655" s="241"/>
      <c r="BP655" s="241"/>
      <c r="BR655" s="241"/>
      <c r="BS655" s="241"/>
      <c r="BT655" s="241"/>
      <c r="BU655" s="241"/>
      <c r="BV655" s="241"/>
      <c r="BW655" s="241"/>
      <c r="BX655" s="241"/>
      <c r="BY655" s="241"/>
      <c r="CA655" s="241"/>
      <c r="CB655" s="241"/>
      <c r="CC655" s="241"/>
      <c r="CD655" s="241"/>
      <c r="CE655" s="241"/>
      <c r="CF655" s="241"/>
      <c r="CG655" s="241"/>
      <c r="CH655" s="241"/>
      <c r="CJ655" s="241"/>
      <c r="CK655" s="241"/>
      <c r="CL655" s="241"/>
      <c r="CM655" s="241"/>
      <c r="CN655" s="241"/>
      <c r="CO655" s="241"/>
      <c r="CP655" s="241"/>
      <c r="CQ655" s="241"/>
      <c r="CS655" s="241"/>
      <c r="CT655" s="241"/>
      <c r="CU655" s="241"/>
      <c r="CV655" s="241"/>
      <c r="CW655" s="241"/>
      <c r="CX655" s="241"/>
      <c r="CY655" s="241"/>
      <c r="CZ655" s="241"/>
      <c r="DB655" s="241"/>
      <c r="DC655" s="241"/>
      <c r="DD655" s="241"/>
      <c r="DE655" s="241"/>
      <c r="DF655" s="241"/>
    </row>
    <row r="656" spans="1:110" ht="60" x14ac:dyDescent="0.25">
      <c r="A656" s="8"/>
      <c r="B656" s="16" t="s">
        <v>2068</v>
      </c>
      <c r="C656" s="6" t="s">
        <v>2073</v>
      </c>
      <c r="D656" s="6" t="s">
        <v>950</v>
      </c>
      <c r="E656" s="12"/>
      <c r="F656" s="12"/>
      <c r="G656" s="12"/>
      <c r="H656" s="12"/>
      <c r="I656" s="12"/>
      <c r="J656" s="12"/>
      <c r="K656" s="12"/>
      <c r="L656" s="12"/>
      <c r="Y656" s="241"/>
      <c r="Z656" s="241"/>
      <c r="AA656" s="241"/>
      <c r="AB656" s="241"/>
      <c r="AC656" s="241"/>
      <c r="AD656" s="241"/>
      <c r="AE656" s="241"/>
      <c r="AF656" s="241"/>
      <c r="AH656" s="241"/>
      <c r="AI656" s="241"/>
      <c r="AJ656" s="241"/>
      <c r="AK656" s="241"/>
      <c r="AL656" s="241"/>
      <c r="AM656" s="241"/>
      <c r="AN656" s="241"/>
      <c r="AO656" s="241"/>
      <c r="AQ656" s="241"/>
      <c r="AR656" s="241"/>
      <c r="AS656" s="241"/>
      <c r="AW656" s="241"/>
      <c r="AX656" s="241"/>
      <c r="AZ656" s="241"/>
      <c r="BA656" s="241"/>
      <c r="BB656" s="241"/>
      <c r="BC656" s="241"/>
      <c r="BD656" s="241"/>
      <c r="BE656" s="241"/>
      <c r="BF656" s="241"/>
      <c r="BG656" s="241"/>
      <c r="BI656" s="241"/>
      <c r="BJ656" s="241"/>
      <c r="BK656" s="241"/>
      <c r="BL656" s="241"/>
      <c r="BM656" s="241"/>
      <c r="BN656" s="241"/>
      <c r="BO656" s="241"/>
      <c r="BP656" s="241"/>
      <c r="BR656" s="241"/>
      <c r="BS656" s="241"/>
      <c r="BT656" s="241"/>
      <c r="BU656" s="241"/>
      <c r="BV656" s="241"/>
      <c r="BW656" s="241"/>
      <c r="BX656" s="241"/>
      <c r="BY656" s="241"/>
      <c r="CA656" s="241"/>
      <c r="CB656" s="241"/>
      <c r="CC656" s="241"/>
      <c r="CD656" s="241"/>
      <c r="CE656" s="241"/>
      <c r="CF656" s="241"/>
      <c r="CG656" s="241"/>
      <c r="CH656" s="241"/>
      <c r="CJ656" s="241"/>
      <c r="CK656" s="241"/>
      <c r="CL656" s="241"/>
      <c r="CM656" s="241"/>
      <c r="CN656" s="241"/>
      <c r="CO656" s="241"/>
      <c r="CP656" s="241"/>
      <c r="CQ656" s="241"/>
      <c r="CS656" s="241"/>
      <c r="CT656" s="241"/>
      <c r="CU656" s="241"/>
      <c r="CV656" s="241"/>
      <c r="CW656" s="241"/>
      <c r="CX656" s="241"/>
      <c r="CY656" s="241"/>
      <c r="CZ656" s="241"/>
      <c r="DB656" s="241"/>
      <c r="DC656" s="241"/>
      <c r="DD656" s="241"/>
      <c r="DE656" s="241"/>
      <c r="DF656" s="241"/>
    </row>
    <row r="657" spans="1:110" x14ac:dyDescent="0.25">
      <c r="A657" s="8"/>
      <c r="B657" s="16" t="s">
        <v>1182</v>
      </c>
      <c r="C657" s="6"/>
      <c r="D657" s="6"/>
      <c r="E657" s="12"/>
      <c r="F657" s="35">
        <v>8761</v>
      </c>
      <c r="G657" s="35"/>
      <c r="H657" s="35"/>
      <c r="I657" s="35">
        <f>3257+426.5</f>
        <v>3683.5</v>
      </c>
      <c r="J657" s="35">
        <f>2587+365</f>
        <v>2952</v>
      </c>
      <c r="K657" s="35">
        <v>2429</v>
      </c>
      <c r="L657" s="35">
        <v>2839</v>
      </c>
      <c r="N657" s="241">
        <f>P657+S657+V657+Y657+AB657+AE657+AH657+AK657+AN657+AQ657+AW657+AZ657+BC657+BF657+BI657+BL657+BO657+BR657+BU657+BX657+CA657+CD657+CG657+CJ657+AT657+CM657+CP657+DE657</f>
        <v>2429</v>
      </c>
      <c r="O657" s="241">
        <f t="shared" ref="O657:O658" si="1888">Q657+T657+W657+Z657+AC657+AF657+AI657+AL657+AO657+AR657+AX657+BA657+BD657+BG657+BJ657+BM657+BP657+BS657+BV657+BY657+CB657+CE657+CH657+CK657+AU657+CN657+CQ657+DF657</f>
        <v>0</v>
      </c>
      <c r="P657">
        <v>0</v>
      </c>
      <c r="S657">
        <v>151</v>
      </c>
      <c r="V657">
        <v>160</v>
      </c>
      <c r="Y657" s="241">
        <v>649</v>
      </c>
      <c r="Z657" s="241"/>
      <c r="AA657" s="241"/>
      <c r="AB657" s="241">
        <v>0</v>
      </c>
      <c r="AC657" s="241"/>
      <c r="AD657" s="241"/>
      <c r="AE657" s="241">
        <v>0</v>
      </c>
      <c r="AF657" s="241"/>
      <c r="AH657" s="241">
        <v>0</v>
      </c>
      <c r="AI657" s="241"/>
      <c r="AJ657" s="241"/>
      <c r="AK657" s="241">
        <v>83</v>
      </c>
      <c r="AL657" s="241"/>
      <c r="AM657" s="241"/>
      <c r="AN657" s="241">
        <v>0</v>
      </c>
      <c r="AO657" s="241"/>
      <c r="AQ657" s="241">
        <v>123</v>
      </c>
      <c r="AR657" s="241"/>
      <c r="AS657" s="241"/>
      <c r="AT657" s="241">
        <v>34</v>
      </c>
      <c r="AW657" s="241">
        <v>83</v>
      </c>
      <c r="AX657" s="241"/>
      <c r="AZ657" s="241">
        <v>148</v>
      </c>
      <c r="BA657" s="241"/>
      <c r="BB657" s="241"/>
      <c r="BC657" s="241">
        <v>0</v>
      </c>
      <c r="BD657" s="241"/>
      <c r="BE657" s="241"/>
      <c r="BF657" s="241">
        <v>183</v>
      </c>
      <c r="BG657" s="241"/>
      <c r="BI657" s="241">
        <v>117</v>
      </c>
      <c r="BJ657" s="241"/>
      <c r="BK657" s="241"/>
      <c r="BL657" s="241">
        <v>134</v>
      </c>
      <c r="BM657" s="241"/>
      <c r="BN657" s="241"/>
      <c r="BO657" s="241">
        <v>65</v>
      </c>
      <c r="BP657" s="241"/>
      <c r="BR657" s="241">
        <v>181</v>
      </c>
      <c r="BS657" s="241"/>
      <c r="BT657" s="241"/>
      <c r="BU657" s="241">
        <v>31</v>
      </c>
      <c r="BV657" s="241"/>
      <c r="BW657" s="241"/>
      <c r="BX657" s="241">
        <v>69</v>
      </c>
      <c r="BY657" s="241"/>
      <c r="CA657" s="241">
        <v>117</v>
      </c>
      <c r="CB657" s="241"/>
      <c r="CC657" s="241"/>
      <c r="CD657" s="241">
        <v>0</v>
      </c>
      <c r="CE657" s="241"/>
      <c r="CF657" s="241"/>
      <c r="CG657" s="241">
        <v>101</v>
      </c>
      <c r="CH657" s="241"/>
      <c r="CJ657" s="241">
        <v>0</v>
      </c>
      <c r="CK657" s="241"/>
      <c r="CL657" s="241"/>
      <c r="CM657" s="241"/>
      <c r="CN657" s="241"/>
      <c r="CO657" s="241"/>
      <c r="CP657" s="241"/>
      <c r="CQ657" s="241"/>
      <c r="CS657" s="241"/>
      <c r="CT657" s="241"/>
      <c r="CU657" s="241"/>
      <c r="CV657" s="241"/>
      <c r="CW657" s="241"/>
      <c r="CX657" s="241"/>
      <c r="CY657" s="241"/>
      <c r="CZ657" s="241"/>
      <c r="DB657" s="241"/>
      <c r="DC657" s="241"/>
      <c r="DD657" s="241"/>
      <c r="DE657" s="241"/>
      <c r="DF657" s="241"/>
    </row>
    <row r="658" spans="1:110" x14ac:dyDescent="0.25">
      <c r="A658" s="8"/>
      <c r="B658" s="16" t="s">
        <v>1184</v>
      </c>
      <c r="C658" s="6"/>
      <c r="D658" s="6"/>
      <c r="E658" s="12"/>
      <c r="F658" s="35"/>
      <c r="G658" s="35"/>
      <c r="H658" s="35"/>
      <c r="I658" s="35">
        <v>0</v>
      </c>
      <c r="J658" s="35">
        <v>0</v>
      </c>
      <c r="K658" s="35">
        <v>10</v>
      </c>
      <c r="L658" s="35">
        <v>30</v>
      </c>
      <c r="N658" s="241">
        <f t="shared" ref="N658" si="1889">P658+S658+V658+Y658+AB658+AE658+AH658+AK658+AN658+AQ658+AW658+AZ658+BC658+BF658+BI658+BL658+BO658+BR658+BU658+BX658+CA658+CD658+CG658+CJ658+AT658+CM658+CP658+DE658</f>
        <v>0</v>
      </c>
      <c r="O658" s="241">
        <f t="shared" si="1888"/>
        <v>0</v>
      </c>
      <c r="Y658" s="241"/>
      <c r="Z658" s="241"/>
      <c r="AA658" s="241"/>
      <c r="AB658" s="241"/>
      <c r="AC658" s="241"/>
      <c r="AD658" s="241"/>
      <c r="AE658" s="241"/>
      <c r="AF658" s="241"/>
      <c r="AH658" s="241"/>
      <c r="AI658" s="241"/>
      <c r="AJ658" s="241"/>
      <c r="AK658" s="241"/>
      <c r="AL658" s="241"/>
      <c r="AM658" s="241"/>
      <c r="AN658" s="241"/>
      <c r="AO658" s="241"/>
      <c r="AQ658" s="241"/>
      <c r="AR658" s="241"/>
      <c r="AS658" s="241"/>
      <c r="AW658" s="241"/>
      <c r="AX658" s="241"/>
      <c r="AZ658" s="241"/>
      <c r="BA658" s="241"/>
      <c r="BB658" s="241"/>
      <c r="BC658" s="241"/>
      <c r="BD658" s="241"/>
      <c r="BE658" s="241"/>
      <c r="BF658" s="241"/>
      <c r="BG658" s="241"/>
      <c r="BI658" s="241"/>
      <c r="BJ658" s="241"/>
      <c r="BK658" s="241"/>
      <c r="BL658" s="241"/>
      <c r="BM658" s="241"/>
      <c r="BN658" s="241"/>
      <c r="BO658" s="241"/>
      <c r="BP658" s="241"/>
      <c r="BR658" s="241"/>
      <c r="BS658" s="241"/>
      <c r="BT658" s="241"/>
      <c r="BU658" s="241"/>
      <c r="BV658" s="241"/>
      <c r="BW658" s="241"/>
      <c r="BX658" s="241"/>
      <c r="BY658" s="241"/>
      <c r="CA658" s="241"/>
      <c r="CB658" s="241"/>
      <c r="CC658" s="241"/>
      <c r="CD658" s="241"/>
      <c r="CE658" s="241"/>
      <c r="CF658" s="241"/>
      <c r="CG658" s="241"/>
      <c r="CH658" s="241"/>
      <c r="CJ658" s="241"/>
      <c r="CK658" s="241"/>
      <c r="CL658" s="241"/>
      <c r="CM658" s="241"/>
      <c r="CN658" s="241"/>
      <c r="CO658" s="241"/>
      <c r="CP658" s="241"/>
      <c r="CQ658" s="241"/>
      <c r="CS658" s="241"/>
      <c r="CT658" s="241"/>
      <c r="CU658" s="241"/>
      <c r="CV658" s="241"/>
      <c r="CW658" s="241"/>
      <c r="CX658" s="241"/>
      <c r="CY658" s="241"/>
      <c r="CZ658" s="241"/>
      <c r="DB658" s="241"/>
      <c r="DC658" s="241"/>
      <c r="DD658" s="241"/>
      <c r="DE658" s="241"/>
      <c r="DF658" s="241"/>
    </row>
    <row r="659" spans="1:110" ht="90" x14ac:dyDescent="0.25">
      <c r="A659" s="8"/>
      <c r="B659" s="16" t="s">
        <v>2069</v>
      </c>
      <c r="C659" s="6" t="s">
        <v>2989</v>
      </c>
      <c r="D659" s="6" t="s">
        <v>950</v>
      </c>
      <c r="E659" s="12"/>
      <c r="F659" s="35"/>
      <c r="G659" s="35"/>
      <c r="H659" s="35"/>
      <c r="I659" s="35"/>
      <c r="J659" s="35"/>
      <c r="K659" s="35"/>
      <c r="L659" s="35"/>
      <c r="Y659" s="241"/>
      <c r="Z659" s="241"/>
      <c r="AA659" s="241"/>
      <c r="AB659" s="241"/>
      <c r="AC659" s="241"/>
      <c r="AD659" s="241"/>
      <c r="AE659" s="241"/>
      <c r="AF659" s="241"/>
      <c r="AH659" s="241"/>
      <c r="AI659" s="241"/>
      <c r="AJ659" s="241"/>
      <c r="AK659" s="241"/>
      <c r="AL659" s="241"/>
      <c r="AM659" s="241"/>
      <c r="AN659" s="241"/>
      <c r="AO659" s="241"/>
      <c r="AQ659" s="241"/>
      <c r="AR659" s="241"/>
      <c r="AS659" s="241"/>
      <c r="AW659" s="241"/>
      <c r="AX659" s="241"/>
      <c r="AZ659" s="241"/>
      <c r="BA659" s="241"/>
      <c r="BB659" s="241"/>
      <c r="BC659" s="241"/>
      <c r="BD659" s="241"/>
      <c r="BE659" s="241"/>
      <c r="BF659" s="241"/>
      <c r="BG659" s="241"/>
      <c r="BI659" s="241"/>
      <c r="BJ659" s="241"/>
      <c r="BK659" s="241"/>
      <c r="BL659" s="241"/>
      <c r="BM659" s="241"/>
      <c r="BN659" s="241"/>
      <c r="BO659" s="241"/>
      <c r="BP659" s="241"/>
      <c r="BR659" s="241"/>
      <c r="BS659" s="241"/>
      <c r="BT659" s="241"/>
      <c r="BU659" s="241"/>
      <c r="BV659" s="241"/>
      <c r="BW659" s="241"/>
      <c r="BX659" s="241"/>
      <c r="BY659" s="241"/>
      <c r="CA659" s="241"/>
      <c r="CB659" s="241"/>
      <c r="CC659" s="241"/>
      <c r="CD659" s="241"/>
      <c r="CE659" s="241"/>
      <c r="CF659" s="241"/>
      <c r="CG659" s="241"/>
      <c r="CH659" s="241"/>
      <c r="CJ659" s="241"/>
      <c r="CK659" s="241"/>
      <c r="CL659" s="241"/>
      <c r="CM659" s="241"/>
      <c r="CN659" s="241"/>
      <c r="CO659" s="241"/>
      <c r="CP659" s="241"/>
      <c r="CQ659" s="241"/>
      <c r="CS659" s="241"/>
      <c r="CT659" s="241"/>
      <c r="CU659" s="241"/>
      <c r="CV659" s="241"/>
      <c r="CW659" s="241"/>
      <c r="CX659" s="241"/>
      <c r="CY659" s="241"/>
      <c r="CZ659" s="241"/>
      <c r="DB659" s="241"/>
      <c r="DC659" s="241"/>
      <c r="DD659" s="241"/>
      <c r="DE659" s="241"/>
      <c r="DF659" s="241"/>
    </row>
    <row r="660" spans="1:110" x14ac:dyDescent="0.25">
      <c r="A660" s="8"/>
      <c r="B660" s="16" t="s">
        <v>1182</v>
      </c>
      <c r="C660" s="6"/>
      <c r="D660" s="6"/>
      <c r="E660" s="12"/>
      <c r="F660" s="35">
        <f t="shared" ref="F660:L661" si="1890">F117</f>
        <v>0</v>
      </c>
      <c r="G660" s="35">
        <f t="shared" si="1890"/>
        <v>0</v>
      </c>
      <c r="H660" s="35">
        <f t="shared" si="1890"/>
        <v>0</v>
      </c>
      <c r="I660" s="35">
        <f t="shared" si="1890"/>
        <v>5716</v>
      </c>
      <c r="J660" s="35">
        <f t="shared" si="1890"/>
        <v>5602</v>
      </c>
      <c r="K660" s="35">
        <f t="shared" si="1890"/>
        <v>5483</v>
      </c>
      <c r="L660" s="35">
        <f t="shared" si="1890"/>
        <v>5700</v>
      </c>
      <c r="N660" s="241">
        <f t="shared" ref="N660:O660" si="1891">N117</f>
        <v>5483</v>
      </c>
      <c r="O660" s="241">
        <f t="shared" si="1891"/>
        <v>0</v>
      </c>
      <c r="P660" s="241">
        <v>0</v>
      </c>
      <c r="Q660" s="241"/>
      <c r="S660" s="241">
        <v>296</v>
      </c>
      <c r="T660" s="241"/>
      <c r="V660" s="241">
        <v>401</v>
      </c>
      <c r="W660" s="241"/>
      <c r="Y660" s="241">
        <v>1221</v>
      </c>
      <c r="Z660" s="241"/>
      <c r="AA660" s="241"/>
      <c r="AB660" s="241">
        <v>0</v>
      </c>
      <c r="AC660" s="241"/>
      <c r="AD660" s="241"/>
      <c r="AE660" s="241">
        <v>0</v>
      </c>
      <c r="AF660" s="241"/>
      <c r="AH660" s="241">
        <v>0</v>
      </c>
      <c r="AI660" s="241"/>
      <c r="AJ660" s="241"/>
      <c r="AK660" s="241">
        <v>143</v>
      </c>
      <c r="AL660" s="241"/>
      <c r="AM660" s="241"/>
      <c r="AN660" s="241">
        <v>0</v>
      </c>
      <c r="AO660" s="241"/>
      <c r="AQ660" s="241">
        <v>260</v>
      </c>
      <c r="AR660" s="241"/>
      <c r="AS660" s="241"/>
      <c r="AT660" s="241">
        <v>98</v>
      </c>
      <c r="AW660" s="241">
        <v>158</v>
      </c>
      <c r="AX660" s="241"/>
      <c r="AZ660" s="241">
        <v>598</v>
      </c>
      <c r="BA660" s="241"/>
      <c r="BB660" s="241"/>
      <c r="BC660" s="241">
        <v>0</v>
      </c>
      <c r="BD660" s="241"/>
      <c r="BE660" s="241"/>
      <c r="BF660" s="241">
        <v>332</v>
      </c>
      <c r="BG660" s="241"/>
      <c r="BI660" s="241">
        <v>267</v>
      </c>
      <c r="BJ660" s="241"/>
      <c r="BK660" s="241"/>
      <c r="BL660" s="241">
        <v>215</v>
      </c>
      <c r="BM660" s="241"/>
      <c r="BN660" s="241"/>
      <c r="BO660" s="241">
        <v>142</v>
      </c>
      <c r="BP660" s="241"/>
      <c r="BR660" s="241">
        <v>267</v>
      </c>
      <c r="BS660" s="241"/>
      <c r="BT660" s="241"/>
      <c r="BU660" s="241">
        <v>123</v>
      </c>
      <c r="BV660" s="241"/>
      <c r="BW660" s="241"/>
      <c r="BX660" s="241">
        <v>201</v>
      </c>
      <c r="BY660" s="241"/>
      <c r="CA660" s="241">
        <v>206</v>
      </c>
      <c r="CB660" s="241"/>
      <c r="CC660" s="241"/>
      <c r="CD660" s="241">
        <v>0</v>
      </c>
      <c r="CE660" s="241"/>
      <c r="CF660" s="241"/>
      <c r="CG660" s="241">
        <v>240</v>
      </c>
      <c r="CH660" s="241"/>
      <c r="CJ660" s="241">
        <v>0</v>
      </c>
      <c r="CK660" s="241"/>
      <c r="CL660" s="241"/>
      <c r="CM660" s="241">
        <f t="shared" ref="CM660:CN660" si="1892">CM117</f>
        <v>0</v>
      </c>
      <c r="CN660" s="241">
        <f t="shared" si="1892"/>
        <v>0</v>
      </c>
      <c r="CO660" s="241"/>
      <c r="CP660" s="241">
        <f t="shared" ref="CP660:CQ660" si="1893">CP117</f>
        <v>0</v>
      </c>
      <c r="CQ660" s="241">
        <f t="shared" si="1893"/>
        <v>0</v>
      </c>
      <c r="CS660" s="241">
        <f t="shared" ref="CS660:CT660" si="1894">CS117</f>
        <v>0</v>
      </c>
      <c r="CT660" s="241">
        <f t="shared" si="1894"/>
        <v>0</v>
      </c>
      <c r="CU660" s="241"/>
      <c r="CV660" s="241">
        <f t="shared" ref="CV660:CW660" si="1895">CV117</f>
        <v>0</v>
      </c>
      <c r="CW660" s="241">
        <f t="shared" si="1895"/>
        <v>0</v>
      </c>
      <c r="CX660" s="241"/>
      <c r="CY660" s="241">
        <f t="shared" ref="CY660:CZ660" si="1896">CY117</f>
        <v>0</v>
      </c>
      <c r="CZ660" s="241">
        <f t="shared" si="1896"/>
        <v>0</v>
      </c>
      <c r="DB660" s="241">
        <f t="shared" ref="DB660:DC660" si="1897">DB117</f>
        <v>0</v>
      </c>
      <c r="DC660" s="241">
        <f t="shared" si="1897"/>
        <v>0</v>
      </c>
      <c r="DD660" s="241"/>
      <c r="DE660" s="241">
        <f t="shared" ref="DE660:DF660" si="1898">DE117</f>
        <v>0</v>
      </c>
      <c r="DF660" s="241">
        <f t="shared" si="1898"/>
        <v>0</v>
      </c>
    </row>
    <row r="661" spans="1:110" x14ac:dyDescent="0.25">
      <c r="A661" s="8"/>
      <c r="B661" s="16" t="s">
        <v>1184</v>
      </c>
      <c r="C661" s="6"/>
      <c r="D661" s="6"/>
      <c r="E661" s="12"/>
      <c r="F661" s="35">
        <f t="shared" si="1890"/>
        <v>0</v>
      </c>
      <c r="G661" s="35">
        <f t="shared" si="1890"/>
        <v>0</v>
      </c>
      <c r="H661" s="35">
        <f t="shared" si="1890"/>
        <v>0</v>
      </c>
      <c r="I661" s="35">
        <f t="shared" si="1890"/>
        <v>15</v>
      </c>
      <c r="J661" s="35">
        <f t="shared" si="1890"/>
        <v>54</v>
      </c>
      <c r="K661" s="35">
        <f t="shared" si="1890"/>
        <v>90</v>
      </c>
      <c r="L661" s="35">
        <f t="shared" si="1890"/>
        <v>152</v>
      </c>
      <c r="N661" s="241">
        <f t="shared" ref="N661:O661" si="1899">N118</f>
        <v>90</v>
      </c>
      <c r="O661" s="241">
        <f t="shared" si="1899"/>
        <v>0</v>
      </c>
      <c r="P661" s="241"/>
      <c r="Q661" s="241"/>
      <c r="S661" s="241"/>
      <c r="T661" s="241"/>
      <c r="V661" s="241"/>
      <c r="W661" s="241"/>
      <c r="Y661" s="241"/>
      <c r="Z661" s="241"/>
      <c r="AA661" s="241"/>
      <c r="AB661" s="241"/>
      <c r="AC661" s="241"/>
      <c r="AD661" s="241"/>
      <c r="AE661" s="241"/>
      <c r="AF661" s="241"/>
      <c r="AH661" s="241"/>
      <c r="AI661" s="241"/>
      <c r="AJ661" s="241"/>
      <c r="AK661" s="241"/>
      <c r="AL661" s="241"/>
      <c r="AM661" s="241"/>
      <c r="AN661" s="241"/>
      <c r="AO661" s="241"/>
      <c r="AQ661" s="241"/>
      <c r="AR661" s="241"/>
      <c r="AS661" s="241"/>
      <c r="AW661" s="241"/>
      <c r="AX661" s="241"/>
      <c r="AZ661" s="241"/>
      <c r="BA661" s="241"/>
      <c r="BB661" s="241"/>
      <c r="BC661" s="241"/>
      <c r="BD661" s="241"/>
      <c r="BE661" s="241"/>
      <c r="BF661" s="241"/>
      <c r="BG661" s="241"/>
      <c r="BI661" s="241"/>
      <c r="BJ661" s="241"/>
      <c r="BK661" s="241"/>
      <c r="BL661" s="241"/>
      <c r="BM661" s="241"/>
      <c r="BN661" s="241"/>
      <c r="BO661" s="241"/>
      <c r="BP661" s="241"/>
      <c r="BR661" s="241"/>
      <c r="BS661" s="241"/>
      <c r="BT661" s="241"/>
      <c r="BU661" s="241"/>
      <c r="BV661" s="241"/>
      <c r="BW661" s="241"/>
      <c r="BX661" s="241"/>
      <c r="BY661" s="241"/>
      <c r="CA661" s="241"/>
      <c r="CB661" s="241"/>
      <c r="CC661" s="241"/>
      <c r="CD661" s="241"/>
      <c r="CE661" s="241"/>
      <c r="CF661" s="241"/>
      <c r="CG661" s="241"/>
      <c r="CH661" s="241"/>
      <c r="CJ661" s="241"/>
      <c r="CK661" s="241"/>
      <c r="CL661" s="241"/>
      <c r="CM661" s="241">
        <f t="shared" ref="CM661:CN661" si="1900">CM118</f>
        <v>0</v>
      </c>
      <c r="CN661" s="241">
        <f t="shared" si="1900"/>
        <v>0</v>
      </c>
      <c r="CO661" s="241"/>
      <c r="CP661" s="241">
        <f t="shared" ref="CP661:CQ661" si="1901">CP118</f>
        <v>0</v>
      </c>
      <c r="CQ661" s="241">
        <f t="shared" si="1901"/>
        <v>0</v>
      </c>
      <c r="CS661" s="241">
        <f t="shared" ref="CS661:CT661" si="1902">CS118</f>
        <v>0</v>
      </c>
      <c r="CT661" s="241">
        <f t="shared" si="1902"/>
        <v>0</v>
      </c>
      <c r="CU661" s="241"/>
      <c r="CV661" s="241">
        <f t="shared" ref="CV661:CW661" si="1903">CV118</f>
        <v>0</v>
      </c>
      <c r="CW661" s="241">
        <f t="shared" si="1903"/>
        <v>0</v>
      </c>
      <c r="CX661" s="241"/>
      <c r="CY661" s="241">
        <f t="shared" ref="CY661:CZ661" si="1904">CY118</f>
        <v>0</v>
      </c>
      <c r="CZ661" s="241">
        <f t="shared" si="1904"/>
        <v>0</v>
      </c>
      <c r="DB661" s="241">
        <f t="shared" ref="DB661:DC661" si="1905">DB118</f>
        <v>0</v>
      </c>
      <c r="DC661" s="241">
        <f t="shared" si="1905"/>
        <v>0</v>
      </c>
      <c r="DD661" s="241"/>
      <c r="DE661" s="241">
        <f t="shared" ref="DE661:DF661" si="1906">DE118</f>
        <v>90</v>
      </c>
      <c r="DF661" s="241">
        <f t="shared" si="1906"/>
        <v>0</v>
      </c>
    </row>
    <row r="662" spans="1:110" x14ac:dyDescent="0.25">
      <c r="A662" s="8"/>
      <c r="B662" s="16" t="s">
        <v>1128</v>
      </c>
      <c r="C662" s="6"/>
      <c r="D662" s="6"/>
      <c r="E662" s="12"/>
      <c r="F662" s="35"/>
      <c r="G662" s="35"/>
      <c r="H662" s="35"/>
      <c r="I662" s="35"/>
      <c r="J662" s="35"/>
      <c r="K662" s="35"/>
      <c r="L662" s="35"/>
      <c r="P662" s="241"/>
      <c r="Q662" s="241"/>
      <c r="S662" s="241"/>
      <c r="T662" s="241"/>
      <c r="V662" s="241"/>
      <c r="W662" s="241"/>
      <c r="Y662" s="241"/>
      <c r="Z662" s="241"/>
      <c r="AA662" s="241"/>
      <c r="AB662" s="241"/>
      <c r="AC662" s="241"/>
      <c r="AD662" s="241"/>
      <c r="AE662" s="241"/>
      <c r="AF662" s="241"/>
      <c r="AH662" s="241"/>
      <c r="AI662" s="241"/>
      <c r="AJ662" s="241"/>
      <c r="AK662" s="241"/>
      <c r="AL662" s="241"/>
      <c r="AM662" s="241"/>
      <c r="AN662" s="241"/>
      <c r="AO662" s="241"/>
      <c r="AQ662" s="241"/>
      <c r="AR662" s="241"/>
      <c r="AS662" s="241"/>
      <c r="AW662" s="241"/>
      <c r="AX662" s="241"/>
      <c r="AZ662" s="241"/>
      <c r="BA662" s="241"/>
      <c r="BB662" s="241"/>
      <c r="BC662" s="241"/>
      <c r="BD662" s="241"/>
      <c r="BE662" s="241"/>
      <c r="BF662" s="241"/>
      <c r="BG662" s="241"/>
      <c r="BI662" s="241"/>
      <c r="BJ662" s="241"/>
      <c r="BK662" s="241"/>
      <c r="BL662" s="241"/>
      <c r="BM662" s="241"/>
      <c r="BN662" s="241"/>
      <c r="BO662" s="241"/>
      <c r="BP662" s="241"/>
      <c r="BR662" s="241"/>
      <c r="BS662" s="241"/>
      <c r="BT662" s="241"/>
      <c r="BU662" s="241"/>
      <c r="BV662" s="241"/>
      <c r="BW662" s="241"/>
      <c r="BX662" s="241"/>
      <c r="BY662" s="241"/>
      <c r="CA662" s="241"/>
      <c r="CB662" s="241"/>
      <c r="CC662" s="241"/>
      <c r="CD662" s="241"/>
      <c r="CE662" s="241"/>
      <c r="CF662" s="241"/>
      <c r="CG662" s="241"/>
      <c r="CH662" s="241"/>
      <c r="CJ662" s="241"/>
      <c r="CK662" s="241"/>
      <c r="CL662" s="241"/>
      <c r="CM662" s="241"/>
      <c r="CN662" s="241"/>
      <c r="CO662" s="241"/>
      <c r="CP662" s="241"/>
      <c r="CQ662" s="241"/>
      <c r="CS662" s="241"/>
      <c r="CT662" s="241"/>
      <c r="CU662" s="241"/>
      <c r="CV662" s="241"/>
      <c r="CW662" s="241"/>
      <c r="CX662" s="241"/>
      <c r="CY662" s="241"/>
      <c r="CZ662" s="241"/>
      <c r="DB662" s="241"/>
      <c r="DC662" s="241"/>
      <c r="DD662" s="241"/>
      <c r="DE662" s="241"/>
      <c r="DF662" s="241"/>
    </row>
    <row r="663" spans="1:110" ht="60" x14ac:dyDescent="0.25">
      <c r="A663" s="8"/>
      <c r="B663" s="16" t="s">
        <v>518</v>
      </c>
      <c r="C663" s="6" t="s">
        <v>2072</v>
      </c>
      <c r="D663" s="6" t="s">
        <v>950</v>
      </c>
      <c r="E663" s="12"/>
      <c r="F663" s="35"/>
      <c r="G663" s="35"/>
      <c r="H663" s="35"/>
      <c r="I663" s="35"/>
      <c r="J663" s="35"/>
      <c r="K663" s="35"/>
      <c r="L663" s="35"/>
      <c r="P663" s="241"/>
      <c r="Q663" s="241"/>
      <c r="S663" s="241"/>
      <c r="T663" s="241"/>
      <c r="V663" s="241"/>
      <c r="W663" s="241"/>
      <c r="Y663" s="241"/>
      <c r="Z663" s="241"/>
      <c r="AA663" s="241"/>
      <c r="AB663" s="241"/>
      <c r="AC663" s="241"/>
      <c r="AD663" s="241"/>
      <c r="AE663" s="241"/>
      <c r="AF663" s="241"/>
      <c r="AH663" s="241"/>
      <c r="AI663" s="241"/>
      <c r="AJ663" s="241"/>
      <c r="AK663" s="241"/>
      <c r="AL663" s="241"/>
      <c r="AM663" s="241"/>
      <c r="AN663" s="241"/>
      <c r="AO663" s="241"/>
      <c r="AQ663" s="241"/>
      <c r="AR663" s="241"/>
      <c r="AS663" s="241"/>
      <c r="AW663" s="241"/>
      <c r="AX663" s="241"/>
      <c r="AZ663" s="241"/>
      <c r="BA663" s="241"/>
      <c r="BB663" s="241"/>
      <c r="BC663" s="241"/>
      <c r="BD663" s="241"/>
      <c r="BE663" s="241"/>
      <c r="BF663" s="241"/>
      <c r="BG663" s="241"/>
      <c r="BI663" s="241"/>
      <c r="BJ663" s="241"/>
      <c r="BK663" s="241"/>
      <c r="BL663" s="241"/>
      <c r="BM663" s="241"/>
      <c r="BN663" s="241"/>
      <c r="BO663" s="241"/>
      <c r="BP663" s="241"/>
      <c r="BR663" s="241"/>
      <c r="BS663" s="241"/>
      <c r="BT663" s="241"/>
      <c r="BU663" s="241"/>
      <c r="BV663" s="241"/>
      <c r="BW663" s="241"/>
      <c r="BX663" s="241"/>
      <c r="BY663" s="241"/>
      <c r="CA663" s="241"/>
      <c r="CB663" s="241"/>
      <c r="CC663" s="241"/>
      <c r="CD663" s="241"/>
      <c r="CE663" s="241"/>
      <c r="CF663" s="241"/>
      <c r="CG663" s="241"/>
      <c r="CH663" s="241"/>
      <c r="CJ663" s="241"/>
      <c r="CK663" s="241"/>
      <c r="CL663" s="241"/>
      <c r="CM663" s="241"/>
      <c r="CN663" s="241"/>
      <c r="CO663" s="241"/>
      <c r="CP663" s="241"/>
      <c r="CQ663" s="241"/>
      <c r="CS663" s="241"/>
      <c r="CT663" s="241"/>
      <c r="CU663" s="241"/>
      <c r="CV663" s="241"/>
      <c r="CW663" s="241"/>
      <c r="CX663" s="241"/>
      <c r="CY663" s="241"/>
      <c r="CZ663" s="241"/>
      <c r="DB663" s="241"/>
      <c r="DC663" s="241"/>
      <c r="DD663" s="241"/>
      <c r="DE663" s="241"/>
      <c r="DF663" s="241"/>
    </row>
    <row r="664" spans="1:110" x14ac:dyDescent="0.25">
      <c r="A664" s="8"/>
      <c r="B664" s="16" t="s">
        <v>1182</v>
      </c>
      <c r="C664" s="6"/>
      <c r="D664" s="6"/>
      <c r="E664" s="12"/>
      <c r="F664" s="35">
        <v>8761</v>
      </c>
      <c r="G664" s="35"/>
      <c r="H664" s="35"/>
      <c r="I664" s="35">
        <f>7698+2088</f>
        <v>9786</v>
      </c>
      <c r="J664" s="35">
        <f>7607+2118</f>
        <v>9725</v>
      </c>
      <c r="K664" s="35">
        <v>8777</v>
      </c>
      <c r="L664" s="35">
        <v>8934</v>
      </c>
      <c r="N664" s="241">
        <f>P664+S664+V664+Y664+AB664+AE664+AH664+AK664+AN664+AQ664+AW664+AZ664+BC664+BF664+BI664+BL664+BO664+BR664+BU664+BX664+CA664+CD664+CG664+CJ664+AT664+CM664+CP664+DE664</f>
        <v>7019</v>
      </c>
      <c r="O664" s="241">
        <f t="shared" ref="O664:O665" si="1907">Q664+T664+W664+Z664+AC664+AF664+AI664+AL664+AO664+AR664+AX664+BA664+BD664+BG664+BJ664+BM664+BP664+BS664+BV664+BY664+CB664+CE664+CH664+CK664+AU664+CN664+CQ664+DF664</f>
        <v>0</v>
      </c>
      <c r="P664" s="241">
        <v>54</v>
      </c>
      <c r="Q664" s="241"/>
      <c r="S664" s="241">
        <v>588</v>
      </c>
      <c r="T664" s="241"/>
      <c r="V664" s="241">
        <v>350</v>
      </c>
      <c r="W664" s="241"/>
      <c r="Y664" s="241">
        <v>731</v>
      </c>
      <c r="Z664" s="241"/>
      <c r="AA664" s="241"/>
      <c r="AB664" s="241">
        <v>170</v>
      </c>
      <c r="AC664" s="241"/>
      <c r="AD664" s="241"/>
      <c r="AE664" s="241">
        <v>181</v>
      </c>
      <c r="AF664" s="241"/>
      <c r="AH664" s="241">
        <v>119</v>
      </c>
      <c r="AI664" s="241"/>
      <c r="AJ664" s="241"/>
      <c r="AK664" s="241">
        <v>350</v>
      </c>
      <c r="AL664" s="241"/>
      <c r="AM664" s="241"/>
      <c r="AN664" s="241">
        <v>298</v>
      </c>
      <c r="AO664" s="241"/>
      <c r="AQ664" s="241">
        <v>222</v>
      </c>
      <c r="AR664" s="241"/>
      <c r="AS664" s="241"/>
      <c r="AT664" s="241">
        <v>78</v>
      </c>
      <c r="AW664" s="241">
        <v>189</v>
      </c>
      <c r="AX664" s="241"/>
      <c r="AZ664" s="241">
        <v>164</v>
      </c>
      <c r="BA664" s="241"/>
      <c r="BB664" s="241"/>
      <c r="BC664" s="241">
        <v>857</v>
      </c>
      <c r="BD664" s="241"/>
      <c r="BE664" s="241"/>
      <c r="BF664" s="241">
        <v>349</v>
      </c>
      <c r="BG664" s="241"/>
      <c r="BI664" s="241">
        <v>273</v>
      </c>
      <c r="BJ664" s="241"/>
      <c r="BK664" s="241"/>
      <c r="BL664" s="241">
        <v>252</v>
      </c>
      <c r="BM664" s="241"/>
      <c r="BN664" s="241"/>
      <c r="BO664" s="241">
        <v>155</v>
      </c>
      <c r="BP664" s="241"/>
      <c r="BR664" s="241">
        <v>77</v>
      </c>
      <c r="BS664" s="241"/>
      <c r="BT664" s="241"/>
      <c r="BU664" s="241">
        <v>308</v>
      </c>
      <c r="BV664" s="241"/>
      <c r="BW664" s="241"/>
      <c r="BX664" s="241">
        <v>131</v>
      </c>
      <c r="BY664" s="241"/>
      <c r="CA664" s="241">
        <v>357</v>
      </c>
      <c r="CB664" s="241"/>
      <c r="CC664" s="241"/>
      <c r="CD664" s="241">
        <v>176</v>
      </c>
      <c r="CE664" s="241"/>
      <c r="CF664" s="241"/>
      <c r="CG664" s="241">
        <v>389</v>
      </c>
      <c r="CH664" s="241"/>
      <c r="CJ664" s="241">
        <v>201</v>
      </c>
      <c r="CK664" s="241"/>
      <c r="CL664" s="241"/>
      <c r="CM664" s="241"/>
      <c r="CN664" s="241"/>
      <c r="CO664" s="241"/>
      <c r="CP664" s="241"/>
      <c r="CQ664" s="241"/>
      <c r="CS664" s="241"/>
      <c r="CT664" s="241"/>
      <c r="CU664" s="241"/>
      <c r="CV664" s="241"/>
      <c r="CW664" s="241"/>
      <c r="CX664" s="241"/>
      <c r="CY664" s="241"/>
      <c r="CZ664" s="241"/>
      <c r="DB664" s="241"/>
      <c r="DC664" s="241"/>
      <c r="DD664" s="241"/>
      <c r="DE664" s="241"/>
      <c r="DF664" s="241"/>
    </row>
    <row r="665" spans="1:110" x14ac:dyDescent="0.25">
      <c r="A665" s="8"/>
      <c r="B665" s="16" t="s">
        <v>1184</v>
      </c>
      <c r="C665" s="6"/>
      <c r="D665" s="6"/>
      <c r="E665" s="12"/>
      <c r="F665" s="35"/>
      <c r="G665" s="35"/>
      <c r="H665" s="35"/>
      <c r="I665" s="35">
        <v>0</v>
      </c>
      <c r="J665" s="35">
        <v>0</v>
      </c>
      <c r="K665" s="35">
        <v>81</v>
      </c>
      <c r="L665" s="35">
        <v>192</v>
      </c>
      <c r="N665" s="241">
        <f t="shared" ref="N665" si="1908">P665+S665+V665+Y665+AB665+AE665+AH665+AK665+AN665+AQ665+AW665+AZ665+BC665+BF665+BI665+BL665+BO665+BR665+BU665+BX665+CA665+CD665+CG665+CJ665+AT665+CM665+CP665+DE665</f>
        <v>0</v>
      </c>
      <c r="O665" s="241">
        <f t="shared" si="1907"/>
        <v>0</v>
      </c>
      <c r="P665" s="241"/>
      <c r="Q665" s="241"/>
      <c r="S665" s="241"/>
      <c r="T665" s="241"/>
      <c r="V665" s="241"/>
      <c r="W665" s="241"/>
      <c r="Y665" s="241"/>
      <c r="Z665" s="241"/>
      <c r="AA665" s="241"/>
      <c r="AB665" s="241"/>
      <c r="AC665" s="241"/>
      <c r="AD665" s="241"/>
      <c r="AE665" s="241"/>
      <c r="AF665" s="241"/>
      <c r="AH665" s="241"/>
      <c r="AI665" s="241"/>
      <c r="AJ665" s="241"/>
      <c r="AK665" s="241"/>
      <c r="AL665" s="241"/>
      <c r="AM665" s="241"/>
      <c r="AN665" s="241"/>
      <c r="AO665" s="241"/>
      <c r="AQ665" s="241"/>
      <c r="AR665" s="241"/>
      <c r="AS665" s="241"/>
      <c r="AW665" s="241"/>
      <c r="AX665" s="241"/>
      <c r="AZ665" s="241"/>
      <c r="BA665" s="241"/>
      <c r="BB665" s="241"/>
      <c r="BC665" s="241"/>
      <c r="BD665" s="241"/>
      <c r="BE665" s="241"/>
      <c r="BF665" s="241"/>
      <c r="BG665" s="241"/>
      <c r="BI665" s="241"/>
      <c r="BJ665" s="241"/>
      <c r="BK665" s="241"/>
      <c r="BL665" s="241"/>
      <c r="BM665" s="241"/>
      <c r="BN665" s="241"/>
      <c r="BO665" s="241"/>
      <c r="BP665" s="241"/>
      <c r="BR665" s="241"/>
      <c r="BS665" s="241"/>
      <c r="BT665" s="241"/>
      <c r="BU665" s="241"/>
      <c r="BV665" s="241"/>
      <c r="BW665" s="241"/>
      <c r="BX665" s="241"/>
      <c r="BY665" s="241"/>
      <c r="CA665" s="241"/>
      <c r="CB665" s="241"/>
      <c r="CC665" s="241"/>
      <c r="CD665" s="241"/>
      <c r="CE665" s="241"/>
      <c r="CF665" s="241"/>
      <c r="CG665" s="241"/>
      <c r="CH665" s="241"/>
      <c r="CJ665" s="241"/>
      <c r="CK665" s="241"/>
      <c r="CL665" s="241"/>
      <c r="CM665" s="241"/>
      <c r="CN665" s="241"/>
      <c r="CO665" s="241"/>
      <c r="CP665" s="241"/>
      <c r="CQ665" s="241"/>
      <c r="CS665" s="241"/>
      <c r="CT665" s="241"/>
      <c r="CU665" s="241"/>
      <c r="CV665" s="241"/>
      <c r="CW665" s="241"/>
      <c r="CX665" s="241"/>
      <c r="CY665" s="241"/>
      <c r="CZ665" s="241"/>
      <c r="DB665" s="241"/>
      <c r="DC665" s="241"/>
      <c r="DD665" s="241"/>
      <c r="DE665" s="241"/>
      <c r="DF665" s="241"/>
    </row>
    <row r="666" spans="1:110" ht="90" x14ac:dyDescent="0.25">
      <c r="A666" s="8"/>
      <c r="B666" s="16" t="s">
        <v>519</v>
      </c>
      <c r="C666" s="6" t="s">
        <v>2989</v>
      </c>
      <c r="D666" s="6" t="s">
        <v>950</v>
      </c>
      <c r="E666" s="12"/>
      <c r="F666" s="35"/>
      <c r="G666" s="35"/>
      <c r="H666" s="35"/>
      <c r="I666" s="35"/>
      <c r="J666" s="35"/>
      <c r="K666" s="35"/>
      <c r="L666" s="35"/>
      <c r="P666" s="241"/>
      <c r="Q666" s="241"/>
      <c r="S666" s="241"/>
      <c r="T666" s="241"/>
      <c r="V666" s="241"/>
      <c r="W666" s="241"/>
      <c r="Y666" s="241"/>
      <c r="Z666" s="241"/>
      <c r="AA666" s="241"/>
      <c r="AB666" s="241"/>
      <c r="AC666" s="241"/>
      <c r="AD666" s="241"/>
      <c r="AE666" s="241"/>
      <c r="AF666" s="241"/>
      <c r="AH666" s="241"/>
      <c r="AI666" s="241"/>
      <c r="AJ666" s="241"/>
      <c r="AK666" s="241"/>
      <c r="AL666" s="241"/>
      <c r="AM666" s="241"/>
      <c r="AN666" s="241"/>
      <c r="AO666" s="241"/>
      <c r="AQ666" s="241"/>
      <c r="AR666" s="241"/>
      <c r="AS666" s="241"/>
      <c r="AW666" s="241"/>
      <c r="AX666" s="241"/>
      <c r="AZ666" s="241"/>
      <c r="BA666" s="241"/>
      <c r="BB666" s="241"/>
      <c r="BC666" s="241"/>
      <c r="BD666" s="241"/>
      <c r="BE666" s="241"/>
      <c r="BF666" s="241"/>
      <c r="BG666" s="241"/>
      <c r="BI666" s="241"/>
      <c r="BJ666" s="241"/>
      <c r="BK666" s="241"/>
      <c r="BL666" s="241"/>
      <c r="BM666" s="241"/>
      <c r="BN666" s="241"/>
      <c r="BO666" s="241"/>
      <c r="BP666" s="241"/>
      <c r="BR666" s="241"/>
      <c r="BS666" s="241"/>
      <c r="BT666" s="241"/>
      <c r="BU666" s="241"/>
      <c r="BV666" s="241"/>
      <c r="BW666" s="241"/>
      <c r="BX666" s="241"/>
      <c r="BY666" s="241"/>
      <c r="CA666" s="241"/>
      <c r="CB666" s="241"/>
      <c r="CC666" s="241"/>
      <c r="CD666" s="241"/>
      <c r="CE666" s="241"/>
      <c r="CF666" s="241"/>
      <c r="CG666" s="241"/>
      <c r="CH666" s="241"/>
      <c r="CJ666" s="241"/>
      <c r="CK666" s="241"/>
      <c r="CL666" s="241"/>
      <c r="CM666" s="241"/>
      <c r="CN666" s="241"/>
      <c r="CO666" s="241"/>
      <c r="CP666" s="241"/>
      <c r="CQ666" s="241"/>
      <c r="CS666" s="241"/>
      <c r="CT666" s="241"/>
      <c r="CU666" s="241"/>
      <c r="CV666" s="241"/>
      <c r="CW666" s="241"/>
      <c r="CX666" s="241"/>
      <c r="CY666" s="241"/>
      <c r="CZ666" s="241"/>
      <c r="DB666" s="241"/>
      <c r="DC666" s="241"/>
      <c r="DD666" s="241"/>
      <c r="DE666" s="241"/>
      <c r="DF666" s="241"/>
    </row>
    <row r="667" spans="1:110" x14ac:dyDescent="0.25">
      <c r="A667" s="8"/>
      <c r="B667" s="16" t="s">
        <v>1182</v>
      </c>
      <c r="C667" s="6"/>
      <c r="D667" s="6"/>
      <c r="E667" s="12"/>
      <c r="F667" s="35">
        <f t="shared" ref="F667:L668" si="1909">F139</f>
        <v>13414</v>
      </c>
      <c r="G667" s="35">
        <f t="shared" si="1909"/>
        <v>0</v>
      </c>
      <c r="H667" s="35">
        <f t="shared" si="1909"/>
        <v>0</v>
      </c>
      <c r="I667" s="35">
        <f t="shared" si="1909"/>
        <v>16033</v>
      </c>
      <c r="J667" s="35">
        <f t="shared" si="1909"/>
        <v>16867</v>
      </c>
      <c r="K667" s="35">
        <f t="shared" si="1909"/>
        <v>16167</v>
      </c>
      <c r="L667" s="35">
        <f t="shared" si="1909"/>
        <v>17473</v>
      </c>
      <c r="N667" s="241">
        <f t="shared" ref="N667:O667" si="1910">N139</f>
        <v>16167</v>
      </c>
      <c r="O667" s="241">
        <f t="shared" si="1910"/>
        <v>0</v>
      </c>
      <c r="P667" s="241">
        <v>131</v>
      </c>
      <c r="Q667" s="241"/>
      <c r="S667" s="241">
        <v>1052</v>
      </c>
      <c r="T667" s="241"/>
      <c r="V667" s="241">
        <v>415</v>
      </c>
      <c r="W667" s="241"/>
      <c r="Y667" s="241">
        <v>1316</v>
      </c>
      <c r="Z667" s="241"/>
      <c r="AA667" s="241"/>
      <c r="AB667" s="241">
        <v>326</v>
      </c>
      <c r="AC667" s="241"/>
      <c r="AD667" s="241"/>
      <c r="AE667" s="241">
        <v>197</v>
      </c>
      <c r="AF667" s="241"/>
      <c r="AH667" s="241">
        <v>164</v>
      </c>
      <c r="AI667" s="241"/>
      <c r="AJ667" s="241"/>
      <c r="AK667" s="241">
        <v>516</v>
      </c>
      <c r="AL667" s="241"/>
      <c r="AM667" s="241"/>
      <c r="AN667" s="241">
        <v>458</v>
      </c>
      <c r="AO667" s="241"/>
      <c r="AQ667" s="241">
        <v>379</v>
      </c>
      <c r="AR667" s="241"/>
      <c r="AS667" s="241"/>
      <c r="AT667" s="241">
        <v>132</v>
      </c>
      <c r="AW667" s="241">
        <v>300</v>
      </c>
      <c r="AX667" s="241"/>
      <c r="AZ667" s="241">
        <v>396</v>
      </c>
      <c r="BA667" s="241"/>
      <c r="BB667" s="241"/>
      <c r="BC667" s="241">
        <v>1099</v>
      </c>
      <c r="BD667" s="241"/>
      <c r="BE667" s="241"/>
      <c r="BF667" s="241">
        <v>557</v>
      </c>
      <c r="BG667" s="241"/>
      <c r="BI667" s="241">
        <v>472</v>
      </c>
      <c r="BJ667" s="241"/>
      <c r="BK667" s="241"/>
      <c r="BL667" s="241">
        <v>365</v>
      </c>
      <c r="BM667" s="241"/>
      <c r="BN667" s="241"/>
      <c r="BO667" s="241">
        <v>320</v>
      </c>
      <c r="BP667" s="241"/>
      <c r="BR667" s="241">
        <v>158</v>
      </c>
      <c r="BS667" s="241"/>
      <c r="BT667" s="241"/>
      <c r="BU667" s="241">
        <v>460</v>
      </c>
      <c r="BV667" s="241"/>
      <c r="BW667" s="241"/>
      <c r="BX667" s="241">
        <v>216</v>
      </c>
      <c r="BY667" s="241"/>
      <c r="CA667" s="241">
        <v>527</v>
      </c>
      <c r="CB667" s="241"/>
      <c r="CC667" s="241"/>
      <c r="CD667" s="241">
        <v>289</v>
      </c>
      <c r="CE667" s="241"/>
      <c r="CF667" s="241"/>
      <c r="CG667" s="241">
        <v>381</v>
      </c>
      <c r="CH667" s="241"/>
      <c r="CJ667" s="241">
        <v>328</v>
      </c>
      <c r="CK667" s="241"/>
      <c r="CL667" s="241"/>
      <c r="CM667" s="241">
        <f t="shared" ref="CM667:CN667" si="1911">CM139</f>
        <v>0</v>
      </c>
      <c r="CN667" s="241">
        <f t="shared" si="1911"/>
        <v>0</v>
      </c>
      <c r="CO667" s="241"/>
      <c r="CP667" s="241">
        <f t="shared" ref="CP667:CQ667" si="1912">CP139</f>
        <v>0</v>
      </c>
      <c r="CQ667" s="241">
        <f t="shared" si="1912"/>
        <v>0</v>
      </c>
      <c r="CS667" s="241">
        <f t="shared" ref="CS667:CT667" si="1913">CS139</f>
        <v>904</v>
      </c>
      <c r="CT667" s="241">
        <f t="shared" si="1913"/>
        <v>0</v>
      </c>
      <c r="CU667" s="241"/>
      <c r="CV667" s="241">
        <f t="shared" ref="CV667:CW667" si="1914">CV139</f>
        <v>708</v>
      </c>
      <c r="CW667" s="241">
        <f t="shared" si="1914"/>
        <v>0</v>
      </c>
      <c r="CX667" s="241"/>
      <c r="CY667" s="241">
        <f t="shared" ref="CY667:CZ667" si="1915">CY139</f>
        <v>1562</v>
      </c>
      <c r="CZ667" s="241">
        <f t="shared" si="1915"/>
        <v>0</v>
      </c>
      <c r="DB667" s="241">
        <f t="shared" ref="DB667:DC667" si="1916">DB139</f>
        <v>499</v>
      </c>
      <c r="DC667" s="241">
        <f t="shared" si="1916"/>
        <v>0</v>
      </c>
      <c r="DD667" s="241"/>
      <c r="DE667" s="241">
        <f t="shared" ref="DE667:DF667" si="1917">DE139</f>
        <v>0</v>
      </c>
      <c r="DF667" s="241">
        <f t="shared" si="1917"/>
        <v>0</v>
      </c>
    </row>
    <row r="668" spans="1:110" x14ac:dyDescent="0.25">
      <c r="A668" s="8"/>
      <c r="B668" s="16" t="s">
        <v>1184</v>
      </c>
      <c r="C668" s="6"/>
      <c r="D668" s="6"/>
      <c r="E668" s="12"/>
      <c r="F668" s="35">
        <f t="shared" si="1909"/>
        <v>78</v>
      </c>
      <c r="G668" s="35">
        <f t="shared" si="1909"/>
        <v>0</v>
      </c>
      <c r="H668" s="35">
        <f t="shared" si="1909"/>
        <v>0</v>
      </c>
      <c r="I668" s="35">
        <f t="shared" si="1909"/>
        <v>637</v>
      </c>
      <c r="J668" s="35">
        <f t="shared" si="1909"/>
        <v>924</v>
      </c>
      <c r="K668" s="35">
        <f t="shared" si="1909"/>
        <v>1444</v>
      </c>
      <c r="L668" s="35">
        <f t="shared" si="1909"/>
        <v>2156</v>
      </c>
      <c r="N668" s="241">
        <f t="shared" ref="N668:O668" si="1918">N140</f>
        <v>1444</v>
      </c>
      <c r="O668" s="241">
        <f t="shared" si="1918"/>
        <v>0</v>
      </c>
      <c r="P668" s="241"/>
      <c r="Q668" s="241"/>
      <c r="S668" s="241"/>
      <c r="T668" s="241"/>
      <c r="V668" s="241"/>
      <c r="W668" s="241"/>
      <c r="Y668" s="241"/>
      <c r="Z668" s="241"/>
      <c r="AA668" s="241"/>
      <c r="AB668" s="241"/>
      <c r="AC668" s="241"/>
      <c r="AD668" s="241"/>
      <c r="AE668" s="241"/>
      <c r="AF668" s="241"/>
      <c r="AH668" s="241"/>
      <c r="AI668" s="241"/>
      <c r="AJ668" s="241"/>
      <c r="AK668" s="241"/>
      <c r="AL668" s="241"/>
      <c r="AM668" s="241"/>
      <c r="AN668" s="241"/>
      <c r="AO668" s="241"/>
      <c r="AQ668" s="241"/>
      <c r="AR668" s="241"/>
      <c r="AS668" s="241"/>
      <c r="AW668" s="241"/>
      <c r="AX668" s="241"/>
      <c r="AZ668" s="241"/>
      <c r="BA668" s="241"/>
      <c r="BB668" s="241"/>
      <c r="BC668" s="241"/>
      <c r="BD668" s="241"/>
      <c r="BE668" s="241"/>
      <c r="BF668" s="241"/>
      <c r="BG668" s="241"/>
      <c r="BI668" s="241"/>
      <c r="BJ668" s="241"/>
      <c r="BK668" s="241"/>
      <c r="BL668" s="241"/>
      <c r="BM668" s="241"/>
      <c r="BN668" s="241"/>
      <c r="BO668" s="241"/>
      <c r="BP668" s="241"/>
      <c r="BR668" s="241"/>
      <c r="BS668" s="241"/>
      <c r="BT668" s="241"/>
      <c r="BU668" s="241"/>
      <c r="BV668" s="241"/>
      <c r="BW668" s="241"/>
      <c r="BX668" s="241"/>
      <c r="BY668" s="241"/>
      <c r="CA668" s="241"/>
      <c r="CB668" s="241"/>
      <c r="CC668" s="241"/>
      <c r="CD668" s="241"/>
      <c r="CE668" s="241"/>
      <c r="CF668" s="241"/>
      <c r="CG668" s="241"/>
      <c r="CH668" s="241"/>
      <c r="CJ668" s="241"/>
      <c r="CK668" s="241"/>
      <c r="CL668" s="241"/>
      <c r="CM668" s="241">
        <f t="shared" ref="CM668:CN668" si="1919">CM140</f>
        <v>0</v>
      </c>
      <c r="CN668" s="241">
        <f t="shared" si="1919"/>
        <v>0</v>
      </c>
      <c r="CO668" s="241"/>
      <c r="CP668" s="241">
        <f t="shared" ref="CP668:CQ668" si="1920">CP140</f>
        <v>0</v>
      </c>
      <c r="CQ668" s="241">
        <f t="shared" si="1920"/>
        <v>0</v>
      </c>
      <c r="CS668" s="241">
        <f t="shared" ref="CS668:CT668" si="1921">CS140</f>
        <v>0</v>
      </c>
      <c r="CT668" s="241">
        <f t="shared" si="1921"/>
        <v>0</v>
      </c>
      <c r="CU668" s="241"/>
      <c r="CV668" s="241">
        <f t="shared" ref="CV668:CW668" si="1922">CV140</f>
        <v>0</v>
      </c>
      <c r="CW668" s="241">
        <f t="shared" si="1922"/>
        <v>0</v>
      </c>
      <c r="CX668" s="241"/>
      <c r="CY668" s="241">
        <f t="shared" ref="CY668:CZ668" si="1923">CY140</f>
        <v>0</v>
      </c>
      <c r="CZ668" s="241">
        <f t="shared" si="1923"/>
        <v>0</v>
      </c>
      <c r="DB668" s="241">
        <f t="shared" ref="DB668:DC668" si="1924">DB140</f>
        <v>0</v>
      </c>
      <c r="DC668" s="241">
        <f t="shared" si="1924"/>
        <v>0</v>
      </c>
      <c r="DD668" s="241"/>
      <c r="DE668" s="241">
        <f t="shared" ref="DE668:DF668" si="1925">DE140</f>
        <v>1444</v>
      </c>
      <c r="DF668" s="241">
        <f t="shared" si="1925"/>
        <v>0</v>
      </c>
    </row>
    <row r="669" spans="1:110" ht="45" hidden="1" x14ac:dyDescent="0.25">
      <c r="A669" s="60" t="s">
        <v>520</v>
      </c>
      <c r="B669" s="61" t="s">
        <v>521</v>
      </c>
      <c r="C669" s="60"/>
      <c r="D669" s="60"/>
      <c r="E669" s="74"/>
      <c r="F669" s="74"/>
      <c r="G669" s="74"/>
      <c r="H669" s="74"/>
      <c r="I669" s="74"/>
      <c r="J669" s="74"/>
      <c r="K669" s="74"/>
      <c r="L669" s="74"/>
      <c r="M669" s="3" t="s">
        <v>94</v>
      </c>
    </row>
    <row r="670" spans="1:110" hidden="1" x14ac:dyDescent="0.25">
      <c r="A670" s="59"/>
      <c r="B670" s="61" t="s">
        <v>498</v>
      </c>
      <c r="C670" s="60"/>
      <c r="D670" s="60" t="s">
        <v>8</v>
      </c>
      <c r="E670" s="52" t="e">
        <f t="shared" ref="E670:J670" si="1926">E671/E672*100</f>
        <v>#DIV/0!</v>
      </c>
      <c r="F670" s="52" t="e">
        <f t="shared" si="1926"/>
        <v>#DIV/0!</v>
      </c>
      <c r="G670" s="52" t="e">
        <f t="shared" si="1926"/>
        <v>#DIV/0!</v>
      </c>
      <c r="H670" s="52" t="e">
        <f t="shared" si="1926"/>
        <v>#DIV/0!</v>
      </c>
      <c r="I670" s="52" t="e">
        <f t="shared" si="1926"/>
        <v>#DIV/0!</v>
      </c>
      <c r="J670" s="52" t="e">
        <f t="shared" si="1926"/>
        <v>#DIV/0!</v>
      </c>
      <c r="K670" s="52" t="e">
        <f>K671/K672*100</f>
        <v>#DIV/0!</v>
      </c>
      <c r="L670" s="52" t="e">
        <f>L671/L672*100</f>
        <v>#DIV/0!</v>
      </c>
      <c r="M670" s="3"/>
    </row>
    <row r="671" spans="1:110" ht="60" hidden="1" x14ac:dyDescent="0.25">
      <c r="A671" s="8"/>
      <c r="B671" s="16" t="s">
        <v>522</v>
      </c>
      <c r="C671" s="6" t="s">
        <v>523</v>
      </c>
      <c r="D671" s="6" t="s">
        <v>950</v>
      </c>
      <c r="E671" s="12"/>
      <c r="F671" s="12"/>
      <c r="G671" s="12"/>
      <c r="H671" s="12"/>
      <c r="I671" s="12"/>
      <c r="J671" s="12"/>
      <c r="K671" s="12"/>
      <c r="L671" s="12"/>
      <c r="M671" s="3"/>
    </row>
    <row r="672" spans="1:110" ht="60" hidden="1" x14ac:dyDescent="0.25">
      <c r="A672" s="8"/>
      <c r="B672" s="16" t="s">
        <v>524</v>
      </c>
      <c r="C672" s="6" t="s">
        <v>523</v>
      </c>
      <c r="D672" s="6" t="s">
        <v>950</v>
      </c>
      <c r="E672" s="12"/>
      <c r="F672" s="12"/>
      <c r="G672" s="12"/>
      <c r="H672" s="12"/>
      <c r="I672" s="12"/>
      <c r="J672" s="12"/>
      <c r="K672" s="12"/>
      <c r="L672" s="12"/>
      <c r="M672" s="3"/>
    </row>
    <row r="673" spans="1:13" hidden="1" x14ac:dyDescent="0.25">
      <c r="A673" s="59"/>
      <c r="B673" s="61" t="s">
        <v>505</v>
      </c>
      <c r="C673" s="60"/>
      <c r="D673" s="60" t="s">
        <v>8</v>
      </c>
      <c r="E673" s="52" t="e">
        <f t="shared" ref="E673:J673" si="1927">E674/E675*100</f>
        <v>#DIV/0!</v>
      </c>
      <c r="F673" s="52" t="e">
        <f t="shared" si="1927"/>
        <v>#DIV/0!</v>
      </c>
      <c r="G673" s="52" t="e">
        <f t="shared" si="1927"/>
        <v>#DIV/0!</v>
      </c>
      <c r="H673" s="52" t="e">
        <f t="shared" si="1927"/>
        <v>#DIV/0!</v>
      </c>
      <c r="I673" s="52" t="e">
        <f t="shared" si="1927"/>
        <v>#DIV/0!</v>
      </c>
      <c r="J673" s="52" t="e">
        <f t="shared" si="1927"/>
        <v>#DIV/0!</v>
      </c>
      <c r="K673" s="52" t="e">
        <f>K674/K675*100</f>
        <v>#DIV/0!</v>
      </c>
      <c r="L673" s="52" t="e">
        <f>L674/L675*100</f>
        <v>#DIV/0!</v>
      </c>
      <c r="M673" s="3"/>
    </row>
    <row r="674" spans="1:13" ht="60" hidden="1" x14ac:dyDescent="0.25">
      <c r="A674" s="8"/>
      <c r="B674" s="16" t="s">
        <v>525</v>
      </c>
      <c r="C674" s="6" t="s">
        <v>523</v>
      </c>
      <c r="D674" s="6" t="s">
        <v>950</v>
      </c>
      <c r="E674" s="12"/>
      <c r="F674" s="12"/>
      <c r="G674" s="12"/>
      <c r="H674" s="12"/>
      <c r="I674" s="12"/>
      <c r="J674" s="12"/>
      <c r="K674" s="12"/>
      <c r="L674" s="12"/>
      <c r="M674" s="3"/>
    </row>
    <row r="675" spans="1:13" ht="60" hidden="1" x14ac:dyDescent="0.25">
      <c r="A675" s="8"/>
      <c r="B675" s="16" t="s">
        <v>526</v>
      </c>
      <c r="C675" s="6" t="s">
        <v>523</v>
      </c>
      <c r="D675" s="6" t="s">
        <v>950</v>
      </c>
      <c r="E675" s="12"/>
      <c r="F675" s="12"/>
      <c r="G675" s="12"/>
      <c r="H675" s="12"/>
      <c r="I675" s="12"/>
      <c r="J675" s="12"/>
      <c r="K675" s="12"/>
      <c r="L675" s="12"/>
    </row>
    <row r="676" spans="1:13" ht="75" hidden="1" x14ac:dyDescent="0.25">
      <c r="A676" s="150" t="s">
        <v>520</v>
      </c>
      <c r="B676" s="51" t="s">
        <v>1474</v>
      </c>
      <c r="C676" s="150"/>
      <c r="D676" s="150"/>
      <c r="E676" s="198"/>
      <c r="F676" s="198"/>
      <c r="G676" s="198"/>
      <c r="H676" s="198"/>
      <c r="I676" s="198"/>
      <c r="J676" s="198"/>
      <c r="K676" s="198"/>
      <c r="L676" s="198"/>
    </row>
    <row r="677" spans="1:13" hidden="1" x14ac:dyDescent="0.25">
      <c r="A677" s="150"/>
      <c r="B677" s="51" t="s">
        <v>498</v>
      </c>
      <c r="C677" s="150"/>
      <c r="D677" s="150" t="s">
        <v>8</v>
      </c>
      <c r="E677" s="198" t="e">
        <f t="shared" ref="E677:K677" si="1928">E678/E679*100</f>
        <v>#DIV/0!</v>
      </c>
      <c r="F677" s="198" t="e">
        <f t="shared" si="1928"/>
        <v>#DIV/0!</v>
      </c>
      <c r="G677" s="198" t="e">
        <f t="shared" si="1928"/>
        <v>#DIV/0!</v>
      </c>
      <c r="H677" s="198" t="e">
        <f t="shared" si="1928"/>
        <v>#DIV/0!</v>
      </c>
      <c r="I677" s="198" t="e">
        <f t="shared" si="1928"/>
        <v>#DIV/0!</v>
      </c>
      <c r="J677" s="198" t="e">
        <f t="shared" si="1928"/>
        <v>#DIV/0!</v>
      </c>
      <c r="K677" s="198" t="e">
        <f t="shared" si="1928"/>
        <v>#DIV/0!</v>
      </c>
      <c r="L677" s="198" t="e">
        <f t="shared" ref="L677" si="1929">L678/L679*100</f>
        <v>#DIV/0!</v>
      </c>
    </row>
    <row r="678" spans="1:13" ht="45" hidden="1" x14ac:dyDescent="0.25">
      <c r="A678" s="150"/>
      <c r="B678" s="51" t="s">
        <v>1476</v>
      </c>
      <c r="C678" s="150"/>
      <c r="D678" s="150" t="s">
        <v>950</v>
      </c>
      <c r="E678" s="198"/>
      <c r="F678" s="198"/>
      <c r="G678" s="198"/>
      <c r="H678" s="198"/>
      <c r="I678" s="198"/>
      <c r="J678" s="198"/>
      <c r="K678" s="198"/>
      <c r="L678" s="198"/>
    </row>
    <row r="679" spans="1:13" ht="45" hidden="1" x14ac:dyDescent="0.25">
      <c r="A679" s="150"/>
      <c r="B679" s="51" t="s">
        <v>1477</v>
      </c>
      <c r="C679" s="150"/>
      <c r="D679" s="150" t="s">
        <v>950</v>
      </c>
      <c r="E679" s="198"/>
      <c r="F679" s="198"/>
      <c r="G679" s="198"/>
      <c r="H679" s="198"/>
      <c r="I679" s="198"/>
      <c r="J679" s="198"/>
      <c r="K679" s="198"/>
      <c r="L679" s="198"/>
    </row>
    <row r="680" spans="1:13" hidden="1" x14ac:dyDescent="0.25">
      <c r="A680" s="150"/>
      <c r="B680" s="51" t="s">
        <v>1128</v>
      </c>
      <c r="C680" s="150"/>
      <c r="D680" s="150" t="s">
        <v>8</v>
      </c>
      <c r="E680" s="198" t="e">
        <f t="shared" ref="E680:K680" si="1930">E681/E682*100</f>
        <v>#DIV/0!</v>
      </c>
      <c r="F680" s="198" t="e">
        <f t="shared" si="1930"/>
        <v>#DIV/0!</v>
      </c>
      <c r="G680" s="198" t="e">
        <f t="shared" si="1930"/>
        <v>#DIV/0!</v>
      </c>
      <c r="H680" s="198" t="e">
        <f t="shared" si="1930"/>
        <v>#DIV/0!</v>
      </c>
      <c r="I680" s="198" t="e">
        <f t="shared" si="1930"/>
        <v>#DIV/0!</v>
      </c>
      <c r="J680" s="198" t="e">
        <f t="shared" si="1930"/>
        <v>#DIV/0!</v>
      </c>
      <c r="K680" s="198" t="e">
        <f t="shared" si="1930"/>
        <v>#DIV/0!</v>
      </c>
      <c r="L680" s="198" t="e">
        <f t="shared" ref="L680" si="1931">L681/L682*100</f>
        <v>#DIV/0!</v>
      </c>
    </row>
    <row r="681" spans="1:13" ht="45" hidden="1" x14ac:dyDescent="0.25">
      <c r="A681" s="150"/>
      <c r="B681" s="51" t="s">
        <v>1479</v>
      </c>
      <c r="C681" s="150"/>
      <c r="D681" s="150" t="s">
        <v>950</v>
      </c>
      <c r="E681" s="198"/>
      <c r="F681" s="198"/>
      <c r="G681" s="198"/>
      <c r="H681" s="198"/>
      <c r="I681" s="198"/>
      <c r="J681" s="198"/>
      <c r="K681" s="198"/>
      <c r="L681" s="198"/>
    </row>
    <row r="682" spans="1:13" ht="30" hidden="1" x14ac:dyDescent="0.25">
      <c r="A682" s="150"/>
      <c r="B682" s="51" t="s">
        <v>1480</v>
      </c>
      <c r="C682" s="150"/>
      <c r="D682" s="150" t="s">
        <v>950</v>
      </c>
      <c r="E682" s="198"/>
      <c r="F682" s="198"/>
      <c r="G682" s="198"/>
      <c r="H682" s="198"/>
      <c r="I682" s="198"/>
      <c r="J682" s="198"/>
      <c r="K682" s="198"/>
      <c r="L682" s="198"/>
    </row>
    <row r="683" spans="1:13" s="241" customFormat="1" ht="75" x14ac:dyDescent="0.25">
      <c r="A683" s="220" t="s">
        <v>520</v>
      </c>
      <c r="B683" s="219" t="s">
        <v>2568</v>
      </c>
      <c r="C683" s="212"/>
      <c r="D683" s="212" t="s">
        <v>8</v>
      </c>
      <c r="E683" s="214"/>
      <c r="F683" s="214"/>
      <c r="G683" s="214"/>
      <c r="H683" s="214"/>
      <c r="I683" s="214"/>
      <c r="J683" s="214"/>
      <c r="K683" s="214"/>
      <c r="L683" s="214"/>
    </row>
    <row r="684" spans="1:13" s="241" customFormat="1" x14ac:dyDescent="0.25">
      <c r="A684" s="220"/>
      <c r="B684" s="219" t="s">
        <v>1182</v>
      </c>
      <c r="C684" s="212"/>
      <c r="D684" s="212"/>
      <c r="E684" s="214"/>
      <c r="F684" s="214"/>
      <c r="G684" s="214"/>
      <c r="H684" s="214"/>
      <c r="I684" s="217"/>
      <c r="J684" s="217">
        <v>14.2</v>
      </c>
      <c r="K684" s="217">
        <v>21.6</v>
      </c>
      <c r="L684" s="217"/>
    </row>
    <row r="685" spans="1:13" s="241" customFormat="1" x14ac:dyDescent="0.25">
      <c r="A685" s="220"/>
      <c r="B685" s="219" t="s">
        <v>1184</v>
      </c>
      <c r="C685" s="212"/>
      <c r="D685" s="212"/>
      <c r="E685" s="214"/>
      <c r="F685" s="214"/>
      <c r="G685" s="214"/>
      <c r="H685" s="214"/>
      <c r="I685" s="217"/>
      <c r="J685" s="217">
        <v>0</v>
      </c>
      <c r="K685" s="217">
        <v>2.78</v>
      </c>
      <c r="L685" s="217"/>
    </row>
    <row r="686" spans="1:13" x14ac:dyDescent="0.25">
      <c r="A686" s="13"/>
      <c r="B686" s="21"/>
      <c r="C686" s="13"/>
      <c r="D686" s="13"/>
      <c r="E686" s="111"/>
      <c r="F686" s="111"/>
      <c r="G686" s="111"/>
      <c r="H686" s="111"/>
      <c r="I686" s="111"/>
      <c r="J686" s="111"/>
      <c r="K686" s="111"/>
      <c r="L686" s="111"/>
    </row>
    <row r="687" spans="1:13" x14ac:dyDescent="0.25">
      <c r="A687" s="13"/>
      <c r="B687" s="21"/>
      <c r="C687" s="13"/>
      <c r="D687" s="13"/>
      <c r="E687" s="111"/>
      <c r="F687" s="111"/>
      <c r="G687" s="111"/>
      <c r="H687" s="111"/>
      <c r="I687" s="111"/>
      <c r="J687" s="111"/>
      <c r="K687" s="111"/>
      <c r="L687" s="111"/>
    </row>
    <row r="688" spans="1:13" ht="75" x14ac:dyDescent="0.25">
      <c r="A688" s="220" t="s">
        <v>1473</v>
      </c>
      <c r="B688" s="219" t="s">
        <v>2568</v>
      </c>
      <c r="C688" s="212"/>
      <c r="D688" s="212" t="s">
        <v>8</v>
      </c>
      <c r="E688" s="214"/>
      <c r="F688" s="214"/>
      <c r="G688" s="214"/>
      <c r="H688" s="214"/>
      <c r="I688" s="214"/>
      <c r="J688" s="214"/>
      <c r="K688" s="214"/>
      <c r="L688" s="214"/>
    </row>
    <row r="689" spans="1:13" s="241" customFormat="1" x14ac:dyDescent="0.25">
      <c r="A689" s="220"/>
      <c r="B689" s="219" t="s">
        <v>1182</v>
      </c>
      <c r="C689" s="212"/>
      <c r="D689" s="212"/>
      <c r="E689" s="214"/>
      <c r="F689" s="214"/>
      <c r="G689" s="214"/>
      <c r="H689" s="214"/>
      <c r="I689" s="217">
        <v>6.52</v>
      </c>
      <c r="J689" s="217">
        <v>1.56</v>
      </c>
      <c r="K689" s="217"/>
      <c r="L689" s="217"/>
    </row>
    <row r="690" spans="1:13" s="241" customFormat="1" x14ac:dyDescent="0.25">
      <c r="A690" s="220"/>
      <c r="B690" s="219" t="s">
        <v>1184</v>
      </c>
      <c r="C690" s="212"/>
      <c r="D690" s="212"/>
      <c r="E690" s="214"/>
      <c r="F690" s="214"/>
      <c r="G690" s="214"/>
      <c r="H690" s="214"/>
      <c r="I690" s="217">
        <v>0</v>
      </c>
      <c r="J690" s="217">
        <v>0.2</v>
      </c>
      <c r="K690" s="217"/>
      <c r="L690" s="217"/>
    </row>
    <row r="691" spans="1:13" x14ac:dyDescent="0.25">
      <c r="A691" s="13"/>
      <c r="B691" s="21"/>
      <c r="C691" s="13"/>
      <c r="D691" s="13"/>
      <c r="E691" s="111"/>
      <c r="F691" s="111"/>
      <c r="G691" s="111"/>
      <c r="H691" s="111"/>
      <c r="I691" s="111"/>
      <c r="J691" s="111"/>
      <c r="K691" s="111"/>
      <c r="L691" s="111"/>
    </row>
    <row r="692" spans="1:13" x14ac:dyDescent="0.25">
      <c r="A692" s="13"/>
      <c r="B692" s="21"/>
      <c r="C692" s="13"/>
      <c r="D692" s="13"/>
      <c r="E692" s="111"/>
      <c r="F692" s="111"/>
      <c r="G692" s="111"/>
      <c r="H692" s="111"/>
      <c r="I692" s="111"/>
      <c r="J692" s="111"/>
      <c r="K692" s="111"/>
      <c r="L692" s="111"/>
    </row>
    <row r="693" spans="1:13" ht="60" x14ac:dyDescent="0.25">
      <c r="A693" s="220" t="s">
        <v>2022</v>
      </c>
      <c r="B693" s="219" t="s">
        <v>2569</v>
      </c>
      <c r="C693" s="212"/>
      <c r="D693" s="212" t="s">
        <v>8</v>
      </c>
      <c r="E693" s="214"/>
      <c r="F693" s="214"/>
      <c r="G693" s="214"/>
      <c r="H693" s="214"/>
      <c r="I693" s="214"/>
      <c r="J693" s="214"/>
      <c r="K693" s="214"/>
      <c r="L693" s="214"/>
    </row>
    <row r="694" spans="1:13" s="241" customFormat="1" x14ac:dyDescent="0.25">
      <c r="A694" s="220"/>
      <c r="B694" s="219" t="s">
        <v>1182</v>
      </c>
      <c r="C694" s="212"/>
      <c r="D694" s="212"/>
      <c r="E694" s="214"/>
      <c r="F694" s="214"/>
      <c r="G694" s="214"/>
      <c r="H694" s="214"/>
      <c r="I694" s="217">
        <v>1.61</v>
      </c>
      <c r="J694" s="217"/>
      <c r="K694" s="217"/>
      <c r="L694" s="217"/>
    </row>
    <row r="695" spans="1:13" s="241" customFormat="1" x14ac:dyDescent="0.25">
      <c r="A695" s="220"/>
      <c r="B695" s="219" t="s">
        <v>1184</v>
      </c>
      <c r="C695" s="212"/>
      <c r="D695" s="212"/>
      <c r="E695" s="214"/>
      <c r="F695" s="214"/>
      <c r="G695" s="214"/>
      <c r="H695" s="214"/>
      <c r="I695" s="217">
        <v>0.34</v>
      </c>
      <c r="J695" s="217"/>
      <c r="K695" s="217"/>
      <c r="L695" s="217"/>
    </row>
    <row r="696" spans="1:13" x14ac:dyDescent="0.25">
      <c r="A696" s="13"/>
      <c r="B696" s="21"/>
      <c r="C696" s="13"/>
      <c r="D696" s="13"/>
      <c r="E696" s="111"/>
      <c r="F696" s="111"/>
      <c r="G696" s="111"/>
      <c r="H696" s="111"/>
      <c r="I696" s="111"/>
      <c r="J696" s="111"/>
      <c r="K696" s="111"/>
      <c r="L696" s="111"/>
    </row>
    <row r="697" spans="1:13" x14ac:dyDescent="0.25">
      <c r="A697" s="13"/>
      <c r="B697" s="21"/>
      <c r="C697" s="13"/>
      <c r="D697" s="13"/>
      <c r="E697" s="111"/>
      <c r="F697" s="111"/>
      <c r="G697" s="111"/>
      <c r="H697" s="111"/>
      <c r="I697" s="111"/>
      <c r="J697" s="111"/>
      <c r="K697" s="111"/>
      <c r="L697" s="111"/>
    </row>
    <row r="698" spans="1:13" ht="75" x14ac:dyDescent="0.25">
      <c r="A698" s="220" t="s">
        <v>2021</v>
      </c>
      <c r="B698" s="219" t="s">
        <v>2570</v>
      </c>
      <c r="C698" s="212"/>
      <c r="D698" s="212" t="s">
        <v>8</v>
      </c>
      <c r="E698" s="214"/>
      <c r="F698" s="214"/>
      <c r="G698" s="214"/>
      <c r="H698" s="214"/>
      <c r="I698" s="217"/>
      <c r="J698" s="214"/>
      <c r="K698" s="214"/>
      <c r="L698" s="214"/>
    </row>
    <row r="699" spans="1:13" s="241" customFormat="1" x14ac:dyDescent="0.25">
      <c r="A699" s="220"/>
      <c r="B699" s="219" t="s">
        <v>1182</v>
      </c>
      <c r="C699" s="212"/>
      <c r="D699" s="212"/>
      <c r="E699" s="214"/>
      <c r="F699" s="214"/>
      <c r="G699" s="214"/>
      <c r="H699" s="214"/>
      <c r="I699" s="217">
        <v>0.05</v>
      </c>
      <c r="J699" s="217">
        <v>7.0000000000000007E-2</v>
      </c>
      <c r="K699" s="217"/>
      <c r="L699" s="217"/>
    </row>
    <row r="700" spans="1:13" s="241" customFormat="1" x14ac:dyDescent="0.25">
      <c r="A700" s="220"/>
      <c r="B700" s="219" t="s">
        <v>1184</v>
      </c>
      <c r="C700" s="212"/>
      <c r="D700" s="212"/>
      <c r="E700" s="214"/>
      <c r="F700" s="214"/>
      <c r="G700" s="214"/>
      <c r="H700" s="214"/>
      <c r="I700" s="217">
        <v>0</v>
      </c>
      <c r="J700" s="217">
        <v>0</v>
      </c>
      <c r="K700" s="217"/>
      <c r="L700" s="217"/>
    </row>
    <row r="701" spans="1:13" x14ac:dyDescent="0.25">
      <c r="A701" s="13"/>
      <c r="B701" s="21"/>
      <c r="C701" s="13"/>
      <c r="D701" s="13"/>
      <c r="E701" s="111"/>
      <c r="F701" s="111"/>
      <c r="G701" s="111"/>
      <c r="H701" s="111"/>
      <c r="I701" s="111"/>
      <c r="J701" s="111"/>
      <c r="K701" s="111"/>
      <c r="L701" s="111"/>
    </row>
    <row r="702" spans="1:13" x14ac:dyDescent="0.25">
      <c r="A702" s="6"/>
      <c r="B702" s="34"/>
      <c r="C702" s="13"/>
      <c r="D702" s="13"/>
      <c r="E702" s="111"/>
      <c r="F702" s="111"/>
      <c r="G702" s="111"/>
      <c r="H702" s="111"/>
      <c r="I702" s="111"/>
      <c r="J702" s="111"/>
      <c r="K702" s="111"/>
      <c r="L702" s="111"/>
    </row>
    <row r="703" spans="1:13" ht="60" x14ac:dyDescent="0.25">
      <c r="A703" s="47" t="s">
        <v>527</v>
      </c>
      <c r="B703" s="48" t="s">
        <v>528</v>
      </c>
      <c r="C703" s="44"/>
      <c r="D703" s="44"/>
      <c r="E703" s="44"/>
      <c r="F703" s="44"/>
      <c r="G703" s="44"/>
      <c r="H703" s="44"/>
      <c r="I703" s="44"/>
      <c r="J703" s="44"/>
      <c r="K703" s="44"/>
      <c r="L703" s="44"/>
    </row>
    <row r="704" spans="1:13" ht="60" x14ac:dyDescent="0.25">
      <c r="A704" s="79" t="s">
        <v>529</v>
      </c>
      <c r="B704" s="112" t="s">
        <v>1129</v>
      </c>
      <c r="C704" s="113"/>
      <c r="D704" s="79"/>
      <c r="E704" s="52"/>
      <c r="F704" s="52"/>
      <c r="G704" s="52"/>
      <c r="H704" s="52"/>
      <c r="I704" s="52"/>
      <c r="J704" s="52"/>
      <c r="K704" s="52"/>
      <c r="L704" s="52"/>
      <c r="M704" s="3" t="s">
        <v>545</v>
      </c>
    </row>
    <row r="705" spans="1:110" x14ac:dyDescent="0.25">
      <c r="A705" s="79"/>
      <c r="B705" s="43" t="s">
        <v>1182</v>
      </c>
      <c r="C705" s="139" t="s">
        <v>8</v>
      </c>
      <c r="D705" s="79"/>
      <c r="E705" s="52"/>
      <c r="F705" s="52"/>
      <c r="G705" s="52"/>
      <c r="H705" s="52"/>
      <c r="I705" s="78">
        <v>97.22</v>
      </c>
      <c r="J705" s="78">
        <v>91.43</v>
      </c>
      <c r="K705" s="78">
        <f>K708/K711*100</f>
        <v>100</v>
      </c>
      <c r="L705" s="78">
        <f>L708/L711*100</f>
        <v>100</v>
      </c>
      <c r="M705" s="3"/>
      <c r="N705" s="78">
        <f t="shared" ref="N705:Q706" si="1932">N708/N711*100</f>
        <v>100</v>
      </c>
      <c r="O705" s="78">
        <f t="shared" si="1932"/>
        <v>100</v>
      </c>
      <c r="P705" s="78">
        <f t="shared" si="1932"/>
        <v>100</v>
      </c>
      <c r="Q705" s="78">
        <f t="shared" si="1932"/>
        <v>100</v>
      </c>
      <c r="S705" s="78">
        <f>S708/S711*100</f>
        <v>100</v>
      </c>
      <c r="T705" s="78" t="e">
        <f>T708/T711*100</f>
        <v>#DIV/0!</v>
      </c>
      <c r="V705" s="78">
        <f>V708/V711*100</f>
        <v>100</v>
      </c>
      <c r="W705" s="78" t="e">
        <f>W708/W711*100</f>
        <v>#DIV/0!</v>
      </c>
      <c r="Y705" s="78">
        <f>Y708/Y711*100</f>
        <v>100</v>
      </c>
      <c r="Z705" s="78" t="e">
        <f>Z708/Z711*100</f>
        <v>#DIV/0!</v>
      </c>
      <c r="AA705" s="241"/>
      <c r="AB705" s="78">
        <f>AB708/AB711*100</f>
        <v>100</v>
      </c>
      <c r="AC705" s="78" t="e">
        <f>AC708/AC711*100</f>
        <v>#DIV/0!</v>
      </c>
      <c r="AD705" s="241"/>
      <c r="AE705" s="78">
        <f>AE708/AE711*100</f>
        <v>100</v>
      </c>
      <c r="AF705" s="78" t="e">
        <f>AF708/AF711*100</f>
        <v>#DIV/0!</v>
      </c>
      <c r="AH705" s="78">
        <f>AH708/AH711*100</f>
        <v>100</v>
      </c>
      <c r="AI705" s="78" t="e">
        <f>AI708/AI711*100</f>
        <v>#DIV/0!</v>
      </c>
      <c r="AJ705" s="241"/>
      <c r="AK705" s="78">
        <f>AK708/AK711*100</f>
        <v>100</v>
      </c>
      <c r="AL705" s="78" t="e">
        <f>AL708/AL711*100</f>
        <v>#DIV/0!</v>
      </c>
      <c r="AM705" s="241"/>
      <c r="AN705" s="78" t="e">
        <f>AN708/AN711*100</f>
        <v>#DIV/0!</v>
      </c>
      <c r="AO705" s="78" t="e">
        <f>AO708/AO711*100</f>
        <v>#DIV/0!</v>
      </c>
      <c r="AQ705" s="78">
        <f>AQ708/AQ711*100</f>
        <v>100</v>
      </c>
      <c r="AR705" s="78" t="e">
        <f>AR708/AR711*100</f>
        <v>#DIV/0!</v>
      </c>
      <c r="AS705" s="241"/>
      <c r="AT705" s="78">
        <f>AT708/AT711*100</f>
        <v>100</v>
      </c>
      <c r="AU705" s="78" t="e">
        <f>AU708/AU711*100</f>
        <v>#DIV/0!</v>
      </c>
      <c r="AW705" s="78">
        <f>AW708/AW711*100</f>
        <v>100</v>
      </c>
      <c r="AX705" s="78" t="e">
        <f>AX708/AX711*100</f>
        <v>#DIV/0!</v>
      </c>
      <c r="AZ705" s="78">
        <f>AZ708/AZ711*100</f>
        <v>100</v>
      </c>
      <c r="BA705" s="78" t="e">
        <f>BA708/BA711*100</f>
        <v>#DIV/0!</v>
      </c>
      <c r="BB705" s="241"/>
      <c r="BC705" s="78">
        <f>BC708/BC711*100</f>
        <v>100</v>
      </c>
      <c r="BD705" s="78" t="e">
        <f>BD708/BD711*100</f>
        <v>#DIV/0!</v>
      </c>
      <c r="BE705" s="241"/>
      <c r="BF705" s="78">
        <f>BF708/BF711*100</f>
        <v>100</v>
      </c>
      <c r="BG705" s="78" t="e">
        <f>BG708/BG711*100</f>
        <v>#DIV/0!</v>
      </c>
      <c r="BI705" s="78">
        <f>BI708/BI711*100</f>
        <v>100</v>
      </c>
      <c r="BJ705" s="78" t="e">
        <f>BJ708/BJ711*100</f>
        <v>#DIV/0!</v>
      </c>
      <c r="BK705" s="241"/>
      <c r="BL705" s="78">
        <f>BL708/BL711*100</f>
        <v>100</v>
      </c>
      <c r="BM705" s="78" t="e">
        <f>BM708/BM711*100</f>
        <v>#DIV/0!</v>
      </c>
      <c r="BN705" s="241"/>
      <c r="BO705" s="78">
        <f>BO708/BO711*100</f>
        <v>100</v>
      </c>
      <c r="BP705" s="78" t="e">
        <f>BP708/BP711*100</f>
        <v>#DIV/0!</v>
      </c>
      <c r="BR705" s="78">
        <f>BR708/BR711*100</f>
        <v>100</v>
      </c>
      <c r="BS705" s="78" t="e">
        <f>BS708/BS711*100</f>
        <v>#DIV/0!</v>
      </c>
      <c r="BT705" s="241"/>
      <c r="BU705" s="78">
        <f>BU708/BU711*100</f>
        <v>100</v>
      </c>
      <c r="BV705" s="78" t="e">
        <f>BV708/BV711*100</f>
        <v>#DIV/0!</v>
      </c>
      <c r="BW705" s="241"/>
      <c r="BX705" s="78">
        <f>BX708/BX711*100</f>
        <v>100</v>
      </c>
      <c r="BY705" s="78" t="e">
        <f>BY708/BY711*100</f>
        <v>#DIV/0!</v>
      </c>
      <c r="CA705" s="78">
        <f>CA708/CA711*100</f>
        <v>100</v>
      </c>
      <c r="CB705" s="78" t="e">
        <f>CB708/CB711*100</f>
        <v>#DIV/0!</v>
      </c>
      <c r="CC705" s="241"/>
      <c r="CD705" s="78">
        <f>CD708/CD711*100</f>
        <v>100</v>
      </c>
      <c r="CE705" s="78" t="e">
        <f>CE708/CE711*100</f>
        <v>#DIV/0!</v>
      </c>
      <c r="CF705" s="241"/>
      <c r="CG705" s="78">
        <f>CG708/CG711*100</f>
        <v>100</v>
      </c>
      <c r="CH705" s="78" t="e">
        <f>CH708/CH711*100</f>
        <v>#DIV/0!</v>
      </c>
      <c r="CJ705" s="78" t="e">
        <f>CJ708/CJ711*100</f>
        <v>#DIV/0!</v>
      </c>
      <c r="CK705" s="78" t="e">
        <f>CK708/CK711*100</f>
        <v>#DIV/0!</v>
      </c>
      <c r="CL705" s="241"/>
      <c r="CM705" s="78" t="e">
        <f>CM708/CM711*100</f>
        <v>#DIV/0!</v>
      </c>
      <c r="CN705" s="78" t="e">
        <f>CN708/CN711*100</f>
        <v>#DIV/0!</v>
      </c>
      <c r="CO705" s="241"/>
      <c r="CP705" s="78" t="e">
        <f>CP708/CP711*100</f>
        <v>#DIV/0!</v>
      </c>
      <c r="CQ705" s="78" t="e">
        <f>CQ708/CQ711*100</f>
        <v>#DIV/0!</v>
      </c>
      <c r="CS705" s="78" t="e">
        <f>CS708/CS711*100</f>
        <v>#DIV/0!</v>
      </c>
      <c r="CT705" s="78" t="e">
        <f>CT708/CT711*100</f>
        <v>#DIV/0!</v>
      </c>
      <c r="CU705" s="241"/>
      <c r="CV705" s="78" t="e">
        <f>CV708/CV711*100</f>
        <v>#DIV/0!</v>
      </c>
      <c r="CW705" s="78" t="e">
        <f>CW708/CW711*100</f>
        <v>#DIV/0!</v>
      </c>
      <c r="CX705" s="241"/>
      <c r="CY705" s="78" t="e">
        <f>CY708/CY711*100</f>
        <v>#DIV/0!</v>
      </c>
      <c r="CZ705" s="78" t="e">
        <f>CZ708/CZ711*100</f>
        <v>#DIV/0!</v>
      </c>
      <c r="DB705" s="78" t="e">
        <f>DB708/DB711*100</f>
        <v>#DIV/0!</v>
      </c>
      <c r="DC705" s="78" t="e">
        <f>DC708/DC711*100</f>
        <v>#DIV/0!</v>
      </c>
      <c r="DD705" s="241"/>
      <c r="DE705" s="78" t="e">
        <f>DE708/DE711*100</f>
        <v>#DIV/0!</v>
      </c>
      <c r="DF705" s="78" t="e">
        <f>DF708/DF711*100</f>
        <v>#DIV/0!</v>
      </c>
    </row>
    <row r="706" spans="1:110" x14ac:dyDescent="0.25">
      <c r="A706" s="79"/>
      <c r="B706" s="43" t="s">
        <v>1184</v>
      </c>
      <c r="C706" s="139" t="s">
        <v>8</v>
      </c>
      <c r="D706" s="79"/>
      <c r="E706" s="52"/>
      <c r="F706" s="52"/>
      <c r="G706" s="52"/>
      <c r="H706" s="52"/>
      <c r="I706" s="78">
        <v>100</v>
      </c>
      <c r="J706" s="78">
        <v>100</v>
      </c>
      <c r="K706" s="78">
        <f>K709/K712*100</f>
        <v>66.666666666666657</v>
      </c>
      <c r="L706" s="78">
        <f>L709/L712*100</f>
        <v>66.666666666666657</v>
      </c>
      <c r="M706" s="3"/>
      <c r="N706" s="78" t="e">
        <f t="shared" si="1932"/>
        <v>#DIV/0!</v>
      </c>
      <c r="O706" s="78" t="e">
        <f t="shared" si="1932"/>
        <v>#DIV/0!</v>
      </c>
      <c r="P706" s="78" t="e">
        <f t="shared" si="1932"/>
        <v>#DIV/0!</v>
      </c>
      <c r="Q706" s="78" t="e">
        <f t="shared" si="1932"/>
        <v>#DIV/0!</v>
      </c>
      <c r="S706" s="78" t="e">
        <f>S709/S712*100</f>
        <v>#DIV/0!</v>
      </c>
      <c r="T706" s="78" t="e">
        <f>T709/T712*100</f>
        <v>#DIV/0!</v>
      </c>
      <c r="V706" s="78" t="e">
        <f>V709/V712*100</f>
        <v>#DIV/0!</v>
      </c>
      <c r="W706" s="78" t="e">
        <f>W709/W712*100</f>
        <v>#DIV/0!</v>
      </c>
      <c r="Y706" s="78" t="e">
        <f>Y709/Y712*100</f>
        <v>#DIV/0!</v>
      </c>
      <c r="Z706" s="78" t="e">
        <f>Z709/Z712*100</f>
        <v>#DIV/0!</v>
      </c>
      <c r="AA706" s="241"/>
      <c r="AB706" s="78" t="e">
        <f>AB709/AB712*100</f>
        <v>#DIV/0!</v>
      </c>
      <c r="AC706" s="78" t="e">
        <f>AC709/AC712*100</f>
        <v>#DIV/0!</v>
      </c>
      <c r="AD706" s="241"/>
      <c r="AE706" s="78" t="e">
        <f>AE709/AE712*100</f>
        <v>#DIV/0!</v>
      </c>
      <c r="AF706" s="78" t="e">
        <f>AF709/AF712*100</f>
        <v>#DIV/0!</v>
      </c>
      <c r="AH706" s="78" t="e">
        <f>AH709/AH712*100</f>
        <v>#DIV/0!</v>
      </c>
      <c r="AI706" s="78" t="e">
        <f>AI709/AI712*100</f>
        <v>#DIV/0!</v>
      </c>
      <c r="AJ706" s="241"/>
      <c r="AK706" s="78" t="e">
        <f>AK709/AK712*100</f>
        <v>#DIV/0!</v>
      </c>
      <c r="AL706" s="78" t="e">
        <f>AL709/AL712*100</f>
        <v>#DIV/0!</v>
      </c>
      <c r="AM706" s="241"/>
      <c r="AN706" s="78" t="e">
        <f>AN709/AN712*100</f>
        <v>#DIV/0!</v>
      </c>
      <c r="AO706" s="78" t="e">
        <f>AO709/AO712*100</f>
        <v>#DIV/0!</v>
      </c>
      <c r="AQ706" s="78" t="e">
        <f>AQ709/AQ712*100</f>
        <v>#DIV/0!</v>
      </c>
      <c r="AR706" s="78" t="e">
        <f>AR709/AR712*100</f>
        <v>#DIV/0!</v>
      </c>
      <c r="AS706" s="241"/>
      <c r="AT706" s="78" t="e">
        <f>AT709/AT712*100</f>
        <v>#DIV/0!</v>
      </c>
      <c r="AU706" s="78" t="e">
        <f>AU709/AU712*100</f>
        <v>#DIV/0!</v>
      </c>
      <c r="AW706" s="78" t="e">
        <f>AW709/AW712*100</f>
        <v>#DIV/0!</v>
      </c>
      <c r="AX706" s="78" t="e">
        <f>AX709/AX712*100</f>
        <v>#DIV/0!</v>
      </c>
      <c r="AZ706" s="78" t="e">
        <f>AZ709/AZ712*100</f>
        <v>#DIV/0!</v>
      </c>
      <c r="BA706" s="78" t="e">
        <f>BA709/BA712*100</f>
        <v>#DIV/0!</v>
      </c>
      <c r="BB706" s="241"/>
      <c r="BC706" s="78" t="e">
        <f>BC709/BC712*100</f>
        <v>#DIV/0!</v>
      </c>
      <c r="BD706" s="78" t="e">
        <f>BD709/BD712*100</f>
        <v>#DIV/0!</v>
      </c>
      <c r="BE706" s="241"/>
      <c r="BF706" s="78" t="e">
        <f>BF709/BF712*100</f>
        <v>#DIV/0!</v>
      </c>
      <c r="BG706" s="78" t="e">
        <f>BG709/BG712*100</f>
        <v>#DIV/0!</v>
      </c>
      <c r="BI706" s="78" t="e">
        <f>BI709/BI712*100</f>
        <v>#DIV/0!</v>
      </c>
      <c r="BJ706" s="78" t="e">
        <f>BJ709/BJ712*100</f>
        <v>#DIV/0!</v>
      </c>
      <c r="BK706" s="241"/>
      <c r="BL706" s="78" t="e">
        <f>BL709/BL712*100</f>
        <v>#DIV/0!</v>
      </c>
      <c r="BM706" s="78" t="e">
        <f>BM709/BM712*100</f>
        <v>#DIV/0!</v>
      </c>
      <c r="BN706" s="241"/>
      <c r="BO706" s="78" t="e">
        <f>BO709/BO712*100</f>
        <v>#DIV/0!</v>
      </c>
      <c r="BP706" s="78" t="e">
        <f>BP709/BP712*100</f>
        <v>#DIV/0!</v>
      </c>
      <c r="BR706" s="78" t="e">
        <f>BR709/BR712*100</f>
        <v>#DIV/0!</v>
      </c>
      <c r="BS706" s="78" t="e">
        <f>BS709/BS712*100</f>
        <v>#DIV/0!</v>
      </c>
      <c r="BT706" s="241"/>
      <c r="BU706" s="78" t="e">
        <f>BU709/BU712*100</f>
        <v>#DIV/0!</v>
      </c>
      <c r="BV706" s="78" t="e">
        <f>BV709/BV712*100</f>
        <v>#DIV/0!</v>
      </c>
      <c r="BW706" s="241"/>
      <c r="BX706" s="78" t="e">
        <f>BX709/BX712*100</f>
        <v>#DIV/0!</v>
      </c>
      <c r="BY706" s="78" t="e">
        <f>BY709/BY712*100</f>
        <v>#DIV/0!</v>
      </c>
      <c r="CA706" s="78" t="e">
        <f>CA709/CA712*100</f>
        <v>#DIV/0!</v>
      </c>
      <c r="CB706" s="78" t="e">
        <f>CB709/CB712*100</f>
        <v>#DIV/0!</v>
      </c>
      <c r="CC706" s="241"/>
      <c r="CD706" s="78" t="e">
        <f>CD709/CD712*100</f>
        <v>#DIV/0!</v>
      </c>
      <c r="CE706" s="78" t="e">
        <f>CE709/CE712*100</f>
        <v>#DIV/0!</v>
      </c>
      <c r="CF706" s="241"/>
      <c r="CG706" s="78" t="e">
        <f>CG709/CG712*100</f>
        <v>#DIV/0!</v>
      </c>
      <c r="CH706" s="78" t="e">
        <f>CH709/CH712*100</f>
        <v>#DIV/0!</v>
      </c>
      <c r="CJ706" s="78" t="e">
        <f>CJ709/CJ712*100</f>
        <v>#DIV/0!</v>
      </c>
      <c r="CK706" s="78" t="e">
        <f>CK709/CK712*100</f>
        <v>#DIV/0!</v>
      </c>
      <c r="CL706" s="241"/>
      <c r="CM706" s="78" t="e">
        <f>CM709/CM712*100</f>
        <v>#DIV/0!</v>
      </c>
      <c r="CN706" s="78" t="e">
        <f>CN709/CN712*100</f>
        <v>#DIV/0!</v>
      </c>
      <c r="CO706" s="241"/>
      <c r="CP706" s="78" t="e">
        <f>CP709/CP712*100</f>
        <v>#DIV/0!</v>
      </c>
      <c r="CQ706" s="78" t="e">
        <f>CQ709/CQ712*100</f>
        <v>#DIV/0!</v>
      </c>
      <c r="CS706" s="78" t="e">
        <f>CS709/CS712*100</f>
        <v>#DIV/0!</v>
      </c>
      <c r="CT706" s="78" t="e">
        <f>CT709/CT712*100</f>
        <v>#DIV/0!</v>
      </c>
      <c r="CU706" s="241"/>
      <c r="CV706" s="78" t="e">
        <f>CV709/CV712*100</f>
        <v>#DIV/0!</v>
      </c>
      <c r="CW706" s="78" t="e">
        <f>CW709/CW712*100</f>
        <v>#DIV/0!</v>
      </c>
      <c r="CX706" s="241"/>
      <c r="CY706" s="78" t="e">
        <f>CY709/CY712*100</f>
        <v>#DIV/0!</v>
      </c>
      <c r="CZ706" s="78" t="e">
        <f>CZ709/CZ712*100</f>
        <v>#DIV/0!</v>
      </c>
      <c r="DB706" s="78" t="e">
        <f>DB709/DB712*100</f>
        <v>#DIV/0!</v>
      </c>
      <c r="DC706" s="78" t="e">
        <f>DC709/DC712*100</f>
        <v>#DIV/0!</v>
      </c>
      <c r="DD706" s="241"/>
      <c r="DE706" s="78" t="e">
        <f>DE709/DE712*100</f>
        <v>#DIV/0!</v>
      </c>
      <c r="DF706" s="78" t="e">
        <f>DF709/DF712*100</f>
        <v>#DIV/0!</v>
      </c>
    </row>
    <row r="707" spans="1:110" s="241" customFormat="1" x14ac:dyDescent="0.25">
      <c r="A707" s="77"/>
      <c r="B707" s="21" t="s">
        <v>2979</v>
      </c>
      <c r="C707" s="200"/>
      <c r="D707" s="77"/>
      <c r="E707" s="235"/>
      <c r="F707" s="235"/>
      <c r="G707" s="235"/>
      <c r="H707" s="235"/>
      <c r="I707" s="199"/>
      <c r="J707" s="235"/>
      <c r="K707" s="199"/>
      <c r="L707" s="235"/>
      <c r="M707" s="3"/>
    </row>
    <row r="708" spans="1:110" x14ac:dyDescent="0.25">
      <c r="A708" s="77"/>
      <c r="B708" s="21" t="s">
        <v>2980</v>
      </c>
      <c r="C708" s="207" t="s">
        <v>1763</v>
      </c>
      <c r="D708" s="77"/>
      <c r="E708" s="235"/>
      <c r="F708" s="235"/>
      <c r="G708" s="235"/>
      <c r="H708" s="235"/>
      <c r="I708" s="199"/>
      <c r="J708" s="235"/>
      <c r="K708" s="199">
        <v>24</v>
      </c>
      <c r="L708" s="199">
        <v>24</v>
      </c>
      <c r="M708" s="3"/>
      <c r="N708" s="241">
        <f>P708+S708+V708+Y708+AB708+AE708+AH708+AK708+AN708+AQ708+AW708+AZ708+BC708+BF708+BI708+BL708+BO708+BR708+BU708+BX708+CA708+CD708+CG708+CJ708+AT708+CM708+CP708+DE708</f>
        <v>23</v>
      </c>
      <c r="O708" s="241">
        <f t="shared" ref="O708:O709" si="1933">Q708+T708+W708+Z708+AC708+AF708+AI708+AL708+AO708+AR708+AX708+BA708+BD708+BG708+BJ708+BM708+BP708+BS708+BV708+BY708+CB708+CE708+CH708+CK708+AU708+CN708+CQ708+DF708</f>
        <v>1</v>
      </c>
      <c r="P708">
        <v>1</v>
      </c>
      <c r="Q708">
        <v>1</v>
      </c>
      <c r="S708">
        <v>1</v>
      </c>
      <c r="V708">
        <v>1</v>
      </c>
      <c r="Y708">
        <v>1</v>
      </c>
      <c r="AB708">
        <v>1</v>
      </c>
      <c r="AE708">
        <v>1</v>
      </c>
      <c r="AH708">
        <v>1</v>
      </c>
      <c r="AK708">
        <v>1</v>
      </c>
      <c r="AN708">
        <v>0</v>
      </c>
      <c r="AQ708">
        <v>1</v>
      </c>
      <c r="AT708" s="241">
        <v>1</v>
      </c>
      <c r="AW708">
        <v>1</v>
      </c>
      <c r="AZ708">
        <v>1</v>
      </c>
      <c r="BC708">
        <v>1</v>
      </c>
      <c r="BF708">
        <v>1</v>
      </c>
      <c r="BI708">
        <v>1</v>
      </c>
      <c r="BL708">
        <v>1</v>
      </c>
      <c r="BO708">
        <v>1</v>
      </c>
      <c r="BR708">
        <v>1</v>
      </c>
      <c r="BU708">
        <v>1</v>
      </c>
      <c r="BX708">
        <v>1</v>
      </c>
      <c r="CA708">
        <v>1</v>
      </c>
      <c r="CD708">
        <v>1</v>
      </c>
      <c r="CG708">
        <v>1</v>
      </c>
      <c r="CJ708">
        <v>0</v>
      </c>
    </row>
    <row r="709" spans="1:110" x14ac:dyDescent="0.25">
      <c r="A709" s="77"/>
      <c r="B709" s="21" t="s">
        <v>2981</v>
      </c>
      <c r="C709" s="207" t="s">
        <v>1763</v>
      </c>
      <c r="D709" s="77"/>
      <c r="E709" s="235"/>
      <c r="F709" s="235"/>
      <c r="G709" s="235"/>
      <c r="H709" s="235"/>
      <c r="I709" s="199"/>
      <c r="J709" s="235"/>
      <c r="K709" s="199">
        <v>2</v>
      </c>
      <c r="L709" s="199">
        <v>2</v>
      </c>
      <c r="M709" s="3"/>
      <c r="N709" s="241">
        <f t="shared" ref="N709" si="1934">P709+S709+V709+Y709+AB709+AE709+AH709+AK709+AN709+AQ709+AW709+AZ709+BC709+BF709+BI709+BL709+BO709+BR709+BU709+BX709+CA709+CD709+CG709+CJ709+AT709+CM709+CP709+DE709</f>
        <v>0</v>
      </c>
      <c r="O709" s="241">
        <f t="shared" si="1933"/>
        <v>0</v>
      </c>
    </row>
    <row r="710" spans="1:110" s="241" customFormat="1" x14ac:dyDescent="0.25">
      <c r="A710" s="77"/>
      <c r="B710" s="21" t="s">
        <v>2982</v>
      </c>
      <c r="C710" s="200"/>
      <c r="D710" s="77"/>
      <c r="E710" s="235"/>
      <c r="F710" s="235"/>
      <c r="G710" s="235"/>
      <c r="H710" s="235"/>
      <c r="I710" s="199"/>
      <c r="J710" s="235"/>
      <c r="K710" s="199"/>
      <c r="L710" s="199"/>
      <c r="M710" s="3"/>
    </row>
    <row r="711" spans="1:110" x14ac:dyDescent="0.25">
      <c r="A711" s="77"/>
      <c r="B711" s="21" t="s">
        <v>2980</v>
      </c>
      <c r="C711" s="207" t="s">
        <v>1763</v>
      </c>
      <c r="D711" s="77"/>
      <c r="E711" s="235"/>
      <c r="F711" s="235"/>
      <c r="G711" s="235"/>
      <c r="H711" s="235"/>
      <c r="I711" s="199"/>
      <c r="J711" s="235"/>
      <c r="K711" s="199">
        <v>24</v>
      </c>
      <c r="L711" s="199">
        <f>K708</f>
        <v>24</v>
      </c>
      <c r="M711" s="3"/>
      <c r="N711" s="241">
        <f>P711+S711+V711+Y711+AB711+AE711+AH711+AK711+AN711+AQ711+AW711+AZ711+BC711+BF711+BI711+BL711+BO711+BR711+BU711+BX711+CA711+CD711+CG711+CJ711+AT711+CM711+CP711+DE711</f>
        <v>23</v>
      </c>
      <c r="O711" s="241">
        <f t="shared" ref="O711:O712" si="1935">Q711+T711+W711+Z711+AC711+AF711+AI711+AL711+AO711+AR711+AX711+BA711+BD711+BG711+BJ711+BM711+BP711+BS711+BV711+BY711+CB711+CE711+CH711+CK711+AU711+CN711+CQ711+DF711</f>
        <v>1</v>
      </c>
      <c r="P711">
        <v>1</v>
      </c>
      <c r="Q711">
        <v>1</v>
      </c>
      <c r="S711">
        <v>1</v>
      </c>
      <c r="V711">
        <v>1</v>
      </c>
      <c r="Y711">
        <v>1</v>
      </c>
      <c r="AB711">
        <v>1</v>
      </c>
      <c r="AE711">
        <v>1</v>
      </c>
      <c r="AH711">
        <v>1</v>
      </c>
      <c r="AK711">
        <v>1</v>
      </c>
      <c r="AN711">
        <v>0</v>
      </c>
      <c r="AQ711">
        <v>1</v>
      </c>
      <c r="AT711" s="241">
        <v>1</v>
      </c>
      <c r="AW711">
        <v>1</v>
      </c>
      <c r="AZ711">
        <v>1</v>
      </c>
      <c r="BC711">
        <v>1</v>
      </c>
      <c r="BF711">
        <v>1</v>
      </c>
      <c r="BI711">
        <v>1</v>
      </c>
      <c r="BL711">
        <v>1</v>
      </c>
      <c r="BO711">
        <v>1</v>
      </c>
      <c r="BR711">
        <v>1</v>
      </c>
      <c r="BU711">
        <v>1</v>
      </c>
      <c r="BX711">
        <v>1</v>
      </c>
      <c r="CA711">
        <v>1</v>
      </c>
      <c r="CD711">
        <v>1</v>
      </c>
      <c r="CG711">
        <v>1</v>
      </c>
      <c r="CJ711">
        <v>0</v>
      </c>
    </row>
    <row r="712" spans="1:110" x14ac:dyDescent="0.25">
      <c r="A712" s="77"/>
      <c r="B712" s="21" t="s">
        <v>2981</v>
      </c>
      <c r="C712" s="207" t="s">
        <v>1763</v>
      </c>
      <c r="D712" s="77"/>
      <c r="E712" s="235"/>
      <c r="F712" s="235"/>
      <c r="G712" s="235"/>
      <c r="H712" s="235"/>
      <c r="I712" s="199"/>
      <c r="J712" s="235"/>
      <c r="K712" s="199">
        <v>3</v>
      </c>
      <c r="L712" s="199">
        <v>3</v>
      </c>
      <c r="M712" s="3"/>
      <c r="N712" s="241">
        <f t="shared" ref="N712" si="1936">P712+S712+V712+Y712+AB712+AE712+AH712+AK712+AN712+AQ712+AW712+AZ712+BC712+BF712+BI712+BL712+BO712+BR712+BU712+BX712+CA712+CD712+CG712+CJ712+AT712+CM712+CP712+DE712</f>
        <v>0</v>
      </c>
      <c r="O712" s="241">
        <f t="shared" si="1935"/>
        <v>0</v>
      </c>
    </row>
    <row r="713" spans="1:110" x14ac:dyDescent="0.25">
      <c r="A713" s="236"/>
      <c r="B713" s="196" t="s">
        <v>1131</v>
      </c>
      <c r="C713" s="172"/>
      <c r="D713" s="172" t="s">
        <v>8</v>
      </c>
      <c r="E713" s="197" t="e">
        <f>E714/E715*100</f>
        <v>#DIV/0!</v>
      </c>
      <c r="F713" s="197">
        <f>F714/F715*100</f>
        <v>100</v>
      </c>
      <c r="G713" s="197">
        <v>100</v>
      </c>
      <c r="H713" s="202">
        <v>106.25</v>
      </c>
      <c r="I713" s="202">
        <f>I714/I715*100</f>
        <v>100</v>
      </c>
      <c r="J713" s="202">
        <f>J714/J715*100</f>
        <v>100</v>
      </c>
      <c r="K713" s="202" t="e">
        <f>K714/K715*100</f>
        <v>#DIV/0!</v>
      </c>
      <c r="L713" s="202" t="e">
        <f>L714/L715*100</f>
        <v>#DIV/0!</v>
      </c>
      <c r="M713" s="3"/>
    </row>
    <row r="714" spans="1:110" ht="60" x14ac:dyDescent="0.25">
      <c r="A714" s="150"/>
      <c r="B714" s="51" t="s">
        <v>530</v>
      </c>
      <c r="C714" s="150" t="s">
        <v>531</v>
      </c>
      <c r="D714" s="150" t="s">
        <v>1112</v>
      </c>
      <c r="E714" s="198"/>
      <c r="F714" s="198">
        <v>8</v>
      </c>
      <c r="G714" s="198">
        <v>17</v>
      </c>
      <c r="H714" s="198"/>
      <c r="I714" s="198">
        <v>17</v>
      </c>
      <c r="J714" s="198">
        <v>17</v>
      </c>
      <c r="K714" s="198"/>
      <c r="L714" s="198"/>
      <c r="M714" s="3"/>
    </row>
    <row r="715" spans="1:110" ht="75" x14ac:dyDescent="0.25">
      <c r="A715" s="158"/>
      <c r="B715" s="51" t="s">
        <v>532</v>
      </c>
      <c r="C715" s="150" t="s">
        <v>533</v>
      </c>
      <c r="D715" s="150" t="s">
        <v>1112</v>
      </c>
      <c r="E715" s="198"/>
      <c r="F715" s="198">
        <v>8</v>
      </c>
      <c r="G715" s="198"/>
      <c r="H715" s="198">
        <v>17</v>
      </c>
      <c r="I715" s="198">
        <v>17</v>
      </c>
      <c r="J715" s="198">
        <v>17</v>
      </c>
      <c r="K715" s="198"/>
      <c r="L715" s="198"/>
    </row>
    <row r="716" spans="1:110" ht="45" x14ac:dyDescent="0.25">
      <c r="A716" s="158"/>
      <c r="B716" s="51" t="s">
        <v>535</v>
      </c>
      <c r="C716" s="150"/>
      <c r="D716" s="150" t="s">
        <v>8</v>
      </c>
      <c r="E716" s="159" t="e">
        <f t="shared" ref="E716:J716" si="1937">E717/E718*100</f>
        <v>#DIV/0!</v>
      </c>
      <c r="F716" s="159" t="e">
        <f t="shared" si="1937"/>
        <v>#DIV/0!</v>
      </c>
      <c r="G716" s="159" t="e">
        <f t="shared" si="1937"/>
        <v>#DIV/0!</v>
      </c>
      <c r="H716" s="159" t="e">
        <f t="shared" si="1937"/>
        <v>#DIV/0!</v>
      </c>
      <c r="I716" s="159" t="e">
        <f t="shared" si="1937"/>
        <v>#DIV/0!</v>
      </c>
      <c r="J716" s="159" t="e">
        <f t="shared" si="1937"/>
        <v>#DIV/0!</v>
      </c>
      <c r="K716" s="159" t="e">
        <f>K717/K718*100</f>
        <v>#DIV/0!</v>
      </c>
      <c r="L716" s="159" t="e">
        <f>L717/L718*100</f>
        <v>#DIV/0!</v>
      </c>
    </row>
    <row r="717" spans="1:110" ht="60" x14ac:dyDescent="0.25">
      <c r="A717" s="158"/>
      <c r="B717" s="51" t="s">
        <v>536</v>
      </c>
      <c r="C717" s="150" t="s">
        <v>531</v>
      </c>
      <c r="D717" s="150" t="s">
        <v>1112</v>
      </c>
      <c r="E717" s="198"/>
      <c r="F717" s="198">
        <v>0</v>
      </c>
      <c r="G717" s="198">
        <v>0</v>
      </c>
      <c r="H717" s="198"/>
      <c r="I717" s="198">
        <v>0</v>
      </c>
      <c r="J717" s="198">
        <v>0</v>
      </c>
      <c r="K717" s="198"/>
      <c r="L717" s="198"/>
    </row>
    <row r="718" spans="1:110" ht="60" x14ac:dyDescent="0.25">
      <c r="A718" s="158"/>
      <c r="B718" s="171" t="s">
        <v>537</v>
      </c>
      <c r="C718" s="172" t="s">
        <v>533</v>
      </c>
      <c r="D718" s="172" t="s">
        <v>1112</v>
      </c>
      <c r="E718" s="198"/>
      <c r="F718" s="198">
        <v>0</v>
      </c>
      <c r="G718" s="198">
        <v>0</v>
      </c>
      <c r="H718" s="198"/>
      <c r="I718" s="198">
        <v>0</v>
      </c>
      <c r="J718" s="198">
        <v>0</v>
      </c>
      <c r="K718" s="198"/>
      <c r="L718" s="198"/>
    </row>
    <row r="719" spans="1:110" x14ac:dyDescent="0.25">
      <c r="A719" s="237"/>
      <c r="B719" s="196" t="s">
        <v>1130</v>
      </c>
      <c r="C719" s="172"/>
      <c r="D719" s="206"/>
      <c r="E719" s="238"/>
      <c r="F719" s="238"/>
      <c r="G719" s="238"/>
      <c r="H719" s="238"/>
      <c r="I719" s="238"/>
      <c r="J719" s="238"/>
      <c r="K719" s="238"/>
      <c r="L719" s="238"/>
    </row>
    <row r="720" spans="1:110" x14ac:dyDescent="0.25">
      <c r="A720" s="237"/>
      <c r="B720" s="171" t="s">
        <v>534</v>
      </c>
      <c r="C720" s="172"/>
      <c r="D720" s="172"/>
      <c r="E720" s="239"/>
      <c r="F720" s="239"/>
      <c r="G720" s="239"/>
      <c r="H720" s="239"/>
      <c r="I720" s="239"/>
      <c r="J720" s="239"/>
      <c r="K720" s="239"/>
      <c r="L720" s="239"/>
    </row>
    <row r="721" spans="1:13" x14ac:dyDescent="0.25">
      <c r="A721" s="237"/>
      <c r="B721" s="51" t="s">
        <v>1182</v>
      </c>
      <c r="C721" s="236"/>
      <c r="D721" s="172" t="s">
        <v>8</v>
      </c>
      <c r="E721" s="197" t="e">
        <f>E724/E727*100</f>
        <v>#DIV/0!</v>
      </c>
      <c r="F721" s="202">
        <v>117.1</v>
      </c>
      <c r="G721" s="202">
        <v>85.4</v>
      </c>
      <c r="H721" s="202">
        <v>94.12</v>
      </c>
      <c r="I721" s="202">
        <f t="shared" ref="I721:K722" si="1938">I724/I727*100</f>
        <v>100</v>
      </c>
      <c r="J721" s="202">
        <f t="shared" si="1938"/>
        <v>100</v>
      </c>
      <c r="K721" s="202" t="e">
        <f t="shared" si="1938"/>
        <v>#DIV/0!</v>
      </c>
      <c r="L721" s="202" t="e">
        <f t="shared" ref="L721" si="1939">L724/L727*100</f>
        <v>#DIV/0!</v>
      </c>
    </row>
    <row r="722" spans="1:13" x14ac:dyDescent="0.25">
      <c r="A722" s="237"/>
      <c r="B722" s="51" t="s">
        <v>1184</v>
      </c>
      <c r="C722" s="236"/>
      <c r="D722" s="172" t="s">
        <v>8</v>
      </c>
      <c r="E722" s="197" t="e">
        <f>E725/E728*100</f>
        <v>#DIV/0!</v>
      </c>
      <c r="F722" s="202">
        <f>F725/F728*100</f>
        <v>100</v>
      </c>
      <c r="G722" s="202">
        <f>G725/G728*100</f>
        <v>50</v>
      </c>
      <c r="H722" s="202">
        <f>H725/H728*100</f>
        <v>100</v>
      </c>
      <c r="I722" s="202">
        <f t="shared" si="1938"/>
        <v>100</v>
      </c>
      <c r="J722" s="202">
        <f t="shared" si="1938"/>
        <v>200</v>
      </c>
      <c r="K722" s="202" t="e">
        <f t="shared" si="1938"/>
        <v>#DIV/0!</v>
      </c>
      <c r="L722" s="202" t="e">
        <f t="shared" ref="L722" si="1940">L725/L728*100</f>
        <v>#DIV/0!</v>
      </c>
    </row>
    <row r="723" spans="1:13" ht="60" x14ac:dyDescent="0.25">
      <c r="A723" s="158"/>
      <c r="B723" s="51" t="s">
        <v>538</v>
      </c>
      <c r="C723" s="150" t="s">
        <v>539</v>
      </c>
      <c r="D723" s="150" t="s">
        <v>1112</v>
      </c>
      <c r="E723" s="198"/>
      <c r="F723" s="198"/>
      <c r="G723" s="198"/>
      <c r="H723" s="198"/>
      <c r="I723" s="198"/>
      <c r="J723" s="198"/>
      <c r="K723" s="198"/>
      <c r="L723" s="198"/>
    </row>
    <row r="724" spans="1:13" x14ac:dyDescent="0.25">
      <c r="A724" s="158"/>
      <c r="B724" s="51" t="s">
        <v>1182</v>
      </c>
      <c r="C724" s="150"/>
      <c r="D724" s="150"/>
      <c r="E724" s="198"/>
      <c r="F724" s="198">
        <v>24</v>
      </c>
      <c r="G724" s="198"/>
      <c r="H724" s="198">
        <v>23</v>
      </c>
      <c r="I724" s="198">
        <v>23</v>
      </c>
      <c r="J724" s="198">
        <v>23</v>
      </c>
      <c r="K724" s="198"/>
      <c r="L724" s="198"/>
      <c r="M724" s="65"/>
    </row>
    <row r="725" spans="1:13" x14ac:dyDescent="0.25">
      <c r="A725" s="158"/>
      <c r="B725" s="51" t="s">
        <v>1184</v>
      </c>
      <c r="C725" s="150"/>
      <c r="D725" s="150"/>
      <c r="E725" s="198"/>
      <c r="F725" s="198">
        <v>2</v>
      </c>
      <c r="G725" s="198">
        <v>1</v>
      </c>
      <c r="H725" s="198">
        <v>1</v>
      </c>
      <c r="I725" s="198">
        <v>1</v>
      </c>
      <c r="J725" s="198">
        <v>2</v>
      </c>
      <c r="K725" s="198"/>
      <c r="L725" s="198"/>
    </row>
    <row r="726" spans="1:13" ht="60" x14ac:dyDescent="0.25">
      <c r="A726" s="158"/>
      <c r="B726" s="51" t="s">
        <v>540</v>
      </c>
      <c r="C726" s="150" t="s">
        <v>541</v>
      </c>
      <c r="D726" s="150" t="s">
        <v>1112</v>
      </c>
      <c r="E726" s="198"/>
      <c r="F726" s="198"/>
      <c r="G726" s="198"/>
      <c r="H726" s="198"/>
      <c r="I726" s="198"/>
      <c r="J726" s="198"/>
      <c r="K726" s="198"/>
      <c r="L726" s="198"/>
    </row>
    <row r="727" spans="1:13" x14ac:dyDescent="0.25">
      <c r="A727" s="158"/>
      <c r="B727" s="51" t="s">
        <v>1182</v>
      </c>
      <c r="C727" s="150"/>
      <c r="D727" s="150"/>
      <c r="E727" s="198"/>
      <c r="F727" s="198">
        <v>21</v>
      </c>
      <c r="G727" s="198"/>
      <c r="H727" s="198">
        <v>26</v>
      </c>
      <c r="I727" s="198">
        <v>23</v>
      </c>
      <c r="J727" s="198">
        <v>23</v>
      </c>
      <c r="K727" s="198"/>
      <c r="L727" s="198"/>
    </row>
    <row r="728" spans="1:13" x14ac:dyDescent="0.25">
      <c r="A728" s="158"/>
      <c r="B728" s="51" t="s">
        <v>1184</v>
      </c>
      <c r="C728" s="150"/>
      <c r="D728" s="150"/>
      <c r="E728" s="198"/>
      <c r="F728" s="198">
        <v>2</v>
      </c>
      <c r="G728" s="198">
        <v>2</v>
      </c>
      <c r="H728" s="198">
        <v>1</v>
      </c>
      <c r="I728" s="198">
        <v>1</v>
      </c>
      <c r="J728" s="198">
        <v>1</v>
      </c>
      <c r="K728" s="198"/>
      <c r="L728" s="198"/>
    </row>
    <row r="729" spans="1:13" ht="45" x14ac:dyDescent="0.25">
      <c r="A729" s="158"/>
      <c r="B729" s="51" t="s">
        <v>542</v>
      </c>
      <c r="C729" s="150"/>
      <c r="D729" s="150" t="s">
        <v>8</v>
      </c>
      <c r="E729" s="159"/>
      <c r="F729" s="159"/>
      <c r="G729" s="159"/>
      <c r="H729" s="159"/>
      <c r="I729" s="159"/>
      <c r="J729" s="159"/>
      <c r="K729" s="159"/>
      <c r="L729" s="159"/>
    </row>
    <row r="730" spans="1:13" x14ac:dyDescent="0.25">
      <c r="A730" s="158"/>
      <c r="B730" s="51" t="s">
        <v>1182</v>
      </c>
      <c r="C730" s="150"/>
      <c r="D730" s="150"/>
      <c r="E730" s="159" t="e">
        <f t="shared" ref="E730:I731" si="1941">E733/E736*100</f>
        <v>#DIV/0!</v>
      </c>
      <c r="F730" s="159">
        <f t="shared" si="1941"/>
        <v>100</v>
      </c>
      <c r="G730" s="159">
        <v>100</v>
      </c>
      <c r="H730" s="159">
        <v>100</v>
      </c>
      <c r="I730" s="159">
        <f t="shared" si="1941"/>
        <v>100</v>
      </c>
      <c r="J730" s="159">
        <f t="shared" ref="J730:L731" si="1942">J733/J736*100</f>
        <v>100</v>
      </c>
      <c r="K730" s="159" t="e">
        <f t="shared" si="1942"/>
        <v>#DIV/0!</v>
      </c>
      <c r="L730" s="159" t="e">
        <f t="shared" si="1942"/>
        <v>#DIV/0!</v>
      </c>
    </row>
    <row r="731" spans="1:13" x14ac:dyDescent="0.25">
      <c r="A731" s="158"/>
      <c r="B731" s="51" t="s">
        <v>1184</v>
      </c>
      <c r="C731" s="150"/>
      <c r="D731" s="150"/>
      <c r="E731" s="159" t="e">
        <f t="shared" si="1941"/>
        <v>#DIV/0!</v>
      </c>
      <c r="F731" s="159" t="e">
        <f t="shared" si="1941"/>
        <v>#DIV/0!</v>
      </c>
      <c r="G731" s="159" t="e">
        <f t="shared" si="1941"/>
        <v>#DIV/0!</v>
      </c>
      <c r="H731" s="159">
        <v>100</v>
      </c>
      <c r="I731" s="159">
        <f t="shared" si="1941"/>
        <v>100</v>
      </c>
      <c r="J731" s="159">
        <f t="shared" si="1942"/>
        <v>0</v>
      </c>
      <c r="K731" s="159" t="e">
        <f t="shared" si="1942"/>
        <v>#DIV/0!</v>
      </c>
      <c r="L731" s="159" t="e">
        <f t="shared" si="1942"/>
        <v>#DIV/0!</v>
      </c>
    </row>
    <row r="732" spans="1:13" ht="60" x14ac:dyDescent="0.25">
      <c r="A732" s="158"/>
      <c r="B732" s="51" t="s">
        <v>543</v>
      </c>
      <c r="C732" s="150" t="s">
        <v>539</v>
      </c>
      <c r="D732" s="150" t="s">
        <v>1112</v>
      </c>
      <c r="E732" s="198"/>
      <c r="F732" s="198"/>
      <c r="G732" s="198"/>
      <c r="H732" s="198"/>
      <c r="I732" s="198"/>
      <c r="J732" s="198"/>
      <c r="K732" s="198"/>
      <c r="L732" s="198"/>
    </row>
    <row r="733" spans="1:13" x14ac:dyDescent="0.25">
      <c r="A733" s="158"/>
      <c r="B733" s="51" t="s">
        <v>1182</v>
      </c>
      <c r="C733" s="150"/>
      <c r="D733" s="150"/>
      <c r="E733" s="198"/>
      <c r="F733" s="198">
        <v>9</v>
      </c>
      <c r="G733" s="198"/>
      <c r="H733" s="198"/>
      <c r="I733" s="198">
        <v>1</v>
      </c>
      <c r="J733" s="198">
        <v>1</v>
      </c>
      <c r="K733" s="198"/>
      <c r="L733" s="198"/>
    </row>
    <row r="734" spans="1:13" x14ac:dyDescent="0.25">
      <c r="A734" s="158"/>
      <c r="B734" s="51" t="s">
        <v>1184</v>
      </c>
      <c r="C734" s="150"/>
      <c r="D734" s="150"/>
      <c r="E734" s="198"/>
      <c r="F734" s="198">
        <v>0</v>
      </c>
      <c r="G734" s="198"/>
      <c r="H734" s="198"/>
      <c r="I734" s="198">
        <v>1</v>
      </c>
      <c r="J734" s="198">
        <v>0</v>
      </c>
      <c r="K734" s="198"/>
      <c r="L734" s="198"/>
    </row>
    <row r="735" spans="1:13" ht="60" x14ac:dyDescent="0.25">
      <c r="A735" s="158"/>
      <c r="B735" s="51" t="s">
        <v>544</v>
      </c>
      <c r="C735" s="150" t="s">
        <v>541</v>
      </c>
      <c r="D735" s="150" t="s">
        <v>1112</v>
      </c>
      <c r="E735" s="198"/>
      <c r="F735" s="198"/>
      <c r="G735" s="198"/>
      <c r="H735" s="198"/>
      <c r="I735" s="198"/>
      <c r="J735" s="198"/>
      <c r="K735" s="198"/>
      <c r="L735" s="198"/>
    </row>
    <row r="736" spans="1:13" x14ac:dyDescent="0.25">
      <c r="A736" s="158"/>
      <c r="B736" s="51" t="s">
        <v>1182</v>
      </c>
      <c r="C736" s="150"/>
      <c r="D736" s="150"/>
      <c r="E736" s="198"/>
      <c r="F736" s="198">
        <v>9</v>
      </c>
      <c r="G736" s="198"/>
      <c r="H736" s="198"/>
      <c r="I736" s="198">
        <v>1</v>
      </c>
      <c r="J736" s="198">
        <v>1</v>
      </c>
      <c r="K736" s="198"/>
      <c r="L736" s="198"/>
    </row>
    <row r="737" spans="1:13" x14ac:dyDescent="0.25">
      <c r="A737" s="158"/>
      <c r="B737" s="51" t="s">
        <v>1184</v>
      </c>
      <c r="C737" s="150"/>
      <c r="D737" s="150"/>
      <c r="E737" s="198"/>
      <c r="F737" s="198">
        <v>0</v>
      </c>
      <c r="G737" s="198"/>
      <c r="H737" s="198"/>
      <c r="I737" s="198">
        <v>1</v>
      </c>
      <c r="J737" s="198">
        <v>1</v>
      </c>
      <c r="K737" s="198"/>
      <c r="L737" s="198"/>
    </row>
    <row r="738" spans="1:13" ht="60" hidden="1" x14ac:dyDescent="0.25">
      <c r="A738" s="240" t="s">
        <v>546</v>
      </c>
      <c r="B738" s="215" t="s">
        <v>547</v>
      </c>
      <c r="C738" s="158"/>
      <c r="D738" s="158"/>
      <c r="E738" s="158"/>
      <c r="F738" s="158"/>
      <c r="G738" s="158"/>
      <c r="H738" s="158"/>
      <c r="I738" s="158"/>
      <c r="J738" s="158"/>
      <c r="K738" s="158"/>
      <c r="L738" s="158"/>
    </row>
    <row r="739" spans="1:13" ht="90" hidden="1" x14ac:dyDescent="0.25">
      <c r="A739" s="150" t="s">
        <v>549</v>
      </c>
      <c r="B739" s="51" t="s">
        <v>548</v>
      </c>
      <c r="C739" s="158"/>
      <c r="D739" s="150"/>
      <c r="E739" s="159"/>
      <c r="F739" s="159"/>
      <c r="G739" s="159"/>
      <c r="H739" s="159"/>
      <c r="I739" s="159"/>
      <c r="J739" s="159"/>
      <c r="K739" s="159"/>
      <c r="L739" s="159"/>
      <c r="M739" s="3" t="s">
        <v>561</v>
      </c>
    </row>
    <row r="740" spans="1:13" hidden="1" x14ac:dyDescent="0.25">
      <c r="A740" s="158"/>
      <c r="B740" s="51" t="s">
        <v>534</v>
      </c>
      <c r="C740" s="150"/>
      <c r="D740" s="150"/>
      <c r="E740" s="159"/>
      <c r="F740" s="159"/>
      <c r="G740" s="159"/>
      <c r="H740" s="159"/>
      <c r="I740" s="159"/>
      <c r="J740" s="159"/>
      <c r="K740" s="159"/>
      <c r="L740" s="159"/>
    </row>
    <row r="741" spans="1:13" hidden="1" x14ac:dyDescent="0.25">
      <c r="A741" s="158"/>
      <c r="B741" s="135" t="s">
        <v>1182</v>
      </c>
      <c r="C741" s="150"/>
      <c r="D741" s="150" t="s">
        <v>8</v>
      </c>
      <c r="E741" s="164">
        <v>2.4500000000000002</v>
      </c>
      <c r="F741" s="164">
        <f>(F744+F747)/(F750+F753)*100</f>
        <v>8.1110878237116921</v>
      </c>
      <c r="G741" s="164">
        <v>2.11</v>
      </c>
      <c r="H741" s="164">
        <v>3.53</v>
      </c>
      <c r="I741" s="164" t="e">
        <f t="shared" ref="I741:K742" si="1943">I747/I753*100</f>
        <v>#DIV/0!</v>
      </c>
      <c r="J741" s="164" t="e">
        <f t="shared" si="1943"/>
        <v>#DIV/0!</v>
      </c>
      <c r="K741" s="164" t="e">
        <f t="shared" si="1943"/>
        <v>#DIV/0!</v>
      </c>
      <c r="L741" s="164" t="e">
        <f t="shared" ref="L741" si="1944">L747/L753*100</f>
        <v>#DIV/0!</v>
      </c>
    </row>
    <row r="742" spans="1:13" hidden="1" x14ac:dyDescent="0.25">
      <c r="A742" s="158"/>
      <c r="B742" s="135" t="s">
        <v>1184</v>
      </c>
      <c r="C742" s="150"/>
      <c r="D742" s="150" t="s">
        <v>8</v>
      </c>
      <c r="E742" s="164">
        <v>0</v>
      </c>
      <c r="F742" s="164" t="e">
        <f>(F745+F748)/(F751+F754)*100</f>
        <v>#DIV/0!</v>
      </c>
      <c r="G742" s="164" t="e">
        <f>(G745+G748)/(G751+G754)*100</f>
        <v>#DIV/0!</v>
      </c>
      <c r="H742" s="164">
        <v>0</v>
      </c>
      <c r="I742" s="164" t="e">
        <f t="shared" si="1943"/>
        <v>#DIV/0!</v>
      </c>
      <c r="J742" s="164" t="e">
        <f t="shared" si="1943"/>
        <v>#DIV/0!</v>
      </c>
      <c r="K742" s="164" t="e">
        <f t="shared" si="1943"/>
        <v>#DIV/0!</v>
      </c>
      <c r="L742" s="164" t="e">
        <f t="shared" ref="L742" si="1945">L748/L754*100</f>
        <v>#DIV/0!</v>
      </c>
    </row>
    <row r="743" spans="1:13" ht="75" hidden="1" x14ac:dyDescent="0.25">
      <c r="A743" s="158"/>
      <c r="B743" s="51" t="s">
        <v>550</v>
      </c>
      <c r="C743" s="150" t="s">
        <v>551</v>
      </c>
      <c r="D743" s="150" t="s">
        <v>1114</v>
      </c>
      <c r="E743" s="198"/>
      <c r="F743" s="198"/>
      <c r="G743" s="198"/>
      <c r="H743" s="198"/>
      <c r="I743" s="198"/>
      <c r="J743" s="198"/>
      <c r="K743" s="198"/>
      <c r="L743" s="198"/>
    </row>
    <row r="744" spans="1:13" hidden="1" x14ac:dyDescent="0.25">
      <c r="A744" s="158"/>
      <c r="B744" s="51" t="s">
        <v>1182</v>
      </c>
      <c r="C744" s="150"/>
      <c r="D744" s="150"/>
      <c r="E744" s="198"/>
      <c r="F744" s="198">
        <v>0</v>
      </c>
      <c r="G744" s="198"/>
      <c r="H744" s="198"/>
      <c r="I744" s="198"/>
      <c r="J744" s="198"/>
      <c r="K744" s="198"/>
      <c r="L744" s="198"/>
    </row>
    <row r="745" spans="1:13" hidden="1" x14ac:dyDescent="0.25">
      <c r="A745" s="158"/>
      <c r="B745" s="51" t="s">
        <v>1184</v>
      </c>
      <c r="C745" s="150"/>
      <c r="D745" s="150"/>
      <c r="E745" s="198"/>
      <c r="F745" s="198">
        <v>0</v>
      </c>
      <c r="G745" s="198"/>
      <c r="H745" s="198"/>
      <c r="I745" s="198"/>
      <c r="J745" s="198"/>
      <c r="K745" s="198"/>
      <c r="L745" s="198"/>
    </row>
    <row r="746" spans="1:13" ht="105" hidden="1" x14ac:dyDescent="0.25">
      <c r="A746" s="158"/>
      <c r="B746" s="51" t="s">
        <v>552</v>
      </c>
      <c r="C746" s="150" t="s">
        <v>2114</v>
      </c>
      <c r="D746" s="150" t="s">
        <v>1114</v>
      </c>
      <c r="E746" s="198"/>
      <c r="F746" s="198"/>
      <c r="G746" s="198"/>
      <c r="H746" s="198"/>
      <c r="I746" s="198"/>
      <c r="J746" s="198"/>
      <c r="K746" s="198"/>
      <c r="L746" s="198"/>
    </row>
    <row r="747" spans="1:13" hidden="1" x14ac:dyDescent="0.25">
      <c r="A747" s="158"/>
      <c r="B747" s="51" t="s">
        <v>1182</v>
      </c>
      <c r="C747" s="150"/>
      <c r="D747" s="150"/>
      <c r="E747" s="198"/>
      <c r="F747" s="159">
        <v>65558.5</v>
      </c>
      <c r="G747" s="159"/>
      <c r="H747" s="159"/>
      <c r="I747" s="159"/>
      <c r="J747" s="159"/>
      <c r="K747" s="159"/>
      <c r="L747" s="159"/>
    </row>
    <row r="748" spans="1:13" hidden="1" x14ac:dyDescent="0.25">
      <c r="A748" s="158"/>
      <c r="B748" s="51" t="s">
        <v>1184</v>
      </c>
      <c r="C748" s="150"/>
      <c r="D748" s="150"/>
      <c r="E748" s="198"/>
      <c r="F748" s="198">
        <v>0</v>
      </c>
      <c r="G748" s="198"/>
      <c r="H748" s="198"/>
      <c r="I748" s="198"/>
      <c r="J748" s="198"/>
      <c r="K748" s="198"/>
      <c r="L748" s="198"/>
    </row>
    <row r="749" spans="1:13" ht="60" hidden="1" x14ac:dyDescent="0.25">
      <c r="A749" s="158"/>
      <c r="B749" s="51" t="s">
        <v>554</v>
      </c>
      <c r="C749" s="150" t="s">
        <v>555</v>
      </c>
      <c r="D749" s="150" t="s">
        <v>1114</v>
      </c>
      <c r="E749" s="198"/>
      <c r="F749" s="198"/>
      <c r="G749" s="198"/>
      <c r="H749" s="198"/>
      <c r="I749" s="198"/>
      <c r="J749" s="198"/>
      <c r="K749" s="198"/>
      <c r="L749" s="198"/>
    </row>
    <row r="750" spans="1:13" hidden="1" x14ac:dyDescent="0.25">
      <c r="A750" s="158"/>
      <c r="B750" s="51" t="s">
        <v>1182</v>
      </c>
      <c r="C750" s="150"/>
      <c r="D750" s="150"/>
      <c r="E750" s="198"/>
      <c r="F750" s="198">
        <v>0</v>
      </c>
      <c r="G750" s="198"/>
      <c r="H750" s="198"/>
      <c r="I750" s="198"/>
      <c r="J750" s="198"/>
      <c r="K750" s="198"/>
      <c r="L750" s="198"/>
    </row>
    <row r="751" spans="1:13" hidden="1" x14ac:dyDescent="0.25">
      <c r="A751" s="158"/>
      <c r="B751" s="51" t="s">
        <v>1184</v>
      </c>
      <c r="C751" s="150"/>
      <c r="D751" s="150"/>
      <c r="E751" s="198"/>
      <c r="F751" s="198">
        <v>0</v>
      </c>
      <c r="G751" s="198"/>
      <c r="H751" s="198"/>
      <c r="I751" s="198"/>
      <c r="J751" s="198"/>
      <c r="K751" s="198"/>
      <c r="L751" s="198"/>
    </row>
    <row r="752" spans="1:13" ht="90" hidden="1" x14ac:dyDescent="0.25">
      <c r="A752" s="158"/>
      <c r="B752" s="51" t="s">
        <v>556</v>
      </c>
      <c r="C752" s="150" t="s">
        <v>2115</v>
      </c>
      <c r="D752" s="150" t="s">
        <v>1114</v>
      </c>
      <c r="E752" s="198"/>
      <c r="F752" s="198"/>
      <c r="G752" s="198"/>
      <c r="H752" s="198"/>
      <c r="I752" s="198"/>
      <c r="J752" s="198"/>
      <c r="K752" s="198"/>
      <c r="L752" s="198"/>
    </row>
    <row r="753" spans="1:13" hidden="1" x14ac:dyDescent="0.25">
      <c r="A753" s="158"/>
      <c r="B753" s="51" t="s">
        <v>1182</v>
      </c>
      <c r="C753" s="150"/>
      <c r="D753" s="150"/>
      <c r="E753" s="198"/>
      <c r="F753" s="159">
        <v>808257.8</v>
      </c>
      <c r="G753" s="159"/>
      <c r="H753" s="159"/>
      <c r="I753" s="159"/>
      <c r="J753" s="159"/>
      <c r="K753" s="159"/>
      <c r="L753" s="159"/>
    </row>
    <row r="754" spans="1:13" hidden="1" x14ac:dyDescent="0.25">
      <c r="A754" s="158"/>
      <c r="B754" s="51" t="s">
        <v>1184</v>
      </c>
      <c r="C754" s="150"/>
      <c r="D754" s="150"/>
      <c r="E754" s="198"/>
      <c r="F754" s="198">
        <v>0</v>
      </c>
      <c r="G754" s="198"/>
      <c r="H754" s="198"/>
      <c r="I754" s="198"/>
      <c r="J754" s="198"/>
      <c r="K754" s="198"/>
      <c r="L754" s="198"/>
    </row>
    <row r="755" spans="1:13" hidden="1" x14ac:dyDescent="0.25">
      <c r="A755" s="158"/>
      <c r="B755" s="51" t="s">
        <v>553</v>
      </c>
      <c r="C755" s="150"/>
      <c r="D755" s="150"/>
      <c r="E755" s="159"/>
      <c r="F755" s="159"/>
      <c r="G755" s="159"/>
      <c r="H755" s="159"/>
      <c r="I755" s="159"/>
      <c r="J755" s="159"/>
      <c r="K755" s="159"/>
      <c r="L755" s="159"/>
    </row>
    <row r="756" spans="1:13" hidden="1" x14ac:dyDescent="0.25">
      <c r="A756" s="158"/>
      <c r="B756" s="135" t="s">
        <v>1182</v>
      </c>
      <c r="C756" s="150"/>
      <c r="D756" s="150" t="s">
        <v>8</v>
      </c>
      <c r="E756" s="164">
        <v>0</v>
      </c>
      <c r="F756" s="164">
        <f>F759/F762*100</f>
        <v>0</v>
      </c>
      <c r="G756" s="164" t="e">
        <f>G759/G762*100</f>
        <v>#DIV/0!</v>
      </c>
      <c r="H756" s="164">
        <v>0</v>
      </c>
      <c r="I756" s="164"/>
      <c r="J756" s="164"/>
      <c r="K756" s="164"/>
      <c r="L756" s="164"/>
    </row>
    <row r="757" spans="1:13" hidden="1" x14ac:dyDescent="0.25">
      <c r="A757" s="158"/>
      <c r="B757" s="135" t="s">
        <v>1184</v>
      </c>
      <c r="C757" s="150"/>
      <c r="D757" s="150" t="s">
        <v>8</v>
      </c>
      <c r="E757" s="164">
        <v>0</v>
      </c>
      <c r="F757" s="164">
        <f>F760/F763*100</f>
        <v>100</v>
      </c>
      <c r="G757" s="164" t="e">
        <f>G760/G763*100</f>
        <v>#DIV/0!</v>
      </c>
      <c r="H757" s="164">
        <v>0</v>
      </c>
      <c r="I757" s="164"/>
      <c r="J757" s="164"/>
      <c r="K757" s="164"/>
      <c r="L757" s="164"/>
    </row>
    <row r="758" spans="1:13" ht="90" hidden="1" x14ac:dyDescent="0.25">
      <c r="A758" s="158"/>
      <c r="B758" s="51" t="s">
        <v>558</v>
      </c>
      <c r="C758" s="150" t="s">
        <v>559</v>
      </c>
      <c r="D758" s="150" t="s">
        <v>1114</v>
      </c>
      <c r="E758" s="198"/>
      <c r="F758" s="198"/>
      <c r="G758" s="198"/>
      <c r="H758" s="198"/>
      <c r="I758" s="198"/>
      <c r="J758" s="198"/>
      <c r="K758" s="198"/>
      <c r="L758" s="198"/>
    </row>
    <row r="759" spans="1:13" hidden="1" x14ac:dyDescent="0.25">
      <c r="A759" s="158"/>
      <c r="B759" s="51" t="s">
        <v>1182</v>
      </c>
      <c r="C759" s="150"/>
      <c r="D759" s="150"/>
      <c r="E759" s="198"/>
      <c r="F759" s="159">
        <v>0</v>
      </c>
      <c r="G759" s="159"/>
      <c r="H759" s="159"/>
      <c r="I759" s="159"/>
      <c r="J759" s="159"/>
      <c r="K759" s="159"/>
      <c r="L759" s="159"/>
    </row>
    <row r="760" spans="1:13" hidden="1" x14ac:dyDescent="0.25">
      <c r="A760" s="158"/>
      <c r="B760" s="51" t="s">
        <v>1184</v>
      </c>
      <c r="C760" s="150"/>
      <c r="D760" s="150"/>
      <c r="E760" s="198"/>
      <c r="F760" s="159">
        <v>17223.400000000001</v>
      </c>
      <c r="G760" s="159"/>
      <c r="H760" s="159"/>
      <c r="I760" s="159"/>
      <c r="J760" s="159"/>
      <c r="K760" s="159"/>
      <c r="L760" s="159"/>
    </row>
    <row r="761" spans="1:13" ht="75" hidden="1" x14ac:dyDescent="0.25">
      <c r="A761" s="158"/>
      <c r="B761" s="51" t="s">
        <v>560</v>
      </c>
      <c r="C761" s="150" t="s">
        <v>557</v>
      </c>
      <c r="D761" s="150" t="s">
        <v>1114</v>
      </c>
      <c r="E761" s="198"/>
      <c r="F761" s="198"/>
      <c r="G761" s="198"/>
      <c r="H761" s="198"/>
      <c r="I761" s="198"/>
      <c r="J761" s="198"/>
      <c r="K761" s="198"/>
      <c r="L761" s="198"/>
    </row>
    <row r="762" spans="1:13" hidden="1" x14ac:dyDescent="0.25">
      <c r="A762" s="158"/>
      <c r="B762" s="51" t="s">
        <v>1182</v>
      </c>
      <c r="C762" s="150"/>
      <c r="D762" s="150"/>
      <c r="E762" s="198"/>
      <c r="F762" s="159">
        <v>1366.1</v>
      </c>
      <c r="G762" s="159"/>
      <c r="H762" s="159"/>
      <c r="I762" s="159"/>
      <c r="J762" s="159"/>
      <c r="K762" s="159"/>
      <c r="L762" s="159"/>
    </row>
    <row r="763" spans="1:13" hidden="1" x14ac:dyDescent="0.25">
      <c r="A763" s="158"/>
      <c r="B763" s="51" t="s">
        <v>1184</v>
      </c>
      <c r="C763" s="150"/>
      <c r="D763" s="150"/>
      <c r="E763" s="198"/>
      <c r="F763" s="159">
        <v>17223.400000000001</v>
      </c>
      <c r="G763" s="159"/>
      <c r="H763" s="159"/>
      <c r="I763" s="159"/>
      <c r="J763" s="159"/>
      <c r="K763" s="159"/>
      <c r="L763" s="159"/>
    </row>
    <row r="764" spans="1:13" ht="75" hidden="1" x14ac:dyDescent="0.25">
      <c r="A764" s="150" t="s">
        <v>549</v>
      </c>
      <c r="B764" s="51" t="s">
        <v>563</v>
      </c>
      <c r="C764" s="150"/>
      <c r="D764" s="158"/>
      <c r="E764" s="198"/>
      <c r="F764" s="198"/>
      <c r="G764" s="198"/>
      <c r="H764" s="198"/>
      <c r="I764" s="198"/>
      <c r="J764" s="198"/>
      <c r="K764" s="198"/>
      <c r="L764" s="198"/>
      <c r="M764" s="3" t="s">
        <v>281</v>
      </c>
    </row>
    <row r="765" spans="1:13" hidden="1" x14ac:dyDescent="0.25">
      <c r="A765" s="150"/>
      <c r="B765" s="51" t="s">
        <v>534</v>
      </c>
      <c r="C765" s="150"/>
      <c r="D765" s="150"/>
      <c r="E765" s="159"/>
      <c r="F765" s="159"/>
      <c r="G765" s="159"/>
      <c r="H765" s="159"/>
      <c r="I765" s="159"/>
      <c r="J765" s="159"/>
      <c r="K765" s="159"/>
      <c r="L765" s="159"/>
    </row>
    <row r="766" spans="1:13" hidden="1" x14ac:dyDescent="0.25">
      <c r="A766" s="150"/>
      <c r="B766" s="135" t="s">
        <v>1182</v>
      </c>
      <c r="C766" s="150"/>
      <c r="D766" s="150" t="s">
        <v>8</v>
      </c>
      <c r="E766" s="164">
        <v>13</v>
      </c>
      <c r="F766" s="164">
        <f>F769/F772*100</f>
        <v>6.7848083931005734</v>
      </c>
      <c r="G766" s="164">
        <v>4.32</v>
      </c>
      <c r="H766" s="164">
        <v>11.33</v>
      </c>
      <c r="I766" s="164">
        <f t="shared" ref="I766:K767" si="1946">I769/I772*100</f>
        <v>8.6379042086759306</v>
      </c>
      <c r="J766" s="164" t="e">
        <f t="shared" si="1946"/>
        <v>#DIV/0!</v>
      </c>
      <c r="K766" s="164" t="e">
        <f t="shared" si="1946"/>
        <v>#DIV/0!</v>
      </c>
      <c r="L766" s="164" t="e">
        <f t="shared" ref="L766" si="1947">L769/L772*100</f>
        <v>#DIV/0!</v>
      </c>
    </row>
    <row r="767" spans="1:13" hidden="1" x14ac:dyDescent="0.25">
      <c r="A767" s="150"/>
      <c r="B767" s="135" t="s">
        <v>1184</v>
      </c>
      <c r="C767" s="150"/>
      <c r="D767" s="150" t="s">
        <v>8</v>
      </c>
      <c r="E767" s="164">
        <v>100</v>
      </c>
      <c r="F767" s="164">
        <f>F770/F773*100</f>
        <v>100</v>
      </c>
      <c r="G767" s="164">
        <v>100</v>
      </c>
      <c r="H767" s="164">
        <v>100</v>
      </c>
      <c r="I767" s="164">
        <f t="shared" si="1946"/>
        <v>100</v>
      </c>
      <c r="J767" s="164" t="e">
        <f t="shared" si="1946"/>
        <v>#DIV/0!</v>
      </c>
      <c r="K767" s="164" t="e">
        <f t="shared" si="1946"/>
        <v>#DIV/0!</v>
      </c>
      <c r="L767" s="164" t="e">
        <f t="shared" ref="L767" si="1948">L770/L773*100</f>
        <v>#DIV/0!</v>
      </c>
    </row>
    <row r="768" spans="1:13" ht="105" hidden="1" x14ac:dyDescent="0.25">
      <c r="A768" s="150"/>
      <c r="B768" s="51" t="s">
        <v>565</v>
      </c>
      <c r="C768" s="150" t="s">
        <v>566</v>
      </c>
      <c r="D768" s="150" t="s">
        <v>1114</v>
      </c>
      <c r="E768" s="198"/>
      <c r="F768" s="198"/>
      <c r="G768" s="198"/>
      <c r="H768" s="198"/>
      <c r="I768" s="198"/>
      <c r="J768" s="198"/>
      <c r="K768" s="198"/>
      <c r="L768" s="198"/>
    </row>
    <row r="769" spans="1:13" hidden="1" x14ac:dyDescent="0.25">
      <c r="A769" s="150"/>
      <c r="B769" s="51" t="s">
        <v>1182</v>
      </c>
      <c r="C769" s="150"/>
      <c r="D769" s="150"/>
      <c r="E769" s="198"/>
      <c r="F769" s="159">
        <v>197977.9</v>
      </c>
      <c r="G769" s="159"/>
      <c r="H769" s="159"/>
      <c r="I769" s="159">
        <v>442222.30000000016</v>
      </c>
      <c r="J769" s="159"/>
      <c r="K769" s="159"/>
      <c r="L769" s="159"/>
    </row>
    <row r="770" spans="1:13" hidden="1" x14ac:dyDescent="0.25">
      <c r="A770" s="150"/>
      <c r="B770" s="51" t="s">
        <v>1184</v>
      </c>
      <c r="C770" s="150"/>
      <c r="D770" s="150"/>
      <c r="E770" s="198"/>
      <c r="F770" s="198">
        <v>3132</v>
      </c>
      <c r="G770" s="198"/>
      <c r="H770" s="198"/>
      <c r="I770" s="198">
        <v>59897.4</v>
      </c>
      <c r="J770" s="198"/>
      <c r="K770" s="198"/>
      <c r="L770" s="198"/>
    </row>
    <row r="771" spans="1:13" ht="90" hidden="1" x14ac:dyDescent="0.25">
      <c r="A771" s="150"/>
      <c r="B771" s="51" t="s">
        <v>567</v>
      </c>
      <c r="C771" s="150" t="s">
        <v>568</v>
      </c>
      <c r="D771" s="150" t="s">
        <v>1114</v>
      </c>
      <c r="E771" s="198"/>
      <c r="F771" s="198"/>
      <c r="G771" s="198"/>
      <c r="H771" s="198"/>
      <c r="I771" s="198"/>
      <c r="J771" s="198"/>
      <c r="K771" s="198"/>
      <c r="L771" s="198"/>
    </row>
    <row r="772" spans="1:13" hidden="1" x14ac:dyDescent="0.25">
      <c r="A772" s="150"/>
      <c r="B772" s="51" t="s">
        <v>1182</v>
      </c>
      <c r="C772" s="150"/>
      <c r="D772" s="150"/>
      <c r="E772" s="198"/>
      <c r="F772" s="159">
        <v>2917958.6</v>
      </c>
      <c r="G772" s="159"/>
      <c r="H772" s="159"/>
      <c r="I772" s="159">
        <v>5119555.5000000009</v>
      </c>
      <c r="J772" s="159"/>
      <c r="K772" s="159"/>
      <c r="L772" s="159"/>
    </row>
    <row r="773" spans="1:13" hidden="1" x14ac:dyDescent="0.25">
      <c r="A773" s="150"/>
      <c r="B773" s="51" t="s">
        <v>1184</v>
      </c>
      <c r="C773" s="150"/>
      <c r="D773" s="150"/>
      <c r="E773" s="198"/>
      <c r="F773" s="198">
        <v>3132</v>
      </c>
      <c r="G773" s="198"/>
      <c r="H773" s="198"/>
      <c r="I773" s="198">
        <v>59897.4</v>
      </c>
      <c r="J773" s="198"/>
      <c r="K773" s="198"/>
      <c r="L773" s="198"/>
    </row>
    <row r="774" spans="1:13" hidden="1" x14ac:dyDescent="0.25">
      <c r="A774" s="158"/>
      <c r="B774" s="51" t="s">
        <v>564</v>
      </c>
      <c r="C774" s="150"/>
      <c r="D774" s="150"/>
      <c r="E774" s="159"/>
      <c r="F774" s="159"/>
      <c r="G774" s="159"/>
      <c r="H774" s="159"/>
      <c r="I774" s="159"/>
      <c r="J774" s="159"/>
      <c r="K774" s="159"/>
      <c r="L774" s="159"/>
    </row>
    <row r="775" spans="1:13" hidden="1" x14ac:dyDescent="0.25">
      <c r="A775" s="158"/>
      <c r="B775" s="135" t="s">
        <v>1182</v>
      </c>
      <c r="C775" s="150"/>
      <c r="D775" s="150" t="s">
        <v>8</v>
      </c>
      <c r="E775" s="164">
        <v>0</v>
      </c>
      <c r="F775" s="164">
        <v>0</v>
      </c>
      <c r="G775" s="164">
        <v>25.99</v>
      </c>
      <c r="H775" s="164">
        <v>0</v>
      </c>
      <c r="I775" s="164">
        <v>0</v>
      </c>
      <c r="J775" s="164">
        <v>0</v>
      </c>
      <c r="K775" s="164">
        <v>0</v>
      </c>
      <c r="L775" s="164">
        <v>0</v>
      </c>
    </row>
    <row r="776" spans="1:13" hidden="1" x14ac:dyDescent="0.25">
      <c r="A776" s="158"/>
      <c r="B776" s="135" t="s">
        <v>1184</v>
      </c>
      <c r="C776" s="150"/>
      <c r="D776" s="150" t="s">
        <v>8</v>
      </c>
      <c r="E776" s="164">
        <v>0</v>
      </c>
      <c r="F776" s="164">
        <v>0</v>
      </c>
      <c r="G776" s="164">
        <v>0</v>
      </c>
      <c r="H776" s="164">
        <v>0</v>
      </c>
      <c r="I776" s="164">
        <v>0</v>
      </c>
      <c r="J776" s="164">
        <v>0</v>
      </c>
      <c r="K776" s="164">
        <v>0</v>
      </c>
      <c r="L776" s="164">
        <v>0</v>
      </c>
    </row>
    <row r="777" spans="1:13" ht="90" hidden="1" x14ac:dyDescent="0.25">
      <c r="A777" s="158"/>
      <c r="B777" s="51" t="s">
        <v>569</v>
      </c>
      <c r="C777" s="150" t="s">
        <v>570</v>
      </c>
      <c r="D777" s="150" t="s">
        <v>1114</v>
      </c>
      <c r="E777" s="198"/>
      <c r="F777" s="198"/>
      <c r="G777" s="198"/>
      <c r="H777" s="198"/>
      <c r="I777" s="198"/>
      <c r="J777" s="198"/>
      <c r="K777" s="198"/>
      <c r="L777" s="198"/>
    </row>
    <row r="778" spans="1:13" hidden="1" x14ac:dyDescent="0.25">
      <c r="A778" s="158"/>
      <c r="B778" s="51" t="s">
        <v>1182</v>
      </c>
      <c r="C778" s="150"/>
      <c r="D778" s="150"/>
      <c r="E778" s="198"/>
      <c r="F778" s="159"/>
      <c r="G778" s="159"/>
      <c r="H778" s="159"/>
      <c r="I778" s="159"/>
      <c r="J778" s="159"/>
      <c r="K778" s="159"/>
      <c r="L778" s="159"/>
    </row>
    <row r="779" spans="1:13" hidden="1" x14ac:dyDescent="0.25">
      <c r="A779" s="158"/>
      <c r="B779" s="51" t="s">
        <v>1184</v>
      </c>
      <c r="C779" s="150"/>
      <c r="D779" s="150"/>
      <c r="E779" s="198"/>
      <c r="F779" s="159"/>
      <c r="G779" s="159"/>
      <c r="H779" s="159"/>
      <c r="I779" s="159"/>
      <c r="J779" s="159"/>
      <c r="K779" s="159"/>
      <c r="L779" s="159"/>
    </row>
    <row r="780" spans="1:13" ht="75" hidden="1" x14ac:dyDescent="0.25">
      <c r="A780" s="158"/>
      <c r="B780" s="51" t="s">
        <v>571</v>
      </c>
      <c r="C780" s="150" t="s">
        <v>572</v>
      </c>
      <c r="D780" s="150" t="s">
        <v>1114</v>
      </c>
      <c r="E780" s="198"/>
      <c r="F780" s="198"/>
      <c r="G780" s="198"/>
      <c r="H780" s="198"/>
      <c r="I780" s="198"/>
      <c r="J780" s="198"/>
      <c r="K780" s="198"/>
      <c r="L780" s="198"/>
    </row>
    <row r="781" spans="1:13" hidden="1" x14ac:dyDescent="0.25">
      <c r="A781" s="158"/>
      <c r="B781" s="51" t="s">
        <v>1182</v>
      </c>
      <c r="C781" s="150"/>
      <c r="D781" s="150"/>
      <c r="E781" s="198"/>
      <c r="F781" s="159"/>
      <c r="G781" s="159"/>
      <c r="H781" s="159"/>
      <c r="I781" s="159"/>
      <c r="J781" s="159"/>
      <c r="K781" s="159"/>
      <c r="L781" s="159"/>
    </row>
    <row r="782" spans="1:13" hidden="1" x14ac:dyDescent="0.25">
      <c r="A782" s="158"/>
      <c r="B782" s="51" t="s">
        <v>1184</v>
      </c>
      <c r="C782" s="150"/>
      <c r="D782" s="150"/>
      <c r="E782" s="198"/>
      <c r="F782" s="159"/>
      <c r="G782" s="159"/>
      <c r="H782" s="159"/>
      <c r="I782" s="159"/>
      <c r="J782" s="159"/>
      <c r="K782" s="159"/>
      <c r="L782" s="159"/>
    </row>
    <row r="783" spans="1:13" ht="75" hidden="1" x14ac:dyDescent="0.25">
      <c r="A783" s="150" t="s">
        <v>562</v>
      </c>
      <c r="B783" s="51" t="s">
        <v>2018</v>
      </c>
      <c r="C783" s="150"/>
      <c r="D783" s="158"/>
      <c r="E783" s="198"/>
      <c r="F783" s="198"/>
      <c r="G783" s="198"/>
      <c r="H783" s="198"/>
      <c r="I783" s="198"/>
      <c r="J783" s="198"/>
      <c r="K783" s="198"/>
      <c r="L783" s="198"/>
    </row>
    <row r="784" spans="1:13" ht="135" hidden="1" x14ac:dyDescent="0.25">
      <c r="A784" s="158"/>
      <c r="B784" s="51" t="s">
        <v>573</v>
      </c>
      <c r="C784" s="150"/>
      <c r="D784" s="150" t="s">
        <v>1114</v>
      </c>
      <c r="E784" s="164">
        <v>188.48</v>
      </c>
      <c r="F784" s="164">
        <f>F787/(F788+F789+F790+F791+F792+F793+F794+F795)</f>
        <v>0</v>
      </c>
      <c r="G784" s="164" t="s">
        <v>1412</v>
      </c>
      <c r="H784" s="164"/>
      <c r="I784" s="164"/>
      <c r="J784" s="164"/>
      <c r="K784" s="164"/>
      <c r="L784" s="164"/>
      <c r="M784" s="3" t="s">
        <v>580</v>
      </c>
    </row>
    <row r="785" spans="1:13" hidden="1" x14ac:dyDescent="0.25">
      <c r="A785" s="158"/>
      <c r="B785" s="135" t="s">
        <v>1182</v>
      </c>
      <c r="C785" s="150"/>
      <c r="D785" s="150"/>
      <c r="E785" s="164"/>
      <c r="F785" s="164"/>
      <c r="G785" s="164"/>
      <c r="H785" s="164">
        <v>0</v>
      </c>
      <c r="I785" s="164">
        <f t="shared" ref="I785:K786" si="1949">I797/I800</f>
        <v>269.03483713638735</v>
      </c>
      <c r="J785" s="164" t="e">
        <f t="shared" si="1949"/>
        <v>#DIV/0!</v>
      </c>
      <c r="K785" s="164" t="e">
        <f t="shared" si="1949"/>
        <v>#DIV/0!</v>
      </c>
      <c r="L785" s="164" t="e">
        <f t="shared" ref="L785" si="1950">L797/L800</f>
        <v>#DIV/0!</v>
      </c>
      <c r="M785" s="3"/>
    </row>
    <row r="786" spans="1:13" hidden="1" x14ac:dyDescent="0.25">
      <c r="A786" s="158"/>
      <c r="B786" s="135" t="s">
        <v>1184</v>
      </c>
      <c r="C786" s="150"/>
      <c r="D786" s="150"/>
      <c r="E786" s="164"/>
      <c r="F786" s="164"/>
      <c r="G786" s="164"/>
      <c r="H786" s="164">
        <v>0</v>
      </c>
      <c r="I786" s="164">
        <f t="shared" si="1949"/>
        <v>74.666666666666671</v>
      </c>
      <c r="J786" s="164" t="e">
        <f t="shared" si="1949"/>
        <v>#DIV/0!</v>
      </c>
      <c r="K786" s="164" t="e">
        <f t="shared" si="1949"/>
        <v>#DIV/0!</v>
      </c>
      <c r="L786" s="164" t="e">
        <f t="shared" ref="L786" si="1951">L798/L801</f>
        <v>#DIV/0!</v>
      </c>
      <c r="M786" s="3"/>
    </row>
    <row r="787" spans="1:13" ht="60" hidden="1" x14ac:dyDescent="0.25">
      <c r="A787" s="158"/>
      <c r="B787" s="51" t="s">
        <v>574</v>
      </c>
      <c r="C787" s="150" t="s">
        <v>555</v>
      </c>
      <c r="D787" s="150" t="s">
        <v>1114</v>
      </c>
      <c r="E787" s="198"/>
      <c r="F787" s="198">
        <v>0</v>
      </c>
      <c r="G787" s="198">
        <v>0</v>
      </c>
      <c r="H787" s="198"/>
      <c r="I787" s="198"/>
      <c r="J787" s="198"/>
      <c r="K787" s="198"/>
      <c r="L787" s="198"/>
    </row>
    <row r="788" spans="1:13" ht="60" hidden="1" x14ac:dyDescent="0.25">
      <c r="A788" s="158"/>
      <c r="B788" s="51" t="s">
        <v>416</v>
      </c>
      <c r="C788" s="150" t="s">
        <v>361</v>
      </c>
      <c r="D788" s="150" t="s">
        <v>950</v>
      </c>
      <c r="E788" s="198"/>
      <c r="F788" s="198">
        <v>6084</v>
      </c>
      <c r="G788" s="198">
        <v>6214</v>
      </c>
      <c r="H788" s="198"/>
      <c r="I788" s="198"/>
      <c r="J788" s="198"/>
      <c r="K788" s="198"/>
      <c r="L788" s="198"/>
    </row>
    <row r="789" spans="1:13" ht="60" hidden="1" x14ac:dyDescent="0.25">
      <c r="A789" s="158"/>
      <c r="B789" s="51" t="s">
        <v>417</v>
      </c>
      <c r="C789" s="150" t="s">
        <v>362</v>
      </c>
      <c r="D789" s="150" t="s">
        <v>950</v>
      </c>
      <c r="E789" s="198"/>
      <c r="F789" s="198">
        <v>425</v>
      </c>
      <c r="G789" s="198">
        <v>644</v>
      </c>
      <c r="H789" s="198"/>
      <c r="I789" s="198"/>
      <c r="J789" s="198"/>
      <c r="K789" s="198"/>
      <c r="L789" s="198"/>
    </row>
    <row r="790" spans="1:13" ht="60" hidden="1" x14ac:dyDescent="0.25">
      <c r="A790" s="158"/>
      <c r="B790" s="51" t="s">
        <v>418</v>
      </c>
      <c r="C790" s="150" t="s">
        <v>419</v>
      </c>
      <c r="D790" s="150" t="s">
        <v>950</v>
      </c>
      <c r="E790" s="198"/>
      <c r="F790" s="198">
        <v>0</v>
      </c>
      <c r="G790" s="198">
        <v>0</v>
      </c>
      <c r="H790" s="198"/>
      <c r="I790" s="198"/>
      <c r="J790" s="198"/>
      <c r="K790" s="198"/>
      <c r="L790" s="198"/>
    </row>
    <row r="791" spans="1:13" ht="60" hidden="1" x14ac:dyDescent="0.25">
      <c r="A791" s="158"/>
      <c r="B791" s="51" t="s">
        <v>420</v>
      </c>
      <c r="C791" s="150" t="s">
        <v>346</v>
      </c>
      <c r="D791" s="150" t="s">
        <v>950</v>
      </c>
      <c r="E791" s="198"/>
      <c r="F791" s="198">
        <v>0</v>
      </c>
      <c r="G791" s="198">
        <v>0</v>
      </c>
      <c r="H791" s="198"/>
      <c r="I791" s="198"/>
      <c r="J791" s="198"/>
      <c r="K791" s="198"/>
      <c r="L791" s="198"/>
    </row>
    <row r="792" spans="1:13" ht="60" hidden="1" x14ac:dyDescent="0.25">
      <c r="A792" s="158"/>
      <c r="B792" s="51" t="s">
        <v>421</v>
      </c>
      <c r="C792" s="150" t="s">
        <v>345</v>
      </c>
      <c r="D792" s="150" t="s">
        <v>950</v>
      </c>
      <c r="E792" s="198"/>
      <c r="F792" s="198">
        <v>0</v>
      </c>
      <c r="G792" s="198">
        <v>0</v>
      </c>
      <c r="H792" s="198"/>
      <c r="I792" s="198"/>
      <c r="J792" s="198"/>
      <c r="K792" s="198"/>
      <c r="L792" s="198"/>
    </row>
    <row r="793" spans="1:13" ht="60" hidden="1" x14ac:dyDescent="0.25">
      <c r="A793" s="158"/>
      <c r="B793" s="51" t="s">
        <v>422</v>
      </c>
      <c r="C793" s="150" t="s">
        <v>347</v>
      </c>
      <c r="D793" s="150" t="s">
        <v>950</v>
      </c>
      <c r="E793" s="198"/>
      <c r="F793" s="198">
        <v>0</v>
      </c>
      <c r="G793" s="198">
        <v>0</v>
      </c>
      <c r="H793" s="198"/>
      <c r="I793" s="198"/>
      <c r="J793" s="198"/>
      <c r="K793" s="198"/>
      <c r="L793" s="198"/>
    </row>
    <row r="794" spans="1:13" ht="60" hidden="1" x14ac:dyDescent="0.25">
      <c r="A794" s="158"/>
      <c r="B794" s="51" t="s">
        <v>423</v>
      </c>
      <c r="C794" s="150" t="s">
        <v>424</v>
      </c>
      <c r="D794" s="150" t="s">
        <v>950</v>
      </c>
      <c r="E794" s="198"/>
      <c r="F794" s="198">
        <v>0</v>
      </c>
      <c r="G794" s="198">
        <v>0</v>
      </c>
      <c r="H794" s="198"/>
      <c r="I794" s="198"/>
      <c r="J794" s="198"/>
      <c r="K794" s="198"/>
      <c r="L794" s="198"/>
    </row>
    <row r="795" spans="1:13" ht="45" hidden="1" x14ac:dyDescent="0.25">
      <c r="A795" s="158"/>
      <c r="B795" s="51" t="s">
        <v>575</v>
      </c>
      <c r="C795" s="150" t="s">
        <v>426</v>
      </c>
      <c r="D795" s="150" t="s">
        <v>950</v>
      </c>
      <c r="E795" s="198"/>
      <c r="F795" s="198">
        <v>155</v>
      </c>
      <c r="G795" s="198"/>
      <c r="H795" s="198"/>
      <c r="I795" s="198"/>
      <c r="J795" s="198"/>
      <c r="K795" s="198"/>
      <c r="L795" s="198"/>
    </row>
    <row r="796" spans="1:13" ht="30" hidden="1" x14ac:dyDescent="0.25">
      <c r="A796" s="158"/>
      <c r="B796" s="51"/>
      <c r="C796" s="150" t="s">
        <v>2115</v>
      </c>
      <c r="D796" s="150" t="s">
        <v>1114</v>
      </c>
      <c r="E796" s="198"/>
      <c r="F796" s="198"/>
      <c r="G796" s="198"/>
      <c r="H796" s="198"/>
      <c r="I796" s="198"/>
      <c r="J796" s="198"/>
      <c r="K796" s="198"/>
      <c r="L796" s="198"/>
    </row>
    <row r="797" spans="1:13" hidden="1" x14ac:dyDescent="0.25">
      <c r="A797" s="158"/>
      <c r="B797" s="51" t="s">
        <v>1182</v>
      </c>
      <c r="C797" s="150"/>
      <c r="D797" s="150"/>
      <c r="E797" s="198"/>
      <c r="F797" s="198"/>
      <c r="G797" s="198"/>
      <c r="H797" s="198"/>
      <c r="I797" s="198">
        <v>1544528.9999999998</v>
      </c>
      <c r="J797" s="198">
        <v>1573848</v>
      </c>
      <c r="K797" s="198">
        <v>1573848</v>
      </c>
      <c r="L797" s="198">
        <v>1573848</v>
      </c>
    </row>
    <row r="798" spans="1:13" hidden="1" x14ac:dyDescent="0.25">
      <c r="A798" s="158"/>
      <c r="B798" s="51" t="s">
        <v>1184</v>
      </c>
      <c r="C798" s="150"/>
      <c r="D798" s="150"/>
      <c r="E798" s="198"/>
      <c r="F798" s="198"/>
      <c r="G798" s="198"/>
      <c r="H798" s="198"/>
      <c r="I798" s="198">
        <v>1120</v>
      </c>
      <c r="J798" s="198">
        <v>1120</v>
      </c>
      <c r="K798" s="198">
        <v>1120</v>
      </c>
      <c r="L798" s="198">
        <v>1120</v>
      </c>
    </row>
    <row r="799" spans="1:13" ht="30" hidden="1" x14ac:dyDescent="0.25">
      <c r="A799" s="158"/>
      <c r="B799" s="51"/>
      <c r="C799" s="150" t="s">
        <v>2116</v>
      </c>
      <c r="D799" s="150" t="s">
        <v>950</v>
      </c>
      <c r="E799" s="198"/>
      <c r="F799" s="198"/>
      <c r="G799" s="198"/>
      <c r="H799" s="198"/>
      <c r="I799" s="198"/>
      <c r="J799" s="198"/>
      <c r="K799" s="198"/>
      <c r="L799" s="198"/>
    </row>
    <row r="800" spans="1:13" hidden="1" x14ac:dyDescent="0.25">
      <c r="A800" s="158"/>
      <c r="B800" s="51" t="s">
        <v>1182</v>
      </c>
      <c r="C800" s="150"/>
      <c r="D800" s="150"/>
      <c r="E800" s="198"/>
      <c r="F800" s="198"/>
      <c r="G800" s="198"/>
      <c r="H800" s="198"/>
      <c r="I800" s="159">
        <f>(5741+0.25*0+0.1*0)</f>
        <v>5741</v>
      </c>
      <c r="J800" s="159"/>
      <c r="K800" s="159"/>
      <c r="L800" s="159"/>
    </row>
    <row r="801" spans="1:95" hidden="1" x14ac:dyDescent="0.25">
      <c r="A801" s="158"/>
      <c r="B801" s="51" t="s">
        <v>1184</v>
      </c>
      <c r="C801" s="150"/>
      <c r="D801" s="150"/>
      <c r="E801" s="198"/>
      <c r="F801" s="198"/>
      <c r="G801" s="198"/>
      <c r="H801" s="198"/>
      <c r="I801" s="159">
        <f>(15+0.25*0+0.1*0)</f>
        <v>15</v>
      </c>
      <c r="J801" s="159"/>
      <c r="K801" s="159"/>
      <c r="L801" s="159"/>
    </row>
    <row r="802" spans="1:95" ht="120" hidden="1" x14ac:dyDescent="0.25">
      <c r="A802" s="158"/>
      <c r="B802" s="51" t="s">
        <v>579</v>
      </c>
      <c r="C802" s="150"/>
      <c r="D802" s="150"/>
      <c r="E802" s="164"/>
      <c r="F802" s="164"/>
      <c r="G802" s="164"/>
      <c r="H802" s="164"/>
      <c r="I802" s="164"/>
      <c r="J802" s="164"/>
      <c r="K802" s="164"/>
      <c r="L802" s="164"/>
      <c r="M802" s="3" t="s">
        <v>581</v>
      </c>
    </row>
    <row r="803" spans="1:95" hidden="1" x14ac:dyDescent="0.25">
      <c r="A803" s="158"/>
      <c r="B803" s="135" t="s">
        <v>1182</v>
      </c>
      <c r="C803" s="150"/>
      <c r="D803" s="150" t="s">
        <v>1114</v>
      </c>
      <c r="E803" s="164">
        <v>387.3</v>
      </c>
      <c r="F803" s="164">
        <v>428.31</v>
      </c>
      <c r="G803" s="164">
        <v>291.89</v>
      </c>
      <c r="H803" s="164">
        <v>286.87</v>
      </c>
      <c r="I803" s="164">
        <f t="shared" ref="I803:K804" si="1952">I806/I809</f>
        <v>169.49590424867563</v>
      </c>
      <c r="J803" s="164" t="e">
        <f t="shared" si="1952"/>
        <v>#DIV/0!</v>
      </c>
      <c r="K803" s="164" t="e">
        <f t="shared" si="1952"/>
        <v>#DIV/0!</v>
      </c>
      <c r="L803" s="164" t="e">
        <f t="shared" ref="L803" si="1953">L806/L809</f>
        <v>#DIV/0!</v>
      </c>
      <c r="M803" s="3"/>
    </row>
    <row r="804" spans="1:95" hidden="1" x14ac:dyDescent="0.25">
      <c r="A804" s="158"/>
      <c r="B804" s="135" t="s">
        <v>1184</v>
      </c>
      <c r="C804" s="150"/>
      <c r="D804" s="150" t="s">
        <v>1114</v>
      </c>
      <c r="E804" s="164">
        <v>29.2</v>
      </c>
      <c r="F804" s="164">
        <v>37.46</v>
      </c>
      <c r="G804" s="164">
        <v>42.03</v>
      </c>
      <c r="H804" s="164">
        <v>43.04</v>
      </c>
      <c r="I804" s="164">
        <f t="shared" si="1952"/>
        <v>3.5673034450614898</v>
      </c>
      <c r="J804" s="164" t="e">
        <f t="shared" si="1952"/>
        <v>#DIV/0!</v>
      </c>
      <c r="K804" s="164" t="e">
        <f t="shared" si="1952"/>
        <v>#DIV/0!</v>
      </c>
      <c r="L804" s="164" t="e">
        <f t="shared" ref="L804" si="1954">L807/L810</f>
        <v>#DIV/0!</v>
      </c>
      <c r="M804" s="3"/>
    </row>
    <row r="805" spans="1:95" ht="75" hidden="1" x14ac:dyDescent="0.25">
      <c r="A805" s="158"/>
      <c r="B805" s="51" t="s">
        <v>576</v>
      </c>
      <c r="C805" s="150" t="s">
        <v>568</v>
      </c>
      <c r="D805" s="150" t="s">
        <v>1114</v>
      </c>
      <c r="E805" s="198"/>
      <c r="F805" s="198"/>
      <c r="G805" s="198"/>
      <c r="H805" s="198"/>
      <c r="I805" s="198"/>
      <c r="J805" s="198"/>
      <c r="K805" s="198"/>
      <c r="L805" s="198"/>
    </row>
    <row r="806" spans="1:95" hidden="1" x14ac:dyDescent="0.25">
      <c r="A806" s="158"/>
      <c r="B806" s="51" t="s">
        <v>1182</v>
      </c>
      <c r="C806" s="150"/>
      <c r="D806" s="150"/>
      <c r="E806" s="198"/>
      <c r="F806" s="198">
        <v>4155935.7</v>
      </c>
      <c r="G806" s="198">
        <v>5033761.8</v>
      </c>
      <c r="H806" s="198"/>
      <c r="I806" s="159">
        <v>2781995.6</v>
      </c>
      <c r="J806" s="159">
        <v>3231597</v>
      </c>
      <c r="K806" s="159">
        <v>3231597</v>
      </c>
      <c r="L806" s="159">
        <v>3231597</v>
      </c>
    </row>
    <row r="807" spans="1:95" hidden="1" x14ac:dyDescent="0.25">
      <c r="A807" s="158"/>
      <c r="B807" s="51" t="s">
        <v>1184</v>
      </c>
      <c r="C807" s="150"/>
      <c r="D807" s="150"/>
      <c r="E807" s="198"/>
      <c r="F807" s="198">
        <v>3132</v>
      </c>
      <c r="G807" s="198">
        <v>4602</v>
      </c>
      <c r="H807" s="198"/>
      <c r="I807" s="159">
        <v>58551.4</v>
      </c>
      <c r="J807" s="159">
        <v>63742.400000000001</v>
      </c>
      <c r="K807" s="159">
        <v>63742.400000000001</v>
      </c>
      <c r="L807" s="159">
        <v>63742.400000000001</v>
      </c>
    </row>
    <row r="808" spans="1:95" ht="75" hidden="1" x14ac:dyDescent="0.25">
      <c r="A808" s="158"/>
      <c r="B808" s="51" t="s">
        <v>577</v>
      </c>
      <c r="C808" s="150" t="s">
        <v>578</v>
      </c>
      <c r="D808" s="150" t="s">
        <v>950</v>
      </c>
      <c r="E808" s="198"/>
      <c r="F808" s="198"/>
      <c r="G808" s="198"/>
      <c r="H808" s="198"/>
      <c r="I808" s="198"/>
      <c r="J808" s="198"/>
      <c r="K808" s="198"/>
      <c r="L808" s="198"/>
    </row>
    <row r="809" spans="1:95" hidden="1" x14ac:dyDescent="0.25">
      <c r="A809" s="158"/>
      <c r="B809" s="51" t="s">
        <v>1182</v>
      </c>
      <c r="C809" s="150"/>
      <c r="D809" s="150"/>
      <c r="E809" s="198"/>
      <c r="F809" s="198">
        <v>10295</v>
      </c>
      <c r="G809" s="198">
        <v>18020.099999999999</v>
      </c>
      <c r="H809" s="198"/>
      <c r="I809" s="159">
        <f>(15823+0.25*271+0.1*5226)</f>
        <v>16413.349999999999</v>
      </c>
      <c r="J809" s="159"/>
      <c r="K809" s="159"/>
      <c r="L809" s="159"/>
    </row>
    <row r="810" spans="1:95" hidden="1" x14ac:dyDescent="0.25">
      <c r="A810" s="158"/>
      <c r="B810" s="51" t="s">
        <v>1184</v>
      </c>
      <c r="C810" s="150"/>
      <c r="D810" s="150"/>
      <c r="E810" s="198"/>
      <c r="F810" s="198">
        <v>104</v>
      </c>
      <c r="G810" s="198">
        <v>78.2</v>
      </c>
      <c r="H810" s="198"/>
      <c r="I810" s="159">
        <f>(15823+0.25*271+0.1*5226)</f>
        <v>16413.349999999999</v>
      </c>
      <c r="J810" s="159"/>
      <c r="K810" s="159"/>
      <c r="L810" s="159"/>
    </row>
    <row r="811" spans="1:95" ht="60" x14ac:dyDescent="0.25">
      <c r="A811" s="47" t="s">
        <v>546</v>
      </c>
      <c r="B811" s="48" t="s">
        <v>582</v>
      </c>
      <c r="C811" s="44"/>
      <c r="D811" s="44"/>
      <c r="E811" s="44"/>
      <c r="F811" s="44"/>
      <c r="G811" s="44"/>
      <c r="H811" s="44"/>
      <c r="I811" s="44"/>
      <c r="J811" s="44"/>
      <c r="K811" s="44"/>
      <c r="L811" s="44"/>
    </row>
    <row r="812" spans="1:95" ht="75" x14ac:dyDescent="0.25">
      <c r="A812" s="42" t="s">
        <v>549</v>
      </c>
      <c r="B812" s="46" t="s">
        <v>2017</v>
      </c>
      <c r="C812" s="44"/>
      <c r="D812" s="42"/>
      <c r="E812" s="50"/>
      <c r="F812" s="50"/>
      <c r="G812" s="50"/>
      <c r="H812" s="50"/>
      <c r="I812" s="50"/>
      <c r="J812" s="50"/>
      <c r="K812" s="50"/>
      <c r="L812" s="50"/>
      <c r="M812" s="3" t="s">
        <v>281</v>
      </c>
    </row>
    <row r="813" spans="1:95" x14ac:dyDescent="0.25">
      <c r="A813" s="42"/>
      <c r="B813" s="46" t="s">
        <v>1182</v>
      </c>
      <c r="C813" s="44"/>
      <c r="D813" s="42" t="s">
        <v>8</v>
      </c>
      <c r="E813" s="45">
        <v>0</v>
      </c>
      <c r="F813" s="45">
        <f t="shared" ref="F813:J813" si="1955">F816/F819*100</f>
        <v>12.5</v>
      </c>
      <c r="G813" s="45">
        <f t="shared" si="1955"/>
        <v>12.5</v>
      </c>
      <c r="H813" s="45">
        <f t="shared" si="1955"/>
        <v>0</v>
      </c>
      <c r="I813" s="45">
        <f t="shared" si="1955"/>
        <v>12.5</v>
      </c>
      <c r="J813" s="45">
        <f t="shared" si="1955"/>
        <v>4.1666666666666661</v>
      </c>
      <c r="K813" s="45">
        <f>K816/K819*100</f>
        <v>4.1666666666666661</v>
      </c>
      <c r="L813" s="45">
        <f t="shared" ref="L813" si="1956">L816/L819*100</f>
        <v>4.1666666666666661</v>
      </c>
      <c r="M813" s="3"/>
      <c r="N813" s="164">
        <f t="shared" ref="N813" si="1957">N816/N819*100</f>
        <v>4.1666666666666661</v>
      </c>
      <c r="O813" s="164" t="e">
        <f t="shared" ref="O813:Q813" si="1958">O816/O819*100</f>
        <v>#DIV/0!</v>
      </c>
      <c r="P813" s="164">
        <f>P816/P819*100</f>
        <v>0</v>
      </c>
      <c r="Q813" s="164" t="e">
        <f t="shared" si="1958"/>
        <v>#DIV/0!</v>
      </c>
      <c r="S813" s="164">
        <f>S816/S819*100</f>
        <v>0</v>
      </c>
      <c r="T813" s="164" t="e">
        <f t="shared" ref="T813" si="1959">T816/T819*100</f>
        <v>#DIV/0!</v>
      </c>
      <c r="V813" s="164">
        <f>V816/V819*100</f>
        <v>0</v>
      </c>
      <c r="W813" s="164" t="e">
        <f t="shared" ref="W813" si="1960">W816/W819*100</f>
        <v>#DIV/0!</v>
      </c>
      <c r="Y813" s="164">
        <f>Y816/Y819*100</f>
        <v>0</v>
      </c>
      <c r="Z813" s="164" t="e">
        <f t="shared" ref="Z813" si="1961">Z816/Z819*100</f>
        <v>#DIV/0!</v>
      </c>
      <c r="AB813" s="164">
        <f>AB816/AB819*100</f>
        <v>0</v>
      </c>
      <c r="AC813" s="164" t="e">
        <f t="shared" ref="AC813" si="1962">AC816/AC819*100</f>
        <v>#DIV/0!</v>
      </c>
      <c r="AD813" s="241"/>
      <c r="AE813" s="164">
        <f>AE816/AE819*100</f>
        <v>0</v>
      </c>
      <c r="AF813" s="164" t="e">
        <f t="shared" ref="AF813" si="1963">AF816/AF819*100</f>
        <v>#DIV/0!</v>
      </c>
      <c r="AG813" s="241"/>
      <c r="AH813" s="164">
        <f>AH816/AH819*100</f>
        <v>0</v>
      </c>
      <c r="AI813" s="164" t="e">
        <f t="shared" ref="AI813" si="1964">AI816/AI819*100</f>
        <v>#DIV/0!</v>
      </c>
      <c r="AK813" s="164">
        <f>AK816/AK819*100</f>
        <v>0</v>
      </c>
      <c r="AL813" s="164" t="e">
        <f t="shared" ref="AL813" si="1965">AL816/AL819*100</f>
        <v>#DIV/0!</v>
      </c>
      <c r="AM813" s="241"/>
      <c r="AN813" s="164" t="e">
        <f>AN816/AN819*100</f>
        <v>#DIV/0!</v>
      </c>
      <c r="AO813" s="164" t="e">
        <f t="shared" ref="AO813" si="1966">AO816/AO819*100</f>
        <v>#DIV/0!</v>
      </c>
      <c r="AP813" s="241"/>
      <c r="AQ813" s="164">
        <f>AQ816/AQ819*100</f>
        <v>0</v>
      </c>
      <c r="AR813" s="164" t="e">
        <f t="shared" ref="AR813" si="1967">AR816/AR819*100</f>
        <v>#DIV/0!</v>
      </c>
      <c r="AT813" s="164" t="e">
        <f>AT816/AT819*100</f>
        <v>#DIV/0!</v>
      </c>
      <c r="AU813" s="164" t="e">
        <f t="shared" ref="AU813" si="1968">AU816/AU819*100</f>
        <v>#DIV/0!</v>
      </c>
      <c r="AW813" s="164">
        <f>AW816/AW819*100</f>
        <v>0</v>
      </c>
      <c r="AX813" s="164" t="e">
        <f t="shared" ref="AX813" si="1969">AX816/AX819*100</f>
        <v>#DIV/0!</v>
      </c>
      <c r="AY813" s="241"/>
      <c r="AZ813" s="164">
        <f>AZ816/AZ819*100</f>
        <v>0</v>
      </c>
      <c r="BA813" s="164" t="e">
        <f t="shared" ref="BA813" si="1970">BA816/BA819*100</f>
        <v>#DIV/0!</v>
      </c>
      <c r="BC813" s="164">
        <f>BC816/BC819*100</f>
        <v>0</v>
      </c>
      <c r="BD813" s="164" t="e">
        <f t="shared" ref="BD813" si="1971">BD816/BD819*100</f>
        <v>#DIV/0!</v>
      </c>
      <c r="BE813" s="241"/>
      <c r="BF813" s="164">
        <f>BF816/BF819*100</f>
        <v>0</v>
      </c>
      <c r="BG813" s="164" t="e">
        <f t="shared" ref="BG813" si="1972">BG816/BG819*100</f>
        <v>#DIV/0!</v>
      </c>
      <c r="BH813" s="241"/>
      <c r="BI813" s="164">
        <f>BI816/BI819*100</f>
        <v>0</v>
      </c>
      <c r="BJ813" s="164" t="e">
        <f t="shared" ref="BJ813" si="1973">BJ816/BJ819*100</f>
        <v>#DIV/0!</v>
      </c>
      <c r="BL813" s="164">
        <f>BL816/BL819*100</f>
        <v>0</v>
      </c>
      <c r="BM813" s="164" t="e">
        <f t="shared" ref="BM813" si="1974">BM816/BM819*100</f>
        <v>#DIV/0!</v>
      </c>
      <c r="BN813" s="241"/>
      <c r="BO813" s="164">
        <f>BO816/BO819*100</f>
        <v>0</v>
      </c>
      <c r="BP813" s="164" t="e">
        <f t="shared" ref="BP813" si="1975">BP816/BP819*100</f>
        <v>#DIV/0!</v>
      </c>
      <c r="BQ813" s="241"/>
      <c r="BR813" s="164">
        <f>BR816/BR819*100</f>
        <v>0</v>
      </c>
      <c r="BS813" s="164" t="e">
        <f t="shared" ref="BS813" si="1976">BS816/BS819*100</f>
        <v>#DIV/0!</v>
      </c>
      <c r="BU813" s="164">
        <f>BU816/BU819*100</f>
        <v>0</v>
      </c>
      <c r="BV813" s="164" t="e">
        <f t="shared" ref="BV813" si="1977">BV816/BV819*100</f>
        <v>#DIV/0!</v>
      </c>
      <c r="BW813" s="241"/>
      <c r="BX813" s="164">
        <f>BX816/BX819*100</f>
        <v>0</v>
      </c>
      <c r="BY813" s="164" t="e">
        <f t="shared" ref="BY813" si="1978">BY816/BY819*100</f>
        <v>#DIV/0!</v>
      </c>
      <c r="BZ813" s="241"/>
      <c r="CA813" s="164">
        <f>CA816/CA819*100</f>
        <v>0</v>
      </c>
      <c r="CB813" s="164" t="e">
        <f t="shared" ref="CB813" si="1979">CB816/CB819*100</f>
        <v>#DIV/0!</v>
      </c>
      <c r="CD813" s="164">
        <f>CD816/CD819*100</f>
        <v>0</v>
      </c>
      <c r="CE813" s="164" t="e">
        <f t="shared" ref="CE813" si="1980">CE816/CE819*100</f>
        <v>#DIV/0!</v>
      </c>
      <c r="CF813" s="241"/>
      <c r="CG813" s="164">
        <f>CG816/CG819*100</f>
        <v>0</v>
      </c>
      <c r="CH813" s="164" t="e">
        <f t="shared" ref="CH813" si="1981">CH816/CH819*100</f>
        <v>#DIV/0!</v>
      </c>
      <c r="CI813" s="241"/>
      <c r="CJ813" s="164" t="e">
        <f>CJ816/CJ819*100</f>
        <v>#DIV/0!</v>
      </c>
      <c r="CK813" s="164" t="e">
        <f t="shared" ref="CK813" si="1982">CK816/CK819*100</f>
        <v>#DIV/0!</v>
      </c>
      <c r="CM813" s="164">
        <f>CM816/CM819*100</f>
        <v>0</v>
      </c>
      <c r="CN813" s="164" t="e">
        <f t="shared" ref="CN813" si="1983">CN816/CN819*100</f>
        <v>#DIV/0!</v>
      </c>
      <c r="CP813" s="164">
        <f>CP816/CP819*100</f>
        <v>0</v>
      </c>
      <c r="CQ813" s="164" t="e">
        <f t="shared" ref="CQ813" si="1984">CQ816/CQ819*100</f>
        <v>#DIV/0!</v>
      </c>
    </row>
    <row r="814" spans="1:95" x14ac:dyDescent="0.25">
      <c r="A814" s="42"/>
      <c r="B814" s="46" t="s">
        <v>1184</v>
      </c>
      <c r="C814" s="44"/>
      <c r="D814" s="42" t="s">
        <v>8</v>
      </c>
      <c r="E814" s="45">
        <v>0</v>
      </c>
      <c r="F814" s="45" t="e">
        <f>F817/F820*100</f>
        <v>#DIV/0!</v>
      </c>
      <c r="G814" s="45" t="e">
        <f>G817/G820*100</f>
        <v>#DIV/0!</v>
      </c>
      <c r="H814" s="45">
        <v>0</v>
      </c>
      <c r="I814" s="45">
        <f>I817/I820*100</f>
        <v>0</v>
      </c>
      <c r="J814" s="45">
        <f>J817/J820*100</f>
        <v>0</v>
      </c>
      <c r="K814" s="45">
        <f>K817/K820*100</f>
        <v>0</v>
      </c>
      <c r="L814" s="45">
        <f>L817/L820*100</f>
        <v>0</v>
      </c>
      <c r="M814" s="3"/>
      <c r="N814" s="164" t="e">
        <f>N817/N820*100</f>
        <v>#DIV/0!</v>
      </c>
      <c r="O814" s="164" t="e">
        <f>O817/O820*100</f>
        <v>#DIV/0!</v>
      </c>
      <c r="P814" s="164" t="e">
        <f>P817/P820*100</f>
        <v>#DIV/0!</v>
      </c>
      <c r="Q814" s="164" t="e">
        <f>Q817/Q820*100</f>
        <v>#DIV/0!</v>
      </c>
      <c r="S814" s="164" t="e">
        <f>S817/S820*100</f>
        <v>#DIV/0!</v>
      </c>
      <c r="T814" s="164" t="e">
        <f>T817/T820*100</f>
        <v>#DIV/0!</v>
      </c>
      <c r="V814" s="164" t="e">
        <f>V817/V820*100</f>
        <v>#DIV/0!</v>
      </c>
      <c r="W814" s="164" t="e">
        <f>W817/W820*100</f>
        <v>#DIV/0!</v>
      </c>
      <c r="Y814" s="164" t="e">
        <f>Y817/Y820*100</f>
        <v>#DIV/0!</v>
      </c>
      <c r="Z814" s="164" t="e">
        <f>Z817/Z820*100</f>
        <v>#DIV/0!</v>
      </c>
      <c r="AB814" s="164" t="e">
        <f>AB817/AB820*100</f>
        <v>#DIV/0!</v>
      </c>
      <c r="AC814" s="164" t="e">
        <f>AC817/AC820*100</f>
        <v>#DIV/0!</v>
      </c>
      <c r="AD814" s="241"/>
      <c r="AE814" s="164" t="e">
        <f>AE817/AE820*100</f>
        <v>#DIV/0!</v>
      </c>
      <c r="AF814" s="164" t="e">
        <f>AF817/AF820*100</f>
        <v>#DIV/0!</v>
      </c>
      <c r="AG814" s="241"/>
      <c r="AH814" s="164" t="e">
        <f>AH817/AH820*100</f>
        <v>#DIV/0!</v>
      </c>
      <c r="AI814" s="164" t="e">
        <f>AI817/AI820*100</f>
        <v>#DIV/0!</v>
      </c>
      <c r="AK814" s="164" t="e">
        <f>AK817/AK820*100</f>
        <v>#DIV/0!</v>
      </c>
      <c r="AL814" s="164" t="e">
        <f>AL817/AL820*100</f>
        <v>#DIV/0!</v>
      </c>
      <c r="AM814" s="241"/>
      <c r="AN814" s="164" t="e">
        <f>AN817/AN820*100</f>
        <v>#DIV/0!</v>
      </c>
      <c r="AO814" s="164" t="e">
        <f>AO817/AO820*100</f>
        <v>#DIV/0!</v>
      </c>
      <c r="AP814" s="241"/>
      <c r="AQ814" s="164" t="e">
        <f>AQ817/AQ820*100</f>
        <v>#DIV/0!</v>
      </c>
      <c r="AR814" s="164" t="e">
        <f>AR817/AR820*100</f>
        <v>#DIV/0!</v>
      </c>
      <c r="AT814" s="164" t="e">
        <f>AT817/AT820*100</f>
        <v>#DIV/0!</v>
      </c>
      <c r="AU814" s="164" t="e">
        <f>AU817/AU820*100</f>
        <v>#DIV/0!</v>
      </c>
      <c r="AW814" s="164" t="e">
        <f>AW817/AW820*100</f>
        <v>#DIV/0!</v>
      </c>
      <c r="AX814" s="164" t="e">
        <f>AX817/AX820*100</f>
        <v>#DIV/0!</v>
      </c>
      <c r="AY814" s="241"/>
      <c r="AZ814" s="164" t="e">
        <f>AZ817/AZ820*100</f>
        <v>#DIV/0!</v>
      </c>
      <c r="BA814" s="164" t="e">
        <f>BA817/BA820*100</f>
        <v>#DIV/0!</v>
      </c>
      <c r="BC814" s="164" t="e">
        <f>BC817/BC820*100</f>
        <v>#DIV/0!</v>
      </c>
      <c r="BD814" s="164" t="e">
        <f>BD817/BD820*100</f>
        <v>#DIV/0!</v>
      </c>
      <c r="BE814" s="241"/>
      <c r="BF814" s="164" t="e">
        <f>BF817/BF820*100</f>
        <v>#DIV/0!</v>
      </c>
      <c r="BG814" s="164" t="e">
        <f>BG817/BG820*100</f>
        <v>#DIV/0!</v>
      </c>
      <c r="BH814" s="241"/>
      <c r="BI814" s="164" t="e">
        <f>BI817/BI820*100</f>
        <v>#DIV/0!</v>
      </c>
      <c r="BJ814" s="164" t="e">
        <f>BJ817/BJ820*100</f>
        <v>#DIV/0!</v>
      </c>
      <c r="BL814" s="164" t="e">
        <f>BL817/BL820*100</f>
        <v>#DIV/0!</v>
      </c>
      <c r="BM814" s="164" t="e">
        <f>BM817/BM820*100</f>
        <v>#DIV/0!</v>
      </c>
      <c r="BN814" s="241"/>
      <c r="BO814" s="164" t="e">
        <f>BO817/BO820*100</f>
        <v>#DIV/0!</v>
      </c>
      <c r="BP814" s="164" t="e">
        <f>BP817/BP820*100</f>
        <v>#DIV/0!</v>
      </c>
      <c r="BQ814" s="241"/>
      <c r="BR814" s="164" t="e">
        <f>BR817/BR820*100</f>
        <v>#DIV/0!</v>
      </c>
      <c r="BS814" s="164" t="e">
        <f>BS817/BS820*100</f>
        <v>#DIV/0!</v>
      </c>
      <c r="BU814" s="164" t="e">
        <f>BU817/BU820*100</f>
        <v>#DIV/0!</v>
      </c>
      <c r="BV814" s="164" t="e">
        <f>BV817/BV820*100</f>
        <v>#DIV/0!</v>
      </c>
      <c r="BW814" s="241"/>
      <c r="BX814" s="164" t="e">
        <f>BX817/BX820*100</f>
        <v>#DIV/0!</v>
      </c>
      <c r="BY814" s="164" t="e">
        <f>BY817/BY820*100</f>
        <v>#DIV/0!</v>
      </c>
      <c r="BZ814" s="241"/>
      <c r="CA814" s="164" t="e">
        <f>CA817/CA820*100</f>
        <v>#DIV/0!</v>
      </c>
      <c r="CB814" s="164" t="e">
        <f>CB817/CB820*100</f>
        <v>#DIV/0!</v>
      </c>
      <c r="CD814" s="164" t="e">
        <f>CD817/CD820*100</f>
        <v>#DIV/0!</v>
      </c>
      <c r="CE814" s="164" t="e">
        <f>CE817/CE820*100</f>
        <v>#DIV/0!</v>
      </c>
      <c r="CF814" s="241"/>
      <c r="CG814" s="164" t="e">
        <f>CG817/CG820*100</f>
        <v>#DIV/0!</v>
      </c>
      <c r="CH814" s="164" t="e">
        <f>CH817/CH820*100</f>
        <v>#DIV/0!</v>
      </c>
      <c r="CI814" s="241"/>
      <c r="CJ814" s="164" t="e">
        <f>CJ817/CJ820*100</f>
        <v>#DIV/0!</v>
      </c>
      <c r="CK814" s="164" t="e">
        <f>CK817/CK820*100</f>
        <v>#DIV/0!</v>
      </c>
      <c r="CM814" s="164" t="e">
        <f>CM817/CM820*100</f>
        <v>#DIV/0!</v>
      </c>
      <c r="CN814" s="164" t="e">
        <f>CN817/CN820*100</f>
        <v>#DIV/0!</v>
      </c>
      <c r="CP814" s="164" t="e">
        <f>CP817/CP820*100</f>
        <v>#DIV/0!</v>
      </c>
      <c r="CQ814" s="164" t="e">
        <f>CQ817/CQ820*100</f>
        <v>#DIV/0!</v>
      </c>
    </row>
    <row r="815" spans="1:95" ht="60" x14ac:dyDescent="0.25">
      <c r="A815" s="44"/>
      <c r="B815" s="43" t="s">
        <v>583</v>
      </c>
      <c r="C815" s="42" t="s">
        <v>584</v>
      </c>
      <c r="D815" s="42" t="s">
        <v>1112</v>
      </c>
      <c r="E815" s="49"/>
      <c r="F815" s="49"/>
      <c r="G815" s="49"/>
      <c r="H815" s="49"/>
      <c r="I815" s="49"/>
      <c r="J815" s="49"/>
      <c r="K815" s="49"/>
      <c r="L815" s="49"/>
    </row>
    <row r="816" spans="1:95" x14ac:dyDescent="0.25">
      <c r="A816" s="44"/>
      <c r="B816" s="43" t="s">
        <v>1182</v>
      </c>
      <c r="C816" s="42"/>
      <c r="D816" s="42"/>
      <c r="E816" s="49"/>
      <c r="F816" s="49">
        <v>4</v>
      </c>
      <c r="G816" s="49">
        <v>3</v>
      </c>
      <c r="H816" s="49">
        <v>0</v>
      </c>
      <c r="I816" s="49">
        <v>3</v>
      </c>
      <c r="J816" s="49">
        <v>1</v>
      </c>
      <c r="K816" s="49">
        <v>1</v>
      </c>
      <c r="L816" s="49">
        <v>1</v>
      </c>
      <c r="N816" s="241">
        <f>P816+S816+V816+Y816+AB816+AE816+AH816+AK816+AN816+AQ816+AW816+AZ816+BC816+BF816+BI816+BL816+BO816+BR816+BU816+BX816+CA816+CD816+CG816+CJ816+AT816+CM816+CP816</f>
        <v>1</v>
      </c>
      <c r="O816" s="241">
        <f>Q816+T816+W816+Z816+AC816+AF816+AI816+AL816+AO816+AR816+AX816+BA816+BD816+BG816+BJ816+BM816+BP816+BS816+BV816+BY816+CB816+CE816+CH816+CK816+AU816</f>
        <v>0</v>
      </c>
      <c r="P816" s="241">
        <f>R816+U816+X816+AA816+AD816+AG816+AJ816+AM816+AP816+AS816+AY816+BB816+BE816+BH816+BK816+BN816+BQ816+BT816+BW816+BZ816+CC816+CF816+CI816+CL816+AV816</f>
        <v>0</v>
      </c>
      <c r="Q816" s="241">
        <v>0</v>
      </c>
      <c r="S816">
        <v>0</v>
      </c>
      <c r="V816">
        <v>0</v>
      </c>
      <c r="Y816">
        <v>0</v>
      </c>
      <c r="AB816">
        <v>0</v>
      </c>
      <c r="AE816">
        <v>0</v>
      </c>
      <c r="AH816">
        <v>0</v>
      </c>
      <c r="AK816">
        <v>0</v>
      </c>
      <c r="AN816">
        <v>0</v>
      </c>
      <c r="AQ816">
        <v>0</v>
      </c>
      <c r="AT816" s="241">
        <v>1</v>
      </c>
      <c r="AW816">
        <v>0</v>
      </c>
      <c r="AZ816">
        <v>0</v>
      </c>
      <c r="BC816">
        <v>0</v>
      </c>
      <c r="BF816">
        <v>0</v>
      </c>
      <c r="BI816">
        <v>0</v>
      </c>
      <c r="BL816">
        <v>0</v>
      </c>
      <c r="BO816">
        <v>0</v>
      </c>
      <c r="BR816">
        <v>0</v>
      </c>
      <c r="BU816">
        <v>0</v>
      </c>
      <c r="BX816">
        <v>0</v>
      </c>
      <c r="CA816">
        <v>0</v>
      </c>
      <c r="CD816">
        <v>0</v>
      </c>
      <c r="CG816">
        <v>0</v>
      </c>
      <c r="CJ816">
        <v>0</v>
      </c>
      <c r="CM816">
        <v>0</v>
      </c>
      <c r="CP816">
        <v>0</v>
      </c>
    </row>
    <row r="817" spans="1:110" x14ac:dyDescent="0.25">
      <c r="A817" s="44"/>
      <c r="B817" s="43" t="s">
        <v>1184</v>
      </c>
      <c r="C817" s="42"/>
      <c r="D817" s="42"/>
      <c r="E817" s="49"/>
      <c r="F817" s="49">
        <v>2</v>
      </c>
      <c r="G817" s="49">
        <v>1</v>
      </c>
      <c r="H817" s="49">
        <v>0</v>
      </c>
      <c r="I817" s="49">
        <v>0</v>
      </c>
      <c r="J817" s="49">
        <v>0</v>
      </c>
      <c r="K817" s="49">
        <v>0</v>
      </c>
      <c r="L817" s="49">
        <v>0</v>
      </c>
      <c r="N817" s="241">
        <f t="shared" ref="N817" si="1985">P817+S817+V817+Y817+AB817+AE817+AH817+AK817+AN817+AQ817+AW817+AZ817+BC817+BF817+BI817+BL817+BO817+BR817+BU817+BX817+CA817+CD817+CG817+CJ817+AT817+CM817+CP817</f>
        <v>0</v>
      </c>
      <c r="O817" s="241">
        <f>Q817+T817+W817+Z817+AC817+AF817+AI817+AL817+AO817+AR817+AX817+BA817+BD817+BG817+BJ817+BM817+BP817+BS817+BV817+BY817+CB817+CE817+CH817+CK817+AU817</f>
        <v>0</v>
      </c>
      <c r="P817" s="241">
        <f>R817+U817+X817+AA817+AD817+AG817+AJ817+AM817+AP817+AS817+AY817+BB817+BE817+BH817+BK817+BN817+BQ817+BT817+BW817+BZ817+CC817+CF817+CI817+CL817+AV817</f>
        <v>0</v>
      </c>
      <c r="Q817" s="241">
        <f>S817+V817+Y817+AB817+AE817+AH817+AK817+AN817+AQ817+AT817+AZ817+BC817+BF817+BI817+BL817+BO817+BR817+BU817+BX817+CA817+CD817+CG817+CJ817+CM817+AW817</f>
        <v>0</v>
      </c>
      <c r="S817">
        <v>0</v>
      </c>
      <c r="V817">
        <v>0</v>
      </c>
      <c r="Y817">
        <v>0</v>
      </c>
      <c r="AB817">
        <v>0</v>
      </c>
      <c r="AE817">
        <v>0</v>
      </c>
      <c r="AH817">
        <v>0</v>
      </c>
      <c r="AK817">
        <v>0</v>
      </c>
      <c r="AN817">
        <v>0</v>
      </c>
      <c r="AQ817">
        <v>0</v>
      </c>
      <c r="AT817" s="241">
        <v>0</v>
      </c>
      <c r="AW817">
        <v>0</v>
      </c>
      <c r="AZ817">
        <v>0</v>
      </c>
      <c r="BC817">
        <v>0</v>
      </c>
      <c r="BF817">
        <v>0</v>
      </c>
      <c r="BI817">
        <v>0</v>
      </c>
      <c r="BL817">
        <v>0</v>
      </c>
      <c r="BO817">
        <v>0</v>
      </c>
      <c r="BR817">
        <v>0</v>
      </c>
      <c r="BU817">
        <v>0</v>
      </c>
      <c r="BX817">
        <v>0</v>
      </c>
      <c r="CA817">
        <v>0</v>
      </c>
      <c r="CD817">
        <v>0</v>
      </c>
      <c r="CG817">
        <v>0</v>
      </c>
      <c r="CJ817">
        <v>0</v>
      </c>
      <c r="CM817">
        <v>0</v>
      </c>
      <c r="CP817">
        <v>0</v>
      </c>
    </row>
    <row r="818" spans="1:110" ht="45" x14ac:dyDescent="0.25">
      <c r="A818" s="44"/>
      <c r="B818" s="43" t="s">
        <v>585</v>
      </c>
      <c r="C818" s="42" t="s">
        <v>586</v>
      </c>
      <c r="D818" s="42" t="s">
        <v>1112</v>
      </c>
      <c r="E818" s="49"/>
      <c r="F818" s="49"/>
      <c r="G818" s="49"/>
      <c r="H818" s="49"/>
      <c r="I818" s="49"/>
      <c r="J818" s="49"/>
      <c r="K818" s="49"/>
      <c r="L818" s="49"/>
    </row>
    <row r="819" spans="1:110" x14ac:dyDescent="0.25">
      <c r="A819" s="44"/>
      <c r="B819" s="43" t="s">
        <v>1182</v>
      </c>
      <c r="C819" s="42"/>
      <c r="D819" s="42"/>
      <c r="E819" s="49"/>
      <c r="F819" s="49">
        <v>32</v>
      </c>
      <c r="G819" s="49">
        <v>24</v>
      </c>
      <c r="H819" s="49">
        <v>23</v>
      </c>
      <c r="I819" s="49">
        <v>24</v>
      </c>
      <c r="J819" s="49">
        <v>24</v>
      </c>
      <c r="K819" s="49">
        <v>24</v>
      </c>
      <c r="L819" s="49">
        <v>24</v>
      </c>
      <c r="N819" s="241">
        <f>P819+S819+V819+Y819+AB819+AE819+AH819+AK819+AN819+AQ819+AW819+AZ819+BC819+BF819+BI819+BL819+BO819+BR819+BU819+BX819+CA819+CD819+CG819+CJ819+AT819+CM819+CP819</f>
        <v>24</v>
      </c>
      <c r="O819" s="241">
        <f>Q819+T819+W819+Z819+AC819+AF819+AI819+AL819+AO819+AR819+AX819+BA819+BD819+BG819+BJ819+BM819+BP819+BS819+BV819+BY819+CB819+CE819+CH819+CK819+AU819</f>
        <v>0</v>
      </c>
      <c r="P819" s="241">
        <v>1</v>
      </c>
      <c r="Q819" s="241">
        <v>0</v>
      </c>
      <c r="S819">
        <v>1</v>
      </c>
      <c r="V819">
        <v>1</v>
      </c>
      <c r="Y819">
        <v>1</v>
      </c>
      <c r="AB819">
        <v>1</v>
      </c>
      <c r="AE819">
        <v>1</v>
      </c>
      <c r="AH819">
        <v>1</v>
      </c>
      <c r="AK819">
        <v>1</v>
      </c>
      <c r="AN819">
        <v>0</v>
      </c>
      <c r="AQ819">
        <v>1</v>
      </c>
      <c r="AT819" s="241">
        <v>0</v>
      </c>
      <c r="AW819">
        <v>1</v>
      </c>
      <c r="AZ819">
        <v>1</v>
      </c>
      <c r="BC819">
        <v>1</v>
      </c>
      <c r="BF819">
        <v>1</v>
      </c>
      <c r="BI819">
        <v>1</v>
      </c>
      <c r="BL819">
        <v>1</v>
      </c>
      <c r="BO819">
        <v>1</v>
      </c>
      <c r="BR819">
        <v>1</v>
      </c>
      <c r="BU819">
        <v>1</v>
      </c>
      <c r="BX819">
        <v>1</v>
      </c>
      <c r="CA819">
        <v>1</v>
      </c>
      <c r="CD819">
        <v>1</v>
      </c>
      <c r="CG819">
        <v>1</v>
      </c>
      <c r="CJ819">
        <v>0</v>
      </c>
      <c r="CM819">
        <v>1</v>
      </c>
      <c r="CP819">
        <v>1</v>
      </c>
    </row>
    <row r="820" spans="1:110" x14ac:dyDescent="0.25">
      <c r="A820" s="44"/>
      <c r="B820" s="43" t="s">
        <v>1184</v>
      </c>
      <c r="C820" s="42"/>
      <c r="D820" s="42"/>
      <c r="E820" s="49"/>
      <c r="F820" s="49">
        <v>0</v>
      </c>
      <c r="G820" s="49">
        <v>0</v>
      </c>
      <c r="H820" s="49">
        <v>3</v>
      </c>
      <c r="I820" s="49">
        <v>1</v>
      </c>
      <c r="J820" s="49">
        <v>2</v>
      </c>
      <c r="K820" s="49">
        <v>2</v>
      </c>
      <c r="L820" s="49">
        <v>2</v>
      </c>
      <c r="N820" s="241">
        <f t="shared" ref="N820" si="1986">P820+S820+V820+Y820+AB820+AE820+AH820+AK820+AN820+AQ820+AW820+AZ820+BC820+BF820+BI820+BL820+BO820+BR820+BU820+BX820+CA820+CD820+CG820+CJ820+AT820+CM820+CP820</f>
        <v>0</v>
      </c>
      <c r="O820" s="241">
        <f>Q820+T820+W820+Z820+AC820+AF820+AI820+AL820+AO820+AR820+AX820+BA820+BD820+BG820+BJ820+BM820+BP820+BS820+BV820+BY820+CB820+CE820+CH820+CK820+AU820</f>
        <v>0</v>
      </c>
      <c r="P820" s="241">
        <f>R820+U820+X820+AA820+AD820+AG820+AJ820+AM820+AP820+AS820+AY820+BB820+BE820+BH820+BK820+BN820+BQ820+BT820+BW820+BZ820+CC820+CF820+CI820+CL820+AV820</f>
        <v>0</v>
      </c>
      <c r="Q820" s="241">
        <f>S820+V820+Y820+AB820+AE820+AH820+AK820+AN820+AQ820+AT820+AZ820+BC820+BF820+BI820+BL820+BO820+BR820+BU820+BX820+CA820+CD820+CG820+CJ820+CM820+AW820</f>
        <v>0</v>
      </c>
      <c r="S820">
        <v>0</v>
      </c>
      <c r="V820">
        <v>0</v>
      </c>
      <c r="Y820">
        <v>0</v>
      </c>
      <c r="AB820">
        <v>0</v>
      </c>
      <c r="AE820">
        <v>0</v>
      </c>
      <c r="AH820">
        <v>0</v>
      </c>
      <c r="AK820">
        <v>0</v>
      </c>
      <c r="AN820">
        <v>0</v>
      </c>
      <c r="AQ820">
        <v>0</v>
      </c>
      <c r="AT820" s="241">
        <v>0</v>
      </c>
      <c r="AW820">
        <v>0</v>
      </c>
      <c r="AZ820">
        <v>0</v>
      </c>
      <c r="BC820">
        <v>0</v>
      </c>
      <c r="BF820">
        <v>0</v>
      </c>
      <c r="BI820">
        <v>0</v>
      </c>
      <c r="BL820">
        <v>0</v>
      </c>
      <c r="BO820">
        <v>0</v>
      </c>
      <c r="BR820">
        <v>0</v>
      </c>
      <c r="BU820">
        <v>0</v>
      </c>
      <c r="BX820">
        <v>0</v>
      </c>
      <c r="CA820">
        <v>0</v>
      </c>
      <c r="CD820">
        <v>0</v>
      </c>
      <c r="CG820">
        <v>0</v>
      </c>
      <c r="CJ820">
        <v>0</v>
      </c>
      <c r="CM820">
        <v>0</v>
      </c>
      <c r="CP820">
        <v>0</v>
      </c>
    </row>
    <row r="821" spans="1:110" ht="120" hidden="1" x14ac:dyDescent="0.25">
      <c r="A821" s="150" t="s">
        <v>1481</v>
      </c>
      <c r="B821" s="51" t="s">
        <v>2016</v>
      </c>
      <c r="C821" s="158"/>
      <c r="D821" s="150" t="s">
        <v>8</v>
      </c>
      <c r="E821" s="159" t="e">
        <f t="shared" ref="E821:K821" si="1987">E822/E823*100</f>
        <v>#DIV/0!</v>
      </c>
      <c r="F821" s="159" t="e">
        <f t="shared" si="1987"/>
        <v>#DIV/0!</v>
      </c>
      <c r="G821" s="159" t="e">
        <f t="shared" si="1987"/>
        <v>#DIV/0!</v>
      </c>
      <c r="H821" s="159" t="e">
        <f t="shared" si="1987"/>
        <v>#DIV/0!</v>
      </c>
      <c r="I821" s="159" t="e">
        <f t="shared" si="1987"/>
        <v>#DIV/0!</v>
      </c>
      <c r="J821" s="159" t="e">
        <f t="shared" si="1987"/>
        <v>#DIV/0!</v>
      </c>
      <c r="K821" s="159" t="e">
        <f t="shared" si="1987"/>
        <v>#DIV/0!</v>
      </c>
      <c r="L821" s="159" t="e">
        <f t="shared" ref="L821" si="1988">L822/L823*100</f>
        <v>#DIV/0!</v>
      </c>
    </row>
    <row r="822" spans="1:110" ht="90" hidden="1" x14ac:dyDescent="0.25">
      <c r="A822" s="150"/>
      <c r="B822" s="51" t="s">
        <v>1482</v>
      </c>
      <c r="C822" s="158"/>
      <c r="D822" s="150" t="s">
        <v>1112</v>
      </c>
      <c r="E822" s="159"/>
      <c r="F822" s="159"/>
      <c r="G822" s="159"/>
      <c r="H822" s="159"/>
      <c r="I822" s="159"/>
      <c r="J822" s="159"/>
      <c r="K822" s="159"/>
      <c r="L822" s="159"/>
    </row>
    <row r="823" spans="1:110" hidden="1" x14ac:dyDescent="0.25">
      <c r="A823" s="150"/>
      <c r="B823" s="51" t="s">
        <v>1483</v>
      </c>
      <c r="C823" s="158"/>
      <c r="D823" s="150" t="s">
        <v>1112</v>
      </c>
      <c r="E823" s="159"/>
      <c r="F823" s="159"/>
      <c r="G823" s="159"/>
      <c r="H823" s="159"/>
      <c r="I823" s="159"/>
      <c r="J823" s="159"/>
      <c r="K823" s="159"/>
      <c r="L823" s="159"/>
    </row>
    <row r="824" spans="1:110" ht="60" x14ac:dyDescent="0.25">
      <c r="A824" s="47" t="s">
        <v>601</v>
      </c>
      <c r="B824" s="48" t="s">
        <v>587</v>
      </c>
      <c r="C824" s="44"/>
      <c r="D824" s="44"/>
      <c r="E824" s="44"/>
      <c r="F824" s="44"/>
      <c r="G824" s="44"/>
      <c r="H824" s="44"/>
      <c r="I824" s="44"/>
      <c r="J824" s="44"/>
      <c r="K824" s="44"/>
      <c r="L824" s="44"/>
    </row>
    <row r="825" spans="1:110" ht="60" x14ac:dyDescent="0.25">
      <c r="A825" s="42" t="s">
        <v>602</v>
      </c>
      <c r="B825" s="46" t="s">
        <v>2029</v>
      </c>
      <c r="C825" s="42"/>
      <c r="D825" s="42"/>
      <c r="E825" s="50"/>
      <c r="F825" s="50"/>
      <c r="G825" s="50"/>
      <c r="H825" s="50"/>
      <c r="I825" s="50"/>
      <c r="J825" s="50"/>
      <c r="K825" s="50"/>
      <c r="L825" s="50"/>
      <c r="M825" s="3" t="s">
        <v>594</v>
      </c>
    </row>
    <row r="826" spans="1:110" x14ac:dyDescent="0.25">
      <c r="A826" s="42"/>
      <c r="B826" s="46" t="s">
        <v>1948</v>
      </c>
      <c r="C826" s="42"/>
      <c r="D826" s="42"/>
      <c r="E826" s="50"/>
      <c r="F826" s="50"/>
      <c r="G826" s="50"/>
      <c r="H826" s="50"/>
      <c r="I826" s="50"/>
      <c r="J826" s="50"/>
      <c r="K826" s="50"/>
      <c r="L826" s="50"/>
    </row>
    <row r="827" spans="1:110" x14ac:dyDescent="0.25">
      <c r="A827" s="42"/>
      <c r="B827" s="46" t="s">
        <v>1182</v>
      </c>
      <c r="C827" s="42"/>
      <c r="D827" s="42" t="s">
        <v>8</v>
      </c>
      <c r="E827" s="45">
        <v>76.989999999999995</v>
      </c>
      <c r="F827" s="45">
        <f t="shared" ref="F827:H828" si="1989">F833/F836*100</f>
        <v>72.454078876283091</v>
      </c>
      <c r="G827" s="45">
        <v>66.42</v>
      </c>
      <c r="H827" s="45">
        <v>72.8</v>
      </c>
      <c r="I827" s="45">
        <f t="shared" ref="I827:K828" si="1990">I833/I836*100</f>
        <v>71.440246836489194</v>
      </c>
      <c r="J827" s="45">
        <f t="shared" si="1990"/>
        <v>90.129702938431336</v>
      </c>
      <c r="K827" s="45">
        <f t="shared" si="1990"/>
        <v>92.822916136043332</v>
      </c>
      <c r="L827" s="45">
        <f t="shared" ref="L827" si="1991">L833/L836*100</f>
        <v>92.805785977142719</v>
      </c>
      <c r="N827" s="45">
        <f t="shared" ref="N827:P828" si="1992">N833/N836*100</f>
        <v>93.139487638239686</v>
      </c>
      <c r="O827" s="45">
        <f t="shared" si="1992"/>
        <v>100</v>
      </c>
      <c r="P827" s="45">
        <f t="shared" ref="P827:Q827" si="1993">P833/P836*100</f>
        <v>100</v>
      </c>
      <c r="Q827" s="45">
        <f t="shared" si="1993"/>
        <v>100</v>
      </c>
      <c r="S827" s="45">
        <f t="shared" ref="S827:T828" si="1994">S833/S836*100</f>
        <v>100</v>
      </c>
      <c r="T827" s="45" t="e">
        <f t="shared" si="1994"/>
        <v>#DIV/0!</v>
      </c>
      <c r="V827" s="45">
        <f t="shared" ref="V827:W827" si="1995">V833/V836*100</f>
        <v>100</v>
      </c>
      <c r="W827" s="45" t="e">
        <f t="shared" si="1995"/>
        <v>#DIV/0!</v>
      </c>
      <c r="Y827" s="45">
        <f t="shared" ref="Y827:Z828" si="1996">Y833/Y836*100</f>
        <v>100</v>
      </c>
      <c r="Z827" s="45" t="e">
        <f t="shared" si="1996"/>
        <v>#DIV/0!</v>
      </c>
      <c r="AA827" s="241"/>
      <c r="AB827" s="45">
        <f t="shared" ref="AB827:AC827" si="1997">AB833/AB836*100</f>
        <v>100</v>
      </c>
      <c r="AC827" s="45" t="e">
        <f t="shared" si="1997"/>
        <v>#DIV/0!</v>
      </c>
      <c r="AD827" s="241"/>
      <c r="AE827" s="45">
        <f t="shared" ref="AE827:AF827" si="1998">AE833/AE836*100</f>
        <v>100</v>
      </c>
      <c r="AF827" s="45" t="e">
        <f t="shared" si="1998"/>
        <v>#DIV/0!</v>
      </c>
      <c r="AH827" s="45">
        <f t="shared" ref="AH827:AI827" si="1999">AH833/AH836*100</f>
        <v>100</v>
      </c>
      <c r="AI827" s="45" t="e">
        <f t="shared" si="1999"/>
        <v>#DIV/0!</v>
      </c>
      <c r="AJ827" s="241"/>
      <c r="AK827" s="45">
        <f t="shared" ref="AK827:AL827" si="2000">AK833/AK836*100</f>
        <v>100</v>
      </c>
      <c r="AL827" s="45" t="e">
        <f t="shared" si="2000"/>
        <v>#DIV/0!</v>
      </c>
      <c r="AM827" s="241"/>
      <c r="AN827" s="45" t="e">
        <f t="shared" ref="AN827:AO827" si="2001">AN833/AN836*100</f>
        <v>#DIV/0!</v>
      </c>
      <c r="AO827" s="45" t="e">
        <f t="shared" si="2001"/>
        <v>#DIV/0!</v>
      </c>
      <c r="AQ827" s="45">
        <f t="shared" ref="AQ827:AR827" si="2002">AQ833/AQ836*100</f>
        <v>0</v>
      </c>
      <c r="AR827" s="45" t="e">
        <f t="shared" si="2002"/>
        <v>#DIV/0!</v>
      </c>
      <c r="AS827" s="241"/>
      <c r="AT827" s="45">
        <f t="shared" ref="AT827:AU827" si="2003">AT833/AT836*100</f>
        <v>0</v>
      </c>
      <c r="AU827" s="45" t="e">
        <f t="shared" si="2003"/>
        <v>#DIV/0!</v>
      </c>
      <c r="AW827" s="45">
        <f t="shared" ref="AW827:AX827" si="2004">AW833/AW836*100</f>
        <v>100</v>
      </c>
      <c r="AX827" s="45" t="e">
        <f t="shared" si="2004"/>
        <v>#DIV/0!</v>
      </c>
      <c r="AZ827" s="45">
        <f t="shared" ref="AZ827:BA827" si="2005">AZ833/AZ836*100</f>
        <v>100</v>
      </c>
      <c r="BA827" s="45" t="e">
        <f t="shared" si="2005"/>
        <v>#DIV/0!</v>
      </c>
      <c r="BB827" s="241"/>
      <c r="BC827" s="45">
        <f t="shared" ref="BC827:BD827" si="2006">BC833/BC836*100</f>
        <v>100</v>
      </c>
      <c r="BD827" s="45" t="e">
        <f t="shared" si="2006"/>
        <v>#DIV/0!</v>
      </c>
      <c r="BE827" s="241"/>
      <c r="BF827" s="45">
        <f t="shared" ref="BF827:BG827" si="2007">BF833/BF836*100</f>
        <v>100</v>
      </c>
      <c r="BG827" s="45" t="e">
        <f t="shared" si="2007"/>
        <v>#DIV/0!</v>
      </c>
      <c r="BI827" s="45">
        <f t="shared" ref="BI827:BJ827" si="2008">BI833/BI836*100</f>
        <v>100</v>
      </c>
      <c r="BJ827" s="45" t="e">
        <f t="shared" si="2008"/>
        <v>#DIV/0!</v>
      </c>
      <c r="BK827" s="241"/>
      <c r="BL827" s="45">
        <f t="shared" ref="BL827:BM827" si="2009">BL833/BL836*100</f>
        <v>72.029097463628162</v>
      </c>
      <c r="BM827" s="45" t="e">
        <f t="shared" si="2009"/>
        <v>#DIV/0!</v>
      </c>
      <c r="BN827" s="241"/>
      <c r="BO827" s="45">
        <f t="shared" ref="BO827:BP827" si="2010">BO833/BO836*100</f>
        <v>100</v>
      </c>
      <c r="BP827" s="45" t="e">
        <f t="shared" si="2010"/>
        <v>#DIV/0!</v>
      </c>
      <c r="BR827" s="45">
        <f t="shared" ref="BR827:BS827" si="2011">BR833/BR836*100</f>
        <v>100</v>
      </c>
      <c r="BS827" s="45" t="e">
        <f t="shared" si="2011"/>
        <v>#DIV/0!</v>
      </c>
      <c r="BT827" s="241"/>
      <c r="BU827" s="45">
        <f t="shared" ref="BU827:BV827" si="2012">BU833/BU836*100</f>
        <v>100</v>
      </c>
      <c r="BV827" s="45" t="e">
        <f t="shared" si="2012"/>
        <v>#DIV/0!</v>
      </c>
      <c r="BW827" s="241"/>
      <c r="BX827" s="45">
        <f t="shared" ref="BX827:BY827" si="2013">BX833/BX836*100</f>
        <v>100</v>
      </c>
      <c r="BY827" s="45" t="e">
        <f t="shared" si="2013"/>
        <v>#DIV/0!</v>
      </c>
      <c r="CA827" s="45">
        <f t="shared" ref="CA827:CB827" si="2014">CA833/CA836*100</f>
        <v>91.852323360916614</v>
      </c>
      <c r="CB827" s="45" t="e">
        <f t="shared" si="2014"/>
        <v>#DIV/0!</v>
      </c>
      <c r="CC827" s="241"/>
      <c r="CD827" s="45">
        <f t="shared" ref="CD827:CE827" si="2015">CD833/CD836*100</f>
        <v>0</v>
      </c>
      <c r="CE827" s="45" t="e">
        <f t="shared" si="2015"/>
        <v>#DIV/0!</v>
      </c>
      <c r="CF827" s="241"/>
      <c r="CG827" s="45">
        <f t="shared" ref="CG827:CH827" si="2016">CG833/CG836*100</f>
        <v>100</v>
      </c>
      <c r="CH827" s="45" t="e">
        <f t="shared" si="2016"/>
        <v>#DIV/0!</v>
      </c>
      <c r="CJ827" s="45" t="e">
        <f>CJ833/CJ836*100</f>
        <v>#DIV/0!</v>
      </c>
      <c r="CK827" s="45" t="e">
        <f t="shared" ref="CK827" si="2017">CK833/CK836*100</f>
        <v>#DIV/0!</v>
      </c>
      <c r="CL827" s="241"/>
      <c r="CM827" s="45">
        <f>CM833/CM836*100</f>
        <v>100</v>
      </c>
      <c r="CN827" s="45" t="e">
        <f t="shared" ref="CN827" si="2018">CN833/CN836*100</f>
        <v>#DIV/0!</v>
      </c>
      <c r="CO827" s="241"/>
      <c r="CP827" s="45">
        <f>CP833/CP836*100</f>
        <v>100</v>
      </c>
      <c r="CQ827" s="45" t="e">
        <f t="shared" ref="CQ827" si="2019">CQ833/CQ836*100</f>
        <v>#DIV/0!</v>
      </c>
      <c r="CS827" s="45">
        <f>CS833/CS836*100</f>
        <v>100</v>
      </c>
      <c r="CT827" s="45" t="e">
        <f t="shared" ref="CT827" si="2020">CT833/CT836*100</f>
        <v>#DIV/0!</v>
      </c>
      <c r="CV827" s="45">
        <f>CV833/CV836*100</f>
        <v>100</v>
      </c>
      <c r="CW827" s="45" t="e">
        <f t="shared" ref="CW827" si="2021">CW833/CW836*100</f>
        <v>#DIV/0!</v>
      </c>
      <c r="CY827" s="45">
        <f>CY833/CY836*100</f>
        <v>100</v>
      </c>
      <c r="CZ827" s="45" t="e">
        <f t="shared" ref="CZ827" si="2022">CZ833/CZ836*100</f>
        <v>#DIV/0!</v>
      </c>
      <c r="DB827" s="45">
        <f>DB833/DB836*100</f>
        <v>100</v>
      </c>
      <c r="DC827" s="45" t="e">
        <f t="shared" ref="DC827" si="2023">DC833/DC836*100</f>
        <v>#DIV/0!</v>
      </c>
      <c r="DE827" s="45" t="e">
        <f>DE833/DE836*100</f>
        <v>#DIV/0!</v>
      </c>
      <c r="DF827" s="45" t="e">
        <f t="shared" ref="DF827" si="2024">DF833/DF836*100</f>
        <v>#DIV/0!</v>
      </c>
    </row>
    <row r="828" spans="1:110" x14ac:dyDescent="0.25">
      <c r="A828" s="42"/>
      <c r="B828" s="46" t="s">
        <v>1184</v>
      </c>
      <c r="C828" s="42"/>
      <c r="D828" s="42" t="s">
        <v>8</v>
      </c>
      <c r="E828" s="45">
        <v>100</v>
      </c>
      <c r="F828" s="45">
        <f t="shared" si="1989"/>
        <v>100</v>
      </c>
      <c r="G828" s="45">
        <f t="shared" si="1989"/>
        <v>100</v>
      </c>
      <c r="H828" s="45">
        <f t="shared" si="1989"/>
        <v>100</v>
      </c>
      <c r="I828" s="45">
        <f t="shared" si="1990"/>
        <v>100</v>
      </c>
      <c r="J828" s="45">
        <f t="shared" si="1990"/>
        <v>100</v>
      </c>
      <c r="K828" s="45">
        <f t="shared" si="1990"/>
        <v>100</v>
      </c>
      <c r="L828" s="45">
        <f t="shared" ref="L828" si="2025">L834/L837*100</f>
        <v>100</v>
      </c>
      <c r="N828" s="45">
        <f t="shared" ref="N828" si="2026">N834/N837*100</f>
        <v>100</v>
      </c>
      <c r="O828" s="45">
        <f t="shared" si="1992"/>
        <v>100</v>
      </c>
      <c r="P828" s="45" t="e">
        <f t="shared" si="1992"/>
        <v>#DIV/0!</v>
      </c>
      <c r="Q828" s="45" t="e">
        <f t="shared" ref="Q828" si="2027">Q834/Q837*100</f>
        <v>#DIV/0!</v>
      </c>
      <c r="S828" s="45" t="e">
        <f t="shared" ref="S828" si="2028">S834/S837*100</f>
        <v>#DIV/0!</v>
      </c>
      <c r="T828" s="45" t="e">
        <f t="shared" si="1994"/>
        <v>#DIV/0!</v>
      </c>
      <c r="V828" s="45" t="e">
        <f t="shared" ref="V828:W828" si="2029">V834/V837*100</f>
        <v>#DIV/0!</v>
      </c>
      <c r="W828" s="45" t="e">
        <f t="shared" si="2029"/>
        <v>#DIV/0!</v>
      </c>
      <c r="Y828" s="45" t="e">
        <f t="shared" ref="Y828" si="2030">Y834/Y837*100</f>
        <v>#DIV/0!</v>
      </c>
      <c r="Z828" s="45" t="e">
        <f t="shared" si="1996"/>
        <v>#DIV/0!</v>
      </c>
      <c r="AA828" s="241"/>
      <c r="AB828" s="45" t="e">
        <f t="shared" ref="AB828:AC828" si="2031">AB834/AB837*100</f>
        <v>#DIV/0!</v>
      </c>
      <c r="AC828" s="45" t="e">
        <f t="shared" si="2031"/>
        <v>#DIV/0!</v>
      </c>
      <c r="AD828" s="241"/>
      <c r="AE828" s="45" t="e">
        <f t="shared" ref="AE828:AF828" si="2032">AE834/AE837*100</f>
        <v>#DIV/0!</v>
      </c>
      <c r="AF828" s="45" t="e">
        <f t="shared" si="2032"/>
        <v>#DIV/0!</v>
      </c>
      <c r="AH828" s="45" t="e">
        <f t="shared" ref="AH828:AI828" si="2033">AH834/AH837*100</f>
        <v>#DIV/0!</v>
      </c>
      <c r="AI828" s="45" t="e">
        <f t="shared" si="2033"/>
        <v>#DIV/0!</v>
      </c>
      <c r="AJ828" s="241"/>
      <c r="AK828" s="45" t="e">
        <f t="shared" ref="AK828:AL828" si="2034">AK834/AK837*100</f>
        <v>#DIV/0!</v>
      </c>
      <c r="AL828" s="45" t="e">
        <f t="shared" si="2034"/>
        <v>#DIV/0!</v>
      </c>
      <c r="AM828" s="241"/>
      <c r="AN828" s="45" t="e">
        <f t="shared" ref="AN828:AO828" si="2035">AN834/AN837*100</f>
        <v>#DIV/0!</v>
      </c>
      <c r="AO828" s="45" t="e">
        <f t="shared" si="2035"/>
        <v>#DIV/0!</v>
      </c>
      <c r="AQ828" s="45" t="e">
        <f t="shared" ref="AQ828:AR828" si="2036">AQ834/AQ837*100</f>
        <v>#DIV/0!</v>
      </c>
      <c r="AR828" s="45" t="e">
        <f t="shared" si="2036"/>
        <v>#DIV/0!</v>
      </c>
      <c r="AS828" s="241"/>
      <c r="AT828" s="45" t="e">
        <f t="shared" ref="AT828:AU828" si="2037">AT834/AT837*100</f>
        <v>#DIV/0!</v>
      </c>
      <c r="AU828" s="45" t="e">
        <f t="shared" si="2037"/>
        <v>#DIV/0!</v>
      </c>
      <c r="AW828" s="45" t="e">
        <f t="shared" ref="AW828:AX828" si="2038">AW834/AW837*100</f>
        <v>#DIV/0!</v>
      </c>
      <c r="AX828" s="45" t="e">
        <f t="shared" si="2038"/>
        <v>#DIV/0!</v>
      </c>
      <c r="AZ828" s="45" t="e">
        <f t="shared" ref="AZ828:BA828" si="2039">AZ834/AZ837*100</f>
        <v>#DIV/0!</v>
      </c>
      <c r="BA828" s="45" t="e">
        <f t="shared" si="2039"/>
        <v>#DIV/0!</v>
      </c>
      <c r="BB828" s="241"/>
      <c r="BC828" s="45" t="e">
        <f t="shared" ref="BC828:BD828" si="2040">BC834/BC837*100</f>
        <v>#DIV/0!</v>
      </c>
      <c r="BD828" s="45" t="e">
        <f t="shared" si="2040"/>
        <v>#DIV/0!</v>
      </c>
      <c r="BE828" s="241"/>
      <c r="BF828" s="45" t="e">
        <f t="shared" ref="BF828:BG828" si="2041">BF834/BF837*100</f>
        <v>#DIV/0!</v>
      </c>
      <c r="BG828" s="45" t="e">
        <f t="shared" si="2041"/>
        <v>#DIV/0!</v>
      </c>
      <c r="BI828" s="45" t="e">
        <f t="shared" ref="BI828:BJ828" si="2042">BI834/BI837*100</f>
        <v>#DIV/0!</v>
      </c>
      <c r="BJ828" s="45" t="e">
        <f t="shared" si="2042"/>
        <v>#DIV/0!</v>
      </c>
      <c r="BK828" s="241"/>
      <c r="BL828" s="45" t="e">
        <f t="shared" ref="BL828:BM828" si="2043">BL834/BL837*100</f>
        <v>#DIV/0!</v>
      </c>
      <c r="BM828" s="45" t="e">
        <f t="shared" si="2043"/>
        <v>#DIV/0!</v>
      </c>
      <c r="BN828" s="241"/>
      <c r="BO828" s="45" t="e">
        <f t="shared" ref="BO828:BP828" si="2044">BO834/BO837*100</f>
        <v>#DIV/0!</v>
      </c>
      <c r="BP828" s="45" t="e">
        <f t="shared" si="2044"/>
        <v>#DIV/0!</v>
      </c>
      <c r="BR828" s="45" t="e">
        <f t="shared" ref="BR828:BS828" si="2045">BR834/BR837*100</f>
        <v>#DIV/0!</v>
      </c>
      <c r="BS828" s="45" t="e">
        <f t="shared" si="2045"/>
        <v>#DIV/0!</v>
      </c>
      <c r="BT828" s="241"/>
      <c r="BU828" s="45" t="e">
        <f t="shared" ref="BU828:BV828" si="2046">BU834/BU837*100</f>
        <v>#DIV/0!</v>
      </c>
      <c r="BV828" s="45" t="e">
        <f t="shared" si="2046"/>
        <v>#DIV/0!</v>
      </c>
      <c r="BW828" s="241"/>
      <c r="BX828" s="45" t="e">
        <f t="shared" ref="BX828:BY828" si="2047">BX834/BX837*100</f>
        <v>#DIV/0!</v>
      </c>
      <c r="BY828" s="45" t="e">
        <f t="shared" si="2047"/>
        <v>#DIV/0!</v>
      </c>
      <c r="CA828" s="45" t="e">
        <f t="shared" ref="CA828:CB828" si="2048">CA834/CA837*100</f>
        <v>#DIV/0!</v>
      </c>
      <c r="CB828" s="45" t="e">
        <f t="shared" si="2048"/>
        <v>#DIV/0!</v>
      </c>
      <c r="CC828" s="241"/>
      <c r="CD828" s="45" t="e">
        <f t="shared" ref="CD828:CE828" si="2049">CD834/CD837*100</f>
        <v>#DIV/0!</v>
      </c>
      <c r="CE828" s="45" t="e">
        <f t="shared" si="2049"/>
        <v>#DIV/0!</v>
      </c>
      <c r="CF828" s="241"/>
      <c r="CG828" s="45" t="e">
        <f t="shared" ref="CG828:CH828" si="2050">CG834/CG837*100</f>
        <v>#DIV/0!</v>
      </c>
      <c r="CH828" s="45" t="e">
        <f t="shared" si="2050"/>
        <v>#DIV/0!</v>
      </c>
      <c r="CJ828" s="45" t="e">
        <f t="shared" ref="CJ828:CK828" si="2051">CJ834/CJ837*100</f>
        <v>#DIV/0!</v>
      </c>
      <c r="CK828" s="45" t="e">
        <f t="shared" si="2051"/>
        <v>#DIV/0!</v>
      </c>
      <c r="CL828" s="241"/>
      <c r="CM828" s="45" t="e">
        <f t="shared" ref="CM828:CN828" si="2052">CM834/CM837*100</f>
        <v>#DIV/0!</v>
      </c>
      <c r="CN828" s="45" t="e">
        <f t="shared" si="2052"/>
        <v>#DIV/0!</v>
      </c>
      <c r="CO828" s="241"/>
      <c r="CP828" s="45" t="e">
        <f t="shared" ref="CP828:CQ828" si="2053">CP834/CP837*100</f>
        <v>#DIV/0!</v>
      </c>
      <c r="CQ828" s="45" t="e">
        <f t="shared" si="2053"/>
        <v>#DIV/0!</v>
      </c>
      <c r="CS828" s="45" t="e">
        <f t="shared" ref="CS828:CT828" si="2054">CS834/CS837*100</f>
        <v>#DIV/0!</v>
      </c>
      <c r="CT828" s="45" t="e">
        <f t="shared" si="2054"/>
        <v>#DIV/0!</v>
      </c>
      <c r="CV828" s="45" t="e">
        <f t="shared" ref="CV828:CW828" si="2055">CV834/CV837*100</f>
        <v>#DIV/0!</v>
      </c>
      <c r="CW828" s="45" t="e">
        <f t="shared" si="2055"/>
        <v>#DIV/0!</v>
      </c>
      <c r="CY828" s="45" t="e">
        <f t="shared" ref="CY828:CZ828" si="2056">CY834/CY837*100</f>
        <v>#DIV/0!</v>
      </c>
      <c r="CZ828" s="45" t="e">
        <f t="shared" si="2056"/>
        <v>#DIV/0!</v>
      </c>
      <c r="DB828" s="45" t="e">
        <f t="shared" ref="DB828:DC828" si="2057">DB834/DB837*100</f>
        <v>#DIV/0!</v>
      </c>
      <c r="DC828" s="45" t="e">
        <f t="shared" si="2057"/>
        <v>#DIV/0!</v>
      </c>
      <c r="DE828" s="45">
        <f t="shared" ref="DE828:DF828" si="2058">DE834/DE837*100</f>
        <v>100</v>
      </c>
      <c r="DF828" s="45">
        <f t="shared" si="2058"/>
        <v>100</v>
      </c>
    </row>
    <row r="829" spans="1:110" x14ac:dyDescent="0.25">
      <c r="A829" s="42"/>
      <c r="B829" s="46" t="s">
        <v>1949</v>
      </c>
      <c r="C829" s="42"/>
      <c r="D829" s="42"/>
      <c r="E829" s="50"/>
      <c r="F829" s="50"/>
      <c r="G829" s="50"/>
      <c r="H829" s="50"/>
      <c r="I829" s="50"/>
      <c r="J829" s="50"/>
      <c r="K829" s="50"/>
      <c r="L829" s="50"/>
      <c r="N829" s="50"/>
      <c r="O829" s="50"/>
      <c r="P829" s="50"/>
      <c r="Q829" s="50"/>
      <c r="S829" s="50"/>
      <c r="T829" s="50"/>
      <c r="V829" s="50"/>
      <c r="W829" s="50"/>
      <c r="Y829" s="50"/>
      <c r="Z829" s="50"/>
      <c r="AA829" s="241"/>
      <c r="AB829" s="50"/>
      <c r="AC829" s="50"/>
      <c r="AD829" s="241"/>
      <c r="AE829" s="50"/>
      <c r="AF829" s="50"/>
      <c r="AH829" s="50"/>
      <c r="AI829" s="50"/>
      <c r="AJ829" s="241"/>
      <c r="AK829" s="50"/>
      <c r="AL829" s="50"/>
      <c r="AM829" s="241"/>
      <c r="AN829" s="50"/>
      <c r="AO829" s="50"/>
      <c r="AQ829" s="50"/>
      <c r="AR829" s="50"/>
      <c r="AS829" s="241"/>
      <c r="AT829" s="50"/>
      <c r="AU829" s="50"/>
      <c r="AW829" s="50"/>
      <c r="AX829" s="50"/>
      <c r="AZ829" s="50"/>
      <c r="BA829" s="50"/>
      <c r="BB829" s="241"/>
      <c r="BC829" s="50"/>
      <c r="BD829" s="50"/>
      <c r="BE829" s="241"/>
      <c r="BF829" s="50"/>
      <c r="BG829" s="50"/>
      <c r="BI829" s="50"/>
      <c r="BJ829" s="50"/>
      <c r="BK829" s="241"/>
      <c r="BL829" s="50"/>
      <c r="BM829" s="50"/>
      <c r="BN829" s="241"/>
      <c r="BO829" s="50"/>
      <c r="BP829" s="50"/>
      <c r="BR829" s="50"/>
      <c r="BS829" s="50"/>
      <c r="BT829" s="241"/>
      <c r="BU829" s="50"/>
      <c r="BV829" s="50"/>
      <c r="BW829" s="241"/>
      <c r="BX829" s="50"/>
      <c r="BY829" s="50"/>
      <c r="CA829" s="50"/>
      <c r="CB829" s="50"/>
      <c r="CC829" s="241"/>
      <c r="CD829" s="50"/>
      <c r="CE829" s="50"/>
      <c r="CF829" s="241"/>
      <c r="CG829" s="50"/>
      <c r="CH829" s="50"/>
      <c r="CJ829" s="50"/>
      <c r="CK829" s="50"/>
      <c r="CL829" s="241"/>
      <c r="CM829" s="50"/>
      <c r="CN829" s="50"/>
      <c r="CO829" s="241"/>
      <c r="CP829" s="50"/>
      <c r="CQ829" s="50"/>
      <c r="CS829" s="50"/>
      <c r="CT829" s="50"/>
      <c r="CV829" s="50"/>
      <c r="CW829" s="50"/>
      <c r="CY829" s="50"/>
      <c r="CZ829" s="50"/>
      <c r="DB829" s="50"/>
      <c r="DC829" s="50"/>
      <c r="DE829" s="50"/>
      <c r="DF829" s="50"/>
    </row>
    <row r="830" spans="1:110" x14ac:dyDescent="0.25">
      <c r="A830" s="42"/>
      <c r="B830" s="46" t="s">
        <v>1182</v>
      </c>
      <c r="C830" s="42"/>
      <c r="D830" s="42" t="s">
        <v>8</v>
      </c>
      <c r="E830" s="45">
        <v>87.98</v>
      </c>
      <c r="F830" s="45">
        <f t="shared" ref="F830:K830" si="2059">F839/F842*100</f>
        <v>72.408239382893953</v>
      </c>
      <c r="G830" s="45">
        <f t="shared" si="2059"/>
        <v>89.187723328228685</v>
      </c>
      <c r="H830" s="45">
        <f t="shared" si="2059"/>
        <v>90.97372974673587</v>
      </c>
      <c r="I830" s="45">
        <f t="shared" si="2059"/>
        <v>91.65134706814581</v>
      </c>
      <c r="J830" s="45">
        <f t="shared" si="2059"/>
        <v>99.127729479836006</v>
      </c>
      <c r="K830" s="45">
        <f t="shared" si="2059"/>
        <v>100</v>
      </c>
      <c r="L830" s="45">
        <f t="shared" ref="L830" si="2060">L839/L842*100</f>
        <v>100</v>
      </c>
      <c r="N830" s="45">
        <f t="shared" ref="N830:O830" si="2061">N839/N842*100</f>
        <v>100</v>
      </c>
      <c r="O830" s="45">
        <f t="shared" si="2061"/>
        <v>100</v>
      </c>
      <c r="P830" s="45">
        <f t="shared" ref="P830:Q830" si="2062">P839/P842*100</f>
        <v>100</v>
      </c>
      <c r="Q830" s="45">
        <f t="shared" si="2062"/>
        <v>100</v>
      </c>
      <c r="S830" s="45">
        <f t="shared" ref="S830:T830" si="2063">S839/S842*100</f>
        <v>100</v>
      </c>
      <c r="T830" s="45" t="e">
        <f t="shared" si="2063"/>
        <v>#DIV/0!</v>
      </c>
      <c r="V830" s="45">
        <f t="shared" ref="V830:W830" si="2064">V839/V842*100</f>
        <v>100</v>
      </c>
      <c r="W830" s="45" t="e">
        <f t="shared" si="2064"/>
        <v>#DIV/0!</v>
      </c>
      <c r="Y830" s="45">
        <f t="shared" ref="Y830:Z830" si="2065">Y839/Y842*100</f>
        <v>100</v>
      </c>
      <c r="Z830" s="45" t="e">
        <f t="shared" si="2065"/>
        <v>#DIV/0!</v>
      </c>
      <c r="AA830" s="241"/>
      <c r="AB830" s="45">
        <f t="shared" ref="AB830:AC830" si="2066">AB839/AB842*100</f>
        <v>100</v>
      </c>
      <c r="AC830" s="45" t="e">
        <f t="shared" si="2066"/>
        <v>#DIV/0!</v>
      </c>
      <c r="AD830" s="241"/>
      <c r="AE830" s="45" t="e">
        <f t="shared" ref="AE830:AF830" si="2067">AE839/AE842*100</f>
        <v>#DIV/0!</v>
      </c>
      <c r="AF830" s="45" t="e">
        <f t="shared" si="2067"/>
        <v>#DIV/0!</v>
      </c>
      <c r="AH830" s="45">
        <f t="shared" ref="AH830:AI830" si="2068">AH839/AH842*100</f>
        <v>100</v>
      </c>
      <c r="AI830" s="45" t="e">
        <f t="shared" si="2068"/>
        <v>#DIV/0!</v>
      </c>
      <c r="AJ830" s="241"/>
      <c r="AK830" s="45">
        <f t="shared" ref="AK830:AL830" si="2069">AK839/AK842*100</f>
        <v>100</v>
      </c>
      <c r="AL830" s="45" t="e">
        <f t="shared" si="2069"/>
        <v>#DIV/0!</v>
      </c>
      <c r="AM830" s="241"/>
      <c r="AN830" s="45" t="e">
        <f t="shared" ref="AN830:AO830" si="2070">AN839/AN842*100</f>
        <v>#DIV/0!</v>
      </c>
      <c r="AO830" s="45" t="e">
        <f t="shared" si="2070"/>
        <v>#DIV/0!</v>
      </c>
      <c r="AQ830" s="45" t="e">
        <f t="shared" ref="AQ830:AR830" si="2071">AQ839/AQ842*100</f>
        <v>#DIV/0!</v>
      </c>
      <c r="AR830" s="45" t="e">
        <f t="shared" si="2071"/>
        <v>#DIV/0!</v>
      </c>
      <c r="AS830" s="241"/>
      <c r="AT830" s="45" t="e">
        <f t="shared" ref="AT830:AU830" si="2072">AT839/AT842*100</f>
        <v>#DIV/0!</v>
      </c>
      <c r="AU830" s="45" t="e">
        <f t="shared" si="2072"/>
        <v>#DIV/0!</v>
      </c>
      <c r="AW830" s="45">
        <f t="shared" ref="AW830:AX830" si="2073">AW839/AW842*100</f>
        <v>100</v>
      </c>
      <c r="AX830" s="45" t="e">
        <f t="shared" si="2073"/>
        <v>#DIV/0!</v>
      </c>
      <c r="AZ830" s="45" t="e">
        <f t="shared" ref="AZ830:BA830" si="2074">AZ839/AZ842*100</f>
        <v>#DIV/0!</v>
      </c>
      <c r="BA830" s="45" t="e">
        <f t="shared" si="2074"/>
        <v>#DIV/0!</v>
      </c>
      <c r="BB830" s="241"/>
      <c r="BC830" s="45">
        <f t="shared" ref="BC830:BD830" si="2075">BC839/BC842*100</f>
        <v>100</v>
      </c>
      <c r="BD830" s="45" t="e">
        <f t="shared" si="2075"/>
        <v>#DIV/0!</v>
      </c>
      <c r="BE830" s="241"/>
      <c r="BF830" s="45">
        <f t="shared" ref="BF830:BG830" si="2076">BF839/BF842*100</f>
        <v>100</v>
      </c>
      <c r="BG830" s="45" t="e">
        <f t="shared" si="2076"/>
        <v>#DIV/0!</v>
      </c>
      <c r="BI830" s="45">
        <f t="shared" ref="BI830:BJ830" si="2077">BI839/BI842*100</f>
        <v>100</v>
      </c>
      <c r="BJ830" s="45" t="e">
        <f t="shared" si="2077"/>
        <v>#DIV/0!</v>
      </c>
      <c r="BK830" s="241"/>
      <c r="BL830" s="45" t="e">
        <f t="shared" ref="BL830:BM830" si="2078">BL839/BL842*100</f>
        <v>#DIV/0!</v>
      </c>
      <c r="BM830" s="45" t="e">
        <f t="shared" si="2078"/>
        <v>#DIV/0!</v>
      </c>
      <c r="BN830" s="241"/>
      <c r="BO830" s="45">
        <f t="shared" ref="BO830:BP830" si="2079">BO839/BO842*100</f>
        <v>100</v>
      </c>
      <c r="BP830" s="45" t="e">
        <f t="shared" si="2079"/>
        <v>#DIV/0!</v>
      </c>
      <c r="BR830" s="45" t="e">
        <f t="shared" ref="BR830:BS830" si="2080">BR839/BR842*100</f>
        <v>#DIV/0!</v>
      </c>
      <c r="BS830" s="45" t="e">
        <f t="shared" si="2080"/>
        <v>#DIV/0!</v>
      </c>
      <c r="BT830" s="241"/>
      <c r="BU830" s="45" t="e">
        <f t="shared" ref="BU830:BV830" si="2081">BU839/BU842*100</f>
        <v>#DIV/0!</v>
      </c>
      <c r="BV830" s="45" t="e">
        <f t="shared" si="2081"/>
        <v>#DIV/0!</v>
      </c>
      <c r="BW830" s="241"/>
      <c r="BX830" s="45">
        <f t="shared" ref="BX830:BY830" si="2082">BX839/BX842*100</f>
        <v>100</v>
      </c>
      <c r="BY830" s="45" t="e">
        <f t="shared" si="2082"/>
        <v>#DIV/0!</v>
      </c>
      <c r="CA830" s="45">
        <f t="shared" ref="CA830:CB830" si="2083">CA839/CA842*100</f>
        <v>100</v>
      </c>
      <c r="CB830" s="45" t="e">
        <f t="shared" si="2083"/>
        <v>#DIV/0!</v>
      </c>
      <c r="CC830" s="241"/>
      <c r="CD830" s="45" t="e">
        <f t="shared" ref="CD830:CE830" si="2084">CD839/CD842*100</f>
        <v>#DIV/0!</v>
      </c>
      <c r="CE830" s="45" t="e">
        <f t="shared" si="2084"/>
        <v>#DIV/0!</v>
      </c>
      <c r="CF830" s="241"/>
      <c r="CG830" s="45">
        <f t="shared" ref="CG830:CH830" si="2085">CG839/CG842*100</f>
        <v>100</v>
      </c>
      <c r="CH830" s="45" t="e">
        <f t="shared" si="2085"/>
        <v>#DIV/0!</v>
      </c>
      <c r="CJ830" s="45" t="e">
        <f t="shared" ref="CJ830:CK830" si="2086">CJ839/CJ842*100</f>
        <v>#DIV/0!</v>
      </c>
      <c r="CK830" s="45" t="e">
        <f t="shared" si="2086"/>
        <v>#DIV/0!</v>
      </c>
      <c r="CL830" s="241"/>
      <c r="CM830" s="45" t="e">
        <f t="shared" ref="CM830:CN830" si="2087">CM839/CM842*100</f>
        <v>#DIV/0!</v>
      </c>
      <c r="CN830" s="45" t="e">
        <f t="shared" si="2087"/>
        <v>#DIV/0!</v>
      </c>
      <c r="CO830" s="241"/>
      <c r="CP830" s="45" t="e">
        <f t="shared" ref="CP830:CQ830" si="2088">CP839/CP842*100</f>
        <v>#DIV/0!</v>
      </c>
      <c r="CQ830" s="45" t="e">
        <f t="shared" si="2088"/>
        <v>#DIV/0!</v>
      </c>
      <c r="CS830" s="45" t="e">
        <f t="shared" ref="CS830:CT830" si="2089">CS839/CS842*100</f>
        <v>#DIV/0!</v>
      </c>
      <c r="CT830" s="45" t="e">
        <f t="shared" si="2089"/>
        <v>#DIV/0!</v>
      </c>
      <c r="CV830" s="45" t="e">
        <f t="shared" ref="CV830:CW830" si="2090">CV839/CV842*100</f>
        <v>#DIV/0!</v>
      </c>
      <c r="CW830" s="45" t="e">
        <f t="shared" si="2090"/>
        <v>#DIV/0!</v>
      </c>
      <c r="CY830" s="45" t="e">
        <f t="shared" ref="CY830:CZ830" si="2091">CY839/CY842*100</f>
        <v>#DIV/0!</v>
      </c>
      <c r="CZ830" s="45" t="e">
        <f t="shared" si="2091"/>
        <v>#DIV/0!</v>
      </c>
      <c r="DB830" s="45" t="e">
        <f t="shared" ref="DB830:DC830" si="2092">DB839/DB842*100</f>
        <v>#DIV/0!</v>
      </c>
      <c r="DC830" s="45" t="e">
        <f t="shared" si="2092"/>
        <v>#DIV/0!</v>
      </c>
      <c r="DE830" s="45" t="e">
        <f t="shared" ref="DE830:DF830" si="2093">DE839/DE842*100</f>
        <v>#DIV/0!</v>
      </c>
      <c r="DF830" s="45" t="e">
        <f t="shared" si="2093"/>
        <v>#DIV/0!</v>
      </c>
    </row>
    <row r="831" spans="1:110" x14ac:dyDescent="0.25">
      <c r="A831" s="42"/>
      <c r="B831" s="46" t="s">
        <v>1184</v>
      </c>
      <c r="C831" s="42"/>
      <c r="D831" s="42" t="s">
        <v>8</v>
      </c>
      <c r="E831" s="45">
        <v>0</v>
      </c>
      <c r="F831" s="45">
        <v>0</v>
      </c>
      <c r="G831" s="45">
        <v>0</v>
      </c>
      <c r="H831" s="45" t="e">
        <f>H840/H843*100</f>
        <v>#DIV/0!</v>
      </c>
      <c r="I831" s="45" t="e">
        <f>I840/I843*100</f>
        <v>#DIV/0!</v>
      </c>
      <c r="J831" s="45" t="e">
        <f>J840/J843*100</f>
        <v>#DIV/0!</v>
      </c>
      <c r="K831" s="45" t="e">
        <f>K840/K843*100</f>
        <v>#DIV/0!</v>
      </c>
      <c r="L831" s="45" t="e">
        <f>L840/L843*100</f>
        <v>#DIV/0!</v>
      </c>
      <c r="N831" s="45" t="e">
        <f>N840/N843*100</f>
        <v>#DIV/0!</v>
      </c>
      <c r="O831" s="45" t="e">
        <f>O840/O843*100</f>
        <v>#DIV/0!</v>
      </c>
      <c r="P831" s="45" t="e">
        <f>P840/P843*100</f>
        <v>#DIV/0!</v>
      </c>
      <c r="Q831" s="45" t="e">
        <f>Q840/Q843*100</f>
        <v>#DIV/0!</v>
      </c>
      <c r="S831" s="45" t="e">
        <f>S840/S843*100</f>
        <v>#DIV/0!</v>
      </c>
      <c r="T831" s="45" t="e">
        <f>T840/T843*100</f>
        <v>#DIV/0!</v>
      </c>
      <c r="V831" s="45" t="e">
        <f>V840/V843*100</f>
        <v>#DIV/0!</v>
      </c>
      <c r="W831" s="45" t="e">
        <f>W840/W843*100</f>
        <v>#DIV/0!</v>
      </c>
      <c r="Y831" s="45" t="e">
        <f>Y840/Y843*100</f>
        <v>#DIV/0!</v>
      </c>
      <c r="Z831" s="45" t="e">
        <f>Z840/Z843*100</f>
        <v>#DIV/0!</v>
      </c>
      <c r="AA831" s="241"/>
      <c r="AB831" s="45" t="e">
        <f>AB840/AB843*100</f>
        <v>#DIV/0!</v>
      </c>
      <c r="AC831" s="45" t="e">
        <f>AC840/AC843*100</f>
        <v>#DIV/0!</v>
      </c>
      <c r="AD831" s="241"/>
      <c r="AE831" s="45" t="e">
        <f>AE840/AE843*100</f>
        <v>#DIV/0!</v>
      </c>
      <c r="AF831" s="45" t="e">
        <f>AF840/AF843*100</f>
        <v>#DIV/0!</v>
      </c>
      <c r="AH831" s="45" t="e">
        <f>AH840/AH843*100</f>
        <v>#DIV/0!</v>
      </c>
      <c r="AI831" s="45" t="e">
        <f>AI840/AI843*100</f>
        <v>#DIV/0!</v>
      </c>
      <c r="AJ831" s="241"/>
      <c r="AK831" s="45" t="e">
        <f>AK840/AK843*100</f>
        <v>#DIV/0!</v>
      </c>
      <c r="AL831" s="45" t="e">
        <f>AL840/AL843*100</f>
        <v>#DIV/0!</v>
      </c>
      <c r="AM831" s="241"/>
      <c r="AN831" s="45" t="e">
        <f>AN840/AN843*100</f>
        <v>#DIV/0!</v>
      </c>
      <c r="AO831" s="45" t="e">
        <f>AO840/AO843*100</f>
        <v>#DIV/0!</v>
      </c>
      <c r="AQ831" s="45" t="e">
        <f>AQ840/AQ843*100</f>
        <v>#DIV/0!</v>
      </c>
      <c r="AR831" s="45" t="e">
        <f>AR840/AR843*100</f>
        <v>#DIV/0!</v>
      </c>
      <c r="AS831" s="241"/>
      <c r="AT831" s="45" t="e">
        <f>AT840/AT843*100</f>
        <v>#DIV/0!</v>
      </c>
      <c r="AU831" s="45" t="e">
        <f>AU840/AU843*100</f>
        <v>#DIV/0!</v>
      </c>
      <c r="AW831" s="45" t="e">
        <f>AW840/AW843*100</f>
        <v>#DIV/0!</v>
      </c>
      <c r="AX831" s="45" t="e">
        <f>AX840/AX843*100</f>
        <v>#DIV/0!</v>
      </c>
      <c r="AZ831" s="45" t="e">
        <f>AZ840/AZ843*100</f>
        <v>#DIV/0!</v>
      </c>
      <c r="BA831" s="45" t="e">
        <f>BA840/BA843*100</f>
        <v>#DIV/0!</v>
      </c>
      <c r="BB831" s="241"/>
      <c r="BC831" s="45" t="e">
        <f>BC840/BC843*100</f>
        <v>#DIV/0!</v>
      </c>
      <c r="BD831" s="45" t="e">
        <f>BD840/BD843*100</f>
        <v>#DIV/0!</v>
      </c>
      <c r="BE831" s="241"/>
      <c r="BF831" s="45" t="e">
        <f>BF840/BF843*100</f>
        <v>#DIV/0!</v>
      </c>
      <c r="BG831" s="45" t="e">
        <f>BG840/BG843*100</f>
        <v>#DIV/0!</v>
      </c>
      <c r="BI831" s="45" t="e">
        <f>BI840/BI843*100</f>
        <v>#DIV/0!</v>
      </c>
      <c r="BJ831" s="45" t="e">
        <f>BJ840/BJ843*100</f>
        <v>#DIV/0!</v>
      </c>
      <c r="BK831" s="241"/>
      <c r="BL831" s="45" t="e">
        <f>BL840/BL843*100</f>
        <v>#DIV/0!</v>
      </c>
      <c r="BM831" s="45" t="e">
        <f>BM840/BM843*100</f>
        <v>#DIV/0!</v>
      </c>
      <c r="BN831" s="241"/>
      <c r="BO831" s="45" t="e">
        <f>BO840/BO843*100</f>
        <v>#DIV/0!</v>
      </c>
      <c r="BP831" s="45" t="e">
        <f>BP840/BP843*100</f>
        <v>#DIV/0!</v>
      </c>
      <c r="BR831" s="45" t="e">
        <f>BR840/BR843*100</f>
        <v>#DIV/0!</v>
      </c>
      <c r="BS831" s="45" t="e">
        <f>BS840/BS843*100</f>
        <v>#DIV/0!</v>
      </c>
      <c r="BT831" s="241"/>
      <c r="BU831" s="45" t="e">
        <f>BU840/BU843*100</f>
        <v>#DIV/0!</v>
      </c>
      <c r="BV831" s="45" t="e">
        <f>BV840/BV843*100</f>
        <v>#DIV/0!</v>
      </c>
      <c r="BW831" s="241"/>
      <c r="BX831" s="45" t="e">
        <f>BX840/BX843*100</f>
        <v>#DIV/0!</v>
      </c>
      <c r="BY831" s="45" t="e">
        <f>BY840/BY843*100</f>
        <v>#DIV/0!</v>
      </c>
      <c r="CA831" s="45" t="e">
        <f>CA840/CA843*100</f>
        <v>#DIV/0!</v>
      </c>
      <c r="CB831" s="45" t="e">
        <f>CB840/CB843*100</f>
        <v>#DIV/0!</v>
      </c>
      <c r="CC831" s="241"/>
      <c r="CD831" s="45" t="e">
        <f>CD840/CD843*100</f>
        <v>#DIV/0!</v>
      </c>
      <c r="CE831" s="45" t="e">
        <f>CE840/CE843*100</f>
        <v>#DIV/0!</v>
      </c>
      <c r="CF831" s="241"/>
      <c r="CG831" s="45" t="e">
        <f>CG840/CG843*100</f>
        <v>#DIV/0!</v>
      </c>
      <c r="CH831" s="45" t="e">
        <f>CH840/CH843*100</f>
        <v>#DIV/0!</v>
      </c>
      <c r="CJ831" s="45" t="e">
        <f>CJ840/CJ843*100</f>
        <v>#DIV/0!</v>
      </c>
      <c r="CK831" s="45" t="e">
        <f>CK840/CK843*100</f>
        <v>#DIV/0!</v>
      </c>
      <c r="CL831" s="241"/>
      <c r="CM831" s="45" t="e">
        <f>CM840/CM843*100</f>
        <v>#DIV/0!</v>
      </c>
      <c r="CN831" s="45" t="e">
        <f>CN840/CN843*100</f>
        <v>#DIV/0!</v>
      </c>
      <c r="CO831" s="241"/>
      <c r="CP831" s="45" t="e">
        <f>CP840/CP843*100</f>
        <v>#DIV/0!</v>
      </c>
      <c r="CQ831" s="45" t="e">
        <f>CQ840/CQ843*100</f>
        <v>#DIV/0!</v>
      </c>
      <c r="CS831" s="45" t="e">
        <f>CS840/CS843*100</f>
        <v>#DIV/0!</v>
      </c>
      <c r="CT831" s="45" t="e">
        <f>CT840/CT843*100</f>
        <v>#DIV/0!</v>
      </c>
      <c r="CV831" s="45" t="e">
        <f>CV840/CV843*100</f>
        <v>#DIV/0!</v>
      </c>
      <c r="CW831" s="45" t="e">
        <f>CW840/CW843*100</f>
        <v>#DIV/0!</v>
      </c>
      <c r="CY831" s="45" t="e">
        <f>CY840/CY843*100</f>
        <v>#DIV/0!</v>
      </c>
      <c r="CZ831" s="45" t="e">
        <f>CZ840/CZ843*100</f>
        <v>#DIV/0!</v>
      </c>
      <c r="DB831" s="45" t="e">
        <f>DB840/DB843*100</f>
        <v>#DIV/0!</v>
      </c>
      <c r="DC831" s="45" t="e">
        <f>DC840/DC843*100</f>
        <v>#DIV/0!</v>
      </c>
      <c r="DE831" s="45" t="e">
        <f>DE840/DE843*100</f>
        <v>#DIV/0!</v>
      </c>
      <c r="DF831" s="45" t="e">
        <f>DF840/DF843*100</f>
        <v>#DIV/0!</v>
      </c>
    </row>
    <row r="832" spans="1:110" ht="75" x14ac:dyDescent="0.25">
      <c r="A832" s="6"/>
      <c r="B832" s="16" t="s">
        <v>589</v>
      </c>
      <c r="C832" s="6" t="s">
        <v>1591</v>
      </c>
      <c r="D832" s="13" t="s">
        <v>1111</v>
      </c>
      <c r="E832" s="12"/>
      <c r="F832" s="12"/>
      <c r="G832" s="12"/>
      <c r="H832" s="12"/>
      <c r="I832" s="12"/>
      <c r="J832" s="12"/>
      <c r="K832" s="12"/>
      <c r="L832" s="12"/>
    </row>
    <row r="833" spans="1:110" x14ac:dyDescent="0.25">
      <c r="A833" s="6"/>
      <c r="B833" s="16" t="s">
        <v>1182</v>
      </c>
      <c r="C833" s="6"/>
      <c r="D833" s="13"/>
      <c r="E833" s="12"/>
      <c r="F833" s="12">
        <v>182393</v>
      </c>
      <c r="G833" s="12">
        <v>204479</v>
      </c>
      <c r="H833" s="12">
        <v>197233</v>
      </c>
      <c r="I833" s="12">
        <v>233391</v>
      </c>
      <c r="J833" s="12">
        <f>283292-3250</f>
        <v>280042</v>
      </c>
      <c r="K833" s="12">
        <v>273331</v>
      </c>
      <c r="L833" s="12">
        <v>305654</v>
      </c>
      <c r="M833" s="65"/>
      <c r="N833" s="241">
        <f>P833+S833+V833+Y833+AB833+AE833+AH833+AK833+AN833+AQ833+AT833+AW833+AZ833+BC833+BF833+BI833+BL833+BO833+BR833+BU833+BX833+CA833+CD833+CG833+DE833</f>
        <v>272786</v>
      </c>
      <c r="O833" s="241">
        <f t="shared" ref="O833:O834" si="2094">Q833+T833+W833+Z833+AC833+AF833+AI833+AL833+AO833+AR833+AX833+BA833+BD833+BG833+BJ833+BM833+BP833+BS833+BV833+BY833+CB833+CE833+CH833+CK833+AU833+DF833+CN833+CQ833</f>
        <v>26834</v>
      </c>
      <c r="P833">
        <v>21552</v>
      </c>
      <c r="Q833" s="241">
        <v>26834</v>
      </c>
      <c r="S833">
        <v>25036</v>
      </c>
      <c r="V833">
        <v>14917</v>
      </c>
      <c r="Y833">
        <v>46940</v>
      </c>
      <c r="AB833">
        <v>18709</v>
      </c>
      <c r="AE833">
        <v>6129</v>
      </c>
      <c r="AH833">
        <v>2658</v>
      </c>
      <c r="AK833">
        <v>8214</v>
      </c>
      <c r="AN833">
        <v>0</v>
      </c>
      <c r="AQ833">
        <v>0</v>
      </c>
      <c r="AT833" s="241">
        <v>0</v>
      </c>
      <c r="AW833">
        <v>8924</v>
      </c>
      <c r="AZ833">
        <v>10418</v>
      </c>
      <c r="BC833">
        <v>12296</v>
      </c>
      <c r="BF833">
        <v>10975</v>
      </c>
      <c r="BI833">
        <v>5738</v>
      </c>
      <c r="BL833">
        <v>11189</v>
      </c>
      <c r="BO833">
        <v>11892</v>
      </c>
      <c r="BR833">
        <v>10195</v>
      </c>
      <c r="BU833">
        <v>11117</v>
      </c>
      <c r="BX833">
        <v>8960</v>
      </c>
      <c r="CA833">
        <v>18759</v>
      </c>
      <c r="CD833">
        <v>0</v>
      </c>
      <c r="CG833">
        <v>8168</v>
      </c>
      <c r="CJ833">
        <v>0</v>
      </c>
      <c r="CM833">
        <v>545</v>
      </c>
      <c r="CP833">
        <v>1041</v>
      </c>
      <c r="CS833">
        <v>8669</v>
      </c>
      <c r="CV833">
        <v>5027</v>
      </c>
      <c r="CY833">
        <v>11728</v>
      </c>
      <c r="DB833">
        <v>5162</v>
      </c>
    </row>
    <row r="834" spans="1:110" x14ac:dyDescent="0.25">
      <c r="A834" s="6"/>
      <c r="B834" s="16" t="s">
        <v>1184</v>
      </c>
      <c r="C834" s="6"/>
      <c r="D834" s="13"/>
      <c r="E834" s="12"/>
      <c r="F834" s="12">
        <v>4323</v>
      </c>
      <c r="G834" s="12">
        <v>4323</v>
      </c>
      <c r="H834" s="12">
        <v>4323</v>
      </c>
      <c r="I834" s="12">
        <v>4323</v>
      </c>
      <c r="J834" s="12">
        <v>6979</v>
      </c>
      <c r="K834" s="12">
        <v>4795</v>
      </c>
      <c r="L834" s="12">
        <v>6889</v>
      </c>
      <c r="N834" s="241">
        <f>P834+S834+V834+Y834+AB834+AE834+AH834+AK834+AN834+AQ834+AT834+AW834+AZ834+BC834+BF834+BI834+BL834+BO834+BR834+BU834+BX834+CA834+CD834+CG834+DE834</f>
        <v>4795</v>
      </c>
      <c r="O834" s="241">
        <f t="shared" si="2094"/>
        <v>6235</v>
      </c>
      <c r="DE834">
        <v>4795</v>
      </c>
      <c r="DF834">
        <v>6235</v>
      </c>
    </row>
    <row r="835" spans="1:110" ht="75" x14ac:dyDescent="0.25">
      <c r="A835" s="6"/>
      <c r="B835" s="16" t="s">
        <v>590</v>
      </c>
      <c r="C835" s="6" t="s">
        <v>1590</v>
      </c>
      <c r="D835" s="13" t="s">
        <v>1111</v>
      </c>
      <c r="E835" s="12"/>
      <c r="F835" s="12"/>
      <c r="G835" s="12"/>
      <c r="H835" s="12"/>
      <c r="I835" s="12"/>
      <c r="J835" s="12"/>
      <c r="K835" s="12"/>
      <c r="L835" s="12"/>
      <c r="M835" s="20"/>
    </row>
    <row r="836" spans="1:110" x14ac:dyDescent="0.25">
      <c r="A836" s="6"/>
      <c r="B836" s="16" t="s">
        <v>1182</v>
      </c>
      <c r="C836" s="6"/>
      <c r="D836" s="13"/>
      <c r="E836" s="12"/>
      <c r="F836" s="12">
        <v>251736</v>
      </c>
      <c r="G836" s="12">
        <v>292547</v>
      </c>
      <c r="H836" s="12">
        <v>275204</v>
      </c>
      <c r="I836" s="12">
        <f>311444+15250</f>
        <v>326694</v>
      </c>
      <c r="J836" s="12">
        <v>310710</v>
      </c>
      <c r="K836" s="12">
        <v>294465</v>
      </c>
      <c r="L836" s="12">
        <v>329348</v>
      </c>
      <c r="M836" s="20"/>
      <c r="N836" s="241">
        <f t="shared" ref="N836:N843" si="2095">P836+S836+V836+Y836+AB836+AE836+AH836+AK836+AN836+AQ836+AT836+AW836+AZ836+BC836+BF836+BI836+BL836+BO836+BR836+BU836+BX836+CA836+CD836+CG836+DE836</f>
        <v>292879</v>
      </c>
      <c r="O836" s="241">
        <f t="shared" ref="O836:O837" si="2096">Q836+T836+W836+Z836+AC836+AF836+AI836+AL836+AO836+AR836+AX836+BA836+BD836+BG836+BJ836+BM836+BP836+BS836+BV836+BY836+CB836+CE836+CH836+CK836+AU836+DF836+CN836+CQ836</f>
        <v>26834</v>
      </c>
      <c r="P836">
        <v>21552</v>
      </c>
      <c r="Q836" s="241">
        <v>26834</v>
      </c>
      <c r="S836">
        <v>25036</v>
      </c>
      <c r="V836">
        <v>14917</v>
      </c>
      <c r="Y836">
        <v>46940</v>
      </c>
      <c r="AB836" s="241">
        <v>18709</v>
      </c>
      <c r="AE836" s="241">
        <v>6129</v>
      </c>
      <c r="AH836" s="241">
        <v>2658</v>
      </c>
      <c r="AK836" s="241">
        <v>8214</v>
      </c>
      <c r="AN836">
        <v>0</v>
      </c>
      <c r="AQ836">
        <v>9006</v>
      </c>
      <c r="AT836" s="241">
        <v>1738</v>
      </c>
      <c r="AW836">
        <v>8924</v>
      </c>
      <c r="AZ836">
        <v>10418</v>
      </c>
      <c r="BC836" s="241">
        <v>12296</v>
      </c>
      <c r="BF836" s="241">
        <v>10975</v>
      </c>
      <c r="BI836">
        <v>5738</v>
      </c>
      <c r="BL836">
        <v>15534</v>
      </c>
      <c r="BO836" s="241">
        <v>11892</v>
      </c>
      <c r="BR836" s="241">
        <v>10195</v>
      </c>
      <c r="BU836" s="241">
        <v>11117</v>
      </c>
      <c r="BX836" s="241">
        <v>8960</v>
      </c>
      <c r="CA836">
        <v>20423</v>
      </c>
      <c r="CD836">
        <v>3340</v>
      </c>
      <c r="CG836">
        <v>8168</v>
      </c>
      <c r="CJ836">
        <v>0</v>
      </c>
      <c r="CM836">
        <v>545</v>
      </c>
      <c r="CP836">
        <v>1041</v>
      </c>
      <c r="CS836">
        <v>8669</v>
      </c>
      <c r="CV836">
        <v>5027</v>
      </c>
      <c r="CY836">
        <v>11728</v>
      </c>
      <c r="DB836">
        <v>5162</v>
      </c>
    </row>
    <row r="837" spans="1:110" x14ac:dyDescent="0.25">
      <c r="A837" s="6"/>
      <c r="B837" s="16" t="s">
        <v>1184</v>
      </c>
      <c r="C837" s="6"/>
      <c r="D837" s="13"/>
      <c r="E837" s="12"/>
      <c r="F837" s="12">
        <v>4323</v>
      </c>
      <c r="G837" s="12">
        <v>4323</v>
      </c>
      <c r="H837" s="12">
        <v>4323</v>
      </c>
      <c r="I837" s="12">
        <v>4323</v>
      </c>
      <c r="J837" s="12">
        <v>6979</v>
      </c>
      <c r="K837" s="12">
        <v>4795</v>
      </c>
      <c r="L837" s="12">
        <v>6889</v>
      </c>
      <c r="N837" s="241">
        <f t="shared" si="2095"/>
        <v>4795</v>
      </c>
      <c r="O837" s="241">
        <f t="shared" si="2096"/>
        <v>6235</v>
      </c>
      <c r="DE837">
        <v>4795</v>
      </c>
      <c r="DF837">
        <v>6235</v>
      </c>
    </row>
    <row r="838" spans="1:110" ht="75" x14ac:dyDescent="0.25">
      <c r="A838" s="6"/>
      <c r="B838" s="16" t="s">
        <v>592</v>
      </c>
      <c r="C838" s="6" t="s">
        <v>2955</v>
      </c>
      <c r="D838" s="13" t="s">
        <v>1111</v>
      </c>
      <c r="E838" s="12"/>
      <c r="F838" s="12"/>
      <c r="G838" s="12"/>
      <c r="H838" s="12"/>
      <c r="I838" s="12"/>
      <c r="J838" s="12"/>
      <c r="K838" s="12"/>
      <c r="L838" s="12"/>
    </row>
    <row r="839" spans="1:110" x14ac:dyDescent="0.25">
      <c r="A839" s="6"/>
      <c r="B839" s="16" t="s">
        <v>1182</v>
      </c>
      <c r="C839" s="6"/>
      <c r="D839" s="13"/>
      <c r="E839" s="12"/>
      <c r="F839" s="12">
        <v>42710</v>
      </c>
      <c r="G839" s="12">
        <v>55910</v>
      </c>
      <c r="H839" s="12">
        <v>57832</v>
      </c>
      <c r="I839" s="12">
        <v>57832</v>
      </c>
      <c r="J839" s="12">
        <v>68186</v>
      </c>
      <c r="K839" s="12">
        <v>68686</v>
      </c>
      <c r="L839" s="12">
        <v>68155</v>
      </c>
      <c r="N839" s="241">
        <f t="shared" si="2095"/>
        <v>68686</v>
      </c>
      <c r="O839" s="241">
        <f t="shared" ref="O839:O840" si="2097">Q839+T839+W839+Z839+AC839+AF839+AI839+AL839+AO839+AR839+AX839+BA839+BD839+BG839+BJ839+BM839+BP839+BS839+BV839+BY839+CB839+CE839+CH839+CK839+AU839+DF839+CN839+CQ839</f>
        <v>11328</v>
      </c>
      <c r="P839">
        <v>11328</v>
      </c>
      <c r="Q839" s="241">
        <v>11328</v>
      </c>
      <c r="S839">
        <v>9593</v>
      </c>
      <c r="V839">
        <v>4072</v>
      </c>
      <c r="Y839">
        <v>5043</v>
      </c>
      <c r="AB839">
        <v>14255</v>
      </c>
      <c r="AE839">
        <v>0</v>
      </c>
      <c r="AH839">
        <v>748</v>
      </c>
      <c r="AK839">
        <v>695</v>
      </c>
      <c r="AN839">
        <v>0</v>
      </c>
      <c r="AQ839">
        <v>0</v>
      </c>
      <c r="AT839" s="241">
        <v>0</v>
      </c>
      <c r="AW839">
        <v>3137</v>
      </c>
      <c r="AZ839">
        <v>0</v>
      </c>
      <c r="BC839">
        <v>425</v>
      </c>
      <c r="BF839">
        <v>6728</v>
      </c>
      <c r="BI839">
        <v>600</v>
      </c>
      <c r="BL839">
        <v>0</v>
      </c>
      <c r="BO839">
        <v>2279</v>
      </c>
      <c r="BR839">
        <v>0</v>
      </c>
      <c r="BU839">
        <v>0</v>
      </c>
      <c r="BX839">
        <v>3136</v>
      </c>
      <c r="CA839">
        <v>4991</v>
      </c>
      <c r="CD839">
        <v>0</v>
      </c>
      <c r="CG839">
        <v>1656</v>
      </c>
      <c r="CJ839">
        <v>0</v>
      </c>
      <c r="CM839">
        <v>0</v>
      </c>
      <c r="CP839">
        <v>0</v>
      </c>
      <c r="CS839">
        <v>0</v>
      </c>
      <c r="CV839">
        <v>0</v>
      </c>
      <c r="CY839">
        <v>0</v>
      </c>
      <c r="DB839">
        <v>0</v>
      </c>
    </row>
    <row r="840" spans="1:110" x14ac:dyDescent="0.25">
      <c r="A840" s="6"/>
      <c r="B840" s="16" t="s">
        <v>1184</v>
      </c>
      <c r="C840" s="6"/>
      <c r="D840" s="13"/>
      <c r="E840" s="12"/>
      <c r="F840" s="12">
        <v>0</v>
      </c>
      <c r="G840" s="12">
        <v>0</v>
      </c>
      <c r="H840" s="12">
        <v>0</v>
      </c>
      <c r="I840" s="12">
        <v>0</v>
      </c>
      <c r="J840" s="12">
        <v>0</v>
      </c>
      <c r="K840" s="12">
        <v>0</v>
      </c>
      <c r="L840" s="12">
        <v>0</v>
      </c>
      <c r="N840" s="241">
        <f t="shared" si="2095"/>
        <v>0</v>
      </c>
      <c r="O840" s="241">
        <f t="shared" si="2097"/>
        <v>0</v>
      </c>
      <c r="DE840">
        <v>0</v>
      </c>
      <c r="DF840">
        <v>0</v>
      </c>
    </row>
    <row r="841" spans="1:110" ht="75" x14ac:dyDescent="0.25">
      <c r="A841" s="6"/>
      <c r="B841" s="16" t="s">
        <v>593</v>
      </c>
      <c r="C841" s="6" t="s">
        <v>1586</v>
      </c>
      <c r="D841" s="13" t="s">
        <v>1111</v>
      </c>
      <c r="E841" s="12"/>
      <c r="F841" s="12"/>
      <c r="G841" s="12"/>
      <c r="H841" s="12"/>
      <c r="I841" s="12"/>
      <c r="J841" s="12"/>
      <c r="K841" s="12"/>
      <c r="L841" s="12"/>
    </row>
    <row r="842" spans="1:110" x14ac:dyDescent="0.25">
      <c r="A842" s="6"/>
      <c r="B842" s="16" t="s">
        <v>1182</v>
      </c>
      <c r="C842" s="6"/>
      <c r="D842" s="13"/>
      <c r="E842" s="12"/>
      <c r="F842" s="12">
        <v>58985</v>
      </c>
      <c r="G842" s="12">
        <v>62688</v>
      </c>
      <c r="H842" s="12">
        <v>63570</v>
      </c>
      <c r="I842" s="12">
        <f>63570-470</f>
        <v>63100</v>
      </c>
      <c r="J842" s="12">
        <v>68786</v>
      </c>
      <c r="K842" s="12">
        <v>68686</v>
      </c>
      <c r="L842" s="12">
        <v>68155</v>
      </c>
      <c r="N842" s="241">
        <f t="shared" si="2095"/>
        <v>68686</v>
      </c>
      <c r="O842" s="241">
        <f t="shared" ref="O842:O843" si="2098">Q842+T842+W842+Z842+AC842+AF842+AI842+AL842+AO842+AR842+AX842+BA842+BD842+BG842+BJ842+BM842+BP842+BS842+BV842+BY842+CB842+CE842+CH842+CK842+AU842+DF842+CN842+CQ842</f>
        <v>11328</v>
      </c>
      <c r="P842">
        <v>11328</v>
      </c>
      <c r="Q842" s="241">
        <v>11328</v>
      </c>
      <c r="S842">
        <v>9593</v>
      </c>
      <c r="V842">
        <v>4072</v>
      </c>
      <c r="Y842">
        <v>5043</v>
      </c>
      <c r="AB842" s="241">
        <v>14255</v>
      </c>
      <c r="AE842">
        <v>0</v>
      </c>
      <c r="AH842">
        <v>748</v>
      </c>
      <c r="AK842">
        <v>695</v>
      </c>
      <c r="AN842">
        <v>0</v>
      </c>
      <c r="AQ842">
        <v>0</v>
      </c>
      <c r="AT842" s="241">
        <v>0</v>
      </c>
      <c r="AW842">
        <v>3137</v>
      </c>
      <c r="AZ842">
        <v>0</v>
      </c>
      <c r="BC842">
        <v>425</v>
      </c>
      <c r="BF842" s="241">
        <v>6728</v>
      </c>
      <c r="BI842">
        <v>600</v>
      </c>
      <c r="BL842">
        <v>0</v>
      </c>
      <c r="BO842" s="241">
        <v>2279</v>
      </c>
      <c r="BR842">
        <v>0</v>
      </c>
      <c r="BU842">
        <v>0</v>
      </c>
      <c r="BX842" s="241">
        <v>3136</v>
      </c>
      <c r="CA842" s="241">
        <v>4991</v>
      </c>
      <c r="CD842">
        <v>0</v>
      </c>
      <c r="CG842">
        <v>1656</v>
      </c>
      <c r="CJ842">
        <v>0</v>
      </c>
      <c r="CM842">
        <v>0</v>
      </c>
      <c r="CP842">
        <v>0</v>
      </c>
      <c r="CS842">
        <v>0</v>
      </c>
      <c r="CV842">
        <v>0</v>
      </c>
      <c r="CY842">
        <v>0</v>
      </c>
      <c r="DB842">
        <v>0</v>
      </c>
    </row>
    <row r="843" spans="1:110" x14ac:dyDescent="0.25">
      <c r="A843" s="6"/>
      <c r="B843" s="16" t="s">
        <v>1184</v>
      </c>
      <c r="C843" s="6"/>
      <c r="D843" s="13"/>
      <c r="E843" s="12"/>
      <c r="F843" s="12">
        <v>0</v>
      </c>
      <c r="G843" s="12">
        <v>0</v>
      </c>
      <c r="H843" s="12">
        <v>0</v>
      </c>
      <c r="I843" s="12">
        <v>0</v>
      </c>
      <c r="J843" s="12">
        <v>0</v>
      </c>
      <c r="K843" s="12">
        <v>0</v>
      </c>
      <c r="L843" s="12">
        <v>0</v>
      </c>
      <c r="N843" s="241">
        <f t="shared" si="2095"/>
        <v>0</v>
      </c>
      <c r="O843" s="241">
        <f t="shared" si="2098"/>
        <v>0</v>
      </c>
      <c r="DE843">
        <v>0</v>
      </c>
      <c r="DF843">
        <v>0</v>
      </c>
    </row>
    <row r="844" spans="1:110" ht="75" hidden="1" x14ac:dyDescent="0.25">
      <c r="A844" s="42" t="s">
        <v>596</v>
      </c>
      <c r="B844" s="51" t="s">
        <v>595</v>
      </c>
      <c r="C844" s="42"/>
      <c r="D844" s="42" t="s">
        <v>8</v>
      </c>
      <c r="E844" s="45">
        <v>0</v>
      </c>
      <c r="F844" s="45">
        <f>F845/F846*100</f>
        <v>0</v>
      </c>
      <c r="G844" s="45">
        <f>G845/G846*100</f>
        <v>0</v>
      </c>
      <c r="H844" s="45">
        <v>88.52</v>
      </c>
      <c r="I844" s="45"/>
      <c r="J844" s="45"/>
      <c r="K844" s="45"/>
      <c r="L844" s="45"/>
      <c r="M844" s="3" t="s">
        <v>135</v>
      </c>
    </row>
    <row r="845" spans="1:110" ht="60" hidden="1" x14ac:dyDescent="0.25">
      <c r="A845" s="6"/>
      <c r="B845" s="16" t="s">
        <v>597</v>
      </c>
      <c r="C845" s="6" t="s">
        <v>598</v>
      </c>
      <c r="D845" s="13" t="s">
        <v>1112</v>
      </c>
      <c r="E845" s="12"/>
      <c r="F845" s="12">
        <v>0</v>
      </c>
      <c r="G845" s="12">
        <v>0</v>
      </c>
      <c r="H845" s="12">
        <v>0</v>
      </c>
      <c r="I845" s="12"/>
      <c r="J845" s="12"/>
      <c r="K845" s="12"/>
      <c r="L845" s="12"/>
    </row>
    <row r="846" spans="1:110" ht="45" hidden="1" x14ac:dyDescent="0.25">
      <c r="A846" s="6"/>
      <c r="B846" s="16" t="s">
        <v>599</v>
      </c>
      <c r="C846" s="6" t="s">
        <v>600</v>
      </c>
      <c r="D846" s="13" t="s">
        <v>1112</v>
      </c>
      <c r="E846" s="12"/>
      <c r="F846" s="12">
        <v>16</v>
      </c>
      <c r="G846" s="12">
        <v>16</v>
      </c>
      <c r="H846" s="12">
        <v>0</v>
      </c>
      <c r="I846" s="12"/>
      <c r="J846" s="12"/>
      <c r="K846" s="12"/>
      <c r="L846" s="12"/>
    </row>
    <row r="847" spans="1:110" ht="75" hidden="1" x14ac:dyDescent="0.25">
      <c r="A847" s="42" t="s">
        <v>604</v>
      </c>
      <c r="B847" s="51" t="s">
        <v>603</v>
      </c>
      <c r="C847" s="42"/>
      <c r="D847" s="42" t="s">
        <v>8</v>
      </c>
      <c r="E847" s="45">
        <v>0</v>
      </c>
      <c r="F847" s="45">
        <f>F848/F849*100</f>
        <v>0</v>
      </c>
      <c r="G847" s="45">
        <f>G848/G849*100</f>
        <v>0</v>
      </c>
      <c r="H847" s="45">
        <v>0</v>
      </c>
      <c r="I847" s="45"/>
      <c r="J847" s="45"/>
      <c r="K847" s="45"/>
      <c r="L847" s="45"/>
      <c r="M847" s="3" t="s">
        <v>135</v>
      </c>
    </row>
    <row r="848" spans="1:110" ht="60" hidden="1" x14ac:dyDescent="0.25">
      <c r="A848" s="6"/>
      <c r="B848" s="16" t="s">
        <v>606</v>
      </c>
      <c r="C848" s="6" t="s">
        <v>607</v>
      </c>
      <c r="D848" s="13" t="s">
        <v>1112</v>
      </c>
      <c r="E848" s="12"/>
      <c r="F848" s="12">
        <v>0</v>
      </c>
      <c r="G848" s="12">
        <v>0</v>
      </c>
      <c r="H848" s="12">
        <v>0</v>
      </c>
      <c r="I848" s="12"/>
      <c r="J848" s="12"/>
      <c r="K848" s="12"/>
      <c r="L848" s="12"/>
    </row>
    <row r="849" spans="1:110" ht="60" hidden="1" x14ac:dyDescent="0.25">
      <c r="A849" s="6"/>
      <c r="B849" s="16" t="s">
        <v>605</v>
      </c>
      <c r="C849" s="6" t="s">
        <v>600</v>
      </c>
      <c r="D849" s="13" t="s">
        <v>1112</v>
      </c>
      <c r="E849" s="12"/>
      <c r="F849" s="12">
        <v>16</v>
      </c>
      <c r="G849" s="12">
        <v>16</v>
      </c>
      <c r="H849" s="12">
        <v>0</v>
      </c>
      <c r="I849" s="12"/>
      <c r="J849" s="12"/>
      <c r="K849" s="12"/>
      <c r="L849" s="12"/>
    </row>
    <row r="850" spans="1:110" ht="60" x14ac:dyDescent="0.25">
      <c r="A850" s="42" t="s">
        <v>1481</v>
      </c>
      <c r="B850" s="46" t="s">
        <v>2028</v>
      </c>
      <c r="C850" s="42"/>
      <c r="D850" s="42"/>
      <c r="E850" s="50"/>
      <c r="F850" s="50"/>
      <c r="G850" s="50"/>
      <c r="H850" s="50"/>
      <c r="I850" s="50"/>
      <c r="J850" s="50"/>
      <c r="K850" s="50"/>
      <c r="L850" s="50"/>
      <c r="M850" s="3" t="s">
        <v>281</v>
      </c>
    </row>
    <row r="851" spans="1:110" x14ac:dyDescent="0.25">
      <c r="A851" s="42"/>
      <c r="B851" s="46" t="s">
        <v>1948</v>
      </c>
      <c r="C851" s="42"/>
      <c r="D851" s="42"/>
      <c r="E851" s="50"/>
      <c r="F851" s="50"/>
      <c r="G851" s="50"/>
      <c r="H851" s="50"/>
      <c r="I851" s="50"/>
      <c r="J851" s="50"/>
      <c r="K851" s="50"/>
      <c r="L851" s="50"/>
      <c r="M851" s="3"/>
    </row>
    <row r="852" spans="1:110" x14ac:dyDescent="0.25">
      <c r="A852" s="42"/>
      <c r="B852" s="46" t="s">
        <v>1182</v>
      </c>
      <c r="C852" s="42"/>
      <c r="D852" s="42" t="s">
        <v>8</v>
      </c>
      <c r="E852" s="45">
        <v>0.23</v>
      </c>
      <c r="F852" s="45">
        <f>F859/F866*100</f>
        <v>1.3843868179362506</v>
      </c>
      <c r="G852" s="45">
        <v>1.34</v>
      </c>
      <c r="H852" s="45">
        <v>1.28</v>
      </c>
      <c r="I852" s="45">
        <f t="shared" ref="I852:K853" si="2099">I859/I866*100</f>
        <v>1.2561093409841266</v>
      </c>
      <c r="J852" s="45">
        <f t="shared" si="2099"/>
        <v>1.7823694119918896</v>
      </c>
      <c r="K852" s="45">
        <f t="shared" si="2099"/>
        <v>1.1835022838028288</v>
      </c>
      <c r="L852" s="45">
        <f t="shared" ref="L852" si="2100">L859/L866*100</f>
        <v>0</v>
      </c>
      <c r="M852" s="3"/>
      <c r="N852" s="45">
        <f t="shared" ref="N852:P853" si="2101">N859/N866*100</f>
        <v>1.1899111919939633</v>
      </c>
      <c r="O852" s="45">
        <f t="shared" si="2101"/>
        <v>0</v>
      </c>
      <c r="P852" s="45">
        <f t="shared" ref="P852:Q852" si="2102">P859/P866*100</f>
        <v>0</v>
      </c>
      <c r="Q852" s="45">
        <f t="shared" si="2102"/>
        <v>0</v>
      </c>
      <c r="S852" s="45">
        <f t="shared" ref="S852:T853" si="2103">S859/S866*100</f>
        <v>0</v>
      </c>
      <c r="T852" s="45" t="e">
        <f t="shared" si="2103"/>
        <v>#DIV/0!</v>
      </c>
      <c r="V852" s="45">
        <f t="shared" ref="V852:W852" si="2104">V859/V866*100</f>
        <v>0</v>
      </c>
      <c r="W852" s="45" t="e">
        <f t="shared" si="2104"/>
        <v>#DIV/0!</v>
      </c>
      <c r="Y852" s="45">
        <f t="shared" ref="Y852:Z853" si="2105">Y859/Y866*100</f>
        <v>0</v>
      </c>
      <c r="Z852" s="45" t="e">
        <f t="shared" si="2105"/>
        <v>#DIV/0!</v>
      </c>
      <c r="AA852" s="241"/>
      <c r="AB852" s="45">
        <f t="shared" ref="AB852:AC852" si="2106">AB859/AB866*100</f>
        <v>0</v>
      </c>
      <c r="AC852" s="45" t="e">
        <f t="shared" si="2106"/>
        <v>#DIV/0!</v>
      </c>
      <c r="AD852" s="241"/>
      <c r="AE852" s="45">
        <f t="shared" ref="AE852:AF852" si="2107">AE859/AE866*100</f>
        <v>0</v>
      </c>
      <c r="AF852" s="45" t="e">
        <f t="shared" si="2107"/>
        <v>#DIV/0!</v>
      </c>
      <c r="AH852" s="45">
        <f t="shared" ref="AH852:AI852" si="2108">AH859/AH866*100</f>
        <v>0</v>
      </c>
      <c r="AI852" s="45" t="e">
        <f t="shared" si="2108"/>
        <v>#DIV/0!</v>
      </c>
      <c r="AJ852" s="241"/>
      <c r="AK852" s="45">
        <f t="shared" ref="AK852:AL852" si="2109">AK859/AK866*100</f>
        <v>0</v>
      </c>
      <c r="AL852" s="45" t="e">
        <f t="shared" si="2109"/>
        <v>#DIV/0!</v>
      </c>
      <c r="AM852" s="241"/>
      <c r="AN852" s="45" t="e">
        <f t="shared" ref="AN852:AO852" si="2110">AN859/AN866*100</f>
        <v>#DIV/0!</v>
      </c>
      <c r="AO852" s="45" t="e">
        <f t="shared" si="2110"/>
        <v>#DIV/0!</v>
      </c>
      <c r="AQ852" s="45">
        <f t="shared" ref="AQ852:AR852" si="2111">AQ859/AQ866*100</f>
        <v>0</v>
      </c>
      <c r="AR852" s="45" t="e">
        <f t="shared" si="2111"/>
        <v>#DIV/0!</v>
      </c>
      <c r="AS852" s="241"/>
      <c r="AT852" s="45">
        <f t="shared" ref="AT852:AU852" si="2112">AT859/AT866*100</f>
        <v>0</v>
      </c>
      <c r="AU852" s="45" t="e">
        <f t="shared" si="2112"/>
        <v>#DIV/0!</v>
      </c>
      <c r="AW852" s="45">
        <f t="shared" ref="AW852:AX852" si="2113">AW859/AW866*100</f>
        <v>0</v>
      </c>
      <c r="AX852" s="45" t="e">
        <f t="shared" si="2113"/>
        <v>#DIV/0!</v>
      </c>
      <c r="AY852" s="241"/>
      <c r="AZ852" s="45">
        <f t="shared" ref="AZ852:BA852" si="2114">AZ859/AZ866*100</f>
        <v>0</v>
      </c>
      <c r="BA852" s="45" t="e">
        <f t="shared" si="2114"/>
        <v>#DIV/0!</v>
      </c>
      <c r="BC852" s="45">
        <f t="shared" ref="BC852:BD852" si="2115">BC859/BC866*100</f>
        <v>0</v>
      </c>
      <c r="BD852" s="45" t="e">
        <f t="shared" si="2115"/>
        <v>#DIV/0!</v>
      </c>
      <c r="BE852" s="241"/>
      <c r="BF852" s="45">
        <f t="shared" ref="BF852:BG852" si="2116">BF859/BF866*100</f>
        <v>0</v>
      </c>
      <c r="BG852" s="45" t="e">
        <f t="shared" si="2116"/>
        <v>#DIV/0!</v>
      </c>
      <c r="BH852" s="241"/>
      <c r="BI852" s="45">
        <f t="shared" ref="BI852:BJ852" si="2117">BI859/BI866*100</f>
        <v>0</v>
      </c>
      <c r="BJ852" s="45" t="e">
        <f t="shared" si="2117"/>
        <v>#DIV/0!</v>
      </c>
      <c r="BL852" s="45">
        <f t="shared" ref="BL852:BM852" si="2118">BL859/BL866*100</f>
        <v>0</v>
      </c>
      <c r="BM852" s="45" t="e">
        <f t="shared" si="2118"/>
        <v>#DIV/0!</v>
      </c>
      <c r="BN852" s="241"/>
      <c r="BO852" s="45">
        <f t="shared" ref="BO852:BP852" si="2119">BO859/BO866*100</f>
        <v>0</v>
      </c>
      <c r="BP852" s="45" t="e">
        <f t="shared" si="2119"/>
        <v>#DIV/0!</v>
      </c>
      <c r="BQ852" s="241"/>
      <c r="BR852" s="45">
        <f t="shared" ref="BR852:BS852" si="2120">BR859/BR866*100</f>
        <v>0</v>
      </c>
      <c r="BS852" s="45" t="e">
        <f t="shared" si="2120"/>
        <v>#DIV/0!</v>
      </c>
      <c r="BU852" s="45">
        <f t="shared" ref="BU852:BV852" si="2121">BU859/BU866*100</f>
        <v>0</v>
      </c>
      <c r="BV852" s="45" t="e">
        <f t="shared" si="2121"/>
        <v>#DIV/0!</v>
      </c>
      <c r="BW852" s="241"/>
      <c r="BX852" s="45">
        <f t="shared" ref="BX852:BY852" si="2122">BX859/BX866*100</f>
        <v>5.5691964285714288</v>
      </c>
      <c r="BY852" s="45" t="e">
        <f t="shared" si="2122"/>
        <v>#DIV/0!</v>
      </c>
      <c r="BZ852" s="241"/>
      <c r="CA852" s="45">
        <f t="shared" ref="CA852:CB852" si="2123">CA859/CA866*100</f>
        <v>14.620770699701316</v>
      </c>
      <c r="CB852" s="45" t="e">
        <f t="shared" si="2123"/>
        <v>#DIV/0!</v>
      </c>
      <c r="CD852" s="45">
        <f t="shared" ref="CD852:CE852" si="2124">CD859/CD866*100</f>
        <v>0</v>
      </c>
      <c r="CE852" s="45" t="e">
        <f t="shared" si="2124"/>
        <v>#DIV/0!</v>
      </c>
      <c r="CF852" s="241"/>
      <c r="CG852" s="45">
        <f t="shared" ref="CG852:CH852" si="2125">CG859/CG866*100</f>
        <v>0</v>
      </c>
      <c r="CH852" s="45" t="e">
        <f t="shared" si="2125"/>
        <v>#DIV/0!</v>
      </c>
      <c r="CI852" s="241"/>
      <c r="CJ852" s="45" t="e">
        <f t="shared" ref="CJ852:CK852" si="2126">CJ859/CJ866*100</f>
        <v>#DIV/0!</v>
      </c>
      <c r="CK852" s="45" t="e">
        <f t="shared" si="2126"/>
        <v>#DIV/0!</v>
      </c>
      <c r="CM852" s="45">
        <f t="shared" ref="CM852:CN852" si="2127">CM859/CM866*100</f>
        <v>0</v>
      </c>
      <c r="CN852" s="45" t="e">
        <f t="shared" si="2127"/>
        <v>#DIV/0!</v>
      </c>
      <c r="CP852" s="45">
        <f t="shared" ref="CP852:CQ852" si="2128">CP859/CP866*100</f>
        <v>0</v>
      </c>
      <c r="CQ852" s="45" t="e">
        <f t="shared" si="2128"/>
        <v>#DIV/0!</v>
      </c>
      <c r="CS852" s="45">
        <f t="shared" ref="CS852:CT852" si="2129">CS859/CS866*100</f>
        <v>0</v>
      </c>
      <c r="CT852" s="45" t="e">
        <f t="shared" si="2129"/>
        <v>#DIV/0!</v>
      </c>
      <c r="CV852" s="45">
        <f t="shared" ref="CV852:CW852" si="2130">CV859/CV866*100</f>
        <v>0</v>
      </c>
      <c r="CW852" s="45" t="e">
        <f t="shared" si="2130"/>
        <v>#DIV/0!</v>
      </c>
      <c r="CY852" s="45">
        <f t="shared" ref="CY852:CZ852" si="2131">CY859/CY866*100</f>
        <v>0</v>
      </c>
      <c r="CZ852" s="45" t="e">
        <f t="shared" si="2131"/>
        <v>#DIV/0!</v>
      </c>
      <c r="DB852" s="45">
        <f t="shared" ref="DB852:DC852" si="2132">DB859/DB866*100</f>
        <v>0</v>
      </c>
      <c r="DC852" s="45" t="e">
        <f t="shared" si="2132"/>
        <v>#DIV/0!</v>
      </c>
      <c r="DE852" s="45" t="e">
        <f t="shared" ref="DE852:DF852" si="2133">DE859/DE866*100</f>
        <v>#DIV/0!</v>
      </c>
      <c r="DF852" s="45" t="e">
        <f t="shared" si="2133"/>
        <v>#DIV/0!</v>
      </c>
    </row>
    <row r="853" spans="1:110" x14ac:dyDescent="0.25">
      <c r="A853" s="42"/>
      <c r="B853" s="46" t="s">
        <v>1184</v>
      </c>
      <c r="C853" s="42"/>
      <c r="D853" s="42" t="s">
        <v>8</v>
      </c>
      <c r="E853" s="45">
        <v>0</v>
      </c>
      <c r="F853" s="45">
        <f>F860/F867*100</f>
        <v>0</v>
      </c>
      <c r="G853" s="45">
        <f>G860/G867*100</f>
        <v>0</v>
      </c>
      <c r="H853" s="45">
        <f>H860/H867*100</f>
        <v>0</v>
      </c>
      <c r="I853" s="45">
        <f t="shared" si="2099"/>
        <v>0</v>
      </c>
      <c r="J853" s="45">
        <f t="shared" si="2099"/>
        <v>0</v>
      </c>
      <c r="K853" s="45">
        <f t="shared" si="2099"/>
        <v>0</v>
      </c>
      <c r="L853" s="45">
        <f t="shared" ref="L853" si="2134">L860/L867*100</f>
        <v>0</v>
      </c>
      <c r="M853" s="3"/>
      <c r="N853" s="45">
        <f t="shared" ref="N853" si="2135">N860/N867*100</f>
        <v>0</v>
      </c>
      <c r="O853" s="45">
        <f t="shared" si="2101"/>
        <v>0</v>
      </c>
      <c r="P853" s="45" t="e">
        <f t="shared" si="2101"/>
        <v>#DIV/0!</v>
      </c>
      <c r="Q853" s="45" t="e">
        <f t="shared" ref="Q853" si="2136">Q860/Q867*100</f>
        <v>#DIV/0!</v>
      </c>
      <c r="S853" s="45" t="e">
        <f t="shared" ref="S853" si="2137">S860/S867*100</f>
        <v>#DIV/0!</v>
      </c>
      <c r="T853" s="45" t="e">
        <f t="shared" si="2103"/>
        <v>#DIV/0!</v>
      </c>
      <c r="V853" s="45" t="e">
        <f t="shared" ref="V853:W853" si="2138">V860/V867*100</f>
        <v>#DIV/0!</v>
      </c>
      <c r="W853" s="45" t="e">
        <f t="shared" si="2138"/>
        <v>#DIV/0!</v>
      </c>
      <c r="Y853" s="45" t="e">
        <f t="shared" ref="Y853" si="2139">Y860/Y867*100</f>
        <v>#DIV/0!</v>
      </c>
      <c r="Z853" s="45" t="e">
        <f t="shared" si="2105"/>
        <v>#DIV/0!</v>
      </c>
      <c r="AA853" s="241"/>
      <c r="AB853" s="45" t="e">
        <f t="shared" ref="AB853:AC853" si="2140">AB860/AB867*100</f>
        <v>#DIV/0!</v>
      </c>
      <c r="AC853" s="45" t="e">
        <f t="shared" si="2140"/>
        <v>#DIV/0!</v>
      </c>
      <c r="AD853" s="241"/>
      <c r="AE853" s="45" t="e">
        <f t="shared" ref="AE853:AF853" si="2141">AE860/AE867*100</f>
        <v>#DIV/0!</v>
      </c>
      <c r="AF853" s="45" t="e">
        <f t="shared" si="2141"/>
        <v>#DIV/0!</v>
      </c>
      <c r="AH853" s="45" t="e">
        <f t="shared" ref="AH853:AI853" si="2142">AH860/AH867*100</f>
        <v>#DIV/0!</v>
      </c>
      <c r="AI853" s="45" t="e">
        <f t="shared" si="2142"/>
        <v>#DIV/0!</v>
      </c>
      <c r="AJ853" s="241"/>
      <c r="AK853" s="45" t="e">
        <f t="shared" ref="AK853:AL853" si="2143">AK860/AK867*100</f>
        <v>#DIV/0!</v>
      </c>
      <c r="AL853" s="45" t="e">
        <f t="shared" si="2143"/>
        <v>#DIV/0!</v>
      </c>
      <c r="AM853" s="241"/>
      <c r="AN853" s="45" t="e">
        <f t="shared" ref="AN853:AO853" si="2144">AN860/AN867*100</f>
        <v>#DIV/0!</v>
      </c>
      <c r="AO853" s="45" t="e">
        <f t="shared" si="2144"/>
        <v>#DIV/0!</v>
      </c>
      <c r="AQ853" s="45" t="e">
        <f t="shared" ref="AQ853:AR853" si="2145">AQ860/AQ867*100</f>
        <v>#DIV/0!</v>
      </c>
      <c r="AR853" s="45" t="e">
        <f t="shared" si="2145"/>
        <v>#DIV/0!</v>
      </c>
      <c r="AS853" s="241"/>
      <c r="AT853" s="45" t="e">
        <f t="shared" ref="AT853:AU853" si="2146">AT860/AT867*100</f>
        <v>#DIV/0!</v>
      </c>
      <c r="AU853" s="45" t="e">
        <f t="shared" si="2146"/>
        <v>#DIV/0!</v>
      </c>
      <c r="AW853" s="45" t="e">
        <f t="shared" ref="AW853:AX853" si="2147">AW860/AW867*100</f>
        <v>#DIV/0!</v>
      </c>
      <c r="AX853" s="45" t="e">
        <f t="shared" si="2147"/>
        <v>#DIV/0!</v>
      </c>
      <c r="AY853" s="241"/>
      <c r="AZ853" s="45" t="e">
        <f t="shared" ref="AZ853:BA853" si="2148">AZ860/AZ867*100</f>
        <v>#DIV/0!</v>
      </c>
      <c r="BA853" s="45" t="e">
        <f t="shared" si="2148"/>
        <v>#DIV/0!</v>
      </c>
      <c r="BC853" s="45" t="e">
        <f t="shared" ref="BC853:BD853" si="2149">BC860/BC867*100</f>
        <v>#DIV/0!</v>
      </c>
      <c r="BD853" s="45" t="e">
        <f t="shared" si="2149"/>
        <v>#DIV/0!</v>
      </c>
      <c r="BE853" s="241"/>
      <c r="BF853" s="45" t="e">
        <f t="shared" ref="BF853:BG853" si="2150">BF860/BF867*100</f>
        <v>#DIV/0!</v>
      </c>
      <c r="BG853" s="45" t="e">
        <f t="shared" si="2150"/>
        <v>#DIV/0!</v>
      </c>
      <c r="BH853" s="241"/>
      <c r="BI853" s="45" t="e">
        <f t="shared" ref="BI853:BJ853" si="2151">BI860/BI867*100</f>
        <v>#DIV/0!</v>
      </c>
      <c r="BJ853" s="45" t="e">
        <f t="shared" si="2151"/>
        <v>#DIV/0!</v>
      </c>
      <c r="BL853" s="45" t="e">
        <f t="shared" ref="BL853:BM853" si="2152">BL860/BL867*100</f>
        <v>#DIV/0!</v>
      </c>
      <c r="BM853" s="45" t="e">
        <f t="shared" si="2152"/>
        <v>#DIV/0!</v>
      </c>
      <c r="BN853" s="241"/>
      <c r="BO853" s="45" t="e">
        <f t="shared" ref="BO853:BP853" si="2153">BO860/BO867*100</f>
        <v>#DIV/0!</v>
      </c>
      <c r="BP853" s="45" t="e">
        <f t="shared" si="2153"/>
        <v>#DIV/0!</v>
      </c>
      <c r="BQ853" s="241"/>
      <c r="BR853" s="45" t="e">
        <f t="shared" ref="BR853:BS853" si="2154">BR860/BR867*100</f>
        <v>#DIV/0!</v>
      </c>
      <c r="BS853" s="45" t="e">
        <f t="shared" si="2154"/>
        <v>#DIV/0!</v>
      </c>
      <c r="BU853" s="45" t="e">
        <f t="shared" ref="BU853:BV853" si="2155">BU860/BU867*100</f>
        <v>#DIV/0!</v>
      </c>
      <c r="BV853" s="45" t="e">
        <f t="shared" si="2155"/>
        <v>#DIV/0!</v>
      </c>
      <c r="BW853" s="241"/>
      <c r="BX853" s="45" t="e">
        <f t="shared" ref="BX853:BY853" si="2156">BX860/BX867*100</f>
        <v>#DIV/0!</v>
      </c>
      <c r="BY853" s="45" t="e">
        <f t="shared" si="2156"/>
        <v>#DIV/0!</v>
      </c>
      <c r="BZ853" s="241"/>
      <c r="CA853" s="45" t="e">
        <f t="shared" ref="CA853:CB853" si="2157">CA860/CA867*100</f>
        <v>#DIV/0!</v>
      </c>
      <c r="CB853" s="45" t="e">
        <f t="shared" si="2157"/>
        <v>#DIV/0!</v>
      </c>
      <c r="CD853" s="45" t="e">
        <f t="shared" ref="CD853:CE853" si="2158">CD860/CD867*100</f>
        <v>#DIV/0!</v>
      </c>
      <c r="CE853" s="45" t="e">
        <f t="shared" si="2158"/>
        <v>#DIV/0!</v>
      </c>
      <c r="CF853" s="241"/>
      <c r="CG853" s="45" t="e">
        <f t="shared" ref="CG853:CH853" si="2159">CG860/CG867*100</f>
        <v>#DIV/0!</v>
      </c>
      <c r="CH853" s="45" t="e">
        <f t="shared" si="2159"/>
        <v>#DIV/0!</v>
      </c>
      <c r="CI853" s="241"/>
      <c r="CJ853" s="45" t="e">
        <f t="shared" ref="CJ853:CK853" si="2160">CJ860/CJ867*100</f>
        <v>#DIV/0!</v>
      </c>
      <c r="CK853" s="45" t="e">
        <f t="shared" si="2160"/>
        <v>#DIV/0!</v>
      </c>
      <c r="CM853" s="45" t="e">
        <f t="shared" ref="CM853:CN853" si="2161">CM860/CM867*100</f>
        <v>#DIV/0!</v>
      </c>
      <c r="CN853" s="45" t="e">
        <f t="shared" si="2161"/>
        <v>#DIV/0!</v>
      </c>
      <c r="CP853" s="45" t="e">
        <f t="shared" ref="CP853:CQ853" si="2162">CP860/CP867*100</f>
        <v>#DIV/0!</v>
      </c>
      <c r="CQ853" s="45" t="e">
        <f t="shared" si="2162"/>
        <v>#DIV/0!</v>
      </c>
      <c r="CS853" s="45" t="e">
        <f t="shared" ref="CS853:CT853" si="2163">CS860/CS867*100</f>
        <v>#DIV/0!</v>
      </c>
      <c r="CT853" s="45" t="e">
        <f t="shared" si="2163"/>
        <v>#DIV/0!</v>
      </c>
      <c r="CV853" s="45" t="e">
        <f t="shared" ref="CV853:CW853" si="2164">CV860/CV867*100</f>
        <v>#DIV/0!</v>
      </c>
      <c r="CW853" s="45" t="e">
        <f t="shared" si="2164"/>
        <v>#DIV/0!</v>
      </c>
      <c r="CY853" s="45" t="e">
        <f t="shared" ref="CY853:CZ853" si="2165">CY860/CY867*100</f>
        <v>#DIV/0!</v>
      </c>
      <c r="CZ853" s="45" t="e">
        <f t="shared" si="2165"/>
        <v>#DIV/0!</v>
      </c>
      <c r="DB853" s="45" t="e">
        <f t="shared" ref="DB853:DC853" si="2166">DB860/DB867*100</f>
        <v>#DIV/0!</v>
      </c>
      <c r="DC853" s="45" t="e">
        <f t="shared" si="2166"/>
        <v>#DIV/0!</v>
      </c>
      <c r="DE853" s="45">
        <f t="shared" ref="DE853:DF853" si="2167">DE860/DE867*100</f>
        <v>0</v>
      </c>
      <c r="DF853" s="45">
        <f t="shared" si="2167"/>
        <v>0</v>
      </c>
    </row>
    <row r="854" spans="1:110" x14ac:dyDescent="0.25">
      <c r="A854" s="42"/>
      <c r="B854" s="46" t="s">
        <v>1949</v>
      </c>
      <c r="C854" s="42"/>
      <c r="D854" s="42"/>
      <c r="E854" s="45"/>
      <c r="F854" s="45"/>
      <c r="G854" s="45"/>
      <c r="H854" s="45"/>
      <c r="I854" s="45"/>
      <c r="J854" s="45"/>
      <c r="K854" s="45"/>
      <c r="L854" s="45"/>
      <c r="M854" s="3"/>
      <c r="N854" s="45"/>
      <c r="O854" s="45"/>
      <c r="P854" s="45"/>
      <c r="Q854" s="45"/>
      <c r="S854" s="45"/>
      <c r="T854" s="45"/>
      <c r="V854" s="45"/>
      <c r="W854" s="45"/>
      <c r="Y854" s="45"/>
      <c r="Z854" s="45"/>
      <c r="AA854" s="241"/>
      <c r="AB854" s="45"/>
      <c r="AC854" s="45"/>
      <c r="AD854" s="241"/>
      <c r="AE854" s="45"/>
      <c r="AF854" s="45"/>
      <c r="AH854" s="45"/>
      <c r="AI854" s="45"/>
      <c r="AJ854" s="241"/>
      <c r="AK854" s="45"/>
      <c r="AL854" s="45"/>
      <c r="AM854" s="241"/>
      <c r="AN854" s="45"/>
      <c r="AO854" s="45"/>
      <c r="AQ854" s="45"/>
      <c r="AR854" s="45"/>
      <c r="AS854" s="241"/>
      <c r="AT854" s="45"/>
      <c r="AU854" s="45"/>
      <c r="AW854" s="45"/>
      <c r="AX854" s="45"/>
      <c r="AY854" s="241"/>
      <c r="AZ854" s="45"/>
      <c r="BA854" s="45"/>
      <c r="BC854" s="45"/>
      <c r="BD854" s="45"/>
      <c r="BE854" s="241"/>
      <c r="BF854" s="45"/>
      <c r="BG854" s="45"/>
      <c r="BH854" s="241"/>
      <c r="BI854" s="45"/>
      <c r="BJ854" s="45"/>
      <c r="BL854" s="45"/>
      <c r="BM854" s="45"/>
      <c r="BN854" s="241"/>
      <c r="BO854" s="45"/>
      <c r="BP854" s="45"/>
      <c r="BQ854" s="241"/>
      <c r="BR854" s="45"/>
      <c r="BS854" s="45"/>
      <c r="BU854" s="45"/>
      <c r="BV854" s="45"/>
      <c r="BW854" s="241"/>
      <c r="BX854" s="45"/>
      <c r="BY854" s="45"/>
      <c r="BZ854" s="241"/>
      <c r="CA854" s="45"/>
      <c r="CB854" s="45"/>
      <c r="CD854" s="45"/>
      <c r="CE854" s="45"/>
      <c r="CF854" s="241"/>
      <c r="CG854" s="45"/>
      <c r="CH854" s="45"/>
      <c r="CI854" s="241"/>
      <c r="CJ854" s="45"/>
      <c r="CK854" s="45"/>
      <c r="CM854" s="45"/>
      <c r="CN854" s="45"/>
      <c r="CP854" s="45"/>
      <c r="CQ854" s="45"/>
      <c r="CS854" s="45"/>
      <c r="CT854" s="45"/>
      <c r="CV854" s="45"/>
      <c r="CW854" s="45"/>
      <c r="CY854" s="45"/>
      <c r="CZ854" s="45"/>
      <c r="DB854" s="45"/>
      <c r="DC854" s="45"/>
      <c r="DE854" s="45"/>
      <c r="DF854" s="45"/>
    </row>
    <row r="855" spans="1:110" x14ac:dyDescent="0.25">
      <c r="A855" s="42"/>
      <c r="B855" s="46" t="s">
        <v>1182</v>
      </c>
      <c r="C855" s="42"/>
      <c r="D855" s="42"/>
      <c r="E855" s="45"/>
      <c r="F855" s="45"/>
      <c r="G855" s="45"/>
      <c r="H855" s="45">
        <f t="shared" ref="H855:J856" si="2168">H862/H869*100</f>
        <v>0</v>
      </c>
      <c r="I855" s="45">
        <f t="shared" si="2168"/>
        <v>0</v>
      </c>
      <c r="J855" s="45">
        <f t="shared" si="2168"/>
        <v>0</v>
      </c>
      <c r="K855" s="45">
        <f>K862/K869*100</f>
        <v>0</v>
      </c>
      <c r="L855" s="45">
        <f>L862/L869*100</f>
        <v>0</v>
      </c>
      <c r="M855" s="3"/>
      <c r="N855" s="45">
        <f t="shared" ref="N855:Q856" si="2169">N862/N869*100</f>
        <v>0</v>
      </c>
      <c r="O855" s="45">
        <f t="shared" si="2169"/>
        <v>0</v>
      </c>
      <c r="P855" s="45">
        <f t="shared" si="2169"/>
        <v>0</v>
      </c>
      <c r="Q855" s="45">
        <f t="shared" si="2169"/>
        <v>0</v>
      </c>
      <c r="S855" s="45">
        <f>S862/S869*100</f>
        <v>0</v>
      </c>
      <c r="T855" s="45" t="e">
        <f>T862/T869*100</f>
        <v>#DIV/0!</v>
      </c>
      <c r="V855" s="45">
        <f>V862/V869*100</f>
        <v>0</v>
      </c>
      <c r="W855" s="45" t="e">
        <f>W862/W869*100</f>
        <v>#DIV/0!</v>
      </c>
      <c r="Y855" s="45">
        <f>Y862/Y869*100</f>
        <v>0</v>
      </c>
      <c r="Z855" s="45" t="e">
        <f>Z862/Z869*100</f>
        <v>#DIV/0!</v>
      </c>
      <c r="AA855" s="241"/>
      <c r="AB855" s="45">
        <f>AB862/AB869*100</f>
        <v>0</v>
      </c>
      <c r="AC855" s="45" t="e">
        <f>AC862/AC869*100</f>
        <v>#DIV/0!</v>
      </c>
      <c r="AD855" s="241"/>
      <c r="AE855" s="45" t="e">
        <f>AE862/AE869*100</f>
        <v>#DIV/0!</v>
      </c>
      <c r="AF855" s="45" t="e">
        <f>AF862/AF869*100</f>
        <v>#DIV/0!</v>
      </c>
      <c r="AH855" s="45">
        <f>AH862/AH869*100</f>
        <v>0</v>
      </c>
      <c r="AI855" s="45" t="e">
        <f>AI862/AI869*100</f>
        <v>#DIV/0!</v>
      </c>
      <c r="AJ855" s="241"/>
      <c r="AK855" s="45">
        <f>AK862/AK869*100</f>
        <v>0</v>
      </c>
      <c r="AL855" s="45" t="e">
        <f>AL862/AL869*100</f>
        <v>#DIV/0!</v>
      </c>
      <c r="AM855" s="241"/>
      <c r="AN855" s="45" t="e">
        <f>AN862/AN869*100</f>
        <v>#DIV/0!</v>
      </c>
      <c r="AO855" s="45" t="e">
        <f>AO862/AO869*100</f>
        <v>#DIV/0!</v>
      </c>
      <c r="AQ855" s="45" t="e">
        <f>AQ862/AQ869*100</f>
        <v>#DIV/0!</v>
      </c>
      <c r="AR855" s="45" t="e">
        <f>AR862/AR869*100</f>
        <v>#DIV/0!</v>
      </c>
      <c r="AS855" s="241"/>
      <c r="AT855" s="45" t="e">
        <f>AT862/AT869*100</f>
        <v>#DIV/0!</v>
      </c>
      <c r="AU855" s="45" t="e">
        <f>AU862/AU869*100</f>
        <v>#DIV/0!</v>
      </c>
      <c r="AW855" s="45">
        <f>AW862/AW869*100</f>
        <v>0</v>
      </c>
      <c r="AX855" s="45" t="e">
        <f>AX862/AX869*100</f>
        <v>#DIV/0!</v>
      </c>
      <c r="AY855" s="241"/>
      <c r="AZ855" s="45" t="e">
        <f>AZ862/AZ869*100</f>
        <v>#DIV/0!</v>
      </c>
      <c r="BA855" s="45" t="e">
        <f>BA862/BA869*100</f>
        <v>#DIV/0!</v>
      </c>
      <c r="BC855" s="45">
        <f>BC862/BC869*100</f>
        <v>0</v>
      </c>
      <c r="BD855" s="45" t="e">
        <f>BD862/BD869*100</f>
        <v>#DIV/0!</v>
      </c>
      <c r="BE855" s="241"/>
      <c r="BF855" s="45">
        <f>BF862/BF869*100</f>
        <v>0</v>
      </c>
      <c r="BG855" s="45" t="e">
        <f>BG862/BG869*100</f>
        <v>#DIV/0!</v>
      </c>
      <c r="BH855" s="241"/>
      <c r="BI855" s="45">
        <f>BI862/BI869*100</f>
        <v>0</v>
      </c>
      <c r="BJ855" s="45" t="e">
        <f>BJ862/BJ869*100</f>
        <v>#DIV/0!</v>
      </c>
      <c r="BL855" s="45" t="e">
        <f>BL862/BL869*100</f>
        <v>#DIV/0!</v>
      </c>
      <c r="BM855" s="45" t="e">
        <f>BM862/BM869*100</f>
        <v>#DIV/0!</v>
      </c>
      <c r="BN855" s="241"/>
      <c r="BO855" s="45">
        <f>BO862/BO869*100</f>
        <v>0</v>
      </c>
      <c r="BP855" s="45" t="e">
        <f>BP862/BP869*100</f>
        <v>#DIV/0!</v>
      </c>
      <c r="BQ855" s="241"/>
      <c r="BR855" s="45" t="e">
        <f>BR862/BR869*100</f>
        <v>#DIV/0!</v>
      </c>
      <c r="BS855" s="45" t="e">
        <f>BS862/BS869*100</f>
        <v>#DIV/0!</v>
      </c>
      <c r="BU855" s="45" t="e">
        <f>BU862/BU869*100</f>
        <v>#DIV/0!</v>
      </c>
      <c r="BV855" s="45" t="e">
        <f>BV862/BV869*100</f>
        <v>#DIV/0!</v>
      </c>
      <c r="BW855" s="241"/>
      <c r="BX855" s="45">
        <f>BX862/BX869*100</f>
        <v>0</v>
      </c>
      <c r="BY855" s="45" t="e">
        <f>BY862/BY869*100</f>
        <v>#DIV/0!</v>
      </c>
      <c r="BZ855" s="241"/>
      <c r="CA855" s="45">
        <f>CA862/CA869*100</f>
        <v>0</v>
      </c>
      <c r="CB855" s="45" t="e">
        <f>CB862/CB869*100</f>
        <v>#DIV/0!</v>
      </c>
      <c r="CD855" s="45" t="e">
        <f>CD862/CD869*100</f>
        <v>#DIV/0!</v>
      </c>
      <c r="CE855" s="45" t="e">
        <f>CE862/CE869*100</f>
        <v>#DIV/0!</v>
      </c>
      <c r="CF855" s="241"/>
      <c r="CG855" s="45">
        <f>CG862/CG869*100</f>
        <v>0</v>
      </c>
      <c r="CH855" s="45" t="e">
        <f>CH862/CH869*100</f>
        <v>#DIV/0!</v>
      </c>
      <c r="CI855" s="241"/>
      <c r="CJ855" s="45" t="e">
        <f>CJ862/CJ869*100</f>
        <v>#DIV/0!</v>
      </c>
      <c r="CK855" s="45" t="e">
        <f>CK862/CK869*100</f>
        <v>#DIV/0!</v>
      </c>
      <c r="CM855" s="45" t="e">
        <f>CM862/CM869*100</f>
        <v>#DIV/0!</v>
      </c>
      <c r="CN855" s="45" t="e">
        <f>CN862/CN869*100</f>
        <v>#DIV/0!</v>
      </c>
      <c r="CP855" s="45" t="e">
        <f>CP862/CP869*100</f>
        <v>#DIV/0!</v>
      </c>
      <c r="CQ855" s="45" t="e">
        <f>CQ862/CQ869*100</f>
        <v>#DIV/0!</v>
      </c>
      <c r="CS855" s="45" t="e">
        <f>CS862/CS869*100</f>
        <v>#DIV/0!</v>
      </c>
      <c r="CT855" s="45" t="e">
        <f>CT862/CT869*100</f>
        <v>#DIV/0!</v>
      </c>
      <c r="CV855" s="45" t="e">
        <f>CV862/CV869*100</f>
        <v>#DIV/0!</v>
      </c>
      <c r="CW855" s="45" t="e">
        <f>CW862/CW869*100</f>
        <v>#DIV/0!</v>
      </c>
      <c r="CY855" s="45" t="e">
        <f>CY862/CY869*100</f>
        <v>#DIV/0!</v>
      </c>
      <c r="CZ855" s="45" t="e">
        <f>CZ862/CZ869*100</f>
        <v>#DIV/0!</v>
      </c>
      <c r="DB855" s="45" t="e">
        <f>DB862/DB869*100</f>
        <v>#DIV/0!</v>
      </c>
      <c r="DC855" s="45" t="e">
        <f>DC862/DC869*100</f>
        <v>#DIV/0!</v>
      </c>
      <c r="DE855" s="45" t="e">
        <f>DE862/DE869*100</f>
        <v>#DIV/0!</v>
      </c>
      <c r="DF855" s="45" t="e">
        <f>DF862/DF869*100</f>
        <v>#DIV/0!</v>
      </c>
    </row>
    <row r="856" spans="1:110" x14ac:dyDescent="0.25">
      <c r="A856" s="42"/>
      <c r="B856" s="46" t="s">
        <v>1184</v>
      </c>
      <c r="C856" s="42"/>
      <c r="D856" s="42"/>
      <c r="E856" s="45"/>
      <c r="F856" s="45"/>
      <c r="G856" s="45"/>
      <c r="H856" s="45" t="e">
        <f t="shared" si="2168"/>
        <v>#DIV/0!</v>
      </c>
      <c r="I856" s="45" t="e">
        <f t="shared" si="2168"/>
        <v>#DIV/0!</v>
      </c>
      <c r="J856" s="45" t="e">
        <f t="shared" si="2168"/>
        <v>#DIV/0!</v>
      </c>
      <c r="K856" s="45" t="e">
        <f>K863/K870*100</f>
        <v>#DIV/0!</v>
      </c>
      <c r="L856" s="45" t="e">
        <f>L863/L870*100</f>
        <v>#DIV/0!</v>
      </c>
      <c r="M856" s="3"/>
      <c r="N856" s="45" t="e">
        <f t="shared" si="2169"/>
        <v>#DIV/0!</v>
      </c>
      <c r="O856" s="45" t="e">
        <f t="shared" si="2169"/>
        <v>#DIV/0!</v>
      </c>
      <c r="P856" s="45" t="e">
        <f t="shared" si="2169"/>
        <v>#DIV/0!</v>
      </c>
      <c r="Q856" s="45" t="e">
        <f t="shared" si="2169"/>
        <v>#DIV/0!</v>
      </c>
      <c r="S856" s="45" t="e">
        <f>S863/S870*100</f>
        <v>#DIV/0!</v>
      </c>
      <c r="T856" s="45" t="e">
        <f>T863/T870*100</f>
        <v>#DIV/0!</v>
      </c>
      <c r="V856" s="45" t="e">
        <f>V863/V870*100</f>
        <v>#DIV/0!</v>
      </c>
      <c r="W856" s="45" t="e">
        <f>W863/W870*100</f>
        <v>#DIV/0!</v>
      </c>
      <c r="Y856" s="45" t="e">
        <f>Y863/Y870*100</f>
        <v>#DIV/0!</v>
      </c>
      <c r="Z856" s="45" t="e">
        <f>Z863/Z870*100</f>
        <v>#DIV/0!</v>
      </c>
      <c r="AA856" s="241"/>
      <c r="AB856" s="45" t="e">
        <f>AB863/AB870*100</f>
        <v>#DIV/0!</v>
      </c>
      <c r="AC856" s="45" t="e">
        <f>AC863/AC870*100</f>
        <v>#DIV/0!</v>
      </c>
      <c r="AD856" s="241"/>
      <c r="AE856" s="45" t="e">
        <f>AE863/AE870*100</f>
        <v>#DIV/0!</v>
      </c>
      <c r="AF856" s="45" t="e">
        <f>AF863/AF870*100</f>
        <v>#DIV/0!</v>
      </c>
      <c r="AH856" s="45" t="e">
        <f>AH863/AH870*100</f>
        <v>#DIV/0!</v>
      </c>
      <c r="AI856" s="45" t="e">
        <f>AI863/AI870*100</f>
        <v>#DIV/0!</v>
      </c>
      <c r="AJ856" s="241"/>
      <c r="AK856" s="45" t="e">
        <f>AK863/AK870*100</f>
        <v>#DIV/0!</v>
      </c>
      <c r="AL856" s="45" t="e">
        <f>AL863/AL870*100</f>
        <v>#DIV/0!</v>
      </c>
      <c r="AM856" s="241"/>
      <c r="AN856" s="45" t="e">
        <f>AN863/AN870*100</f>
        <v>#DIV/0!</v>
      </c>
      <c r="AO856" s="45" t="e">
        <f>AO863/AO870*100</f>
        <v>#DIV/0!</v>
      </c>
      <c r="AQ856" s="45" t="e">
        <f>AQ863/AQ870*100</f>
        <v>#DIV/0!</v>
      </c>
      <c r="AR856" s="45" t="e">
        <f>AR863/AR870*100</f>
        <v>#DIV/0!</v>
      </c>
      <c r="AS856" s="241"/>
      <c r="AT856" s="45" t="e">
        <f>AT863/AT870*100</f>
        <v>#DIV/0!</v>
      </c>
      <c r="AU856" s="45" t="e">
        <f>AU863/AU870*100</f>
        <v>#DIV/0!</v>
      </c>
      <c r="AW856" s="45" t="e">
        <f>AW863/AW870*100</f>
        <v>#DIV/0!</v>
      </c>
      <c r="AX856" s="45" t="e">
        <f>AX863/AX870*100</f>
        <v>#DIV/0!</v>
      </c>
      <c r="AY856" s="241"/>
      <c r="AZ856" s="45" t="e">
        <f>AZ863/AZ870*100</f>
        <v>#DIV/0!</v>
      </c>
      <c r="BA856" s="45" t="e">
        <f>BA863/BA870*100</f>
        <v>#DIV/0!</v>
      </c>
      <c r="BC856" s="45" t="e">
        <f>BC863/BC870*100</f>
        <v>#DIV/0!</v>
      </c>
      <c r="BD856" s="45" t="e">
        <f>BD863/BD870*100</f>
        <v>#DIV/0!</v>
      </c>
      <c r="BE856" s="241"/>
      <c r="BF856" s="45" t="e">
        <f>BF863/BF870*100</f>
        <v>#DIV/0!</v>
      </c>
      <c r="BG856" s="45" t="e">
        <f>BG863/BG870*100</f>
        <v>#DIV/0!</v>
      </c>
      <c r="BH856" s="241"/>
      <c r="BI856" s="45" t="e">
        <f>BI863/BI870*100</f>
        <v>#DIV/0!</v>
      </c>
      <c r="BJ856" s="45" t="e">
        <f>BJ863/BJ870*100</f>
        <v>#DIV/0!</v>
      </c>
      <c r="BL856" s="45" t="e">
        <f>BL863/BL870*100</f>
        <v>#DIV/0!</v>
      </c>
      <c r="BM856" s="45" t="e">
        <f>BM863/BM870*100</f>
        <v>#DIV/0!</v>
      </c>
      <c r="BN856" s="241"/>
      <c r="BO856" s="45" t="e">
        <f>BO863/BO870*100</f>
        <v>#DIV/0!</v>
      </c>
      <c r="BP856" s="45" t="e">
        <f>BP863/BP870*100</f>
        <v>#DIV/0!</v>
      </c>
      <c r="BQ856" s="241"/>
      <c r="BR856" s="45" t="e">
        <f>BR863/BR870*100</f>
        <v>#DIV/0!</v>
      </c>
      <c r="BS856" s="45" t="e">
        <f>BS863/BS870*100</f>
        <v>#DIV/0!</v>
      </c>
      <c r="BU856" s="45" t="e">
        <f>BU863/BU870*100</f>
        <v>#DIV/0!</v>
      </c>
      <c r="BV856" s="45" t="e">
        <f>BV863/BV870*100</f>
        <v>#DIV/0!</v>
      </c>
      <c r="BW856" s="241"/>
      <c r="BX856" s="45" t="e">
        <f>BX863/BX870*100</f>
        <v>#DIV/0!</v>
      </c>
      <c r="BY856" s="45" t="e">
        <f>BY863/BY870*100</f>
        <v>#DIV/0!</v>
      </c>
      <c r="BZ856" s="241"/>
      <c r="CA856" s="45" t="e">
        <f>CA863/CA870*100</f>
        <v>#DIV/0!</v>
      </c>
      <c r="CB856" s="45" t="e">
        <f>CB863/CB870*100</f>
        <v>#DIV/0!</v>
      </c>
      <c r="CD856" s="45" t="e">
        <f>CD863/CD870*100</f>
        <v>#DIV/0!</v>
      </c>
      <c r="CE856" s="45" t="e">
        <f>CE863/CE870*100</f>
        <v>#DIV/0!</v>
      </c>
      <c r="CF856" s="241"/>
      <c r="CG856" s="45" t="e">
        <f>CG863/CG870*100</f>
        <v>#DIV/0!</v>
      </c>
      <c r="CH856" s="45" t="e">
        <f>CH863/CH870*100</f>
        <v>#DIV/0!</v>
      </c>
      <c r="CI856" s="241"/>
      <c r="CJ856" s="45" t="e">
        <f>CJ863/CJ870*100</f>
        <v>#DIV/0!</v>
      </c>
      <c r="CK856" s="45" t="e">
        <f>CK863/CK870*100</f>
        <v>#DIV/0!</v>
      </c>
      <c r="CM856" s="45" t="e">
        <f>CM863/CM870*100</f>
        <v>#DIV/0!</v>
      </c>
      <c r="CN856" s="45" t="e">
        <f>CN863/CN870*100</f>
        <v>#DIV/0!</v>
      </c>
      <c r="CP856" s="45" t="e">
        <f>CP863/CP870*100</f>
        <v>#DIV/0!</v>
      </c>
      <c r="CQ856" s="45" t="e">
        <f>CQ863/CQ870*100</f>
        <v>#DIV/0!</v>
      </c>
      <c r="CS856" s="45" t="e">
        <f>CS863/CS870*100</f>
        <v>#DIV/0!</v>
      </c>
      <c r="CT856" s="45" t="e">
        <f>CT863/CT870*100</f>
        <v>#DIV/0!</v>
      </c>
      <c r="CV856" s="45" t="e">
        <f>CV863/CV870*100</f>
        <v>#DIV/0!</v>
      </c>
      <c r="CW856" s="45" t="e">
        <f>CW863/CW870*100</f>
        <v>#DIV/0!</v>
      </c>
      <c r="CY856" s="45" t="e">
        <f>CY863/CY870*100</f>
        <v>#DIV/0!</v>
      </c>
      <c r="CZ856" s="45" t="e">
        <f>CZ863/CZ870*100</f>
        <v>#DIV/0!</v>
      </c>
      <c r="DB856" s="45" t="e">
        <f>DB863/DB870*100</f>
        <v>#DIV/0!</v>
      </c>
      <c r="DC856" s="45" t="e">
        <f>DC863/DC870*100</f>
        <v>#DIV/0!</v>
      </c>
      <c r="DE856" s="45" t="e">
        <f>DE863/DE870*100</f>
        <v>#DIV/0!</v>
      </c>
      <c r="DF856" s="45" t="e">
        <f>DF863/DF870*100</f>
        <v>#DIV/0!</v>
      </c>
    </row>
    <row r="857" spans="1:110" ht="75" x14ac:dyDescent="0.25">
      <c r="A857" s="6"/>
      <c r="B857" s="16" t="s">
        <v>608</v>
      </c>
      <c r="C857" s="6"/>
      <c r="D857" s="13" t="s">
        <v>1111</v>
      </c>
      <c r="E857" s="12"/>
      <c r="F857" s="12"/>
      <c r="G857" s="12"/>
      <c r="H857" s="12"/>
      <c r="I857" s="12"/>
      <c r="J857" s="12"/>
      <c r="K857" s="12"/>
      <c r="L857" s="12"/>
    </row>
    <row r="858" spans="1:110" ht="30" x14ac:dyDescent="0.25">
      <c r="A858" s="6"/>
      <c r="B858" s="16" t="s">
        <v>588</v>
      </c>
      <c r="C858" s="6" t="s">
        <v>2993</v>
      </c>
      <c r="D858" s="13"/>
      <c r="E858" s="12"/>
      <c r="F858" s="12"/>
      <c r="G858" s="12"/>
      <c r="H858" s="12"/>
      <c r="I858" s="12"/>
      <c r="J858" s="12"/>
      <c r="K858" s="12"/>
      <c r="L858" s="12"/>
    </row>
    <row r="859" spans="1:110" x14ac:dyDescent="0.25">
      <c r="A859" s="6"/>
      <c r="B859" s="16" t="s">
        <v>1182</v>
      </c>
      <c r="C859" s="6"/>
      <c r="D859" s="13"/>
      <c r="E859" s="12"/>
      <c r="F859" s="12">
        <v>3485</v>
      </c>
      <c r="G859" s="12">
        <v>3485</v>
      </c>
      <c r="H859" s="12">
        <v>3485</v>
      </c>
      <c r="I859" s="12">
        <v>3485</v>
      </c>
      <c r="J859" s="12">
        <f>4938+600</f>
        <v>5538</v>
      </c>
      <c r="K859" s="12">
        <v>3485</v>
      </c>
      <c r="L859" s="12"/>
      <c r="M859" s="65"/>
      <c r="N859" s="241">
        <f>P859+S859+V859+Y859+AB859+AE859+AH859+AK859+AN859+AQ859+AW859+AZ859+BC859+BF859+BI859+BL859+BO859+BR859+BU859+BX859+CA859+CD859+CG859+CJ859+AT859+DE859</f>
        <v>3485</v>
      </c>
      <c r="O859" s="241">
        <f t="shared" ref="O859:O860" si="2170">Q859+T859+W859+Z859+AC859+AF859+AI859+AL859+AO859+AR859+AX859+BA859+BD859+BG859+BJ859+BM859+BP859+BS859+BV859+BY859+CB859+CE859+CH859+CK859+AU859+CN859+CQ859+DF859</f>
        <v>0</v>
      </c>
      <c r="P859">
        <v>0</v>
      </c>
      <c r="Q859">
        <v>0</v>
      </c>
      <c r="S859">
        <v>0</v>
      </c>
      <c r="V859">
        <v>0</v>
      </c>
      <c r="Y859">
        <v>0</v>
      </c>
      <c r="AB859">
        <v>0</v>
      </c>
      <c r="AE859">
        <v>0</v>
      </c>
      <c r="AH859">
        <v>0</v>
      </c>
      <c r="AK859">
        <v>0</v>
      </c>
      <c r="AN859">
        <v>0</v>
      </c>
      <c r="AQ859">
        <v>0</v>
      </c>
      <c r="AT859" s="241">
        <v>0</v>
      </c>
      <c r="AW859">
        <v>0</v>
      </c>
      <c r="AZ859">
        <v>0</v>
      </c>
      <c r="BC859">
        <v>0</v>
      </c>
      <c r="BF859">
        <v>0</v>
      </c>
      <c r="BI859">
        <v>0</v>
      </c>
      <c r="BL859">
        <v>0</v>
      </c>
      <c r="BO859">
        <v>0</v>
      </c>
      <c r="BR859">
        <v>0</v>
      </c>
      <c r="BU859">
        <v>0</v>
      </c>
      <c r="BX859">
        <v>499</v>
      </c>
      <c r="CA859">
        <v>2986</v>
      </c>
      <c r="CD859">
        <v>0</v>
      </c>
      <c r="CG859">
        <v>0</v>
      </c>
      <c r="CJ859">
        <v>0</v>
      </c>
      <c r="CM859">
        <v>0</v>
      </c>
      <c r="CP859">
        <v>0</v>
      </c>
      <c r="CS859">
        <v>0</v>
      </c>
      <c r="CV859">
        <v>0</v>
      </c>
      <c r="CY859">
        <v>0</v>
      </c>
      <c r="DB859">
        <v>0</v>
      </c>
    </row>
    <row r="860" spans="1:110" x14ac:dyDescent="0.25">
      <c r="A860" s="6"/>
      <c r="B860" s="16" t="s">
        <v>1184</v>
      </c>
      <c r="C860" s="6"/>
      <c r="D860" s="13"/>
      <c r="E860" s="12"/>
      <c r="F860" s="12">
        <v>0</v>
      </c>
      <c r="G860" s="12">
        <v>0</v>
      </c>
      <c r="H860" s="12">
        <v>0</v>
      </c>
      <c r="I860" s="12">
        <v>0</v>
      </c>
      <c r="J860" s="12">
        <v>0</v>
      </c>
      <c r="K860" s="12">
        <v>0</v>
      </c>
      <c r="L860" s="12"/>
      <c r="N860" s="241">
        <f>P860+S860+V860+Y860+AB860+AE860+AH860+AK860+AN860+AQ860+AW860+AZ860+BC860+BF860+BI860+BL860+BO860+BR860+BU860+BX860+CA860+CD860+CG860+CJ860+AT860+DE860</f>
        <v>0</v>
      </c>
      <c r="O860" s="241">
        <f t="shared" si="2170"/>
        <v>0</v>
      </c>
      <c r="S860">
        <v>0</v>
      </c>
      <c r="V860">
        <v>0</v>
      </c>
      <c r="Y860">
        <v>0</v>
      </c>
      <c r="AB860">
        <v>0</v>
      </c>
      <c r="AE860">
        <v>0</v>
      </c>
      <c r="AH860">
        <v>0</v>
      </c>
      <c r="AK860">
        <v>0</v>
      </c>
      <c r="AN860">
        <v>0</v>
      </c>
      <c r="AQ860">
        <v>0</v>
      </c>
      <c r="AT860" s="241">
        <v>0</v>
      </c>
      <c r="AW860">
        <v>0</v>
      </c>
      <c r="AZ860">
        <v>0</v>
      </c>
      <c r="BC860">
        <v>0</v>
      </c>
      <c r="BF860">
        <v>0</v>
      </c>
      <c r="BI860">
        <v>0</v>
      </c>
      <c r="BL860">
        <v>0</v>
      </c>
      <c r="BO860">
        <v>0</v>
      </c>
      <c r="BR860">
        <v>0</v>
      </c>
      <c r="BU860">
        <v>0</v>
      </c>
      <c r="BX860">
        <v>0</v>
      </c>
      <c r="CA860">
        <v>0</v>
      </c>
      <c r="CD860">
        <v>0</v>
      </c>
      <c r="CG860">
        <v>0</v>
      </c>
      <c r="CJ860">
        <v>0</v>
      </c>
      <c r="CM860">
        <v>0</v>
      </c>
      <c r="CP860">
        <v>0</v>
      </c>
      <c r="CS860">
        <v>0</v>
      </c>
      <c r="CV860">
        <v>0</v>
      </c>
      <c r="CY860">
        <v>0</v>
      </c>
      <c r="DB860">
        <v>0</v>
      </c>
      <c r="DE860">
        <v>0</v>
      </c>
    </row>
    <row r="861" spans="1:110" ht="30" x14ac:dyDescent="0.25">
      <c r="A861" s="6"/>
      <c r="B861" s="16" t="s">
        <v>591</v>
      </c>
      <c r="C861" s="6" t="s">
        <v>1588</v>
      </c>
      <c r="D861" s="13"/>
      <c r="E861" s="12"/>
      <c r="F861" s="12"/>
      <c r="G861" s="12"/>
      <c r="H861" s="12"/>
      <c r="I861" s="12"/>
      <c r="J861" s="12"/>
      <c r="K861" s="12"/>
      <c r="L861" s="12"/>
      <c r="O861" s="241"/>
    </row>
    <row r="862" spans="1:110" x14ac:dyDescent="0.25">
      <c r="A862" s="6"/>
      <c r="B862" s="16" t="s">
        <v>1182</v>
      </c>
      <c r="C862" s="6"/>
      <c r="D862" s="13"/>
      <c r="E862" s="12"/>
      <c r="F862" s="12"/>
      <c r="G862" s="12"/>
      <c r="H862" s="12">
        <v>0</v>
      </c>
      <c r="I862" s="12">
        <v>0</v>
      </c>
      <c r="J862" s="12">
        <v>0</v>
      </c>
      <c r="K862" s="12">
        <v>0</v>
      </c>
      <c r="L862" s="12"/>
      <c r="N862" s="241">
        <f>P862+S862+V862+Y862+AB862+AE862+AH862+AK862+AN862+AQ862+AW862+AZ862+BC862+BF862+BI862+BL862+BO862+BR862+BU862+BX862+CA862+CD862+CG862+CJ862+AT862+DE862</f>
        <v>0</v>
      </c>
      <c r="O862" s="241">
        <f t="shared" ref="O862:O863" si="2171">Q862+T862+W862+Z862+AC862+AF862+AI862+AL862+AO862+AR862+AX862+BA862+BD862+BG862+BJ862+BM862+BP862+BS862+BV862+BY862+CB862+CE862+CH862+CK862+AU862+CN862+CQ862+DF862</f>
        <v>0</v>
      </c>
      <c r="P862">
        <v>0</v>
      </c>
      <c r="Q862">
        <v>0</v>
      </c>
      <c r="S862">
        <v>0</v>
      </c>
      <c r="V862">
        <v>0</v>
      </c>
      <c r="Y862">
        <v>0</v>
      </c>
      <c r="AB862">
        <v>0</v>
      </c>
      <c r="AE862">
        <v>0</v>
      </c>
      <c r="AH862">
        <v>0</v>
      </c>
      <c r="AK862">
        <v>0</v>
      </c>
      <c r="AN862">
        <v>0</v>
      </c>
      <c r="AQ862">
        <v>0</v>
      </c>
      <c r="AT862" s="241">
        <v>0</v>
      </c>
      <c r="AW862">
        <v>0</v>
      </c>
      <c r="AZ862">
        <v>0</v>
      </c>
      <c r="BC862">
        <v>0</v>
      </c>
      <c r="BF862">
        <v>0</v>
      </c>
      <c r="BI862">
        <v>0</v>
      </c>
      <c r="BL862">
        <v>0</v>
      </c>
      <c r="BO862">
        <v>0</v>
      </c>
      <c r="BR862">
        <v>0</v>
      </c>
      <c r="BU862">
        <v>0</v>
      </c>
      <c r="BX862">
        <v>0</v>
      </c>
      <c r="CA862">
        <v>0</v>
      </c>
      <c r="CD862">
        <v>0</v>
      </c>
      <c r="CG862">
        <v>0</v>
      </c>
      <c r="CJ862">
        <v>0</v>
      </c>
      <c r="CM862">
        <v>0</v>
      </c>
      <c r="CP862">
        <v>0</v>
      </c>
      <c r="CS862">
        <v>0</v>
      </c>
      <c r="CV862">
        <v>0</v>
      </c>
      <c r="CY862">
        <v>0</v>
      </c>
      <c r="DB862">
        <v>0</v>
      </c>
    </row>
    <row r="863" spans="1:110" x14ac:dyDescent="0.25">
      <c r="A863" s="6"/>
      <c r="B863" s="16" t="s">
        <v>1184</v>
      </c>
      <c r="C863" s="6"/>
      <c r="D863" s="13"/>
      <c r="E863" s="12"/>
      <c r="F863" s="12"/>
      <c r="G863" s="12"/>
      <c r="H863" s="12">
        <v>0</v>
      </c>
      <c r="I863" s="12">
        <v>0</v>
      </c>
      <c r="J863" s="12">
        <v>0</v>
      </c>
      <c r="K863" s="12">
        <v>0</v>
      </c>
      <c r="L863" s="12"/>
      <c r="N863" s="241">
        <f>P863+S863+V863+Y863+AB863+AE863+AH863+AK863+AN863+AQ863+AW863+AZ863+BC863+BF863+BI863+BL863+BO863+BR863+BU863+BX863+CA863+CD863+CG863+CJ863+AT863+DE863</f>
        <v>0</v>
      </c>
      <c r="O863" s="241">
        <f t="shared" si="2171"/>
        <v>0</v>
      </c>
      <c r="S863">
        <v>0</v>
      </c>
      <c r="V863">
        <v>0</v>
      </c>
      <c r="Y863">
        <v>0</v>
      </c>
      <c r="AB863">
        <v>0</v>
      </c>
      <c r="AE863">
        <v>0</v>
      </c>
      <c r="AH863">
        <v>0</v>
      </c>
      <c r="AK863">
        <v>0</v>
      </c>
      <c r="AN863">
        <v>0</v>
      </c>
      <c r="AQ863">
        <v>0</v>
      </c>
      <c r="AT863" s="241">
        <v>0</v>
      </c>
      <c r="AW863">
        <v>0</v>
      </c>
      <c r="AZ863">
        <v>0</v>
      </c>
      <c r="BC863">
        <v>0</v>
      </c>
      <c r="BF863">
        <v>0</v>
      </c>
      <c r="BI863">
        <v>0</v>
      </c>
      <c r="BL863">
        <v>0</v>
      </c>
      <c r="BO863">
        <v>0</v>
      </c>
      <c r="BR863">
        <v>0</v>
      </c>
      <c r="BU863">
        <v>0</v>
      </c>
      <c r="BX863">
        <v>0</v>
      </c>
      <c r="CA863">
        <v>0</v>
      </c>
      <c r="CD863">
        <v>0</v>
      </c>
      <c r="CG863">
        <v>0</v>
      </c>
      <c r="CJ863">
        <v>0</v>
      </c>
      <c r="CM863">
        <v>0</v>
      </c>
      <c r="CP863">
        <v>0</v>
      </c>
      <c r="CS863">
        <v>0</v>
      </c>
      <c r="CV863">
        <v>0</v>
      </c>
      <c r="CY863">
        <v>0</v>
      </c>
      <c r="DB863">
        <v>0</v>
      </c>
      <c r="DE863">
        <v>0</v>
      </c>
    </row>
    <row r="864" spans="1:110" ht="75" x14ac:dyDescent="0.25">
      <c r="A864" s="6"/>
      <c r="B864" s="16" t="s">
        <v>590</v>
      </c>
      <c r="C864" s="6"/>
      <c r="D864" s="13" t="s">
        <v>1111</v>
      </c>
      <c r="E864" s="12"/>
      <c r="F864" s="12"/>
      <c r="G864" s="12"/>
      <c r="H864" s="12"/>
      <c r="I864" s="12"/>
      <c r="J864" s="12"/>
      <c r="K864" s="12"/>
      <c r="L864" s="12"/>
      <c r="O864" s="241"/>
    </row>
    <row r="865" spans="1:110" ht="30" x14ac:dyDescent="0.25">
      <c r="A865" s="6"/>
      <c r="B865" s="16" t="s">
        <v>588</v>
      </c>
      <c r="C865" s="6" t="s">
        <v>1590</v>
      </c>
      <c r="D865" s="13"/>
      <c r="E865" s="12"/>
      <c r="F865" s="12"/>
      <c r="G865" s="12"/>
      <c r="H865" s="12"/>
      <c r="I865" s="12"/>
      <c r="J865" s="12"/>
      <c r="K865" s="12"/>
      <c r="L865" s="12"/>
      <c r="O865" s="241"/>
    </row>
    <row r="866" spans="1:110" x14ac:dyDescent="0.25">
      <c r="A866" s="6"/>
      <c r="B866" s="16" t="s">
        <v>1182</v>
      </c>
      <c r="C866" s="6"/>
      <c r="D866" s="13"/>
      <c r="E866" s="12"/>
      <c r="F866" s="12">
        <v>251736</v>
      </c>
      <c r="G866" s="12">
        <v>292547</v>
      </c>
      <c r="H866" s="12">
        <v>275204</v>
      </c>
      <c r="I866" s="12">
        <f>311444-34000</f>
        <v>277444</v>
      </c>
      <c r="J866" s="12">
        <v>310710</v>
      </c>
      <c r="K866" s="12">
        <f>K836</f>
        <v>294465</v>
      </c>
      <c r="L866" s="12">
        <f>L836</f>
        <v>329348</v>
      </c>
      <c r="N866" s="241">
        <f>P866+S866+V866+Y866+AB866+AE866+AH866+AK866+AN866+AQ866+AW866+AZ866+BC866+BF866+BI866+BL866+BO866+BR866+BU866+BX866+CA866+CD866+CG866+CJ866+AT866+DE866</f>
        <v>292879</v>
      </c>
      <c r="O866" s="241">
        <f t="shared" ref="O866:O867" si="2172">Q866+T866+W866+Z866+AC866+AF866+AI866+AL866+AO866+AR866+AX866+BA866+BD866+BG866+BJ866+BM866+BP866+BS866+BV866+BY866+CB866+CE866+CH866+CK866+AU866+CN866+CQ866+DF866</f>
        <v>26834</v>
      </c>
      <c r="P866">
        <f>P836</f>
        <v>21552</v>
      </c>
      <c r="Q866" s="241">
        <f t="shared" ref="Q866" si="2173">Q836</f>
        <v>26834</v>
      </c>
      <c r="S866" s="241">
        <f>S836</f>
        <v>25036</v>
      </c>
      <c r="T866" s="241">
        <f t="shared" ref="T866:T867" si="2174">T836</f>
        <v>0</v>
      </c>
      <c r="V866" s="241">
        <f>V836</f>
        <v>14917</v>
      </c>
      <c r="W866" s="241">
        <f t="shared" ref="W866:W867" si="2175">W836</f>
        <v>0</v>
      </c>
      <c r="Y866" s="241">
        <f>Y836</f>
        <v>46940</v>
      </c>
      <c r="Z866" s="241">
        <f t="shared" ref="Z866:Z867" si="2176">Z836</f>
        <v>0</v>
      </c>
      <c r="AB866" s="241">
        <f>AB836</f>
        <v>18709</v>
      </c>
      <c r="AC866" s="241">
        <f t="shared" ref="AC866" si="2177">AC836</f>
        <v>0</v>
      </c>
      <c r="AE866" s="241">
        <f>AE836</f>
        <v>6129</v>
      </c>
      <c r="AF866" s="241">
        <f t="shared" ref="AF866" si="2178">AF836</f>
        <v>0</v>
      </c>
      <c r="AH866" s="241">
        <f>AH836</f>
        <v>2658</v>
      </c>
      <c r="AI866" s="241">
        <f t="shared" ref="AI866" si="2179">AI836</f>
        <v>0</v>
      </c>
      <c r="AK866" s="241">
        <f>AK836</f>
        <v>8214</v>
      </c>
      <c r="AL866" s="241">
        <f t="shared" ref="AL866" si="2180">AL836</f>
        <v>0</v>
      </c>
      <c r="AN866" s="241">
        <f>AN836</f>
        <v>0</v>
      </c>
      <c r="AO866" s="241">
        <f t="shared" ref="AO866" si="2181">AO836</f>
        <v>0</v>
      </c>
      <c r="AQ866" s="241">
        <f>AQ836</f>
        <v>9006</v>
      </c>
      <c r="AR866" s="241">
        <f t="shared" ref="AR866" si="2182">AR836</f>
        <v>0</v>
      </c>
      <c r="AT866" s="241">
        <f>AT836</f>
        <v>1738</v>
      </c>
      <c r="AU866" s="241">
        <f t="shared" ref="AU866" si="2183">AU836</f>
        <v>0</v>
      </c>
      <c r="AW866" s="241">
        <f>AW836</f>
        <v>8924</v>
      </c>
      <c r="AX866" s="241">
        <f t="shared" ref="AX866" si="2184">AX836</f>
        <v>0</v>
      </c>
      <c r="AZ866" s="241">
        <f>AZ836</f>
        <v>10418</v>
      </c>
      <c r="BA866" s="241">
        <f t="shared" ref="BA866" si="2185">BA836</f>
        <v>0</v>
      </c>
      <c r="BC866" s="241">
        <f>BC836</f>
        <v>12296</v>
      </c>
      <c r="BD866" s="241">
        <f t="shared" ref="BD866" si="2186">BD836</f>
        <v>0</v>
      </c>
      <c r="BF866" s="241">
        <f>BF836</f>
        <v>10975</v>
      </c>
      <c r="BG866" s="241">
        <f t="shared" ref="BG866" si="2187">BG836</f>
        <v>0</v>
      </c>
      <c r="BI866" s="241">
        <f>BI836</f>
        <v>5738</v>
      </c>
      <c r="BJ866" s="241">
        <f t="shared" ref="BJ866" si="2188">BJ836</f>
        <v>0</v>
      </c>
      <c r="BL866" s="241">
        <f>BL836</f>
        <v>15534</v>
      </c>
      <c r="BM866" s="241">
        <f t="shared" ref="BM866" si="2189">BM836</f>
        <v>0</v>
      </c>
      <c r="BO866" s="241">
        <f>BO836</f>
        <v>11892</v>
      </c>
      <c r="BP866" s="241">
        <f t="shared" ref="BP866" si="2190">BP836</f>
        <v>0</v>
      </c>
      <c r="BR866" s="241">
        <f>BR836</f>
        <v>10195</v>
      </c>
      <c r="BS866" s="241">
        <f t="shared" ref="BS866" si="2191">BS836</f>
        <v>0</v>
      </c>
      <c r="BU866" s="241">
        <f>BU836</f>
        <v>11117</v>
      </c>
      <c r="BV866" s="241">
        <f t="shared" ref="BV866" si="2192">BV836</f>
        <v>0</v>
      </c>
      <c r="BX866" s="241">
        <f>BX836</f>
        <v>8960</v>
      </c>
      <c r="BY866" s="241">
        <f t="shared" ref="BY866" si="2193">BY836</f>
        <v>0</v>
      </c>
      <c r="CA866" s="241">
        <f>CA836</f>
        <v>20423</v>
      </c>
      <c r="CB866" s="241">
        <f t="shared" ref="CB866" si="2194">CB836</f>
        <v>0</v>
      </c>
      <c r="CD866" s="241">
        <f>CD836</f>
        <v>3340</v>
      </c>
      <c r="CE866" s="241">
        <f t="shared" ref="CE866" si="2195">CE836</f>
        <v>0</v>
      </c>
      <c r="CG866" s="241">
        <f>CG836</f>
        <v>8168</v>
      </c>
      <c r="CH866" s="241">
        <f t="shared" ref="CH866" si="2196">CH836</f>
        <v>0</v>
      </c>
      <c r="CJ866" s="241">
        <f>CJ836</f>
        <v>0</v>
      </c>
      <c r="CK866" s="241">
        <f t="shared" ref="CK866" si="2197">CK836</f>
        <v>0</v>
      </c>
      <c r="CM866" s="241">
        <f>CM836</f>
        <v>545</v>
      </c>
      <c r="CN866" s="241">
        <f t="shared" ref="CN866" si="2198">CN836</f>
        <v>0</v>
      </c>
      <c r="CP866" s="241">
        <f>CP836</f>
        <v>1041</v>
      </c>
      <c r="CQ866" s="241">
        <f t="shared" ref="CQ866" si="2199">CQ836</f>
        <v>0</v>
      </c>
      <c r="CS866" s="241">
        <f>CS836</f>
        <v>8669</v>
      </c>
      <c r="CT866" s="241">
        <f t="shared" ref="CT866" si="2200">CT836</f>
        <v>0</v>
      </c>
      <c r="CV866" s="241">
        <f>CV836</f>
        <v>5027</v>
      </c>
      <c r="CW866" s="241">
        <f t="shared" ref="CW866" si="2201">CW836</f>
        <v>0</v>
      </c>
      <c r="CY866" s="241">
        <f>CY836</f>
        <v>11728</v>
      </c>
      <c r="CZ866" s="241">
        <f t="shared" ref="CZ866" si="2202">CZ836</f>
        <v>0</v>
      </c>
      <c r="DB866" s="241">
        <f>DB836</f>
        <v>5162</v>
      </c>
      <c r="DC866" s="241">
        <f t="shared" ref="DC866" si="2203">DC836</f>
        <v>0</v>
      </c>
      <c r="DE866" s="241">
        <f>DE836</f>
        <v>0</v>
      </c>
      <c r="DF866" s="241">
        <f t="shared" ref="DF866" si="2204">DF836</f>
        <v>0</v>
      </c>
    </row>
    <row r="867" spans="1:110" x14ac:dyDescent="0.25">
      <c r="A867" s="6"/>
      <c r="B867" s="16" t="s">
        <v>1184</v>
      </c>
      <c r="C867" s="6"/>
      <c r="D867" s="13"/>
      <c r="E867" s="12"/>
      <c r="F867" s="12">
        <v>4323</v>
      </c>
      <c r="G867" s="12">
        <v>4323</v>
      </c>
      <c r="H867" s="12">
        <v>4323</v>
      </c>
      <c r="I867" s="12">
        <v>4323</v>
      </c>
      <c r="J867" s="12">
        <v>4795</v>
      </c>
      <c r="K867" s="12">
        <f>K837</f>
        <v>4795</v>
      </c>
      <c r="L867" s="12">
        <f>L837</f>
        <v>6889</v>
      </c>
      <c r="N867" s="241">
        <f>P867+S867+V867+Y867+AB867+AE867+AH867+AK867+AN867+AQ867+AW867+AZ867+BC867+BF867+BI867+BL867+BO867+BR867+BU867+BX867+CA867+CD867+CG867+CJ867+AT867+DE867</f>
        <v>4795</v>
      </c>
      <c r="O867" s="241">
        <f t="shared" si="2172"/>
        <v>6235</v>
      </c>
      <c r="P867" s="241"/>
      <c r="Q867" s="241"/>
      <c r="S867" s="241">
        <f t="shared" ref="S867" si="2205">S837</f>
        <v>0</v>
      </c>
      <c r="T867" s="241">
        <f t="shared" si="2174"/>
        <v>0</v>
      </c>
      <c r="V867" s="241">
        <f t="shared" ref="V867" si="2206">V837</f>
        <v>0</v>
      </c>
      <c r="W867" s="241">
        <f t="shared" si="2175"/>
        <v>0</v>
      </c>
      <c r="Y867" s="241">
        <f t="shared" ref="Y867" si="2207">Y837</f>
        <v>0</v>
      </c>
      <c r="Z867" s="241">
        <f t="shared" si="2176"/>
        <v>0</v>
      </c>
      <c r="AB867" s="241">
        <f t="shared" ref="AB867:AC867" si="2208">AB837</f>
        <v>0</v>
      </c>
      <c r="AC867" s="241">
        <f t="shared" si="2208"/>
        <v>0</v>
      </c>
      <c r="AE867" s="241">
        <f t="shared" ref="AE867:AF867" si="2209">AE837</f>
        <v>0</v>
      </c>
      <c r="AF867" s="241">
        <f t="shared" si="2209"/>
        <v>0</v>
      </c>
      <c r="AH867" s="241">
        <f t="shared" ref="AH867:AI867" si="2210">AH837</f>
        <v>0</v>
      </c>
      <c r="AI867" s="241">
        <f t="shared" si="2210"/>
        <v>0</v>
      </c>
      <c r="AK867" s="241">
        <f t="shared" ref="AK867:AL867" si="2211">AK837</f>
        <v>0</v>
      </c>
      <c r="AL867" s="241">
        <f t="shared" si="2211"/>
        <v>0</v>
      </c>
      <c r="AN867" s="241">
        <f t="shared" ref="AN867:AO867" si="2212">AN837</f>
        <v>0</v>
      </c>
      <c r="AO867" s="241">
        <f t="shared" si="2212"/>
        <v>0</v>
      </c>
      <c r="AQ867" s="241">
        <f t="shared" ref="AQ867:AR867" si="2213">AQ837</f>
        <v>0</v>
      </c>
      <c r="AR867" s="241">
        <f t="shared" si="2213"/>
        <v>0</v>
      </c>
      <c r="AT867" s="241">
        <f t="shared" ref="AT867:AU867" si="2214">AT837</f>
        <v>0</v>
      </c>
      <c r="AU867" s="241">
        <f t="shared" si="2214"/>
        <v>0</v>
      </c>
      <c r="AW867" s="241">
        <f t="shared" ref="AW867:AX867" si="2215">AW837</f>
        <v>0</v>
      </c>
      <c r="AX867" s="241">
        <f t="shared" si="2215"/>
        <v>0</v>
      </c>
      <c r="AZ867" s="241">
        <f t="shared" ref="AZ867:BA867" si="2216">AZ837</f>
        <v>0</v>
      </c>
      <c r="BA867" s="241">
        <f t="shared" si="2216"/>
        <v>0</v>
      </c>
      <c r="BC867" s="241">
        <f t="shared" ref="BC867:BD867" si="2217">BC837</f>
        <v>0</v>
      </c>
      <c r="BD867" s="241">
        <f t="shared" si="2217"/>
        <v>0</v>
      </c>
      <c r="BF867" s="241">
        <f t="shared" ref="BF867:BG867" si="2218">BF837</f>
        <v>0</v>
      </c>
      <c r="BG867" s="241">
        <f t="shared" si="2218"/>
        <v>0</v>
      </c>
      <c r="BI867" s="241">
        <f t="shared" ref="BI867:BJ867" si="2219">BI837</f>
        <v>0</v>
      </c>
      <c r="BJ867" s="241">
        <f t="shared" si="2219"/>
        <v>0</v>
      </c>
      <c r="BL867" s="241">
        <f t="shared" ref="BL867:BM867" si="2220">BL837</f>
        <v>0</v>
      </c>
      <c r="BM867" s="241">
        <f t="shared" si="2220"/>
        <v>0</v>
      </c>
      <c r="BO867" s="241">
        <f t="shared" ref="BO867:BP867" si="2221">BO837</f>
        <v>0</v>
      </c>
      <c r="BP867" s="241">
        <f t="shared" si="2221"/>
        <v>0</v>
      </c>
      <c r="BR867" s="241">
        <f t="shared" ref="BR867:BS867" si="2222">BR837</f>
        <v>0</v>
      </c>
      <c r="BS867" s="241">
        <f t="shared" si="2222"/>
        <v>0</v>
      </c>
      <c r="BU867" s="241">
        <f t="shared" ref="BU867:BV867" si="2223">BU837</f>
        <v>0</v>
      </c>
      <c r="BV867" s="241">
        <f t="shared" si="2223"/>
        <v>0</v>
      </c>
      <c r="BX867" s="241">
        <f t="shared" ref="BX867:BY867" si="2224">BX837</f>
        <v>0</v>
      </c>
      <c r="BY867" s="241">
        <f t="shared" si="2224"/>
        <v>0</v>
      </c>
      <c r="CA867" s="241">
        <f t="shared" ref="CA867:CB867" si="2225">CA837</f>
        <v>0</v>
      </c>
      <c r="CB867" s="241">
        <f t="shared" si="2225"/>
        <v>0</v>
      </c>
      <c r="CD867" s="241">
        <f t="shared" ref="CD867:CE867" si="2226">CD837</f>
        <v>0</v>
      </c>
      <c r="CE867" s="241">
        <f t="shared" si="2226"/>
        <v>0</v>
      </c>
      <c r="CG867" s="241">
        <f t="shared" ref="CG867:CH867" si="2227">CG837</f>
        <v>0</v>
      </c>
      <c r="CH867" s="241">
        <f t="shared" si="2227"/>
        <v>0</v>
      </c>
      <c r="CJ867" s="241">
        <f t="shared" ref="CJ867:CK867" si="2228">CJ837</f>
        <v>0</v>
      </c>
      <c r="CK867" s="241">
        <f t="shared" si="2228"/>
        <v>0</v>
      </c>
      <c r="CM867" s="241">
        <f t="shared" ref="CM867:CN867" si="2229">CM837</f>
        <v>0</v>
      </c>
      <c r="CN867" s="241">
        <f t="shared" si="2229"/>
        <v>0</v>
      </c>
      <c r="CP867" s="241">
        <f t="shared" ref="CP867:CQ867" si="2230">CP837</f>
        <v>0</v>
      </c>
      <c r="CQ867" s="241">
        <f t="shared" si="2230"/>
        <v>0</v>
      </c>
      <c r="CS867" s="241">
        <f t="shared" ref="CS867:CT867" si="2231">CS837</f>
        <v>0</v>
      </c>
      <c r="CT867" s="241">
        <f t="shared" si="2231"/>
        <v>0</v>
      </c>
      <c r="CV867" s="241">
        <f t="shared" ref="CV867:CW867" si="2232">CV837</f>
        <v>0</v>
      </c>
      <c r="CW867" s="241">
        <f t="shared" si="2232"/>
        <v>0</v>
      </c>
      <c r="CY867" s="241">
        <f t="shared" ref="CY867:CZ867" si="2233">CY837</f>
        <v>0</v>
      </c>
      <c r="CZ867" s="241">
        <f t="shared" si="2233"/>
        <v>0</v>
      </c>
      <c r="DB867" s="241">
        <f t="shared" ref="DB867:DC867" si="2234">DB837</f>
        <v>0</v>
      </c>
      <c r="DC867" s="241">
        <f t="shared" si="2234"/>
        <v>0</v>
      </c>
      <c r="DE867" s="241">
        <f t="shared" ref="DE867:DF867" si="2235">DE837</f>
        <v>4795</v>
      </c>
      <c r="DF867" s="241">
        <f t="shared" si="2235"/>
        <v>6235</v>
      </c>
    </row>
    <row r="868" spans="1:110" ht="30" x14ac:dyDescent="0.25">
      <c r="A868" s="6"/>
      <c r="B868" s="16" t="s">
        <v>591</v>
      </c>
      <c r="C868" s="6" t="s">
        <v>1586</v>
      </c>
      <c r="D868" s="13"/>
      <c r="E868" s="12"/>
      <c r="F868" s="12"/>
      <c r="G868" s="12"/>
      <c r="H868" s="12"/>
      <c r="I868" s="12"/>
      <c r="J868" s="12"/>
      <c r="K868" s="12"/>
      <c r="L868" s="12"/>
      <c r="O868" s="241"/>
      <c r="S868" s="241"/>
      <c r="T868" s="241"/>
      <c r="V868" s="241"/>
      <c r="W868" s="241"/>
      <c r="Y868" s="241"/>
      <c r="Z868" s="241"/>
      <c r="AB868" s="241"/>
      <c r="AC868" s="241"/>
      <c r="AE868" s="241"/>
      <c r="AF868" s="241"/>
      <c r="AH868" s="241"/>
      <c r="AI868" s="241"/>
      <c r="AK868" s="241"/>
      <c r="AL868" s="241"/>
      <c r="AN868" s="241"/>
      <c r="AO868" s="241"/>
      <c r="AQ868" s="241"/>
      <c r="AR868" s="241"/>
      <c r="AW868" s="241"/>
      <c r="AX868" s="241"/>
      <c r="AZ868" s="241"/>
      <c r="BA868" s="241"/>
      <c r="BC868" s="241"/>
      <c r="BD868" s="241"/>
      <c r="BF868" s="241"/>
      <c r="BG868" s="241"/>
      <c r="BI868" s="241"/>
      <c r="BJ868" s="241"/>
      <c r="BL868" s="241"/>
      <c r="BM868" s="241"/>
      <c r="BO868" s="241"/>
      <c r="BP868" s="241"/>
      <c r="BR868" s="241"/>
      <c r="BS868" s="241"/>
      <c r="BU868" s="241"/>
      <c r="BV868" s="241"/>
      <c r="BX868" s="241"/>
      <c r="BY868" s="241"/>
      <c r="CA868" s="241"/>
      <c r="CB868" s="241"/>
      <c r="CD868" s="241"/>
      <c r="CE868" s="241"/>
      <c r="CG868" s="241"/>
      <c r="CH868" s="241"/>
      <c r="CJ868" s="241"/>
      <c r="CK868" s="241"/>
      <c r="CM868" s="241"/>
      <c r="CN868" s="241"/>
      <c r="CP868" s="241"/>
      <c r="CQ868" s="241"/>
      <c r="CS868" s="241"/>
      <c r="CT868" s="241"/>
      <c r="CV868" s="241"/>
      <c r="CW868" s="241"/>
      <c r="CY868" s="241"/>
      <c r="CZ868" s="241"/>
      <c r="DB868" s="241"/>
      <c r="DC868" s="241"/>
      <c r="DE868" s="241"/>
      <c r="DF868" s="241"/>
    </row>
    <row r="869" spans="1:110" x14ac:dyDescent="0.25">
      <c r="A869" s="6"/>
      <c r="B869" s="16" t="s">
        <v>1182</v>
      </c>
      <c r="C869" s="6"/>
      <c r="D869" s="13"/>
      <c r="E869" s="12"/>
      <c r="F869" s="12"/>
      <c r="G869" s="12"/>
      <c r="H869" s="12">
        <v>63570</v>
      </c>
      <c r="I869" s="12">
        <v>63570</v>
      </c>
      <c r="J869" s="12">
        <v>68786</v>
      </c>
      <c r="K869" s="12">
        <f>K842</f>
        <v>68686</v>
      </c>
      <c r="L869" s="12">
        <f>L842</f>
        <v>68155</v>
      </c>
      <c r="N869" s="241">
        <f>P869+S869+V869+Y869+AB869+AE869+AH869+AK869+AN869+AQ869+AW869+AZ869+BC869+BF869+BI869+BL869+BO869+BR869+BU869+BX869+CA869+CD869+CG869+CJ869+AT869+DE869</f>
        <v>68686</v>
      </c>
      <c r="O869" s="241">
        <f t="shared" ref="O869:O870" si="2236">Q869+T869+W869+Z869+AC869+AF869+AI869+AL869+AO869+AR869+AX869+BA869+BD869+BG869+BJ869+BM869+BP869+BS869+BV869+BY869+CB869+CE869+CH869+CK869+AU869+CN869+CQ869+DF869</f>
        <v>11328</v>
      </c>
      <c r="P869">
        <f>P842</f>
        <v>11328</v>
      </c>
      <c r="Q869" s="241">
        <f t="shared" ref="Q869" si="2237">Q842</f>
        <v>11328</v>
      </c>
      <c r="S869" s="241">
        <f>S842</f>
        <v>9593</v>
      </c>
      <c r="T869" s="241">
        <f t="shared" ref="T869:T870" si="2238">T842</f>
        <v>0</v>
      </c>
      <c r="V869" s="241">
        <f>V842</f>
        <v>4072</v>
      </c>
      <c r="W869" s="241">
        <f t="shared" ref="W869:W870" si="2239">W842</f>
        <v>0</v>
      </c>
      <c r="Y869" s="241">
        <f>Y842</f>
        <v>5043</v>
      </c>
      <c r="Z869" s="241">
        <f t="shared" ref="Z869:Z870" si="2240">Z842</f>
        <v>0</v>
      </c>
      <c r="AB869" s="241">
        <f>AB842</f>
        <v>14255</v>
      </c>
      <c r="AC869" s="241">
        <f t="shared" ref="AC869" si="2241">AC842</f>
        <v>0</v>
      </c>
      <c r="AE869" s="241">
        <f>AE842</f>
        <v>0</v>
      </c>
      <c r="AF869" s="241">
        <f t="shared" ref="AF869" si="2242">AF842</f>
        <v>0</v>
      </c>
      <c r="AH869" s="241">
        <f>AH842</f>
        <v>748</v>
      </c>
      <c r="AI869" s="241">
        <f t="shared" ref="AI869" si="2243">AI842</f>
        <v>0</v>
      </c>
      <c r="AK869" s="241">
        <f>AK842</f>
        <v>695</v>
      </c>
      <c r="AL869" s="241">
        <f t="shared" ref="AL869" si="2244">AL842</f>
        <v>0</v>
      </c>
      <c r="AN869" s="241">
        <f>AN842</f>
        <v>0</v>
      </c>
      <c r="AO869" s="241">
        <f t="shared" ref="AO869" si="2245">AO842</f>
        <v>0</v>
      </c>
      <c r="AQ869" s="241">
        <f>AQ842</f>
        <v>0</v>
      </c>
      <c r="AR869" s="241">
        <f t="shared" ref="AR869" si="2246">AR842</f>
        <v>0</v>
      </c>
      <c r="AT869" s="241">
        <f>AT842</f>
        <v>0</v>
      </c>
      <c r="AU869" s="241">
        <f t="shared" ref="AU869" si="2247">AU842</f>
        <v>0</v>
      </c>
      <c r="AW869" s="241">
        <f>AW842</f>
        <v>3137</v>
      </c>
      <c r="AX869" s="241">
        <f t="shared" ref="AX869" si="2248">AX842</f>
        <v>0</v>
      </c>
      <c r="AZ869" s="241">
        <f>AZ842</f>
        <v>0</v>
      </c>
      <c r="BA869" s="241">
        <f t="shared" ref="BA869" si="2249">BA842</f>
        <v>0</v>
      </c>
      <c r="BC869" s="241">
        <f>BC842</f>
        <v>425</v>
      </c>
      <c r="BD869" s="241">
        <f t="shared" ref="BD869" si="2250">BD842</f>
        <v>0</v>
      </c>
      <c r="BF869" s="241">
        <f>BF842</f>
        <v>6728</v>
      </c>
      <c r="BG869" s="241">
        <f t="shared" ref="BG869" si="2251">BG842</f>
        <v>0</v>
      </c>
      <c r="BI869" s="241">
        <f>BI842</f>
        <v>600</v>
      </c>
      <c r="BJ869" s="241">
        <f t="shared" ref="BJ869" si="2252">BJ842</f>
        <v>0</v>
      </c>
      <c r="BL869" s="241">
        <f>BL842</f>
        <v>0</v>
      </c>
      <c r="BM869" s="241">
        <f t="shared" ref="BM869" si="2253">BM842</f>
        <v>0</v>
      </c>
      <c r="BO869" s="241">
        <f>BO842</f>
        <v>2279</v>
      </c>
      <c r="BP869" s="241">
        <f t="shared" ref="BP869" si="2254">BP842</f>
        <v>0</v>
      </c>
      <c r="BR869" s="241">
        <f>BR842</f>
        <v>0</v>
      </c>
      <c r="BS869" s="241">
        <f t="shared" ref="BS869" si="2255">BS842</f>
        <v>0</v>
      </c>
      <c r="BU869" s="241">
        <f>BU842</f>
        <v>0</v>
      </c>
      <c r="BV869" s="241">
        <f t="shared" ref="BV869" si="2256">BV842</f>
        <v>0</v>
      </c>
      <c r="BX869" s="241">
        <f>BX842</f>
        <v>3136</v>
      </c>
      <c r="BY869" s="241">
        <f t="shared" ref="BY869" si="2257">BY842</f>
        <v>0</v>
      </c>
      <c r="CA869" s="241">
        <f>CA842</f>
        <v>4991</v>
      </c>
      <c r="CB869" s="241">
        <f t="shared" ref="CB869" si="2258">CB842</f>
        <v>0</v>
      </c>
      <c r="CD869" s="241">
        <f>CD842</f>
        <v>0</v>
      </c>
      <c r="CE869" s="241">
        <f t="shared" ref="CE869" si="2259">CE842</f>
        <v>0</v>
      </c>
      <c r="CG869" s="241">
        <f>CG842</f>
        <v>1656</v>
      </c>
      <c r="CH869" s="241">
        <f t="shared" ref="CH869" si="2260">CH842</f>
        <v>0</v>
      </c>
      <c r="CJ869" s="241">
        <f>CJ842</f>
        <v>0</v>
      </c>
      <c r="CK869" s="241">
        <f t="shared" ref="CK869" si="2261">CK842</f>
        <v>0</v>
      </c>
      <c r="CM869" s="241">
        <f>CM842</f>
        <v>0</v>
      </c>
      <c r="CN869" s="241">
        <f t="shared" ref="CN869" si="2262">CN842</f>
        <v>0</v>
      </c>
      <c r="CP869" s="241">
        <f>CP842</f>
        <v>0</v>
      </c>
      <c r="CQ869" s="241">
        <f t="shared" ref="CQ869" si="2263">CQ842</f>
        <v>0</v>
      </c>
      <c r="CS869" s="241">
        <f>CS842</f>
        <v>0</v>
      </c>
      <c r="CT869" s="241">
        <f t="shared" ref="CT869" si="2264">CT842</f>
        <v>0</v>
      </c>
      <c r="CV869" s="241">
        <f>CV842</f>
        <v>0</v>
      </c>
      <c r="CW869" s="241">
        <f t="shared" ref="CW869" si="2265">CW842</f>
        <v>0</v>
      </c>
      <c r="CY869" s="241">
        <f>CY842</f>
        <v>0</v>
      </c>
      <c r="CZ869" s="241">
        <f t="shared" ref="CZ869" si="2266">CZ842</f>
        <v>0</v>
      </c>
      <c r="DB869" s="241">
        <f>DB842</f>
        <v>0</v>
      </c>
      <c r="DC869" s="241">
        <f t="shared" ref="DC869" si="2267">DC842</f>
        <v>0</v>
      </c>
      <c r="DE869" s="241">
        <f>DE842</f>
        <v>0</v>
      </c>
      <c r="DF869" s="241">
        <f t="shared" ref="DF869" si="2268">DF842</f>
        <v>0</v>
      </c>
    </row>
    <row r="870" spans="1:110" x14ac:dyDescent="0.25">
      <c r="A870" s="6"/>
      <c r="B870" s="16" t="s">
        <v>1184</v>
      </c>
      <c r="C870" s="6"/>
      <c r="D870" s="13"/>
      <c r="E870" s="12"/>
      <c r="F870" s="12"/>
      <c r="G870" s="12"/>
      <c r="H870" s="12">
        <v>0</v>
      </c>
      <c r="I870" s="12">
        <v>0</v>
      </c>
      <c r="J870" s="12">
        <v>0</v>
      </c>
      <c r="K870" s="12">
        <f>K843</f>
        <v>0</v>
      </c>
      <c r="L870" s="12">
        <f>L843</f>
        <v>0</v>
      </c>
      <c r="N870" s="241">
        <f>P870+S870+V870+Y870+AB870+AE870+AH870+AK870+AN870+AQ870+AW870+AZ870+BC870+BF870+BI870+BL870+BO870+BR870+BU870+BX870+CA870+CD870+CG870+CJ870+AT870+DE870</f>
        <v>0</v>
      </c>
      <c r="O870" s="241">
        <f t="shared" si="2236"/>
        <v>0</v>
      </c>
      <c r="P870" s="241"/>
      <c r="Q870" s="241"/>
      <c r="S870" s="241">
        <f t="shared" ref="S870" si="2269">S843</f>
        <v>0</v>
      </c>
      <c r="T870" s="241">
        <f t="shared" si="2238"/>
        <v>0</v>
      </c>
      <c r="V870" s="241">
        <f t="shared" ref="V870" si="2270">V843</f>
        <v>0</v>
      </c>
      <c r="W870" s="241">
        <f t="shared" si="2239"/>
        <v>0</v>
      </c>
      <c r="Y870" s="241">
        <f t="shared" ref="Y870" si="2271">Y843</f>
        <v>0</v>
      </c>
      <c r="Z870" s="241">
        <f t="shared" si="2240"/>
        <v>0</v>
      </c>
      <c r="AB870" s="241">
        <f t="shared" ref="AB870:AC870" si="2272">AB843</f>
        <v>0</v>
      </c>
      <c r="AC870" s="241">
        <f t="shared" si="2272"/>
        <v>0</v>
      </c>
      <c r="AE870" s="241">
        <f t="shared" ref="AE870:AF870" si="2273">AE843</f>
        <v>0</v>
      </c>
      <c r="AF870" s="241">
        <f t="shared" si="2273"/>
        <v>0</v>
      </c>
      <c r="AH870" s="241">
        <f t="shared" ref="AH870:AI870" si="2274">AH843</f>
        <v>0</v>
      </c>
      <c r="AI870" s="241">
        <f t="shared" si="2274"/>
        <v>0</v>
      </c>
      <c r="AK870" s="241">
        <f t="shared" ref="AK870:AL870" si="2275">AK843</f>
        <v>0</v>
      </c>
      <c r="AL870" s="241">
        <f t="shared" si="2275"/>
        <v>0</v>
      </c>
      <c r="AN870" s="241">
        <f t="shared" ref="AN870:AO870" si="2276">AN843</f>
        <v>0</v>
      </c>
      <c r="AO870" s="241">
        <f t="shared" si="2276"/>
        <v>0</v>
      </c>
      <c r="AQ870" s="241">
        <f t="shared" ref="AQ870:AR870" si="2277">AQ843</f>
        <v>0</v>
      </c>
      <c r="AR870" s="241">
        <f t="shared" si="2277"/>
        <v>0</v>
      </c>
      <c r="AT870" s="241">
        <f t="shared" ref="AT870:AU870" si="2278">AT843</f>
        <v>0</v>
      </c>
      <c r="AU870" s="241">
        <f t="shared" si="2278"/>
        <v>0</v>
      </c>
      <c r="AW870" s="241">
        <f t="shared" ref="AW870:AX870" si="2279">AW843</f>
        <v>0</v>
      </c>
      <c r="AX870" s="241">
        <f t="shared" si="2279"/>
        <v>0</v>
      </c>
      <c r="AZ870" s="241">
        <f t="shared" ref="AZ870:BA870" si="2280">AZ843</f>
        <v>0</v>
      </c>
      <c r="BA870" s="241">
        <f t="shared" si="2280"/>
        <v>0</v>
      </c>
      <c r="BC870" s="241">
        <f t="shared" ref="BC870:BD870" si="2281">BC843</f>
        <v>0</v>
      </c>
      <c r="BD870" s="241">
        <f t="shared" si="2281"/>
        <v>0</v>
      </c>
      <c r="BF870" s="241">
        <f t="shared" ref="BF870:BG870" si="2282">BF843</f>
        <v>0</v>
      </c>
      <c r="BG870" s="241">
        <f t="shared" si="2282"/>
        <v>0</v>
      </c>
      <c r="BI870" s="241">
        <f t="shared" ref="BI870:BJ870" si="2283">BI843</f>
        <v>0</v>
      </c>
      <c r="BJ870" s="241">
        <f t="shared" si="2283"/>
        <v>0</v>
      </c>
      <c r="BL870" s="241">
        <f t="shared" ref="BL870:BM870" si="2284">BL843</f>
        <v>0</v>
      </c>
      <c r="BM870" s="241">
        <f t="shared" si="2284"/>
        <v>0</v>
      </c>
      <c r="BO870" s="241">
        <f t="shared" ref="BO870:BP870" si="2285">BO843</f>
        <v>0</v>
      </c>
      <c r="BP870" s="241">
        <f t="shared" si="2285"/>
        <v>0</v>
      </c>
      <c r="BR870" s="241">
        <f t="shared" ref="BR870:BS870" si="2286">BR843</f>
        <v>0</v>
      </c>
      <c r="BS870" s="241">
        <f t="shared" si="2286"/>
        <v>0</v>
      </c>
      <c r="BU870" s="241">
        <f t="shared" ref="BU870:BV870" si="2287">BU843</f>
        <v>0</v>
      </c>
      <c r="BV870" s="241">
        <f t="shared" si="2287"/>
        <v>0</v>
      </c>
      <c r="BX870" s="241">
        <f t="shared" ref="BX870:BY870" si="2288">BX843</f>
        <v>0</v>
      </c>
      <c r="BY870" s="241">
        <f t="shared" si="2288"/>
        <v>0</v>
      </c>
      <c r="CA870" s="241">
        <f t="shared" ref="CA870:CB870" si="2289">CA843</f>
        <v>0</v>
      </c>
      <c r="CB870" s="241">
        <f t="shared" si="2289"/>
        <v>0</v>
      </c>
      <c r="CD870" s="241">
        <f t="shared" ref="CD870:CE870" si="2290">CD843</f>
        <v>0</v>
      </c>
      <c r="CE870" s="241">
        <f t="shared" si="2290"/>
        <v>0</v>
      </c>
      <c r="CG870" s="241">
        <f t="shared" ref="CG870:CH870" si="2291">CG843</f>
        <v>0</v>
      </c>
      <c r="CH870" s="241">
        <f t="shared" si="2291"/>
        <v>0</v>
      </c>
      <c r="CJ870" s="241">
        <f t="shared" ref="CJ870:CK870" si="2292">CJ843</f>
        <v>0</v>
      </c>
      <c r="CK870" s="241">
        <f t="shared" si="2292"/>
        <v>0</v>
      </c>
      <c r="CM870" s="241">
        <f t="shared" ref="CM870:CN870" si="2293">CM843</f>
        <v>0</v>
      </c>
      <c r="CN870" s="241">
        <f t="shared" si="2293"/>
        <v>0</v>
      </c>
      <c r="CP870" s="241">
        <f t="shared" ref="CP870:CQ870" si="2294">CP843</f>
        <v>0</v>
      </c>
      <c r="CQ870" s="241">
        <f t="shared" si="2294"/>
        <v>0</v>
      </c>
      <c r="CS870" s="241">
        <f t="shared" ref="CS870:CT870" si="2295">CS843</f>
        <v>0</v>
      </c>
      <c r="CT870" s="241">
        <f t="shared" si="2295"/>
        <v>0</v>
      </c>
      <c r="CV870" s="241">
        <f t="shared" ref="CV870:CW870" si="2296">CV843</f>
        <v>0</v>
      </c>
      <c r="CW870" s="241">
        <f t="shared" si="2296"/>
        <v>0</v>
      </c>
      <c r="CY870" s="241">
        <f t="shared" ref="CY870:CZ870" si="2297">CY843</f>
        <v>0</v>
      </c>
      <c r="CZ870" s="241">
        <f t="shared" si="2297"/>
        <v>0</v>
      </c>
      <c r="DB870" s="241">
        <f t="shared" ref="DB870:DC870" si="2298">DB843</f>
        <v>0</v>
      </c>
      <c r="DC870" s="241">
        <f t="shared" si="2298"/>
        <v>0</v>
      </c>
      <c r="DE870" s="241">
        <f t="shared" ref="DE870:DF870" si="2299">DE843</f>
        <v>0</v>
      </c>
      <c r="DF870" s="241">
        <f t="shared" si="2299"/>
        <v>0</v>
      </c>
    </row>
    <row r="871" spans="1:110" ht="60" x14ac:dyDescent="0.25">
      <c r="A871" s="42" t="s">
        <v>2572</v>
      </c>
      <c r="B871" s="46" t="s">
        <v>2027</v>
      </c>
      <c r="C871" s="42"/>
      <c r="D871" s="42"/>
      <c r="E871" s="50"/>
      <c r="F871" s="50"/>
      <c r="G871" s="50"/>
      <c r="H871" s="50"/>
      <c r="I871" s="50"/>
      <c r="J871" s="50"/>
      <c r="K871" s="50"/>
      <c r="L871" s="50"/>
      <c r="M871" s="3" t="s">
        <v>281</v>
      </c>
    </row>
    <row r="872" spans="1:110" x14ac:dyDescent="0.25">
      <c r="A872" s="42"/>
      <c r="B872" s="46" t="s">
        <v>1948</v>
      </c>
      <c r="C872" s="42"/>
      <c r="D872" s="42"/>
      <c r="E872" s="50"/>
      <c r="F872" s="50"/>
      <c r="G872" s="50"/>
      <c r="H872" s="50"/>
      <c r="I872" s="50"/>
      <c r="J872" s="50"/>
      <c r="K872" s="50"/>
      <c r="L872" s="50"/>
      <c r="M872" s="3"/>
    </row>
    <row r="873" spans="1:110" x14ac:dyDescent="0.25">
      <c r="A873" s="42"/>
      <c r="B873" s="46" t="s">
        <v>1182</v>
      </c>
      <c r="C873" s="42"/>
      <c r="D873" s="42" t="s">
        <v>8</v>
      </c>
      <c r="E873" s="45">
        <v>1.96</v>
      </c>
      <c r="F873" s="45">
        <f>F880/F887*100</f>
        <v>11.489020243429625</v>
      </c>
      <c r="G873" s="45">
        <v>9.91</v>
      </c>
      <c r="H873" s="45">
        <v>7.96</v>
      </c>
      <c r="I873" s="45">
        <f t="shared" ref="I873:K874" si="2300">I880/I887*100</f>
        <v>7.7451997924234561</v>
      </c>
      <c r="J873" s="45">
        <f t="shared" si="2300"/>
        <v>7.7133017926684051</v>
      </c>
      <c r="K873" s="45">
        <f t="shared" si="2300"/>
        <v>6.7875638870493944</v>
      </c>
      <c r="L873" s="45">
        <f t="shared" ref="L873" si="2301">L880/L887*100</f>
        <v>5.0174890996757231</v>
      </c>
      <c r="M873" s="3"/>
      <c r="N873" s="45">
        <f t="shared" ref="N873:P874" si="2302">N880/N887*100</f>
        <v>6.8243199409995254</v>
      </c>
      <c r="O873" s="45">
        <f t="shared" si="2302"/>
        <v>0</v>
      </c>
      <c r="P873" s="45">
        <f t="shared" ref="P873:Q873" si="2303">P880/P887*100</f>
        <v>0</v>
      </c>
      <c r="Q873" s="45">
        <f t="shared" si="2303"/>
        <v>0</v>
      </c>
      <c r="S873" s="45">
        <f t="shared" ref="S873:T874" si="2304">S880/S887*100</f>
        <v>0</v>
      </c>
      <c r="T873" s="45" t="e">
        <f t="shared" si="2304"/>
        <v>#DIV/0!</v>
      </c>
      <c r="V873" s="45">
        <f t="shared" ref="V873:W873" si="2305">V880/V887*100</f>
        <v>0</v>
      </c>
      <c r="W873" s="45" t="e">
        <f t="shared" si="2305"/>
        <v>#DIV/0!</v>
      </c>
      <c r="Y873" s="45">
        <f t="shared" ref="Y873:Z874" si="2306">Y880/Y887*100</f>
        <v>0</v>
      </c>
      <c r="Z873" s="45" t="e">
        <f t="shared" si="2306"/>
        <v>#DIV/0!</v>
      </c>
      <c r="AA873" s="241"/>
      <c r="AB873" s="45">
        <f t="shared" ref="AB873:AC873" si="2307">AB880/AB887*100</f>
        <v>0</v>
      </c>
      <c r="AC873" s="45" t="e">
        <f t="shared" si="2307"/>
        <v>#DIV/0!</v>
      </c>
      <c r="AD873" s="241"/>
      <c r="AE873" s="45">
        <f t="shared" ref="AE873:AF873" si="2308">AE880/AE887*100</f>
        <v>42.25811714798499</v>
      </c>
      <c r="AF873" s="45" t="e">
        <f t="shared" si="2308"/>
        <v>#DIV/0!</v>
      </c>
      <c r="AH873" s="45">
        <f t="shared" ref="AH873:AI873" si="2309">AH880/AH887*100</f>
        <v>0</v>
      </c>
      <c r="AI873" s="45" t="e">
        <f t="shared" si="2309"/>
        <v>#DIV/0!</v>
      </c>
      <c r="AJ873" s="241"/>
      <c r="AK873" s="45">
        <f t="shared" ref="AK873:AL873" si="2310">AK880/AK887*100</f>
        <v>8.3394205015826639</v>
      </c>
      <c r="AL873" s="45" t="e">
        <f t="shared" si="2310"/>
        <v>#DIV/0!</v>
      </c>
      <c r="AM873" s="241"/>
      <c r="AN873" s="45" t="e">
        <f t="shared" ref="AN873:AO873" si="2311">AN880/AN887*100</f>
        <v>#DIV/0!</v>
      </c>
      <c r="AO873" s="45" t="e">
        <f t="shared" si="2311"/>
        <v>#DIV/0!</v>
      </c>
      <c r="AQ873" s="45">
        <f t="shared" ref="AQ873:AR873" si="2312">AQ880/AQ887*100</f>
        <v>0</v>
      </c>
      <c r="AR873" s="45" t="e">
        <f t="shared" si="2312"/>
        <v>#DIV/0!</v>
      </c>
      <c r="AS873" s="241"/>
      <c r="AT873" s="45">
        <f t="shared" ref="AT873:AU873" si="2313">AT880/AT887*100</f>
        <v>0</v>
      </c>
      <c r="AU873" s="45" t="e">
        <f t="shared" si="2313"/>
        <v>#DIV/0!</v>
      </c>
      <c r="AW873" s="45">
        <f t="shared" ref="AW873:AX873" si="2314">AW880/AW887*100</f>
        <v>0</v>
      </c>
      <c r="AX873" s="45" t="e">
        <f t="shared" si="2314"/>
        <v>#DIV/0!</v>
      </c>
      <c r="AY873" s="241"/>
      <c r="AZ873" s="45">
        <f t="shared" ref="AZ873:BA873" si="2315">AZ880/AZ887*100</f>
        <v>0</v>
      </c>
      <c r="BA873" s="45" t="e">
        <f t="shared" si="2315"/>
        <v>#DIV/0!</v>
      </c>
      <c r="BC873" s="45">
        <f t="shared" ref="BC873:BD873" si="2316">BC880/BC887*100</f>
        <v>0</v>
      </c>
      <c r="BD873" s="45" t="e">
        <f t="shared" si="2316"/>
        <v>#DIV/0!</v>
      </c>
      <c r="BE873" s="241"/>
      <c r="BF873" s="45">
        <f t="shared" ref="BF873:BG873" si="2317">BF880/BF887*100</f>
        <v>0</v>
      </c>
      <c r="BG873" s="45" t="e">
        <f t="shared" si="2317"/>
        <v>#DIV/0!</v>
      </c>
      <c r="BH873" s="241"/>
      <c r="BI873" s="45">
        <f t="shared" ref="BI873:BJ873" si="2318">BI880/BI887*100</f>
        <v>25.810386894388287</v>
      </c>
      <c r="BJ873" s="45" t="e">
        <f t="shared" si="2318"/>
        <v>#DIV/0!</v>
      </c>
      <c r="BL873" s="45">
        <f t="shared" ref="BL873:BM873" si="2319">BL880/BL887*100</f>
        <v>59.958800051499935</v>
      </c>
      <c r="BM873" s="45" t="e">
        <f t="shared" si="2319"/>
        <v>#DIV/0!</v>
      </c>
      <c r="BN873" s="241"/>
      <c r="BO873" s="45">
        <f t="shared" ref="BO873:BP873" si="2320">BO880/BO887*100</f>
        <v>0</v>
      </c>
      <c r="BP873" s="45" t="e">
        <f t="shared" si="2320"/>
        <v>#DIV/0!</v>
      </c>
      <c r="BQ873" s="241"/>
      <c r="BR873" s="45">
        <f t="shared" ref="BR873:BS873" si="2321">BR880/BR887*100</f>
        <v>0</v>
      </c>
      <c r="BS873" s="45" t="e">
        <f t="shared" si="2321"/>
        <v>#DIV/0!</v>
      </c>
      <c r="BU873" s="45">
        <f t="shared" ref="BU873:BV873" si="2322">BU880/BU887*100</f>
        <v>0</v>
      </c>
      <c r="BV873" s="45" t="e">
        <f t="shared" si="2322"/>
        <v>#DIV/0!</v>
      </c>
      <c r="BW873" s="241"/>
      <c r="BX873" s="45">
        <f t="shared" ref="BX873:BY873" si="2323">BX880/BX887*100</f>
        <v>0</v>
      </c>
      <c r="BY873" s="45" t="e">
        <f t="shared" si="2323"/>
        <v>#DIV/0!</v>
      </c>
      <c r="BZ873" s="241"/>
      <c r="CA873" s="45">
        <f t="shared" ref="CA873:CB873" si="2324">CA880/CA887*100</f>
        <v>12.618126621945846</v>
      </c>
      <c r="CB873" s="45" t="e">
        <f t="shared" si="2324"/>
        <v>#DIV/0!</v>
      </c>
      <c r="CD873" s="45">
        <f t="shared" ref="CD873:CE873" si="2325">CD880/CD887*100</f>
        <v>100</v>
      </c>
      <c r="CE873" s="45" t="e">
        <f t="shared" si="2325"/>
        <v>#DIV/0!</v>
      </c>
      <c r="CF873" s="241"/>
      <c r="CG873" s="45">
        <f t="shared" ref="CG873:CH873" si="2326">CG880/CG887*100</f>
        <v>0</v>
      </c>
      <c r="CH873" s="45" t="e">
        <f t="shared" si="2326"/>
        <v>#DIV/0!</v>
      </c>
      <c r="CI873" s="241"/>
      <c r="CJ873" s="45" t="e">
        <f t="shared" ref="CJ873:CK873" si="2327">CJ880/CJ887*100</f>
        <v>#DIV/0!</v>
      </c>
      <c r="CK873" s="45" t="e">
        <f t="shared" si="2327"/>
        <v>#DIV/0!</v>
      </c>
      <c r="CM873" s="45">
        <f t="shared" ref="CM873:CN873" si="2328">CM880/CM887*100</f>
        <v>0</v>
      </c>
      <c r="CN873" s="45" t="e">
        <f t="shared" si="2328"/>
        <v>#DIV/0!</v>
      </c>
      <c r="CP873" s="45">
        <f t="shared" ref="CP873:CQ873" si="2329">CP880/CP887*100</f>
        <v>0</v>
      </c>
      <c r="CQ873" s="45" t="e">
        <f t="shared" si="2329"/>
        <v>#DIV/0!</v>
      </c>
      <c r="CS873" s="45">
        <f t="shared" ref="CS873:CT873" si="2330">CS880/CS887*100</f>
        <v>0</v>
      </c>
      <c r="CT873" s="45" t="e">
        <f t="shared" si="2330"/>
        <v>#DIV/0!</v>
      </c>
      <c r="CV873" s="45">
        <f t="shared" ref="CV873:CW873" si="2331">CV880/CV887*100</f>
        <v>0</v>
      </c>
      <c r="CW873" s="45" t="e">
        <f t="shared" si="2331"/>
        <v>#DIV/0!</v>
      </c>
      <c r="CY873" s="45">
        <f t="shared" ref="CY873:CZ873" si="2332">CY880/CY887*100</f>
        <v>0</v>
      </c>
      <c r="CZ873" s="45" t="e">
        <f t="shared" si="2332"/>
        <v>#DIV/0!</v>
      </c>
      <c r="DB873" s="45">
        <f t="shared" ref="DB873:DC873" si="2333">DB880/DB887*100</f>
        <v>0</v>
      </c>
      <c r="DC873" s="45" t="e">
        <f t="shared" si="2333"/>
        <v>#DIV/0!</v>
      </c>
      <c r="DE873" s="45" t="e">
        <f t="shared" ref="DE873:DF873" si="2334">DE880/DE887*100</f>
        <v>#DIV/0!</v>
      </c>
      <c r="DF873" s="45" t="e">
        <f t="shared" si="2334"/>
        <v>#DIV/0!</v>
      </c>
    </row>
    <row r="874" spans="1:110" x14ac:dyDescent="0.25">
      <c r="A874" s="42"/>
      <c r="B874" s="46" t="s">
        <v>1184</v>
      </c>
      <c r="C874" s="42"/>
      <c r="D874" s="42" t="s">
        <v>8</v>
      </c>
      <c r="E874" s="45">
        <v>0</v>
      </c>
      <c r="F874" s="45">
        <f>F881/F888*100</f>
        <v>0</v>
      </c>
      <c r="G874" s="45">
        <f>G881/G888*100</f>
        <v>0</v>
      </c>
      <c r="H874" s="45">
        <f>H881/H888*100</f>
        <v>0</v>
      </c>
      <c r="I874" s="45">
        <f t="shared" si="2300"/>
        <v>0</v>
      </c>
      <c r="J874" s="45">
        <f t="shared" si="2300"/>
        <v>0</v>
      </c>
      <c r="K874" s="45">
        <f t="shared" si="2300"/>
        <v>0</v>
      </c>
      <c r="L874" s="45">
        <f t="shared" ref="L874" si="2335">L881/L888*100</f>
        <v>0</v>
      </c>
      <c r="M874" s="3"/>
      <c r="N874" s="45">
        <f t="shared" ref="N874" si="2336">N881/N888*100</f>
        <v>0</v>
      </c>
      <c r="O874" s="45">
        <f t="shared" si="2302"/>
        <v>0</v>
      </c>
      <c r="P874" s="45" t="e">
        <f t="shared" si="2302"/>
        <v>#DIV/0!</v>
      </c>
      <c r="Q874" s="45" t="e">
        <f t="shared" ref="Q874" si="2337">Q881/Q888*100</f>
        <v>#DIV/0!</v>
      </c>
      <c r="S874" s="45" t="e">
        <f t="shared" ref="S874" si="2338">S881/S888*100</f>
        <v>#DIV/0!</v>
      </c>
      <c r="T874" s="45" t="e">
        <f t="shared" si="2304"/>
        <v>#DIV/0!</v>
      </c>
      <c r="V874" s="45" t="e">
        <f t="shared" ref="V874:W874" si="2339">V881/V888*100</f>
        <v>#DIV/0!</v>
      </c>
      <c r="W874" s="45" t="e">
        <f t="shared" si="2339"/>
        <v>#DIV/0!</v>
      </c>
      <c r="Y874" s="45" t="e">
        <f t="shared" ref="Y874" si="2340">Y881/Y888*100</f>
        <v>#DIV/0!</v>
      </c>
      <c r="Z874" s="45" t="e">
        <f t="shared" si="2306"/>
        <v>#DIV/0!</v>
      </c>
      <c r="AA874" s="241"/>
      <c r="AB874" s="45" t="e">
        <f t="shared" ref="AB874:AC874" si="2341">AB881/AB888*100</f>
        <v>#DIV/0!</v>
      </c>
      <c r="AC874" s="45" t="e">
        <f t="shared" si="2341"/>
        <v>#DIV/0!</v>
      </c>
      <c r="AD874" s="241"/>
      <c r="AE874" s="45" t="e">
        <f t="shared" ref="AE874:AF874" si="2342">AE881/AE888*100</f>
        <v>#DIV/0!</v>
      </c>
      <c r="AF874" s="45" t="e">
        <f t="shared" si="2342"/>
        <v>#DIV/0!</v>
      </c>
      <c r="AH874" s="45" t="e">
        <f t="shared" ref="AH874:AI874" si="2343">AH881/AH888*100</f>
        <v>#DIV/0!</v>
      </c>
      <c r="AI874" s="45" t="e">
        <f t="shared" si="2343"/>
        <v>#DIV/0!</v>
      </c>
      <c r="AJ874" s="241"/>
      <c r="AK874" s="45" t="e">
        <f t="shared" ref="AK874:AL874" si="2344">AK881/AK888*100</f>
        <v>#DIV/0!</v>
      </c>
      <c r="AL874" s="45" t="e">
        <f t="shared" si="2344"/>
        <v>#DIV/0!</v>
      </c>
      <c r="AM874" s="241"/>
      <c r="AN874" s="45" t="e">
        <f t="shared" ref="AN874:AO874" si="2345">AN881/AN888*100</f>
        <v>#DIV/0!</v>
      </c>
      <c r="AO874" s="45" t="e">
        <f t="shared" si="2345"/>
        <v>#DIV/0!</v>
      </c>
      <c r="AQ874" s="45" t="e">
        <f t="shared" ref="AQ874:AR874" si="2346">AQ881/AQ888*100</f>
        <v>#DIV/0!</v>
      </c>
      <c r="AR874" s="45" t="e">
        <f t="shared" si="2346"/>
        <v>#DIV/0!</v>
      </c>
      <c r="AS874" s="241"/>
      <c r="AT874" s="45" t="e">
        <f t="shared" ref="AT874:AU874" si="2347">AT881/AT888*100</f>
        <v>#DIV/0!</v>
      </c>
      <c r="AU874" s="45" t="e">
        <f t="shared" si="2347"/>
        <v>#DIV/0!</v>
      </c>
      <c r="AW874" s="45" t="e">
        <f t="shared" ref="AW874:AX874" si="2348">AW881/AW888*100</f>
        <v>#DIV/0!</v>
      </c>
      <c r="AX874" s="45" t="e">
        <f t="shared" si="2348"/>
        <v>#DIV/0!</v>
      </c>
      <c r="AY874" s="241"/>
      <c r="AZ874" s="45" t="e">
        <f t="shared" ref="AZ874:BA874" si="2349">AZ881/AZ888*100</f>
        <v>#DIV/0!</v>
      </c>
      <c r="BA874" s="45" t="e">
        <f t="shared" si="2349"/>
        <v>#DIV/0!</v>
      </c>
      <c r="BC874" s="45" t="e">
        <f t="shared" ref="BC874:BD874" si="2350">BC881/BC888*100</f>
        <v>#DIV/0!</v>
      </c>
      <c r="BD874" s="45" t="e">
        <f t="shared" si="2350"/>
        <v>#DIV/0!</v>
      </c>
      <c r="BE874" s="241"/>
      <c r="BF874" s="45" t="e">
        <f t="shared" ref="BF874:BG874" si="2351">BF881/BF888*100</f>
        <v>#DIV/0!</v>
      </c>
      <c r="BG874" s="45" t="e">
        <f t="shared" si="2351"/>
        <v>#DIV/0!</v>
      </c>
      <c r="BH874" s="241"/>
      <c r="BI874" s="45" t="e">
        <f t="shared" ref="BI874:BJ874" si="2352">BI881/BI888*100</f>
        <v>#DIV/0!</v>
      </c>
      <c r="BJ874" s="45" t="e">
        <f t="shared" si="2352"/>
        <v>#DIV/0!</v>
      </c>
      <c r="BL874" s="45" t="e">
        <f t="shared" ref="BL874:BM874" si="2353">BL881/BL888*100</f>
        <v>#DIV/0!</v>
      </c>
      <c r="BM874" s="45" t="e">
        <f t="shared" si="2353"/>
        <v>#DIV/0!</v>
      </c>
      <c r="BN874" s="241"/>
      <c r="BO874" s="45" t="e">
        <f t="shared" ref="BO874:BP874" si="2354">BO881/BO888*100</f>
        <v>#DIV/0!</v>
      </c>
      <c r="BP874" s="45" t="e">
        <f t="shared" si="2354"/>
        <v>#DIV/0!</v>
      </c>
      <c r="BQ874" s="241"/>
      <c r="BR874" s="45" t="e">
        <f t="shared" ref="BR874:BS874" si="2355">BR881/BR888*100</f>
        <v>#DIV/0!</v>
      </c>
      <c r="BS874" s="45" t="e">
        <f t="shared" si="2355"/>
        <v>#DIV/0!</v>
      </c>
      <c r="BU874" s="45" t="e">
        <f t="shared" ref="BU874:BV874" si="2356">BU881/BU888*100</f>
        <v>#DIV/0!</v>
      </c>
      <c r="BV874" s="45" t="e">
        <f t="shared" si="2356"/>
        <v>#DIV/0!</v>
      </c>
      <c r="BW874" s="241"/>
      <c r="BX874" s="45" t="e">
        <f t="shared" ref="BX874:BY874" si="2357">BX881/BX888*100</f>
        <v>#DIV/0!</v>
      </c>
      <c r="BY874" s="45" t="e">
        <f t="shared" si="2357"/>
        <v>#DIV/0!</v>
      </c>
      <c r="BZ874" s="241"/>
      <c r="CA874" s="45" t="e">
        <f t="shared" ref="CA874:CB874" si="2358">CA881/CA888*100</f>
        <v>#DIV/0!</v>
      </c>
      <c r="CB874" s="45" t="e">
        <f t="shared" si="2358"/>
        <v>#DIV/0!</v>
      </c>
      <c r="CD874" s="45" t="e">
        <f t="shared" ref="CD874:CE874" si="2359">CD881/CD888*100</f>
        <v>#DIV/0!</v>
      </c>
      <c r="CE874" s="45" t="e">
        <f t="shared" si="2359"/>
        <v>#DIV/0!</v>
      </c>
      <c r="CF874" s="241"/>
      <c r="CG874" s="45" t="e">
        <f t="shared" ref="CG874:CH874" si="2360">CG881/CG888*100</f>
        <v>#DIV/0!</v>
      </c>
      <c r="CH874" s="45" t="e">
        <f t="shared" si="2360"/>
        <v>#DIV/0!</v>
      </c>
      <c r="CI874" s="241"/>
      <c r="CJ874" s="45" t="e">
        <f t="shared" ref="CJ874:CK874" si="2361">CJ881/CJ888*100</f>
        <v>#DIV/0!</v>
      </c>
      <c r="CK874" s="45" t="e">
        <f t="shared" si="2361"/>
        <v>#DIV/0!</v>
      </c>
      <c r="CM874" s="45" t="e">
        <f t="shared" ref="CM874:CN874" si="2362">CM881/CM888*100</f>
        <v>#DIV/0!</v>
      </c>
      <c r="CN874" s="45" t="e">
        <f t="shared" si="2362"/>
        <v>#DIV/0!</v>
      </c>
      <c r="CP874" s="45" t="e">
        <f t="shared" ref="CP874:CQ874" si="2363">CP881/CP888*100</f>
        <v>#DIV/0!</v>
      </c>
      <c r="CQ874" s="45" t="e">
        <f t="shared" si="2363"/>
        <v>#DIV/0!</v>
      </c>
      <c r="CS874" s="45" t="e">
        <f t="shared" ref="CS874:CT874" si="2364">CS881/CS888*100</f>
        <v>#DIV/0!</v>
      </c>
      <c r="CT874" s="45" t="e">
        <f t="shared" si="2364"/>
        <v>#DIV/0!</v>
      </c>
      <c r="CV874" s="45" t="e">
        <f t="shared" ref="CV874:CW874" si="2365">CV881/CV888*100</f>
        <v>#DIV/0!</v>
      </c>
      <c r="CW874" s="45" t="e">
        <f t="shared" si="2365"/>
        <v>#DIV/0!</v>
      </c>
      <c r="CY874" s="45" t="e">
        <f t="shared" ref="CY874:CZ874" si="2366">CY881/CY888*100</f>
        <v>#DIV/0!</v>
      </c>
      <c r="CZ874" s="45" t="e">
        <f t="shared" si="2366"/>
        <v>#DIV/0!</v>
      </c>
      <c r="DB874" s="45" t="e">
        <f t="shared" ref="DB874:DC874" si="2367">DB881/DB888*100</f>
        <v>#DIV/0!</v>
      </c>
      <c r="DC874" s="45" t="e">
        <f t="shared" si="2367"/>
        <v>#DIV/0!</v>
      </c>
      <c r="DE874" s="45">
        <f t="shared" ref="DE874:DF874" si="2368">DE881/DE888*100</f>
        <v>0</v>
      </c>
      <c r="DF874" s="45">
        <f t="shared" si="2368"/>
        <v>0</v>
      </c>
    </row>
    <row r="875" spans="1:110" x14ac:dyDescent="0.25">
      <c r="A875" s="42"/>
      <c r="B875" s="46" t="s">
        <v>1949</v>
      </c>
      <c r="C875" s="42"/>
      <c r="D875" s="42"/>
      <c r="E875" s="45"/>
      <c r="F875" s="45"/>
      <c r="G875" s="45"/>
      <c r="H875" s="45"/>
      <c r="I875" s="45"/>
      <c r="J875" s="45"/>
      <c r="K875" s="45"/>
      <c r="L875" s="45"/>
      <c r="M875" s="3"/>
      <c r="N875" s="45"/>
      <c r="O875" s="45"/>
      <c r="P875" s="45"/>
      <c r="Q875" s="45"/>
      <c r="S875" s="45"/>
      <c r="T875" s="45"/>
      <c r="V875" s="45"/>
      <c r="W875" s="45"/>
      <c r="Y875" s="45"/>
      <c r="Z875" s="45"/>
      <c r="AA875" s="241"/>
      <c r="AB875" s="45"/>
      <c r="AC875" s="45"/>
      <c r="AD875" s="241"/>
      <c r="AE875" s="45"/>
      <c r="AF875" s="45"/>
      <c r="AH875" s="45"/>
      <c r="AI875" s="45"/>
      <c r="AJ875" s="241"/>
      <c r="AK875" s="45"/>
      <c r="AL875" s="45"/>
      <c r="AM875" s="241"/>
      <c r="AN875" s="45"/>
      <c r="AO875" s="45"/>
      <c r="AQ875" s="45"/>
      <c r="AR875" s="45"/>
      <c r="AS875" s="241"/>
      <c r="AT875" s="45"/>
      <c r="AU875" s="45"/>
      <c r="AW875" s="45"/>
      <c r="AX875" s="45"/>
      <c r="AY875" s="241"/>
      <c r="AZ875" s="45"/>
      <c r="BA875" s="45"/>
      <c r="BC875" s="45"/>
      <c r="BD875" s="45"/>
      <c r="BE875" s="241"/>
      <c r="BF875" s="45"/>
      <c r="BG875" s="45"/>
      <c r="BH875" s="241"/>
      <c r="BI875" s="45"/>
      <c r="BJ875" s="45"/>
      <c r="BL875" s="45"/>
      <c r="BM875" s="45"/>
      <c r="BN875" s="241"/>
      <c r="BO875" s="45"/>
      <c r="BP875" s="45"/>
      <c r="BQ875" s="241"/>
      <c r="BR875" s="45"/>
      <c r="BS875" s="45"/>
      <c r="BU875" s="45"/>
      <c r="BV875" s="45"/>
      <c r="BW875" s="241"/>
      <c r="BX875" s="45"/>
      <c r="BY875" s="45"/>
      <c r="BZ875" s="241"/>
      <c r="CA875" s="45"/>
      <c r="CB875" s="45"/>
      <c r="CD875" s="45"/>
      <c r="CE875" s="45"/>
      <c r="CF875" s="241"/>
      <c r="CG875" s="45"/>
      <c r="CH875" s="45"/>
      <c r="CI875" s="241"/>
      <c r="CJ875" s="45"/>
      <c r="CK875" s="45"/>
      <c r="CM875" s="45"/>
      <c r="CN875" s="45"/>
      <c r="CP875" s="45"/>
      <c r="CQ875" s="45"/>
      <c r="CS875" s="45"/>
      <c r="CT875" s="45"/>
      <c r="CV875" s="45"/>
      <c r="CW875" s="45"/>
      <c r="CY875" s="45"/>
      <c r="CZ875" s="45"/>
      <c r="DB875" s="45"/>
      <c r="DC875" s="45"/>
      <c r="DE875" s="45"/>
      <c r="DF875" s="45"/>
    </row>
    <row r="876" spans="1:110" x14ac:dyDescent="0.25">
      <c r="A876" s="42"/>
      <c r="B876" s="46" t="s">
        <v>1182</v>
      </c>
      <c r="C876" s="42"/>
      <c r="D876" s="42"/>
      <c r="E876" s="45"/>
      <c r="F876" s="45"/>
      <c r="G876" s="45"/>
      <c r="H876" s="45">
        <f t="shared" ref="H876:J877" si="2369">H883/H890*100</f>
        <v>0</v>
      </c>
      <c r="I876" s="45">
        <f t="shared" si="2369"/>
        <v>0</v>
      </c>
      <c r="J876" s="45">
        <f t="shared" si="2369"/>
        <v>0</v>
      </c>
      <c r="K876" s="45">
        <f>K883/K890*100</f>
        <v>0</v>
      </c>
      <c r="L876" s="45">
        <f>L883/L890*100</f>
        <v>0</v>
      </c>
      <c r="M876" s="3"/>
      <c r="N876" s="45">
        <f t="shared" ref="N876:Q877" si="2370">N883/N890*100</f>
        <v>0</v>
      </c>
      <c r="O876" s="45">
        <f t="shared" si="2370"/>
        <v>0</v>
      </c>
      <c r="P876" s="45">
        <f t="shared" si="2370"/>
        <v>0</v>
      </c>
      <c r="Q876" s="45">
        <f t="shared" si="2370"/>
        <v>0</v>
      </c>
      <c r="S876" s="45">
        <f>S883/S890*100</f>
        <v>0</v>
      </c>
      <c r="T876" s="45" t="e">
        <f>T883/T890*100</f>
        <v>#DIV/0!</v>
      </c>
      <c r="V876" s="45">
        <f>V883/V890*100</f>
        <v>0</v>
      </c>
      <c r="W876" s="45" t="e">
        <f>W883/W890*100</f>
        <v>#DIV/0!</v>
      </c>
      <c r="Y876" s="45">
        <f>Y883/Y890*100</f>
        <v>0</v>
      </c>
      <c r="Z876" s="45" t="e">
        <f>Z883/Z890*100</f>
        <v>#DIV/0!</v>
      </c>
      <c r="AA876" s="241"/>
      <c r="AB876" s="45">
        <f>AB883/AB890*100</f>
        <v>0</v>
      </c>
      <c r="AC876" s="45" t="e">
        <f>AC883/AC890*100</f>
        <v>#DIV/0!</v>
      </c>
      <c r="AD876" s="241"/>
      <c r="AE876" s="45" t="e">
        <f>AE883/AE890*100</f>
        <v>#DIV/0!</v>
      </c>
      <c r="AF876" s="45" t="e">
        <f>AF883/AF890*100</f>
        <v>#DIV/0!</v>
      </c>
      <c r="AH876" s="45">
        <f>AH883/AH890*100</f>
        <v>0</v>
      </c>
      <c r="AI876" s="45" t="e">
        <f>AI883/AI890*100</f>
        <v>#DIV/0!</v>
      </c>
      <c r="AJ876" s="241"/>
      <c r="AK876" s="45">
        <f>AK883/AK890*100</f>
        <v>0</v>
      </c>
      <c r="AL876" s="45" t="e">
        <f>AL883/AL890*100</f>
        <v>#DIV/0!</v>
      </c>
      <c r="AM876" s="241"/>
      <c r="AN876" s="45" t="e">
        <f>AN883/AN890*100</f>
        <v>#DIV/0!</v>
      </c>
      <c r="AO876" s="45" t="e">
        <f>AO883/AO890*100</f>
        <v>#DIV/0!</v>
      </c>
      <c r="AQ876" s="45" t="e">
        <f>AQ883/AQ890*100</f>
        <v>#DIV/0!</v>
      </c>
      <c r="AR876" s="45" t="e">
        <f>AR883/AR890*100</f>
        <v>#DIV/0!</v>
      </c>
      <c r="AS876" s="241"/>
      <c r="AT876" s="45" t="e">
        <f>AT883/AT890*100</f>
        <v>#DIV/0!</v>
      </c>
      <c r="AU876" s="45" t="e">
        <f>AU883/AU890*100</f>
        <v>#DIV/0!</v>
      </c>
      <c r="AW876" s="45">
        <f>AW883/AW890*100</f>
        <v>0</v>
      </c>
      <c r="AX876" s="45" t="e">
        <f>AX883/AX890*100</f>
        <v>#DIV/0!</v>
      </c>
      <c r="AY876" s="241"/>
      <c r="AZ876" s="45" t="e">
        <f>AZ883/AZ890*100</f>
        <v>#DIV/0!</v>
      </c>
      <c r="BA876" s="45" t="e">
        <f>BA883/BA890*100</f>
        <v>#DIV/0!</v>
      </c>
      <c r="BC876" s="45">
        <f>BC883/BC890*100</f>
        <v>0</v>
      </c>
      <c r="BD876" s="45" t="e">
        <f>BD883/BD890*100</f>
        <v>#DIV/0!</v>
      </c>
      <c r="BE876" s="241"/>
      <c r="BF876" s="45">
        <f>BF883/BF890*100</f>
        <v>0</v>
      </c>
      <c r="BG876" s="45" t="e">
        <f>BG883/BG890*100</f>
        <v>#DIV/0!</v>
      </c>
      <c r="BH876" s="241"/>
      <c r="BI876" s="45">
        <f>BI883/BI890*100</f>
        <v>0</v>
      </c>
      <c r="BJ876" s="45" t="e">
        <f>BJ883/BJ890*100</f>
        <v>#DIV/0!</v>
      </c>
      <c r="BL876" s="45" t="e">
        <f>BL883/BL890*100</f>
        <v>#DIV/0!</v>
      </c>
      <c r="BM876" s="45" t="e">
        <f>BM883/BM890*100</f>
        <v>#DIV/0!</v>
      </c>
      <c r="BN876" s="241"/>
      <c r="BO876" s="45">
        <f>BO883/BO890*100</f>
        <v>0</v>
      </c>
      <c r="BP876" s="45" t="e">
        <f>BP883/BP890*100</f>
        <v>#DIV/0!</v>
      </c>
      <c r="BQ876" s="241"/>
      <c r="BR876" s="45" t="e">
        <f>BR883/BR890*100</f>
        <v>#DIV/0!</v>
      </c>
      <c r="BS876" s="45" t="e">
        <f>BS883/BS890*100</f>
        <v>#DIV/0!</v>
      </c>
      <c r="BU876" s="45" t="e">
        <f>BU883/BU890*100</f>
        <v>#DIV/0!</v>
      </c>
      <c r="BV876" s="45" t="e">
        <f>BV883/BV890*100</f>
        <v>#DIV/0!</v>
      </c>
      <c r="BW876" s="241"/>
      <c r="BX876" s="45">
        <f>BX883/BX890*100</f>
        <v>0</v>
      </c>
      <c r="BY876" s="45" t="e">
        <f>BY883/BY890*100</f>
        <v>#DIV/0!</v>
      </c>
      <c r="BZ876" s="241"/>
      <c r="CA876" s="45">
        <f>CA883/CA890*100</f>
        <v>0</v>
      </c>
      <c r="CB876" s="45" t="e">
        <f>CB883/CB890*100</f>
        <v>#DIV/0!</v>
      </c>
      <c r="CD876" s="45" t="e">
        <f>CD883/CD890*100</f>
        <v>#DIV/0!</v>
      </c>
      <c r="CE876" s="45" t="e">
        <f>CE883/CE890*100</f>
        <v>#DIV/0!</v>
      </c>
      <c r="CF876" s="241"/>
      <c r="CG876" s="45">
        <f>CG883/CG890*100</f>
        <v>0</v>
      </c>
      <c r="CH876" s="45" t="e">
        <f>CH883/CH890*100</f>
        <v>#DIV/0!</v>
      </c>
      <c r="CI876" s="241"/>
      <c r="CJ876" s="45" t="e">
        <f>CJ883/CJ890*100</f>
        <v>#DIV/0!</v>
      </c>
      <c r="CK876" s="45" t="e">
        <f>CK883/CK890*100</f>
        <v>#DIV/0!</v>
      </c>
      <c r="CM876" s="45" t="e">
        <f>CM883/CM890*100</f>
        <v>#DIV/0!</v>
      </c>
      <c r="CN876" s="45" t="e">
        <f>CN883/CN890*100</f>
        <v>#DIV/0!</v>
      </c>
      <c r="CP876" s="45" t="e">
        <f>CP883/CP890*100</f>
        <v>#DIV/0!</v>
      </c>
      <c r="CQ876" s="45" t="e">
        <f>CQ883/CQ890*100</f>
        <v>#DIV/0!</v>
      </c>
      <c r="CS876" s="45" t="e">
        <f>CS883/CS890*100</f>
        <v>#DIV/0!</v>
      </c>
      <c r="CT876" s="45" t="e">
        <f>CT883/CT890*100</f>
        <v>#DIV/0!</v>
      </c>
      <c r="CV876" s="45" t="e">
        <f>CV883/CV890*100</f>
        <v>#DIV/0!</v>
      </c>
      <c r="CW876" s="45" t="e">
        <f>CW883/CW890*100</f>
        <v>#DIV/0!</v>
      </c>
      <c r="CY876" s="45" t="e">
        <f>CY883/CY890*100</f>
        <v>#DIV/0!</v>
      </c>
      <c r="CZ876" s="45" t="e">
        <f>CZ883/CZ890*100</f>
        <v>#DIV/0!</v>
      </c>
      <c r="DB876" s="45" t="e">
        <f>DB883/DB890*100</f>
        <v>#DIV/0!</v>
      </c>
      <c r="DC876" s="45" t="e">
        <f>DC883/DC890*100</f>
        <v>#DIV/0!</v>
      </c>
      <c r="DE876" s="45" t="e">
        <f>DE883/DE890*100</f>
        <v>#DIV/0!</v>
      </c>
      <c r="DF876" s="45" t="e">
        <f>DF883/DF890*100</f>
        <v>#DIV/0!</v>
      </c>
    </row>
    <row r="877" spans="1:110" x14ac:dyDescent="0.25">
      <c r="A877" s="42"/>
      <c r="B877" s="46" t="s">
        <v>1184</v>
      </c>
      <c r="C877" s="42"/>
      <c r="D877" s="42"/>
      <c r="E877" s="45"/>
      <c r="F877" s="45"/>
      <c r="G877" s="45"/>
      <c r="H877" s="45" t="e">
        <f t="shared" si="2369"/>
        <v>#DIV/0!</v>
      </c>
      <c r="I877" s="45" t="e">
        <f t="shared" si="2369"/>
        <v>#DIV/0!</v>
      </c>
      <c r="J877" s="45" t="e">
        <f t="shared" si="2369"/>
        <v>#DIV/0!</v>
      </c>
      <c r="K877" s="45" t="e">
        <f>K884/K891*100</f>
        <v>#DIV/0!</v>
      </c>
      <c r="L877" s="45" t="e">
        <f>L884/L891*100</f>
        <v>#DIV/0!</v>
      </c>
      <c r="M877" s="3"/>
      <c r="N877" s="45" t="e">
        <f t="shared" si="2370"/>
        <v>#DIV/0!</v>
      </c>
      <c r="O877" s="45" t="e">
        <f t="shared" si="2370"/>
        <v>#DIV/0!</v>
      </c>
      <c r="P877" s="45" t="e">
        <f t="shared" si="2370"/>
        <v>#DIV/0!</v>
      </c>
      <c r="Q877" s="45" t="e">
        <f t="shared" si="2370"/>
        <v>#DIV/0!</v>
      </c>
      <c r="S877" s="45" t="e">
        <f>S884/S891*100</f>
        <v>#DIV/0!</v>
      </c>
      <c r="T877" s="45" t="e">
        <f>T884/T891*100</f>
        <v>#DIV/0!</v>
      </c>
      <c r="V877" s="45" t="e">
        <f>V884/V891*100</f>
        <v>#DIV/0!</v>
      </c>
      <c r="W877" s="45" t="e">
        <f>W884/W891*100</f>
        <v>#DIV/0!</v>
      </c>
      <c r="Y877" s="45" t="e">
        <f>Y884/Y891*100</f>
        <v>#DIV/0!</v>
      </c>
      <c r="Z877" s="45" t="e">
        <f>Z884/Z891*100</f>
        <v>#DIV/0!</v>
      </c>
      <c r="AA877" s="241"/>
      <c r="AB877" s="45" t="e">
        <f>AB884/AB891*100</f>
        <v>#DIV/0!</v>
      </c>
      <c r="AC877" s="45" t="e">
        <f>AC884/AC891*100</f>
        <v>#DIV/0!</v>
      </c>
      <c r="AD877" s="241"/>
      <c r="AE877" s="45" t="e">
        <f>AE884/AE891*100</f>
        <v>#DIV/0!</v>
      </c>
      <c r="AF877" s="45" t="e">
        <f>AF884/AF891*100</f>
        <v>#DIV/0!</v>
      </c>
      <c r="AH877" s="45" t="e">
        <f>AH884/AH891*100</f>
        <v>#DIV/0!</v>
      </c>
      <c r="AI877" s="45" t="e">
        <f>AI884/AI891*100</f>
        <v>#DIV/0!</v>
      </c>
      <c r="AJ877" s="241"/>
      <c r="AK877" s="45" t="e">
        <f>AK884/AK891*100</f>
        <v>#DIV/0!</v>
      </c>
      <c r="AL877" s="45" t="e">
        <f>AL884/AL891*100</f>
        <v>#DIV/0!</v>
      </c>
      <c r="AM877" s="241"/>
      <c r="AN877" s="45" t="e">
        <f>AN884/AN891*100</f>
        <v>#DIV/0!</v>
      </c>
      <c r="AO877" s="45" t="e">
        <f>AO884/AO891*100</f>
        <v>#DIV/0!</v>
      </c>
      <c r="AQ877" s="45" t="e">
        <f>AQ884/AQ891*100</f>
        <v>#DIV/0!</v>
      </c>
      <c r="AR877" s="45" t="e">
        <f>AR884/AR891*100</f>
        <v>#DIV/0!</v>
      </c>
      <c r="AS877" s="241"/>
      <c r="AT877" s="45" t="e">
        <f>AT884/AT891*100</f>
        <v>#DIV/0!</v>
      </c>
      <c r="AU877" s="45" t="e">
        <f>AU884/AU891*100</f>
        <v>#DIV/0!</v>
      </c>
      <c r="AW877" s="45" t="e">
        <f>AW884/AW891*100</f>
        <v>#DIV/0!</v>
      </c>
      <c r="AX877" s="45" t="e">
        <f>AX884/AX891*100</f>
        <v>#DIV/0!</v>
      </c>
      <c r="AY877" s="241"/>
      <c r="AZ877" s="45" t="e">
        <f>AZ884/AZ891*100</f>
        <v>#DIV/0!</v>
      </c>
      <c r="BA877" s="45" t="e">
        <f>BA884/BA891*100</f>
        <v>#DIV/0!</v>
      </c>
      <c r="BC877" s="45" t="e">
        <f>BC884/BC891*100</f>
        <v>#DIV/0!</v>
      </c>
      <c r="BD877" s="45" t="e">
        <f>BD884/BD891*100</f>
        <v>#DIV/0!</v>
      </c>
      <c r="BE877" s="241"/>
      <c r="BF877" s="45" t="e">
        <f>BF884/BF891*100</f>
        <v>#DIV/0!</v>
      </c>
      <c r="BG877" s="45" t="e">
        <f>BG884/BG891*100</f>
        <v>#DIV/0!</v>
      </c>
      <c r="BH877" s="241"/>
      <c r="BI877" s="45" t="e">
        <f>BI884/BI891*100</f>
        <v>#DIV/0!</v>
      </c>
      <c r="BJ877" s="45" t="e">
        <f>BJ884/BJ891*100</f>
        <v>#DIV/0!</v>
      </c>
      <c r="BL877" s="45" t="e">
        <f>BL884/BL891*100</f>
        <v>#DIV/0!</v>
      </c>
      <c r="BM877" s="45" t="e">
        <f>BM884/BM891*100</f>
        <v>#DIV/0!</v>
      </c>
      <c r="BN877" s="241"/>
      <c r="BO877" s="45" t="e">
        <f>BO884/BO891*100</f>
        <v>#DIV/0!</v>
      </c>
      <c r="BP877" s="45" t="e">
        <f>BP884/BP891*100</f>
        <v>#DIV/0!</v>
      </c>
      <c r="BQ877" s="241"/>
      <c r="BR877" s="45" t="e">
        <f>BR884/BR891*100</f>
        <v>#DIV/0!</v>
      </c>
      <c r="BS877" s="45" t="e">
        <f>BS884/BS891*100</f>
        <v>#DIV/0!</v>
      </c>
      <c r="BU877" s="45" t="e">
        <f>BU884/BU891*100</f>
        <v>#DIV/0!</v>
      </c>
      <c r="BV877" s="45" t="e">
        <f>BV884/BV891*100</f>
        <v>#DIV/0!</v>
      </c>
      <c r="BW877" s="241"/>
      <c r="BX877" s="45" t="e">
        <f>BX884/BX891*100</f>
        <v>#DIV/0!</v>
      </c>
      <c r="BY877" s="45" t="e">
        <f>BY884/BY891*100</f>
        <v>#DIV/0!</v>
      </c>
      <c r="BZ877" s="241"/>
      <c r="CA877" s="45" t="e">
        <f>CA884/CA891*100</f>
        <v>#DIV/0!</v>
      </c>
      <c r="CB877" s="45" t="e">
        <f>CB884/CB891*100</f>
        <v>#DIV/0!</v>
      </c>
      <c r="CD877" s="45" t="e">
        <f>CD884/CD891*100</f>
        <v>#DIV/0!</v>
      </c>
      <c r="CE877" s="45" t="e">
        <f>CE884/CE891*100</f>
        <v>#DIV/0!</v>
      </c>
      <c r="CF877" s="241"/>
      <c r="CG877" s="45" t="e">
        <f>CG884/CG891*100</f>
        <v>#DIV/0!</v>
      </c>
      <c r="CH877" s="45" t="e">
        <f>CH884/CH891*100</f>
        <v>#DIV/0!</v>
      </c>
      <c r="CI877" s="241"/>
      <c r="CJ877" s="45" t="e">
        <f>CJ884/CJ891*100</f>
        <v>#DIV/0!</v>
      </c>
      <c r="CK877" s="45" t="e">
        <f>CK884/CK891*100</f>
        <v>#DIV/0!</v>
      </c>
      <c r="CM877" s="45" t="e">
        <f>CM884/CM891*100</f>
        <v>#DIV/0!</v>
      </c>
      <c r="CN877" s="45" t="e">
        <f>CN884/CN891*100</f>
        <v>#DIV/0!</v>
      </c>
      <c r="CP877" s="45" t="e">
        <f>CP884/CP891*100</f>
        <v>#DIV/0!</v>
      </c>
      <c r="CQ877" s="45" t="e">
        <f>CQ884/CQ891*100</f>
        <v>#DIV/0!</v>
      </c>
      <c r="CS877" s="45" t="e">
        <f>CS884/CS891*100</f>
        <v>#DIV/0!</v>
      </c>
      <c r="CT877" s="45" t="e">
        <f>CT884/CT891*100</f>
        <v>#DIV/0!</v>
      </c>
      <c r="CV877" s="45" t="e">
        <f>CV884/CV891*100</f>
        <v>#DIV/0!</v>
      </c>
      <c r="CW877" s="45" t="e">
        <f>CW884/CW891*100</f>
        <v>#DIV/0!</v>
      </c>
      <c r="CY877" s="45" t="e">
        <f>CY884/CY891*100</f>
        <v>#DIV/0!</v>
      </c>
      <c r="CZ877" s="45" t="e">
        <f>CZ884/CZ891*100</f>
        <v>#DIV/0!</v>
      </c>
      <c r="DB877" s="45" t="e">
        <f>DB884/DB891*100</f>
        <v>#DIV/0!</v>
      </c>
      <c r="DC877" s="45" t="e">
        <f>DC884/DC891*100</f>
        <v>#DIV/0!</v>
      </c>
      <c r="DE877" s="45" t="e">
        <f>DE884/DE891*100</f>
        <v>#DIV/0!</v>
      </c>
      <c r="DF877" s="45" t="e">
        <f>DF884/DF891*100</f>
        <v>#DIV/0!</v>
      </c>
    </row>
    <row r="878" spans="1:110" ht="75" x14ac:dyDescent="0.25">
      <c r="A878" s="6"/>
      <c r="B878" s="16" t="s">
        <v>609</v>
      </c>
      <c r="C878" s="6"/>
      <c r="D878" s="13" t="s">
        <v>1111</v>
      </c>
      <c r="E878" s="12"/>
      <c r="F878" s="12"/>
      <c r="G878" s="12"/>
      <c r="H878" s="12"/>
      <c r="I878" s="12"/>
      <c r="J878" s="12"/>
      <c r="K878" s="12"/>
      <c r="L878" s="12"/>
    </row>
    <row r="879" spans="1:110" ht="30" x14ac:dyDescent="0.25">
      <c r="A879" s="6"/>
      <c r="B879" s="16" t="s">
        <v>588</v>
      </c>
      <c r="C879" s="6" t="s">
        <v>1589</v>
      </c>
      <c r="D879" s="13"/>
      <c r="E879" s="12"/>
      <c r="F879" s="12"/>
      <c r="G879" s="12"/>
      <c r="H879" s="12"/>
      <c r="I879" s="12"/>
      <c r="J879" s="12"/>
      <c r="K879" s="12"/>
      <c r="L879" s="12"/>
    </row>
    <row r="880" spans="1:110" x14ac:dyDescent="0.25">
      <c r="A880" s="6"/>
      <c r="B880" s="16" t="s">
        <v>1182</v>
      </c>
      <c r="C880" s="6"/>
      <c r="D880" s="13"/>
      <c r="E880" s="12"/>
      <c r="F880" s="12">
        <v>28922</v>
      </c>
      <c r="G880" s="12">
        <v>25671</v>
      </c>
      <c r="H880" s="12">
        <v>25671</v>
      </c>
      <c r="I880" s="12">
        <v>25671</v>
      </c>
      <c r="J880" s="12">
        <f>21426+2540</f>
        <v>23966</v>
      </c>
      <c r="K880" s="12">
        <v>19987</v>
      </c>
      <c r="L880" s="12">
        <v>16525</v>
      </c>
      <c r="M880" s="65"/>
      <c r="N880" s="241">
        <f>P880+S880+V880+Y880+AB880+AE880+AH880+AK880+AN880+AQ880+AW880+AZ880+BC880+BF880+BI880+BL880+BO880+BR880+BU880+BX880+CA880+CD880+CG880+CJ880+AT880+DE880</f>
        <v>19987</v>
      </c>
      <c r="O880" s="241">
        <f t="shared" ref="O880:O881" si="2371">Q880+T880+W880+Z880+AC880+AF880+AI880+AL880+AO880+AR880+AX880+BA880+BD880+BG880+BJ880+BM880+BP880+BS880+BV880+BY880+CB880+CE880+CH880+CK880+AU880+CN880+CQ880+DF880</f>
        <v>0</v>
      </c>
      <c r="P880">
        <v>0</v>
      </c>
      <c r="Q880">
        <v>0</v>
      </c>
      <c r="S880">
        <v>0</v>
      </c>
      <c r="V880">
        <v>0</v>
      </c>
      <c r="Y880">
        <v>0</v>
      </c>
      <c r="AB880">
        <v>0</v>
      </c>
      <c r="AE880">
        <v>2590</v>
      </c>
      <c r="AH880">
        <v>0</v>
      </c>
      <c r="AK880">
        <v>685</v>
      </c>
      <c r="AN880">
        <v>0</v>
      </c>
      <c r="AQ880">
        <v>0</v>
      </c>
      <c r="AT880" s="241">
        <v>0</v>
      </c>
      <c r="AW880">
        <v>0</v>
      </c>
      <c r="AZ880">
        <v>0</v>
      </c>
      <c r="BC880">
        <v>0</v>
      </c>
      <c r="BF880">
        <v>0</v>
      </c>
      <c r="BI880">
        <v>1481</v>
      </c>
      <c r="BL880">
        <v>9314</v>
      </c>
      <c r="BO880">
        <v>0</v>
      </c>
      <c r="BR880">
        <v>0</v>
      </c>
      <c r="BU880">
        <v>0</v>
      </c>
      <c r="BX880">
        <v>0</v>
      </c>
      <c r="CA880">
        <v>2577</v>
      </c>
      <c r="CD880">
        <v>3340</v>
      </c>
      <c r="CG880">
        <v>0</v>
      </c>
      <c r="CJ880">
        <v>0</v>
      </c>
      <c r="CM880">
        <v>0</v>
      </c>
      <c r="CP880">
        <v>0</v>
      </c>
      <c r="CS880">
        <v>0</v>
      </c>
      <c r="CV880">
        <v>0</v>
      </c>
      <c r="CY880">
        <v>0</v>
      </c>
      <c r="DB880">
        <v>0</v>
      </c>
    </row>
    <row r="881" spans="1:110" x14ac:dyDescent="0.25">
      <c r="A881" s="6"/>
      <c r="B881" s="16" t="s">
        <v>1184</v>
      </c>
      <c r="C881" s="6"/>
      <c r="D881" s="13"/>
      <c r="E881" s="12"/>
      <c r="F881" s="12">
        <v>0</v>
      </c>
      <c r="G881" s="12">
        <v>0</v>
      </c>
      <c r="H881" s="12">
        <v>0</v>
      </c>
      <c r="I881" s="12">
        <v>0</v>
      </c>
      <c r="J881" s="12">
        <v>0</v>
      </c>
      <c r="K881" s="12">
        <v>0</v>
      </c>
      <c r="L881" s="12">
        <v>0</v>
      </c>
      <c r="N881" s="241">
        <f>P881+S881+V881+Y881+AB881+AE881+AH881+AK881+AN881+AQ881+AW881+AZ881+BC881+BF881+BI881+BL881+BO881+BR881+BU881+BX881+CA881+CD881+CG881+CJ881+AT881+DE881</f>
        <v>0</v>
      </c>
      <c r="O881" s="241">
        <f t="shared" si="2371"/>
        <v>0</v>
      </c>
      <c r="S881">
        <v>0</v>
      </c>
      <c r="V881">
        <v>0</v>
      </c>
      <c r="Y881">
        <v>0</v>
      </c>
      <c r="AB881">
        <v>0</v>
      </c>
      <c r="AE881">
        <v>0</v>
      </c>
      <c r="AH881">
        <v>0</v>
      </c>
      <c r="AK881">
        <v>0</v>
      </c>
      <c r="AN881">
        <v>0</v>
      </c>
      <c r="AQ881">
        <v>0</v>
      </c>
      <c r="AT881" s="241">
        <v>0</v>
      </c>
      <c r="AW881">
        <v>0</v>
      </c>
      <c r="AZ881">
        <v>0</v>
      </c>
      <c r="BC881">
        <v>0</v>
      </c>
      <c r="BF881">
        <v>0</v>
      </c>
      <c r="BI881">
        <v>0</v>
      </c>
      <c r="BL881">
        <v>0</v>
      </c>
      <c r="BO881">
        <v>0</v>
      </c>
      <c r="BR881">
        <v>0</v>
      </c>
      <c r="BU881">
        <v>0</v>
      </c>
      <c r="BX881">
        <v>0</v>
      </c>
      <c r="CA881">
        <v>0</v>
      </c>
      <c r="CD881">
        <v>0</v>
      </c>
      <c r="CG881">
        <v>0</v>
      </c>
      <c r="CJ881">
        <v>0</v>
      </c>
      <c r="CM881">
        <v>0</v>
      </c>
      <c r="CP881">
        <v>0</v>
      </c>
      <c r="CS881">
        <v>0</v>
      </c>
      <c r="CV881">
        <v>0</v>
      </c>
      <c r="CY881">
        <v>0</v>
      </c>
      <c r="DB881">
        <v>0</v>
      </c>
      <c r="DE881">
        <v>0</v>
      </c>
      <c r="DF881">
        <v>0</v>
      </c>
    </row>
    <row r="882" spans="1:110" ht="30" x14ac:dyDescent="0.25">
      <c r="A882" s="6"/>
      <c r="B882" s="16" t="s">
        <v>591</v>
      </c>
      <c r="C882" s="6" t="s">
        <v>1587</v>
      </c>
      <c r="D882" s="13"/>
      <c r="E882" s="12"/>
      <c r="F882" s="12"/>
      <c r="G882" s="12"/>
      <c r="H882" s="12"/>
      <c r="I882" s="12"/>
      <c r="J882" s="12"/>
      <c r="K882" s="12"/>
      <c r="L882" s="12"/>
    </row>
    <row r="883" spans="1:110" x14ac:dyDescent="0.25">
      <c r="A883" s="6"/>
      <c r="B883" s="16" t="s">
        <v>1182</v>
      </c>
      <c r="C883" s="6"/>
      <c r="D883" s="13"/>
      <c r="E883" s="12"/>
      <c r="F883" s="12"/>
      <c r="G883" s="12"/>
      <c r="H883" s="12">
        <v>0</v>
      </c>
      <c r="I883" s="12">
        <v>0</v>
      </c>
      <c r="J883" s="12">
        <v>0</v>
      </c>
      <c r="K883" s="12">
        <v>0</v>
      </c>
      <c r="L883" s="12">
        <v>0</v>
      </c>
      <c r="N883" s="241">
        <f>P883+S883+V883+Y883+AB883+AE883+AH883+AK883+AN883+AQ883+AW883+AZ883+BC883+BF883+BI883+BL883+BO883+BR883+BU883+BX883+CA883+CD883+CG883+CJ883+AT883+DE883</f>
        <v>0</v>
      </c>
      <c r="O883" s="241">
        <f t="shared" ref="O883:O884" si="2372">Q883+T883+W883+Z883+AC883+AF883+AI883+AL883+AO883+AR883+AX883+BA883+BD883+BG883+BJ883+BM883+BP883+BS883+BV883+BY883+CB883+CE883+CH883+CK883+AU883+CN883+CQ883+DF883</f>
        <v>0</v>
      </c>
      <c r="P883">
        <v>0</v>
      </c>
      <c r="Q883">
        <v>0</v>
      </c>
      <c r="S883">
        <v>0</v>
      </c>
      <c r="V883">
        <v>0</v>
      </c>
      <c r="Y883">
        <v>0</v>
      </c>
      <c r="AB883">
        <v>0</v>
      </c>
      <c r="AE883">
        <v>0</v>
      </c>
      <c r="AH883">
        <v>0</v>
      </c>
      <c r="AK883">
        <v>0</v>
      </c>
      <c r="AN883">
        <v>0</v>
      </c>
      <c r="AQ883">
        <v>0</v>
      </c>
      <c r="AT883" s="241">
        <v>0</v>
      </c>
      <c r="AW883">
        <v>0</v>
      </c>
      <c r="AZ883">
        <v>0</v>
      </c>
      <c r="BC883">
        <v>0</v>
      </c>
      <c r="BF883">
        <v>0</v>
      </c>
      <c r="BI883">
        <v>0</v>
      </c>
      <c r="BL883">
        <v>0</v>
      </c>
      <c r="BO883">
        <v>0</v>
      </c>
      <c r="BR883">
        <v>0</v>
      </c>
      <c r="BU883">
        <v>0</v>
      </c>
      <c r="BX883">
        <v>0</v>
      </c>
      <c r="CA883">
        <v>0</v>
      </c>
      <c r="CD883">
        <v>0</v>
      </c>
      <c r="CG883">
        <v>0</v>
      </c>
      <c r="CJ883">
        <v>0</v>
      </c>
      <c r="CM883">
        <v>0</v>
      </c>
      <c r="CP883">
        <v>0</v>
      </c>
      <c r="CS883">
        <v>0</v>
      </c>
      <c r="CV883">
        <v>0</v>
      </c>
      <c r="CY883">
        <v>0</v>
      </c>
      <c r="DB883">
        <v>0</v>
      </c>
    </row>
    <row r="884" spans="1:110" x14ac:dyDescent="0.25">
      <c r="A884" s="6"/>
      <c r="B884" s="16" t="s">
        <v>1184</v>
      </c>
      <c r="C884" s="6"/>
      <c r="D884" s="13"/>
      <c r="E884" s="12"/>
      <c r="F884" s="12"/>
      <c r="G884" s="12"/>
      <c r="H884" s="12">
        <v>0</v>
      </c>
      <c r="I884" s="12">
        <v>0</v>
      </c>
      <c r="J884" s="12">
        <v>0</v>
      </c>
      <c r="K884" s="12">
        <v>0</v>
      </c>
      <c r="L884" s="12">
        <v>0</v>
      </c>
      <c r="N884" s="241">
        <f>P884+S884+V884+Y884+AB884+AE884+AH884+AK884+AN884+AQ884+AW884+AZ884+BC884+BF884+BI884+BL884+BO884+BR884+BU884+BX884+CA884+CD884+CG884+CJ884+AT884+DE884</f>
        <v>0</v>
      </c>
      <c r="O884" s="241">
        <f t="shared" si="2372"/>
        <v>0</v>
      </c>
      <c r="S884">
        <v>0</v>
      </c>
      <c r="V884">
        <v>0</v>
      </c>
      <c r="Y884">
        <v>0</v>
      </c>
      <c r="AB884">
        <v>0</v>
      </c>
      <c r="AE884">
        <v>0</v>
      </c>
      <c r="AH884">
        <v>0</v>
      </c>
      <c r="AK884">
        <v>0</v>
      </c>
      <c r="AN884">
        <v>0</v>
      </c>
      <c r="AQ884">
        <v>0</v>
      </c>
      <c r="AT884" s="241">
        <v>0</v>
      </c>
      <c r="AW884">
        <v>0</v>
      </c>
      <c r="AZ884">
        <v>0</v>
      </c>
      <c r="BC884">
        <v>0</v>
      </c>
      <c r="BF884">
        <v>0</v>
      </c>
      <c r="BI884">
        <v>0</v>
      </c>
      <c r="BL884">
        <v>0</v>
      </c>
      <c r="BO884">
        <v>0</v>
      </c>
      <c r="BR884">
        <v>0</v>
      </c>
      <c r="BU884">
        <v>0</v>
      </c>
      <c r="BX884">
        <v>0</v>
      </c>
      <c r="CA884">
        <v>0</v>
      </c>
      <c r="CD884">
        <v>0</v>
      </c>
      <c r="CG884">
        <v>0</v>
      </c>
      <c r="CJ884">
        <v>0</v>
      </c>
      <c r="CM884">
        <v>0</v>
      </c>
      <c r="CP884">
        <v>0</v>
      </c>
      <c r="CS884">
        <v>0</v>
      </c>
      <c r="CV884">
        <v>0</v>
      </c>
      <c r="CY884">
        <v>0</v>
      </c>
      <c r="DB884">
        <v>0</v>
      </c>
      <c r="DE884">
        <v>0</v>
      </c>
      <c r="DF884">
        <v>0</v>
      </c>
    </row>
    <row r="885" spans="1:110" ht="75" x14ac:dyDescent="0.25">
      <c r="A885" s="6"/>
      <c r="B885" s="16" t="s">
        <v>590</v>
      </c>
      <c r="C885" s="6"/>
      <c r="D885" s="13" t="s">
        <v>1111</v>
      </c>
      <c r="E885" s="12"/>
      <c r="F885" s="12"/>
      <c r="G885" s="12"/>
      <c r="H885" s="12"/>
      <c r="I885" s="12"/>
      <c r="J885" s="12"/>
      <c r="K885" s="12"/>
      <c r="L885" s="12"/>
      <c r="M885" s="3"/>
    </row>
    <row r="886" spans="1:110" ht="30" x14ac:dyDescent="0.25">
      <c r="A886" s="6"/>
      <c r="B886" s="16" t="s">
        <v>588</v>
      </c>
      <c r="C886" s="6" t="s">
        <v>1590</v>
      </c>
      <c r="D886" s="13"/>
      <c r="E886" s="12"/>
      <c r="F886" s="12"/>
      <c r="G886" s="12"/>
      <c r="H886" s="12"/>
      <c r="I886" s="12"/>
      <c r="J886" s="12"/>
      <c r="K886" s="12"/>
      <c r="L886" s="12"/>
      <c r="M886" s="3"/>
    </row>
    <row r="887" spans="1:110" x14ac:dyDescent="0.25">
      <c r="A887" s="6"/>
      <c r="B887" s="16" t="s">
        <v>1182</v>
      </c>
      <c r="C887" s="6"/>
      <c r="D887" s="13"/>
      <c r="E887" s="12"/>
      <c r="F887" s="12">
        <v>251736</v>
      </c>
      <c r="G887" s="12">
        <v>292547</v>
      </c>
      <c r="H887" s="12">
        <v>275204</v>
      </c>
      <c r="I887" s="12">
        <f>311444+20000</f>
        <v>331444</v>
      </c>
      <c r="J887" s="12">
        <v>310710</v>
      </c>
      <c r="K887" s="12">
        <f>K836</f>
        <v>294465</v>
      </c>
      <c r="L887" s="12">
        <f>L836</f>
        <v>329348</v>
      </c>
      <c r="M887" s="3"/>
      <c r="N887" s="241">
        <f>P887+S887+V887+Y887+AB887+AE887+AH887+AK887+AN887+AQ887+AW887+AZ887+BC887+BF887+BI887+BL887+BO887+BR887+BU887+BX887+CA887+CD887+CG887+CJ887+AT887+DE887</f>
        <v>292879</v>
      </c>
      <c r="O887" s="241">
        <f t="shared" ref="O887:O888" si="2373">Q887+T887+W887+Z887+AC887+AF887+AI887+AL887+AO887+AR887+AX887+BA887+BD887+BG887+BJ887+BM887+BP887+BS887+BV887+BY887+CB887+CE887+CH887+CK887+AU887+CN887+CQ887+DF887</f>
        <v>26834</v>
      </c>
      <c r="P887">
        <f>P866</f>
        <v>21552</v>
      </c>
      <c r="Q887" s="241">
        <f t="shared" ref="Q887:Q891" si="2374">Q866</f>
        <v>26834</v>
      </c>
      <c r="S887" s="241">
        <f>S866</f>
        <v>25036</v>
      </c>
      <c r="T887" s="241">
        <f t="shared" ref="T887:T891" si="2375">T866</f>
        <v>0</v>
      </c>
      <c r="V887" s="241">
        <f>V866</f>
        <v>14917</v>
      </c>
      <c r="W887" s="241">
        <f t="shared" ref="W887:W891" si="2376">W866</f>
        <v>0</v>
      </c>
      <c r="Y887" s="241">
        <f>Y866</f>
        <v>46940</v>
      </c>
      <c r="Z887" s="241">
        <f t="shared" ref="Z887:Z891" si="2377">Z866</f>
        <v>0</v>
      </c>
      <c r="AB887" s="241">
        <f>AB866</f>
        <v>18709</v>
      </c>
      <c r="AC887" s="241">
        <f t="shared" ref="AC887:AC891" si="2378">AC866</f>
        <v>0</v>
      </c>
      <c r="AE887" s="241">
        <f>AE866</f>
        <v>6129</v>
      </c>
      <c r="AF887" s="241">
        <f t="shared" ref="AF887:AF891" si="2379">AF866</f>
        <v>0</v>
      </c>
      <c r="AH887" s="241">
        <f>AH866</f>
        <v>2658</v>
      </c>
      <c r="AI887" s="241">
        <f t="shared" ref="AI887:AI891" si="2380">AI866</f>
        <v>0</v>
      </c>
      <c r="AK887" s="241">
        <f>AK866</f>
        <v>8214</v>
      </c>
      <c r="AL887" s="241">
        <f t="shared" ref="AL887:AL891" si="2381">AL866</f>
        <v>0</v>
      </c>
      <c r="AN887" s="241">
        <f>AN866</f>
        <v>0</v>
      </c>
      <c r="AO887" s="241">
        <f t="shared" ref="AO887:AO891" si="2382">AO866</f>
        <v>0</v>
      </c>
      <c r="AQ887" s="241">
        <f>AQ866</f>
        <v>9006</v>
      </c>
      <c r="AR887" s="241">
        <f t="shared" ref="AR887:AR891" si="2383">AR866</f>
        <v>0</v>
      </c>
      <c r="AT887" s="241">
        <f>AT866</f>
        <v>1738</v>
      </c>
      <c r="AU887" s="241">
        <f t="shared" ref="AU887:AU891" si="2384">AU866</f>
        <v>0</v>
      </c>
      <c r="AW887" s="241">
        <f>AW866</f>
        <v>8924</v>
      </c>
      <c r="AX887" s="241">
        <f t="shared" ref="AX887:AX891" si="2385">AX866</f>
        <v>0</v>
      </c>
      <c r="AZ887" s="241">
        <f>AZ866</f>
        <v>10418</v>
      </c>
      <c r="BA887" s="241">
        <f t="shared" ref="BA887:BA891" si="2386">BA866</f>
        <v>0</v>
      </c>
      <c r="BC887" s="241">
        <f>BC866</f>
        <v>12296</v>
      </c>
      <c r="BD887" s="241">
        <f t="shared" ref="BD887:BD891" si="2387">BD866</f>
        <v>0</v>
      </c>
      <c r="BF887" s="241">
        <f>BF866</f>
        <v>10975</v>
      </c>
      <c r="BG887" s="241">
        <f t="shared" ref="BG887:BG891" si="2388">BG866</f>
        <v>0</v>
      </c>
      <c r="BI887" s="241">
        <f>BI866</f>
        <v>5738</v>
      </c>
      <c r="BJ887" s="241">
        <f t="shared" ref="BJ887:BJ891" si="2389">BJ866</f>
        <v>0</v>
      </c>
      <c r="BL887" s="241">
        <f>BL866</f>
        <v>15534</v>
      </c>
      <c r="BM887" s="241">
        <f t="shared" ref="BM887:BM891" si="2390">BM866</f>
        <v>0</v>
      </c>
      <c r="BO887" s="241">
        <f>BO866</f>
        <v>11892</v>
      </c>
      <c r="BP887" s="241">
        <f t="shared" ref="BP887:BP891" si="2391">BP866</f>
        <v>0</v>
      </c>
      <c r="BR887" s="241">
        <f>BR866</f>
        <v>10195</v>
      </c>
      <c r="BS887" s="241">
        <f t="shared" ref="BS887:BS891" si="2392">BS866</f>
        <v>0</v>
      </c>
      <c r="BU887" s="241">
        <f>BU866</f>
        <v>11117</v>
      </c>
      <c r="BV887" s="241">
        <f t="shared" ref="BV887:BV891" si="2393">BV866</f>
        <v>0</v>
      </c>
      <c r="BX887" s="241">
        <f>BX866</f>
        <v>8960</v>
      </c>
      <c r="BY887" s="241">
        <f t="shared" ref="BY887:BY891" si="2394">BY866</f>
        <v>0</v>
      </c>
      <c r="CA887" s="241">
        <f>CA866</f>
        <v>20423</v>
      </c>
      <c r="CB887" s="241">
        <f t="shared" ref="CB887:CB891" si="2395">CB866</f>
        <v>0</v>
      </c>
      <c r="CD887" s="241">
        <f>CD866</f>
        <v>3340</v>
      </c>
      <c r="CE887" s="241">
        <f t="shared" ref="CE887:CE891" si="2396">CE866</f>
        <v>0</v>
      </c>
      <c r="CG887" s="241">
        <f>CG866</f>
        <v>8168</v>
      </c>
      <c r="CH887" s="241">
        <f t="shared" ref="CH887:CH891" si="2397">CH866</f>
        <v>0</v>
      </c>
      <c r="CJ887" s="241">
        <f>CJ866</f>
        <v>0</v>
      </c>
      <c r="CK887" s="241">
        <f t="shared" ref="CK887:CK891" si="2398">CK866</f>
        <v>0</v>
      </c>
      <c r="CM887" s="241">
        <f>CM866</f>
        <v>545</v>
      </c>
      <c r="CN887" s="241">
        <f t="shared" ref="CN887:CN891" si="2399">CN866</f>
        <v>0</v>
      </c>
      <c r="CP887" s="241">
        <f>CP866</f>
        <v>1041</v>
      </c>
      <c r="CQ887" s="241">
        <f t="shared" ref="CQ887:CQ891" si="2400">CQ866</f>
        <v>0</v>
      </c>
      <c r="CS887" s="241">
        <f>CS866</f>
        <v>8669</v>
      </c>
      <c r="CT887" s="241">
        <f t="shared" ref="CT887:CT891" si="2401">CT866</f>
        <v>0</v>
      </c>
      <c r="CV887" s="241">
        <f>CV866</f>
        <v>5027</v>
      </c>
      <c r="CW887" s="241">
        <f t="shared" ref="CW887:CW891" si="2402">CW866</f>
        <v>0</v>
      </c>
      <c r="CY887" s="241">
        <f>CY866</f>
        <v>11728</v>
      </c>
      <c r="CZ887" s="241">
        <f t="shared" ref="CZ887:CZ891" si="2403">CZ866</f>
        <v>0</v>
      </c>
      <c r="DB887" s="241">
        <f>DB866</f>
        <v>5162</v>
      </c>
      <c r="DC887" s="241">
        <f t="shared" ref="DC887:DC891" si="2404">DC866</f>
        <v>0</v>
      </c>
      <c r="DE887" s="241"/>
      <c r="DF887" s="241"/>
    </row>
    <row r="888" spans="1:110" x14ac:dyDescent="0.25">
      <c r="A888" s="6"/>
      <c r="B888" s="16" t="s">
        <v>1184</v>
      </c>
      <c r="C888" s="6"/>
      <c r="D888" s="13"/>
      <c r="E888" s="12"/>
      <c r="F888" s="12">
        <v>4323</v>
      </c>
      <c r="G888" s="12">
        <v>4323</v>
      </c>
      <c r="H888" s="12">
        <v>4323</v>
      </c>
      <c r="I888" s="12">
        <v>4323</v>
      </c>
      <c r="J888" s="12">
        <v>4795</v>
      </c>
      <c r="K888" s="12">
        <f>K837</f>
        <v>4795</v>
      </c>
      <c r="L888" s="12">
        <f>L837</f>
        <v>6889</v>
      </c>
      <c r="M888" s="3"/>
      <c r="N888" s="241">
        <f>P888+S888+V888+Y888+AB888+AE888+AH888+AK888+AN888+AQ888+AW888+AZ888+BC888+BF888+BI888+BL888+BO888+BR888+BU888+BX888+CA888+CD888+CG888+CJ888+AT888+DE888</f>
        <v>4795</v>
      </c>
      <c r="O888" s="241">
        <f t="shared" si="2373"/>
        <v>6235</v>
      </c>
      <c r="P888" s="241">
        <f t="shared" ref="P888" si="2405">P867</f>
        <v>0</v>
      </c>
      <c r="Q888" s="241">
        <f t="shared" si="2374"/>
        <v>0</v>
      </c>
      <c r="S888" s="241">
        <f t="shared" ref="S888" si="2406">S867</f>
        <v>0</v>
      </c>
      <c r="T888" s="241">
        <f t="shared" si="2375"/>
        <v>0</v>
      </c>
      <c r="V888" s="241">
        <f t="shared" ref="V888" si="2407">V867</f>
        <v>0</v>
      </c>
      <c r="W888" s="241">
        <f t="shared" si="2376"/>
        <v>0</v>
      </c>
      <c r="Y888" s="241">
        <f t="shared" ref="Y888" si="2408">Y867</f>
        <v>0</v>
      </c>
      <c r="Z888" s="241">
        <f t="shared" si="2377"/>
        <v>0</v>
      </c>
      <c r="AB888" s="241">
        <f t="shared" ref="AB888" si="2409">AB867</f>
        <v>0</v>
      </c>
      <c r="AC888" s="241">
        <f t="shared" si="2378"/>
        <v>0</v>
      </c>
      <c r="AE888" s="241">
        <f t="shared" ref="AE888" si="2410">AE867</f>
        <v>0</v>
      </c>
      <c r="AF888" s="241">
        <f t="shared" si="2379"/>
        <v>0</v>
      </c>
      <c r="AH888" s="241">
        <f t="shared" ref="AH888" si="2411">AH867</f>
        <v>0</v>
      </c>
      <c r="AI888" s="241">
        <f t="shared" si="2380"/>
        <v>0</v>
      </c>
      <c r="AK888" s="241">
        <f t="shared" ref="AK888" si="2412">AK867</f>
        <v>0</v>
      </c>
      <c r="AL888" s="241">
        <f t="shared" si="2381"/>
        <v>0</v>
      </c>
      <c r="AN888" s="241">
        <f t="shared" ref="AN888" si="2413">AN867</f>
        <v>0</v>
      </c>
      <c r="AO888" s="241">
        <f t="shared" si="2382"/>
        <v>0</v>
      </c>
      <c r="AQ888" s="241">
        <f t="shared" ref="AQ888" si="2414">AQ867</f>
        <v>0</v>
      </c>
      <c r="AR888" s="241">
        <f t="shared" si="2383"/>
        <v>0</v>
      </c>
      <c r="AT888" s="241">
        <f t="shared" ref="AT888" si="2415">AT867</f>
        <v>0</v>
      </c>
      <c r="AU888" s="241">
        <f t="shared" si="2384"/>
        <v>0</v>
      </c>
      <c r="AW888" s="241">
        <f t="shared" ref="AW888" si="2416">AW867</f>
        <v>0</v>
      </c>
      <c r="AX888" s="241">
        <f t="shared" si="2385"/>
        <v>0</v>
      </c>
      <c r="AZ888" s="241">
        <f t="shared" ref="AZ888" si="2417">AZ867</f>
        <v>0</v>
      </c>
      <c r="BA888" s="241">
        <f t="shared" si="2386"/>
        <v>0</v>
      </c>
      <c r="BC888" s="241">
        <f t="shared" ref="BC888" si="2418">BC867</f>
        <v>0</v>
      </c>
      <c r="BD888" s="241">
        <f t="shared" si="2387"/>
        <v>0</v>
      </c>
      <c r="BF888" s="241">
        <f t="shared" ref="BF888" si="2419">BF867</f>
        <v>0</v>
      </c>
      <c r="BG888" s="241">
        <f t="shared" si="2388"/>
        <v>0</v>
      </c>
      <c r="BI888" s="241">
        <f t="shared" ref="BI888" si="2420">BI867</f>
        <v>0</v>
      </c>
      <c r="BJ888" s="241">
        <f t="shared" si="2389"/>
        <v>0</v>
      </c>
      <c r="BL888" s="241">
        <f t="shared" ref="BL888" si="2421">BL867</f>
        <v>0</v>
      </c>
      <c r="BM888" s="241">
        <f t="shared" si="2390"/>
        <v>0</v>
      </c>
      <c r="BO888" s="241">
        <f t="shared" ref="BO888" si="2422">BO867</f>
        <v>0</v>
      </c>
      <c r="BP888" s="241">
        <f t="shared" si="2391"/>
        <v>0</v>
      </c>
      <c r="BR888" s="241">
        <f t="shared" ref="BR888" si="2423">BR867</f>
        <v>0</v>
      </c>
      <c r="BS888" s="241">
        <f t="shared" si="2392"/>
        <v>0</v>
      </c>
      <c r="BU888" s="241">
        <f t="shared" ref="BU888" si="2424">BU867</f>
        <v>0</v>
      </c>
      <c r="BV888" s="241">
        <f t="shared" si="2393"/>
        <v>0</v>
      </c>
      <c r="BX888" s="241">
        <f t="shared" ref="BX888" si="2425">BX867</f>
        <v>0</v>
      </c>
      <c r="BY888" s="241">
        <f t="shared" si="2394"/>
        <v>0</v>
      </c>
      <c r="CA888" s="241">
        <f t="shared" ref="CA888" si="2426">CA867</f>
        <v>0</v>
      </c>
      <c r="CB888" s="241">
        <f t="shared" si="2395"/>
        <v>0</v>
      </c>
      <c r="CD888" s="241">
        <f t="shared" ref="CD888" si="2427">CD867</f>
        <v>0</v>
      </c>
      <c r="CE888" s="241">
        <f t="shared" si="2396"/>
        <v>0</v>
      </c>
      <c r="CG888" s="241">
        <f t="shared" ref="CG888" si="2428">CG867</f>
        <v>0</v>
      </c>
      <c r="CH888" s="241">
        <f t="shared" si="2397"/>
        <v>0</v>
      </c>
      <c r="CJ888" s="241">
        <f t="shared" ref="CJ888" si="2429">CJ867</f>
        <v>0</v>
      </c>
      <c r="CK888" s="241">
        <f t="shared" si="2398"/>
        <v>0</v>
      </c>
      <c r="CM888" s="241">
        <f t="shared" ref="CM888" si="2430">CM867</f>
        <v>0</v>
      </c>
      <c r="CN888" s="241">
        <f t="shared" si="2399"/>
        <v>0</v>
      </c>
      <c r="CP888" s="241">
        <f t="shared" ref="CP888" si="2431">CP867</f>
        <v>0</v>
      </c>
      <c r="CQ888" s="241">
        <f t="shared" si="2400"/>
        <v>0</v>
      </c>
      <c r="CS888" s="241">
        <f t="shared" ref="CS888" si="2432">CS867</f>
        <v>0</v>
      </c>
      <c r="CT888" s="241">
        <f t="shared" si="2401"/>
        <v>0</v>
      </c>
      <c r="CV888" s="241">
        <f t="shared" ref="CV888" si="2433">CV867</f>
        <v>0</v>
      </c>
      <c r="CW888" s="241">
        <f t="shared" si="2402"/>
        <v>0</v>
      </c>
      <c r="CY888" s="241">
        <f t="shared" ref="CY888" si="2434">CY867</f>
        <v>0</v>
      </c>
      <c r="CZ888" s="241">
        <f t="shared" si="2403"/>
        <v>0</v>
      </c>
      <c r="DB888" s="241">
        <f t="shared" ref="DB888" si="2435">DB867</f>
        <v>0</v>
      </c>
      <c r="DC888" s="241">
        <f t="shared" si="2404"/>
        <v>0</v>
      </c>
      <c r="DE888" s="241">
        <f t="shared" ref="DE888" si="2436">DE867</f>
        <v>4795</v>
      </c>
      <c r="DF888" s="241">
        <f t="shared" ref="DF888:DF891" si="2437">DF867</f>
        <v>6235</v>
      </c>
    </row>
    <row r="889" spans="1:110" ht="30" x14ac:dyDescent="0.25">
      <c r="A889" s="6"/>
      <c r="B889" s="16" t="s">
        <v>591</v>
      </c>
      <c r="C889" s="6" t="s">
        <v>1586</v>
      </c>
      <c r="D889" s="13"/>
      <c r="E889" s="12"/>
      <c r="F889" s="12"/>
      <c r="G889" s="12"/>
      <c r="H889" s="12"/>
      <c r="I889" s="12"/>
      <c r="J889" s="12"/>
      <c r="K889" s="12"/>
      <c r="L889" s="12"/>
      <c r="M889" s="3"/>
      <c r="S889" s="241"/>
      <c r="T889" s="241"/>
      <c r="V889" s="241"/>
      <c r="W889" s="241"/>
      <c r="Y889" s="241"/>
      <c r="Z889" s="241"/>
      <c r="AB889" s="241"/>
      <c r="AC889" s="241"/>
      <c r="AE889" s="241"/>
      <c r="AF889" s="241"/>
      <c r="AH889" s="241"/>
      <c r="AI889" s="241"/>
      <c r="AK889" s="241"/>
      <c r="AL889" s="241"/>
      <c r="AN889" s="241"/>
      <c r="AO889" s="241"/>
      <c r="AQ889" s="241"/>
      <c r="AR889" s="241"/>
      <c r="AW889" s="241"/>
      <c r="AX889" s="241"/>
      <c r="AZ889" s="241"/>
      <c r="BA889" s="241"/>
      <c r="BC889" s="241"/>
      <c r="BD889" s="241"/>
      <c r="BF889" s="241"/>
      <c r="BG889" s="241"/>
      <c r="BI889" s="241"/>
      <c r="BJ889" s="241"/>
      <c r="BL889" s="241"/>
      <c r="BM889" s="241"/>
      <c r="BO889" s="241"/>
      <c r="BP889" s="241"/>
      <c r="BR889" s="241"/>
      <c r="BS889" s="241"/>
      <c r="BU889" s="241"/>
      <c r="BV889" s="241"/>
      <c r="BX889" s="241"/>
      <c r="BY889" s="241"/>
      <c r="CA889" s="241"/>
      <c r="CB889" s="241"/>
      <c r="CD889" s="241"/>
      <c r="CE889" s="241"/>
      <c r="CG889" s="241"/>
      <c r="CH889" s="241"/>
      <c r="CJ889" s="241"/>
      <c r="CK889" s="241"/>
      <c r="CM889" s="241"/>
      <c r="CN889" s="241"/>
      <c r="CP889" s="241"/>
      <c r="CQ889" s="241"/>
      <c r="CS889" s="241"/>
      <c r="CT889" s="241"/>
      <c r="CV889" s="241"/>
      <c r="CW889" s="241"/>
      <c r="CY889" s="241"/>
      <c r="CZ889" s="241"/>
      <c r="DB889" s="241"/>
      <c r="DC889" s="241"/>
      <c r="DE889" s="241"/>
      <c r="DF889" s="241"/>
    </row>
    <row r="890" spans="1:110" x14ac:dyDescent="0.25">
      <c r="A890" s="6"/>
      <c r="B890" s="16" t="s">
        <v>1182</v>
      </c>
      <c r="C890" s="6"/>
      <c r="D890" s="13"/>
      <c r="E890" s="12"/>
      <c r="F890" s="12"/>
      <c r="G890" s="12"/>
      <c r="H890" s="12">
        <v>63570</v>
      </c>
      <c r="I890" s="12">
        <v>63570</v>
      </c>
      <c r="J890" s="12">
        <v>68786</v>
      </c>
      <c r="K890" s="12">
        <f>K842</f>
        <v>68686</v>
      </c>
      <c r="L890" s="12">
        <f>L842</f>
        <v>68155</v>
      </c>
      <c r="M890" s="3"/>
      <c r="N890" s="241">
        <f>P890+S890+V890+Y890+AB890+AE890+AH890+AK890+AN890+AQ890+AW890+AZ890+BC890+BF890+BI890+BL890+BO890+BR890+BU890+BX890+CA890+CD890+CG890+CJ890+AT890+DE890</f>
        <v>68686</v>
      </c>
      <c r="O890" s="241">
        <f t="shared" ref="O890:O891" si="2438">Q890+T890+W890+Z890+AC890+AF890+AI890+AL890+AO890+AR890+AX890+BA890+BD890+BG890+BJ890+BM890+BP890+BS890+BV890+BY890+CB890+CE890+CH890+CK890+AU890+CN890+CQ890+DF890</f>
        <v>11328</v>
      </c>
      <c r="P890" s="241">
        <f>P869</f>
        <v>11328</v>
      </c>
      <c r="Q890" s="241">
        <f t="shared" si="2374"/>
        <v>11328</v>
      </c>
      <c r="S890" s="241">
        <f>S869</f>
        <v>9593</v>
      </c>
      <c r="T890" s="241">
        <f t="shared" si="2375"/>
        <v>0</v>
      </c>
      <c r="V890" s="241">
        <f>V869</f>
        <v>4072</v>
      </c>
      <c r="W890" s="241">
        <f t="shared" si="2376"/>
        <v>0</v>
      </c>
      <c r="Y890" s="241">
        <f>Y869</f>
        <v>5043</v>
      </c>
      <c r="Z890" s="241">
        <f t="shared" si="2377"/>
        <v>0</v>
      </c>
      <c r="AB890" s="241">
        <f>AB869</f>
        <v>14255</v>
      </c>
      <c r="AC890" s="241">
        <f t="shared" si="2378"/>
        <v>0</v>
      </c>
      <c r="AE890" s="241">
        <f>AE869</f>
        <v>0</v>
      </c>
      <c r="AF890" s="241">
        <f t="shared" si="2379"/>
        <v>0</v>
      </c>
      <c r="AH890" s="241">
        <f>AH869</f>
        <v>748</v>
      </c>
      <c r="AI890" s="241">
        <f t="shared" si="2380"/>
        <v>0</v>
      </c>
      <c r="AK890" s="241">
        <f>AK869</f>
        <v>695</v>
      </c>
      <c r="AL890" s="241">
        <f t="shared" si="2381"/>
        <v>0</v>
      </c>
      <c r="AN890" s="241">
        <f>AN869</f>
        <v>0</v>
      </c>
      <c r="AO890" s="241">
        <f t="shared" si="2382"/>
        <v>0</v>
      </c>
      <c r="AQ890" s="241">
        <f>AQ869</f>
        <v>0</v>
      </c>
      <c r="AR890" s="241">
        <f t="shared" si="2383"/>
        <v>0</v>
      </c>
      <c r="AT890" s="241">
        <f>AT869</f>
        <v>0</v>
      </c>
      <c r="AU890" s="241">
        <f t="shared" si="2384"/>
        <v>0</v>
      </c>
      <c r="AW890" s="241">
        <f>AW869</f>
        <v>3137</v>
      </c>
      <c r="AX890" s="241">
        <f t="shared" si="2385"/>
        <v>0</v>
      </c>
      <c r="AZ890" s="241">
        <f>AZ869</f>
        <v>0</v>
      </c>
      <c r="BA890" s="241">
        <f t="shared" si="2386"/>
        <v>0</v>
      </c>
      <c r="BC890" s="241">
        <f>BC869</f>
        <v>425</v>
      </c>
      <c r="BD890" s="241">
        <f t="shared" si="2387"/>
        <v>0</v>
      </c>
      <c r="BF890" s="241">
        <f>BF869</f>
        <v>6728</v>
      </c>
      <c r="BG890" s="241">
        <f t="shared" si="2388"/>
        <v>0</v>
      </c>
      <c r="BI890" s="241">
        <f>BI869</f>
        <v>600</v>
      </c>
      <c r="BJ890" s="241">
        <f t="shared" si="2389"/>
        <v>0</v>
      </c>
      <c r="BL890" s="241">
        <f>BL869</f>
        <v>0</v>
      </c>
      <c r="BM890" s="241">
        <f t="shared" si="2390"/>
        <v>0</v>
      </c>
      <c r="BO890" s="241">
        <f>BO869</f>
        <v>2279</v>
      </c>
      <c r="BP890" s="241">
        <f t="shared" si="2391"/>
        <v>0</v>
      </c>
      <c r="BR890" s="241">
        <f>BR869</f>
        <v>0</v>
      </c>
      <c r="BS890" s="241">
        <f t="shared" si="2392"/>
        <v>0</v>
      </c>
      <c r="BU890" s="241">
        <f>BU869</f>
        <v>0</v>
      </c>
      <c r="BV890" s="241">
        <f t="shared" si="2393"/>
        <v>0</v>
      </c>
      <c r="BX890" s="241">
        <f>BX869</f>
        <v>3136</v>
      </c>
      <c r="BY890" s="241">
        <f t="shared" si="2394"/>
        <v>0</v>
      </c>
      <c r="CA890" s="241">
        <f>CA869</f>
        <v>4991</v>
      </c>
      <c r="CB890" s="241">
        <f t="shared" si="2395"/>
        <v>0</v>
      </c>
      <c r="CD890" s="241">
        <f>CD869</f>
        <v>0</v>
      </c>
      <c r="CE890" s="241">
        <f t="shared" si="2396"/>
        <v>0</v>
      </c>
      <c r="CG890" s="241">
        <f>CG869</f>
        <v>1656</v>
      </c>
      <c r="CH890" s="241">
        <f t="shared" si="2397"/>
        <v>0</v>
      </c>
      <c r="CJ890" s="241">
        <f>CJ869</f>
        <v>0</v>
      </c>
      <c r="CK890" s="241">
        <f t="shared" si="2398"/>
        <v>0</v>
      </c>
      <c r="CM890" s="241">
        <f>CM869</f>
        <v>0</v>
      </c>
      <c r="CN890" s="241">
        <f t="shared" si="2399"/>
        <v>0</v>
      </c>
      <c r="CP890" s="241">
        <f>CP869</f>
        <v>0</v>
      </c>
      <c r="CQ890" s="241">
        <f t="shared" si="2400"/>
        <v>0</v>
      </c>
      <c r="CS890" s="241">
        <f>CS869</f>
        <v>0</v>
      </c>
      <c r="CT890" s="241">
        <f t="shared" si="2401"/>
        <v>0</v>
      </c>
      <c r="CV890" s="241">
        <f>CV869</f>
        <v>0</v>
      </c>
      <c r="CW890" s="241">
        <f t="shared" si="2402"/>
        <v>0</v>
      </c>
      <c r="CY890" s="241">
        <f>CY869</f>
        <v>0</v>
      </c>
      <c r="CZ890" s="241">
        <f t="shared" si="2403"/>
        <v>0</v>
      </c>
      <c r="DB890" s="241">
        <f>DB869</f>
        <v>0</v>
      </c>
      <c r="DC890" s="241">
        <f t="shared" si="2404"/>
        <v>0</v>
      </c>
      <c r="DE890" s="241"/>
      <c r="DF890" s="241"/>
    </row>
    <row r="891" spans="1:110" x14ac:dyDescent="0.25">
      <c r="A891" s="6"/>
      <c r="B891" s="16" t="s">
        <v>1184</v>
      </c>
      <c r="C891" s="6"/>
      <c r="D891" s="13"/>
      <c r="E891" s="12"/>
      <c r="F891" s="12"/>
      <c r="G891" s="12"/>
      <c r="H891" s="12">
        <v>0</v>
      </c>
      <c r="I891" s="12">
        <v>0</v>
      </c>
      <c r="J891" s="12">
        <v>0</v>
      </c>
      <c r="K891" s="12">
        <f>K843</f>
        <v>0</v>
      </c>
      <c r="L891" s="12">
        <f>L843</f>
        <v>0</v>
      </c>
      <c r="M891" s="3"/>
      <c r="N891" s="241">
        <f>P891+S891+V891+Y891+AB891+AE891+AH891+AK891+AN891+AQ891+AW891+AZ891+BC891+BF891+BI891+BL891+BO891+BR891+BU891+BX891+CA891+CD891+CG891+CJ891+AT891+DE891</f>
        <v>0</v>
      </c>
      <c r="O891" s="241">
        <f t="shared" si="2438"/>
        <v>0</v>
      </c>
      <c r="P891" s="241">
        <f t="shared" ref="P891" si="2439">P870</f>
        <v>0</v>
      </c>
      <c r="Q891" s="241">
        <f t="shared" si="2374"/>
        <v>0</v>
      </c>
      <c r="S891" s="241">
        <f t="shared" ref="S891" si="2440">S870</f>
        <v>0</v>
      </c>
      <c r="T891" s="241">
        <f t="shared" si="2375"/>
        <v>0</v>
      </c>
      <c r="V891" s="241">
        <f t="shared" ref="V891" si="2441">V870</f>
        <v>0</v>
      </c>
      <c r="W891" s="241">
        <f t="shared" si="2376"/>
        <v>0</v>
      </c>
      <c r="Y891" s="241">
        <f t="shared" ref="Y891" si="2442">Y870</f>
        <v>0</v>
      </c>
      <c r="Z891" s="241">
        <f t="shared" si="2377"/>
        <v>0</v>
      </c>
      <c r="AB891" s="241">
        <f t="shared" ref="AB891" si="2443">AB870</f>
        <v>0</v>
      </c>
      <c r="AC891" s="241">
        <f t="shared" si="2378"/>
        <v>0</v>
      </c>
      <c r="AE891" s="241">
        <f t="shared" ref="AE891" si="2444">AE870</f>
        <v>0</v>
      </c>
      <c r="AF891" s="241">
        <f t="shared" si="2379"/>
        <v>0</v>
      </c>
      <c r="AH891" s="241">
        <f t="shared" ref="AH891" si="2445">AH870</f>
        <v>0</v>
      </c>
      <c r="AI891" s="241">
        <f t="shared" si="2380"/>
        <v>0</v>
      </c>
      <c r="AK891" s="241">
        <f t="shared" ref="AK891" si="2446">AK870</f>
        <v>0</v>
      </c>
      <c r="AL891" s="241">
        <f t="shared" si="2381"/>
        <v>0</v>
      </c>
      <c r="AN891" s="241">
        <f t="shared" ref="AN891" si="2447">AN870</f>
        <v>0</v>
      </c>
      <c r="AO891" s="241">
        <f t="shared" si="2382"/>
        <v>0</v>
      </c>
      <c r="AQ891" s="241">
        <f t="shared" ref="AQ891" si="2448">AQ870</f>
        <v>0</v>
      </c>
      <c r="AR891" s="241">
        <f t="shared" si="2383"/>
        <v>0</v>
      </c>
      <c r="AT891" s="241">
        <f t="shared" ref="AT891" si="2449">AT870</f>
        <v>0</v>
      </c>
      <c r="AU891" s="241">
        <f t="shared" si="2384"/>
        <v>0</v>
      </c>
      <c r="AW891" s="241">
        <f t="shared" ref="AW891" si="2450">AW870</f>
        <v>0</v>
      </c>
      <c r="AX891" s="241">
        <f t="shared" si="2385"/>
        <v>0</v>
      </c>
      <c r="AZ891" s="241">
        <f t="shared" ref="AZ891" si="2451">AZ870</f>
        <v>0</v>
      </c>
      <c r="BA891" s="241">
        <f t="shared" si="2386"/>
        <v>0</v>
      </c>
      <c r="BC891" s="241">
        <f t="shared" ref="BC891" si="2452">BC870</f>
        <v>0</v>
      </c>
      <c r="BD891" s="241">
        <f t="shared" si="2387"/>
        <v>0</v>
      </c>
      <c r="BF891" s="241">
        <f t="shared" ref="BF891" si="2453">BF870</f>
        <v>0</v>
      </c>
      <c r="BG891" s="241">
        <f t="shared" si="2388"/>
        <v>0</v>
      </c>
      <c r="BI891" s="241">
        <f t="shared" ref="BI891" si="2454">BI870</f>
        <v>0</v>
      </c>
      <c r="BJ891" s="241">
        <f t="shared" si="2389"/>
        <v>0</v>
      </c>
      <c r="BL891" s="241">
        <f t="shared" ref="BL891" si="2455">BL870</f>
        <v>0</v>
      </c>
      <c r="BM891" s="241">
        <f t="shared" si="2390"/>
        <v>0</v>
      </c>
      <c r="BO891" s="241">
        <f t="shared" ref="BO891" si="2456">BO870</f>
        <v>0</v>
      </c>
      <c r="BP891" s="241">
        <f t="shared" si="2391"/>
        <v>0</v>
      </c>
      <c r="BR891" s="241">
        <f t="shared" ref="BR891" si="2457">BR870</f>
        <v>0</v>
      </c>
      <c r="BS891" s="241">
        <f t="shared" si="2392"/>
        <v>0</v>
      </c>
      <c r="BU891" s="241">
        <f t="shared" ref="BU891" si="2458">BU870</f>
        <v>0</v>
      </c>
      <c r="BV891" s="241">
        <f t="shared" si="2393"/>
        <v>0</v>
      </c>
      <c r="BX891" s="241">
        <f t="shared" ref="BX891" si="2459">BX870</f>
        <v>0</v>
      </c>
      <c r="BY891" s="241">
        <f t="shared" si="2394"/>
        <v>0</v>
      </c>
      <c r="CA891" s="241">
        <f t="shared" ref="CA891" si="2460">CA870</f>
        <v>0</v>
      </c>
      <c r="CB891" s="241">
        <f t="shared" si="2395"/>
        <v>0</v>
      </c>
      <c r="CD891" s="241">
        <f t="shared" ref="CD891" si="2461">CD870</f>
        <v>0</v>
      </c>
      <c r="CE891" s="241">
        <f t="shared" si="2396"/>
        <v>0</v>
      </c>
      <c r="CG891" s="241">
        <f t="shared" ref="CG891" si="2462">CG870</f>
        <v>0</v>
      </c>
      <c r="CH891" s="241">
        <f t="shared" si="2397"/>
        <v>0</v>
      </c>
      <c r="CJ891" s="241">
        <f t="shared" ref="CJ891" si="2463">CJ870</f>
        <v>0</v>
      </c>
      <c r="CK891" s="241">
        <f t="shared" si="2398"/>
        <v>0</v>
      </c>
      <c r="CM891" s="241">
        <f t="shared" ref="CM891" si="2464">CM870</f>
        <v>0</v>
      </c>
      <c r="CN891" s="241">
        <f t="shared" si="2399"/>
        <v>0</v>
      </c>
      <c r="CP891" s="241">
        <f t="shared" ref="CP891" si="2465">CP870</f>
        <v>0</v>
      </c>
      <c r="CQ891" s="241">
        <f t="shared" si="2400"/>
        <v>0</v>
      </c>
      <c r="CS891" s="241">
        <f t="shared" ref="CS891" si="2466">CS870</f>
        <v>0</v>
      </c>
      <c r="CT891" s="241">
        <f t="shared" si="2401"/>
        <v>0</v>
      </c>
      <c r="CV891" s="241">
        <f t="shared" ref="CV891" si="2467">CV870</f>
        <v>0</v>
      </c>
      <c r="CW891" s="241">
        <f t="shared" si="2402"/>
        <v>0</v>
      </c>
      <c r="CY891" s="241">
        <f t="shared" ref="CY891" si="2468">CY870</f>
        <v>0</v>
      </c>
      <c r="CZ891" s="241">
        <f t="shared" si="2403"/>
        <v>0</v>
      </c>
      <c r="DB891" s="241">
        <f t="shared" ref="DB891" si="2469">DB870</f>
        <v>0</v>
      </c>
      <c r="DC891" s="241">
        <f t="shared" si="2404"/>
        <v>0</v>
      </c>
      <c r="DE891" s="241">
        <f t="shared" ref="DE891" si="2470">DE870</f>
        <v>0</v>
      </c>
      <c r="DF891" s="241">
        <f t="shared" si="2437"/>
        <v>0</v>
      </c>
    </row>
    <row r="892" spans="1:110" ht="75" hidden="1" x14ac:dyDescent="0.25">
      <c r="A892" s="42" t="s">
        <v>772</v>
      </c>
      <c r="B892" s="51" t="s">
        <v>610</v>
      </c>
      <c r="C892" s="42"/>
      <c r="D892" s="42"/>
      <c r="E892" s="50"/>
      <c r="F892" s="50"/>
      <c r="G892" s="50"/>
      <c r="H892" s="50"/>
      <c r="I892" s="50"/>
      <c r="J892" s="50"/>
      <c r="K892" s="50"/>
      <c r="L892" s="50"/>
      <c r="M892" s="3" t="s">
        <v>281</v>
      </c>
    </row>
    <row r="893" spans="1:110" hidden="1" x14ac:dyDescent="0.25">
      <c r="A893" s="42"/>
      <c r="B893" s="135" t="s">
        <v>1182</v>
      </c>
      <c r="C893" s="42"/>
      <c r="D893" s="42" t="s">
        <v>8</v>
      </c>
      <c r="E893" s="45">
        <v>0</v>
      </c>
      <c r="F893" s="45">
        <f t="shared" ref="F893:K893" si="2471">F896/F899*100</f>
        <v>0</v>
      </c>
      <c r="G893" s="45">
        <f t="shared" si="2471"/>
        <v>0</v>
      </c>
      <c r="H893" s="45">
        <f t="shared" si="2471"/>
        <v>0</v>
      </c>
      <c r="I893" s="45" t="e">
        <f t="shared" si="2471"/>
        <v>#DIV/0!</v>
      </c>
      <c r="J893" s="45" t="e">
        <f t="shared" si="2471"/>
        <v>#DIV/0!</v>
      </c>
      <c r="K893" s="45" t="e">
        <f t="shared" si="2471"/>
        <v>#DIV/0!</v>
      </c>
      <c r="L893" s="45" t="e">
        <f t="shared" ref="L893" si="2472">L896/L899*100</f>
        <v>#DIV/0!</v>
      </c>
      <c r="M893" s="3"/>
    </row>
    <row r="894" spans="1:110" hidden="1" x14ac:dyDescent="0.25">
      <c r="A894" s="42"/>
      <c r="B894" s="135" t="s">
        <v>1184</v>
      </c>
      <c r="C894" s="42"/>
      <c r="D894" s="42" t="s">
        <v>8</v>
      </c>
      <c r="E894" s="45">
        <v>0</v>
      </c>
      <c r="F894" s="45">
        <v>0</v>
      </c>
      <c r="G894" s="45">
        <v>0</v>
      </c>
      <c r="H894" s="45" t="e">
        <f>H897/H900*100</f>
        <v>#DIV/0!</v>
      </c>
      <c r="I894" s="45" t="e">
        <f>I897/I900*100</f>
        <v>#DIV/0!</v>
      </c>
      <c r="J894" s="45" t="e">
        <f>J897/J900*100</f>
        <v>#DIV/0!</v>
      </c>
      <c r="K894" s="45" t="e">
        <f>K897/K900*100</f>
        <v>#DIV/0!</v>
      </c>
      <c r="L894" s="45" t="e">
        <f>L897/L900*100</f>
        <v>#DIV/0!</v>
      </c>
      <c r="M894" s="3"/>
    </row>
    <row r="895" spans="1:110" ht="75" hidden="1" x14ac:dyDescent="0.25">
      <c r="A895" s="6"/>
      <c r="B895" s="16" t="s">
        <v>611</v>
      </c>
      <c r="C895" s="6" t="s">
        <v>1588</v>
      </c>
      <c r="D895" s="13" t="s">
        <v>1111</v>
      </c>
      <c r="E895" s="12"/>
      <c r="F895" s="12"/>
      <c r="G895" s="12"/>
      <c r="H895" s="12"/>
      <c r="I895" s="12"/>
      <c r="J895" s="12"/>
      <c r="K895" s="12"/>
      <c r="L895" s="12"/>
    </row>
    <row r="896" spans="1:110" hidden="1" x14ac:dyDescent="0.25">
      <c r="A896" s="6"/>
      <c r="B896" s="16" t="s">
        <v>1182</v>
      </c>
      <c r="C896" s="6"/>
      <c r="D896" s="13"/>
      <c r="E896" s="12"/>
      <c r="F896" s="12">
        <v>0</v>
      </c>
      <c r="G896" s="12">
        <v>0</v>
      </c>
      <c r="H896" s="12">
        <v>0</v>
      </c>
      <c r="I896" s="12"/>
      <c r="J896" s="12"/>
      <c r="K896" s="12"/>
      <c r="L896" s="12"/>
    </row>
    <row r="897" spans="1:13" hidden="1" x14ac:dyDescent="0.25">
      <c r="A897" s="6"/>
      <c r="B897" s="16" t="s">
        <v>1184</v>
      </c>
      <c r="C897" s="6"/>
      <c r="D897" s="13"/>
      <c r="E897" s="12"/>
      <c r="F897" s="12">
        <v>0</v>
      </c>
      <c r="G897" s="12">
        <v>0</v>
      </c>
      <c r="H897" s="12">
        <v>0</v>
      </c>
      <c r="I897" s="12"/>
      <c r="J897" s="12"/>
      <c r="K897" s="12"/>
      <c r="L897" s="12"/>
    </row>
    <row r="898" spans="1:13" ht="75" hidden="1" x14ac:dyDescent="0.25">
      <c r="A898" s="6"/>
      <c r="B898" s="16" t="s">
        <v>593</v>
      </c>
      <c r="C898" s="6" t="s">
        <v>1586</v>
      </c>
      <c r="D898" s="13" t="s">
        <v>1111</v>
      </c>
      <c r="E898" s="12"/>
      <c r="F898" s="12"/>
      <c r="G898" s="12"/>
      <c r="H898" s="12"/>
      <c r="I898" s="12"/>
      <c r="J898" s="12"/>
      <c r="K898" s="12"/>
      <c r="L898" s="12"/>
    </row>
    <row r="899" spans="1:13" hidden="1" x14ac:dyDescent="0.25">
      <c r="A899" s="6"/>
      <c r="B899" s="16" t="s">
        <v>1182</v>
      </c>
      <c r="C899" s="6"/>
      <c r="D899" s="13"/>
      <c r="E899" s="12"/>
      <c r="F899" s="12">
        <v>58985</v>
      </c>
      <c r="G899" s="12">
        <v>62688</v>
      </c>
      <c r="H899" s="12">
        <v>63570</v>
      </c>
      <c r="I899" s="12"/>
      <c r="J899" s="12"/>
      <c r="K899" s="12"/>
      <c r="L899" s="12"/>
    </row>
    <row r="900" spans="1:13" hidden="1" x14ac:dyDescent="0.25">
      <c r="A900" s="6"/>
      <c r="B900" s="16" t="s">
        <v>1184</v>
      </c>
      <c r="C900" s="6"/>
      <c r="D900" s="13"/>
      <c r="E900" s="12"/>
      <c r="F900" s="12">
        <v>0</v>
      </c>
      <c r="G900" s="12">
        <v>0</v>
      </c>
      <c r="H900" s="12">
        <v>0</v>
      </c>
      <c r="I900" s="12"/>
      <c r="J900" s="12"/>
      <c r="K900" s="12"/>
      <c r="L900" s="12"/>
    </row>
    <row r="901" spans="1:13" ht="75" hidden="1" x14ac:dyDescent="0.25">
      <c r="A901" s="42" t="s">
        <v>773</v>
      </c>
      <c r="B901" s="51" t="s">
        <v>612</v>
      </c>
      <c r="C901" s="42"/>
      <c r="D901" s="42"/>
      <c r="E901" s="50"/>
      <c r="F901" s="50"/>
      <c r="G901" s="50"/>
      <c r="H901" s="50"/>
      <c r="I901" s="50"/>
      <c r="J901" s="50"/>
      <c r="K901" s="50"/>
      <c r="L901" s="50"/>
      <c r="M901" s="3" t="s">
        <v>281</v>
      </c>
    </row>
    <row r="902" spans="1:13" hidden="1" x14ac:dyDescent="0.25">
      <c r="A902" s="42"/>
      <c r="B902" s="135" t="s">
        <v>1182</v>
      </c>
      <c r="C902" s="42"/>
      <c r="D902" s="42" t="s">
        <v>8</v>
      </c>
      <c r="E902" s="45">
        <v>0</v>
      </c>
      <c r="F902" s="45">
        <f t="shared" ref="F902:K902" si="2473">F905/F908*100</f>
        <v>1.1782656607612105</v>
      </c>
      <c r="G902" s="45">
        <f t="shared" si="2473"/>
        <v>1.1086651352730985</v>
      </c>
      <c r="H902" s="45">
        <f t="shared" si="2473"/>
        <v>0</v>
      </c>
      <c r="I902" s="45" t="e">
        <f t="shared" si="2473"/>
        <v>#DIV/0!</v>
      </c>
      <c r="J902" s="45" t="e">
        <f t="shared" si="2473"/>
        <v>#DIV/0!</v>
      </c>
      <c r="K902" s="45" t="e">
        <f t="shared" si="2473"/>
        <v>#DIV/0!</v>
      </c>
      <c r="L902" s="45" t="e">
        <f t="shared" ref="L902" si="2474">L905/L908*100</f>
        <v>#DIV/0!</v>
      </c>
      <c r="M902" s="3"/>
    </row>
    <row r="903" spans="1:13" hidden="1" x14ac:dyDescent="0.25">
      <c r="A903" s="42"/>
      <c r="B903" s="135" t="s">
        <v>1184</v>
      </c>
      <c r="C903" s="42"/>
      <c r="D903" s="42" t="s">
        <v>8</v>
      </c>
      <c r="E903" s="45">
        <v>0</v>
      </c>
      <c r="F903" s="45">
        <v>0</v>
      </c>
      <c r="G903" s="45">
        <v>0</v>
      </c>
      <c r="H903" s="45" t="e">
        <f>H906/H909*100</f>
        <v>#DIV/0!</v>
      </c>
      <c r="I903" s="45" t="e">
        <f>I906/I909*100</f>
        <v>#DIV/0!</v>
      </c>
      <c r="J903" s="45" t="e">
        <f>J906/J909*100</f>
        <v>#DIV/0!</v>
      </c>
      <c r="K903" s="45" t="e">
        <f>K906/K909*100</f>
        <v>#DIV/0!</v>
      </c>
      <c r="L903" s="45" t="e">
        <f>L906/L909*100</f>
        <v>#DIV/0!</v>
      </c>
      <c r="M903" s="3"/>
    </row>
    <row r="904" spans="1:13" ht="75" hidden="1" x14ac:dyDescent="0.25">
      <c r="A904" s="6"/>
      <c r="B904" s="16" t="s">
        <v>613</v>
      </c>
      <c r="C904" s="6" t="s">
        <v>1587</v>
      </c>
      <c r="D904" s="13" t="s">
        <v>1111</v>
      </c>
      <c r="E904" s="12"/>
      <c r="F904" s="12"/>
      <c r="G904" s="12"/>
      <c r="H904" s="12"/>
      <c r="I904" s="12"/>
      <c r="J904" s="12"/>
      <c r="K904" s="12"/>
      <c r="L904" s="12"/>
    </row>
    <row r="905" spans="1:13" hidden="1" x14ac:dyDescent="0.25">
      <c r="A905" s="6"/>
      <c r="B905" s="16" t="s">
        <v>1182</v>
      </c>
      <c r="C905" s="6"/>
      <c r="D905" s="13"/>
      <c r="E905" s="12"/>
      <c r="F905" s="12">
        <v>695</v>
      </c>
      <c r="G905" s="12">
        <v>695</v>
      </c>
      <c r="H905" s="12">
        <v>0</v>
      </c>
      <c r="I905" s="12"/>
      <c r="J905" s="12"/>
      <c r="K905" s="12"/>
      <c r="L905" s="12"/>
    </row>
    <row r="906" spans="1:13" hidden="1" x14ac:dyDescent="0.25">
      <c r="A906" s="6"/>
      <c r="B906" s="16" t="s">
        <v>1184</v>
      </c>
      <c r="C906" s="6"/>
      <c r="D906" s="13"/>
      <c r="E906" s="12"/>
      <c r="F906" s="12">
        <v>0</v>
      </c>
      <c r="G906" s="12">
        <v>0</v>
      </c>
      <c r="H906" s="12">
        <v>0</v>
      </c>
      <c r="I906" s="12"/>
      <c r="J906" s="12"/>
      <c r="K906" s="12"/>
      <c r="L906" s="12"/>
    </row>
    <row r="907" spans="1:13" ht="75" hidden="1" x14ac:dyDescent="0.25">
      <c r="A907" s="6"/>
      <c r="B907" s="16" t="s">
        <v>593</v>
      </c>
      <c r="C907" s="6" t="s">
        <v>1586</v>
      </c>
      <c r="D907" s="13" t="s">
        <v>1111</v>
      </c>
      <c r="E907" s="12"/>
      <c r="F907" s="12"/>
      <c r="G907" s="12"/>
      <c r="H907" s="12"/>
      <c r="I907" s="12"/>
      <c r="J907" s="12"/>
      <c r="K907" s="12"/>
      <c r="L907" s="12"/>
    </row>
    <row r="908" spans="1:13" hidden="1" x14ac:dyDescent="0.25">
      <c r="A908" s="6"/>
      <c r="B908" s="16" t="s">
        <v>1182</v>
      </c>
      <c r="C908" s="6"/>
      <c r="D908" s="13"/>
      <c r="E908" s="12"/>
      <c r="F908" s="12">
        <v>58985</v>
      </c>
      <c r="G908" s="12">
        <v>62688</v>
      </c>
      <c r="H908" s="12">
        <v>63570</v>
      </c>
      <c r="I908" s="12"/>
      <c r="J908" s="12"/>
      <c r="K908" s="12"/>
      <c r="L908" s="12"/>
    </row>
    <row r="909" spans="1:13" hidden="1" x14ac:dyDescent="0.25">
      <c r="A909" s="6"/>
      <c r="B909" s="16" t="s">
        <v>1184</v>
      </c>
      <c r="C909" s="6"/>
      <c r="D909" s="13"/>
      <c r="E909" s="12"/>
      <c r="F909" s="12">
        <v>0</v>
      </c>
      <c r="G909" s="12">
        <v>0</v>
      </c>
      <c r="H909" s="12">
        <v>0</v>
      </c>
      <c r="I909" s="12"/>
      <c r="J909" s="12"/>
      <c r="K909" s="12"/>
      <c r="L909" s="12"/>
    </row>
  </sheetData>
  <mergeCells count="70">
    <mergeCell ref="CG8:CH8"/>
    <mergeCell ref="CJ8:CK8"/>
    <mergeCell ref="BR8:BS8"/>
    <mergeCell ref="BU8:BV8"/>
    <mergeCell ref="BX8:BY8"/>
    <mergeCell ref="CA8:CB8"/>
    <mergeCell ref="CD8:CE8"/>
    <mergeCell ref="BC8:BD8"/>
    <mergeCell ref="BF8:BG8"/>
    <mergeCell ref="BI8:BJ8"/>
    <mergeCell ref="BL8:BM8"/>
    <mergeCell ref="BO8:BP8"/>
    <mergeCell ref="AK8:AL8"/>
    <mergeCell ref="AN8:AO8"/>
    <mergeCell ref="AQ8:AR8"/>
    <mergeCell ref="AW8:AX8"/>
    <mergeCell ref="AZ8:BA8"/>
    <mergeCell ref="AT8:AU8"/>
    <mergeCell ref="Y8:Z8"/>
    <mergeCell ref="AB8:AC8"/>
    <mergeCell ref="AE8:AF8"/>
    <mergeCell ref="AH8:AI8"/>
    <mergeCell ref="P8:Q8"/>
    <mergeCell ref="S8:T8"/>
    <mergeCell ref="V8:W8"/>
    <mergeCell ref="A3:J3"/>
    <mergeCell ref="A4:J4"/>
    <mergeCell ref="A64:A65"/>
    <mergeCell ref="A49:A54"/>
    <mergeCell ref="B47:B48"/>
    <mergeCell ref="A47:A48"/>
    <mergeCell ref="B49:B54"/>
    <mergeCell ref="A7:L7"/>
    <mergeCell ref="A8:L8"/>
    <mergeCell ref="B98:B99"/>
    <mergeCell ref="A98:A99"/>
    <mergeCell ref="B100:B103"/>
    <mergeCell ref="A100:A103"/>
    <mergeCell ref="B64:B65"/>
    <mergeCell ref="B66:B71"/>
    <mergeCell ref="A66:A71"/>
    <mergeCell ref="B349:B352"/>
    <mergeCell ref="A349:A352"/>
    <mergeCell ref="B558:B561"/>
    <mergeCell ref="A558:A561"/>
    <mergeCell ref="B562:B563"/>
    <mergeCell ref="A562:A563"/>
    <mergeCell ref="A523:A525"/>
    <mergeCell ref="B552:B553"/>
    <mergeCell ref="A552:A553"/>
    <mergeCell ref="B554:B555"/>
    <mergeCell ref="A554:A555"/>
    <mergeCell ref="B509:B511"/>
    <mergeCell ref="A509:A511"/>
    <mergeCell ref="B523:B525"/>
    <mergeCell ref="B353:B356"/>
    <mergeCell ref="A353:A356"/>
    <mergeCell ref="B587:B590"/>
    <mergeCell ref="A587:A590"/>
    <mergeCell ref="B591:B592"/>
    <mergeCell ref="A591:A592"/>
    <mergeCell ref="B596:B597"/>
    <mergeCell ref="A596:A597"/>
    <mergeCell ref="DB8:DC8"/>
    <mergeCell ref="DE8:DF8"/>
    <mergeCell ref="CM8:CN8"/>
    <mergeCell ref="CP8:CQ8"/>
    <mergeCell ref="CS8:CT8"/>
    <mergeCell ref="CV8:CW8"/>
    <mergeCell ref="CY8:CZ8"/>
  </mergeCells>
  <pageMargins left="0.7" right="0.7"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0000"/>
  </sheetPr>
  <dimension ref="A3:Z427"/>
  <sheetViews>
    <sheetView view="pageBreakPreview" zoomScaleNormal="100" zoomScaleSheetLayoutView="100" workbookViewId="0">
      <pane xSplit="3" ySplit="8" topLeftCell="D308" activePane="bottomRight" state="frozen"/>
      <selection activeCell="J11" sqref="J11"/>
      <selection pane="topRight" activeCell="J11" sqref="J11"/>
      <selection pane="bottomLeft" activeCell="J11" sqref="J11"/>
      <selection pane="bottomRight" activeCell="L312" sqref="L312"/>
    </sheetView>
  </sheetViews>
  <sheetFormatPr defaultRowHeight="15" x14ac:dyDescent="0.25"/>
  <cols>
    <col min="2" max="2" width="75.140625" customWidth="1"/>
    <col min="3" max="3" width="20.140625" customWidth="1"/>
    <col min="4" max="4" width="16.140625" customWidth="1"/>
    <col min="5" max="10" width="12.28515625" customWidth="1"/>
    <col min="11" max="12" width="12.28515625" style="241" customWidth="1"/>
    <col min="13" max="13" width="41.85546875" customWidth="1"/>
    <col min="14" max="15" width="10.5703125" bestFit="1" customWidth="1"/>
    <col min="16" max="17" width="9.5703125" bestFit="1" customWidth="1"/>
    <col min="19" max="19" width="9.5703125" bestFit="1" customWidth="1"/>
    <col min="20" max="20" width="10.5703125" bestFit="1" customWidth="1"/>
    <col min="22" max="23" width="10.5703125" bestFit="1" customWidth="1"/>
    <col min="25" max="26" width="10.28515625" style="241" bestFit="1" customWidth="1"/>
  </cols>
  <sheetData>
    <row r="3" spans="1:26" ht="18.75" x14ac:dyDescent="0.3">
      <c r="A3" s="401" t="s">
        <v>0</v>
      </c>
      <c r="B3" s="401"/>
      <c r="C3" s="401"/>
      <c r="D3" s="401"/>
      <c r="E3" s="401"/>
      <c r="F3" s="401"/>
      <c r="G3" s="401"/>
      <c r="H3" s="401"/>
      <c r="I3" s="401"/>
      <c r="J3" s="401"/>
      <c r="K3" s="249"/>
      <c r="L3" s="250"/>
      <c r="M3" s="14"/>
    </row>
    <row r="4" spans="1:26" ht="18.75" x14ac:dyDescent="0.3">
      <c r="A4" s="401" t="s">
        <v>1</v>
      </c>
      <c r="B4" s="401"/>
      <c r="C4" s="401"/>
      <c r="D4" s="401"/>
      <c r="E4" s="401"/>
      <c r="F4" s="401"/>
      <c r="G4" s="401"/>
      <c r="H4" s="401"/>
      <c r="I4" s="401"/>
      <c r="J4" s="401"/>
      <c r="K4" s="249"/>
      <c r="L4" s="250"/>
      <c r="M4" s="24"/>
    </row>
    <row r="5" spans="1:26" x14ac:dyDescent="0.25">
      <c r="A5" s="1"/>
      <c r="B5" s="1"/>
      <c r="C5" s="1"/>
      <c r="D5" s="1"/>
      <c r="E5" s="1"/>
      <c r="F5" s="1"/>
      <c r="G5" s="1"/>
      <c r="H5" s="1"/>
      <c r="I5" s="1"/>
      <c r="J5" s="1"/>
      <c r="K5" s="1"/>
      <c r="L5" s="1"/>
      <c r="M5" s="1"/>
    </row>
    <row r="6" spans="1:26"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26" x14ac:dyDescent="0.25">
      <c r="A7" s="398" t="s">
        <v>320</v>
      </c>
      <c r="B7" s="398"/>
      <c r="C7" s="398"/>
      <c r="D7" s="398"/>
      <c r="E7" s="398"/>
      <c r="F7" s="398"/>
      <c r="G7" s="398"/>
      <c r="H7" s="398"/>
      <c r="I7" s="398"/>
      <c r="J7" s="398"/>
      <c r="K7" s="398"/>
      <c r="L7" s="398"/>
    </row>
    <row r="8" spans="1:26" ht="15" customHeight="1" x14ac:dyDescent="0.25">
      <c r="A8" s="398" t="s">
        <v>616</v>
      </c>
      <c r="B8" s="398"/>
      <c r="C8" s="398"/>
      <c r="D8" s="398"/>
      <c r="E8" s="398"/>
      <c r="F8" s="398"/>
      <c r="G8" s="398"/>
      <c r="H8" s="398"/>
      <c r="I8" s="398"/>
      <c r="J8" s="398"/>
      <c r="K8" s="398"/>
      <c r="L8" s="398"/>
      <c r="P8" s="424" t="s">
        <v>2926</v>
      </c>
      <c r="Q8" s="424"/>
      <c r="R8" s="254"/>
      <c r="S8" s="424" t="s">
        <v>2925</v>
      </c>
      <c r="T8" s="424"/>
      <c r="U8" s="254"/>
      <c r="V8" s="424" t="s">
        <v>2924</v>
      </c>
      <c r="W8" s="424"/>
      <c r="Y8" s="424" t="s">
        <v>2928</v>
      </c>
      <c r="Z8" s="424"/>
    </row>
    <row r="9" spans="1:26" ht="30" x14ac:dyDescent="0.25">
      <c r="A9" s="47" t="s">
        <v>7</v>
      </c>
      <c r="B9" s="48" t="s">
        <v>617</v>
      </c>
      <c r="C9" s="43"/>
      <c r="D9" s="44"/>
      <c r="E9" s="44"/>
      <c r="F9" s="44"/>
      <c r="G9" s="44"/>
      <c r="H9" s="44"/>
      <c r="I9" s="44"/>
      <c r="J9" s="44"/>
      <c r="K9" s="44"/>
      <c r="L9" s="44"/>
      <c r="P9" s="118">
        <v>2019</v>
      </c>
      <c r="Q9" s="118">
        <v>2020</v>
      </c>
      <c r="R9" s="118"/>
      <c r="S9" s="118">
        <v>2019</v>
      </c>
      <c r="T9" s="118">
        <v>2020</v>
      </c>
      <c r="U9" s="118"/>
      <c r="V9" s="118">
        <v>2019</v>
      </c>
      <c r="W9" s="118">
        <v>2020</v>
      </c>
      <c r="Y9" s="118">
        <v>2019</v>
      </c>
      <c r="Z9" s="118">
        <v>2020</v>
      </c>
    </row>
    <row r="10" spans="1:26" ht="75" x14ac:dyDescent="0.25">
      <c r="A10" s="42" t="s">
        <v>2</v>
      </c>
      <c r="B10" s="43" t="s">
        <v>619</v>
      </c>
      <c r="C10" s="43"/>
      <c r="D10" s="42" t="s">
        <v>8</v>
      </c>
      <c r="E10" s="45">
        <v>3.56</v>
      </c>
      <c r="F10" s="45">
        <v>8.26</v>
      </c>
      <c r="G10" s="45">
        <v>7.34</v>
      </c>
      <c r="H10" s="45">
        <f>H11/H12*100</f>
        <v>6.8997384824114674</v>
      </c>
      <c r="I10" s="45">
        <f>I11/I12*100</f>
        <v>6.9264416174162751</v>
      </c>
      <c r="J10" s="45">
        <f>J11/J12*100</f>
        <v>6.5876222883879203</v>
      </c>
      <c r="K10" s="45">
        <f>K11/K12*100</f>
        <v>6.5870071890490101</v>
      </c>
      <c r="L10" s="45">
        <f>L11/L12*100</f>
        <v>6.1253615466585476</v>
      </c>
      <c r="M10" s="3" t="s">
        <v>46</v>
      </c>
      <c r="N10" s="45" t="e">
        <f>N11/N12*100</f>
        <v>#DIV/0!</v>
      </c>
      <c r="O10" s="45" t="e">
        <f>O11/O12*100</f>
        <v>#DIV/0!</v>
      </c>
      <c r="P10" s="45" t="e">
        <f>P11/P12*100</f>
        <v>#DIV/0!</v>
      </c>
      <c r="Q10" s="45" t="e">
        <f>Q11/Q12*100</f>
        <v>#DIV/0!</v>
      </c>
      <c r="S10" s="45" t="e">
        <f>S11/S12*100</f>
        <v>#DIV/0!</v>
      </c>
      <c r="T10" s="45" t="e">
        <f>T11/T12*100</f>
        <v>#DIV/0!</v>
      </c>
      <c r="V10" s="45" t="e">
        <f>V11/V12*100</f>
        <v>#DIV/0!</v>
      </c>
      <c r="W10" s="45" t="e">
        <f>W11/W12*100</f>
        <v>#DIV/0!</v>
      </c>
      <c r="Y10" s="45" t="e">
        <f>Y11/Y12*100</f>
        <v>#DIV/0!</v>
      </c>
      <c r="Z10" s="45" t="e">
        <f>Z11/Z12*100</f>
        <v>#DIV/0!</v>
      </c>
    </row>
    <row r="11" spans="1:26" ht="45" customHeight="1" x14ac:dyDescent="0.25">
      <c r="A11" s="419"/>
      <c r="B11" s="21" t="s">
        <v>620</v>
      </c>
      <c r="C11" s="6" t="s">
        <v>621</v>
      </c>
      <c r="D11" s="6" t="s">
        <v>950</v>
      </c>
      <c r="E11" s="6"/>
      <c r="F11" s="6"/>
      <c r="G11" s="6"/>
      <c r="H11" s="6">
        <v>10527</v>
      </c>
      <c r="I11" s="12">
        <f>564+2932+1413+493+14+19+1664+87+387+1769+248+593+32+57+100</f>
        <v>10372</v>
      </c>
      <c r="J11" s="12">
        <f>594+4790+57+1811+2102+558</f>
        <v>9912</v>
      </c>
      <c r="K11" s="12">
        <v>10033</v>
      </c>
      <c r="L11" s="12">
        <f>1677+282+2809+1381+663+614+63+439+1486+108+135</f>
        <v>9657</v>
      </c>
      <c r="M11" s="65"/>
      <c r="N11" s="241">
        <f>P11+S11+V11+Y11</f>
        <v>10033</v>
      </c>
      <c r="O11" s="241">
        <f>Q11+T11+W11+Z11</f>
        <v>9657</v>
      </c>
      <c r="P11">
        <v>625</v>
      </c>
      <c r="Q11">
        <v>614</v>
      </c>
      <c r="S11">
        <f>2053+475</f>
        <v>2528</v>
      </c>
      <c r="T11">
        <f>1959+439</f>
        <v>2398</v>
      </c>
      <c r="V11">
        <f>4852+65+1963</f>
        <v>6880</v>
      </c>
      <c r="W11">
        <f>4853+63+1729</f>
        <v>6645</v>
      </c>
      <c r="Y11" s="241">
        <v>0</v>
      </c>
      <c r="Z11" s="241">
        <v>0</v>
      </c>
    </row>
    <row r="12" spans="1:26" ht="30" x14ac:dyDescent="0.25">
      <c r="A12" s="421"/>
      <c r="B12" s="21" t="s">
        <v>622</v>
      </c>
      <c r="C12" s="6" t="s">
        <v>134</v>
      </c>
      <c r="D12" s="6" t="s">
        <v>950</v>
      </c>
      <c r="E12" s="6"/>
      <c r="F12" s="6"/>
      <c r="G12" s="6"/>
      <c r="H12" s="6">
        <v>152571</v>
      </c>
      <c r="I12" s="6">
        <v>149745</v>
      </c>
      <c r="J12" s="6">
        <v>150464</v>
      </c>
      <c r="K12" s="6">
        <v>152315</v>
      </c>
      <c r="L12" s="6">
        <v>157656</v>
      </c>
      <c r="N12" s="241">
        <f>P12+S12+V12+Y12</f>
        <v>0</v>
      </c>
      <c r="O12" s="241">
        <f>Q12+T12+W12+Z12</f>
        <v>0</v>
      </c>
    </row>
    <row r="13" spans="1:26" ht="90" x14ac:dyDescent="0.25">
      <c r="A13" s="79" t="s">
        <v>15</v>
      </c>
      <c r="B13" s="97" t="s">
        <v>624</v>
      </c>
      <c r="C13" s="113"/>
      <c r="D13" s="79" t="s">
        <v>8</v>
      </c>
      <c r="E13" s="114" t="e">
        <f>E14/E15*100</f>
        <v>#DIV/0!</v>
      </c>
      <c r="F13" s="114" t="e">
        <f>F14/F15*100</f>
        <v>#DIV/0!</v>
      </c>
      <c r="G13" s="114" t="e">
        <f>G14/G15*100</f>
        <v>#DIV/0!</v>
      </c>
      <c r="H13" s="114" t="e">
        <f>H14/H15*100</f>
        <v>#DIV/0!</v>
      </c>
      <c r="I13" s="78">
        <v>4.93</v>
      </c>
      <c r="J13" s="78">
        <v>0</v>
      </c>
      <c r="K13" s="78">
        <f>K14/K15*100</f>
        <v>0</v>
      </c>
      <c r="L13" s="78">
        <f>L14/L15*100</f>
        <v>0</v>
      </c>
      <c r="M13" s="3" t="s">
        <v>46</v>
      </c>
      <c r="N13" s="78">
        <f>N14/N15*100</f>
        <v>0</v>
      </c>
      <c r="O13" s="78">
        <f>O14/O15*100</f>
        <v>0</v>
      </c>
      <c r="P13" s="78">
        <f>P14/P15*100</f>
        <v>0</v>
      </c>
      <c r="Q13" s="78">
        <f>Q14/Q15*100</f>
        <v>0</v>
      </c>
      <c r="S13" s="78">
        <f>S14/S15*100</f>
        <v>0</v>
      </c>
      <c r="T13" s="78">
        <f>T14/T15*100</f>
        <v>0</v>
      </c>
      <c r="V13" s="78">
        <f>V14/V15*100</f>
        <v>0</v>
      </c>
      <c r="W13" s="78">
        <f>W14/W15*100</f>
        <v>0</v>
      </c>
      <c r="Y13" s="78" t="e">
        <f>Y14/Y15*100</f>
        <v>#DIV/0!</v>
      </c>
      <c r="Z13" s="78" t="e">
        <f>Z14/Z15*100</f>
        <v>#DIV/0!</v>
      </c>
    </row>
    <row r="14" spans="1:26" ht="90" x14ac:dyDescent="0.25">
      <c r="A14" s="92"/>
      <c r="B14" s="80" t="s">
        <v>625</v>
      </c>
      <c r="C14" s="76" t="s">
        <v>626</v>
      </c>
      <c r="D14" s="76" t="s">
        <v>950</v>
      </c>
      <c r="E14" s="76"/>
      <c r="F14" s="76"/>
      <c r="G14" s="76"/>
      <c r="H14" s="76"/>
      <c r="I14" s="76"/>
      <c r="J14" s="76"/>
      <c r="K14" s="76">
        <v>0</v>
      </c>
      <c r="L14" s="76">
        <v>0</v>
      </c>
      <c r="N14" s="241">
        <f>P14+S14+V14+Y14</f>
        <v>0</v>
      </c>
      <c r="O14" s="241">
        <f>Q14+T14+W14+Z14</f>
        <v>0</v>
      </c>
    </row>
    <row r="15" spans="1:26" ht="60" x14ac:dyDescent="0.25">
      <c r="A15" s="92"/>
      <c r="B15" s="80" t="s">
        <v>627</v>
      </c>
      <c r="C15" s="76" t="s">
        <v>621</v>
      </c>
      <c r="D15" s="76" t="s">
        <v>950</v>
      </c>
      <c r="E15" s="76"/>
      <c r="F15" s="76"/>
      <c r="G15" s="76"/>
      <c r="H15" s="76"/>
      <c r="I15" s="76"/>
      <c r="J15" s="76"/>
      <c r="K15" s="12">
        <f>K11</f>
        <v>10033</v>
      </c>
      <c r="L15" s="12">
        <f>L11</f>
        <v>9657</v>
      </c>
      <c r="N15" s="241">
        <f>P15+S15+V15+Y15</f>
        <v>10033</v>
      </c>
      <c r="O15" s="241">
        <f>Q15+T15+W15+Z15</f>
        <v>9657</v>
      </c>
      <c r="P15" s="241">
        <f>P11</f>
        <v>625</v>
      </c>
      <c r="Q15">
        <f>Q11</f>
        <v>614</v>
      </c>
      <c r="S15" s="241">
        <f t="shared" ref="S15:W15" si="0">S11</f>
        <v>2528</v>
      </c>
      <c r="T15" s="241">
        <f t="shared" si="0"/>
        <v>2398</v>
      </c>
      <c r="V15" s="241">
        <f t="shared" si="0"/>
        <v>6880</v>
      </c>
      <c r="W15" s="241">
        <f t="shared" si="0"/>
        <v>6645</v>
      </c>
      <c r="Y15" s="241">
        <f t="shared" ref="Y15:Z15" si="1">Y11</f>
        <v>0</v>
      </c>
      <c r="Z15" s="241">
        <f t="shared" si="1"/>
        <v>0</v>
      </c>
    </row>
    <row r="16" spans="1:26" ht="30" x14ac:dyDescent="0.25">
      <c r="A16" s="47" t="s">
        <v>630</v>
      </c>
      <c r="B16" s="48" t="s">
        <v>629</v>
      </c>
      <c r="C16" s="44"/>
      <c r="D16" s="42"/>
      <c r="E16" s="49"/>
      <c r="F16" s="49"/>
      <c r="G16" s="49"/>
      <c r="H16" s="49"/>
      <c r="I16" s="49"/>
      <c r="J16" s="49"/>
      <c r="K16" s="49"/>
      <c r="L16" s="49"/>
    </row>
    <row r="17" spans="1:26" ht="105" x14ac:dyDescent="0.25">
      <c r="A17" s="42" t="s">
        <v>26</v>
      </c>
      <c r="B17" s="43" t="s">
        <v>632</v>
      </c>
      <c r="C17" s="44"/>
      <c r="D17" s="42"/>
      <c r="E17" s="50"/>
      <c r="F17" s="50"/>
      <c r="G17" s="50"/>
      <c r="H17" s="50"/>
      <c r="I17" s="50"/>
      <c r="J17" s="50"/>
      <c r="K17" s="50"/>
      <c r="L17" s="50"/>
      <c r="M17" s="3" t="s">
        <v>281</v>
      </c>
    </row>
    <row r="18" spans="1:26" x14ac:dyDescent="0.25">
      <c r="A18" s="42"/>
      <c r="B18" s="43" t="s">
        <v>633</v>
      </c>
      <c r="C18" s="44"/>
      <c r="D18" s="42"/>
      <c r="E18" s="50"/>
      <c r="F18" s="50"/>
      <c r="G18" s="50"/>
      <c r="H18" s="50"/>
      <c r="I18" s="50"/>
      <c r="J18" s="50"/>
      <c r="K18" s="50"/>
      <c r="L18" s="50"/>
      <c r="M18" s="3"/>
    </row>
    <row r="19" spans="1:26" x14ac:dyDescent="0.25">
      <c r="A19" s="42"/>
      <c r="B19" s="43" t="s">
        <v>1182</v>
      </c>
      <c r="C19" s="44"/>
      <c r="D19" s="42" t="s">
        <v>8</v>
      </c>
      <c r="E19" s="45">
        <v>72.25</v>
      </c>
      <c r="F19" s="45">
        <v>72.739999999999995</v>
      </c>
      <c r="G19" s="45">
        <v>71</v>
      </c>
      <c r="H19" s="45">
        <f>H28/$H$37*100</f>
        <v>73.625274945011</v>
      </c>
      <c r="I19" s="45">
        <f>I28/$I$37*100</f>
        <v>72.628487518355357</v>
      </c>
      <c r="J19" s="45">
        <f>J28/$J$37*100</f>
        <v>75.524616626311541</v>
      </c>
      <c r="K19" s="45">
        <f>K28/$K$37*100</f>
        <v>75.052327319844508</v>
      </c>
      <c r="L19" s="45">
        <f>L28/$L$37*100</f>
        <v>76.897587242414829</v>
      </c>
      <c r="M19" s="3"/>
      <c r="N19" s="45">
        <f>N28/$K$37*100</f>
        <v>75.052327319844508</v>
      </c>
      <c r="O19" s="45">
        <f>O28/$L$37*100</f>
        <v>76.897587242414829</v>
      </c>
      <c r="P19" s="45">
        <f>P28/$K$37*100</f>
        <v>6.2294428386325134</v>
      </c>
      <c r="Q19" s="45">
        <f>Q28/$L$37*100</f>
        <v>6.3580822201511857</v>
      </c>
      <c r="S19" s="45">
        <f>S28/$K$37*100</f>
        <v>20.462473836340077</v>
      </c>
      <c r="T19" s="45">
        <f>T28/$L$37*100</f>
        <v>20.285803044423734</v>
      </c>
      <c r="V19" s="45">
        <f>V28/$K$37*100</f>
        <v>48.360410644871919</v>
      </c>
      <c r="W19" s="45">
        <f>W28/$L$37*100</f>
        <v>50.253701977839903</v>
      </c>
      <c r="Y19" s="45">
        <f>Y28/$K$37*100</f>
        <v>0</v>
      </c>
      <c r="Z19" s="45">
        <f>Z28/$L$37*100</f>
        <v>0</v>
      </c>
    </row>
    <row r="20" spans="1:26" x14ac:dyDescent="0.25">
      <c r="A20" s="42"/>
      <c r="B20" s="43" t="s">
        <v>1184</v>
      </c>
      <c r="C20" s="44"/>
      <c r="D20" s="42" t="s">
        <v>8</v>
      </c>
      <c r="E20" s="45">
        <v>3.09</v>
      </c>
      <c r="F20" s="45">
        <f>F29/F38*100</f>
        <v>2.1712907117008444</v>
      </c>
      <c r="G20" s="45">
        <v>1.72</v>
      </c>
      <c r="H20" s="45">
        <v>0.56000000000000005</v>
      </c>
      <c r="I20" s="45">
        <f>I29/$I$38*100</f>
        <v>0.45662100456621002</v>
      </c>
      <c r="J20" s="45" t="e">
        <f>J29/$J$38*100</f>
        <v>#DIV/0!</v>
      </c>
      <c r="K20" s="45">
        <f>K29/$K$38*100</f>
        <v>0</v>
      </c>
      <c r="L20" s="45">
        <f>L29/$L$38*100</f>
        <v>0</v>
      </c>
      <c r="M20" s="71"/>
      <c r="N20" s="45">
        <f>N29/$K$38*100</f>
        <v>0</v>
      </c>
      <c r="O20" s="45">
        <f>O29/$L$38*100</f>
        <v>0</v>
      </c>
      <c r="P20" s="45">
        <f>P29/$K$38*100</f>
        <v>0</v>
      </c>
      <c r="Q20" s="45">
        <f>Q29/$L$38*100</f>
        <v>0</v>
      </c>
      <c r="S20" s="45">
        <f>S29/$K$38*100</f>
        <v>0</v>
      </c>
      <c r="T20" s="45">
        <f>T29/$L$38*100</f>
        <v>0</v>
      </c>
      <c r="V20" s="45">
        <f>V29/$K$38*100</f>
        <v>0</v>
      </c>
      <c r="W20" s="45">
        <f>W29/$L$38*100</f>
        <v>0</v>
      </c>
      <c r="Y20" s="45">
        <f>Y29/$K$38*100</f>
        <v>0</v>
      </c>
      <c r="Z20" s="45">
        <f>Z29/$L$38*100</f>
        <v>0</v>
      </c>
    </row>
    <row r="21" spans="1:26" x14ac:dyDescent="0.25">
      <c r="A21" s="42"/>
      <c r="B21" s="43" t="s">
        <v>614</v>
      </c>
      <c r="C21" s="44"/>
      <c r="D21" s="42"/>
      <c r="E21" s="50"/>
      <c r="F21" s="50"/>
      <c r="G21" s="50"/>
      <c r="H21" s="50"/>
      <c r="I21" s="50"/>
      <c r="J21" s="50"/>
      <c r="K21" s="50"/>
      <c r="L21" s="50"/>
      <c r="M21" s="71"/>
      <c r="N21" s="50"/>
      <c r="O21" s="50"/>
      <c r="P21" s="50"/>
      <c r="Q21" s="50"/>
      <c r="S21" s="50"/>
      <c r="T21" s="50"/>
      <c r="V21" s="50"/>
      <c r="W21" s="50"/>
      <c r="Y21" s="50"/>
      <c r="Z21" s="50"/>
    </row>
    <row r="22" spans="1:26" x14ac:dyDescent="0.25">
      <c r="A22" s="42"/>
      <c r="B22" s="43" t="s">
        <v>1182</v>
      </c>
      <c r="C22" s="44"/>
      <c r="D22" s="42" t="s">
        <v>8</v>
      </c>
      <c r="E22" s="45">
        <v>0.13</v>
      </c>
      <c r="F22" s="45">
        <v>0.05</v>
      </c>
      <c r="G22" s="45">
        <v>0</v>
      </c>
      <c r="H22" s="45">
        <f>H31/$H$37*100</f>
        <v>0.10997800439912019</v>
      </c>
      <c r="I22" s="45">
        <f>I31/$I$37*100</f>
        <v>0.32305433186490456</v>
      </c>
      <c r="J22" s="45">
        <f>J31/$J$37*100</f>
        <v>0.57506053268765134</v>
      </c>
      <c r="K22" s="45">
        <f>K31/$K$37*100</f>
        <v>0.64786205521778129</v>
      </c>
      <c r="L22" s="45">
        <f>L31/$L$37*100</f>
        <v>0.65237651444547995</v>
      </c>
      <c r="M22" s="3"/>
      <c r="N22" s="45">
        <f>N31/$K$37*100</f>
        <v>0.64786205521778129</v>
      </c>
      <c r="O22" s="45">
        <f>O31/$L$37*100</f>
        <v>0.65237651444547995</v>
      </c>
      <c r="P22" s="45">
        <f>P31/$K$37*100</f>
        <v>0</v>
      </c>
      <c r="Q22" s="45">
        <f>Q31/$L$37*100</f>
        <v>0</v>
      </c>
      <c r="S22" s="45">
        <f>S31/$K$37*100</f>
        <v>0</v>
      </c>
      <c r="T22" s="45">
        <f>T31/$L$37*100</f>
        <v>0</v>
      </c>
      <c r="V22" s="45">
        <f>V31/$K$37*100</f>
        <v>0.64786205521778129</v>
      </c>
      <c r="W22" s="45">
        <f>W31/$L$37*100</f>
        <v>0.65237651444547995</v>
      </c>
      <c r="Y22" s="45">
        <f>Y31/$K$37*100</f>
        <v>0</v>
      </c>
      <c r="Z22" s="45">
        <f>Z31/$L$37*100</f>
        <v>0</v>
      </c>
    </row>
    <row r="23" spans="1:26" x14ac:dyDescent="0.25">
      <c r="A23" s="42"/>
      <c r="B23" s="43" t="s">
        <v>1184</v>
      </c>
      <c r="C23" s="44"/>
      <c r="D23" s="42" t="s">
        <v>8</v>
      </c>
      <c r="E23" s="45">
        <v>0.61</v>
      </c>
      <c r="F23" s="45">
        <f>F32/F38*100</f>
        <v>0.57297949336550058</v>
      </c>
      <c r="G23" s="45">
        <v>0</v>
      </c>
      <c r="H23" s="45">
        <f>H32/$H$38*100</f>
        <v>0</v>
      </c>
      <c r="I23" s="45">
        <f>I32/$I$38*100</f>
        <v>0</v>
      </c>
      <c r="J23" s="45" t="e">
        <f>J32/$J$38*100</f>
        <v>#DIV/0!</v>
      </c>
      <c r="K23" s="45">
        <f>K32/$K$38*100</f>
        <v>43.292682926829265</v>
      </c>
      <c r="L23" s="45">
        <f>L32/$L$38*100</f>
        <v>44.49152542372881</v>
      </c>
      <c r="M23" s="71"/>
      <c r="N23" s="45">
        <f>N32/$K$38*100</f>
        <v>43.292682926829265</v>
      </c>
      <c r="O23" s="45">
        <f>O32/$L$38*100</f>
        <v>44.49152542372881</v>
      </c>
      <c r="P23" s="45">
        <f>P32/$K$38*100</f>
        <v>0</v>
      </c>
      <c r="Q23" s="45">
        <f>Q32/$L$38*100</f>
        <v>0</v>
      </c>
      <c r="S23" s="45">
        <f>S32/$K$38*100</f>
        <v>0</v>
      </c>
      <c r="T23" s="45">
        <f>T32/$L$38*100</f>
        <v>0</v>
      </c>
      <c r="V23" s="45">
        <f>V32/$K$38*100</f>
        <v>0</v>
      </c>
      <c r="W23" s="45">
        <f>W32/$L$38*100</f>
        <v>0</v>
      </c>
      <c r="Y23" s="45">
        <f>Y32/$K$38*100</f>
        <v>43.292682926829265</v>
      </c>
      <c r="Z23" s="45">
        <f>Z32/$L$38*100</f>
        <v>44.49152542372881</v>
      </c>
    </row>
    <row r="24" spans="1:26" x14ac:dyDescent="0.25">
      <c r="A24" s="42"/>
      <c r="B24" s="43" t="s">
        <v>634</v>
      </c>
      <c r="C24" s="44"/>
      <c r="D24" s="42"/>
      <c r="E24" s="50"/>
      <c r="F24" s="50"/>
      <c r="G24" s="50"/>
      <c r="H24" s="50"/>
      <c r="I24" s="50"/>
      <c r="J24" s="50"/>
      <c r="K24" s="50"/>
      <c r="L24" s="50"/>
      <c r="M24" s="3"/>
      <c r="N24" s="50"/>
      <c r="O24" s="50"/>
      <c r="P24" s="50"/>
      <c r="Q24" s="50"/>
      <c r="S24" s="50"/>
      <c r="T24" s="50"/>
      <c r="V24" s="50"/>
      <c r="W24" s="50"/>
      <c r="Y24" s="50"/>
      <c r="Z24" s="50"/>
    </row>
    <row r="25" spans="1:26" x14ac:dyDescent="0.25">
      <c r="A25" s="42"/>
      <c r="B25" s="43" t="s">
        <v>1182</v>
      </c>
      <c r="C25" s="44"/>
      <c r="D25" s="42" t="s">
        <v>8</v>
      </c>
      <c r="E25" s="45">
        <v>27.61</v>
      </c>
      <c r="F25" s="45">
        <v>27.21</v>
      </c>
      <c r="G25" s="45">
        <v>29</v>
      </c>
      <c r="H25" s="45">
        <f>H34/$H$37*100</f>
        <v>26.264747050589882</v>
      </c>
      <c r="I25" s="45">
        <f>I34/$I$37*100</f>
        <v>27.048458149779737</v>
      </c>
      <c r="J25" s="45">
        <f>J34/$J$37*100</f>
        <v>23.900322841000808</v>
      </c>
      <c r="K25" s="45">
        <f>K34/$K$37*100</f>
        <v>24.299810624937706</v>
      </c>
      <c r="L25" s="45">
        <f>L34/$L$37*100</f>
        <v>22.450036243139692</v>
      </c>
      <c r="M25" s="3"/>
      <c r="N25" s="45">
        <f>N34/$K$37*100</f>
        <v>24.299810624937706</v>
      </c>
      <c r="O25" s="45">
        <f>O34/$L$37*100</f>
        <v>22.450036243139692</v>
      </c>
      <c r="P25" s="45">
        <f>P34/$K$37*100</f>
        <v>0</v>
      </c>
      <c r="Q25" s="45">
        <f>Q34/$L$37*100</f>
        <v>0</v>
      </c>
      <c r="S25" s="45">
        <f>S34/$K$37*100</f>
        <v>4.7343765573607097</v>
      </c>
      <c r="T25" s="45">
        <f>T34/$L$37*100</f>
        <v>4.5459252355804081</v>
      </c>
      <c r="V25" s="45">
        <f>V34/$K$37*100</f>
        <v>19.565434067576994</v>
      </c>
      <c r="W25" s="45">
        <f>W34/$L$37*100</f>
        <v>17.904111007559283</v>
      </c>
      <c r="Y25" s="45">
        <f>Y34/$K$37*100</f>
        <v>0</v>
      </c>
      <c r="Z25" s="45">
        <f>Z34/$L$37*100</f>
        <v>0</v>
      </c>
    </row>
    <row r="26" spans="1:26" x14ac:dyDescent="0.25">
      <c r="A26" s="42"/>
      <c r="B26" s="43" t="s">
        <v>1184</v>
      </c>
      <c r="C26" s="44"/>
      <c r="D26" s="42" t="s">
        <v>8</v>
      </c>
      <c r="E26" s="45">
        <v>96.3</v>
      </c>
      <c r="F26" s="45">
        <f>F35/F38*100</f>
        <v>97.255729794933657</v>
      </c>
      <c r="G26" s="45">
        <v>98.28</v>
      </c>
      <c r="H26" s="45">
        <v>99.44</v>
      </c>
      <c r="I26" s="45">
        <f>I35/$I$38*100</f>
        <v>99.543378995433784</v>
      </c>
      <c r="J26" s="45" t="e">
        <f>J35/$J$38*100</f>
        <v>#DIV/0!</v>
      </c>
      <c r="K26" s="45">
        <f>K35/$K$38*100</f>
        <v>56.707317073170728</v>
      </c>
      <c r="L26" s="45">
        <f>L35/$L$38*100</f>
        <v>55.508474576271183</v>
      </c>
      <c r="M26" s="71"/>
      <c r="N26" s="45">
        <f>N35/$K$38*100</f>
        <v>56.707317073170728</v>
      </c>
      <c r="O26" s="45">
        <f>O35/$L$38*100</f>
        <v>55.508474576271183</v>
      </c>
      <c r="P26" s="45">
        <f>P35/$K$38*100</f>
        <v>0</v>
      </c>
      <c r="Q26" s="45">
        <f>Q35/$L$38*100</f>
        <v>0</v>
      </c>
      <c r="S26" s="45">
        <f>S35/$K$38*100</f>
        <v>0</v>
      </c>
      <c r="T26" s="45">
        <f>T35/$L$38*100</f>
        <v>0</v>
      </c>
      <c r="V26" s="45">
        <f>V35/$K$38*100</f>
        <v>0</v>
      </c>
      <c r="W26" s="45">
        <f>W35/$L$38*100</f>
        <v>0</v>
      </c>
      <c r="Y26" s="45">
        <f>Y35/$K$38*100</f>
        <v>56.707317073170728</v>
      </c>
      <c r="Z26" s="45">
        <f>Z35/$L$38*100</f>
        <v>55.508474576271183</v>
      </c>
    </row>
    <row r="27" spans="1:26" ht="45" x14ac:dyDescent="0.25">
      <c r="A27" s="16"/>
      <c r="B27" s="21" t="s">
        <v>635</v>
      </c>
      <c r="C27" s="6" t="s">
        <v>636</v>
      </c>
      <c r="D27" s="6" t="s">
        <v>950</v>
      </c>
      <c r="E27" s="12"/>
      <c r="F27" s="12"/>
      <c r="G27" s="12"/>
      <c r="H27" s="12"/>
      <c r="I27" s="12"/>
      <c r="J27" s="12"/>
      <c r="K27" s="12"/>
      <c r="L27" s="12"/>
    </row>
    <row r="28" spans="1:26" x14ac:dyDescent="0.25">
      <c r="A28" s="16"/>
      <c r="B28" s="21" t="s">
        <v>1182</v>
      </c>
      <c r="C28" s="6"/>
      <c r="D28" s="6"/>
      <c r="E28" s="12"/>
      <c r="F28" s="12">
        <v>15423</v>
      </c>
      <c r="G28" s="12"/>
      <c r="H28" s="12">
        <v>7364</v>
      </c>
      <c r="I28" s="12">
        <f>564+2932+1413+493+1769+248</f>
        <v>7419</v>
      </c>
      <c r="J28" s="12">
        <f>594+4790+2102</f>
        <v>7486</v>
      </c>
      <c r="K28" s="12">
        <v>7530</v>
      </c>
      <c r="L28" s="12">
        <f>1677+282+2809+1381+663+614</f>
        <v>7426</v>
      </c>
      <c r="M28" s="241"/>
      <c r="N28" s="241">
        <f>P28+S28+V28+Y28</f>
        <v>7530</v>
      </c>
      <c r="O28" s="241">
        <f>Q28+T28+W28+Z28</f>
        <v>7426</v>
      </c>
      <c r="P28">
        <v>625</v>
      </c>
      <c r="Q28" s="241">
        <v>614</v>
      </c>
      <c r="S28" s="241">
        <v>2053</v>
      </c>
      <c r="T28" s="241">
        <v>1959</v>
      </c>
      <c r="V28" s="241">
        <v>4852</v>
      </c>
      <c r="W28" s="241">
        <v>4853</v>
      </c>
    </row>
    <row r="29" spans="1:26" x14ac:dyDescent="0.25">
      <c r="A29" s="16"/>
      <c r="B29" s="21" t="s">
        <v>1184</v>
      </c>
      <c r="C29" s="6"/>
      <c r="D29" s="6"/>
      <c r="E29" s="12"/>
      <c r="F29" s="12">
        <v>72</v>
      </c>
      <c r="G29" s="12"/>
      <c r="H29" s="12">
        <v>3</v>
      </c>
      <c r="I29" s="12">
        <v>1</v>
      </c>
      <c r="J29" s="12">
        <v>0</v>
      </c>
      <c r="K29" s="12">
        <v>0</v>
      </c>
      <c r="L29" s="12">
        <v>0</v>
      </c>
      <c r="M29" s="241"/>
      <c r="N29" s="241">
        <f>P29+S29+V29+Y29</f>
        <v>0</v>
      </c>
      <c r="O29" s="241">
        <f>Q29+T29+W29+Z29</f>
        <v>0</v>
      </c>
      <c r="P29">
        <v>0</v>
      </c>
      <c r="Q29">
        <v>0</v>
      </c>
      <c r="S29">
        <v>0</v>
      </c>
      <c r="T29">
        <v>0</v>
      </c>
      <c r="V29">
        <v>0</v>
      </c>
      <c r="W29">
        <v>0</v>
      </c>
      <c r="Z29" s="241">
        <v>0</v>
      </c>
    </row>
    <row r="30" spans="1:26" ht="45" x14ac:dyDescent="0.25">
      <c r="A30" s="8"/>
      <c r="B30" s="21" t="s">
        <v>637</v>
      </c>
      <c r="C30" s="6" t="s">
        <v>638</v>
      </c>
      <c r="D30" s="6" t="s">
        <v>950</v>
      </c>
      <c r="E30" s="12"/>
      <c r="F30" s="12"/>
      <c r="G30" s="12"/>
      <c r="H30" s="12"/>
      <c r="I30" s="12"/>
      <c r="J30" s="12"/>
      <c r="K30" s="12"/>
      <c r="L30" s="12"/>
      <c r="M30" s="241"/>
    </row>
    <row r="31" spans="1:26" x14ac:dyDescent="0.25">
      <c r="A31" s="53"/>
      <c r="B31" s="21" t="s">
        <v>1182</v>
      </c>
      <c r="C31" s="6"/>
      <c r="D31" s="6"/>
      <c r="E31" s="12"/>
      <c r="F31" s="12">
        <v>5</v>
      </c>
      <c r="G31" s="12"/>
      <c r="H31" s="12">
        <v>11</v>
      </c>
      <c r="I31" s="12">
        <f>14+19</f>
        <v>33</v>
      </c>
      <c r="J31" s="12">
        <v>57</v>
      </c>
      <c r="K31" s="12">
        <v>65</v>
      </c>
      <c r="L31" s="12">
        <v>63</v>
      </c>
      <c r="M31" s="65"/>
      <c r="N31" s="241">
        <f>P31+S31+V31+Y31</f>
        <v>65</v>
      </c>
      <c r="O31" s="241">
        <f>Q31+T31+W31+Z31</f>
        <v>63</v>
      </c>
      <c r="P31">
        <v>0</v>
      </c>
      <c r="Q31">
        <v>0</v>
      </c>
      <c r="S31">
        <v>0</v>
      </c>
      <c r="T31" s="241">
        <v>0</v>
      </c>
      <c r="V31" s="241">
        <v>65</v>
      </c>
      <c r="W31" s="241">
        <v>63</v>
      </c>
    </row>
    <row r="32" spans="1:26" x14ac:dyDescent="0.25">
      <c r="A32" s="53"/>
      <c r="B32" s="21" t="s">
        <v>1184</v>
      </c>
      <c r="C32" s="6"/>
      <c r="D32" s="6"/>
      <c r="E32" s="12"/>
      <c r="F32" s="12">
        <v>19</v>
      </c>
      <c r="G32" s="12"/>
      <c r="H32" s="12">
        <v>0</v>
      </c>
      <c r="I32" s="12">
        <v>0</v>
      </c>
      <c r="J32" s="12">
        <v>0</v>
      </c>
      <c r="K32" s="12">
        <v>71</v>
      </c>
      <c r="L32" s="12">
        <v>105</v>
      </c>
      <c r="N32" s="241">
        <f>P32+S32+V32+Y32</f>
        <v>71</v>
      </c>
      <c r="O32" s="241">
        <f>Q32+T32+W32+Z32</f>
        <v>105</v>
      </c>
      <c r="P32" s="241">
        <v>0</v>
      </c>
      <c r="Q32" s="241">
        <v>0</v>
      </c>
      <c r="R32" s="241"/>
      <c r="S32" s="241">
        <v>0</v>
      </c>
      <c r="T32" s="241">
        <v>0</v>
      </c>
      <c r="U32" s="241"/>
      <c r="V32" s="241">
        <v>0</v>
      </c>
      <c r="W32" s="241">
        <v>0</v>
      </c>
      <c r="Y32" s="241">
        <v>71</v>
      </c>
      <c r="Z32" s="241">
        <v>105</v>
      </c>
    </row>
    <row r="33" spans="1:26" ht="45" customHeight="1" x14ac:dyDescent="0.25">
      <c r="A33" s="83"/>
      <c r="B33" s="83" t="s">
        <v>639</v>
      </c>
      <c r="C33" s="6" t="s">
        <v>640</v>
      </c>
      <c r="D33" s="6" t="s">
        <v>950</v>
      </c>
      <c r="E33" s="12"/>
      <c r="F33" s="12"/>
      <c r="G33" s="12"/>
      <c r="H33" s="12"/>
      <c r="I33" s="12"/>
      <c r="J33" s="12"/>
      <c r="K33" s="12"/>
      <c r="L33" s="12"/>
    </row>
    <row r="34" spans="1:26" x14ac:dyDescent="0.25">
      <c r="A34" s="84"/>
      <c r="B34" s="21" t="s">
        <v>1182</v>
      </c>
      <c r="C34" s="6"/>
      <c r="D34" s="6"/>
      <c r="E34" s="12"/>
      <c r="F34" s="12">
        <v>15759</v>
      </c>
      <c r="G34" s="12"/>
      <c r="H34" s="12">
        <v>2627</v>
      </c>
      <c r="I34" s="12">
        <f>1664+87+387+593+32</f>
        <v>2763</v>
      </c>
      <c r="J34" s="12">
        <f>1811+558</f>
        <v>2369</v>
      </c>
      <c r="K34" s="12">
        <v>2438</v>
      </c>
      <c r="L34" s="12">
        <f>439+1486+108+135</f>
        <v>2168</v>
      </c>
      <c r="M34" s="65"/>
      <c r="N34" s="241">
        <f>P34+S34+V34+Y34</f>
        <v>2438</v>
      </c>
      <c r="O34" s="241">
        <f>Q34+T34+W34+Z34</f>
        <v>2168</v>
      </c>
      <c r="P34">
        <v>0</v>
      </c>
      <c r="Q34">
        <v>0</v>
      </c>
      <c r="S34">
        <v>475</v>
      </c>
      <c r="T34" s="241">
        <v>439</v>
      </c>
      <c r="V34" s="241">
        <v>1963</v>
      </c>
      <c r="W34" s="241">
        <v>1729</v>
      </c>
    </row>
    <row r="35" spans="1:26" x14ac:dyDescent="0.25">
      <c r="A35" s="84"/>
      <c r="B35" s="21" t="s">
        <v>1184</v>
      </c>
      <c r="C35" s="6"/>
      <c r="D35" s="6"/>
      <c r="E35" s="12"/>
      <c r="F35" s="12">
        <v>3225</v>
      </c>
      <c r="G35" s="12"/>
      <c r="H35" s="12">
        <v>155</v>
      </c>
      <c r="I35" s="12">
        <v>218</v>
      </c>
      <c r="J35" s="12">
        <v>0</v>
      </c>
      <c r="K35" s="12">
        <v>93</v>
      </c>
      <c r="L35" s="12">
        <v>131</v>
      </c>
      <c r="N35" s="241">
        <f>P35+S35+V35+Y35</f>
        <v>93</v>
      </c>
      <c r="O35" s="241">
        <f>Q35+T35+W35+Z35</f>
        <v>131</v>
      </c>
      <c r="P35" s="241">
        <v>0</v>
      </c>
      <c r="Q35" s="241">
        <v>0</v>
      </c>
      <c r="R35" s="241"/>
      <c r="S35" s="241">
        <v>0</v>
      </c>
      <c r="T35" s="241">
        <v>0</v>
      </c>
      <c r="U35" s="241"/>
      <c r="V35" s="241">
        <v>0</v>
      </c>
      <c r="W35" s="241">
        <v>0</v>
      </c>
      <c r="Y35" s="241">
        <v>93</v>
      </c>
      <c r="Z35" s="241">
        <v>131</v>
      </c>
    </row>
    <row r="36" spans="1:26" ht="60" x14ac:dyDescent="0.25">
      <c r="A36" s="8"/>
      <c r="B36" s="21" t="s">
        <v>627</v>
      </c>
      <c r="C36" s="6" t="s">
        <v>621</v>
      </c>
      <c r="D36" s="6" t="s">
        <v>950</v>
      </c>
      <c r="E36" s="12"/>
      <c r="F36" s="12"/>
      <c r="G36" s="12"/>
      <c r="H36" s="12"/>
      <c r="I36" s="12"/>
      <c r="J36" s="12"/>
      <c r="K36" s="12"/>
      <c r="L36" s="12"/>
    </row>
    <row r="37" spans="1:26" x14ac:dyDescent="0.25">
      <c r="A37" s="8"/>
      <c r="B37" s="21" t="s">
        <v>1182</v>
      </c>
      <c r="C37" s="6"/>
      <c r="D37" s="6"/>
      <c r="E37" s="12"/>
      <c r="F37" s="12">
        <v>31187</v>
      </c>
      <c r="G37" s="12"/>
      <c r="H37" s="12">
        <v>10002</v>
      </c>
      <c r="I37" s="12">
        <f>564+2932+1413+493+14+19+1664+87+387+1769+248+593+32</f>
        <v>10215</v>
      </c>
      <c r="J37" s="12">
        <f>594+4790+57+1811+2102+558</f>
        <v>9912</v>
      </c>
      <c r="K37" s="12">
        <f>K15</f>
        <v>10033</v>
      </c>
      <c r="L37" s="12">
        <f>L15</f>
        <v>9657</v>
      </c>
      <c r="N37" s="241">
        <f>P37+S37+V37+Y37</f>
        <v>10033</v>
      </c>
      <c r="O37" s="241">
        <f>Q37+T37+W37+Z37</f>
        <v>9657</v>
      </c>
      <c r="P37" s="241">
        <f>P11</f>
        <v>625</v>
      </c>
      <c r="Q37">
        <f>Q11</f>
        <v>614</v>
      </c>
      <c r="S37" s="241">
        <f>S11</f>
        <v>2528</v>
      </c>
      <c r="T37" s="241">
        <f>T11</f>
        <v>2398</v>
      </c>
      <c r="V37" s="241">
        <f>V11</f>
        <v>6880</v>
      </c>
      <c r="W37" s="241">
        <f>W11</f>
        <v>6645</v>
      </c>
    </row>
    <row r="38" spans="1:26" x14ac:dyDescent="0.25">
      <c r="A38" s="8"/>
      <c r="B38" s="21" t="s">
        <v>1184</v>
      </c>
      <c r="C38" s="6"/>
      <c r="D38" s="6"/>
      <c r="E38" s="12"/>
      <c r="F38" s="12">
        <v>3316</v>
      </c>
      <c r="G38" s="12"/>
      <c r="H38" s="12">
        <v>158</v>
      </c>
      <c r="I38" s="12">
        <v>219</v>
      </c>
      <c r="J38" s="12">
        <v>0</v>
      </c>
      <c r="K38" s="12">
        <v>164</v>
      </c>
      <c r="L38" s="12">
        <v>236</v>
      </c>
      <c r="N38" s="241">
        <f>P38+S38+V38+Y38</f>
        <v>164</v>
      </c>
      <c r="O38" s="241">
        <f>Q38+T38+W38+Z38</f>
        <v>236</v>
      </c>
      <c r="P38" s="241">
        <v>0</v>
      </c>
      <c r="Q38" s="241">
        <v>0</v>
      </c>
      <c r="R38" s="241"/>
      <c r="S38" s="241">
        <v>0</v>
      </c>
      <c r="T38" s="241">
        <v>0</v>
      </c>
      <c r="U38" s="241"/>
      <c r="V38" s="241">
        <v>0</v>
      </c>
      <c r="W38" s="241">
        <v>0</v>
      </c>
      <c r="Y38" s="241">
        <v>164</v>
      </c>
      <c r="Z38" s="241">
        <v>236</v>
      </c>
    </row>
    <row r="39" spans="1:26" ht="75" x14ac:dyDescent="0.25">
      <c r="A39" s="42" t="s">
        <v>2832</v>
      </c>
      <c r="B39" s="46" t="s">
        <v>1931</v>
      </c>
      <c r="C39" s="42"/>
      <c r="D39" s="42"/>
      <c r="E39" s="50"/>
      <c r="F39" s="50"/>
      <c r="G39" s="50"/>
      <c r="H39" s="50"/>
      <c r="I39" s="50"/>
      <c r="J39" s="50"/>
      <c r="K39" s="50"/>
      <c r="L39" s="50"/>
      <c r="M39" s="3" t="s">
        <v>281</v>
      </c>
    </row>
    <row r="40" spans="1:26" x14ac:dyDescent="0.25">
      <c r="A40" s="42"/>
      <c r="B40" s="43" t="s">
        <v>1182</v>
      </c>
      <c r="C40" s="42"/>
      <c r="D40" s="42" t="s">
        <v>8</v>
      </c>
      <c r="E40" s="45">
        <v>41.94</v>
      </c>
      <c r="F40" s="45">
        <v>44.44</v>
      </c>
      <c r="G40" s="45">
        <v>46.8</v>
      </c>
      <c r="H40" s="45">
        <f t="shared" ref="H40:J41" si="2">H43/H46*100</f>
        <v>44.521095780843837</v>
      </c>
      <c r="I40" s="45">
        <f t="shared" si="2"/>
        <v>43.661282427802249</v>
      </c>
      <c r="J40" s="45">
        <f t="shared" si="2"/>
        <v>40.284503631961257</v>
      </c>
      <c r="K40" s="45">
        <f t="shared" ref="K40:L40" si="3">K43/K46*100</f>
        <v>38.712249576397888</v>
      </c>
      <c r="L40" s="45">
        <f t="shared" si="3"/>
        <v>35.114424769597186</v>
      </c>
      <c r="M40" s="3"/>
      <c r="N40" s="45">
        <f t="shared" ref="N40:O40" si="4">N43/N46*100</f>
        <v>38.712249576397888</v>
      </c>
      <c r="O40" s="45">
        <f t="shared" si="4"/>
        <v>35.114424769597186</v>
      </c>
      <c r="P40" s="45">
        <f t="shared" ref="P40:Q40" si="5">P43/P46*100</f>
        <v>24.32</v>
      </c>
      <c r="Q40" s="45">
        <f t="shared" si="5"/>
        <v>20.521172638436482</v>
      </c>
      <c r="S40" s="45">
        <f t="shared" ref="S40:T40" si="6">S43/S46*100</f>
        <v>21.716772151898734</v>
      </c>
      <c r="T40" s="45">
        <f t="shared" si="6"/>
        <v>20.809007506255213</v>
      </c>
      <c r="V40" s="45">
        <f t="shared" ref="V40:W40" si="7">V43/V46*100</f>
        <v>46.264534883720934</v>
      </c>
      <c r="W40" s="45">
        <f t="shared" si="7"/>
        <v>41.62528216704289</v>
      </c>
      <c r="Y40" s="45" t="e">
        <f t="shared" ref="Y40:Z40" si="8">Y43/Y46*100</f>
        <v>#DIV/0!</v>
      </c>
      <c r="Z40" s="45" t="e">
        <f t="shared" si="8"/>
        <v>#DIV/0!</v>
      </c>
    </row>
    <row r="41" spans="1:26" x14ac:dyDescent="0.25">
      <c r="A41" s="42"/>
      <c r="B41" s="43" t="s">
        <v>1184</v>
      </c>
      <c r="C41" s="42"/>
      <c r="D41" s="42" t="s">
        <v>8</v>
      </c>
      <c r="E41" s="45">
        <v>100</v>
      </c>
      <c r="F41" s="45">
        <v>100</v>
      </c>
      <c r="G41" s="45">
        <v>100</v>
      </c>
      <c r="H41" s="45">
        <f t="shared" si="2"/>
        <v>100</v>
      </c>
      <c r="I41" s="45">
        <f t="shared" si="2"/>
        <v>100</v>
      </c>
      <c r="J41" s="45" t="e">
        <f t="shared" si="2"/>
        <v>#DIV/0!</v>
      </c>
      <c r="K41" s="45">
        <f t="shared" ref="K41:L41" si="9">K44/K47*100</f>
        <v>100</v>
      </c>
      <c r="L41" s="45">
        <f t="shared" si="9"/>
        <v>100</v>
      </c>
      <c r="M41" s="3"/>
      <c r="N41" s="45">
        <f t="shared" ref="N41:O41" si="10">N44/N47*100</f>
        <v>0</v>
      </c>
      <c r="O41" s="45">
        <f t="shared" si="10"/>
        <v>100</v>
      </c>
      <c r="P41" s="45" t="e">
        <f t="shared" ref="P41:Q41" si="11">P44/P47*100</f>
        <v>#DIV/0!</v>
      </c>
      <c r="Q41" s="45" t="e">
        <f t="shared" si="11"/>
        <v>#DIV/0!</v>
      </c>
      <c r="S41" s="45" t="e">
        <f t="shared" ref="S41:T41" si="12">S44/S47*100</f>
        <v>#DIV/0!</v>
      </c>
      <c r="T41" s="45" t="e">
        <f t="shared" si="12"/>
        <v>#DIV/0!</v>
      </c>
      <c r="V41" s="45" t="e">
        <f t="shared" ref="V41:W41" si="13">V44/V47*100</f>
        <v>#DIV/0!</v>
      </c>
      <c r="W41" s="45" t="e">
        <f t="shared" si="13"/>
        <v>#DIV/0!</v>
      </c>
      <c r="Y41" s="45">
        <f t="shared" ref="Y41:Z41" si="14">Y44/Y47*100</f>
        <v>0</v>
      </c>
      <c r="Z41" s="45">
        <f t="shared" si="14"/>
        <v>100</v>
      </c>
    </row>
    <row r="42" spans="1:26" ht="60" x14ac:dyDescent="0.25">
      <c r="A42" s="8"/>
      <c r="B42" s="21" t="s">
        <v>642</v>
      </c>
      <c r="C42" s="6" t="s">
        <v>2852</v>
      </c>
      <c r="D42" s="6"/>
      <c r="E42" s="12"/>
      <c r="F42" s="12"/>
      <c r="G42" s="12"/>
      <c r="H42" s="12"/>
      <c r="I42" s="12"/>
      <c r="J42" s="12"/>
      <c r="K42" s="12"/>
      <c r="L42" s="12"/>
    </row>
    <row r="43" spans="1:26" x14ac:dyDescent="0.25">
      <c r="A43" s="8"/>
      <c r="B43" s="21" t="s">
        <v>1182</v>
      </c>
      <c r="C43" s="6"/>
      <c r="D43" s="6" t="s">
        <v>950</v>
      </c>
      <c r="E43" s="12"/>
      <c r="F43" s="12">
        <v>12168</v>
      </c>
      <c r="G43" s="12"/>
      <c r="H43" s="12">
        <f>100+1043+606+120+11+1562+70+277+231+24+409</f>
        <v>4453</v>
      </c>
      <c r="I43" s="12">
        <f>94+962+552+81+14+19+1637+86+387+172+10+441+5</f>
        <v>4460</v>
      </c>
      <c r="J43" s="12">
        <f>133+1374+52+1811+163+460</f>
        <v>3993</v>
      </c>
      <c r="K43" s="12">
        <f>152+134+415+1161+60+1962</f>
        <v>3884</v>
      </c>
      <c r="L43" s="12">
        <f>87+412+980+58+1728+126</f>
        <v>3391</v>
      </c>
      <c r="M43" s="65"/>
      <c r="N43" s="241">
        <f>P43+S43+V43+Y43</f>
        <v>3884</v>
      </c>
      <c r="O43" s="241">
        <f>Q43+T43+W43+Z43</f>
        <v>3391</v>
      </c>
      <c r="P43">
        <v>152</v>
      </c>
      <c r="Q43">
        <v>126</v>
      </c>
      <c r="S43">
        <f>134+415</f>
        <v>549</v>
      </c>
      <c r="T43">
        <f>87+412</f>
        <v>499</v>
      </c>
      <c r="V43">
        <f>1161+60+1962</f>
        <v>3183</v>
      </c>
      <c r="W43">
        <f>980+58+1728</f>
        <v>2766</v>
      </c>
      <c r="Y43" s="241">
        <v>0</v>
      </c>
      <c r="Z43" s="241">
        <v>0</v>
      </c>
    </row>
    <row r="44" spans="1:26" x14ac:dyDescent="0.25">
      <c r="A44" s="8"/>
      <c r="B44" s="21" t="s">
        <v>1184</v>
      </c>
      <c r="C44" s="6"/>
      <c r="D44" s="6" t="s">
        <v>950</v>
      </c>
      <c r="E44" s="12"/>
      <c r="F44" s="12"/>
      <c r="G44" s="12"/>
      <c r="H44" s="12">
        <f>79+3+76</f>
        <v>158</v>
      </c>
      <c r="I44" s="12">
        <f>1+56</f>
        <v>57</v>
      </c>
      <c r="J44" s="12">
        <v>0</v>
      </c>
      <c r="K44" s="12">
        <v>164</v>
      </c>
      <c r="L44" s="12">
        <f>105+131</f>
        <v>236</v>
      </c>
      <c r="N44" s="241">
        <f>P44+S44+V44+Y44</f>
        <v>0</v>
      </c>
      <c r="O44" s="241">
        <f>Q44+T44+W44+Z44</f>
        <v>236</v>
      </c>
      <c r="P44">
        <v>0</v>
      </c>
      <c r="Q44">
        <v>0</v>
      </c>
      <c r="S44">
        <v>0</v>
      </c>
      <c r="T44">
        <v>0</v>
      </c>
      <c r="V44">
        <v>0</v>
      </c>
      <c r="W44">
        <v>0</v>
      </c>
      <c r="Z44" s="241">
        <f>131+105</f>
        <v>236</v>
      </c>
    </row>
    <row r="45" spans="1:26" ht="45" customHeight="1" x14ac:dyDescent="0.25">
      <c r="A45" s="8"/>
      <c r="B45" s="21" t="s">
        <v>627</v>
      </c>
      <c r="C45" s="6" t="s">
        <v>643</v>
      </c>
      <c r="D45" s="6"/>
      <c r="E45" s="12"/>
      <c r="F45" s="12"/>
      <c r="G45" s="12"/>
      <c r="H45" s="12"/>
      <c r="I45" s="12"/>
      <c r="J45" s="12"/>
      <c r="K45" s="12"/>
      <c r="L45" s="12"/>
      <c r="M45" s="20"/>
    </row>
    <row r="46" spans="1:26" x14ac:dyDescent="0.25">
      <c r="A46" s="8"/>
      <c r="B46" s="21" t="s">
        <v>1182</v>
      </c>
      <c r="C46" s="6"/>
      <c r="D46" s="6" t="s">
        <v>950</v>
      </c>
      <c r="E46" s="12"/>
      <c r="F46" s="12">
        <v>31187</v>
      </c>
      <c r="G46" s="12"/>
      <c r="H46" s="12">
        <v>10002</v>
      </c>
      <c r="I46" s="12">
        <f>564+2932+1413+493+14+19+1664+87+387+1769+248+593+32</f>
        <v>10215</v>
      </c>
      <c r="J46" s="12">
        <f t="shared" ref="J46:L47" si="15">J37</f>
        <v>9912</v>
      </c>
      <c r="K46" s="12">
        <f t="shared" si="15"/>
        <v>10033</v>
      </c>
      <c r="L46" s="12">
        <f t="shared" si="15"/>
        <v>9657</v>
      </c>
      <c r="M46" s="20"/>
      <c r="N46" s="241">
        <f>P46+S46+V46+Y46</f>
        <v>10033</v>
      </c>
      <c r="O46" s="241">
        <f>Q46+T46+W46+Z46</f>
        <v>9657</v>
      </c>
      <c r="P46">
        <f>P11</f>
        <v>625</v>
      </c>
      <c r="Q46" s="241">
        <f>Q11</f>
        <v>614</v>
      </c>
      <c r="S46" s="241">
        <f t="shared" ref="S46:W46" si="16">S11</f>
        <v>2528</v>
      </c>
      <c r="T46" s="241">
        <f t="shared" si="16"/>
        <v>2398</v>
      </c>
      <c r="V46" s="241">
        <f t="shared" si="16"/>
        <v>6880</v>
      </c>
      <c r="W46" s="241">
        <f t="shared" si="16"/>
        <v>6645</v>
      </c>
      <c r="Y46" s="241">
        <f t="shared" ref="Y46:Z46" si="17">Y11</f>
        <v>0</v>
      </c>
      <c r="Z46" s="241">
        <f t="shared" si="17"/>
        <v>0</v>
      </c>
    </row>
    <row r="47" spans="1:26" x14ac:dyDescent="0.25">
      <c r="A47" s="8"/>
      <c r="B47" s="21" t="s">
        <v>1184</v>
      </c>
      <c r="C47" s="6"/>
      <c r="D47" s="6" t="s">
        <v>950</v>
      </c>
      <c r="E47" s="12"/>
      <c r="F47" s="12">
        <v>3316</v>
      </c>
      <c r="G47" s="12"/>
      <c r="H47" s="12">
        <v>158</v>
      </c>
      <c r="I47" s="12">
        <v>57</v>
      </c>
      <c r="J47" s="12">
        <f t="shared" si="15"/>
        <v>0</v>
      </c>
      <c r="K47" s="12">
        <f t="shared" si="15"/>
        <v>164</v>
      </c>
      <c r="L47" s="12">
        <f t="shared" si="15"/>
        <v>236</v>
      </c>
      <c r="M47" s="20"/>
      <c r="N47" s="241">
        <f>P47+S47+V47+Y47</f>
        <v>164</v>
      </c>
      <c r="O47" s="241">
        <f>Q47+T47+W47+Z47</f>
        <v>236</v>
      </c>
      <c r="P47">
        <f>P38</f>
        <v>0</v>
      </c>
      <c r="Q47" s="241">
        <f>Q38</f>
        <v>0</v>
      </c>
      <c r="S47" s="241">
        <f>S38</f>
        <v>0</v>
      </c>
      <c r="T47" s="241">
        <f>T38</f>
        <v>0</v>
      </c>
      <c r="V47" s="241">
        <f>V38</f>
        <v>0</v>
      </c>
      <c r="W47" s="241">
        <f>W38</f>
        <v>0</v>
      </c>
      <c r="Y47" s="241">
        <f>Y38</f>
        <v>164</v>
      </c>
      <c r="Z47" s="241">
        <f>Z38</f>
        <v>236</v>
      </c>
    </row>
    <row r="48" spans="1:26" ht="60" x14ac:dyDescent="0.25">
      <c r="A48" s="42" t="s">
        <v>2828</v>
      </c>
      <c r="B48" s="43" t="s">
        <v>2831</v>
      </c>
      <c r="C48" s="42"/>
      <c r="D48" s="42"/>
      <c r="E48" s="49"/>
      <c r="F48" s="49"/>
      <c r="G48" s="49"/>
      <c r="H48" s="49"/>
      <c r="I48" s="49"/>
      <c r="J48" s="49"/>
      <c r="K48" s="49"/>
      <c r="L48" s="49"/>
      <c r="M48" s="3" t="s">
        <v>281</v>
      </c>
    </row>
    <row r="49" spans="1:26" x14ac:dyDescent="0.25">
      <c r="A49" s="42"/>
      <c r="B49" s="43" t="s">
        <v>1933</v>
      </c>
      <c r="C49" s="42"/>
      <c r="D49" s="42"/>
      <c r="E49" s="49"/>
      <c r="F49" s="49"/>
      <c r="G49" s="49"/>
      <c r="H49" s="49"/>
      <c r="I49" s="49"/>
      <c r="J49" s="49"/>
      <c r="K49" s="49"/>
      <c r="L49" s="49"/>
      <c r="M49" s="3"/>
    </row>
    <row r="50" spans="1:26" x14ac:dyDescent="0.25">
      <c r="A50" s="44"/>
      <c r="B50" s="43" t="s">
        <v>645</v>
      </c>
      <c r="C50" s="42"/>
      <c r="D50" s="42"/>
      <c r="E50" s="50"/>
      <c r="F50" s="50"/>
      <c r="G50" s="50"/>
      <c r="H50" s="50"/>
      <c r="I50" s="50"/>
      <c r="J50" s="50"/>
      <c r="K50" s="50"/>
      <c r="L50" s="50"/>
    </row>
    <row r="51" spans="1:26" x14ac:dyDescent="0.25">
      <c r="A51" s="44"/>
      <c r="B51" s="43" t="s">
        <v>1182</v>
      </c>
      <c r="C51" s="42"/>
      <c r="D51" s="42" t="s">
        <v>8</v>
      </c>
      <c r="E51" s="45">
        <v>0</v>
      </c>
      <c r="F51" s="45">
        <v>0</v>
      </c>
      <c r="G51" s="45">
        <v>0</v>
      </c>
      <c r="H51" s="45">
        <f>H70/H60*100</f>
        <v>39.096126255380206</v>
      </c>
      <c r="I51" s="45">
        <f>I70/I60*100</f>
        <v>36.503155479059096</v>
      </c>
      <c r="J51" s="45">
        <f>J70/J60*100</f>
        <v>35.214650255178626</v>
      </c>
      <c r="K51" s="45">
        <f>K60/K70*100</f>
        <v>33.184590212702666</v>
      </c>
      <c r="L51" s="45">
        <f>L60/L70*100</f>
        <v>32.684584491813403</v>
      </c>
      <c r="N51" s="45">
        <f t="shared" ref="N51:Q52" si="18">N60/N70*100</f>
        <v>33.184590212702666</v>
      </c>
      <c r="O51" s="45">
        <f t="shared" si="18"/>
        <v>32.684584491813403</v>
      </c>
      <c r="P51" s="45" t="e">
        <f t="shared" si="18"/>
        <v>#DIV/0!</v>
      </c>
      <c r="Q51" s="45" t="e">
        <f t="shared" si="18"/>
        <v>#DIV/0!</v>
      </c>
      <c r="S51" s="45">
        <f>S60/S70*100</f>
        <v>100</v>
      </c>
      <c r="T51" s="45">
        <f>T60/T70*100</f>
        <v>100</v>
      </c>
      <c r="V51" s="45">
        <f>V60/V70*100</f>
        <v>0</v>
      </c>
      <c r="W51" s="45">
        <f>W60/W70*100</f>
        <v>0</v>
      </c>
      <c r="Y51" s="45" t="e">
        <f>Y60/Y70*100</f>
        <v>#DIV/0!</v>
      </c>
      <c r="Z51" s="45" t="e">
        <f>Z60/Z70*100</f>
        <v>#DIV/0!</v>
      </c>
    </row>
    <row r="52" spans="1:26" x14ac:dyDescent="0.25">
      <c r="A52" s="44"/>
      <c r="B52" s="43" t="s">
        <v>1184</v>
      </c>
      <c r="C52" s="42"/>
      <c r="D52" s="42" t="s">
        <v>8</v>
      </c>
      <c r="E52" s="45">
        <v>0</v>
      </c>
      <c r="F52" s="45">
        <v>1.79</v>
      </c>
      <c r="G52" s="45">
        <v>0</v>
      </c>
      <c r="H52" s="45">
        <v>6.74</v>
      </c>
      <c r="I52" s="45">
        <f>I71/I61*100</f>
        <v>9.2592592592592595</v>
      </c>
      <c r="J52" s="45" t="e">
        <f>J71/J61*100</f>
        <v>#DIV/0!</v>
      </c>
      <c r="K52" s="45" t="e">
        <f>K61/K71*100</f>
        <v>#DIV/0!</v>
      </c>
      <c r="L52" s="45">
        <f>L61/L71*100</f>
        <v>0</v>
      </c>
      <c r="N52" s="45" t="e">
        <f t="shared" si="18"/>
        <v>#DIV/0!</v>
      </c>
      <c r="O52" s="45">
        <f t="shared" si="18"/>
        <v>0</v>
      </c>
      <c r="P52" s="45" t="e">
        <f t="shared" si="18"/>
        <v>#DIV/0!</v>
      </c>
      <c r="Q52" s="45" t="e">
        <f t="shared" si="18"/>
        <v>#DIV/0!</v>
      </c>
      <c r="S52" s="45" t="e">
        <f>S61/S71*100</f>
        <v>#DIV/0!</v>
      </c>
      <c r="T52" s="45" t="e">
        <f>T61/T71*100</f>
        <v>#DIV/0!</v>
      </c>
      <c r="V52" s="45" t="e">
        <f>V61/V71*100</f>
        <v>#DIV/0!</v>
      </c>
      <c r="W52" s="45" t="e">
        <f>W61/W71*100</f>
        <v>#DIV/0!</v>
      </c>
      <c r="Y52" s="45" t="e">
        <f>Y61/Y71*100</f>
        <v>#DIV/0!</v>
      </c>
      <c r="Z52" s="45">
        <f>Z61/Z71*100</f>
        <v>0</v>
      </c>
    </row>
    <row r="53" spans="1:26" x14ac:dyDescent="0.25">
      <c r="A53" s="44"/>
      <c r="B53" s="43" t="s">
        <v>647</v>
      </c>
      <c r="C53" s="42"/>
      <c r="D53" s="42"/>
      <c r="E53" s="50"/>
      <c r="F53" s="50"/>
      <c r="G53" s="50"/>
      <c r="H53" s="50"/>
      <c r="I53" s="50"/>
      <c r="J53" s="50"/>
      <c r="K53" s="45"/>
      <c r="L53" s="45"/>
      <c r="N53" s="45"/>
      <c r="O53" s="45"/>
      <c r="P53" s="45"/>
      <c r="Q53" s="45"/>
      <c r="S53" s="45"/>
      <c r="T53" s="45"/>
      <c r="V53" s="45"/>
      <c r="W53" s="45"/>
      <c r="Y53" s="45"/>
      <c r="Z53" s="45"/>
    </row>
    <row r="54" spans="1:26" x14ac:dyDescent="0.25">
      <c r="A54" s="44"/>
      <c r="B54" s="43" t="s">
        <v>1182</v>
      </c>
      <c r="C54" s="42"/>
      <c r="D54" s="42" t="s">
        <v>8</v>
      </c>
      <c r="E54" s="45">
        <v>0</v>
      </c>
      <c r="F54" s="45">
        <v>0</v>
      </c>
      <c r="G54" s="45">
        <v>0</v>
      </c>
      <c r="H54" s="45">
        <f t="shared" ref="H54:J55" si="19">H73/H63*100</f>
        <v>4.3753038405444826</v>
      </c>
      <c r="I54" s="45">
        <f t="shared" si="19"/>
        <v>1.0658914728682169</v>
      </c>
      <c r="J54" s="45">
        <f t="shared" si="19"/>
        <v>0</v>
      </c>
      <c r="K54" s="45">
        <f>K63/K73*100</f>
        <v>0</v>
      </c>
      <c r="L54" s="45">
        <f>L63/L73*100</f>
        <v>0</v>
      </c>
      <c r="N54" s="45">
        <f t="shared" ref="N54:Q55" si="20">N63/N73*100</f>
        <v>0</v>
      </c>
      <c r="O54" s="45">
        <f t="shared" si="20"/>
        <v>0</v>
      </c>
      <c r="P54" s="45">
        <f t="shared" si="20"/>
        <v>0</v>
      </c>
      <c r="Q54" s="45">
        <f t="shared" si="20"/>
        <v>0</v>
      </c>
      <c r="S54" s="45" t="e">
        <f>S63/S73*100</f>
        <v>#DIV/0!</v>
      </c>
      <c r="T54" s="45" t="e">
        <f>T63/T73*100</f>
        <v>#DIV/0!</v>
      </c>
      <c r="V54" s="45">
        <f>V63/V73*100</f>
        <v>0</v>
      </c>
      <c r="W54" s="45">
        <f>W63/W73*100</f>
        <v>0</v>
      </c>
      <c r="Y54" s="45" t="e">
        <f>Y63/Y73*100</f>
        <v>#DIV/0!</v>
      </c>
      <c r="Z54" s="45" t="e">
        <f>Z63/Z73*100</f>
        <v>#DIV/0!</v>
      </c>
    </row>
    <row r="55" spans="1:26" x14ac:dyDescent="0.25">
      <c r="A55" s="44"/>
      <c r="B55" s="43" t="s">
        <v>1184</v>
      </c>
      <c r="C55" s="42"/>
      <c r="D55" s="42" t="s">
        <v>8</v>
      </c>
      <c r="E55" s="45">
        <v>0</v>
      </c>
      <c r="F55" s="45">
        <v>0</v>
      </c>
      <c r="G55" s="45">
        <v>0</v>
      </c>
      <c r="H55" s="45" t="e">
        <f t="shared" si="19"/>
        <v>#DIV/0!</v>
      </c>
      <c r="I55" s="45" t="e">
        <f t="shared" si="19"/>
        <v>#DIV/0!</v>
      </c>
      <c r="J55" s="45" t="e">
        <f t="shared" si="19"/>
        <v>#DIV/0!</v>
      </c>
      <c r="K55" s="45">
        <f>K64/K74*100</f>
        <v>0</v>
      </c>
      <c r="L55" s="45" t="e">
        <f>L64/L74*100</f>
        <v>#DIV/0!</v>
      </c>
      <c r="N55" s="45" t="e">
        <f t="shared" si="20"/>
        <v>#DIV/0!</v>
      </c>
      <c r="O55" s="45" t="e">
        <f t="shared" si="20"/>
        <v>#DIV/0!</v>
      </c>
      <c r="P55" s="45" t="e">
        <f t="shared" si="20"/>
        <v>#DIV/0!</v>
      </c>
      <c r="Q55" s="45" t="e">
        <f t="shared" si="20"/>
        <v>#DIV/0!</v>
      </c>
      <c r="S55" s="45" t="e">
        <f>S64/S74*100</f>
        <v>#DIV/0!</v>
      </c>
      <c r="T55" s="45" t="e">
        <f>T64/T74*100</f>
        <v>#DIV/0!</v>
      </c>
      <c r="V55" s="45" t="e">
        <f>V64/V74*100</f>
        <v>#DIV/0!</v>
      </c>
      <c r="W55" s="45" t="e">
        <f>W64/W74*100</f>
        <v>#DIV/0!</v>
      </c>
      <c r="Y55" s="45" t="e">
        <f>Y64/Y74*100</f>
        <v>#DIV/0!</v>
      </c>
      <c r="Z55" s="45" t="e">
        <f>Z64/Z74*100</f>
        <v>#DIV/0!</v>
      </c>
    </row>
    <row r="56" spans="1:26" x14ac:dyDescent="0.25">
      <c r="A56" s="44"/>
      <c r="B56" s="43" t="s">
        <v>648</v>
      </c>
      <c r="C56" s="42"/>
      <c r="D56" s="42"/>
      <c r="E56" s="50"/>
      <c r="F56" s="50"/>
      <c r="G56" s="50"/>
      <c r="H56" s="50"/>
      <c r="I56" s="50"/>
      <c r="J56" s="50"/>
      <c r="K56" s="45"/>
      <c r="L56" s="45"/>
      <c r="N56" s="45"/>
      <c r="O56" s="45"/>
      <c r="P56" s="45"/>
      <c r="Q56" s="45"/>
      <c r="S56" s="45"/>
      <c r="T56" s="45"/>
      <c r="V56" s="45"/>
      <c r="W56" s="45"/>
      <c r="Y56" s="45"/>
      <c r="Z56" s="45"/>
    </row>
    <row r="57" spans="1:26" x14ac:dyDescent="0.25">
      <c r="A57" s="44"/>
      <c r="B57" s="43" t="s">
        <v>1182</v>
      </c>
      <c r="C57" s="42"/>
      <c r="D57" s="42" t="s">
        <v>8</v>
      </c>
      <c r="E57" s="45">
        <v>0</v>
      </c>
      <c r="F57" s="45">
        <v>0</v>
      </c>
      <c r="G57" s="45">
        <v>0</v>
      </c>
      <c r="H57" s="45">
        <f t="shared" ref="H57:J58" si="21">H76/H66*100</f>
        <v>37.096774193548384</v>
      </c>
      <c r="I57" s="45">
        <f t="shared" si="21"/>
        <v>38.167938931297712</v>
      </c>
      <c r="J57" s="45">
        <f t="shared" si="21"/>
        <v>27.092320966350304</v>
      </c>
      <c r="K57" s="45">
        <f>K66/K76*100</f>
        <v>24.832775919732441</v>
      </c>
      <c r="L57" s="45">
        <f>L66/L76*100</f>
        <v>26.111111111111114</v>
      </c>
      <c r="N57" s="45">
        <f t="shared" ref="N57:Q58" si="22">N66/N76*100</f>
        <v>24.832775919732441</v>
      </c>
      <c r="O57" s="45">
        <f t="shared" si="22"/>
        <v>26.111111111111114</v>
      </c>
      <c r="P57" s="45" t="e">
        <f t="shared" si="22"/>
        <v>#DIV/0!</v>
      </c>
      <c r="Q57" s="45" t="e">
        <f t="shared" si="22"/>
        <v>#DIV/0!</v>
      </c>
      <c r="S57" s="45">
        <f>S66/S76*100</f>
        <v>100</v>
      </c>
      <c r="T57" s="45">
        <f>T66/T76*100</f>
        <v>100</v>
      </c>
      <c r="V57" s="45">
        <f>V66/V76*100</f>
        <v>0</v>
      </c>
      <c r="W57" s="45">
        <f>W66/W76*100</f>
        <v>0</v>
      </c>
      <c r="Y57" s="45" t="e">
        <f>Y66/Y76*100</f>
        <v>#DIV/0!</v>
      </c>
      <c r="Z57" s="45" t="e">
        <f>Z66/Z76*100</f>
        <v>#DIV/0!</v>
      </c>
    </row>
    <row r="58" spans="1:26" x14ac:dyDescent="0.25">
      <c r="A58" s="44"/>
      <c r="B58" s="43" t="s">
        <v>1184</v>
      </c>
      <c r="C58" s="42"/>
      <c r="D58" s="42" t="s">
        <v>8</v>
      </c>
      <c r="E58" s="45">
        <v>0</v>
      </c>
      <c r="F58" s="45">
        <v>0</v>
      </c>
      <c r="G58" s="45">
        <v>0</v>
      </c>
      <c r="H58" s="45" t="e">
        <f t="shared" si="21"/>
        <v>#DIV/0!</v>
      </c>
      <c r="I58" s="45" t="e">
        <f t="shared" si="21"/>
        <v>#DIV/0!</v>
      </c>
      <c r="J58" s="45" t="e">
        <f t="shared" si="21"/>
        <v>#DIV/0!</v>
      </c>
      <c r="K58" s="45" t="e">
        <f>K67/K77*100</f>
        <v>#DIV/0!</v>
      </c>
      <c r="L58" s="45" t="e">
        <f>L67/L77*100</f>
        <v>#DIV/0!</v>
      </c>
      <c r="N58" s="45" t="e">
        <f t="shared" si="22"/>
        <v>#DIV/0!</v>
      </c>
      <c r="O58" s="45" t="e">
        <f t="shared" si="22"/>
        <v>#DIV/0!</v>
      </c>
      <c r="P58" s="45" t="e">
        <f t="shared" si="22"/>
        <v>#DIV/0!</v>
      </c>
      <c r="Q58" s="45" t="e">
        <f t="shared" si="22"/>
        <v>#DIV/0!</v>
      </c>
      <c r="S58" s="45" t="e">
        <f>S67/S77*100</f>
        <v>#DIV/0!</v>
      </c>
      <c r="T58" s="45" t="e">
        <f>T67/T77*100</f>
        <v>#DIV/0!</v>
      </c>
      <c r="V58" s="45" t="e">
        <f>V67/V77*100</f>
        <v>#DIV/0!</v>
      </c>
      <c r="W58" s="45" t="e">
        <f>W67/W77*100</f>
        <v>#DIV/0!</v>
      </c>
      <c r="Y58" s="45" t="e">
        <f>Y67/Y77*100</f>
        <v>#DIV/0!</v>
      </c>
      <c r="Z58" s="45" t="e">
        <f>Z67/Z77*100</f>
        <v>#DIV/0!</v>
      </c>
    </row>
    <row r="59" spans="1:26" ht="45" x14ac:dyDescent="0.25">
      <c r="A59" s="8"/>
      <c r="B59" s="21" t="s">
        <v>2010</v>
      </c>
      <c r="C59" s="6" t="s">
        <v>2849</v>
      </c>
      <c r="D59" s="6"/>
      <c r="E59" s="12"/>
      <c r="F59" s="12"/>
      <c r="G59" s="12"/>
      <c r="H59" s="12"/>
      <c r="I59" s="12"/>
      <c r="J59" s="12"/>
      <c r="K59" s="12"/>
      <c r="L59" s="12"/>
    </row>
    <row r="60" spans="1:26" x14ac:dyDescent="0.25">
      <c r="A60" s="8"/>
      <c r="B60" s="21" t="s">
        <v>1182</v>
      </c>
      <c r="C60" s="6"/>
      <c r="D60" s="6" t="s">
        <v>950</v>
      </c>
      <c r="E60" s="12"/>
      <c r="F60" s="12"/>
      <c r="G60" s="12"/>
      <c r="H60" s="12">
        <f>4562+2408</f>
        <v>6970</v>
      </c>
      <c r="I60" s="12">
        <f>4610+2362</f>
        <v>6972</v>
      </c>
      <c r="J60" s="12">
        <f>2776+36+1504+1818+528</f>
        <v>6662</v>
      </c>
      <c r="K60" s="12">
        <v>2231</v>
      </c>
      <c r="L60" s="12">
        <f>2116</f>
        <v>2116</v>
      </c>
      <c r="M60" s="65"/>
      <c r="N60" s="241">
        <f>P60+S60+V60+Y60</f>
        <v>2231</v>
      </c>
      <c r="O60" s="241">
        <f>Q60+T60+W60+Z60</f>
        <v>2116</v>
      </c>
      <c r="P60">
        <v>0</v>
      </c>
      <c r="Q60">
        <v>0</v>
      </c>
      <c r="S60">
        <v>2231</v>
      </c>
      <c r="T60">
        <v>2116</v>
      </c>
      <c r="V60">
        <v>0</v>
      </c>
      <c r="W60">
        <v>0</v>
      </c>
      <c r="Y60" s="241">
        <v>0</v>
      </c>
      <c r="Z60" s="241">
        <v>0</v>
      </c>
    </row>
    <row r="61" spans="1:26" x14ac:dyDescent="0.25">
      <c r="A61" s="8"/>
      <c r="B61" s="21" t="s">
        <v>1184</v>
      </c>
      <c r="C61" s="6"/>
      <c r="D61" s="6" t="s">
        <v>950</v>
      </c>
      <c r="E61" s="12"/>
      <c r="F61" s="12"/>
      <c r="G61" s="12"/>
      <c r="H61" s="12">
        <f>81+79</f>
        <v>160</v>
      </c>
      <c r="I61" s="12">
        <v>216</v>
      </c>
      <c r="J61" s="12">
        <v>0</v>
      </c>
      <c r="K61" s="12">
        <v>0</v>
      </c>
      <c r="L61" s="12">
        <v>0</v>
      </c>
      <c r="N61" s="241">
        <f>P61+S61+V61+Y61</f>
        <v>0</v>
      </c>
      <c r="O61" s="241">
        <f>Q61+T61+W61+Z61</f>
        <v>0</v>
      </c>
      <c r="P61">
        <v>0</v>
      </c>
      <c r="Q61">
        <v>0</v>
      </c>
      <c r="S61">
        <v>0</v>
      </c>
      <c r="T61">
        <v>0</v>
      </c>
      <c r="V61">
        <v>0</v>
      </c>
      <c r="W61">
        <v>0</v>
      </c>
      <c r="Z61" s="241">
        <v>0</v>
      </c>
    </row>
    <row r="62" spans="1:26" ht="45" x14ac:dyDescent="0.25">
      <c r="A62" s="8"/>
      <c r="B62" s="21" t="s">
        <v>2011</v>
      </c>
      <c r="C62" s="6" t="s">
        <v>2850</v>
      </c>
      <c r="D62" s="6"/>
      <c r="E62" s="12"/>
      <c r="F62" s="12"/>
      <c r="G62" s="12"/>
      <c r="H62" s="12"/>
      <c r="I62" s="12"/>
      <c r="J62" s="12"/>
      <c r="K62" s="12"/>
      <c r="L62" s="12"/>
    </row>
    <row r="63" spans="1:26" x14ac:dyDescent="0.25">
      <c r="A63" s="8"/>
      <c r="B63" s="21" t="s">
        <v>1182</v>
      </c>
      <c r="C63" s="6"/>
      <c r="D63" s="6" t="s">
        <v>950</v>
      </c>
      <c r="E63" s="12"/>
      <c r="F63" s="12"/>
      <c r="G63" s="12"/>
      <c r="H63" s="12">
        <f>555+1501+1</f>
        <v>2057</v>
      </c>
      <c r="I63" s="12">
        <f>564+1500</f>
        <v>2064</v>
      </c>
      <c r="J63" s="12">
        <f>594+1409+88</f>
        <v>2091</v>
      </c>
      <c r="K63" s="12">
        <v>0</v>
      </c>
      <c r="L63" s="12">
        <v>0</v>
      </c>
      <c r="M63" s="65"/>
      <c r="N63" s="241">
        <f>P63+S63+V63+Y63</f>
        <v>0</v>
      </c>
      <c r="O63" s="241">
        <f>Q63+T63+W63+Z63</f>
        <v>0</v>
      </c>
      <c r="P63">
        <v>0</v>
      </c>
      <c r="Q63">
        <v>0</v>
      </c>
      <c r="S63">
        <v>0</v>
      </c>
      <c r="T63">
        <v>0</v>
      </c>
      <c r="V63">
        <v>0</v>
      </c>
      <c r="W63">
        <v>0</v>
      </c>
      <c r="Y63" s="241">
        <v>0</v>
      </c>
      <c r="Z63" s="241">
        <v>0</v>
      </c>
    </row>
    <row r="64" spans="1:26" x14ac:dyDescent="0.25">
      <c r="A64" s="8"/>
      <c r="B64" s="21" t="s">
        <v>1184</v>
      </c>
      <c r="C64" s="6"/>
      <c r="D64" s="6" t="s">
        <v>950</v>
      </c>
      <c r="E64" s="12"/>
      <c r="F64" s="12"/>
      <c r="G64" s="12"/>
      <c r="H64" s="12">
        <v>0</v>
      </c>
      <c r="I64" s="12">
        <v>0</v>
      </c>
      <c r="J64" s="12">
        <v>0</v>
      </c>
      <c r="K64" s="12">
        <v>0</v>
      </c>
      <c r="L64" s="12">
        <v>0</v>
      </c>
      <c r="N64" s="241">
        <f>P64+S64+V64+Y64</f>
        <v>0</v>
      </c>
      <c r="O64" s="241">
        <f>Q64+T64+W64+Z64</f>
        <v>0</v>
      </c>
      <c r="P64" s="241">
        <v>0</v>
      </c>
      <c r="Q64" s="241">
        <v>0</v>
      </c>
      <c r="R64" s="241"/>
      <c r="S64" s="241">
        <v>0</v>
      </c>
      <c r="T64" s="241">
        <v>0</v>
      </c>
      <c r="U64" s="241"/>
      <c r="V64" s="241">
        <v>0</v>
      </c>
      <c r="W64" s="241">
        <v>0</v>
      </c>
      <c r="Z64" s="241">
        <v>0</v>
      </c>
    </row>
    <row r="65" spans="1:26" ht="45" x14ac:dyDescent="0.25">
      <c r="A65" s="8"/>
      <c r="B65" s="21" t="s">
        <v>2012</v>
      </c>
      <c r="C65" s="6" t="s">
        <v>2851</v>
      </c>
      <c r="D65" s="6"/>
      <c r="E65" s="12"/>
      <c r="F65" s="12"/>
      <c r="G65" s="12"/>
      <c r="H65" s="12"/>
      <c r="I65" s="12"/>
      <c r="J65" s="12"/>
      <c r="K65" s="12"/>
      <c r="L65" s="12"/>
    </row>
    <row r="66" spans="1:26" x14ac:dyDescent="0.25">
      <c r="A66" s="8"/>
      <c r="B66" s="21" t="s">
        <v>1182</v>
      </c>
      <c r="C66" s="6"/>
      <c r="D66" s="6" t="s">
        <v>950</v>
      </c>
      <c r="E66" s="12"/>
      <c r="F66" s="12"/>
      <c r="G66" s="12"/>
      <c r="H66" s="12">
        <f>731+261</f>
        <v>992</v>
      </c>
      <c r="I66" s="12">
        <f>899+280</f>
        <v>1179</v>
      </c>
      <c r="J66" s="12">
        <f>605+21+219+284+30</f>
        <v>1159</v>
      </c>
      <c r="K66" s="12">
        <v>297</v>
      </c>
      <c r="L66" s="12">
        <v>282</v>
      </c>
      <c r="M66" s="65"/>
      <c r="N66" s="241">
        <f>P66+S66+V66+Y66</f>
        <v>297</v>
      </c>
      <c r="O66" s="241">
        <f>Q66+T66+W66+Z66</f>
        <v>282</v>
      </c>
      <c r="P66">
        <v>0</v>
      </c>
      <c r="Q66">
        <v>0</v>
      </c>
      <c r="S66">
        <v>297</v>
      </c>
      <c r="T66">
        <v>282</v>
      </c>
      <c r="V66">
        <v>0</v>
      </c>
      <c r="W66">
        <v>0</v>
      </c>
      <c r="Y66" s="241">
        <v>0</v>
      </c>
      <c r="Z66" s="241">
        <v>0</v>
      </c>
    </row>
    <row r="67" spans="1:26" x14ac:dyDescent="0.25">
      <c r="A67" s="8"/>
      <c r="B67" s="21" t="s">
        <v>1184</v>
      </c>
      <c r="C67" s="6"/>
      <c r="D67" s="6" t="s">
        <v>950</v>
      </c>
      <c r="E67" s="12"/>
      <c r="F67" s="12"/>
      <c r="G67" s="12"/>
      <c r="H67" s="12">
        <v>0</v>
      </c>
      <c r="I67" s="12">
        <v>0</v>
      </c>
      <c r="J67" s="12">
        <v>0</v>
      </c>
      <c r="K67" s="12">
        <v>0</v>
      </c>
      <c r="L67" s="12">
        <v>0</v>
      </c>
      <c r="N67" s="241">
        <f>P67+S67+V67+Y67</f>
        <v>0</v>
      </c>
      <c r="O67" s="241">
        <f>Q67+T67+W67+Z67</f>
        <v>0</v>
      </c>
      <c r="P67" s="241">
        <v>0</v>
      </c>
      <c r="Q67" s="241">
        <v>0</v>
      </c>
      <c r="R67" s="241"/>
      <c r="S67" s="241">
        <v>0</v>
      </c>
      <c r="T67" s="241">
        <v>0</v>
      </c>
      <c r="U67" s="241"/>
      <c r="V67" s="241">
        <v>0</v>
      </c>
      <c r="W67" s="241">
        <v>0</v>
      </c>
      <c r="Z67" s="241">
        <v>0</v>
      </c>
    </row>
    <row r="68" spans="1:26" x14ac:dyDescent="0.25">
      <c r="A68" s="8"/>
      <c r="B68" s="21" t="s">
        <v>1933</v>
      </c>
      <c r="C68" s="6"/>
      <c r="D68" s="6"/>
      <c r="E68" s="12"/>
      <c r="F68" s="12"/>
      <c r="G68" s="12"/>
      <c r="H68" s="12"/>
      <c r="I68" s="12"/>
      <c r="J68" s="12"/>
      <c r="K68" s="12"/>
      <c r="L68" s="12"/>
    </row>
    <row r="69" spans="1:26" ht="30" x14ac:dyDescent="0.25">
      <c r="A69" s="8"/>
      <c r="B69" s="21" t="s">
        <v>646</v>
      </c>
      <c r="C69" s="6" t="s">
        <v>1995</v>
      </c>
      <c r="D69" s="6"/>
      <c r="E69" s="12"/>
      <c r="F69" s="12"/>
      <c r="G69" s="12"/>
      <c r="H69" s="12"/>
      <c r="I69" s="12"/>
      <c r="J69" s="12"/>
      <c r="K69" s="12"/>
      <c r="L69" s="12"/>
      <c r="M69" s="241"/>
    </row>
    <row r="70" spans="1:26" x14ac:dyDescent="0.25">
      <c r="A70" s="8"/>
      <c r="B70" s="21" t="s">
        <v>1182</v>
      </c>
      <c r="C70" s="6"/>
      <c r="D70" s="6" t="s">
        <v>950</v>
      </c>
      <c r="E70" s="12"/>
      <c r="F70" s="12"/>
      <c r="G70" s="12"/>
      <c r="H70" s="12">
        <f>317+2408</f>
        <v>2725</v>
      </c>
      <c r="I70" s="12">
        <f>183+2362</f>
        <v>2545</v>
      </c>
      <c r="J70" s="12">
        <v>2346</v>
      </c>
      <c r="K70" s="12">
        <f>2231+4492</f>
        <v>6723</v>
      </c>
      <c r="L70" s="12">
        <f>2116+4358</f>
        <v>6474</v>
      </c>
      <c r="M70" s="20"/>
      <c r="N70" s="241">
        <f>P70+S70+V70+Y70</f>
        <v>6723</v>
      </c>
      <c r="O70" s="241">
        <f>Q70+T70+W70+Z70</f>
        <v>6474</v>
      </c>
      <c r="P70">
        <v>0</v>
      </c>
      <c r="Q70">
        <v>0</v>
      </c>
      <c r="S70">
        <v>2231</v>
      </c>
      <c r="T70">
        <v>2116</v>
      </c>
      <c r="V70">
        <v>4492</v>
      </c>
      <c r="W70" s="241">
        <v>4358</v>
      </c>
      <c r="Y70" s="241">
        <v>0</v>
      </c>
      <c r="Z70" s="241">
        <v>0</v>
      </c>
    </row>
    <row r="71" spans="1:26" x14ac:dyDescent="0.25">
      <c r="A71" s="8"/>
      <c r="B71" s="21" t="s">
        <v>1184</v>
      </c>
      <c r="C71" s="6"/>
      <c r="D71" s="6" t="s">
        <v>950</v>
      </c>
      <c r="E71" s="12"/>
      <c r="F71" s="12"/>
      <c r="G71" s="12"/>
      <c r="H71" s="12">
        <f>16+20</f>
        <v>36</v>
      </c>
      <c r="I71" s="12">
        <v>20</v>
      </c>
      <c r="J71" s="12">
        <v>0</v>
      </c>
      <c r="K71" s="12">
        <v>0</v>
      </c>
      <c r="L71" s="12">
        <v>236</v>
      </c>
      <c r="M71" s="20"/>
      <c r="N71" s="241">
        <f>P71+S71+V71+Y71</f>
        <v>0</v>
      </c>
      <c r="O71" s="241">
        <f>Q71+T71+W71+Z71</f>
        <v>236</v>
      </c>
      <c r="P71" s="241">
        <v>0</v>
      </c>
      <c r="Q71" s="241">
        <v>0</v>
      </c>
      <c r="R71" s="241"/>
      <c r="S71" s="241">
        <v>0</v>
      </c>
      <c r="T71" s="241">
        <v>0</v>
      </c>
      <c r="U71" s="241"/>
      <c r="V71" s="241">
        <v>0</v>
      </c>
      <c r="W71" s="241">
        <v>0</v>
      </c>
      <c r="Z71" s="241">
        <f>131+105</f>
        <v>236</v>
      </c>
    </row>
    <row r="72" spans="1:26" ht="30" x14ac:dyDescent="0.25">
      <c r="A72" s="8"/>
      <c r="B72" s="21" t="s">
        <v>649</v>
      </c>
      <c r="C72" s="6" t="s">
        <v>1996</v>
      </c>
      <c r="D72" s="6"/>
      <c r="E72" s="12"/>
      <c r="F72" s="12"/>
      <c r="G72" s="12"/>
      <c r="H72" s="12"/>
      <c r="I72" s="12"/>
      <c r="J72" s="12"/>
      <c r="K72" s="12"/>
      <c r="L72" s="12"/>
    </row>
    <row r="73" spans="1:26" x14ac:dyDescent="0.25">
      <c r="A73" s="8"/>
      <c r="B73" s="21" t="s">
        <v>1182</v>
      </c>
      <c r="C73" s="6"/>
      <c r="D73" s="6" t="s">
        <v>950</v>
      </c>
      <c r="E73" s="12"/>
      <c r="F73" s="12"/>
      <c r="G73" s="12"/>
      <c r="H73" s="12">
        <f>89+1</f>
        <v>90</v>
      </c>
      <c r="I73" s="12">
        <v>22</v>
      </c>
      <c r="J73" s="12">
        <v>0</v>
      </c>
      <c r="K73" s="12">
        <f>625+1489</f>
        <v>2114</v>
      </c>
      <c r="L73" s="12">
        <f>1489+614</f>
        <v>2103</v>
      </c>
      <c r="N73" s="241">
        <f>P73+S73+V73+Y73</f>
        <v>2114</v>
      </c>
      <c r="O73" s="241">
        <f>Q73+T73+W73+Z73</f>
        <v>2103</v>
      </c>
      <c r="P73">
        <v>625</v>
      </c>
      <c r="Q73">
        <v>614</v>
      </c>
      <c r="S73">
        <v>0</v>
      </c>
      <c r="T73">
        <v>0</v>
      </c>
      <c r="V73">
        <v>1489</v>
      </c>
      <c r="W73">
        <v>1489</v>
      </c>
      <c r="Y73" s="241">
        <v>0</v>
      </c>
      <c r="Z73" s="241">
        <v>0</v>
      </c>
    </row>
    <row r="74" spans="1:26" x14ac:dyDescent="0.25">
      <c r="A74" s="8"/>
      <c r="B74" s="21" t="s">
        <v>1184</v>
      </c>
      <c r="C74" s="6"/>
      <c r="D74" s="6" t="s">
        <v>950</v>
      </c>
      <c r="E74" s="12"/>
      <c r="F74" s="12"/>
      <c r="G74" s="12"/>
      <c r="H74" s="12">
        <v>0</v>
      </c>
      <c r="I74" s="12">
        <v>0</v>
      </c>
      <c r="J74" s="12">
        <v>0</v>
      </c>
      <c r="K74" s="12">
        <v>164</v>
      </c>
      <c r="L74" s="12">
        <v>0</v>
      </c>
      <c r="N74" s="241">
        <f>P74+S74+V74+Y74</f>
        <v>0</v>
      </c>
      <c r="O74" s="241">
        <f>Q74+T74+W74+Z74</f>
        <v>0</v>
      </c>
      <c r="P74" s="241">
        <v>0</v>
      </c>
      <c r="Q74" s="241">
        <v>0</v>
      </c>
      <c r="R74" s="241"/>
      <c r="S74" s="241">
        <v>0</v>
      </c>
      <c r="T74" s="241">
        <v>0</v>
      </c>
      <c r="U74" s="241"/>
      <c r="V74" s="241">
        <v>0</v>
      </c>
      <c r="W74" s="241">
        <v>0</v>
      </c>
      <c r="Z74" s="241">
        <v>0</v>
      </c>
    </row>
    <row r="75" spans="1:26" ht="30" x14ac:dyDescent="0.25">
      <c r="A75" s="8"/>
      <c r="B75" s="21" t="s">
        <v>650</v>
      </c>
      <c r="C75" s="6" t="s">
        <v>1997</v>
      </c>
      <c r="D75" s="6"/>
      <c r="E75" s="12"/>
      <c r="F75" s="12"/>
      <c r="G75" s="12"/>
      <c r="H75" s="12"/>
      <c r="I75" s="12"/>
      <c r="J75" s="12"/>
      <c r="K75" s="12"/>
      <c r="L75" s="12"/>
    </row>
    <row r="76" spans="1:26" x14ac:dyDescent="0.25">
      <c r="A76" s="8"/>
      <c r="B76" s="21" t="s">
        <v>1182</v>
      </c>
      <c r="C76" s="6"/>
      <c r="D76" s="6" t="s">
        <v>950</v>
      </c>
      <c r="E76" s="12"/>
      <c r="F76" s="12"/>
      <c r="G76" s="12"/>
      <c r="H76" s="12">
        <f>107+261</f>
        <v>368</v>
      </c>
      <c r="I76" s="12">
        <f>170+280</f>
        <v>450</v>
      </c>
      <c r="J76" s="12">
        <v>314</v>
      </c>
      <c r="K76" s="12">
        <f>297+899</f>
        <v>1196</v>
      </c>
      <c r="L76" s="12">
        <f>282+798</f>
        <v>1080</v>
      </c>
      <c r="N76" s="241">
        <f>P76+S76+V76+Y76</f>
        <v>1196</v>
      </c>
      <c r="O76" s="241">
        <f>Q76+T76+W76+Z76</f>
        <v>1080</v>
      </c>
      <c r="P76">
        <v>0</v>
      </c>
      <c r="Q76">
        <v>0</v>
      </c>
      <c r="S76">
        <v>297</v>
      </c>
      <c r="T76">
        <v>282</v>
      </c>
      <c r="V76">
        <v>899</v>
      </c>
      <c r="W76">
        <v>798</v>
      </c>
      <c r="Y76" s="241">
        <v>0</v>
      </c>
      <c r="Z76" s="241">
        <v>0</v>
      </c>
    </row>
    <row r="77" spans="1:26" x14ac:dyDescent="0.25">
      <c r="A77" s="8"/>
      <c r="B77" s="21" t="s">
        <v>1184</v>
      </c>
      <c r="C77" s="6"/>
      <c r="D77" s="6" t="s">
        <v>950</v>
      </c>
      <c r="E77" s="12"/>
      <c r="F77" s="12"/>
      <c r="G77" s="12"/>
      <c r="H77" s="12">
        <v>0</v>
      </c>
      <c r="I77" s="12">
        <v>0</v>
      </c>
      <c r="J77" s="12">
        <v>0</v>
      </c>
      <c r="K77" s="12">
        <v>0</v>
      </c>
      <c r="L77" s="12">
        <v>0</v>
      </c>
      <c r="N77" s="241">
        <f>P77+S77+V77+Y77</f>
        <v>0</v>
      </c>
      <c r="O77" s="241">
        <f>Q77+T77+W77+Z77</f>
        <v>0</v>
      </c>
      <c r="P77" s="241">
        <v>0</v>
      </c>
      <c r="Q77" s="241">
        <v>0</v>
      </c>
      <c r="R77" s="241"/>
      <c r="S77" s="241">
        <v>0</v>
      </c>
      <c r="T77" s="241">
        <v>0</v>
      </c>
      <c r="U77" s="241"/>
      <c r="V77" s="241">
        <v>0</v>
      </c>
      <c r="W77" s="241">
        <v>0</v>
      </c>
      <c r="Z77" s="241">
        <v>0</v>
      </c>
    </row>
    <row r="78" spans="1:26" s="241" customFormat="1" ht="60" x14ac:dyDescent="0.25">
      <c r="A78" s="42" t="s">
        <v>2829</v>
      </c>
      <c r="B78" s="43" t="s">
        <v>2830</v>
      </c>
      <c r="C78" s="42"/>
      <c r="D78" s="42"/>
      <c r="E78" s="49"/>
      <c r="F78" s="49"/>
      <c r="G78" s="49"/>
      <c r="H78" s="49"/>
      <c r="I78" s="49"/>
      <c r="J78" s="49"/>
      <c r="K78" s="49"/>
      <c r="L78" s="49"/>
      <c r="M78" s="3" t="s">
        <v>281</v>
      </c>
    </row>
    <row r="79" spans="1:26" x14ac:dyDescent="0.25">
      <c r="A79" s="44"/>
      <c r="B79" s="43" t="s">
        <v>1934</v>
      </c>
      <c r="C79" s="42"/>
      <c r="D79" s="42"/>
      <c r="E79" s="45"/>
      <c r="F79" s="45"/>
      <c r="G79" s="45"/>
      <c r="H79" s="45"/>
      <c r="I79" s="45"/>
      <c r="J79" s="45"/>
      <c r="K79" s="45"/>
      <c r="L79" s="45"/>
    </row>
    <row r="80" spans="1:26" x14ac:dyDescent="0.25">
      <c r="A80" s="44"/>
      <c r="B80" s="43" t="s">
        <v>645</v>
      </c>
      <c r="C80" s="42"/>
      <c r="D80" s="42"/>
      <c r="E80" s="45"/>
      <c r="F80" s="45"/>
      <c r="G80" s="45"/>
      <c r="H80" s="45"/>
      <c r="I80" s="45"/>
      <c r="J80" s="45"/>
      <c r="K80" s="45"/>
      <c r="L80" s="45"/>
    </row>
    <row r="81" spans="1:26" x14ac:dyDescent="0.25">
      <c r="A81" s="44"/>
      <c r="B81" s="43" t="s">
        <v>1182</v>
      </c>
      <c r="C81" s="42"/>
      <c r="D81" s="42" t="s">
        <v>8</v>
      </c>
      <c r="E81" s="45"/>
      <c r="F81" s="45"/>
      <c r="G81" s="45"/>
      <c r="H81" s="45"/>
      <c r="I81" s="45">
        <f>I100/I60*100</f>
        <v>0</v>
      </c>
      <c r="J81" s="45">
        <f>J100/J90*100</f>
        <v>35.214650255178626</v>
      </c>
      <c r="K81" s="45">
        <f>K90/K100*100</f>
        <v>33.184590212702666</v>
      </c>
      <c r="L81" s="45">
        <f>L90/L100*100</f>
        <v>32.684584491813403</v>
      </c>
      <c r="N81" s="45">
        <f t="shared" ref="N81:Q82" si="23">N90/N100*100</f>
        <v>33.184590212702666</v>
      </c>
      <c r="O81" s="45">
        <f t="shared" si="23"/>
        <v>32.684584491813403</v>
      </c>
      <c r="P81" s="45" t="e">
        <f t="shared" si="23"/>
        <v>#DIV/0!</v>
      </c>
      <c r="Q81" s="45" t="e">
        <f t="shared" si="23"/>
        <v>#DIV/0!</v>
      </c>
      <c r="S81" s="45">
        <f>S90/S100*100</f>
        <v>100</v>
      </c>
      <c r="T81" s="45">
        <f>T90/T100*100</f>
        <v>100</v>
      </c>
      <c r="V81" s="45">
        <f>V90/V100*100</f>
        <v>0</v>
      </c>
      <c r="W81" s="45">
        <f>W90/W100*100</f>
        <v>0</v>
      </c>
      <c r="Y81" s="45" t="e">
        <f>Y90/Y100*100</f>
        <v>#DIV/0!</v>
      </c>
      <c r="Z81" s="45" t="e">
        <f>Z90/Z100*100</f>
        <v>#DIV/0!</v>
      </c>
    </row>
    <row r="82" spans="1:26" x14ac:dyDescent="0.25">
      <c r="A82" s="44"/>
      <c r="B82" s="43" t="s">
        <v>1184</v>
      </c>
      <c r="C82" s="42"/>
      <c r="D82" s="42" t="s">
        <v>8</v>
      </c>
      <c r="E82" s="45"/>
      <c r="F82" s="45"/>
      <c r="G82" s="45"/>
      <c r="H82" s="45"/>
      <c r="I82" s="45">
        <f>I101/I61*100</f>
        <v>6.9444444444444446</v>
      </c>
      <c r="J82" s="45" t="e">
        <f>J101/J91*100</f>
        <v>#DIV/0!</v>
      </c>
      <c r="K82" s="45" t="e">
        <f>K91/K101*100</f>
        <v>#DIV/0!</v>
      </c>
      <c r="L82" s="45">
        <f>L91/L101*100</f>
        <v>0</v>
      </c>
      <c r="N82" s="45" t="e">
        <f t="shared" si="23"/>
        <v>#DIV/0!</v>
      </c>
      <c r="O82" s="45">
        <f t="shared" si="23"/>
        <v>0</v>
      </c>
      <c r="P82" s="45" t="e">
        <f t="shared" si="23"/>
        <v>#DIV/0!</v>
      </c>
      <c r="Q82" s="45" t="e">
        <f t="shared" si="23"/>
        <v>#DIV/0!</v>
      </c>
      <c r="S82" s="45" t="e">
        <f>S91/S101*100</f>
        <v>#DIV/0!</v>
      </c>
      <c r="T82" s="45" t="e">
        <f>T91/T101*100</f>
        <v>#DIV/0!</v>
      </c>
      <c r="V82" s="45" t="e">
        <f>V91/V101*100</f>
        <v>#DIV/0!</v>
      </c>
      <c r="W82" s="45" t="e">
        <f>W91/W101*100</f>
        <v>#DIV/0!</v>
      </c>
      <c r="Y82" s="45" t="e">
        <f>Y91/Y101*100</f>
        <v>#DIV/0!</v>
      </c>
      <c r="Z82" s="45">
        <f>Z91/Z101*100</f>
        <v>0</v>
      </c>
    </row>
    <row r="83" spans="1:26" x14ac:dyDescent="0.25">
      <c r="A83" s="44"/>
      <c r="B83" s="43" t="s">
        <v>647</v>
      </c>
      <c r="C83" s="42"/>
      <c r="D83" s="42"/>
      <c r="E83" s="45"/>
      <c r="F83" s="45"/>
      <c r="G83" s="45"/>
      <c r="H83" s="45"/>
      <c r="I83" s="45"/>
      <c r="J83" s="45"/>
      <c r="K83" s="45"/>
      <c r="L83" s="45"/>
      <c r="N83" s="45"/>
      <c r="O83" s="45"/>
      <c r="P83" s="45"/>
      <c r="Q83" s="45"/>
      <c r="S83" s="45"/>
      <c r="T83" s="45"/>
      <c r="V83" s="45"/>
      <c r="W83" s="45"/>
      <c r="Y83" s="45"/>
      <c r="Z83" s="45"/>
    </row>
    <row r="84" spans="1:26" x14ac:dyDescent="0.25">
      <c r="A84" s="44"/>
      <c r="B84" s="43" t="s">
        <v>1182</v>
      </c>
      <c r="C84" s="42"/>
      <c r="D84" s="42" t="s">
        <v>8</v>
      </c>
      <c r="E84" s="45"/>
      <c r="F84" s="45"/>
      <c r="G84" s="45"/>
      <c r="H84" s="45"/>
      <c r="I84" s="45" t="e">
        <f>I93/I103*100</f>
        <v>#DIV/0!</v>
      </c>
      <c r="J84" s="45">
        <f>J103/J93*100</f>
        <v>0</v>
      </c>
      <c r="K84" s="45">
        <f>K93/K103*100</f>
        <v>0</v>
      </c>
      <c r="L84" s="45">
        <f>L93/L103*100</f>
        <v>23.537803138373754</v>
      </c>
      <c r="N84" s="45">
        <f t="shared" ref="N84:Q85" si="24">N93/N103*100</f>
        <v>0</v>
      </c>
      <c r="O84" s="45">
        <f t="shared" si="24"/>
        <v>23.537803138373754</v>
      </c>
      <c r="P84" s="45">
        <f t="shared" si="24"/>
        <v>0</v>
      </c>
      <c r="Q84" s="45">
        <f t="shared" si="24"/>
        <v>80.618892508143318</v>
      </c>
      <c r="S84" s="45" t="e">
        <f>S93/S103*100</f>
        <v>#DIV/0!</v>
      </c>
      <c r="T84" s="45" t="e">
        <f>T93/T103*100</f>
        <v>#DIV/0!</v>
      </c>
      <c r="V84" s="45">
        <f>V93/V103*100</f>
        <v>0</v>
      </c>
      <c r="W84" s="45">
        <f>W93/W103*100</f>
        <v>0</v>
      </c>
      <c r="Y84" s="45" t="e">
        <f>Y93/Y103*100</f>
        <v>#DIV/0!</v>
      </c>
      <c r="Z84" s="45" t="e">
        <f>Z93/Z103*100</f>
        <v>#DIV/0!</v>
      </c>
    </row>
    <row r="85" spans="1:26" x14ac:dyDescent="0.25">
      <c r="A85" s="44"/>
      <c r="B85" s="43" t="s">
        <v>1184</v>
      </c>
      <c r="C85" s="42"/>
      <c r="D85" s="42" t="s">
        <v>8</v>
      </c>
      <c r="E85" s="45"/>
      <c r="F85" s="45"/>
      <c r="G85" s="45"/>
      <c r="H85" s="45"/>
      <c r="I85" s="45" t="e">
        <f>I94/I104*100</f>
        <v>#DIV/0!</v>
      </c>
      <c r="J85" s="45" t="e">
        <f>J104/J94*100</f>
        <v>#DIV/0!</v>
      </c>
      <c r="K85" s="45">
        <f>K94/K104*100</f>
        <v>0</v>
      </c>
      <c r="L85" s="45" t="e">
        <f>L94/L104*100</f>
        <v>#DIV/0!</v>
      </c>
      <c r="N85" s="45" t="e">
        <f t="shared" si="24"/>
        <v>#DIV/0!</v>
      </c>
      <c r="O85" s="45" t="e">
        <f t="shared" si="24"/>
        <v>#DIV/0!</v>
      </c>
      <c r="P85" s="45" t="e">
        <f t="shared" si="24"/>
        <v>#DIV/0!</v>
      </c>
      <c r="Q85" s="45" t="e">
        <f t="shared" si="24"/>
        <v>#DIV/0!</v>
      </c>
      <c r="S85" s="45" t="e">
        <f>S94/S104*100</f>
        <v>#DIV/0!</v>
      </c>
      <c r="T85" s="45" t="e">
        <f>T94/T104*100</f>
        <v>#DIV/0!</v>
      </c>
      <c r="V85" s="45" t="e">
        <f>V94/V104*100</f>
        <v>#DIV/0!</v>
      </c>
      <c r="W85" s="45" t="e">
        <f>W94/W104*100</f>
        <v>#DIV/0!</v>
      </c>
      <c r="Y85" s="45" t="e">
        <f>Y94/Y104*100</f>
        <v>#DIV/0!</v>
      </c>
      <c r="Z85" s="45" t="e">
        <f>Z94/Z104*100</f>
        <v>#DIV/0!</v>
      </c>
    </row>
    <row r="86" spans="1:26" x14ac:dyDescent="0.25">
      <c r="A86" s="44"/>
      <c r="B86" s="43" t="s">
        <v>648</v>
      </c>
      <c r="C86" s="42"/>
      <c r="D86" s="42"/>
      <c r="E86" s="45"/>
      <c r="F86" s="45"/>
      <c r="G86" s="45"/>
      <c r="H86" s="45"/>
      <c r="I86" s="45"/>
      <c r="J86" s="45"/>
      <c r="K86" s="45"/>
      <c r="L86" s="45"/>
      <c r="N86" s="45"/>
      <c r="O86" s="45"/>
      <c r="P86" s="45"/>
      <c r="Q86" s="45"/>
      <c r="S86" s="45"/>
      <c r="T86" s="45"/>
      <c r="V86" s="45"/>
      <c r="W86" s="45"/>
      <c r="Y86" s="45"/>
      <c r="Z86" s="45"/>
    </row>
    <row r="87" spans="1:26" x14ac:dyDescent="0.25">
      <c r="A87" s="44"/>
      <c r="B87" s="43" t="s">
        <v>1182</v>
      </c>
      <c r="C87" s="42"/>
      <c r="D87" s="42" t="s">
        <v>8</v>
      </c>
      <c r="E87" s="45"/>
      <c r="F87" s="45"/>
      <c r="G87" s="45"/>
      <c r="H87" s="45"/>
      <c r="I87" s="45">
        <f>I106/I66*100</f>
        <v>8.4817642069550461E-2</v>
      </c>
      <c r="J87" s="45">
        <f>J106/J96*100</f>
        <v>27.092320966350304</v>
      </c>
      <c r="K87" s="45">
        <f>K96/K106*100</f>
        <v>24.832775919732441</v>
      </c>
      <c r="L87" s="45">
        <f>L96/L106*100</f>
        <v>26.111111111111114</v>
      </c>
      <c r="N87" s="45">
        <f t="shared" ref="N87:Q88" si="25">N96/N106*100</f>
        <v>24.832775919732441</v>
      </c>
      <c r="O87" s="45">
        <f t="shared" si="25"/>
        <v>26.111111111111114</v>
      </c>
      <c r="P87" s="45" t="e">
        <f t="shared" si="25"/>
        <v>#DIV/0!</v>
      </c>
      <c r="Q87" s="45" t="e">
        <f t="shared" si="25"/>
        <v>#DIV/0!</v>
      </c>
      <c r="S87" s="45">
        <f>S96/S106*100</f>
        <v>100</v>
      </c>
      <c r="T87" s="45">
        <f>T96/T106*100</f>
        <v>100</v>
      </c>
      <c r="V87" s="45">
        <f>V96/V106*100</f>
        <v>0</v>
      </c>
      <c r="W87" s="45">
        <f>W96/W106*100</f>
        <v>0</v>
      </c>
      <c r="Y87" s="45" t="e">
        <f>Y96/Y106*100</f>
        <v>#DIV/0!</v>
      </c>
      <c r="Z87" s="45" t="e">
        <f>Z96/Z106*100</f>
        <v>#DIV/0!</v>
      </c>
    </row>
    <row r="88" spans="1:26" x14ac:dyDescent="0.25">
      <c r="A88" s="44"/>
      <c r="B88" s="43" t="s">
        <v>1184</v>
      </c>
      <c r="C88" s="42"/>
      <c r="D88" s="42" t="s">
        <v>8</v>
      </c>
      <c r="E88" s="45"/>
      <c r="F88" s="45"/>
      <c r="G88" s="45"/>
      <c r="H88" s="45"/>
      <c r="I88" s="45" t="e">
        <f>I107/I67*100</f>
        <v>#DIV/0!</v>
      </c>
      <c r="J88" s="45" t="e">
        <f>J107/J97*100</f>
        <v>#DIV/0!</v>
      </c>
      <c r="K88" s="45" t="e">
        <f>K97/K107*100</f>
        <v>#DIV/0!</v>
      </c>
      <c r="L88" s="45" t="e">
        <f>L97/L107*100</f>
        <v>#DIV/0!</v>
      </c>
      <c r="N88" s="45" t="e">
        <f t="shared" si="25"/>
        <v>#DIV/0!</v>
      </c>
      <c r="O88" s="45" t="e">
        <f t="shared" si="25"/>
        <v>#DIV/0!</v>
      </c>
      <c r="P88" s="45" t="e">
        <f t="shared" si="25"/>
        <v>#DIV/0!</v>
      </c>
      <c r="Q88" s="45" t="e">
        <f t="shared" si="25"/>
        <v>#DIV/0!</v>
      </c>
      <c r="S88" s="45" t="e">
        <f>S97/S107*100</f>
        <v>#DIV/0!</v>
      </c>
      <c r="T88" s="45" t="e">
        <f>T97/T107*100</f>
        <v>#DIV/0!</v>
      </c>
      <c r="V88" s="45" t="e">
        <f>V97/V107*100</f>
        <v>#DIV/0!</v>
      </c>
      <c r="W88" s="45" t="e">
        <f>W97/W107*100</f>
        <v>#DIV/0!</v>
      </c>
      <c r="Y88" s="45" t="e">
        <f>Y97/Y107*100</f>
        <v>#DIV/0!</v>
      </c>
      <c r="Z88" s="45" t="e">
        <f>Z97/Z107*100</f>
        <v>#DIV/0!</v>
      </c>
    </row>
    <row r="89" spans="1:26" s="241" customFormat="1" ht="30" x14ac:dyDescent="0.25">
      <c r="A89" s="8"/>
      <c r="B89" s="21" t="s">
        <v>646</v>
      </c>
      <c r="C89" s="6" t="s">
        <v>2846</v>
      </c>
      <c r="D89" s="6"/>
      <c r="E89" s="12"/>
      <c r="F89" s="12"/>
      <c r="G89" s="12"/>
      <c r="H89" s="12"/>
      <c r="I89" s="12"/>
      <c r="J89" s="12"/>
      <c r="K89" s="12"/>
      <c r="L89" s="12"/>
    </row>
    <row r="90" spans="1:26" s="241" customFormat="1" x14ac:dyDescent="0.25">
      <c r="A90" s="8"/>
      <c r="B90" s="21" t="s">
        <v>1182</v>
      </c>
      <c r="C90" s="6"/>
      <c r="D90" s="6" t="s">
        <v>950</v>
      </c>
      <c r="E90" s="12"/>
      <c r="F90" s="12"/>
      <c r="G90" s="12"/>
      <c r="H90" s="12">
        <f>4562+2408</f>
        <v>6970</v>
      </c>
      <c r="I90" s="12">
        <f>4610+2362</f>
        <v>6972</v>
      </c>
      <c r="J90" s="12">
        <f>2776+36+1504+1818+528</f>
        <v>6662</v>
      </c>
      <c r="K90" s="12">
        <v>2231</v>
      </c>
      <c r="L90" s="12">
        <v>2116</v>
      </c>
      <c r="M90" s="65"/>
      <c r="N90" s="241">
        <f>P90+S90+V90+Y90</f>
        <v>2231</v>
      </c>
      <c r="O90" s="241">
        <f>Q90+T90+W90+Z90</f>
        <v>2116</v>
      </c>
      <c r="P90" s="241">
        <v>0</v>
      </c>
      <c r="Q90" s="241">
        <v>0</v>
      </c>
      <c r="S90" s="241">
        <v>2231</v>
      </c>
      <c r="T90" s="241">
        <v>2116</v>
      </c>
      <c r="V90" s="241">
        <v>0</v>
      </c>
      <c r="W90" s="241">
        <v>0</v>
      </c>
      <c r="Y90" s="241">
        <v>0</v>
      </c>
      <c r="Z90" s="241">
        <v>0</v>
      </c>
    </row>
    <row r="91" spans="1:26" s="241" customFormat="1" x14ac:dyDescent="0.25">
      <c r="A91" s="8"/>
      <c r="B91" s="21" t="s">
        <v>1184</v>
      </c>
      <c r="C91" s="6"/>
      <c r="D91" s="6" t="s">
        <v>950</v>
      </c>
      <c r="E91" s="12"/>
      <c r="F91" s="12"/>
      <c r="G91" s="12"/>
      <c r="H91" s="12">
        <f>81+79</f>
        <v>160</v>
      </c>
      <c r="I91" s="12">
        <v>216</v>
      </c>
      <c r="J91" s="12">
        <v>0</v>
      </c>
      <c r="K91" s="12">
        <v>0</v>
      </c>
      <c r="L91" s="12">
        <v>0</v>
      </c>
      <c r="N91" s="241">
        <f>P91+S91+V91+Y91</f>
        <v>0</v>
      </c>
      <c r="O91" s="241">
        <f>Q91+T91+W91+Z91</f>
        <v>0</v>
      </c>
      <c r="P91" s="241">
        <v>0</v>
      </c>
      <c r="Q91" s="241">
        <v>0</v>
      </c>
      <c r="S91" s="241">
        <v>0</v>
      </c>
      <c r="T91" s="241">
        <v>0</v>
      </c>
      <c r="V91" s="241">
        <v>0</v>
      </c>
      <c r="W91" s="241">
        <v>0</v>
      </c>
      <c r="Z91" s="241">
        <v>0</v>
      </c>
    </row>
    <row r="92" spans="1:26" s="241" customFormat="1" ht="30" x14ac:dyDescent="0.25">
      <c r="A92" s="8"/>
      <c r="B92" s="21" t="s">
        <v>649</v>
      </c>
      <c r="C92" s="6" t="s">
        <v>2847</v>
      </c>
      <c r="D92" s="6"/>
      <c r="E92" s="12"/>
      <c r="F92" s="12"/>
      <c r="G92" s="12"/>
      <c r="H92" s="12"/>
      <c r="I92" s="12"/>
      <c r="J92" s="12"/>
      <c r="K92" s="12"/>
      <c r="L92" s="12"/>
    </row>
    <row r="93" spans="1:26" s="241" customFormat="1" x14ac:dyDescent="0.25">
      <c r="A93" s="8"/>
      <c r="B93" s="21" t="s">
        <v>1182</v>
      </c>
      <c r="C93" s="6"/>
      <c r="D93" s="6" t="s">
        <v>950</v>
      </c>
      <c r="E93" s="12"/>
      <c r="F93" s="12"/>
      <c r="G93" s="12"/>
      <c r="H93" s="12">
        <f>555+1501+1</f>
        <v>2057</v>
      </c>
      <c r="I93" s="12">
        <f>564+1500</f>
        <v>2064</v>
      </c>
      <c r="J93" s="12">
        <f>594+1409+88</f>
        <v>2091</v>
      </c>
      <c r="K93" s="12">
        <v>0</v>
      </c>
      <c r="L93" s="12">
        <v>495</v>
      </c>
      <c r="M93" s="65"/>
      <c r="N93" s="241">
        <f>P93+S93+V93+Y93</f>
        <v>0</v>
      </c>
      <c r="O93" s="241">
        <f>Q93+T93+W93+Z93</f>
        <v>495</v>
      </c>
      <c r="P93" s="241">
        <v>0</v>
      </c>
      <c r="Q93" s="241">
        <v>495</v>
      </c>
      <c r="S93" s="241">
        <v>0</v>
      </c>
      <c r="T93" s="241">
        <v>0</v>
      </c>
      <c r="V93" s="241">
        <v>0</v>
      </c>
      <c r="W93" s="241">
        <v>0</v>
      </c>
      <c r="Y93" s="241">
        <v>0</v>
      </c>
      <c r="Z93" s="241">
        <v>0</v>
      </c>
    </row>
    <row r="94" spans="1:26" s="241" customFormat="1" x14ac:dyDescent="0.25">
      <c r="A94" s="8"/>
      <c r="B94" s="21" t="s">
        <v>1184</v>
      </c>
      <c r="C94" s="6"/>
      <c r="D94" s="6" t="s">
        <v>950</v>
      </c>
      <c r="E94" s="12"/>
      <c r="F94" s="12"/>
      <c r="G94" s="12"/>
      <c r="H94" s="12">
        <v>0</v>
      </c>
      <c r="I94" s="12">
        <v>0</v>
      </c>
      <c r="J94" s="12">
        <v>0</v>
      </c>
      <c r="K94" s="12">
        <v>0</v>
      </c>
      <c r="L94" s="12">
        <v>0</v>
      </c>
      <c r="N94" s="241">
        <f>P94+S94+V94+Y94</f>
        <v>0</v>
      </c>
      <c r="O94" s="241">
        <f>Q94+T94+W94+Z94</f>
        <v>0</v>
      </c>
      <c r="P94" s="241">
        <v>0</v>
      </c>
      <c r="Q94" s="241">
        <v>0</v>
      </c>
      <c r="S94" s="241">
        <v>0</v>
      </c>
      <c r="T94" s="241">
        <v>0</v>
      </c>
      <c r="V94" s="241">
        <v>0</v>
      </c>
      <c r="W94" s="241">
        <v>0</v>
      </c>
      <c r="Z94" s="241">
        <v>0</v>
      </c>
    </row>
    <row r="95" spans="1:26" s="241" customFormat="1" ht="30" x14ac:dyDescent="0.25">
      <c r="A95" s="8"/>
      <c r="B95" s="21" t="s">
        <v>650</v>
      </c>
      <c r="C95" s="6" t="s">
        <v>2848</v>
      </c>
      <c r="D95" s="6"/>
      <c r="E95" s="12"/>
      <c r="F95" s="12"/>
      <c r="G95" s="12"/>
      <c r="H95" s="12"/>
      <c r="I95" s="12"/>
      <c r="J95" s="12"/>
      <c r="K95" s="12"/>
      <c r="L95" s="12"/>
    </row>
    <row r="96" spans="1:26" s="241" customFormat="1" x14ac:dyDescent="0.25">
      <c r="A96" s="8"/>
      <c r="B96" s="21" t="s">
        <v>1182</v>
      </c>
      <c r="C96" s="6"/>
      <c r="D96" s="6" t="s">
        <v>950</v>
      </c>
      <c r="E96" s="12"/>
      <c r="F96" s="12"/>
      <c r="G96" s="12"/>
      <c r="H96" s="12">
        <f>731+261</f>
        <v>992</v>
      </c>
      <c r="I96" s="12">
        <f>899+280</f>
        <v>1179</v>
      </c>
      <c r="J96" s="12">
        <f>605+21+219+284+30</f>
        <v>1159</v>
      </c>
      <c r="K96" s="12">
        <v>297</v>
      </c>
      <c r="L96" s="12">
        <v>282</v>
      </c>
      <c r="M96" s="65"/>
      <c r="N96" s="241">
        <f>P96+S96+V96+Y96</f>
        <v>297</v>
      </c>
      <c r="O96" s="241">
        <f>Q96+T96+W96+Z96</f>
        <v>282</v>
      </c>
      <c r="P96" s="241">
        <v>0</v>
      </c>
      <c r="Q96" s="241">
        <v>0</v>
      </c>
      <c r="S96" s="241">
        <v>297</v>
      </c>
      <c r="T96" s="241">
        <v>282</v>
      </c>
      <c r="V96" s="241">
        <v>0</v>
      </c>
      <c r="W96" s="241">
        <v>0</v>
      </c>
      <c r="Y96" s="241">
        <v>0</v>
      </c>
      <c r="Z96" s="241">
        <v>0</v>
      </c>
    </row>
    <row r="97" spans="1:26" s="241" customFormat="1" x14ac:dyDescent="0.25">
      <c r="A97" s="8"/>
      <c r="B97" s="21" t="s">
        <v>1184</v>
      </c>
      <c r="C97" s="6"/>
      <c r="D97" s="6" t="s">
        <v>950</v>
      </c>
      <c r="E97" s="12"/>
      <c r="F97" s="12"/>
      <c r="G97" s="12"/>
      <c r="H97" s="12">
        <v>0</v>
      </c>
      <c r="I97" s="12">
        <v>0</v>
      </c>
      <c r="J97" s="12">
        <v>0</v>
      </c>
      <c r="K97" s="12">
        <v>0</v>
      </c>
      <c r="L97" s="12">
        <v>0</v>
      </c>
      <c r="M97" s="65"/>
      <c r="N97" s="241">
        <f>P97+S97+V97+Y97</f>
        <v>0</v>
      </c>
      <c r="O97" s="241">
        <f>Q97+T97+W97+Z97</f>
        <v>0</v>
      </c>
      <c r="P97" s="241">
        <v>0</v>
      </c>
      <c r="Q97" s="241">
        <v>0</v>
      </c>
      <c r="S97" s="241">
        <v>0</v>
      </c>
      <c r="T97" s="241">
        <v>0</v>
      </c>
      <c r="V97" s="241">
        <v>0</v>
      </c>
      <c r="W97" s="241">
        <v>0</v>
      </c>
      <c r="Z97" s="241">
        <v>0</v>
      </c>
    </row>
    <row r="98" spans="1:26" x14ac:dyDescent="0.25">
      <c r="A98" s="8"/>
      <c r="B98" s="21" t="s">
        <v>1934</v>
      </c>
      <c r="C98" s="6"/>
      <c r="D98" s="6"/>
      <c r="E98" s="12"/>
      <c r="F98" s="12"/>
      <c r="G98" s="12"/>
      <c r="H98" s="12"/>
      <c r="I98" s="12"/>
      <c r="J98" s="12"/>
      <c r="K98" s="12"/>
      <c r="L98" s="12"/>
    </row>
    <row r="99" spans="1:26" ht="45" x14ac:dyDescent="0.25">
      <c r="A99" s="8"/>
      <c r="B99" s="21" t="s">
        <v>651</v>
      </c>
      <c r="C99" s="6" t="s">
        <v>1995</v>
      </c>
      <c r="D99" s="6"/>
      <c r="E99" s="12"/>
      <c r="F99" s="12"/>
      <c r="G99" s="12"/>
      <c r="H99" s="12"/>
      <c r="I99" s="12"/>
      <c r="J99" s="12"/>
      <c r="K99" s="12"/>
      <c r="L99" s="12"/>
    </row>
    <row r="100" spans="1:26" x14ac:dyDescent="0.25">
      <c r="A100" s="8"/>
      <c r="B100" s="21" t="s">
        <v>1182</v>
      </c>
      <c r="C100" s="6"/>
      <c r="D100" s="6" t="s">
        <v>950</v>
      </c>
      <c r="E100" s="12"/>
      <c r="F100" s="12"/>
      <c r="G100" s="12"/>
      <c r="H100" s="12"/>
      <c r="I100" s="12">
        <v>0</v>
      </c>
      <c r="J100" s="12">
        <v>2346</v>
      </c>
      <c r="K100" s="12">
        <f>K70</f>
        <v>6723</v>
      </c>
      <c r="L100" s="12">
        <f>L70</f>
        <v>6474</v>
      </c>
      <c r="N100" s="241">
        <f>P100+S100+V100+Y100</f>
        <v>6723</v>
      </c>
      <c r="O100" s="241">
        <f>Q100+T100+W100+Z100</f>
        <v>6474</v>
      </c>
      <c r="P100">
        <f>P70</f>
        <v>0</v>
      </c>
      <c r="Q100" s="241">
        <f t="shared" ref="Q100:Q101" si="26">Q70</f>
        <v>0</v>
      </c>
      <c r="S100" s="241">
        <f>S70</f>
        <v>2231</v>
      </c>
      <c r="T100" s="241">
        <f t="shared" ref="T100:T101" si="27">T70</f>
        <v>2116</v>
      </c>
      <c r="V100" s="241">
        <f>V70</f>
        <v>4492</v>
      </c>
      <c r="W100" s="241">
        <f t="shared" ref="W100:W101" si="28">W70</f>
        <v>4358</v>
      </c>
      <c r="Y100" s="241">
        <f>Y70</f>
        <v>0</v>
      </c>
      <c r="Z100" s="241">
        <f t="shared" ref="Z100:Z101" si="29">Z70</f>
        <v>0</v>
      </c>
    </row>
    <row r="101" spans="1:26" x14ac:dyDescent="0.25">
      <c r="A101" s="8"/>
      <c r="B101" s="21" t="s">
        <v>1184</v>
      </c>
      <c r="C101" s="6"/>
      <c r="D101" s="6" t="s">
        <v>950</v>
      </c>
      <c r="E101" s="12"/>
      <c r="F101" s="12"/>
      <c r="G101" s="12"/>
      <c r="H101" s="12"/>
      <c r="I101" s="12">
        <v>15</v>
      </c>
      <c r="J101" s="12">
        <v>0</v>
      </c>
      <c r="K101" s="12">
        <f>K71</f>
        <v>0</v>
      </c>
      <c r="L101" s="12">
        <f>L71</f>
        <v>236</v>
      </c>
      <c r="M101" s="208"/>
      <c r="N101" s="241">
        <f>P101+S101+V101+Y101</f>
        <v>0</v>
      </c>
      <c r="O101" s="241">
        <f>Q101+T101+W101+Z101</f>
        <v>236</v>
      </c>
      <c r="P101" s="241">
        <f t="shared" ref="P101" si="30">P71</f>
        <v>0</v>
      </c>
      <c r="Q101" s="241">
        <f t="shared" si="26"/>
        <v>0</v>
      </c>
      <c r="S101" s="241">
        <f t="shared" ref="S101" si="31">S71</f>
        <v>0</v>
      </c>
      <c r="T101" s="241">
        <f t="shared" si="27"/>
        <v>0</v>
      </c>
      <c r="V101" s="241">
        <f t="shared" ref="V101" si="32">V71</f>
        <v>0</v>
      </c>
      <c r="W101" s="241">
        <f t="shared" si="28"/>
        <v>0</v>
      </c>
      <c r="Y101" s="241">
        <f t="shared" ref="Y101" si="33">Y71</f>
        <v>0</v>
      </c>
      <c r="Z101" s="241">
        <f t="shared" si="29"/>
        <v>236</v>
      </c>
    </row>
    <row r="102" spans="1:26" ht="45" x14ac:dyDescent="0.25">
      <c r="A102" s="8"/>
      <c r="B102" s="21" t="s">
        <v>652</v>
      </c>
      <c r="C102" s="6" t="s">
        <v>1996</v>
      </c>
      <c r="D102" s="6"/>
      <c r="E102" s="12"/>
      <c r="F102" s="12"/>
      <c r="G102" s="12"/>
      <c r="H102" s="12"/>
      <c r="I102" s="12"/>
      <c r="J102" s="12"/>
      <c r="K102" s="12"/>
      <c r="L102" s="12"/>
    </row>
    <row r="103" spans="1:26" x14ac:dyDescent="0.25">
      <c r="A103" s="8"/>
      <c r="B103" s="21" t="s">
        <v>1182</v>
      </c>
      <c r="C103" s="6"/>
      <c r="D103" s="6" t="s">
        <v>950</v>
      </c>
      <c r="E103" s="12"/>
      <c r="F103" s="12"/>
      <c r="G103" s="12"/>
      <c r="H103" s="12"/>
      <c r="I103" s="12">
        <v>0</v>
      </c>
      <c r="J103" s="12">
        <v>0</v>
      </c>
      <c r="K103" s="12">
        <f>K73</f>
        <v>2114</v>
      </c>
      <c r="L103" s="12">
        <f>L73</f>
        <v>2103</v>
      </c>
      <c r="N103" s="241">
        <f>P103+S103+V103+Y103</f>
        <v>2114</v>
      </c>
      <c r="O103" s="241">
        <f>Q103+T103+W103+Z103</f>
        <v>2103</v>
      </c>
      <c r="P103">
        <f>P73</f>
        <v>625</v>
      </c>
      <c r="Q103" s="241">
        <f t="shared" ref="Q103:Q104" si="34">Q73</f>
        <v>614</v>
      </c>
      <c r="S103" s="241">
        <f>S73</f>
        <v>0</v>
      </c>
      <c r="T103" s="241">
        <f t="shared" ref="T103:T104" si="35">T73</f>
        <v>0</v>
      </c>
      <c r="V103" s="241">
        <f>V73</f>
        <v>1489</v>
      </c>
      <c r="W103" s="241">
        <f t="shared" ref="W103:W104" si="36">W73</f>
        <v>1489</v>
      </c>
      <c r="Y103" s="241">
        <f>Y73</f>
        <v>0</v>
      </c>
      <c r="Z103" s="241">
        <f t="shared" ref="Z103:Z104" si="37">Z73</f>
        <v>0</v>
      </c>
    </row>
    <row r="104" spans="1:26" x14ac:dyDescent="0.25">
      <c r="A104" s="8"/>
      <c r="B104" s="21" t="s">
        <v>1184</v>
      </c>
      <c r="C104" s="6"/>
      <c r="D104" s="6" t="s">
        <v>950</v>
      </c>
      <c r="E104" s="12"/>
      <c r="F104" s="12"/>
      <c r="G104" s="12"/>
      <c r="H104" s="12"/>
      <c r="I104" s="12">
        <v>0</v>
      </c>
      <c r="J104" s="12">
        <v>0</v>
      </c>
      <c r="K104" s="12">
        <f>K74</f>
        <v>164</v>
      </c>
      <c r="L104" s="12">
        <f>L74</f>
        <v>0</v>
      </c>
      <c r="N104" s="241">
        <f>P104+S104+V104+Y104</f>
        <v>0</v>
      </c>
      <c r="O104" s="241">
        <f>Q104+T104+W104+Z104</f>
        <v>0</v>
      </c>
      <c r="P104" s="241">
        <f t="shared" ref="P104" si="38">P74</f>
        <v>0</v>
      </c>
      <c r="Q104" s="241">
        <f t="shared" si="34"/>
        <v>0</v>
      </c>
      <c r="S104" s="241">
        <f t="shared" ref="S104" si="39">S74</f>
        <v>0</v>
      </c>
      <c r="T104" s="241">
        <f t="shared" si="35"/>
        <v>0</v>
      </c>
      <c r="V104" s="241">
        <f t="shared" ref="V104" si="40">V74</f>
        <v>0</v>
      </c>
      <c r="W104" s="241">
        <f t="shared" si="36"/>
        <v>0</v>
      </c>
      <c r="Y104" s="241">
        <f t="shared" ref="Y104" si="41">Y74</f>
        <v>0</v>
      </c>
      <c r="Z104" s="241">
        <f t="shared" si="37"/>
        <v>0</v>
      </c>
    </row>
    <row r="105" spans="1:26" ht="45" x14ac:dyDescent="0.25">
      <c r="A105" s="8"/>
      <c r="B105" s="21" t="s">
        <v>653</v>
      </c>
      <c r="C105" s="6" t="s">
        <v>1997</v>
      </c>
      <c r="D105" s="6"/>
      <c r="E105" s="12"/>
      <c r="F105" s="12"/>
      <c r="G105" s="12"/>
      <c r="H105" s="12"/>
      <c r="I105" s="12"/>
      <c r="J105" s="12"/>
      <c r="K105" s="12"/>
      <c r="L105" s="12"/>
    </row>
    <row r="106" spans="1:26" x14ac:dyDescent="0.25">
      <c r="A106" s="8"/>
      <c r="B106" s="21" t="s">
        <v>1182</v>
      </c>
      <c r="C106" s="6"/>
      <c r="D106" s="6" t="s">
        <v>950</v>
      </c>
      <c r="E106" s="12"/>
      <c r="F106" s="12"/>
      <c r="G106" s="12"/>
      <c r="H106" s="12"/>
      <c r="I106" s="12">
        <v>1</v>
      </c>
      <c r="J106" s="12">
        <v>314</v>
      </c>
      <c r="K106" s="12">
        <f>K76</f>
        <v>1196</v>
      </c>
      <c r="L106" s="12">
        <f>L76</f>
        <v>1080</v>
      </c>
      <c r="N106" s="241">
        <f>P106+S106+V106+Y106</f>
        <v>1196</v>
      </c>
      <c r="O106" s="241">
        <f>Q106+T106+W106+Z106</f>
        <v>1080</v>
      </c>
      <c r="P106">
        <f>P76</f>
        <v>0</v>
      </c>
      <c r="Q106" s="241">
        <f t="shared" ref="Q106:Q107" si="42">Q76</f>
        <v>0</v>
      </c>
      <c r="S106" s="241">
        <f>S76</f>
        <v>297</v>
      </c>
      <c r="T106" s="241">
        <f t="shared" ref="T106:T107" si="43">T76</f>
        <v>282</v>
      </c>
      <c r="V106" s="241">
        <f>V76</f>
        <v>899</v>
      </c>
      <c r="W106" s="241">
        <f t="shared" ref="W106:W107" si="44">W76</f>
        <v>798</v>
      </c>
      <c r="Y106" s="241">
        <f>Y76</f>
        <v>0</v>
      </c>
      <c r="Z106" s="241">
        <f t="shared" ref="Z106:Z107" si="45">Z76</f>
        <v>0</v>
      </c>
    </row>
    <row r="107" spans="1:26" x14ac:dyDescent="0.25">
      <c r="A107" s="8"/>
      <c r="B107" s="21" t="s">
        <v>1184</v>
      </c>
      <c r="C107" s="6"/>
      <c r="D107" s="6" t="s">
        <v>950</v>
      </c>
      <c r="E107" s="12"/>
      <c r="F107" s="12"/>
      <c r="G107" s="12"/>
      <c r="H107" s="12"/>
      <c r="I107" s="12">
        <v>0</v>
      </c>
      <c r="J107" s="12">
        <v>0</v>
      </c>
      <c r="K107" s="12">
        <f>K77</f>
        <v>0</v>
      </c>
      <c r="L107" s="12">
        <f>L77</f>
        <v>0</v>
      </c>
      <c r="N107" s="241">
        <f>P107+S107+V107+Y107</f>
        <v>0</v>
      </c>
      <c r="O107" s="241">
        <f>Q107+T107+W107+Z107</f>
        <v>0</v>
      </c>
      <c r="P107" s="241">
        <f t="shared" ref="P107" si="46">P77</f>
        <v>0</v>
      </c>
      <c r="Q107" s="241">
        <f t="shared" si="42"/>
        <v>0</v>
      </c>
      <c r="S107" s="241">
        <f t="shared" ref="S107" si="47">S77</f>
        <v>0</v>
      </c>
      <c r="T107" s="241">
        <f t="shared" si="43"/>
        <v>0</v>
      </c>
      <c r="V107" s="241">
        <f t="shared" ref="V107" si="48">V77</f>
        <v>0</v>
      </c>
      <c r="W107" s="241">
        <f t="shared" si="44"/>
        <v>0</v>
      </c>
      <c r="Y107" s="241">
        <f t="shared" ref="Y107" si="49">Y77</f>
        <v>0</v>
      </c>
      <c r="Z107" s="241">
        <f t="shared" si="45"/>
        <v>0</v>
      </c>
    </row>
    <row r="108" spans="1:26" ht="60" x14ac:dyDescent="0.25">
      <c r="A108" s="47" t="s">
        <v>31</v>
      </c>
      <c r="B108" s="48" t="s">
        <v>654</v>
      </c>
      <c r="C108" s="44"/>
      <c r="D108" s="44"/>
      <c r="E108" s="44"/>
      <c r="F108" s="44"/>
      <c r="G108" s="44"/>
      <c r="H108" s="44"/>
      <c r="I108" s="44"/>
      <c r="J108" s="44"/>
      <c r="K108" s="44"/>
      <c r="L108" s="44"/>
    </row>
    <row r="109" spans="1:26" ht="90" x14ac:dyDescent="0.25">
      <c r="A109" s="42" t="s">
        <v>34</v>
      </c>
      <c r="B109" s="46" t="s">
        <v>1937</v>
      </c>
      <c r="C109" s="44"/>
      <c r="D109" s="42"/>
      <c r="E109" s="50"/>
      <c r="F109" s="50"/>
      <c r="G109" s="50"/>
      <c r="H109" s="50"/>
      <c r="I109" s="50"/>
      <c r="J109" s="50"/>
      <c r="K109" s="50"/>
      <c r="L109" s="50"/>
      <c r="M109" s="3" t="s">
        <v>281</v>
      </c>
    </row>
    <row r="110" spans="1:26" x14ac:dyDescent="0.25">
      <c r="A110" s="42"/>
      <c r="B110" s="46" t="s">
        <v>1132</v>
      </c>
      <c r="C110" s="44"/>
      <c r="D110" s="42"/>
      <c r="E110" s="50"/>
      <c r="F110" s="50"/>
      <c r="G110" s="50"/>
      <c r="H110" s="50"/>
      <c r="I110" s="50"/>
      <c r="J110" s="50"/>
      <c r="K110" s="50"/>
      <c r="L110" s="50"/>
      <c r="M110" s="3"/>
    </row>
    <row r="111" spans="1:26" x14ac:dyDescent="0.25">
      <c r="A111" s="42"/>
      <c r="B111" s="43" t="s">
        <v>1182</v>
      </c>
      <c r="C111" s="44"/>
      <c r="D111" s="42" t="s">
        <v>8</v>
      </c>
      <c r="E111" s="45">
        <v>14.45</v>
      </c>
      <c r="F111" s="45">
        <v>14.33</v>
      </c>
      <c r="G111" s="45">
        <v>13.68</v>
      </c>
      <c r="H111" s="45">
        <f t="shared" ref="H111:I112" si="50">H117/H123*100</f>
        <v>13.282442748091603</v>
      </c>
      <c r="I111" s="45">
        <f t="shared" si="50"/>
        <v>13.841368584758943</v>
      </c>
      <c r="J111" s="45">
        <f t="shared" ref="J111:K111" si="51">J117/J123*100</f>
        <v>13.513513513513514</v>
      </c>
      <c r="K111" s="45">
        <f t="shared" si="51"/>
        <v>12.695924764890282</v>
      </c>
      <c r="L111" s="45">
        <f t="shared" ref="L111" si="52">L117/L123*100</f>
        <v>12.333333333333334</v>
      </c>
      <c r="N111" s="45">
        <f>N117/N123*100</f>
        <v>12.695924764890282</v>
      </c>
      <c r="O111" s="45">
        <f>O117/O123*100</f>
        <v>12.333333333333334</v>
      </c>
      <c r="P111" s="45">
        <f t="shared" ref="P111:Q111" si="53">P117/P123*100</f>
        <v>24.615384615384617</v>
      </c>
      <c r="Q111" s="45">
        <f t="shared" si="53"/>
        <v>26.315789473684209</v>
      </c>
      <c r="S111" s="45">
        <f t="shared" ref="S111:T112" si="54">S117/S123*100</f>
        <v>8.5889570552147241</v>
      </c>
      <c r="T111" s="45">
        <f t="shared" si="54"/>
        <v>8.1761006289308167</v>
      </c>
      <c r="V111" s="45">
        <f t="shared" ref="V111:W111" si="55">V117/V123*100</f>
        <v>12.439024390243903</v>
      </c>
      <c r="W111" s="45">
        <f t="shared" si="55"/>
        <v>11.979166666666668</v>
      </c>
      <c r="Y111" s="45" t="e">
        <f t="shared" ref="Y111:Z111" si="56">Y117/Y123*100</f>
        <v>#DIV/0!</v>
      </c>
      <c r="Z111" s="45" t="e">
        <f t="shared" si="56"/>
        <v>#DIV/0!</v>
      </c>
    </row>
    <row r="112" spans="1:26" x14ac:dyDescent="0.25">
      <c r="A112" s="42"/>
      <c r="B112" s="43" t="s">
        <v>1184</v>
      </c>
      <c r="C112" s="44"/>
      <c r="D112" s="42" t="s">
        <v>8</v>
      </c>
      <c r="E112" s="45">
        <v>8.4</v>
      </c>
      <c r="F112" s="45">
        <v>12.5</v>
      </c>
      <c r="G112" s="45">
        <v>15.71</v>
      </c>
      <c r="H112" s="45">
        <f t="shared" si="50"/>
        <v>14.285714285714285</v>
      </c>
      <c r="I112" s="45">
        <f t="shared" si="50"/>
        <v>13.043478260869565</v>
      </c>
      <c r="J112" s="45" t="e">
        <f t="shared" ref="J112:K112" si="57">J118/J124*100</f>
        <v>#DIV/0!</v>
      </c>
      <c r="K112" s="45">
        <f t="shared" si="57"/>
        <v>0</v>
      </c>
      <c r="L112" s="45">
        <f t="shared" ref="L112" si="58">L118/L124*100</f>
        <v>0</v>
      </c>
      <c r="N112" s="45" t="e">
        <f t="shared" ref="N112" si="59">N118/N124*100</f>
        <v>#DIV/0!</v>
      </c>
      <c r="O112" s="45">
        <f>O118/O124*100</f>
        <v>0</v>
      </c>
      <c r="P112" s="45" t="e">
        <f t="shared" ref="P112" si="60">P118/P124*100</f>
        <v>#DIV/0!</v>
      </c>
      <c r="Q112" s="45" t="e">
        <f t="shared" ref="Q112" si="61">Q118/Q124*100</f>
        <v>#DIV/0!</v>
      </c>
      <c r="S112" s="45" t="e">
        <f t="shared" ref="S112" si="62">S118/S124*100</f>
        <v>#DIV/0!</v>
      </c>
      <c r="T112" s="45" t="e">
        <f t="shared" si="54"/>
        <v>#DIV/0!</v>
      </c>
      <c r="V112" s="45" t="e">
        <f t="shared" ref="V112:W112" si="63">V118/V124*100</f>
        <v>#DIV/0!</v>
      </c>
      <c r="W112" s="45" t="e">
        <f t="shared" si="63"/>
        <v>#DIV/0!</v>
      </c>
      <c r="Y112" s="45" t="e">
        <f t="shared" ref="Y112:Z112" si="64">Y118/Y124*100</f>
        <v>#DIV/0!</v>
      </c>
      <c r="Z112" s="45">
        <f t="shared" si="64"/>
        <v>0</v>
      </c>
    </row>
    <row r="113" spans="1:26" x14ac:dyDescent="0.25">
      <c r="A113" s="42"/>
      <c r="B113" s="46" t="s">
        <v>1133</v>
      </c>
      <c r="C113" s="44"/>
      <c r="D113" s="42"/>
      <c r="E113" s="50"/>
      <c r="F113" s="50"/>
      <c r="G113" s="50"/>
      <c r="H113" s="50"/>
      <c r="I113" s="50"/>
      <c r="J113" s="50"/>
      <c r="K113" s="50"/>
      <c r="L113" s="50"/>
      <c r="N113" s="50"/>
      <c r="O113" s="50"/>
      <c r="P113" s="50"/>
      <c r="Q113" s="50"/>
      <c r="S113" s="50"/>
      <c r="T113" s="50"/>
      <c r="V113" s="50"/>
      <c r="W113" s="50"/>
      <c r="Y113" s="50"/>
      <c r="Z113" s="50"/>
    </row>
    <row r="114" spans="1:26" x14ac:dyDescent="0.25">
      <c r="A114" s="42"/>
      <c r="B114" s="43" t="s">
        <v>1182</v>
      </c>
      <c r="C114" s="44"/>
      <c r="D114" s="42" t="s">
        <v>8</v>
      </c>
      <c r="E114" s="45">
        <v>56.35</v>
      </c>
      <c r="F114" s="45">
        <v>57.89</v>
      </c>
      <c r="G114" s="45">
        <v>59.12</v>
      </c>
      <c r="H114" s="45">
        <f t="shared" ref="H114:I115" si="65">H120/H123*100</f>
        <v>57.557251908396942</v>
      </c>
      <c r="I114" s="45">
        <f t="shared" si="65"/>
        <v>59.097978227060658</v>
      </c>
      <c r="J114" s="45">
        <f t="shared" ref="J114:K114" si="66">J120/J123*100</f>
        <v>58.82352941176471</v>
      </c>
      <c r="K114" s="45">
        <f t="shared" si="66"/>
        <v>58.934169278996862</v>
      </c>
      <c r="L114" s="45">
        <f t="shared" ref="L114" si="67">L120/L123*100</f>
        <v>59.166666666666664</v>
      </c>
      <c r="N114" s="45">
        <f>N120/N123*100</f>
        <v>58.934169278996862</v>
      </c>
      <c r="O114" s="45">
        <f t="shared" ref="O114:P115" si="68">O120/O123*100</f>
        <v>59.166666666666664</v>
      </c>
      <c r="P114" s="45">
        <f t="shared" ref="P114:Q114" si="69">P120/P123*100</f>
        <v>52.307692307692314</v>
      </c>
      <c r="Q114" s="45">
        <f t="shared" si="69"/>
        <v>49.122807017543856</v>
      </c>
      <c r="S114" s="45">
        <f t="shared" ref="S114:T115" si="70">S120/S123*100</f>
        <v>65.644171779141104</v>
      </c>
      <c r="T114" s="45">
        <f t="shared" si="70"/>
        <v>66.037735849056602</v>
      </c>
      <c r="V114" s="45">
        <f t="shared" ref="V114:W114" si="71">V120/V123*100</f>
        <v>57.317073170731703</v>
      </c>
      <c r="W114" s="45">
        <f t="shared" si="71"/>
        <v>57.8125</v>
      </c>
      <c r="Y114" s="45" t="e">
        <f t="shared" ref="Y114:Z114" si="72">Y120/Y123*100</f>
        <v>#DIV/0!</v>
      </c>
      <c r="Z114" s="45" t="e">
        <f t="shared" si="72"/>
        <v>#DIV/0!</v>
      </c>
    </row>
    <row r="115" spans="1:26" x14ac:dyDescent="0.25">
      <c r="A115" s="42"/>
      <c r="B115" s="43" t="s">
        <v>1184</v>
      </c>
      <c r="C115" s="44"/>
      <c r="D115" s="42" t="s">
        <v>8</v>
      </c>
      <c r="E115" s="45">
        <v>52.94</v>
      </c>
      <c r="F115" s="45">
        <v>70.19</v>
      </c>
      <c r="G115" s="45">
        <v>65.709999999999994</v>
      </c>
      <c r="H115" s="45">
        <f t="shared" si="65"/>
        <v>67.857142857142861</v>
      </c>
      <c r="I115" s="45">
        <f t="shared" si="65"/>
        <v>65.217391304347828</v>
      </c>
      <c r="J115" s="45" t="e">
        <f t="shared" ref="J115:K115" si="73">J121/J124*100</f>
        <v>#DIV/0!</v>
      </c>
      <c r="K115" s="45">
        <f t="shared" si="73"/>
        <v>25</v>
      </c>
      <c r="L115" s="45">
        <f t="shared" ref="L115" si="74">L121/L124*100</f>
        <v>100</v>
      </c>
      <c r="N115" s="45" t="e">
        <f t="shared" ref="N115" si="75">N121/N124*100</f>
        <v>#DIV/0!</v>
      </c>
      <c r="O115" s="45">
        <f t="shared" si="68"/>
        <v>100</v>
      </c>
      <c r="P115" s="45" t="e">
        <f t="shared" si="68"/>
        <v>#DIV/0!</v>
      </c>
      <c r="Q115" s="45" t="e">
        <f t="shared" ref="Q115" si="76">Q121/Q124*100</f>
        <v>#DIV/0!</v>
      </c>
      <c r="S115" s="45" t="e">
        <f t="shared" ref="S115" si="77">S121/S124*100</f>
        <v>#DIV/0!</v>
      </c>
      <c r="T115" s="45" t="e">
        <f t="shared" si="70"/>
        <v>#DIV/0!</v>
      </c>
      <c r="V115" s="45" t="e">
        <f t="shared" ref="V115:W115" si="78">V121/V124*100</f>
        <v>#DIV/0!</v>
      </c>
      <c r="W115" s="45" t="e">
        <f t="shared" si="78"/>
        <v>#DIV/0!</v>
      </c>
      <c r="Y115" s="45" t="e">
        <f t="shared" ref="Y115:Z115" si="79">Y121/Y124*100</f>
        <v>#DIV/0!</v>
      </c>
      <c r="Z115" s="45">
        <f t="shared" si="79"/>
        <v>100</v>
      </c>
    </row>
    <row r="116" spans="1:26" ht="90" x14ac:dyDescent="0.25">
      <c r="A116" s="8"/>
      <c r="B116" s="21" t="s">
        <v>657</v>
      </c>
      <c r="C116" s="6" t="s">
        <v>2454</v>
      </c>
      <c r="D116" s="6"/>
      <c r="E116" s="12"/>
      <c r="F116" s="12"/>
      <c r="G116" s="12"/>
      <c r="H116" s="12"/>
      <c r="I116" s="12"/>
      <c r="J116" s="12"/>
      <c r="K116" s="12"/>
      <c r="L116" s="12"/>
      <c r="M116" s="3"/>
    </row>
    <row r="117" spans="1:26" x14ac:dyDescent="0.25">
      <c r="A117" s="8"/>
      <c r="B117" s="21" t="s">
        <v>1182</v>
      </c>
      <c r="C117" s="6"/>
      <c r="D117" s="6" t="s">
        <v>950</v>
      </c>
      <c r="E117" s="12"/>
      <c r="F117" s="12"/>
      <c r="G117" s="12"/>
      <c r="H117" s="12">
        <f>16+57+14</f>
        <v>87</v>
      </c>
      <c r="I117" s="12">
        <f>15+58+16</f>
        <v>89</v>
      </c>
      <c r="J117" s="12">
        <f>17+53+15</f>
        <v>85</v>
      </c>
      <c r="K117" s="12">
        <f>16+14+51</f>
        <v>81</v>
      </c>
      <c r="L117" s="12">
        <f>13+46+15</f>
        <v>74</v>
      </c>
      <c r="N117" s="241">
        <f>P117+S117+V117+Y117</f>
        <v>81</v>
      </c>
      <c r="O117" s="241">
        <f>Q117+T117+W117+Z117</f>
        <v>74</v>
      </c>
      <c r="P117">
        <v>16</v>
      </c>
      <c r="Q117">
        <v>15</v>
      </c>
      <c r="S117">
        <v>14</v>
      </c>
      <c r="T117">
        <v>13</v>
      </c>
      <c r="V117">
        <v>51</v>
      </c>
      <c r="W117">
        <v>46</v>
      </c>
      <c r="Y117" s="241">
        <v>0</v>
      </c>
      <c r="Z117" s="241">
        <v>0</v>
      </c>
    </row>
    <row r="118" spans="1:26" x14ac:dyDescent="0.25">
      <c r="A118" s="8"/>
      <c r="B118" s="21" t="s">
        <v>1184</v>
      </c>
      <c r="C118" s="6"/>
      <c r="D118" s="6" t="s">
        <v>950</v>
      </c>
      <c r="E118" s="12"/>
      <c r="F118" s="12"/>
      <c r="G118" s="12"/>
      <c r="H118" s="12">
        <v>4</v>
      </c>
      <c r="I118" s="12">
        <v>3</v>
      </c>
      <c r="J118" s="12">
        <v>0</v>
      </c>
      <c r="K118" s="12">
        <v>0</v>
      </c>
      <c r="L118" s="12">
        <v>0</v>
      </c>
      <c r="M118" s="71"/>
      <c r="N118" s="241">
        <f>P118+S118+V118+Y118</f>
        <v>0</v>
      </c>
      <c r="O118" s="241">
        <f>Q118+T118+W118+Z118</f>
        <v>0</v>
      </c>
      <c r="P118">
        <v>0</v>
      </c>
      <c r="Q118">
        <v>0</v>
      </c>
      <c r="S118">
        <v>0</v>
      </c>
      <c r="T118">
        <v>0</v>
      </c>
      <c r="V118">
        <v>0</v>
      </c>
      <c r="W118">
        <v>0</v>
      </c>
      <c r="Z118" s="241">
        <v>0</v>
      </c>
    </row>
    <row r="119" spans="1:26" ht="90" x14ac:dyDescent="0.25">
      <c r="A119" s="8"/>
      <c r="B119" s="21" t="s">
        <v>658</v>
      </c>
      <c r="C119" s="6" t="s">
        <v>2455</v>
      </c>
      <c r="D119" s="6"/>
      <c r="E119" s="12"/>
      <c r="F119" s="12"/>
      <c r="G119" s="12"/>
      <c r="H119" s="12"/>
      <c r="I119" s="12"/>
      <c r="J119" s="12"/>
      <c r="K119" s="12"/>
      <c r="L119" s="12"/>
    </row>
    <row r="120" spans="1:26" x14ac:dyDescent="0.25">
      <c r="A120" s="8"/>
      <c r="B120" s="21" t="s">
        <v>1182</v>
      </c>
      <c r="C120" s="6"/>
      <c r="D120" s="6" t="s">
        <v>950</v>
      </c>
      <c r="E120" s="12"/>
      <c r="F120" s="12"/>
      <c r="G120" s="12"/>
      <c r="H120" s="12">
        <f>29+245+103</f>
        <v>377</v>
      </c>
      <c r="I120" s="12">
        <f>109+239+32</f>
        <v>380</v>
      </c>
      <c r="J120" s="12">
        <f>33+233+104</f>
        <v>370</v>
      </c>
      <c r="K120" s="12">
        <f>34+107+235</f>
        <v>376</v>
      </c>
      <c r="L120" s="12">
        <f>105+222+28</f>
        <v>355</v>
      </c>
      <c r="N120" s="241">
        <f>P120+S120+V120+Y120</f>
        <v>376</v>
      </c>
      <c r="O120" s="241">
        <f>Q120+T120+W120+Z120</f>
        <v>355</v>
      </c>
      <c r="P120">
        <v>34</v>
      </c>
      <c r="Q120">
        <v>28</v>
      </c>
      <c r="S120">
        <v>107</v>
      </c>
      <c r="T120">
        <v>105</v>
      </c>
      <c r="V120">
        <v>235</v>
      </c>
      <c r="W120">
        <v>222</v>
      </c>
      <c r="Y120" s="241">
        <v>0</v>
      </c>
      <c r="Z120" s="241">
        <v>0</v>
      </c>
    </row>
    <row r="121" spans="1:26" x14ac:dyDescent="0.25">
      <c r="A121" s="8"/>
      <c r="B121" s="21" t="s">
        <v>1184</v>
      </c>
      <c r="C121" s="6"/>
      <c r="D121" s="6" t="s">
        <v>950</v>
      </c>
      <c r="E121" s="12"/>
      <c r="F121" s="12"/>
      <c r="G121" s="12"/>
      <c r="H121" s="12">
        <v>19</v>
      </c>
      <c r="I121" s="12">
        <v>15</v>
      </c>
      <c r="J121" s="12">
        <v>0</v>
      </c>
      <c r="K121" s="12">
        <v>1</v>
      </c>
      <c r="L121" s="12">
        <v>4</v>
      </c>
      <c r="M121" s="71"/>
      <c r="N121" s="241">
        <f>P121+S121+V121+Y121</f>
        <v>0</v>
      </c>
      <c r="O121" s="241">
        <f>Q121+T121+W121+Z121</f>
        <v>4</v>
      </c>
      <c r="P121" s="241">
        <v>0</v>
      </c>
      <c r="Q121" s="241">
        <v>0</v>
      </c>
      <c r="R121" s="241"/>
      <c r="S121" s="241">
        <v>0</v>
      </c>
      <c r="T121" s="241">
        <v>0</v>
      </c>
      <c r="U121" s="241"/>
      <c r="V121" s="241">
        <v>0</v>
      </c>
      <c r="W121" s="241">
        <v>0</v>
      </c>
      <c r="Z121" s="241">
        <v>4</v>
      </c>
    </row>
    <row r="122" spans="1:26" ht="90" x14ac:dyDescent="0.25">
      <c r="A122" s="8"/>
      <c r="B122" s="21" t="s">
        <v>659</v>
      </c>
      <c r="C122" s="6" t="s">
        <v>2456</v>
      </c>
      <c r="D122" s="6"/>
      <c r="E122" s="12"/>
      <c r="F122" s="12"/>
      <c r="G122" s="12"/>
      <c r="H122" s="12"/>
      <c r="I122" s="12"/>
      <c r="J122" s="12"/>
      <c r="K122" s="12"/>
      <c r="L122" s="12"/>
    </row>
    <row r="123" spans="1:26" x14ac:dyDescent="0.25">
      <c r="A123" s="8"/>
      <c r="B123" s="21" t="s">
        <v>1182</v>
      </c>
      <c r="C123" s="6"/>
      <c r="D123" s="6" t="s">
        <v>950</v>
      </c>
      <c r="E123" s="12"/>
      <c r="F123" s="12"/>
      <c r="G123" s="12"/>
      <c r="H123" s="12">
        <f>54+426+175</f>
        <v>655</v>
      </c>
      <c r="I123" s="12">
        <f>167+417+59</f>
        <v>643</v>
      </c>
      <c r="J123" s="12">
        <f>63+405+161</f>
        <v>629</v>
      </c>
      <c r="K123" s="12">
        <f>65+163+410</f>
        <v>638</v>
      </c>
      <c r="L123" s="12">
        <f>159+384+57</f>
        <v>600</v>
      </c>
      <c r="N123" s="241">
        <f>P123+S123+V123+Y123</f>
        <v>638</v>
      </c>
      <c r="O123" s="241">
        <f>Q123+T123+W123+Z123</f>
        <v>600</v>
      </c>
      <c r="P123">
        <v>65</v>
      </c>
      <c r="Q123">
        <v>57</v>
      </c>
      <c r="S123">
        <v>163</v>
      </c>
      <c r="T123">
        <v>159</v>
      </c>
      <c r="V123">
        <v>410</v>
      </c>
      <c r="W123">
        <v>384</v>
      </c>
      <c r="Y123" s="241">
        <v>0</v>
      </c>
      <c r="Z123" s="241">
        <v>0</v>
      </c>
    </row>
    <row r="124" spans="1:26" x14ac:dyDescent="0.25">
      <c r="A124" s="8"/>
      <c r="B124" s="21" t="s">
        <v>1184</v>
      </c>
      <c r="C124" s="6"/>
      <c r="D124" s="6" t="s">
        <v>950</v>
      </c>
      <c r="E124" s="12"/>
      <c r="F124" s="12"/>
      <c r="G124" s="12"/>
      <c r="H124" s="12">
        <v>28</v>
      </c>
      <c r="I124" s="12">
        <v>23</v>
      </c>
      <c r="J124" s="12">
        <v>0</v>
      </c>
      <c r="K124" s="12">
        <v>4</v>
      </c>
      <c r="L124" s="12">
        <v>4</v>
      </c>
      <c r="N124" s="241">
        <f>P124+S124+V124+Y124</f>
        <v>0</v>
      </c>
      <c r="O124" s="241">
        <f>Q124+T124+W124+Z124</f>
        <v>4</v>
      </c>
      <c r="P124" s="241">
        <v>0</v>
      </c>
      <c r="Q124" s="241">
        <v>0</v>
      </c>
      <c r="R124" s="241"/>
      <c r="S124" s="241">
        <v>0</v>
      </c>
      <c r="T124" s="241">
        <v>0</v>
      </c>
      <c r="U124" s="241"/>
      <c r="V124" s="241">
        <v>0</v>
      </c>
      <c r="W124" s="241">
        <v>0</v>
      </c>
      <c r="Z124" s="241">
        <v>4</v>
      </c>
    </row>
    <row r="125" spans="1:26" ht="90" x14ac:dyDescent="0.25">
      <c r="A125" s="42" t="s">
        <v>37</v>
      </c>
      <c r="B125" s="46" t="s">
        <v>1938</v>
      </c>
      <c r="C125" s="44"/>
      <c r="D125" s="42"/>
      <c r="E125" s="50"/>
      <c r="F125" s="50"/>
      <c r="G125" s="50"/>
      <c r="H125" s="50"/>
      <c r="I125" s="50"/>
      <c r="J125" s="50"/>
      <c r="K125" s="50"/>
      <c r="L125" s="50"/>
      <c r="M125" s="3" t="s">
        <v>281</v>
      </c>
    </row>
    <row r="126" spans="1:26" x14ac:dyDescent="0.25">
      <c r="A126" s="54"/>
      <c r="B126" s="43" t="s">
        <v>1182</v>
      </c>
      <c r="C126" s="44"/>
      <c r="D126" s="42" t="s">
        <v>8</v>
      </c>
      <c r="E126" s="45">
        <v>11.68</v>
      </c>
      <c r="F126" s="45">
        <v>13.01</v>
      </c>
      <c r="G126" s="45">
        <v>8.51</v>
      </c>
      <c r="H126" s="45">
        <f t="shared" ref="H126:I127" si="80">H129/H132*100</f>
        <v>10.076335877862595</v>
      </c>
      <c r="I126" s="45">
        <f t="shared" si="80"/>
        <v>9.6423017107309477</v>
      </c>
      <c r="J126" s="45">
        <f t="shared" ref="J126:K126" si="81">J129/J132*100</f>
        <v>7.7901430842607313</v>
      </c>
      <c r="K126" s="45">
        <f t="shared" si="81"/>
        <v>8.1504702194357357</v>
      </c>
      <c r="L126" s="45">
        <f t="shared" ref="L126" si="82">L129/L132*100</f>
        <v>6.666666666666667</v>
      </c>
      <c r="M126" s="3"/>
      <c r="N126" s="45">
        <f t="shared" ref="N126:O126" si="83">N129/N132*100</f>
        <v>8.1504702194357357</v>
      </c>
      <c r="O126" s="45">
        <f t="shared" si="83"/>
        <v>6.666666666666667</v>
      </c>
      <c r="P126" s="45">
        <f t="shared" ref="P126:P127" si="84">P129/P132*100</f>
        <v>9.2307692307692317</v>
      </c>
      <c r="Q126" s="45">
        <f t="shared" ref="Q126" si="85">Q129/Q132*100</f>
        <v>3.5087719298245612</v>
      </c>
      <c r="S126" s="45">
        <f t="shared" ref="S126:T127" si="86">S129/S132*100</f>
        <v>6.7484662576687118</v>
      </c>
      <c r="T126" s="45">
        <f t="shared" si="86"/>
        <v>5.0314465408805038</v>
      </c>
      <c r="V126" s="45">
        <f t="shared" ref="V126:W126" si="87">V129/V132*100</f>
        <v>8.536585365853659</v>
      </c>
      <c r="W126" s="45">
        <f t="shared" si="87"/>
        <v>7.8125</v>
      </c>
      <c r="Y126" s="45" t="e">
        <f t="shared" ref="Y126:Z126" si="88">Y129/Y132*100</f>
        <v>#DIV/0!</v>
      </c>
      <c r="Z126" s="45" t="e">
        <f t="shared" si="88"/>
        <v>#DIV/0!</v>
      </c>
    </row>
    <row r="127" spans="1:26" x14ac:dyDescent="0.25">
      <c r="A127" s="54"/>
      <c r="B127" s="43" t="s">
        <v>1184</v>
      </c>
      <c r="C127" s="44"/>
      <c r="D127" s="42" t="s">
        <v>8</v>
      </c>
      <c r="E127" s="45">
        <v>5.04</v>
      </c>
      <c r="F127" s="45">
        <v>3.85</v>
      </c>
      <c r="G127" s="45">
        <v>1.43</v>
      </c>
      <c r="H127" s="45">
        <f t="shared" si="80"/>
        <v>3.5714285714285712</v>
      </c>
      <c r="I127" s="45">
        <f t="shared" si="80"/>
        <v>4.3478260869565215</v>
      </c>
      <c r="J127" s="45" t="e">
        <f t="shared" ref="J127:K127" si="89">J130/J133*100</f>
        <v>#DIV/0!</v>
      </c>
      <c r="K127" s="45">
        <f t="shared" si="89"/>
        <v>0</v>
      </c>
      <c r="L127" s="45">
        <f t="shared" ref="L127" si="90">L130/L133*100</f>
        <v>0</v>
      </c>
      <c r="M127" s="3"/>
      <c r="N127" s="45" t="e">
        <f t="shared" ref="N127:O127" si="91">N130/N133*100</f>
        <v>#DIV/0!</v>
      </c>
      <c r="O127" s="45">
        <f t="shared" si="91"/>
        <v>0</v>
      </c>
      <c r="P127" s="45" t="e">
        <f t="shared" si="84"/>
        <v>#DIV/0!</v>
      </c>
      <c r="Q127" s="45" t="e">
        <f t="shared" ref="Q127" si="92">Q130/Q133*100</f>
        <v>#DIV/0!</v>
      </c>
      <c r="S127" s="45" t="e">
        <f t="shared" ref="S127" si="93">S130/S133*100</f>
        <v>#DIV/0!</v>
      </c>
      <c r="T127" s="45" t="e">
        <f t="shared" si="86"/>
        <v>#DIV/0!</v>
      </c>
      <c r="V127" s="45" t="e">
        <f t="shared" ref="V127:W127" si="94">V130/V133*100</f>
        <v>#DIV/0!</v>
      </c>
      <c r="W127" s="45" t="e">
        <f t="shared" si="94"/>
        <v>#DIV/0!</v>
      </c>
      <c r="Y127" s="45" t="e">
        <f t="shared" ref="Y127:Z127" si="95">Y130/Y133*100</f>
        <v>#DIV/0!</v>
      </c>
      <c r="Z127" s="45">
        <f t="shared" si="95"/>
        <v>0</v>
      </c>
    </row>
    <row r="128" spans="1:26" ht="90" x14ac:dyDescent="0.25">
      <c r="A128" s="427"/>
      <c r="B128" s="144" t="s">
        <v>661</v>
      </c>
      <c r="C128" s="76" t="s">
        <v>2452</v>
      </c>
      <c r="D128" s="6"/>
      <c r="E128" s="12"/>
      <c r="F128" s="12"/>
      <c r="G128" s="12"/>
      <c r="H128" s="12"/>
      <c r="I128" s="12"/>
      <c r="J128" s="12"/>
      <c r="K128" s="12"/>
      <c r="L128" s="12"/>
      <c r="M128" s="71"/>
    </row>
    <row r="129" spans="1:26" x14ac:dyDescent="0.25">
      <c r="A129" s="431"/>
      <c r="B129" s="21" t="s">
        <v>1182</v>
      </c>
      <c r="C129" s="6"/>
      <c r="D129" s="6" t="s">
        <v>950</v>
      </c>
      <c r="E129" s="12"/>
      <c r="F129" s="12"/>
      <c r="G129" s="12"/>
      <c r="H129" s="12">
        <f>3+8+29+4+22</f>
        <v>66</v>
      </c>
      <c r="I129" s="12">
        <f>0+7+9+30+3+13</f>
        <v>62</v>
      </c>
      <c r="J129" s="12">
        <f>1+5+4+26+2+11</f>
        <v>49</v>
      </c>
      <c r="K129" s="12">
        <f>6+1+10+4+31</f>
        <v>52</v>
      </c>
      <c r="L129" s="12">
        <f>1+7+1+29+2</f>
        <v>40</v>
      </c>
      <c r="M129" s="3"/>
      <c r="N129" s="241">
        <f>P129+S129+V129+Y129</f>
        <v>52</v>
      </c>
      <c r="O129" s="241">
        <f>Q129+T129+W129+Z129</f>
        <v>40</v>
      </c>
      <c r="P129">
        <v>6</v>
      </c>
      <c r="Q129">
        <v>2</v>
      </c>
      <c r="S129">
        <v>11</v>
      </c>
      <c r="T129">
        <v>8</v>
      </c>
      <c r="V129">
        <v>35</v>
      </c>
      <c r="W129">
        <v>30</v>
      </c>
      <c r="Y129" s="241">
        <v>0</v>
      </c>
      <c r="Z129" s="241">
        <v>0</v>
      </c>
    </row>
    <row r="130" spans="1:26" x14ac:dyDescent="0.25">
      <c r="A130" s="428"/>
      <c r="B130" s="21" t="s">
        <v>1184</v>
      </c>
      <c r="C130" s="6"/>
      <c r="D130" s="6" t="s">
        <v>950</v>
      </c>
      <c r="E130" s="12"/>
      <c r="F130" s="12"/>
      <c r="G130" s="12"/>
      <c r="H130" s="12">
        <v>1</v>
      </c>
      <c r="I130" s="12">
        <v>1</v>
      </c>
      <c r="J130" s="12">
        <v>0</v>
      </c>
      <c r="K130" s="12">
        <v>0</v>
      </c>
      <c r="L130" s="12">
        <v>0</v>
      </c>
      <c r="M130" s="71"/>
      <c r="N130" s="241">
        <f>P130+S130+V130+Y130</f>
        <v>0</v>
      </c>
      <c r="O130" s="241">
        <f>Q130+T130+W130+Z130</f>
        <v>0</v>
      </c>
      <c r="P130">
        <v>0</v>
      </c>
      <c r="Q130">
        <v>0</v>
      </c>
      <c r="S130">
        <v>0</v>
      </c>
      <c r="T130">
        <v>0</v>
      </c>
      <c r="V130">
        <v>0</v>
      </c>
      <c r="W130">
        <v>0</v>
      </c>
      <c r="Z130" s="241">
        <v>0</v>
      </c>
    </row>
    <row r="131" spans="1:26" ht="90" x14ac:dyDescent="0.25">
      <c r="A131" s="23"/>
      <c r="B131" s="21" t="s">
        <v>659</v>
      </c>
      <c r="C131" s="6" t="s">
        <v>2453</v>
      </c>
      <c r="D131" s="6"/>
      <c r="E131" s="12"/>
      <c r="F131" s="12"/>
      <c r="G131" s="12"/>
      <c r="H131" s="12"/>
      <c r="I131" s="12"/>
      <c r="J131" s="12"/>
      <c r="K131" s="12"/>
      <c r="L131" s="12"/>
    </row>
    <row r="132" spans="1:26" x14ac:dyDescent="0.25">
      <c r="A132" s="23"/>
      <c r="B132" s="21" t="s">
        <v>1182</v>
      </c>
      <c r="C132" s="6"/>
      <c r="D132" s="6" t="s">
        <v>950</v>
      </c>
      <c r="E132" s="12"/>
      <c r="F132" s="12"/>
      <c r="G132" s="12"/>
      <c r="H132" s="12">
        <f>54+426+175</f>
        <v>655</v>
      </c>
      <c r="I132" s="12">
        <f>167+417+59</f>
        <v>643</v>
      </c>
      <c r="J132" s="12">
        <f>63+405+161</f>
        <v>629</v>
      </c>
      <c r="K132" s="12">
        <f>K123</f>
        <v>638</v>
      </c>
      <c r="L132" s="12">
        <f>L123</f>
        <v>600</v>
      </c>
      <c r="N132" s="241">
        <f>P132+S132+V132+Y132</f>
        <v>638</v>
      </c>
      <c r="O132" s="241">
        <f>Q132+T132+W132+Z132</f>
        <v>600</v>
      </c>
      <c r="P132">
        <f>P123</f>
        <v>65</v>
      </c>
      <c r="Q132" s="241">
        <f t="shared" ref="Q132" si="96">Q123</f>
        <v>57</v>
      </c>
      <c r="S132" s="241">
        <f>S123</f>
        <v>163</v>
      </c>
      <c r="T132" s="241">
        <f t="shared" ref="T132" si="97">T123</f>
        <v>159</v>
      </c>
      <c r="V132" s="241">
        <f>V123</f>
        <v>410</v>
      </c>
      <c r="W132" s="241">
        <f t="shared" ref="W132" si="98">W123</f>
        <v>384</v>
      </c>
      <c r="Y132" s="241">
        <v>0</v>
      </c>
      <c r="Z132" s="241">
        <v>0</v>
      </c>
    </row>
    <row r="133" spans="1:26" x14ac:dyDescent="0.25">
      <c r="A133" s="23"/>
      <c r="B133" s="21" t="s">
        <v>1184</v>
      </c>
      <c r="C133" s="6"/>
      <c r="D133" s="6" t="s">
        <v>950</v>
      </c>
      <c r="E133" s="12"/>
      <c r="F133" s="12"/>
      <c r="G133" s="12"/>
      <c r="H133" s="12">
        <v>28</v>
      </c>
      <c r="I133" s="12">
        <v>23</v>
      </c>
      <c r="J133" s="12">
        <v>0</v>
      </c>
      <c r="K133" s="12">
        <f>K124</f>
        <v>4</v>
      </c>
      <c r="L133" s="12">
        <f>L124</f>
        <v>4</v>
      </c>
      <c r="N133" s="241">
        <f>P133+S133+V133+Y133</f>
        <v>0</v>
      </c>
      <c r="O133" s="241">
        <f>Q133+T133+W133+Z133</f>
        <v>4</v>
      </c>
      <c r="P133" s="241">
        <v>0</v>
      </c>
      <c r="Q133" s="241">
        <v>0</v>
      </c>
      <c r="R133" s="241"/>
      <c r="S133" s="241">
        <v>0</v>
      </c>
      <c r="T133" s="241">
        <v>0</v>
      </c>
      <c r="U133" s="241"/>
      <c r="V133" s="241">
        <v>0</v>
      </c>
      <c r="W133" s="241">
        <v>0</v>
      </c>
      <c r="Y133" s="241">
        <f t="shared" ref="Y133" si="99">Y124</f>
        <v>0</v>
      </c>
      <c r="Z133" s="241">
        <f t="shared" ref="Z133" si="100">Z124</f>
        <v>4</v>
      </c>
    </row>
    <row r="134" spans="1:26" ht="105" x14ac:dyDescent="0.25">
      <c r="A134" s="42" t="s">
        <v>1793</v>
      </c>
      <c r="B134" s="46" t="s">
        <v>1939</v>
      </c>
      <c r="C134" s="42"/>
      <c r="D134" s="42"/>
      <c r="E134" s="50"/>
      <c r="F134" s="50"/>
      <c r="G134" s="50"/>
      <c r="H134" s="50"/>
      <c r="I134" s="50"/>
      <c r="J134" s="50"/>
      <c r="K134" s="50"/>
      <c r="L134" s="50"/>
      <c r="M134" s="3" t="s">
        <v>281</v>
      </c>
    </row>
    <row r="135" spans="1:26" x14ac:dyDescent="0.25">
      <c r="A135" s="55"/>
      <c r="B135" s="43" t="s">
        <v>1182</v>
      </c>
      <c r="C135" s="42"/>
      <c r="D135" s="42" t="s">
        <v>950</v>
      </c>
      <c r="E135" s="45">
        <v>35.18</v>
      </c>
      <c r="F135" s="45">
        <v>41.08</v>
      </c>
      <c r="G135" s="45">
        <v>39.06</v>
      </c>
      <c r="H135" s="45">
        <f t="shared" ref="H135:I136" si="101">H138/H141*100</f>
        <v>45.038167938931295</v>
      </c>
      <c r="I135" s="45">
        <f t="shared" si="101"/>
        <v>46.500777604976676</v>
      </c>
      <c r="J135" s="45">
        <f t="shared" ref="J135:K135" si="102">J138/J141*100</f>
        <v>40.06359300476948</v>
      </c>
      <c r="K135" s="45">
        <f t="shared" si="102"/>
        <v>49.373040752351102</v>
      </c>
      <c r="L135" s="45">
        <f t="shared" ref="L135" si="103">L138/L141*100</f>
        <v>51</v>
      </c>
      <c r="M135" s="3"/>
      <c r="N135" s="45">
        <f t="shared" ref="N135:P136" si="104">N138/N141*100</f>
        <v>49.373040752351102</v>
      </c>
      <c r="O135" s="45">
        <f t="shared" si="104"/>
        <v>51</v>
      </c>
      <c r="P135" s="45">
        <f t="shared" ref="P135:Q135" si="105">P138/P141*100</f>
        <v>53.846153846153847</v>
      </c>
      <c r="Q135" s="45">
        <f t="shared" si="105"/>
        <v>73.68421052631578</v>
      </c>
      <c r="S135" s="45">
        <f t="shared" ref="S135:T136" si="106">S138/S141*100</f>
        <v>74.233128834355838</v>
      </c>
      <c r="T135" s="45">
        <f t="shared" si="106"/>
        <v>66.666666666666657</v>
      </c>
      <c r="V135" s="45">
        <f t="shared" ref="V135:W135" si="107">V138/V141*100</f>
        <v>38.780487804878049</v>
      </c>
      <c r="W135" s="45">
        <f t="shared" si="107"/>
        <v>41.145833333333329</v>
      </c>
      <c r="Y135" s="45" t="e">
        <f t="shared" ref="Y135:Z135" si="108">Y138/Y141*100</f>
        <v>#DIV/0!</v>
      </c>
      <c r="Z135" s="45" t="e">
        <f t="shared" si="108"/>
        <v>#DIV/0!</v>
      </c>
    </row>
    <row r="136" spans="1:26" x14ac:dyDescent="0.25">
      <c r="A136" s="55"/>
      <c r="B136" s="43" t="s">
        <v>1184</v>
      </c>
      <c r="C136" s="42"/>
      <c r="D136" s="42" t="s">
        <v>950</v>
      </c>
      <c r="E136" s="45">
        <v>48.74</v>
      </c>
      <c r="F136" s="45">
        <v>47.12</v>
      </c>
      <c r="G136" s="45">
        <v>38.57</v>
      </c>
      <c r="H136" s="45">
        <f t="shared" si="101"/>
        <v>28.571428571428569</v>
      </c>
      <c r="I136" s="45">
        <f t="shared" si="101"/>
        <v>34.782608695652172</v>
      </c>
      <c r="J136" s="45" t="e">
        <f t="shared" ref="J136:K136" si="109">J139/J142*100</f>
        <v>#DIV/0!</v>
      </c>
      <c r="K136" s="45">
        <f t="shared" si="109"/>
        <v>0</v>
      </c>
      <c r="L136" s="45">
        <f t="shared" ref="L136" si="110">L139/L142*100</f>
        <v>50</v>
      </c>
      <c r="M136" s="3"/>
      <c r="N136" s="45" t="e">
        <f t="shared" ref="N136" si="111">N139/N142*100</f>
        <v>#DIV/0!</v>
      </c>
      <c r="O136" s="45">
        <f t="shared" si="104"/>
        <v>50</v>
      </c>
      <c r="P136" s="45" t="e">
        <f t="shared" si="104"/>
        <v>#DIV/0!</v>
      </c>
      <c r="Q136" s="45" t="e">
        <f t="shared" ref="Q136" si="112">Q139/Q142*100</f>
        <v>#DIV/0!</v>
      </c>
      <c r="S136" s="45" t="e">
        <f t="shared" ref="S136" si="113">S139/S142*100</f>
        <v>#DIV/0!</v>
      </c>
      <c r="T136" s="45" t="e">
        <f t="shared" si="106"/>
        <v>#DIV/0!</v>
      </c>
      <c r="V136" s="45" t="e">
        <f t="shared" ref="V136:W136" si="114">V139/V142*100</f>
        <v>#DIV/0!</v>
      </c>
      <c r="W136" s="45" t="e">
        <f t="shared" si="114"/>
        <v>#DIV/0!</v>
      </c>
      <c r="Y136" s="45" t="e">
        <f t="shared" ref="Y136:Z136" si="115">Y139/Y142*100</f>
        <v>#DIV/0!</v>
      </c>
      <c r="Z136" s="45">
        <f t="shared" si="115"/>
        <v>50</v>
      </c>
    </row>
    <row r="137" spans="1:26" ht="75" x14ac:dyDescent="0.25">
      <c r="A137" s="19"/>
      <c r="B137" s="21" t="s">
        <v>663</v>
      </c>
      <c r="C137" s="6" t="s">
        <v>2457</v>
      </c>
      <c r="D137" s="6"/>
      <c r="E137" s="12"/>
      <c r="F137" s="12"/>
      <c r="G137" s="12"/>
      <c r="H137" s="12"/>
      <c r="I137" s="12"/>
      <c r="J137" s="12"/>
      <c r="K137" s="12"/>
      <c r="L137" s="12"/>
      <c r="M137" s="71"/>
    </row>
    <row r="138" spans="1:26" x14ac:dyDescent="0.25">
      <c r="A138" s="19"/>
      <c r="B138" s="21" t="s">
        <v>1182</v>
      </c>
      <c r="C138" s="6"/>
      <c r="D138" s="6" t="s">
        <v>950</v>
      </c>
      <c r="E138" s="12"/>
      <c r="F138" s="12"/>
      <c r="G138" s="12"/>
      <c r="H138" s="12">
        <f>45+206+44</f>
        <v>295</v>
      </c>
      <c r="I138" s="12">
        <f>46+202+51</f>
        <v>299</v>
      </c>
      <c r="J138" s="12">
        <f>31+155+66</f>
        <v>252</v>
      </c>
      <c r="K138" s="12">
        <f>35+121+159</f>
        <v>315</v>
      </c>
      <c r="L138" s="12">
        <f>106+158+42</f>
        <v>306</v>
      </c>
      <c r="M138" s="3"/>
      <c r="N138" s="241">
        <f>P138+S138+V138+Y138</f>
        <v>315</v>
      </c>
      <c r="O138" s="241">
        <f>Q138+T138+W138+Z138</f>
        <v>306</v>
      </c>
      <c r="P138">
        <v>35</v>
      </c>
      <c r="Q138">
        <v>42</v>
      </c>
      <c r="S138">
        <v>121</v>
      </c>
      <c r="T138">
        <v>106</v>
      </c>
      <c r="V138">
        <v>159</v>
      </c>
      <c r="W138">
        <v>158</v>
      </c>
      <c r="Y138" s="241">
        <v>0</v>
      </c>
      <c r="Z138" s="241">
        <v>0</v>
      </c>
    </row>
    <row r="139" spans="1:26" x14ac:dyDescent="0.25">
      <c r="A139" s="19"/>
      <c r="B139" s="21" t="s">
        <v>1184</v>
      </c>
      <c r="C139" s="6"/>
      <c r="D139" s="6" t="s">
        <v>950</v>
      </c>
      <c r="E139" s="12"/>
      <c r="F139" s="12"/>
      <c r="G139" s="12"/>
      <c r="H139" s="12">
        <v>8</v>
      </c>
      <c r="I139" s="12">
        <v>8</v>
      </c>
      <c r="J139" s="12">
        <v>0</v>
      </c>
      <c r="K139" s="12">
        <v>0</v>
      </c>
      <c r="L139" s="12">
        <v>2</v>
      </c>
      <c r="M139" s="71"/>
      <c r="N139" s="241">
        <f>P139+S139+V139+Y139</f>
        <v>0</v>
      </c>
      <c r="O139" s="241">
        <f>Q139+T139+W139+Z139</f>
        <v>2</v>
      </c>
      <c r="P139" s="241">
        <f t="shared" ref="P139" si="116">P121</f>
        <v>0</v>
      </c>
      <c r="Q139" s="241">
        <f t="shared" ref="Q139:Q142" si="117">Q121</f>
        <v>0</v>
      </c>
      <c r="R139" s="241"/>
      <c r="S139" s="241">
        <f t="shared" ref="S139" si="118">S121</f>
        <v>0</v>
      </c>
      <c r="T139" s="241">
        <f t="shared" ref="T139:T142" si="119">T121</f>
        <v>0</v>
      </c>
      <c r="U139" s="241"/>
      <c r="V139" s="241">
        <f t="shared" ref="V139" si="120">V121</f>
        <v>0</v>
      </c>
      <c r="W139" s="241">
        <f t="shared" ref="W139:W142" si="121">W121</f>
        <v>0</v>
      </c>
      <c r="Z139" s="241">
        <v>2</v>
      </c>
    </row>
    <row r="140" spans="1:26" ht="90" x14ac:dyDescent="0.25">
      <c r="A140" s="19"/>
      <c r="B140" s="21" t="s">
        <v>659</v>
      </c>
      <c r="C140" s="6" t="s">
        <v>2453</v>
      </c>
      <c r="D140" s="6"/>
      <c r="E140" s="12"/>
      <c r="F140" s="12"/>
      <c r="G140" s="12"/>
      <c r="H140" s="12"/>
      <c r="I140" s="12"/>
      <c r="J140" s="12"/>
      <c r="K140" s="12"/>
      <c r="L140" s="12"/>
      <c r="M140" s="3"/>
    </row>
    <row r="141" spans="1:26" x14ac:dyDescent="0.25">
      <c r="A141" s="19"/>
      <c r="B141" s="21" t="s">
        <v>1182</v>
      </c>
      <c r="C141" s="6"/>
      <c r="D141" s="6" t="s">
        <v>950</v>
      </c>
      <c r="E141" s="12"/>
      <c r="F141" s="12"/>
      <c r="G141" s="12"/>
      <c r="H141" s="12">
        <f>54+426+175</f>
        <v>655</v>
      </c>
      <c r="I141" s="12">
        <f>167+417+59</f>
        <v>643</v>
      </c>
      <c r="J141" s="12">
        <f>63+405+161</f>
        <v>629</v>
      </c>
      <c r="K141" s="12">
        <f>K123</f>
        <v>638</v>
      </c>
      <c r="L141" s="12">
        <f>L123</f>
        <v>600</v>
      </c>
      <c r="M141" s="3"/>
      <c r="N141" s="241">
        <f>P141+S141+V141+Y141</f>
        <v>638</v>
      </c>
      <c r="O141" s="241">
        <f>Q141+T141+W141+Z141</f>
        <v>600</v>
      </c>
      <c r="P141">
        <f>P123</f>
        <v>65</v>
      </c>
      <c r="Q141" s="241">
        <f t="shared" si="117"/>
        <v>57</v>
      </c>
      <c r="S141" s="241">
        <f>S123</f>
        <v>163</v>
      </c>
      <c r="T141" s="241">
        <f t="shared" si="119"/>
        <v>159</v>
      </c>
      <c r="V141" s="241">
        <f>V123</f>
        <v>410</v>
      </c>
      <c r="W141" s="241">
        <f t="shared" si="121"/>
        <v>384</v>
      </c>
      <c r="Y141" s="241">
        <v>0</v>
      </c>
      <c r="Z141" s="241">
        <v>0</v>
      </c>
    </row>
    <row r="142" spans="1:26" x14ac:dyDescent="0.25">
      <c r="A142" s="19"/>
      <c r="B142" s="21" t="s">
        <v>1184</v>
      </c>
      <c r="C142" s="6"/>
      <c r="D142" s="6" t="s">
        <v>950</v>
      </c>
      <c r="E142" s="12"/>
      <c r="F142" s="12"/>
      <c r="G142" s="12"/>
      <c r="H142" s="12">
        <v>28</v>
      </c>
      <c r="I142" s="12">
        <v>23</v>
      </c>
      <c r="J142" s="12">
        <v>0</v>
      </c>
      <c r="K142" s="12">
        <f>K124</f>
        <v>4</v>
      </c>
      <c r="L142" s="12">
        <f>L124</f>
        <v>4</v>
      </c>
      <c r="M142" s="3"/>
      <c r="N142" s="241">
        <f>P142+S142+V142+Y142</f>
        <v>0</v>
      </c>
      <c r="O142" s="241">
        <f>Q142+T142+W142+Z142</f>
        <v>4</v>
      </c>
      <c r="P142" s="241">
        <f t="shared" ref="P142" si="122">P124</f>
        <v>0</v>
      </c>
      <c r="Q142" s="241">
        <f t="shared" si="117"/>
        <v>0</v>
      </c>
      <c r="S142" s="241">
        <f t="shared" ref="S142" si="123">S124</f>
        <v>0</v>
      </c>
      <c r="T142" s="241">
        <f t="shared" si="119"/>
        <v>0</v>
      </c>
      <c r="V142" s="241">
        <f t="shared" ref="V142" si="124">V124</f>
        <v>0</v>
      </c>
      <c r="W142" s="241">
        <f t="shared" si="121"/>
        <v>0</v>
      </c>
      <c r="Y142" s="241">
        <f t="shared" ref="Y142" si="125">Y124</f>
        <v>0</v>
      </c>
      <c r="Z142" s="241">
        <f t="shared" ref="Z142" si="126">Z124</f>
        <v>4</v>
      </c>
    </row>
    <row r="143" spans="1:26" ht="60" x14ac:dyDescent="0.25">
      <c r="A143" s="42" t="s">
        <v>2827</v>
      </c>
      <c r="B143" s="46" t="s">
        <v>1940</v>
      </c>
      <c r="C143" s="42"/>
      <c r="D143" s="42"/>
      <c r="E143" s="50"/>
      <c r="F143" s="50"/>
      <c r="G143" s="50"/>
      <c r="H143" s="50"/>
      <c r="I143" s="45"/>
      <c r="J143" s="50"/>
      <c r="K143" s="50"/>
      <c r="L143" s="50"/>
      <c r="M143" s="3" t="s">
        <v>281</v>
      </c>
    </row>
    <row r="144" spans="1:26" x14ac:dyDescent="0.25">
      <c r="A144" s="55"/>
      <c r="B144" s="43" t="s">
        <v>1182</v>
      </c>
      <c r="C144" s="42"/>
      <c r="D144" s="42" t="s">
        <v>950</v>
      </c>
      <c r="E144" s="45">
        <v>10.87</v>
      </c>
      <c r="F144" s="45">
        <v>11.33</v>
      </c>
      <c r="G144" s="45">
        <v>10.96</v>
      </c>
      <c r="H144" s="45">
        <f>(H147+(H150*0.25)+(H154*0.1))/H157</f>
        <v>11.648015267175571</v>
      </c>
      <c r="I144" s="45">
        <f>(I147+(I150*0.25)+(I154*0.1))/I157</f>
        <v>11.980637636080871</v>
      </c>
      <c r="J144" s="45">
        <f>(J147+(J150*0.25)+(J154*0.1))/J157</f>
        <v>12.300715421303655</v>
      </c>
      <c r="K144" s="45">
        <f>(K147+(K150*0.25)+(K154*0.1))/K157</f>
        <v>10.773129580970823</v>
      </c>
      <c r="L144" s="45">
        <f>(L147+(L150*0.25)+(L154*0.1))/L157</f>
        <v>11.149439510845829</v>
      </c>
      <c r="M144" s="3"/>
      <c r="N144" s="45">
        <f t="shared" ref="N144:Q145" si="127">(N147+(N150*0.25)+(N154*0.1))/N157</f>
        <v>10.773129580970823</v>
      </c>
      <c r="O144" s="45">
        <f t="shared" si="127"/>
        <v>11.149439510845827</v>
      </c>
      <c r="P144" s="45">
        <f t="shared" si="127"/>
        <v>8.5969738651994501</v>
      </c>
      <c r="Q144" s="45">
        <f t="shared" si="127"/>
        <v>8.7092198581560289</v>
      </c>
      <c r="S144" s="45">
        <f>(S147+(S150*0.25)+(S154*0.1))/S157</f>
        <v>10.997382198952879</v>
      </c>
      <c r="T144" s="45">
        <f>(T147+(T150*0.25)+(T154*0.1))/T157</f>
        <v>10.844071467244181</v>
      </c>
      <c r="V144" s="45">
        <f>(V147+(V150*0.25)+(V154*0.1))/V157</f>
        <v>11.024270787984328</v>
      </c>
      <c r="W144" s="45">
        <f>(W147+(W150*0.25)+(W154*0.1))/W157</f>
        <v>11.678596247394022</v>
      </c>
      <c r="Y144" s="45" t="e">
        <f>(Y147+(Y150*0.25)+(Y154*0.1))/Y157</f>
        <v>#DIV/0!</v>
      </c>
      <c r="Z144" s="45" t="e">
        <f>(Z147+(Z150*0.25)+(Z154*0.1))/Z157</f>
        <v>#DIV/0!</v>
      </c>
    </row>
    <row r="145" spans="1:26" x14ac:dyDescent="0.25">
      <c r="A145" s="55"/>
      <c r="B145" s="43" t="s">
        <v>1184</v>
      </c>
      <c r="C145" s="42"/>
      <c r="D145" s="42" t="s">
        <v>950</v>
      </c>
      <c r="E145" s="45">
        <v>4.41</v>
      </c>
      <c r="F145" s="45">
        <v>3.84</v>
      </c>
      <c r="G145" s="45">
        <v>2.98</v>
      </c>
      <c r="H145" s="45">
        <v>2</v>
      </c>
      <c r="I145" s="45">
        <f>(I148+(I151*0.25)+(I155*0.1))/I158</f>
        <v>2.5043478260869567</v>
      </c>
      <c r="J145" s="45" t="e">
        <f>(J148+(J151*0.25)+(J155*0.1))/J158</f>
        <v>#DIV/0!</v>
      </c>
      <c r="K145" s="45">
        <f>(K148+(K151*0.25)+(K155*0.1))/K158</f>
        <v>15.027777777777779</v>
      </c>
      <c r="L145" s="45">
        <f>(L148+(L151*0.25)+(L155*0.1))/L158</f>
        <v>11.242857142857144</v>
      </c>
      <c r="M145" s="3"/>
      <c r="N145" s="45" t="e">
        <f t="shared" si="127"/>
        <v>#DIV/0!</v>
      </c>
      <c r="O145" s="45">
        <f t="shared" si="127"/>
        <v>11.242857142857144</v>
      </c>
      <c r="P145" s="45" t="e">
        <f t="shared" si="127"/>
        <v>#DIV/0!</v>
      </c>
      <c r="Q145" s="45" t="e">
        <f t="shared" si="127"/>
        <v>#DIV/0!</v>
      </c>
      <c r="S145" s="45" t="e">
        <f>(S148+(S151*0.25)+(S155*0.1))/S158</f>
        <v>#DIV/0!</v>
      </c>
      <c r="T145" s="45" t="e">
        <f>(T148+(T151*0.25)+(T155*0.1))/T158</f>
        <v>#DIV/0!</v>
      </c>
      <c r="V145" s="45" t="e">
        <f>(V148+(V151*0.25)+(V155*0.1))/V158</f>
        <v>#DIV/0!</v>
      </c>
      <c r="W145" s="45" t="e">
        <f>(W148+(W151*0.25)+(W155*0.1))/W158</f>
        <v>#DIV/0!</v>
      </c>
      <c r="Y145" s="45" t="e">
        <f>(Y148+(Y151*0.25)+(Y155*0.1))/Y158</f>
        <v>#DIV/0!</v>
      </c>
      <c r="Z145" s="45">
        <f>(Z148+(Z151*0.25)+(Z155*0.1))/Z158</f>
        <v>11.242857142857144</v>
      </c>
    </row>
    <row r="146" spans="1:26" ht="45" x14ac:dyDescent="0.25">
      <c r="A146" s="19"/>
      <c r="B146" s="21" t="s">
        <v>635</v>
      </c>
      <c r="C146" s="6" t="s">
        <v>1992</v>
      </c>
      <c r="D146" s="6"/>
      <c r="E146" s="12"/>
      <c r="F146" s="12"/>
      <c r="G146" s="12"/>
      <c r="H146" s="12"/>
      <c r="I146" s="12"/>
      <c r="J146" s="12"/>
      <c r="K146" s="12"/>
      <c r="L146" s="12"/>
      <c r="M146" s="20"/>
    </row>
    <row r="147" spans="1:26" x14ac:dyDescent="0.25">
      <c r="A147" s="19"/>
      <c r="B147" s="21" t="s">
        <v>1182</v>
      </c>
      <c r="C147" s="6"/>
      <c r="D147" s="6" t="s">
        <v>950</v>
      </c>
      <c r="E147" s="12"/>
      <c r="F147" s="12"/>
      <c r="G147" s="12"/>
      <c r="H147" s="12">
        <v>7364</v>
      </c>
      <c r="I147" s="12">
        <f>2017+4838+564</f>
        <v>7419</v>
      </c>
      <c r="J147" s="12">
        <f>594+4790+2102</f>
        <v>7486</v>
      </c>
      <c r="K147" s="12">
        <f>K28</f>
        <v>7530</v>
      </c>
      <c r="L147" s="12">
        <f>L28</f>
        <v>7426</v>
      </c>
      <c r="M147" s="65"/>
      <c r="N147" s="241">
        <f>P147+S147+V147+Y147</f>
        <v>7530</v>
      </c>
      <c r="O147" s="241">
        <f>Q147+T147+W147+Z147</f>
        <v>7426</v>
      </c>
      <c r="P147" s="241">
        <f>P28</f>
        <v>625</v>
      </c>
      <c r="Q147">
        <f>Q28</f>
        <v>614</v>
      </c>
      <c r="S147" s="241">
        <f>S28</f>
        <v>2053</v>
      </c>
      <c r="T147" s="241">
        <f>T28</f>
        <v>1959</v>
      </c>
      <c r="V147" s="241">
        <f>V28</f>
        <v>4852</v>
      </c>
      <c r="W147" s="241">
        <f>W28</f>
        <v>4853</v>
      </c>
      <c r="Y147" s="241">
        <f>Y28</f>
        <v>0</v>
      </c>
      <c r="Z147" s="241">
        <f>Z28</f>
        <v>0</v>
      </c>
    </row>
    <row r="148" spans="1:26" x14ac:dyDescent="0.25">
      <c r="A148" s="19"/>
      <c r="B148" s="21" t="s">
        <v>1184</v>
      </c>
      <c r="C148" s="6"/>
      <c r="D148" s="6" t="s">
        <v>950</v>
      </c>
      <c r="E148" s="12"/>
      <c r="F148" s="12"/>
      <c r="G148" s="12"/>
      <c r="H148" s="12">
        <v>366</v>
      </c>
      <c r="I148" s="12">
        <v>52</v>
      </c>
      <c r="J148" s="12">
        <v>0</v>
      </c>
      <c r="K148" s="12">
        <f>K29</f>
        <v>0</v>
      </c>
      <c r="L148" s="12">
        <f>L29</f>
        <v>0</v>
      </c>
      <c r="M148" s="147"/>
      <c r="N148" s="241">
        <f>P148+S148+V148+Y148</f>
        <v>0</v>
      </c>
      <c r="O148" s="241">
        <f>Q148+T148+W148+Z148</f>
        <v>0</v>
      </c>
      <c r="P148">
        <v>0</v>
      </c>
      <c r="Q148">
        <v>0</v>
      </c>
      <c r="S148">
        <v>0</v>
      </c>
      <c r="T148">
        <v>0</v>
      </c>
      <c r="V148">
        <v>0</v>
      </c>
      <c r="W148">
        <v>0</v>
      </c>
      <c r="Z148" s="241">
        <v>0</v>
      </c>
    </row>
    <row r="149" spans="1:26" ht="60" x14ac:dyDescent="0.25">
      <c r="A149" s="19"/>
      <c r="B149" s="21" t="s">
        <v>665</v>
      </c>
      <c r="C149" s="6" t="s">
        <v>1993</v>
      </c>
      <c r="D149" s="6"/>
      <c r="E149" s="12"/>
      <c r="F149" s="12"/>
      <c r="G149" s="12"/>
      <c r="H149" s="12"/>
      <c r="I149" s="12"/>
      <c r="J149" s="12"/>
      <c r="K149" s="12"/>
      <c r="L149" s="12"/>
    </row>
    <row r="150" spans="1:26" x14ac:dyDescent="0.25">
      <c r="A150" s="148"/>
      <c r="B150" s="21" t="s">
        <v>1182</v>
      </c>
      <c r="C150" s="6"/>
      <c r="D150" s="6" t="s">
        <v>950</v>
      </c>
      <c r="E150" s="12"/>
      <c r="F150" s="12"/>
      <c r="G150" s="12"/>
      <c r="H150" s="12">
        <v>11</v>
      </c>
      <c r="I150" s="12">
        <v>33</v>
      </c>
      <c r="J150" s="12">
        <v>57</v>
      </c>
      <c r="K150" s="12">
        <f>K31</f>
        <v>65</v>
      </c>
      <c r="L150" s="12">
        <f>L31</f>
        <v>63</v>
      </c>
      <c r="N150" s="241">
        <f>P150+S150+V150+Y150</f>
        <v>65</v>
      </c>
      <c r="O150" s="241">
        <f>Q150+T150+W150+Z150</f>
        <v>63</v>
      </c>
      <c r="P150">
        <f>P31</f>
        <v>0</v>
      </c>
      <c r="Q150" s="241">
        <f>Q31</f>
        <v>0</v>
      </c>
      <c r="S150" s="241">
        <f>S31</f>
        <v>0</v>
      </c>
      <c r="T150" s="241">
        <f>T31</f>
        <v>0</v>
      </c>
      <c r="V150" s="241">
        <f>V31</f>
        <v>65</v>
      </c>
      <c r="W150" s="241">
        <f>W31</f>
        <v>63</v>
      </c>
      <c r="Y150" s="241">
        <f>Y31</f>
        <v>0</v>
      </c>
      <c r="Z150" s="241">
        <f>Z31</f>
        <v>0</v>
      </c>
    </row>
    <row r="151" spans="1:26" x14ac:dyDescent="0.25">
      <c r="A151" s="148"/>
      <c r="B151" s="21" t="s">
        <v>1184</v>
      </c>
      <c r="C151" s="6"/>
      <c r="D151" s="6" t="s">
        <v>950</v>
      </c>
      <c r="E151" s="12"/>
      <c r="F151" s="12"/>
      <c r="G151" s="12"/>
      <c r="H151" s="12">
        <v>48</v>
      </c>
      <c r="I151" s="12">
        <v>0</v>
      </c>
      <c r="J151" s="12">
        <v>0</v>
      </c>
      <c r="K151" s="12">
        <f>K32</f>
        <v>71</v>
      </c>
      <c r="L151" s="12">
        <f>L32</f>
        <v>105</v>
      </c>
      <c r="N151" s="241">
        <f>P151+S151+V151+Y151</f>
        <v>0</v>
      </c>
      <c r="O151" s="241">
        <f>Q151+T151+W151+Z151</f>
        <v>105</v>
      </c>
      <c r="P151" s="241">
        <v>0</v>
      </c>
      <c r="Q151" s="241">
        <v>0</v>
      </c>
      <c r="R151" s="241"/>
      <c r="S151" s="241">
        <v>0</v>
      </c>
      <c r="T151" s="241">
        <v>0</v>
      </c>
      <c r="U151" s="241"/>
      <c r="V151" s="241">
        <v>0</v>
      </c>
      <c r="W151" s="241">
        <v>0</v>
      </c>
      <c r="Z151" s="241">
        <v>105</v>
      </c>
    </row>
    <row r="152" spans="1:26" ht="30" x14ac:dyDescent="0.25">
      <c r="A152" s="429"/>
      <c r="B152" s="429" t="s">
        <v>1991</v>
      </c>
      <c r="C152" s="6" t="s">
        <v>1994</v>
      </c>
      <c r="D152" s="6"/>
      <c r="E152" s="12"/>
      <c r="F152" s="12"/>
      <c r="G152" s="12"/>
      <c r="H152" s="12"/>
      <c r="I152" s="12"/>
      <c r="J152" s="12"/>
      <c r="K152" s="12"/>
      <c r="L152" s="12"/>
    </row>
    <row r="153" spans="1:26" ht="45" x14ac:dyDescent="0.25">
      <c r="A153" s="430"/>
      <c r="B153" s="430"/>
      <c r="C153" s="37" t="s">
        <v>666</v>
      </c>
      <c r="D153" s="6"/>
      <c r="E153" s="12"/>
      <c r="F153" s="12"/>
      <c r="G153" s="12"/>
      <c r="H153" s="12"/>
      <c r="I153" s="12"/>
      <c r="J153" s="12"/>
      <c r="K153" s="12"/>
      <c r="L153" s="12"/>
      <c r="M153" s="20"/>
    </row>
    <row r="154" spans="1:26" x14ac:dyDescent="0.25">
      <c r="A154" s="145"/>
      <c r="B154" s="21" t="s">
        <v>1182</v>
      </c>
      <c r="C154" s="6"/>
      <c r="D154" s="6" t="s">
        <v>950</v>
      </c>
      <c r="E154" s="12"/>
      <c r="F154" s="12"/>
      <c r="G154" s="12"/>
      <c r="H154" s="12">
        <v>2627</v>
      </c>
      <c r="I154" s="12">
        <f>625+2138</f>
        <v>2763</v>
      </c>
      <c r="J154" s="12">
        <f>1811+558</f>
        <v>2369</v>
      </c>
      <c r="K154" s="12">
        <f>K34</f>
        <v>2438</v>
      </c>
      <c r="L154" s="12">
        <f>L34</f>
        <v>2168</v>
      </c>
      <c r="M154" s="20"/>
      <c r="N154" s="241">
        <f>P154+S154+V154+Y154</f>
        <v>2438</v>
      </c>
      <c r="O154" s="241">
        <f>Q154+T154+W154+Z154</f>
        <v>2168</v>
      </c>
      <c r="P154">
        <f>P34</f>
        <v>0</v>
      </c>
      <c r="Q154" s="241">
        <f>Q34</f>
        <v>0</v>
      </c>
      <c r="S154" s="241">
        <f>S34</f>
        <v>475</v>
      </c>
      <c r="T154" s="241">
        <f>T34</f>
        <v>439</v>
      </c>
      <c r="V154" s="241">
        <f>V34</f>
        <v>1963</v>
      </c>
      <c r="W154" s="241">
        <f>W34</f>
        <v>1729</v>
      </c>
      <c r="Y154" s="241">
        <f>Y34</f>
        <v>0</v>
      </c>
      <c r="Z154" s="241">
        <f>Z34</f>
        <v>0</v>
      </c>
    </row>
    <row r="155" spans="1:26" x14ac:dyDescent="0.25">
      <c r="A155" s="145"/>
      <c r="B155" s="21" t="s">
        <v>1184</v>
      </c>
      <c r="C155" s="6"/>
      <c r="D155" s="6" t="s">
        <v>950</v>
      </c>
      <c r="E155" s="12"/>
      <c r="F155" s="12"/>
      <c r="G155" s="12"/>
      <c r="H155" s="12">
        <v>0</v>
      </c>
      <c r="I155" s="12">
        <v>56</v>
      </c>
      <c r="J155" s="12">
        <v>0</v>
      </c>
      <c r="K155" s="12">
        <f>K35</f>
        <v>93</v>
      </c>
      <c r="L155" s="12">
        <f>L35</f>
        <v>131</v>
      </c>
      <c r="M155" s="20"/>
      <c r="N155" s="241">
        <f>P155+S155+V155+Y155</f>
        <v>0</v>
      </c>
      <c r="O155" s="241">
        <f>Q155+T155+W155+Z155</f>
        <v>131</v>
      </c>
      <c r="P155" s="241">
        <v>0</v>
      </c>
      <c r="Q155" s="241">
        <v>0</v>
      </c>
      <c r="R155" s="241"/>
      <c r="S155" s="241">
        <v>0</v>
      </c>
      <c r="T155" s="241">
        <v>0</v>
      </c>
      <c r="U155" s="241"/>
      <c r="V155" s="241">
        <v>0</v>
      </c>
      <c r="W155" s="241">
        <v>0</v>
      </c>
      <c r="Z155" s="241">
        <v>131</v>
      </c>
    </row>
    <row r="156" spans="1:26" ht="90" x14ac:dyDescent="0.25">
      <c r="A156" s="27"/>
      <c r="B156" s="21" t="s">
        <v>659</v>
      </c>
      <c r="C156" s="6" t="s">
        <v>2927</v>
      </c>
      <c r="D156" s="6"/>
      <c r="E156" s="12"/>
      <c r="F156" s="12"/>
      <c r="G156" s="12"/>
      <c r="H156" s="12"/>
      <c r="I156" s="12"/>
      <c r="J156" s="12"/>
      <c r="K156" s="12"/>
      <c r="L156" s="12"/>
      <c r="M156" s="20"/>
    </row>
    <row r="157" spans="1:26" x14ac:dyDescent="0.25">
      <c r="A157" s="146"/>
      <c r="B157" s="21" t="s">
        <v>1182</v>
      </c>
      <c r="C157" s="6"/>
      <c r="D157" s="6" t="s">
        <v>950</v>
      </c>
      <c r="E157" s="12"/>
      <c r="F157" s="12"/>
      <c r="G157" s="12"/>
      <c r="H157" s="12">
        <f>54+426+175</f>
        <v>655</v>
      </c>
      <c r="I157" s="12">
        <f>167+417+59</f>
        <v>643</v>
      </c>
      <c r="J157" s="12">
        <f>63+405+161</f>
        <v>629</v>
      </c>
      <c r="K157" s="9">
        <f>62.4+60.2+166+399.2+25+10.3</f>
        <v>723.09999999999991</v>
      </c>
      <c r="L157" s="9">
        <f>162+22.7+372.6+59.1+56.6+13.9</f>
        <v>686.9</v>
      </c>
      <c r="M157" s="20"/>
      <c r="N157" s="241">
        <f>P157+S157+V157+Y157</f>
        <v>723.09999999999991</v>
      </c>
      <c r="O157" s="241">
        <f>Q157+T157+W157+Z157</f>
        <v>686.90000000000009</v>
      </c>
      <c r="P157">
        <f>62.4+10.3</f>
        <v>72.7</v>
      </c>
      <c r="Q157">
        <f>56.6+13.9</f>
        <v>70.5</v>
      </c>
      <c r="S157">
        <f>166+25</f>
        <v>191</v>
      </c>
      <c r="T157">
        <f>162+22.7</f>
        <v>184.7</v>
      </c>
      <c r="V157">
        <f>399.2+60.2</f>
        <v>459.4</v>
      </c>
      <c r="W157">
        <f>372.6+59.1</f>
        <v>431.70000000000005</v>
      </c>
      <c r="Y157" s="241">
        <v>0</v>
      </c>
      <c r="Z157" s="241">
        <v>0</v>
      </c>
    </row>
    <row r="158" spans="1:26" x14ac:dyDescent="0.25">
      <c r="A158" s="146"/>
      <c r="B158" s="21" t="s">
        <v>1184</v>
      </c>
      <c r="C158" s="6"/>
      <c r="D158" s="6" t="s">
        <v>950</v>
      </c>
      <c r="E158" s="12"/>
      <c r="F158" s="12"/>
      <c r="G158" s="12"/>
      <c r="H158" s="12">
        <v>28</v>
      </c>
      <c r="I158" s="12">
        <v>23</v>
      </c>
      <c r="J158" s="12">
        <v>0</v>
      </c>
      <c r="K158" s="9">
        <v>1.8</v>
      </c>
      <c r="L158" s="9">
        <v>3.5</v>
      </c>
      <c r="M158" s="20"/>
      <c r="N158" s="241">
        <f>P158+S158+V158+Y158</f>
        <v>0</v>
      </c>
      <c r="O158" s="241">
        <f>Q158+T158+W158+Z158</f>
        <v>3.5</v>
      </c>
      <c r="P158" s="241">
        <v>0</v>
      </c>
      <c r="Q158" s="241">
        <v>0</v>
      </c>
      <c r="R158" s="241"/>
      <c r="S158" s="241">
        <v>0</v>
      </c>
      <c r="T158" s="241">
        <v>0</v>
      </c>
      <c r="U158" s="241"/>
      <c r="V158" s="241">
        <v>0</v>
      </c>
      <c r="W158" s="241">
        <v>0</v>
      </c>
      <c r="Z158" s="241">
        <v>3.5</v>
      </c>
    </row>
    <row r="159" spans="1:26" ht="90" x14ac:dyDescent="0.25">
      <c r="A159" s="42" t="s">
        <v>2826</v>
      </c>
      <c r="B159" s="46" t="s">
        <v>1941</v>
      </c>
      <c r="C159" s="42"/>
      <c r="D159" s="42" t="s">
        <v>8</v>
      </c>
      <c r="E159" s="50">
        <v>121.1</v>
      </c>
      <c r="F159" s="45">
        <v>159.85</v>
      </c>
      <c r="G159" s="50">
        <v>168.8</v>
      </c>
      <c r="H159" s="45">
        <v>159.51</v>
      </c>
      <c r="I159" s="45">
        <v>181.59</v>
      </c>
      <c r="J159" s="45">
        <v>201.85</v>
      </c>
      <c r="K159" s="45">
        <v>208.86</v>
      </c>
      <c r="L159" s="45">
        <v>198.27</v>
      </c>
      <c r="M159" s="3" t="s">
        <v>23</v>
      </c>
    </row>
    <row r="160" spans="1:26" ht="75" x14ac:dyDescent="0.25">
      <c r="A160" s="27"/>
      <c r="B160" s="21" t="s">
        <v>668</v>
      </c>
      <c r="C160" s="6" t="s">
        <v>669</v>
      </c>
      <c r="D160" s="6" t="s">
        <v>1114</v>
      </c>
      <c r="E160" s="12"/>
      <c r="F160" s="12"/>
      <c r="G160" s="12"/>
      <c r="H160" s="12"/>
      <c r="I160" s="12"/>
      <c r="J160" s="12"/>
      <c r="K160" s="12"/>
      <c r="L160" s="12"/>
      <c r="M160" s="3"/>
    </row>
    <row r="161" spans="1:26" ht="60" x14ac:dyDescent="0.25">
      <c r="A161" s="27"/>
      <c r="B161" s="21" t="s">
        <v>670</v>
      </c>
      <c r="C161" s="6" t="s">
        <v>671</v>
      </c>
      <c r="D161" s="6" t="s">
        <v>950</v>
      </c>
      <c r="E161" s="12"/>
      <c r="F161" s="12"/>
      <c r="G161" s="12"/>
      <c r="H161" s="12"/>
      <c r="I161" s="12"/>
      <c r="J161" s="12"/>
      <c r="K161" s="12"/>
      <c r="L161" s="12"/>
      <c r="M161" s="20"/>
    </row>
    <row r="162" spans="1:26" ht="30" x14ac:dyDescent="0.25">
      <c r="A162" s="27"/>
      <c r="B162" s="21" t="s">
        <v>445</v>
      </c>
      <c r="C162" s="6" t="s">
        <v>672</v>
      </c>
      <c r="D162" s="6" t="s">
        <v>1114</v>
      </c>
      <c r="E162" s="12"/>
      <c r="F162" s="12"/>
      <c r="G162" s="12"/>
      <c r="H162" s="12"/>
      <c r="I162" s="12"/>
      <c r="J162" s="12"/>
      <c r="K162" s="12"/>
      <c r="L162" s="12"/>
      <c r="M162" s="20"/>
    </row>
    <row r="163" spans="1:26" ht="60" x14ac:dyDescent="0.25">
      <c r="A163" s="60" t="s">
        <v>673</v>
      </c>
      <c r="B163" s="61" t="s">
        <v>674</v>
      </c>
      <c r="C163" s="60"/>
      <c r="D163" s="60" t="s">
        <v>8</v>
      </c>
      <c r="E163" s="52" t="e">
        <f t="shared" ref="E163:I163" si="128">E164/E165*100</f>
        <v>#DIV/0!</v>
      </c>
      <c r="F163" s="52" t="e">
        <f t="shared" si="128"/>
        <v>#DIV/0!</v>
      </c>
      <c r="G163" s="52" t="e">
        <f t="shared" si="128"/>
        <v>#DIV/0!</v>
      </c>
      <c r="H163" s="52" t="e">
        <f t="shared" si="128"/>
        <v>#DIV/0!</v>
      </c>
      <c r="I163" s="52" t="e">
        <f t="shared" si="128"/>
        <v>#DIV/0!</v>
      </c>
      <c r="J163" s="52" t="e">
        <f t="shared" ref="J163:K163" si="129">J164/J165*100</f>
        <v>#DIV/0!</v>
      </c>
      <c r="K163" s="52" t="e">
        <f t="shared" si="129"/>
        <v>#DIV/0!</v>
      </c>
      <c r="L163" s="52" t="e">
        <f t="shared" ref="L163" si="130">L164/L165*100</f>
        <v>#DIV/0!</v>
      </c>
      <c r="M163" s="3" t="s">
        <v>94</v>
      </c>
    </row>
    <row r="164" spans="1:26" ht="105" x14ac:dyDescent="0.25">
      <c r="A164" s="63"/>
      <c r="B164" s="63" t="s">
        <v>675</v>
      </c>
      <c r="C164" s="37" t="s">
        <v>676</v>
      </c>
      <c r="D164" s="37" t="s">
        <v>950</v>
      </c>
      <c r="E164" s="38"/>
      <c r="F164" s="38"/>
      <c r="G164" s="38"/>
      <c r="H164" s="38"/>
      <c r="I164" s="38"/>
      <c r="J164" s="12"/>
      <c r="K164" s="38"/>
      <c r="L164" s="38"/>
      <c r="M164" s="20"/>
    </row>
    <row r="165" spans="1:26" ht="105" x14ac:dyDescent="0.25">
      <c r="A165" s="63"/>
      <c r="B165" s="63" t="s">
        <v>677</v>
      </c>
      <c r="C165" s="37" t="s">
        <v>676</v>
      </c>
      <c r="D165" s="37" t="s">
        <v>950</v>
      </c>
      <c r="E165" s="38"/>
      <c r="F165" s="38"/>
      <c r="G165" s="38"/>
      <c r="H165" s="38"/>
      <c r="I165" s="38"/>
      <c r="J165" s="12"/>
      <c r="K165" s="38"/>
      <c r="L165" s="38"/>
    </row>
    <row r="166" spans="1:26" ht="75" x14ac:dyDescent="0.25">
      <c r="A166" s="60" t="s">
        <v>678</v>
      </c>
      <c r="B166" s="61" t="s">
        <v>679</v>
      </c>
      <c r="C166" s="60"/>
      <c r="D166" s="60" t="s">
        <v>8</v>
      </c>
      <c r="E166" s="52" t="e">
        <f t="shared" ref="E166:I166" si="131">E167/E168*100</f>
        <v>#DIV/0!</v>
      </c>
      <c r="F166" s="52" t="e">
        <f t="shared" si="131"/>
        <v>#DIV/0!</v>
      </c>
      <c r="G166" s="52" t="e">
        <f t="shared" si="131"/>
        <v>#DIV/0!</v>
      </c>
      <c r="H166" s="52" t="e">
        <f t="shared" si="131"/>
        <v>#DIV/0!</v>
      </c>
      <c r="I166" s="52" t="e">
        <f t="shared" si="131"/>
        <v>#DIV/0!</v>
      </c>
      <c r="J166" s="52" t="e">
        <f t="shared" ref="J166:K166" si="132">J167/J168*100</f>
        <v>#DIV/0!</v>
      </c>
      <c r="K166" s="52" t="e">
        <f t="shared" si="132"/>
        <v>#DIV/0!</v>
      </c>
      <c r="L166" s="52" t="e">
        <f t="shared" ref="L166" si="133">L167/L168*100</f>
        <v>#DIV/0!</v>
      </c>
      <c r="M166" s="3" t="s">
        <v>94</v>
      </c>
    </row>
    <row r="167" spans="1:26" ht="105" x14ac:dyDescent="0.25">
      <c r="A167" s="73"/>
      <c r="B167" s="63" t="s">
        <v>680</v>
      </c>
      <c r="C167" s="37" t="s">
        <v>676</v>
      </c>
      <c r="D167" s="37" t="s">
        <v>950</v>
      </c>
      <c r="E167" s="38"/>
      <c r="F167" s="38"/>
      <c r="G167" s="38"/>
      <c r="H167" s="38"/>
      <c r="I167" s="38"/>
      <c r="J167" s="12"/>
      <c r="K167" s="38"/>
      <c r="L167" s="38"/>
    </row>
    <row r="168" spans="1:26" ht="105" x14ac:dyDescent="0.25">
      <c r="A168" s="73"/>
      <c r="B168" s="63" t="s">
        <v>681</v>
      </c>
      <c r="C168" s="37" t="s">
        <v>676</v>
      </c>
      <c r="D168" s="37" t="s">
        <v>950</v>
      </c>
      <c r="E168" s="38"/>
      <c r="F168" s="38"/>
      <c r="G168" s="38"/>
      <c r="H168" s="38"/>
      <c r="I168" s="38"/>
      <c r="J168" s="12"/>
      <c r="K168" s="38"/>
      <c r="L168" s="38"/>
    </row>
    <row r="169" spans="1:26" ht="60" x14ac:dyDescent="0.25">
      <c r="A169" s="47" t="s">
        <v>48</v>
      </c>
      <c r="B169" s="48" t="s">
        <v>683</v>
      </c>
      <c r="C169" s="44"/>
      <c r="D169" s="42"/>
      <c r="E169" s="44"/>
      <c r="F169" s="44"/>
      <c r="G169" s="44"/>
      <c r="H169" s="44"/>
      <c r="I169" s="44"/>
      <c r="J169" s="50"/>
      <c r="K169" s="44"/>
      <c r="L169" s="44"/>
    </row>
    <row r="170" spans="1:26" ht="75" x14ac:dyDescent="0.25">
      <c r="A170" s="42" t="s">
        <v>49</v>
      </c>
      <c r="B170" s="46" t="s">
        <v>1942</v>
      </c>
      <c r="C170" s="44"/>
      <c r="D170" s="42"/>
      <c r="E170" s="50"/>
      <c r="F170" s="50"/>
      <c r="G170" s="50"/>
      <c r="H170" s="50"/>
      <c r="I170" s="50"/>
      <c r="J170" s="50"/>
      <c r="K170" s="50"/>
      <c r="L170" s="50"/>
      <c r="M170" s="3" t="s">
        <v>281</v>
      </c>
    </row>
    <row r="171" spans="1:26" x14ac:dyDescent="0.25">
      <c r="A171" s="42"/>
      <c r="B171" s="43" t="s">
        <v>1182</v>
      </c>
      <c r="C171" s="44"/>
      <c r="D171" s="42" t="s">
        <v>8</v>
      </c>
      <c r="E171" s="45">
        <v>68.52</v>
      </c>
      <c r="F171" s="45">
        <v>68.83</v>
      </c>
      <c r="G171" s="45">
        <v>84.79</v>
      </c>
      <c r="H171" s="45">
        <f t="shared" ref="H171:I172" si="134">H174/H177*100</f>
        <v>84.207459207459209</v>
      </c>
      <c r="I171" s="45">
        <f t="shared" si="134"/>
        <v>82.049830124575308</v>
      </c>
      <c r="J171" s="45">
        <f t="shared" ref="J171:K171" si="135">J174/J177*100</f>
        <v>83.202247191011239</v>
      </c>
      <c r="K171" s="45">
        <f t="shared" si="135"/>
        <v>83.281573498964804</v>
      </c>
      <c r="L171" s="45">
        <f t="shared" ref="L171" si="136">L174/L177*100</f>
        <v>75.66616390145802</v>
      </c>
      <c r="M171" s="3"/>
      <c r="N171" s="45">
        <f t="shared" ref="N171:P172" si="137">N174/N177*100</f>
        <v>83.281573498964804</v>
      </c>
      <c r="O171" s="45">
        <f t="shared" si="137"/>
        <v>75.66616390145802</v>
      </c>
      <c r="P171" s="45">
        <f t="shared" ref="P171:Q171" si="138">P174/P177*100</f>
        <v>100</v>
      </c>
      <c r="Q171" s="45">
        <f t="shared" si="138"/>
        <v>100</v>
      </c>
      <c r="S171" s="45">
        <f t="shared" ref="S171:T172" si="139">S174/S177*100</f>
        <v>73.923444976076553</v>
      </c>
      <c r="T171" s="45">
        <f t="shared" si="139"/>
        <v>64.135021097046419</v>
      </c>
      <c r="V171" s="45">
        <f t="shared" ref="V171:W171" si="140">V174/V177*100</f>
        <v>79.792256846081216</v>
      </c>
      <c r="W171" s="45">
        <f t="shared" si="140"/>
        <v>70.925925925925924</v>
      </c>
      <c r="Y171" s="45" t="e">
        <f t="shared" ref="Y171:Z171" si="141">Y174/Y177*100</f>
        <v>#DIV/0!</v>
      </c>
      <c r="Z171" s="45" t="e">
        <f t="shared" si="141"/>
        <v>#DIV/0!</v>
      </c>
    </row>
    <row r="172" spans="1:26" x14ac:dyDescent="0.25">
      <c r="A172" s="42"/>
      <c r="B172" s="43" t="s">
        <v>1184</v>
      </c>
      <c r="C172" s="44"/>
      <c r="D172" s="42" t="s">
        <v>8</v>
      </c>
      <c r="E172" s="45">
        <v>0</v>
      </c>
      <c r="F172" s="45">
        <v>100</v>
      </c>
      <c r="G172" s="45">
        <v>100</v>
      </c>
      <c r="H172" s="45" t="e">
        <f t="shared" si="134"/>
        <v>#DIV/0!</v>
      </c>
      <c r="I172" s="45" t="e">
        <f t="shared" si="134"/>
        <v>#DIV/0!</v>
      </c>
      <c r="J172" s="45" t="e">
        <f t="shared" ref="J172:K172" si="142">J175/J178*100</f>
        <v>#DIV/0!</v>
      </c>
      <c r="K172" s="45" t="e">
        <f t="shared" si="142"/>
        <v>#DIV/0!</v>
      </c>
      <c r="L172" s="45" t="e">
        <f t="shared" ref="L172" si="143">L175/L178*100</f>
        <v>#DIV/0!</v>
      </c>
      <c r="M172" s="3"/>
      <c r="N172" s="45" t="e">
        <f t="shared" ref="N172" si="144">N175/N178*100</f>
        <v>#DIV/0!</v>
      </c>
      <c r="O172" s="45" t="e">
        <f t="shared" si="137"/>
        <v>#DIV/0!</v>
      </c>
      <c r="P172" s="45" t="e">
        <f t="shared" si="137"/>
        <v>#DIV/0!</v>
      </c>
      <c r="Q172" s="45" t="e">
        <f t="shared" ref="Q172" si="145">Q175/Q178*100</f>
        <v>#DIV/0!</v>
      </c>
      <c r="S172" s="45" t="e">
        <f t="shared" ref="S172" si="146">S175/S178*100</f>
        <v>#DIV/0!</v>
      </c>
      <c r="T172" s="45" t="e">
        <f t="shared" si="139"/>
        <v>#DIV/0!</v>
      </c>
      <c r="V172" s="45" t="e">
        <f t="shared" ref="V172:W172" si="147">V175/V178*100</f>
        <v>#DIV/0!</v>
      </c>
      <c r="W172" s="45" t="e">
        <f t="shared" si="147"/>
        <v>#DIV/0!</v>
      </c>
      <c r="Y172" s="45" t="e">
        <f t="shared" ref="Y172:Z172" si="148">Y175/Y178*100</f>
        <v>#DIV/0!</v>
      </c>
      <c r="Z172" s="45" t="e">
        <f t="shared" si="148"/>
        <v>#DIV/0!</v>
      </c>
    </row>
    <row r="173" spans="1:26" ht="60" x14ac:dyDescent="0.25">
      <c r="A173" s="6"/>
      <c r="B173" s="21" t="s">
        <v>685</v>
      </c>
      <c r="C173" s="6" t="s">
        <v>2917</v>
      </c>
      <c r="D173" s="6"/>
      <c r="E173" s="12"/>
      <c r="F173" s="12"/>
      <c r="G173" s="12"/>
      <c r="H173" s="12"/>
      <c r="I173" s="12"/>
      <c r="J173" s="12"/>
      <c r="K173" s="12"/>
      <c r="L173" s="12"/>
      <c r="M173" s="20"/>
    </row>
    <row r="174" spans="1:26" x14ac:dyDescent="0.25">
      <c r="A174" s="6"/>
      <c r="B174" s="21" t="s">
        <v>1182</v>
      </c>
      <c r="C174" s="6"/>
      <c r="D174" s="6" t="s">
        <v>950</v>
      </c>
      <c r="E174" s="12"/>
      <c r="F174" s="12"/>
      <c r="G174" s="12"/>
      <c r="H174" s="35">
        <f>412+746+287</f>
        <v>1445</v>
      </c>
      <c r="I174" s="35">
        <f>407+754+288</f>
        <v>1449</v>
      </c>
      <c r="J174" s="35">
        <f>436+757+288</f>
        <v>1481</v>
      </c>
      <c r="K174" s="35">
        <f>455+845+309</f>
        <v>1609</v>
      </c>
      <c r="L174" s="35">
        <v>1505</v>
      </c>
      <c r="M174" s="65"/>
      <c r="N174" s="241">
        <f>P174+S174+V174+Y174</f>
        <v>1609</v>
      </c>
      <c r="O174" s="241">
        <f>Q174+T174+W174+Z174</f>
        <v>1505</v>
      </c>
      <c r="P174">
        <v>455</v>
      </c>
      <c r="Q174">
        <v>435</v>
      </c>
      <c r="S174">
        <v>309</v>
      </c>
      <c r="T174">
        <v>304</v>
      </c>
      <c r="V174">
        <v>845</v>
      </c>
      <c r="W174">
        <v>766</v>
      </c>
      <c r="Y174" s="241">
        <v>0</v>
      </c>
      <c r="Z174" s="241">
        <v>0</v>
      </c>
    </row>
    <row r="175" spans="1:26" x14ac:dyDescent="0.25">
      <c r="A175" s="6"/>
      <c r="B175" s="21" t="s">
        <v>1184</v>
      </c>
      <c r="C175" s="6"/>
      <c r="D175" s="6" t="s">
        <v>950</v>
      </c>
      <c r="E175" s="12"/>
      <c r="F175" s="12"/>
      <c r="G175" s="12"/>
      <c r="H175" s="35">
        <v>0</v>
      </c>
      <c r="I175" s="35">
        <v>0</v>
      </c>
      <c r="J175" s="35">
        <v>0</v>
      </c>
      <c r="K175" s="35">
        <v>0</v>
      </c>
      <c r="L175" s="35">
        <v>0</v>
      </c>
      <c r="M175" s="20"/>
      <c r="N175" s="241">
        <f>P175+S175+V175+Y175</f>
        <v>0</v>
      </c>
      <c r="O175" s="241">
        <f>Q175+T175+W175+Z175</f>
        <v>0</v>
      </c>
      <c r="P175">
        <v>0</v>
      </c>
      <c r="Q175">
        <v>0</v>
      </c>
      <c r="S175">
        <v>0</v>
      </c>
      <c r="T175">
        <v>0</v>
      </c>
      <c r="V175">
        <v>0</v>
      </c>
      <c r="W175">
        <v>0</v>
      </c>
      <c r="Y175" s="241">
        <v>0</v>
      </c>
      <c r="Z175" s="241">
        <v>0</v>
      </c>
    </row>
    <row r="176" spans="1:26" ht="45" x14ac:dyDescent="0.25">
      <c r="A176" s="6"/>
      <c r="B176" s="21" t="s">
        <v>686</v>
      </c>
      <c r="C176" s="6" t="s">
        <v>2918</v>
      </c>
      <c r="D176" s="6"/>
      <c r="E176" s="12"/>
      <c r="F176" s="12"/>
      <c r="G176" s="12"/>
      <c r="H176" s="35"/>
      <c r="I176" s="35"/>
      <c r="J176" s="35"/>
      <c r="K176" s="35"/>
      <c r="L176" s="35"/>
    </row>
    <row r="177" spans="1:26" x14ac:dyDescent="0.25">
      <c r="A177" s="6"/>
      <c r="B177" s="21" t="s">
        <v>1182</v>
      </c>
      <c r="C177" s="6"/>
      <c r="D177" s="6" t="s">
        <v>950</v>
      </c>
      <c r="E177" s="12"/>
      <c r="F177" s="12"/>
      <c r="G177" s="12"/>
      <c r="H177" s="35">
        <f>412+932+372</f>
        <v>1716</v>
      </c>
      <c r="I177" s="35">
        <f>407+959+400</f>
        <v>1766</v>
      </c>
      <c r="J177" s="35">
        <f>436+967+377</f>
        <v>1780</v>
      </c>
      <c r="K177" s="35">
        <f>455+1059+418</f>
        <v>1932</v>
      </c>
      <c r="L177" s="35">
        <v>1989</v>
      </c>
      <c r="N177" s="241">
        <f>P177+S177+V177+Y177</f>
        <v>1932</v>
      </c>
      <c r="O177" s="241">
        <f>Q177+T177+W177+Z177</f>
        <v>1989</v>
      </c>
      <c r="P177">
        <v>455</v>
      </c>
      <c r="Q177">
        <v>435</v>
      </c>
      <c r="S177">
        <v>418</v>
      </c>
      <c r="T177">
        <v>474</v>
      </c>
      <c r="V177">
        <v>1059</v>
      </c>
      <c r="W177">
        <v>1080</v>
      </c>
      <c r="Y177" s="241">
        <v>0</v>
      </c>
      <c r="Z177" s="241">
        <v>0</v>
      </c>
    </row>
    <row r="178" spans="1:26" x14ac:dyDescent="0.25">
      <c r="A178" s="6"/>
      <c r="B178" s="21" t="s">
        <v>1184</v>
      </c>
      <c r="C178" s="6"/>
      <c r="D178" s="6" t="s">
        <v>950</v>
      </c>
      <c r="E178" s="12"/>
      <c r="F178" s="12"/>
      <c r="G178" s="12"/>
      <c r="H178" s="35">
        <v>0</v>
      </c>
      <c r="I178" s="35">
        <v>0</v>
      </c>
      <c r="J178" s="35">
        <v>0</v>
      </c>
      <c r="K178" s="35">
        <v>0</v>
      </c>
      <c r="L178" s="35">
        <v>0</v>
      </c>
      <c r="N178" s="241">
        <f>P178+S178+V178+Y178</f>
        <v>0</v>
      </c>
      <c r="O178" s="241">
        <f>Q178+T178+W178+Z178</f>
        <v>0</v>
      </c>
      <c r="P178" s="241">
        <v>0</v>
      </c>
      <c r="Q178" s="241">
        <v>0</v>
      </c>
      <c r="R178" s="241"/>
      <c r="S178" s="241">
        <v>0</v>
      </c>
      <c r="T178" s="241">
        <v>0</v>
      </c>
      <c r="U178" s="241"/>
      <c r="V178" s="241">
        <v>0</v>
      </c>
      <c r="W178" s="241">
        <v>0</v>
      </c>
      <c r="Y178" s="241">
        <v>0</v>
      </c>
      <c r="Z178" s="241">
        <v>0</v>
      </c>
    </row>
    <row r="179" spans="1:26" ht="60" x14ac:dyDescent="0.25">
      <c r="A179" s="42" t="s">
        <v>55</v>
      </c>
      <c r="B179" s="46" t="s">
        <v>1943</v>
      </c>
      <c r="C179" s="44"/>
      <c r="D179" s="42"/>
      <c r="E179" s="50"/>
      <c r="F179" s="50"/>
      <c r="G179" s="50"/>
      <c r="H179" s="50"/>
      <c r="I179" s="50"/>
      <c r="J179" s="50"/>
      <c r="K179" s="50"/>
      <c r="L179" s="50"/>
      <c r="M179" s="3" t="s">
        <v>281</v>
      </c>
    </row>
    <row r="180" spans="1:26" x14ac:dyDescent="0.25">
      <c r="A180" s="42"/>
      <c r="B180" s="43" t="s">
        <v>1182</v>
      </c>
      <c r="C180" s="44"/>
      <c r="D180" s="42" t="s">
        <v>8</v>
      </c>
      <c r="E180" s="45">
        <v>76.84</v>
      </c>
      <c r="F180" s="45">
        <v>73.680000000000007</v>
      </c>
      <c r="G180" s="45">
        <v>79.180000000000007</v>
      </c>
      <c r="H180" s="45">
        <f>H183/(H186*200/1000)*100</f>
        <v>66.220170754517753</v>
      </c>
      <c r="I180" s="45">
        <v>1.06</v>
      </c>
      <c r="J180" s="45">
        <f t="shared" ref="J180:L181" si="149">(J183/(J186*200/1000))*100</f>
        <v>76.975448444512367</v>
      </c>
      <c r="K180" s="45">
        <f>(K183/(K186*200/1000))*100</f>
        <v>27.297036825888064</v>
      </c>
      <c r="L180" s="45">
        <f>(L183/(L186*200/1000))*100</f>
        <v>64.581102034944124</v>
      </c>
      <c r="M180" s="3"/>
      <c r="N180" s="45">
        <f>(N183/(N186*200/1000))*100</f>
        <v>27.297036825888064</v>
      </c>
      <c r="O180" s="45">
        <f>(O183/(O186*200/1000))*100</f>
        <v>64.581102034944124</v>
      </c>
      <c r="P180" s="45">
        <f>(P183/(P186*200/1000))*100</f>
        <v>76.034063260340631</v>
      </c>
      <c r="Q180" s="45">
        <f>(Q183/(Q186*200/1000))*100</f>
        <v>143.43086632243259</v>
      </c>
      <c r="S180" s="45">
        <f>(S183/(S186*200/1000))*100</f>
        <v>0</v>
      </c>
      <c r="T180" s="45">
        <f>(T183/(T186*200/1000))*100</f>
        <v>0</v>
      </c>
      <c r="V180" s="45">
        <f>(V183/(V186*200/1000))*100</f>
        <v>26.564145776279759</v>
      </c>
      <c r="W180" s="45">
        <f>(W183/(W186*200/1000))*100</f>
        <v>78.082354337249313</v>
      </c>
      <c r="Y180" s="45" t="e">
        <f>(Y183/(Y186*200/1000))*100</f>
        <v>#DIV/0!</v>
      </c>
      <c r="Z180" s="45" t="e">
        <f>(Z183/(Z186*200/1000))*100</f>
        <v>#DIV/0!</v>
      </c>
    </row>
    <row r="181" spans="1:26" x14ac:dyDescent="0.25">
      <c r="A181" s="42"/>
      <c r="B181" s="43" t="s">
        <v>1184</v>
      </c>
      <c r="C181" s="44"/>
      <c r="D181" s="42" t="s">
        <v>8</v>
      </c>
      <c r="E181" s="45">
        <v>831.3</v>
      </c>
      <c r="F181" s="45">
        <v>1056.19</v>
      </c>
      <c r="G181" s="45">
        <v>688.11</v>
      </c>
      <c r="H181" s="45">
        <v>2222.2199999999998</v>
      </c>
      <c r="I181" s="45">
        <v>0</v>
      </c>
      <c r="J181" s="45" t="e">
        <f t="shared" si="149"/>
        <v>#DIV/0!</v>
      </c>
      <c r="K181" s="45">
        <f t="shared" si="149"/>
        <v>1194.7427983539094</v>
      </c>
      <c r="L181" s="45">
        <f t="shared" si="149"/>
        <v>0</v>
      </c>
      <c r="M181" s="3"/>
      <c r="N181" s="45">
        <f t="shared" ref="N181:O181" si="150">(N184/(N187*200/1000))*100</f>
        <v>1194.7427983539094</v>
      </c>
      <c r="O181" s="45">
        <f t="shared" si="150"/>
        <v>0</v>
      </c>
      <c r="P181" s="45" t="e">
        <f t="shared" ref="P181:Q181" si="151">(P184/(P187*200/1000))*100</f>
        <v>#DIV/0!</v>
      </c>
      <c r="Q181" s="45" t="e">
        <f t="shared" si="151"/>
        <v>#DIV/0!</v>
      </c>
      <c r="S181" s="45" t="e">
        <f t="shared" ref="S181:T181" si="152">(S184/(S187*200/1000))*100</f>
        <v>#DIV/0!</v>
      </c>
      <c r="T181" s="45" t="e">
        <f t="shared" si="152"/>
        <v>#DIV/0!</v>
      </c>
      <c r="V181" s="45" t="e">
        <f t="shared" ref="V181:W181" si="153">(V184/(V187*200/1000))*100</f>
        <v>#DIV/0!</v>
      </c>
      <c r="W181" s="45" t="e">
        <f t="shared" si="153"/>
        <v>#DIV/0!</v>
      </c>
      <c r="Y181" s="45">
        <f t="shared" ref="Y181:Z181" si="154">(Y184/(Y187*200/1000))*100</f>
        <v>1194.7427983539094</v>
      </c>
      <c r="Z181" s="45">
        <f t="shared" si="154"/>
        <v>0</v>
      </c>
    </row>
    <row r="182" spans="1:26" ht="75" x14ac:dyDescent="0.25">
      <c r="A182" s="6"/>
      <c r="B182" s="21" t="s">
        <v>688</v>
      </c>
      <c r="C182" s="6" t="s">
        <v>1989</v>
      </c>
      <c r="D182" s="6"/>
      <c r="E182" s="12"/>
      <c r="F182" s="12"/>
      <c r="G182" s="12"/>
      <c r="H182" s="12"/>
      <c r="I182" s="12"/>
      <c r="J182" s="12"/>
      <c r="K182" s="12"/>
      <c r="L182" s="12"/>
      <c r="M182" s="71"/>
    </row>
    <row r="183" spans="1:26" x14ac:dyDescent="0.25">
      <c r="A183" s="6"/>
      <c r="B183" s="21" t="s">
        <v>1182</v>
      </c>
      <c r="C183" s="6"/>
      <c r="D183" s="6" t="s">
        <v>1158</v>
      </c>
      <c r="E183" s="12"/>
      <c r="F183" s="12"/>
      <c r="G183" s="12"/>
      <c r="H183" s="12">
        <f>0+496+382</f>
        <v>878</v>
      </c>
      <c r="I183" s="12">
        <f>150+496+0</f>
        <v>646</v>
      </c>
      <c r="J183" s="12">
        <f>150+576+382</f>
        <v>1108</v>
      </c>
      <c r="K183" s="9">
        <v>402.2</v>
      </c>
      <c r="L183" s="9">
        <v>808</v>
      </c>
      <c r="M183" s="71"/>
      <c r="N183" s="241">
        <f>P183+S183+V183+Y183</f>
        <v>402.2</v>
      </c>
      <c r="O183" s="241">
        <f>Q183+T183+W183+Z183</f>
        <v>808</v>
      </c>
      <c r="P183">
        <v>150</v>
      </c>
      <c r="Q183">
        <v>150</v>
      </c>
      <c r="S183">
        <v>0</v>
      </c>
      <c r="T183">
        <v>0</v>
      </c>
      <c r="V183">
        <v>252.2</v>
      </c>
      <c r="W183">
        <v>658</v>
      </c>
      <c r="Y183" s="241">
        <v>0</v>
      </c>
      <c r="Z183" s="241">
        <v>0</v>
      </c>
    </row>
    <row r="184" spans="1:26" x14ac:dyDescent="0.25">
      <c r="A184" s="6"/>
      <c r="B184" s="21" t="s">
        <v>1184</v>
      </c>
      <c r="C184" s="6"/>
      <c r="D184" s="6" t="s">
        <v>1158</v>
      </c>
      <c r="E184" s="12"/>
      <c r="F184" s="12"/>
      <c r="G184" s="12"/>
      <c r="H184" s="12">
        <v>250</v>
      </c>
      <c r="I184" s="12">
        <v>50</v>
      </c>
      <c r="J184" s="12">
        <v>0</v>
      </c>
      <c r="K184" s="9">
        <v>58.064500000000002</v>
      </c>
      <c r="L184" s="12">
        <v>0</v>
      </c>
      <c r="M184" s="71"/>
      <c r="N184" s="147">
        <f>P184+S184+V184+Y184</f>
        <v>58.064500000000002</v>
      </c>
      <c r="O184" s="241">
        <f>Q184+T184+W184+Z184</f>
        <v>0</v>
      </c>
      <c r="P184">
        <v>0</v>
      </c>
      <c r="Q184">
        <v>0</v>
      </c>
      <c r="S184">
        <v>0</v>
      </c>
      <c r="T184">
        <v>0</v>
      </c>
      <c r="V184">
        <v>0</v>
      </c>
      <c r="W184">
        <v>0</v>
      </c>
      <c r="Y184" s="147">
        <v>58.064500000000002</v>
      </c>
      <c r="Z184" s="241">
        <v>0</v>
      </c>
    </row>
    <row r="185" spans="1:26" ht="45" x14ac:dyDescent="0.25">
      <c r="A185" s="6"/>
      <c r="B185" s="21" t="s">
        <v>689</v>
      </c>
      <c r="C185" s="6" t="s">
        <v>1990</v>
      </c>
      <c r="D185" s="6"/>
      <c r="E185" s="12"/>
      <c r="F185" s="12"/>
      <c r="G185" s="12"/>
      <c r="H185" s="12"/>
      <c r="I185" s="12"/>
      <c r="J185" s="12"/>
      <c r="K185" s="12"/>
      <c r="L185" s="12"/>
      <c r="M185" s="3"/>
    </row>
    <row r="186" spans="1:26" x14ac:dyDescent="0.25">
      <c r="A186" s="6"/>
      <c r="B186" s="21" t="s">
        <v>1182</v>
      </c>
      <c r="C186" s="6"/>
      <c r="D186" s="6" t="s">
        <v>950</v>
      </c>
      <c r="E186" s="12"/>
      <c r="F186" s="12"/>
      <c r="G186" s="12"/>
      <c r="H186" s="9">
        <f>442+4321.4+1866</f>
        <v>6629.4</v>
      </c>
      <c r="I186" s="9">
        <f>514.6+6472+2600</f>
        <v>9586.6</v>
      </c>
      <c r="J186" s="12">
        <f>1942+4342+453.2+459.9</f>
        <v>7197.0999999999995</v>
      </c>
      <c r="K186" s="9">
        <f>522.9+463.5+1633.7+4381.6+365.4</f>
        <v>7367.1</v>
      </c>
      <c r="L186" s="9">
        <v>6255.7</v>
      </c>
      <c r="M186" s="3"/>
      <c r="N186" s="241">
        <f>P186+S186+V186+Y186</f>
        <v>7367.1</v>
      </c>
      <c r="O186" s="241">
        <f>Q186+T186+W186+Z186</f>
        <v>6255.7</v>
      </c>
      <c r="P186">
        <f>522.9+463.5</f>
        <v>986.4</v>
      </c>
      <c r="Q186">
        <v>522.9</v>
      </c>
      <c r="S186">
        <v>1633.7</v>
      </c>
      <c r="T186">
        <v>1519.3</v>
      </c>
      <c r="V186">
        <f>4381.6+365.4</f>
        <v>4747</v>
      </c>
      <c r="W186">
        <v>4213.5</v>
      </c>
      <c r="Y186" s="241">
        <v>0</v>
      </c>
      <c r="Z186" s="241">
        <v>0</v>
      </c>
    </row>
    <row r="187" spans="1:26" x14ac:dyDescent="0.25">
      <c r="A187" s="6"/>
      <c r="B187" s="21" t="s">
        <v>1184</v>
      </c>
      <c r="C187" s="6"/>
      <c r="D187" s="6" t="s">
        <v>950</v>
      </c>
      <c r="E187" s="12"/>
      <c r="F187" s="12"/>
      <c r="G187" s="12"/>
      <c r="H187" s="9">
        <v>261.8</v>
      </c>
      <c r="I187" s="9">
        <v>59.9</v>
      </c>
      <c r="J187" s="9">
        <v>0</v>
      </c>
      <c r="K187" s="9">
        <v>24.3</v>
      </c>
      <c r="L187" s="9">
        <v>11.7</v>
      </c>
      <c r="M187" s="3"/>
      <c r="N187" s="241">
        <f>P187+S187+V187+Y187</f>
        <v>24.3</v>
      </c>
      <c r="O187" s="241">
        <f>Q187+T187+W187+Z187</f>
        <v>11.7</v>
      </c>
      <c r="P187" s="241">
        <v>0</v>
      </c>
      <c r="Q187" s="241">
        <v>0</v>
      </c>
      <c r="R187" s="241"/>
      <c r="S187" s="241">
        <v>0</v>
      </c>
      <c r="T187" s="241">
        <v>0</v>
      </c>
      <c r="U187" s="241"/>
      <c r="V187" s="241">
        <v>0</v>
      </c>
      <c r="W187" s="241">
        <v>0</v>
      </c>
      <c r="Y187" s="241">
        <v>24.3</v>
      </c>
      <c r="Z187" s="241">
        <v>11.7</v>
      </c>
    </row>
    <row r="188" spans="1:26" ht="60" x14ac:dyDescent="0.25">
      <c r="A188" s="42" t="s">
        <v>67</v>
      </c>
      <c r="B188" s="43" t="s">
        <v>690</v>
      </c>
      <c r="C188" s="44"/>
      <c r="D188" s="42"/>
      <c r="E188" s="50"/>
      <c r="F188" s="50"/>
      <c r="G188" s="50"/>
      <c r="H188" s="50"/>
      <c r="I188" s="50"/>
      <c r="J188" s="50"/>
      <c r="K188" s="50"/>
      <c r="L188" s="50"/>
      <c r="M188" s="3" t="s">
        <v>281</v>
      </c>
    </row>
    <row r="189" spans="1:26" x14ac:dyDescent="0.25">
      <c r="A189" s="54"/>
      <c r="B189" s="43" t="s">
        <v>180</v>
      </c>
      <c r="C189" s="44"/>
      <c r="D189" s="42"/>
      <c r="E189" s="50"/>
      <c r="F189" s="50"/>
      <c r="G189" s="50"/>
      <c r="H189" s="50"/>
      <c r="I189" s="50"/>
      <c r="J189" s="50"/>
      <c r="K189" s="50"/>
      <c r="L189" s="50"/>
      <c r="M189" s="3"/>
    </row>
    <row r="190" spans="1:26" x14ac:dyDescent="0.25">
      <c r="A190" s="54"/>
      <c r="B190" s="43" t="s">
        <v>1182</v>
      </c>
      <c r="C190" s="44"/>
      <c r="D190" s="42" t="s">
        <v>1112</v>
      </c>
      <c r="E190" s="45">
        <v>20.77</v>
      </c>
      <c r="F190" s="45">
        <v>21.61</v>
      </c>
      <c r="G190" s="45">
        <v>27.88</v>
      </c>
      <c r="H190" s="45">
        <f>H196/H202*100</f>
        <v>29.032236924024669</v>
      </c>
      <c r="I190" s="45">
        <f>I196/I202*100</f>
        <v>30.079887981797043</v>
      </c>
      <c r="J190" s="45">
        <f>J196/J202*100</f>
        <v>28.305641229728383</v>
      </c>
      <c r="K190" s="45">
        <f>K196/K202*100</f>
        <v>31.660380475181015</v>
      </c>
      <c r="L190" s="45">
        <f>L196/L202*100</f>
        <v>32.374509333703571</v>
      </c>
      <c r="N190" s="45">
        <f t="shared" ref="N190:Q191" si="155">N196/N202*100</f>
        <v>31.660380475181015</v>
      </c>
      <c r="O190" s="45">
        <f t="shared" si="155"/>
        <v>32.374509333703571</v>
      </c>
      <c r="P190" s="45">
        <f t="shared" si="155"/>
        <v>62.134251290877799</v>
      </c>
      <c r="Q190" s="45">
        <f t="shared" si="155"/>
        <v>34.058656575212865</v>
      </c>
      <c r="S190" s="45">
        <f>S196/S202*100</f>
        <v>22.752313794623181</v>
      </c>
      <c r="T190" s="45">
        <f>T196/T202*100</f>
        <v>25.472424619394584</v>
      </c>
      <c r="V190" s="45">
        <f>V196/V202*100</f>
        <v>31.345000410812592</v>
      </c>
      <c r="W190" s="45">
        <f>W196/W202*100</f>
        <v>34.280968751207077</v>
      </c>
      <c r="Y190" s="45" t="e">
        <f>Y196/Y202*100</f>
        <v>#DIV/0!</v>
      </c>
      <c r="Z190" s="45" t="e">
        <f>Z196/Z202*100</f>
        <v>#DIV/0!</v>
      </c>
    </row>
    <row r="191" spans="1:26" x14ac:dyDescent="0.25">
      <c r="A191" s="54"/>
      <c r="B191" s="43" t="s">
        <v>1184</v>
      </c>
      <c r="C191" s="44"/>
      <c r="D191" s="42" t="s">
        <v>1112</v>
      </c>
      <c r="E191" s="45">
        <v>55.63</v>
      </c>
      <c r="F191" s="45">
        <v>68.38</v>
      </c>
      <c r="G191" s="45">
        <v>76.81</v>
      </c>
      <c r="H191" s="45">
        <v>257.69</v>
      </c>
      <c r="I191" s="45">
        <f>I197/I203*100</f>
        <v>213.17003216929575</v>
      </c>
      <c r="J191" s="45" t="e">
        <f>J197/J203*100</f>
        <v>#DIV/0!</v>
      </c>
      <c r="K191" s="45">
        <f>K197/K203*100</f>
        <v>81.180811808118079</v>
      </c>
      <c r="L191" s="45">
        <f>L197/L203*100</f>
        <v>30.534351145038169</v>
      </c>
      <c r="N191" s="45">
        <f t="shared" si="155"/>
        <v>81.180811808118079</v>
      </c>
      <c r="O191" s="45">
        <f t="shared" si="155"/>
        <v>30.534351145038169</v>
      </c>
      <c r="P191" s="45" t="e">
        <f t="shared" si="155"/>
        <v>#DIV/0!</v>
      </c>
      <c r="Q191" s="45" t="e">
        <f t="shared" si="155"/>
        <v>#DIV/0!</v>
      </c>
      <c r="S191" s="45" t="e">
        <f>S197/S203*100</f>
        <v>#DIV/0!</v>
      </c>
      <c r="T191" s="45" t="e">
        <f>T197/T203*100</f>
        <v>#DIV/0!</v>
      </c>
      <c r="V191" s="45" t="e">
        <f>V197/V203*100</f>
        <v>#DIV/0!</v>
      </c>
      <c r="W191" s="45" t="e">
        <f>W197/W203*100</f>
        <v>#DIV/0!</v>
      </c>
      <c r="Y191" s="45">
        <f>Y197/Y203*100</f>
        <v>81.180811808118079</v>
      </c>
      <c r="Z191" s="45">
        <f>Z197/Z203*100</f>
        <v>30.534351145038169</v>
      </c>
    </row>
    <row r="192" spans="1:26" x14ac:dyDescent="0.25">
      <c r="A192" s="54"/>
      <c r="B192" s="43" t="s">
        <v>218</v>
      </c>
      <c r="C192" s="44"/>
      <c r="D192" s="42"/>
      <c r="E192" s="50"/>
      <c r="F192" s="50"/>
      <c r="G192" s="50"/>
      <c r="H192" s="50"/>
      <c r="I192" s="50"/>
      <c r="J192" s="50"/>
      <c r="K192" s="50"/>
      <c r="L192" s="50"/>
      <c r="N192" s="50"/>
      <c r="O192" s="50"/>
      <c r="P192" s="50"/>
      <c r="Q192" s="50"/>
      <c r="S192" s="50"/>
      <c r="T192" s="50"/>
      <c r="V192" s="50"/>
      <c r="W192" s="50"/>
      <c r="Y192" s="50"/>
      <c r="Z192" s="50"/>
    </row>
    <row r="193" spans="1:26" x14ac:dyDescent="0.25">
      <c r="A193" s="54"/>
      <c r="B193" s="43" t="s">
        <v>1182</v>
      </c>
      <c r="C193" s="44"/>
      <c r="D193" s="42" t="s">
        <v>1112</v>
      </c>
      <c r="E193" s="45">
        <v>17.21</v>
      </c>
      <c r="F193" s="45">
        <v>17.989999999999998</v>
      </c>
      <c r="G193" s="45">
        <v>24.01</v>
      </c>
      <c r="H193" s="45">
        <f>H199/H202*100</f>
        <v>25.37535471102111</v>
      </c>
      <c r="I193" s="45">
        <f>I199/I202*100</f>
        <v>26.72934351832173</v>
      </c>
      <c r="J193" s="45">
        <f>J199/J202*100</f>
        <v>26.067058004178691</v>
      </c>
      <c r="K193" s="45">
        <f>K199/K202*100</f>
        <v>28.576934724554693</v>
      </c>
      <c r="L193" s="45">
        <f>L199/L202*100</f>
        <v>29.723964709891582</v>
      </c>
      <c r="N193" s="45">
        <f t="shared" ref="N193:Q194" si="156">N199/N202*100</f>
        <v>28.576934724554693</v>
      </c>
      <c r="O193" s="45">
        <f t="shared" si="156"/>
        <v>29.723964709891582</v>
      </c>
      <c r="P193" s="45">
        <f t="shared" si="156"/>
        <v>23.580034423407916</v>
      </c>
      <c r="Q193" s="45">
        <f t="shared" si="156"/>
        <v>14.191106906338694</v>
      </c>
      <c r="S193" s="45">
        <f>S199/S202*100</f>
        <v>22.752313794623181</v>
      </c>
      <c r="T193" s="45">
        <f>T199/T202*100</f>
        <v>25.472424619394584</v>
      </c>
      <c r="V193" s="45">
        <f>V199/V202*100</f>
        <v>31.345000410812592</v>
      </c>
      <c r="W193" s="45">
        <f>W199/W202*100</f>
        <v>34.280968751207077</v>
      </c>
      <c r="Y193" s="45" t="e">
        <f>Y199/Y202*100</f>
        <v>#DIV/0!</v>
      </c>
      <c r="Z193" s="45" t="e">
        <f>Z199/Z202*100</f>
        <v>#DIV/0!</v>
      </c>
    </row>
    <row r="194" spans="1:26" x14ac:dyDescent="0.25">
      <c r="A194" s="54"/>
      <c r="B194" s="43" t="s">
        <v>1184</v>
      </c>
      <c r="C194" s="44"/>
      <c r="D194" s="42" t="s">
        <v>1112</v>
      </c>
      <c r="E194" s="45">
        <v>55.63</v>
      </c>
      <c r="F194" s="45">
        <v>68.38</v>
      </c>
      <c r="G194" s="45">
        <v>76.33</v>
      </c>
      <c r="H194" s="45">
        <v>257.69</v>
      </c>
      <c r="I194" s="45">
        <f>I200/I203*100</f>
        <v>213.17003216929575</v>
      </c>
      <c r="J194" s="45" t="e">
        <f>J200/J203*100</f>
        <v>#DIV/0!</v>
      </c>
      <c r="K194" s="45">
        <f>K200/K203*100</f>
        <v>81.180811808118079</v>
      </c>
      <c r="L194" s="45">
        <f>L200/L203*100</f>
        <v>30.534351145038169</v>
      </c>
      <c r="N194" s="45">
        <f t="shared" si="156"/>
        <v>81.180811808118079</v>
      </c>
      <c r="O194" s="45">
        <f t="shared" si="156"/>
        <v>30.534351145038169</v>
      </c>
      <c r="P194" s="45" t="e">
        <f t="shared" si="156"/>
        <v>#DIV/0!</v>
      </c>
      <c r="Q194" s="45" t="e">
        <f t="shared" si="156"/>
        <v>#DIV/0!</v>
      </c>
      <c r="S194" s="45" t="e">
        <f>S200/S203*100</f>
        <v>#DIV/0!</v>
      </c>
      <c r="T194" s="45" t="e">
        <f>T200/T203*100</f>
        <v>#DIV/0!</v>
      </c>
      <c r="V194" s="45" t="e">
        <f>V200/V203*100</f>
        <v>#DIV/0!</v>
      </c>
      <c r="W194" s="45" t="e">
        <f>W200/W203*100</f>
        <v>#DIV/0!</v>
      </c>
      <c r="Y194" s="45">
        <f>Y200/Y203*100</f>
        <v>81.180811808118079</v>
      </c>
      <c r="Z194" s="45">
        <f>Z200/Z203*100</f>
        <v>30.534351145038169</v>
      </c>
    </row>
    <row r="195" spans="1:26" ht="45" x14ac:dyDescent="0.25">
      <c r="A195" s="23"/>
      <c r="B195" s="21" t="s">
        <v>692</v>
      </c>
      <c r="C195" s="6" t="s">
        <v>693</v>
      </c>
      <c r="D195" s="6"/>
      <c r="E195" s="12"/>
      <c r="F195" s="12"/>
      <c r="G195" s="12"/>
      <c r="H195" s="12"/>
      <c r="I195" s="12"/>
      <c r="J195" s="12"/>
      <c r="K195" s="12"/>
      <c r="L195" s="12"/>
    </row>
    <row r="196" spans="1:26" x14ac:dyDescent="0.25">
      <c r="A196" s="23"/>
      <c r="B196" s="21" t="s">
        <v>1182</v>
      </c>
      <c r="C196" s="6"/>
      <c r="D196" s="6" t="s">
        <v>1112</v>
      </c>
      <c r="E196" s="12"/>
      <c r="F196" s="12"/>
      <c r="G196" s="12"/>
      <c r="H196" s="35">
        <f>418+1374+423</f>
        <v>2215</v>
      </c>
      <c r="I196" s="35">
        <f>418+1526+462</f>
        <v>2406</v>
      </c>
      <c r="J196" s="35">
        <f>348+1526+402</f>
        <v>2276</v>
      </c>
      <c r="K196" s="35">
        <f>361+1526+413</f>
        <v>2300</v>
      </c>
      <c r="L196" s="35">
        <v>2565</v>
      </c>
      <c r="N196" s="241">
        <f>P196+S196+V196+Y196</f>
        <v>2300</v>
      </c>
      <c r="O196" s="241">
        <f>Q196+T196+W196+Z196</f>
        <v>2565</v>
      </c>
      <c r="P196">
        <v>361</v>
      </c>
      <c r="Q196">
        <v>360</v>
      </c>
      <c r="S196">
        <v>413</v>
      </c>
      <c r="T196">
        <v>430</v>
      </c>
      <c r="V196">
        <v>1526</v>
      </c>
      <c r="W196">
        <v>1775</v>
      </c>
      <c r="Y196" s="241">
        <v>0</v>
      </c>
      <c r="Z196" s="241">
        <v>0</v>
      </c>
    </row>
    <row r="197" spans="1:26" x14ac:dyDescent="0.25">
      <c r="A197" s="23"/>
      <c r="B197" s="21" t="s">
        <v>1184</v>
      </c>
      <c r="C197" s="6"/>
      <c r="D197" s="6" t="s">
        <v>1112</v>
      </c>
      <c r="E197" s="12"/>
      <c r="F197" s="12"/>
      <c r="G197" s="12"/>
      <c r="H197" s="35">
        <f>40+68</f>
        <v>108</v>
      </c>
      <c r="I197" s="35">
        <f>46+9</f>
        <v>55</v>
      </c>
      <c r="J197" s="35">
        <v>0</v>
      </c>
      <c r="K197" s="35">
        <v>22</v>
      </c>
      <c r="L197" s="35">
        <v>12</v>
      </c>
      <c r="N197" s="241">
        <f>P197+S197+V197+Y197</f>
        <v>22</v>
      </c>
      <c r="O197" s="241">
        <f>Q197+T197+W197+Z197</f>
        <v>12</v>
      </c>
      <c r="P197">
        <v>0</v>
      </c>
      <c r="Q197">
        <v>0</v>
      </c>
      <c r="S197">
        <v>0</v>
      </c>
      <c r="T197">
        <v>0</v>
      </c>
      <c r="V197">
        <v>0</v>
      </c>
      <c r="W197">
        <v>0</v>
      </c>
      <c r="Y197" s="241">
        <v>22</v>
      </c>
      <c r="Z197" s="241">
        <v>12</v>
      </c>
    </row>
    <row r="198" spans="1:26" ht="60" x14ac:dyDescent="0.25">
      <c r="A198" s="23"/>
      <c r="B198" s="21" t="s">
        <v>694</v>
      </c>
      <c r="C198" s="6" t="s">
        <v>695</v>
      </c>
      <c r="D198" s="6"/>
      <c r="E198" s="12"/>
      <c r="F198" s="12"/>
      <c r="G198" s="12"/>
      <c r="H198" s="35"/>
      <c r="I198" s="35"/>
      <c r="J198" s="35"/>
      <c r="K198" s="35"/>
      <c r="L198" s="35"/>
    </row>
    <row r="199" spans="1:26" x14ac:dyDescent="0.25">
      <c r="A199" s="23"/>
      <c r="B199" s="21" t="s">
        <v>1182</v>
      </c>
      <c r="C199" s="6"/>
      <c r="D199" s="6" t="s">
        <v>1112</v>
      </c>
      <c r="E199" s="12"/>
      <c r="F199" s="12"/>
      <c r="G199" s="12"/>
      <c r="H199" s="35">
        <f>150+1374+412</f>
        <v>1936</v>
      </c>
      <c r="I199" s="35">
        <f>150+1526+462</f>
        <v>2138</v>
      </c>
      <c r="J199" s="35">
        <f>168+1526+402</f>
        <v>2096</v>
      </c>
      <c r="K199" s="35">
        <f>137+1526+413</f>
        <v>2076</v>
      </c>
      <c r="L199" s="35">
        <v>2355</v>
      </c>
      <c r="N199" s="241">
        <f>P199+S199+V199+Y199</f>
        <v>2076</v>
      </c>
      <c r="O199" s="241">
        <f>Q199+T199+W199+Z199</f>
        <v>2355</v>
      </c>
      <c r="P199">
        <v>137</v>
      </c>
      <c r="Q199">
        <v>150</v>
      </c>
      <c r="S199">
        <v>413</v>
      </c>
      <c r="T199">
        <v>430</v>
      </c>
      <c r="V199">
        <v>1526</v>
      </c>
      <c r="W199">
        <v>1775</v>
      </c>
      <c r="Y199" s="241">
        <v>0</v>
      </c>
      <c r="Z199" s="241">
        <v>0</v>
      </c>
    </row>
    <row r="200" spans="1:26" x14ac:dyDescent="0.25">
      <c r="A200" s="23"/>
      <c r="B200" s="21" t="s">
        <v>1184</v>
      </c>
      <c r="C200" s="6"/>
      <c r="D200" s="6" t="s">
        <v>1112</v>
      </c>
      <c r="E200" s="12"/>
      <c r="F200" s="12"/>
      <c r="G200" s="12"/>
      <c r="H200" s="35">
        <f>40+68</f>
        <v>108</v>
      </c>
      <c r="I200" s="35">
        <f>46+9</f>
        <v>55</v>
      </c>
      <c r="J200" s="35">
        <v>0</v>
      </c>
      <c r="K200" s="35">
        <v>22</v>
      </c>
      <c r="L200" s="35">
        <v>12</v>
      </c>
      <c r="N200" s="241">
        <f>P200+S200+V200+Y200</f>
        <v>22</v>
      </c>
      <c r="O200" s="241">
        <f>Q200+T200+W200+Z200</f>
        <v>12</v>
      </c>
      <c r="P200" s="241">
        <v>0</v>
      </c>
      <c r="Q200" s="241">
        <v>0</v>
      </c>
      <c r="R200" s="241"/>
      <c r="S200" s="241">
        <v>0</v>
      </c>
      <c r="T200" s="241">
        <v>0</v>
      </c>
      <c r="U200" s="241"/>
      <c r="V200" s="241">
        <v>0</v>
      </c>
      <c r="W200" s="241">
        <v>0</v>
      </c>
      <c r="Y200" s="241">
        <v>22</v>
      </c>
      <c r="Z200" s="241">
        <v>12</v>
      </c>
    </row>
    <row r="201" spans="1:26" ht="45" x14ac:dyDescent="0.25">
      <c r="A201" s="23"/>
      <c r="B201" s="21" t="s">
        <v>696</v>
      </c>
      <c r="C201" s="6" t="s">
        <v>2458</v>
      </c>
      <c r="D201" s="6"/>
      <c r="E201" s="12"/>
      <c r="F201" s="12"/>
      <c r="G201" s="12"/>
      <c r="H201" s="35"/>
      <c r="I201" s="35"/>
      <c r="J201" s="35"/>
      <c r="K201" s="35"/>
      <c r="L201" s="35"/>
      <c r="M201" s="20"/>
      <c r="N201" s="20"/>
    </row>
    <row r="202" spans="1:26" x14ac:dyDescent="0.25">
      <c r="A202" s="23"/>
      <c r="B202" s="21" t="s">
        <v>1182</v>
      </c>
      <c r="C202" s="6"/>
      <c r="D202" s="6" t="s">
        <v>950</v>
      </c>
      <c r="E202" s="12"/>
      <c r="F202" s="12"/>
      <c r="G202" s="12"/>
      <c r="H202" s="130">
        <v>7629.45</v>
      </c>
      <c r="I202" s="130">
        <v>7998.7</v>
      </c>
      <c r="J202" s="130">
        <f>2157.8+4824+548+511</f>
        <v>8040.8</v>
      </c>
      <c r="K202" s="130">
        <f>581+1815.2+4868.4</f>
        <v>7264.5999999999995</v>
      </c>
      <c r="L202" s="130">
        <v>7922.9</v>
      </c>
      <c r="M202" s="20"/>
      <c r="N202" s="241">
        <f>P202+S202+V202+Y202</f>
        <v>7264.5999999999995</v>
      </c>
      <c r="O202" s="241">
        <f>Q202+T202+W202+Z202</f>
        <v>7922.9</v>
      </c>
      <c r="P202">
        <v>581</v>
      </c>
      <c r="Q202">
        <f>556+501</f>
        <v>1057</v>
      </c>
      <c r="S202">
        <v>1815.2</v>
      </c>
      <c r="T202">
        <v>1688.1</v>
      </c>
      <c r="V202">
        <v>4868.3999999999996</v>
      </c>
      <c r="W202">
        <f>4696+481.8</f>
        <v>5177.8</v>
      </c>
      <c r="Y202" s="241">
        <v>0</v>
      </c>
      <c r="Z202" s="241">
        <v>0</v>
      </c>
    </row>
    <row r="203" spans="1:26" x14ac:dyDescent="0.25">
      <c r="A203" s="23"/>
      <c r="B203" s="21" t="s">
        <v>1184</v>
      </c>
      <c r="C203" s="6"/>
      <c r="D203" s="6" t="s">
        <v>950</v>
      </c>
      <c r="E203" s="12"/>
      <c r="F203" s="12"/>
      <c r="G203" s="12"/>
      <c r="H203" s="130">
        <v>18.5</v>
      </c>
      <c r="I203" s="130">
        <f>4.6+21.201</f>
        <v>25.801000000000002</v>
      </c>
      <c r="J203" s="130">
        <v>0</v>
      </c>
      <c r="K203" s="130">
        <v>27.1</v>
      </c>
      <c r="L203" s="130">
        <v>39.299999999999997</v>
      </c>
      <c r="M203" s="20"/>
      <c r="N203" s="241">
        <f>P203+S203+V203+Y203</f>
        <v>27.1</v>
      </c>
      <c r="O203" s="241">
        <f>Q203+T203+W203+Z203</f>
        <v>39.299999999999997</v>
      </c>
      <c r="P203" s="241">
        <v>0</v>
      </c>
      <c r="Q203" s="241">
        <v>0</v>
      </c>
      <c r="R203" s="241"/>
      <c r="S203" s="241">
        <v>0</v>
      </c>
      <c r="T203" s="241">
        <v>0</v>
      </c>
      <c r="U203" s="241"/>
      <c r="V203" s="241">
        <v>0</v>
      </c>
      <c r="W203" s="241">
        <v>0</v>
      </c>
      <c r="Y203" s="241">
        <v>27.1</v>
      </c>
      <c r="Z203" s="241">
        <v>39.299999999999997</v>
      </c>
    </row>
    <row r="204" spans="1:26" ht="60" x14ac:dyDescent="0.25">
      <c r="A204" s="42" t="s">
        <v>70</v>
      </c>
      <c r="B204" s="46" t="s">
        <v>1945</v>
      </c>
      <c r="C204" s="44"/>
      <c r="D204" s="42"/>
      <c r="E204" s="50"/>
      <c r="F204" s="50"/>
      <c r="G204" s="50"/>
      <c r="H204" s="50"/>
      <c r="I204" s="50"/>
      <c r="J204" s="50"/>
      <c r="K204" s="50"/>
      <c r="L204" s="50"/>
      <c r="M204" s="3" t="s">
        <v>281</v>
      </c>
    </row>
    <row r="205" spans="1:26" x14ac:dyDescent="0.25">
      <c r="A205" s="42"/>
      <c r="B205" s="43" t="s">
        <v>1182</v>
      </c>
      <c r="C205" s="44"/>
      <c r="D205" s="42" t="s">
        <v>8</v>
      </c>
      <c r="E205" s="45">
        <v>100</v>
      </c>
      <c r="F205" s="45">
        <v>100</v>
      </c>
      <c r="G205" s="45">
        <v>100</v>
      </c>
      <c r="H205" s="45">
        <f t="shared" ref="H205:I206" si="157">H208/H211*100</f>
        <v>100</v>
      </c>
      <c r="I205" s="45">
        <f t="shared" si="157"/>
        <v>100</v>
      </c>
      <c r="J205" s="45">
        <f t="shared" ref="J205:K205" si="158">J208/J211*100</f>
        <v>100</v>
      </c>
      <c r="K205" s="45">
        <f t="shared" si="158"/>
        <v>100</v>
      </c>
      <c r="L205" s="45">
        <f t="shared" ref="L205" si="159">L208/L211*100</f>
        <v>100</v>
      </c>
      <c r="M205" s="3"/>
      <c r="N205" s="45">
        <f t="shared" ref="N205:P206" si="160">N208/N211*100</f>
        <v>100</v>
      </c>
      <c r="O205" s="45">
        <f t="shared" si="160"/>
        <v>100</v>
      </c>
      <c r="P205" s="45">
        <f t="shared" ref="P205:Q205" si="161">P208/P211*100</f>
        <v>100</v>
      </c>
      <c r="Q205" s="45">
        <f t="shared" si="161"/>
        <v>100</v>
      </c>
      <c r="S205" s="45">
        <f t="shared" ref="S205:T206" si="162">S208/S211*100</f>
        <v>100</v>
      </c>
      <c r="T205" s="45">
        <f t="shared" si="162"/>
        <v>100</v>
      </c>
      <c r="V205" s="45">
        <f t="shared" ref="V205:W205" si="163">V208/V211*100</f>
        <v>100</v>
      </c>
      <c r="W205" s="45">
        <f t="shared" si="163"/>
        <v>100</v>
      </c>
      <c r="Y205" s="45" t="e">
        <f t="shared" ref="Y205:Z205" si="164">Y208/Y211*100</f>
        <v>#DIV/0!</v>
      </c>
      <c r="Z205" s="45" t="e">
        <f t="shared" si="164"/>
        <v>#DIV/0!</v>
      </c>
    </row>
    <row r="206" spans="1:26" x14ac:dyDescent="0.25">
      <c r="A206" s="42"/>
      <c r="B206" s="43" t="s">
        <v>1184</v>
      </c>
      <c r="C206" s="44"/>
      <c r="D206" s="42" t="s">
        <v>8</v>
      </c>
      <c r="E206" s="45">
        <v>77.78</v>
      </c>
      <c r="F206" s="45">
        <v>87.5</v>
      </c>
      <c r="G206" s="45">
        <v>100</v>
      </c>
      <c r="H206" s="45">
        <f t="shared" si="157"/>
        <v>100</v>
      </c>
      <c r="I206" s="45">
        <f t="shared" si="157"/>
        <v>66.666666666666657</v>
      </c>
      <c r="J206" s="45" t="e">
        <f t="shared" ref="J206:K206" si="165">J209/J212*100</f>
        <v>#DIV/0!</v>
      </c>
      <c r="K206" s="45">
        <f t="shared" si="165"/>
        <v>100</v>
      </c>
      <c r="L206" s="45">
        <f t="shared" ref="L206" si="166">L209/L212*100</f>
        <v>100</v>
      </c>
      <c r="M206" s="3"/>
      <c r="N206" s="45">
        <f t="shared" ref="N206" si="167">N209/N212*100</f>
        <v>100</v>
      </c>
      <c r="O206" s="45">
        <f t="shared" si="160"/>
        <v>100</v>
      </c>
      <c r="P206" s="45" t="e">
        <f t="shared" si="160"/>
        <v>#DIV/0!</v>
      </c>
      <c r="Q206" s="45" t="e">
        <f t="shared" ref="Q206" si="168">Q209/Q212*100</f>
        <v>#DIV/0!</v>
      </c>
      <c r="S206" s="45" t="e">
        <f t="shared" ref="S206" si="169">S209/S212*100</f>
        <v>#DIV/0!</v>
      </c>
      <c r="T206" s="45" t="e">
        <f t="shared" si="162"/>
        <v>#DIV/0!</v>
      </c>
      <c r="V206" s="45" t="e">
        <f t="shared" ref="V206:W206" si="170">V209/V212*100</f>
        <v>#DIV/0!</v>
      </c>
      <c r="W206" s="45" t="e">
        <f t="shared" si="170"/>
        <v>#DIV/0!</v>
      </c>
      <c r="Y206" s="45">
        <f t="shared" ref="Y206:Z206" si="171">Y209/Y212*100</f>
        <v>100</v>
      </c>
      <c r="Z206" s="45">
        <f t="shared" si="171"/>
        <v>100</v>
      </c>
    </row>
    <row r="207" spans="1:26" ht="60" x14ac:dyDescent="0.25">
      <c r="A207" s="6"/>
      <c r="B207" s="21" t="s">
        <v>697</v>
      </c>
      <c r="C207" s="6" t="s">
        <v>698</v>
      </c>
      <c r="D207" s="6"/>
      <c r="E207" s="12"/>
      <c r="F207" s="12"/>
      <c r="G207" s="12"/>
      <c r="H207" s="12"/>
      <c r="I207" s="12"/>
      <c r="J207" s="12"/>
      <c r="K207" s="12"/>
      <c r="L207" s="12"/>
    </row>
    <row r="208" spans="1:26" x14ac:dyDescent="0.25">
      <c r="A208" s="6"/>
      <c r="B208" s="21" t="s">
        <v>1182</v>
      </c>
      <c r="C208" s="6"/>
      <c r="D208" s="6" t="s">
        <v>1112</v>
      </c>
      <c r="E208" s="12"/>
      <c r="F208" s="12"/>
      <c r="G208" s="12"/>
      <c r="H208" s="12">
        <v>3</v>
      </c>
      <c r="I208" s="12">
        <v>3</v>
      </c>
      <c r="J208" s="12">
        <v>3</v>
      </c>
      <c r="K208" s="12">
        <v>3</v>
      </c>
      <c r="L208" s="12">
        <v>3</v>
      </c>
      <c r="N208" s="241">
        <f>P208+S208+V208+Y208</f>
        <v>3</v>
      </c>
      <c r="O208" s="241">
        <f>Q208+T208+W208+Z208</f>
        <v>3</v>
      </c>
      <c r="P208" s="209">
        <v>1</v>
      </c>
      <c r="Q208">
        <v>1</v>
      </c>
      <c r="S208">
        <v>1</v>
      </c>
      <c r="T208">
        <v>1</v>
      </c>
      <c r="V208">
        <v>1</v>
      </c>
      <c r="W208">
        <v>1</v>
      </c>
      <c r="Y208" s="241">
        <v>0</v>
      </c>
      <c r="Z208" s="241">
        <v>0</v>
      </c>
    </row>
    <row r="209" spans="1:26" x14ac:dyDescent="0.25">
      <c r="A209" s="6"/>
      <c r="B209" s="21" t="s">
        <v>1184</v>
      </c>
      <c r="C209" s="6"/>
      <c r="D209" s="6" t="s">
        <v>1112</v>
      </c>
      <c r="E209" s="12"/>
      <c r="F209" s="12"/>
      <c r="G209" s="12"/>
      <c r="H209" s="12">
        <v>2</v>
      </c>
      <c r="I209" s="12">
        <v>2</v>
      </c>
      <c r="J209" s="12">
        <v>0</v>
      </c>
      <c r="K209" s="12">
        <v>2</v>
      </c>
      <c r="L209" s="12">
        <v>1</v>
      </c>
      <c r="N209" s="241">
        <f>P209+S209+V209+Y209</f>
        <v>2</v>
      </c>
      <c r="O209" s="241">
        <f>Q209+T209+W209+Z209</f>
        <v>1</v>
      </c>
      <c r="P209" s="241">
        <v>0</v>
      </c>
      <c r="Q209" s="241">
        <v>0</v>
      </c>
      <c r="R209" s="241"/>
      <c r="S209" s="241">
        <v>0</v>
      </c>
      <c r="T209" s="241">
        <v>0</v>
      </c>
      <c r="U209" s="241"/>
      <c r="V209" s="241">
        <v>0</v>
      </c>
      <c r="W209" s="241">
        <v>0</v>
      </c>
      <c r="Y209" s="241">
        <v>2</v>
      </c>
      <c r="Z209" s="241">
        <v>1</v>
      </c>
    </row>
    <row r="210" spans="1:26" ht="45" x14ac:dyDescent="0.25">
      <c r="A210" s="6"/>
      <c r="B210" s="21" t="s">
        <v>699</v>
      </c>
      <c r="C210" s="6" t="s">
        <v>700</v>
      </c>
      <c r="D210" s="6"/>
      <c r="E210" s="12"/>
      <c r="F210" s="12"/>
      <c r="G210" s="12"/>
      <c r="H210" s="12"/>
      <c r="I210" s="12"/>
      <c r="J210" s="12"/>
      <c r="K210" s="12"/>
      <c r="L210" s="12"/>
      <c r="O210" s="241"/>
    </row>
    <row r="211" spans="1:26" x14ac:dyDescent="0.25">
      <c r="A211" s="6"/>
      <c r="B211" s="21" t="s">
        <v>1182</v>
      </c>
      <c r="C211" s="6"/>
      <c r="D211" s="6" t="s">
        <v>1112</v>
      </c>
      <c r="E211" s="12"/>
      <c r="F211" s="12"/>
      <c r="G211" s="12"/>
      <c r="H211" s="12">
        <v>3</v>
      </c>
      <c r="I211" s="12">
        <v>3</v>
      </c>
      <c r="J211" s="12">
        <v>3</v>
      </c>
      <c r="K211" s="12">
        <v>3</v>
      </c>
      <c r="L211" s="12">
        <v>3</v>
      </c>
      <c r="N211" s="241">
        <f>P211+S211+V211+Y211</f>
        <v>3</v>
      </c>
      <c r="O211" s="241">
        <f>Q211+T211+W211+Z211</f>
        <v>3</v>
      </c>
      <c r="P211" s="209">
        <v>1</v>
      </c>
      <c r="Q211">
        <v>1</v>
      </c>
      <c r="S211">
        <v>1</v>
      </c>
      <c r="T211">
        <v>1</v>
      </c>
      <c r="V211">
        <v>1</v>
      </c>
      <c r="W211">
        <v>1</v>
      </c>
      <c r="Y211" s="241">
        <v>0</v>
      </c>
      <c r="Z211" s="241">
        <v>0</v>
      </c>
    </row>
    <row r="212" spans="1:26" x14ac:dyDescent="0.25">
      <c r="A212" s="6"/>
      <c r="B212" s="21" t="s">
        <v>1184</v>
      </c>
      <c r="C212" s="6"/>
      <c r="D212" s="6" t="s">
        <v>1112</v>
      </c>
      <c r="E212" s="12"/>
      <c r="F212" s="12"/>
      <c r="G212" s="12"/>
      <c r="H212" s="12">
        <v>2</v>
      </c>
      <c r="I212" s="12">
        <v>3</v>
      </c>
      <c r="J212" s="12">
        <v>0</v>
      </c>
      <c r="K212" s="12">
        <v>2</v>
      </c>
      <c r="L212" s="12">
        <v>1</v>
      </c>
      <c r="N212" s="241">
        <f>P212+S212+V212+Y212</f>
        <v>2</v>
      </c>
      <c r="O212" s="241">
        <f>Q212+T212+W212+Z212</f>
        <v>1</v>
      </c>
      <c r="P212" s="241">
        <v>0</v>
      </c>
      <c r="Q212" s="241">
        <v>0</v>
      </c>
      <c r="R212" s="241"/>
      <c r="S212" s="241">
        <v>0</v>
      </c>
      <c r="T212" s="241">
        <v>0</v>
      </c>
      <c r="U212" s="241"/>
      <c r="V212" s="241">
        <v>0</v>
      </c>
      <c r="W212" s="241">
        <v>0</v>
      </c>
      <c r="Y212" s="241">
        <v>2</v>
      </c>
      <c r="Z212" s="241">
        <v>1</v>
      </c>
    </row>
    <row r="213" spans="1:26" ht="60" x14ac:dyDescent="0.25">
      <c r="A213" s="42" t="s">
        <v>2825</v>
      </c>
      <c r="B213" s="46" t="s">
        <v>1946</v>
      </c>
      <c r="C213" s="42"/>
      <c r="D213" s="42"/>
      <c r="E213" s="50"/>
      <c r="F213" s="50"/>
      <c r="G213" s="50"/>
      <c r="H213" s="50"/>
      <c r="I213" s="50"/>
      <c r="J213" s="50"/>
      <c r="K213" s="50"/>
      <c r="L213" s="50"/>
      <c r="M213" s="3" t="s">
        <v>281</v>
      </c>
    </row>
    <row r="214" spans="1:26" ht="30" x14ac:dyDescent="0.25">
      <c r="A214" s="54"/>
      <c r="B214" s="43" t="s">
        <v>1182</v>
      </c>
      <c r="C214" s="42"/>
      <c r="D214" s="42" t="s">
        <v>1111</v>
      </c>
      <c r="E214" s="45">
        <v>16.45</v>
      </c>
      <c r="F214" s="45">
        <v>15.54</v>
      </c>
      <c r="G214" s="45">
        <v>16.78</v>
      </c>
      <c r="H214" s="45">
        <f>(H216-H217-H218)/H223</f>
        <v>15.89878693745945</v>
      </c>
      <c r="I214" s="45">
        <f>(I216-I217-I218)/I223</f>
        <v>15.289484541237952</v>
      </c>
      <c r="J214" s="45">
        <f>(J216-J217-J218)/J223</f>
        <v>14.514351805790469</v>
      </c>
      <c r="K214" s="45">
        <f>(K216-K217-K218)/K223</f>
        <v>16.019326597472677</v>
      </c>
      <c r="L214" s="45">
        <f>(L216-L217-L218)/L223</f>
        <v>14.593520049476833</v>
      </c>
      <c r="M214" s="3"/>
      <c r="N214" s="45">
        <f>(N216-N217-N218)/N223</f>
        <v>16.019326597472677</v>
      </c>
      <c r="O214" s="45">
        <f>(O216-O217-O218)/O223</f>
        <v>14.593520049476833</v>
      </c>
      <c r="P214" s="45">
        <f>(P216-P217-P218)/P223</f>
        <v>18.35972461273666</v>
      </c>
      <c r="Q214" s="45">
        <f>(Q216-Q217-Q218)/Q223</f>
        <v>9.3812677388836327</v>
      </c>
      <c r="S214" s="45">
        <f>(S216-S217-S218)/S223</f>
        <v>17.720912296165711</v>
      </c>
      <c r="T214" s="45">
        <f>(T216-T217-T218)/T223</f>
        <v>19.055150761210829</v>
      </c>
      <c r="V214" s="45">
        <f>(V216-V217-V218)/V223</f>
        <v>15.105578834935503</v>
      </c>
      <c r="W214" s="45">
        <f>(W216-W217-W218)/W223</f>
        <v>14.202943335007145</v>
      </c>
      <c r="Y214" s="45" t="e">
        <f>(Y216-Y217-Y218)/Y223</f>
        <v>#DIV/0!</v>
      </c>
      <c r="Z214" s="45" t="e">
        <f>(Z216-Z217-Z218)/Z223</f>
        <v>#DIV/0!</v>
      </c>
    </row>
    <row r="215" spans="1:26" ht="30" x14ac:dyDescent="0.25">
      <c r="A215" s="54"/>
      <c r="B215" s="43" t="s">
        <v>1184</v>
      </c>
      <c r="C215" s="42"/>
      <c r="D215" s="42" t="s">
        <v>1111</v>
      </c>
      <c r="E215" s="45">
        <v>33.880000000000003</v>
      </c>
      <c r="F215" s="45">
        <v>34.26</v>
      </c>
      <c r="G215" s="45">
        <v>43.47</v>
      </c>
      <c r="H215" s="45">
        <v>174.12</v>
      </c>
      <c r="I215" s="45">
        <f>(I219-I220-I221)/I224</f>
        <v>237.74272315026548</v>
      </c>
      <c r="J215" s="45" t="e">
        <f>(J219-J220-J221)/J224</f>
        <v>#DIV/0!</v>
      </c>
      <c r="K215" s="45">
        <f>(K219-K220-K221)/K224</f>
        <v>51.918819188191883</v>
      </c>
      <c r="L215" s="45">
        <f>(L219-L220-L221)/L224</f>
        <v>19.287531806615778</v>
      </c>
      <c r="M215" s="3"/>
      <c r="N215" s="45">
        <f>(N219-N220-N221)/N224</f>
        <v>51.918819188191883</v>
      </c>
      <c r="O215" s="45">
        <f>(O219-O220-O221)/O224</f>
        <v>19.287531806615778</v>
      </c>
      <c r="P215" s="45" t="e">
        <f>(P219-P220-P221)/P224</f>
        <v>#DIV/0!</v>
      </c>
      <c r="Q215" s="45" t="e">
        <f>(Q219-Q220-Q221)/Q224</f>
        <v>#DIV/0!</v>
      </c>
      <c r="S215" s="45" t="e">
        <f>(S219-S220-S221)/S224</f>
        <v>#DIV/0!</v>
      </c>
      <c r="T215" s="45" t="e">
        <f>(T219-T220-T221)/T224</f>
        <v>#DIV/0!</v>
      </c>
      <c r="V215" s="45" t="e">
        <f>(V219-V220-V221)/V224</f>
        <v>#DIV/0!</v>
      </c>
      <c r="W215" s="45" t="e">
        <f>(W219-W220-W221)/W224</f>
        <v>#DIV/0!</v>
      </c>
      <c r="Y215" s="45">
        <f>(Y219-Y220-Y221)/Y224</f>
        <v>51.918819188191883</v>
      </c>
      <c r="Z215" s="45">
        <f>(Z219-Z220-Z221)/Z224</f>
        <v>19.287531806615778</v>
      </c>
    </row>
    <row r="216" spans="1:26" ht="45" customHeight="1" x14ac:dyDescent="0.25">
      <c r="A216" s="427"/>
      <c r="B216" s="429" t="s">
        <v>703</v>
      </c>
      <c r="C216" s="6" t="s">
        <v>2915</v>
      </c>
      <c r="D216" s="6" t="s">
        <v>1111</v>
      </c>
      <c r="E216" s="12"/>
      <c r="F216" s="12"/>
      <c r="G216" s="12"/>
      <c r="H216" s="35">
        <f>16657+72958+32167</f>
        <v>121782</v>
      </c>
      <c r="I216" s="35">
        <f>16657+77425+32167</f>
        <v>126249</v>
      </c>
      <c r="J216" s="35">
        <f>11068+77425+32167</f>
        <v>120660</v>
      </c>
      <c r="K216" s="35">
        <f>11150+77044+32167</f>
        <v>120361</v>
      </c>
      <c r="L216" s="35">
        <v>119610</v>
      </c>
      <c r="M216" s="65"/>
      <c r="N216" s="241">
        <f t="shared" ref="N216:N221" si="172">P216+S216+V216+Y216</f>
        <v>120361</v>
      </c>
      <c r="O216" s="241">
        <f t="shared" ref="O216:O221" si="173">Q216+T216+W216+Z216</f>
        <v>119610</v>
      </c>
      <c r="P216">
        <v>11150</v>
      </c>
      <c r="Q216">
        <v>10399</v>
      </c>
      <c r="S216">
        <v>32167</v>
      </c>
      <c r="T216">
        <v>32167</v>
      </c>
      <c r="V216">
        <v>77044</v>
      </c>
      <c r="W216">
        <v>77044</v>
      </c>
      <c r="Y216" s="241">
        <v>0</v>
      </c>
      <c r="Z216" s="241">
        <v>0</v>
      </c>
    </row>
    <row r="217" spans="1:26" ht="45" x14ac:dyDescent="0.25">
      <c r="A217" s="431"/>
      <c r="B217" s="432"/>
      <c r="C217" s="6" t="s">
        <v>1985</v>
      </c>
      <c r="D217" s="6" t="s">
        <v>1111</v>
      </c>
      <c r="E217" s="12"/>
      <c r="F217" s="12"/>
      <c r="G217" s="12"/>
      <c r="H217" s="35">
        <f>483+0+0</f>
        <v>483</v>
      </c>
      <c r="I217" s="35">
        <f>483+3470+0</f>
        <v>3953</v>
      </c>
      <c r="J217" s="35">
        <f>483+3470+0</f>
        <v>3953</v>
      </c>
      <c r="K217" s="35">
        <f>483+3504+0</f>
        <v>3987</v>
      </c>
      <c r="L217" s="35">
        <v>3987</v>
      </c>
      <c r="N217" s="241">
        <f t="shared" si="172"/>
        <v>3987</v>
      </c>
      <c r="O217" s="241">
        <f t="shared" si="173"/>
        <v>3987</v>
      </c>
      <c r="P217">
        <v>483</v>
      </c>
      <c r="Q217">
        <v>483</v>
      </c>
      <c r="S217">
        <v>0</v>
      </c>
      <c r="T217">
        <v>0</v>
      </c>
      <c r="V217">
        <v>3504</v>
      </c>
      <c r="W217">
        <v>3504</v>
      </c>
      <c r="Y217" s="241">
        <v>0</v>
      </c>
      <c r="Z217" s="241">
        <v>0</v>
      </c>
    </row>
    <row r="218" spans="1:26" ht="45" x14ac:dyDescent="0.25">
      <c r="A218" s="428"/>
      <c r="B218" s="432"/>
      <c r="C218" s="6" t="s">
        <v>1986</v>
      </c>
      <c r="D218" s="6" t="s">
        <v>1111</v>
      </c>
      <c r="E218" s="12"/>
      <c r="F218" s="12"/>
      <c r="G218" s="12"/>
      <c r="H218" s="35">
        <f>0+0+0</f>
        <v>0</v>
      </c>
      <c r="I218" s="35">
        <v>0</v>
      </c>
      <c r="J218" s="35">
        <v>0</v>
      </c>
      <c r="K218" s="35">
        <v>0</v>
      </c>
      <c r="L218" s="35">
        <v>0</v>
      </c>
      <c r="N218" s="241">
        <f t="shared" si="172"/>
        <v>0</v>
      </c>
      <c r="O218" s="241">
        <f t="shared" si="173"/>
        <v>0</v>
      </c>
      <c r="P218" s="209">
        <v>0</v>
      </c>
      <c r="Q218">
        <v>0</v>
      </c>
      <c r="S218">
        <v>0</v>
      </c>
      <c r="T218">
        <v>0</v>
      </c>
      <c r="V218">
        <v>0</v>
      </c>
      <c r="W218">
        <v>0</v>
      </c>
      <c r="Y218" s="241">
        <v>0</v>
      </c>
      <c r="Z218" s="241">
        <v>0</v>
      </c>
    </row>
    <row r="219" spans="1:26" ht="45" x14ac:dyDescent="0.25">
      <c r="A219" s="143"/>
      <c r="B219" s="432"/>
      <c r="C219" s="6" t="s">
        <v>2916</v>
      </c>
      <c r="D219" s="6" t="s">
        <v>1111</v>
      </c>
      <c r="E219" s="12"/>
      <c r="F219" s="12"/>
      <c r="G219" s="12"/>
      <c r="H219" s="35">
        <f>6393+1139</f>
        <v>7532</v>
      </c>
      <c r="I219" s="35">
        <v>6393</v>
      </c>
      <c r="J219" s="35">
        <v>0</v>
      </c>
      <c r="K219" s="35">
        <v>1407</v>
      </c>
      <c r="L219" s="35">
        <v>758</v>
      </c>
      <c r="M219" s="20"/>
      <c r="N219" s="241">
        <f t="shared" si="172"/>
        <v>1407</v>
      </c>
      <c r="O219" s="241">
        <f t="shared" si="173"/>
        <v>758</v>
      </c>
      <c r="P219" s="209">
        <v>0</v>
      </c>
      <c r="Q219" s="241">
        <v>0</v>
      </c>
      <c r="R219" s="241"/>
      <c r="S219" s="241">
        <v>0</v>
      </c>
      <c r="T219" s="241">
        <v>0</v>
      </c>
      <c r="U219" s="241"/>
      <c r="V219" s="241">
        <v>0</v>
      </c>
      <c r="W219" s="241">
        <v>0</v>
      </c>
      <c r="Y219" s="241">
        <v>1407</v>
      </c>
      <c r="Z219" s="241">
        <v>758</v>
      </c>
    </row>
    <row r="220" spans="1:26" ht="45" x14ac:dyDescent="0.25">
      <c r="A220" s="143"/>
      <c r="B220" s="432"/>
      <c r="C220" s="6" t="s">
        <v>1987</v>
      </c>
      <c r="D220" s="6" t="s">
        <v>1111</v>
      </c>
      <c r="E220" s="12"/>
      <c r="F220" s="12"/>
      <c r="G220" s="12"/>
      <c r="H220" s="35">
        <f>259+0</f>
        <v>259</v>
      </c>
      <c r="I220" s="35">
        <v>259</v>
      </c>
      <c r="J220" s="35">
        <v>0</v>
      </c>
      <c r="K220" s="35">
        <v>0</v>
      </c>
      <c r="L220" s="35">
        <v>0</v>
      </c>
      <c r="N220" s="241">
        <f t="shared" si="172"/>
        <v>0</v>
      </c>
      <c r="O220" s="241">
        <f t="shared" si="173"/>
        <v>0</v>
      </c>
      <c r="P220" s="209">
        <v>0</v>
      </c>
      <c r="Q220" s="241">
        <v>0</v>
      </c>
      <c r="R220" s="241"/>
      <c r="S220" s="241">
        <v>0</v>
      </c>
      <c r="T220" s="241">
        <v>0</v>
      </c>
      <c r="U220" s="241"/>
      <c r="V220" s="241">
        <v>0</v>
      </c>
      <c r="W220" s="241">
        <v>0</v>
      </c>
      <c r="Y220" s="241">
        <v>0</v>
      </c>
      <c r="Z220" s="241">
        <v>0</v>
      </c>
    </row>
    <row r="221" spans="1:26" ht="45" x14ac:dyDescent="0.25">
      <c r="A221" s="143"/>
      <c r="B221" s="430"/>
      <c r="C221" s="6" t="s">
        <v>1988</v>
      </c>
      <c r="D221" s="6" t="s">
        <v>1111</v>
      </c>
      <c r="E221" s="12"/>
      <c r="F221" s="12"/>
      <c r="G221" s="12"/>
      <c r="H221" s="35">
        <f>0+0</f>
        <v>0</v>
      </c>
      <c r="I221" s="35">
        <v>0</v>
      </c>
      <c r="J221" s="35">
        <v>0</v>
      </c>
      <c r="K221" s="35">
        <v>0</v>
      </c>
      <c r="L221" s="35">
        <v>0</v>
      </c>
      <c r="N221" s="241">
        <f t="shared" si="172"/>
        <v>0</v>
      </c>
      <c r="O221" s="241">
        <f t="shared" si="173"/>
        <v>0</v>
      </c>
      <c r="P221" s="209">
        <v>0</v>
      </c>
      <c r="Q221" s="241">
        <v>0</v>
      </c>
      <c r="R221" s="241"/>
      <c r="S221" s="241">
        <v>0</v>
      </c>
      <c r="T221" s="241">
        <v>0</v>
      </c>
      <c r="U221" s="241"/>
      <c r="V221" s="241">
        <v>0</v>
      </c>
      <c r="W221" s="241">
        <v>0</v>
      </c>
      <c r="Y221" s="241">
        <v>0</v>
      </c>
      <c r="Z221" s="241">
        <v>0</v>
      </c>
    </row>
    <row r="222" spans="1:26" ht="45" x14ac:dyDescent="0.25">
      <c r="A222" s="25"/>
      <c r="B222" s="21" t="s">
        <v>696</v>
      </c>
      <c r="C222" s="6" t="s">
        <v>2458</v>
      </c>
      <c r="D222" s="6"/>
      <c r="E222" s="12"/>
      <c r="F222" s="12"/>
      <c r="G222" s="12"/>
      <c r="H222" s="35"/>
      <c r="I222" s="35"/>
      <c r="J222" s="35"/>
      <c r="K222" s="35"/>
      <c r="L222" s="35"/>
    </row>
    <row r="223" spans="1:26" x14ac:dyDescent="0.25">
      <c r="A223" s="145"/>
      <c r="B223" s="21" t="s">
        <v>1182</v>
      </c>
      <c r="C223" s="6"/>
      <c r="D223" s="6" t="s">
        <v>950</v>
      </c>
      <c r="E223" s="12"/>
      <c r="F223" s="12"/>
      <c r="G223" s="12"/>
      <c r="H223" s="130">
        <f t="shared" ref="H223:L224" si="174">H202</f>
        <v>7629.45</v>
      </c>
      <c r="I223" s="130">
        <f t="shared" si="174"/>
        <v>7998.7</v>
      </c>
      <c r="J223" s="130">
        <f t="shared" si="174"/>
        <v>8040.8</v>
      </c>
      <c r="K223" s="130">
        <f t="shared" si="174"/>
        <v>7264.5999999999995</v>
      </c>
      <c r="L223" s="130">
        <f t="shared" si="174"/>
        <v>7922.9</v>
      </c>
      <c r="N223" s="241">
        <f t="shared" ref="N223:N224" si="175">P223+S223+V223+Y223</f>
        <v>7264.5999999999995</v>
      </c>
      <c r="O223" s="241">
        <f t="shared" ref="O223:O224" si="176">Q223+T223+W223+Z223</f>
        <v>7922.9</v>
      </c>
      <c r="P223" s="241">
        <f>P202</f>
        <v>581</v>
      </c>
      <c r="Q223" s="241">
        <f t="shared" ref="Q223:Q224" si="177">Q202</f>
        <v>1057</v>
      </c>
      <c r="S223" s="241">
        <f>S202</f>
        <v>1815.2</v>
      </c>
      <c r="T223" s="241">
        <f t="shared" ref="T223:T224" si="178">T202</f>
        <v>1688.1</v>
      </c>
      <c r="V223" s="241">
        <f>V202</f>
        <v>4868.3999999999996</v>
      </c>
      <c r="W223" s="241">
        <f t="shared" ref="W223:W224" si="179">W202</f>
        <v>5177.8</v>
      </c>
      <c r="Y223" s="241">
        <f>Y202</f>
        <v>0</v>
      </c>
      <c r="Z223" s="241">
        <f t="shared" ref="Z223:Z224" si="180">Z202</f>
        <v>0</v>
      </c>
    </row>
    <row r="224" spans="1:26" x14ac:dyDescent="0.25">
      <c r="A224" s="145"/>
      <c r="B224" s="21" t="s">
        <v>1184</v>
      </c>
      <c r="C224" s="6"/>
      <c r="D224" s="6" t="s">
        <v>950</v>
      </c>
      <c r="E224" s="12"/>
      <c r="F224" s="12"/>
      <c r="G224" s="12"/>
      <c r="H224" s="130">
        <f t="shared" si="174"/>
        <v>18.5</v>
      </c>
      <c r="I224" s="130">
        <f t="shared" si="174"/>
        <v>25.801000000000002</v>
      </c>
      <c r="J224" s="130">
        <f t="shared" si="174"/>
        <v>0</v>
      </c>
      <c r="K224" s="130">
        <f t="shared" si="174"/>
        <v>27.1</v>
      </c>
      <c r="L224" s="130">
        <f t="shared" si="174"/>
        <v>39.299999999999997</v>
      </c>
      <c r="N224" s="241">
        <f t="shared" si="175"/>
        <v>27.1</v>
      </c>
      <c r="O224" s="241">
        <f t="shared" si="176"/>
        <v>39.299999999999997</v>
      </c>
      <c r="P224" s="241">
        <f t="shared" ref="P224" si="181">P203</f>
        <v>0</v>
      </c>
      <c r="Q224" s="241">
        <f t="shared" si="177"/>
        <v>0</v>
      </c>
      <c r="S224" s="241">
        <f t="shared" ref="S224" si="182">S203</f>
        <v>0</v>
      </c>
      <c r="T224" s="241">
        <f t="shared" si="178"/>
        <v>0</v>
      </c>
      <c r="V224" s="241">
        <f t="shared" ref="V224" si="183">V203</f>
        <v>0</v>
      </c>
      <c r="W224" s="241">
        <f t="shared" si="179"/>
        <v>0</v>
      </c>
      <c r="Y224" s="241">
        <f t="shared" ref="Y224" si="184">Y203</f>
        <v>27.1</v>
      </c>
      <c r="Z224" s="241">
        <f t="shared" si="180"/>
        <v>39.299999999999997</v>
      </c>
    </row>
    <row r="225" spans="1:26" ht="30" x14ac:dyDescent="0.25">
      <c r="A225" s="10" t="s">
        <v>77</v>
      </c>
      <c r="B225" s="17" t="s">
        <v>705</v>
      </c>
      <c r="C225" s="8"/>
      <c r="D225" s="6"/>
      <c r="E225" s="8"/>
      <c r="F225" s="8"/>
      <c r="G225" s="8"/>
      <c r="H225" s="252"/>
      <c r="I225" s="252"/>
      <c r="J225" s="252"/>
      <c r="K225" s="252"/>
      <c r="L225" s="252"/>
    </row>
    <row r="226" spans="1:26" ht="30" x14ac:dyDescent="0.25">
      <c r="A226" s="42" t="s">
        <v>78</v>
      </c>
      <c r="B226" s="94" t="s">
        <v>1947</v>
      </c>
      <c r="C226" s="42"/>
      <c r="D226" s="50"/>
      <c r="E226" s="50"/>
      <c r="F226" s="50"/>
      <c r="G226" s="50"/>
      <c r="H226" s="50"/>
      <c r="I226" s="50"/>
      <c r="J226" s="50"/>
      <c r="K226" s="50"/>
      <c r="L226" s="50"/>
    </row>
    <row r="227" spans="1:26" x14ac:dyDescent="0.25">
      <c r="A227" s="47"/>
      <c r="B227" s="94" t="s">
        <v>1948</v>
      </c>
      <c r="C227" s="44"/>
      <c r="D227" s="50"/>
      <c r="E227" s="50"/>
      <c r="F227" s="50"/>
      <c r="G227" s="50"/>
      <c r="H227" s="50"/>
      <c r="I227" s="50"/>
      <c r="J227" s="50"/>
      <c r="K227" s="50"/>
      <c r="L227" s="50"/>
    </row>
    <row r="228" spans="1:26" x14ac:dyDescent="0.25">
      <c r="A228" s="47"/>
      <c r="B228" s="94" t="s">
        <v>1301</v>
      </c>
      <c r="C228" s="67"/>
      <c r="D228" s="67" t="s">
        <v>8</v>
      </c>
      <c r="E228" s="50"/>
      <c r="F228" s="50"/>
      <c r="G228" s="50"/>
      <c r="H228" s="50"/>
      <c r="I228" s="50">
        <f t="shared" ref="I228:J229" si="185">I235/I242*100</f>
        <v>87.5</v>
      </c>
      <c r="J228" s="45">
        <f t="shared" si="185"/>
        <v>75</v>
      </c>
      <c r="K228" s="45">
        <f>K235/K242*100</f>
        <v>77.777777777777786</v>
      </c>
      <c r="L228" s="45">
        <f t="shared" ref="L228" si="186">L235/L242*100</f>
        <v>77.777777777777786</v>
      </c>
      <c r="N228" s="45">
        <f>N235/N242*100</f>
        <v>77.777777777777786</v>
      </c>
      <c r="O228" s="45">
        <f t="shared" ref="O228:Q229" si="187">O235/O242*100</f>
        <v>77.777777777777786</v>
      </c>
      <c r="P228" s="45">
        <f>P235/P242*100</f>
        <v>50</v>
      </c>
      <c r="Q228" s="45">
        <f t="shared" si="187"/>
        <v>50</v>
      </c>
      <c r="S228" s="45">
        <f>S235/S242*100</f>
        <v>80</v>
      </c>
      <c r="T228" s="45">
        <f t="shared" ref="T228" si="188">T235/T242*100</f>
        <v>80</v>
      </c>
      <c r="V228" s="45">
        <f>V235/V242*100</f>
        <v>81.818181818181827</v>
      </c>
      <c r="W228" s="45">
        <f t="shared" ref="W228" si="189">W235/W242*100</f>
        <v>81.818181818181827</v>
      </c>
      <c r="Y228" s="45" t="e">
        <f>Y235/Y242*100</f>
        <v>#DIV/0!</v>
      </c>
      <c r="Z228" s="45" t="e">
        <f t="shared" ref="Z228" si="190">Z235/Z242*100</f>
        <v>#DIV/0!</v>
      </c>
    </row>
    <row r="229" spans="1:26" x14ac:dyDescent="0.25">
      <c r="A229" s="47"/>
      <c r="B229" s="94" t="s">
        <v>1302</v>
      </c>
      <c r="C229" s="67"/>
      <c r="D229" s="67" t="s">
        <v>8</v>
      </c>
      <c r="E229" s="50"/>
      <c r="F229" s="50"/>
      <c r="G229" s="50"/>
      <c r="H229" s="50"/>
      <c r="I229" s="50">
        <f t="shared" si="185"/>
        <v>100</v>
      </c>
      <c r="J229" s="50" t="e">
        <f t="shared" si="185"/>
        <v>#DIV/0!</v>
      </c>
      <c r="K229" s="50">
        <f>K236/K243*100</f>
        <v>100</v>
      </c>
      <c r="L229" s="50">
        <f t="shared" ref="L229" si="191">L236/L243*100</f>
        <v>100</v>
      </c>
      <c r="N229" s="50">
        <f t="shared" ref="N229" si="192">N236/N243*100</f>
        <v>100</v>
      </c>
      <c r="O229" s="50">
        <f t="shared" si="187"/>
        <v>100</v>
      </c>
      <c r="P229" s="50" t="e">
        <f t="shared" si="187"/>
        <v>#DIV/0!</v>
      </c>
      <c r="Q229" s="50" t="e">
        <f t="shared" si="187"/>
        <v>#DIV/0!</v>
      </c>
      <c r="S229" s="50" t="e">
        <f t="shared" ref="S229:T229" si="193">S236/S243*100</f>
        <v>#DIV/0!</v>
      </c>
      <c r="T229" s="50" t="e">
        <f t="shared" si="193"/>
        <v>#DIV/0!</v>
      </c>
      <c r="V229" s="50" t="e">
        <f t="shared" ref="V229:W229" si="194">V236/V243*100</f>
        <v>#DIV/0!</v>
      </c>
      <c r="W229" s="50" t="e">
        <f t="shared" si="194"/>
        <v>#DIV/0!</v>
      </c>
      <c r="Y229" s="50">
        <f t="shared" ref="Y229:Z229" si="195">Y236/Y243*100</f>
        <v>100</v>
      </c>
      <c r="Z229" s="50">
        <f t="shared" si="195"/>
        <v>100</v>
      </c>
    </row>
    <row r="230" spans="1:26" x14ac:dyDescent="0.25">
      <c r="A230" s="47"/>
      <c r="B230" s="94" t="s">
        <v>1949</v>
      </c>
      <c r="C230" s="44"/>
      <c r="D230" s="44"/>
      <c r="E230" s="50"/>
      <c r="F230" s="50"/>
      <c r="G230" s="50"/>
      <c r="H230" s="50"/>
      <c r="I230" s="50"/>
      <c r="J230" s="50"/>
      <c r="K230" s="50"/>
      <c r="L230" s="50"/>
      <c r="N230" s="50"/>
      <c r="O230" s="50"/>
      <c r="P230" s="50"/>
      <c r="Q230" s="50"/>
      <c r="S230" s="50"/>
      <c r="T230" s="50"/>
      <c r="V230" s="50"/>
      <c r="W230" s="50"/>
      <c r="Y230" s="50"/>
      <c r="Z230" s="50"/>
    </row>
    <row r="231" spans="1:26" x14ac:dyDescent="0.25">
      <c r="A231" s="47"/>
      <c r="B231" s="94" t="s">
        <v>1301</v>
      </c>
      <c r="C231" s="67"/>
      <c r="D231" s="67" t="s">
        <v>8</v>
      </c>
      <c r="E231" s="50"/>
      <c r="F231" s="50"/>
      <c r="G231" s="50"/>
      <c r="H231" s="50"/>
      <c r="I231" s="50">
        <f t="shared" ref="I231:K232" si="196">I238/I245*100</f>
        <v>100</v>
      </c>
      <c r="J231" s="45">
        <f t="shared" si="196"/>
        <v>54.54545454545454</v>
      </c>
      <c r="K231" s="45">
        <f t="shared" si="196"/>
        <v>54.54545454545454</v>
      </c>
      <c r="L231" s="45">
        <f t="shared" ref="L231" si="197">L238/L245*100</f>
        <v>54.54545454545454</v>
      </c>
      <c r="N231" s="45">
        <f t="shared" ref="N231:P232" si="198">N238/N245*100</f>
        <v>54.54545454545454</v>
      </c>
      <c r="O231" s="45">
        <f t="shared" si="198"/>
        <v>54.54545454545454</v>
      </c>
      <c r="P231" s="45">
        <f t="shared" ref="P231:Q231" si="199">P238/P245*100</f>
        <v>25</v>
      </c>
      <c r="Q231" s="45">
        <f t="shared" si="199"/>
        <v>25</v>
      </c>
      <c r="S231" s="45">
        <f t="shared" ref="S231:T232" si="200">S238/S245*100</f>
        <v>100</v>
      </c>
      <c r="T231" s="45">
        <f t="shared" si="200"/>
        <v>100</v>
      </c>
      <c r="V231" s="45">
        <f t="shared" ref="V231:W231" si="201">V238/V245*100</f>
        <v>50</v>
      </c>
      <c r="W231" s="45">
        <f t="shared" si="201"/>
        <v>50</v>
      </c>
      <c r="Y231" s="45" t="e">
        <f t="shared" ref="Y231:Z231" si="202">Y238/Y245*100</f>
        <v>#DIV/0!</v>
      </c>
      <c r="Z231" s="45" t="e">
        <f t="shared" si="202"/>
        <v>#DIV/0!</v>
      </c>
    </row>
    <row r="232" spans="1:26" x14ac:dyDescent="0.25">
      <c r="A232" s="47"/>
      <c r="B232" s="94" t="s">
        <v>1302</v>
      </c>
      <c r="C232" s="67"/>
      <c r="D232" s="67" t="s">
        <v>8</v>
      </c>
      <c r="E232" s="50"/>
      <c r="F232" s="50"/>
      <c r="G232" s="50"/>
      <c r="H232" s="50"/>
      <c r="I232" s="50" t="e">
        <f t="shared" si="196"/>
        <v>#DIV/0!</v>
      </c>
      <c r="J232" s="50" t="e">
        <f t="shared" si="196"/>
        <v>#DIV/0!</v>
      </c>
      <c r="K232" s="50" t="e">
        <f t="shared" si="196"/>
        <v>#DIV/0!</v>
      </c>
      <c r="L232" s="50" t="e">
        <f t="shared" ref="L232" si="203">L239/L246*100</f>
        <v>#DIV/0!</v>
      </c>
      <c r="N232" s="50" t="e">
        <f t="shared" ref="N232" si="204">N239/N246*100</f>
        <v>#DIV/0!</v>
      </c>
      <c r="O232" s="50" t="e">
        <f t="shared" si="198"/>
        <v>#DIV/0!</v>
      </c>
      <c r="P232" s="50" t="e">
        <f t="shared" si="198"/>
        <v>#DIV/0!</v>
      </c>
      <c r="Q232" s="50" t="e">
        <f t="shared" ref="Q232" si="205">Q239/Q246*100</f>
        <v>#DIV/0!</v>
      </c>
      <c r="S232" s="50" t="e">
        <f t="shared" ref="S232" si="206">S239/S246*100</f>
        <v>#DIV/0!</v>
      </c>
      <c r="T232" s="50" t="e">
        <f t="shared" si="200"/>
        <v>#DIV/0!</v>
      </c>
      <c r="V232" s="50" t="e">
        <f t="shared" ref="V232:W232" si="207">V239/V246*100</f>
        <v>#DIV/0!</v>
      </c>
      <c r="W232" s="50" t="e">
        <f t="shared" si="207"/>
        <v>#DIV/0!</v>
      </c>
      <c r="Y232" s="50" t="e">
        <f t="shared" ref="Y232:Z232" si="208">Y239/Y246*100</f>
        <v>#DIV/0!</v>
      </c>
      <c r="Z232" s="50" t="e">
        <f t="shared" si="208"/>
        <v>#DIV/0!</v>
      </c>
    </row>
    <row r="233" spans="1:26" x14ac:dyDescent="0.25">
      <c r="A233" s="10"/>
      <c r="B233" s="70" t="s">
        <v>1948</v>
      </c>
      <c r="C233" s="32"/>
      <c r="D233" s="32"/>
      <c r="E233" s="9"/>
      <c r="F233" s="9"/>
      <c r="G233" s="9"/>
      <c r="H233" s="9"/>
      <c r="I233" s="9"/>
      <c r="J233" s="12">
        <v>0</v>
      </c>
      <c r="K233" s="9"/>
      <c r="L233" s="9"/>
    </row>
    <row r="234" spans="1:26" ht="30" x14ac:dyDescent="0.25">
      <c r="A234" s="10"/>
      <c r="B234" s="70" t="s">
        <v>1998</v>
      </c>
      <c r="C234" s="6" t="s">
        <v>2000</v>
      </c>
      <c r="D234" s="32"/>
      <c r="E234" s="9"/>
      <c r="F234" s="9"/>
      <c r="G234" s="9"/>
      <c r="H234" s="9"/>
      <c r="I234" s="9"/>
      <c r="J234" s="12"/>
      <c r="K234" s="9"/>
      <c r="L234" s="9"/>
    </row>
    <row r="235" spans="1:26" x14ac:dyDescent="0.25">
      <c r="A235" s="10"/>
      <c r="B235" s="70" t="s">
        <v>1182</v>
      </c>
      <c r="C235" s="6"/>
      <c r="D235" s="32" t="s">
        <v>1763</v>
      </c>
      <c r="E235" s="9"/>
      <c r="F235" s="9"/>
      <c r="G235" s="9"/>
      <c r="H235" s="9"/>
      <c r="I235" s="12">
        <v>14</v>
      </c>
      <c r="J235" s="12">
        <f>4+7+1</f>
        <v>12</v>
      </c>
      <c r="K235" s="12">
        <f>1+9+4</f>
        <v>14</v>
      </c>
      <c r="L235" s="12">
        <v>14</v>
      </c>
      <c r="N235" s="241">
        <f t="shared" ref="N235:N236" si="209">P235+S235+V235+Y235</f>
        <v>14</v>
      </c>
      <c r="O235" s="241">
        <f t="shared" ref="O235:O236" si="210">Q235+T235+W235+Z235</f>
        <v>14</v>
      </c>
      <c r="P235" s="241">
        <v>1</v>
      </c>
      <c r="Q235">
        <v>1</v>
      </c>
      <c r="S235">
        <v>4</v>
      </c>
      <c r="T235">
        <v>4</v>
      </c>
      <c r="V235">
        <v>9</v>
      </c>
      <c r="W235">
        <v>9</v>
      </c>
    </row>
    <row r="236" spans="1:26" x14ac:dyDescent="0.25">
      <c r="A236" s="10"/>
      <c r="B236" s="70" t="s">
        <v>1184</v>
      </c>
      <c r="C236" s="32"/>
      <c r="D236" s="32" t="s">
        <v>1763</v>
      </c>
      <c r="E236" s="9"/>
      <c r="F236" s="9"/>
      <c r="G236" s="9"/>
      <c r="H236" s="9"/>
      <c r="I236" s="12">
        <v>1</v>
      </c>
      <c r="J236" s="12">
        <v>0</v>
      </c>
      <c r="K236" s="12">
        <v>2</v>
      </c>
      <c r="L236" s="12">
        <v>1</v>
      </c>
      <c r="N236" s="241">
        <f t="shared" si="209"/>
        <v>2</v>
      </c>
      <c r="O236" s="241">
        <f t="shared" si="210"/>
        <v>1</v>
      </c>
      <c r="P236" s="241">
        <v>0</v>
      </c>
      <c r="Q236" s="241">
        <v>0</v>
      </c>
      <c r="R236" s="241"/>
      <c r="S236" s="241">
        <v>0</v>
      </c>
      <c r="T236" s="241">
        <v>0</v>
      </c>
      <c r="U236" s="241"/>
      <c r="V236" s="241">
        <v>0</v>
      </c>
      <c r="W236" s="241">
        <v>0</v>
      </c>
      <c r="Y236" s="241">
        <v>2</v>
      </c>
      <c r="Z236" s="241">
        <v>1</v>
      </c>
    </row>
    <row r="237" spans="1:26" x14ac:dyDescent="0.25">
      <c r="A237" s="10"/>
      <c r="B237" s="70" t="s">
        <v>1949</v>
      </c>
      <c r="C237" s="32"/>
      <c r="D237" s="32"/>
      <c r="E237" s="9"/>
      <c r="F237" s="9"/>
      <c r="G237" s="9"/>
      <c r="H237" s="9"/>
      <c r="I237" s="12"/>
      <c r="J237" s="12"/>
      <c r="K237" s="12"/>
      <c r="L237" s="12"/>
      <c r="N237" s="241"/>
      <c r="O237" s="241"/>
      <c r="P237" s="241"/>
    </row>
    <row r="238" spans="1:26" x14ac:dyDescent="0.25">
      <c r="A238" s="10"/>
      <c r="B238" s="70" t="s">
        <v>1182</v>
      </c>
      <c r="C238" s="32"/>
      <c r="D238" s="32" t="s">
        <v>1763</v>
      </c>
      <c r="E238" s="9"/>
      <c r="F238" s="9"/>
      <c r="G238" s="9"/>
      <c r="H238" s="9"/>
      <c r="I238" s="12">
        <v>10</v>
      </c>
      <c r="J238" s="12">
        <f>3+2+1</f>
        <v>6</v>
      </c>
      <c r="K238" s="12">
        <f>1+2+3</f>
        <v>6</v>
      </c>
      <c r="L238" s="12">
        <v>6</v>
      </c>
      <c r="M238" s="241"/>
      <c r="N238" s="241">
        <f t="shared" ref="N238:N239" si="211">P238+S238+V238+Y238</f>
        <v>6</v>
      </c>
      <c r="O238" s="241">
        <f t="shared" ref="O238:O239" si="212">Q238+T238+W238+Z238</f>
        <v>6</v>
      </c>
      <c r="P238" s="241">
        <v>1</v>
      </c>
      <c r="Q238">
        <v>1</v>
      </c>
      <c r="S238">
        <v>3</v>
      </c>
      <c r="T238">
        <v>3</v>
      </c>
      <c r="V238">
        <v>2</v>
      </c>
      <c r="W238">
        <v>2</v>
      </c>
    </row>
    <row r="239" spans="1:26" x14ac:dyDescent="0.25">
      <c r="A239" s="10"/>
      <c r="B239" s="70" t="s">
        <v>1184</v>
      </c>
      <c r="C239" s="32"/>
      <c r="D239" s="32" t="s">
        <v>1763</v>
      </c>
      <c r="E239" s="9"/>
      <c r="F239" s="9"/>
      <c r="G239" s="9"/>
      <c r="H239" s="9"/>
      <c r="I239" s="12">
        <v>0</v>
      </c>
      <c r="J239" s="12">
        <v>0</v>
      </c>
      <c r="K239" s="12">
        <v>0</v>
      </c>
      <c r="L239" s="12">
        <v>0</v>
      </c>
      <c r="N239" s="241">
        <f t="shared" si="211"/>
        <v>0</v>
      </c>
      <c r="O239" s="241">
        <f t="shared" si="212"/>
        <v>0</v>
      </c>
      <c r="P239" s="241">
        <v>0</v>
      </c>
      <c r="Q239" s="241">
        <v>0</v>
      </c>
      <c r="R239" s="241"/>
      <c r="S239" s="241">
        <v>0</v>
      </c>
      <c r="T239" s="241">
        <v>0</v>
      </c>
      <c r="U239" s="241"/>
      <c r="V239" s="241">
        <v>0</v>
      </c>
      <c r="W239" s="241">
        <v>0</v>
      </c>
      <c r="Y239" s="241">
        <v>0</v>
      </c>
      <c r="Z239" s="241">
        <v>0</v>
      </c>
    </row>
    <row r="240" spans="1:26" x14ac:dyDescent="0.25">
      <c r="A240" s="10"/>
      <c r="B240" s="70" t="s">
        <v>1999</v>
      </c>
      <c r="C240" s="6"/>
      <c r="D240" s="32"/>
      <c r="E240" s="9"/>
      <c r="F240" s="9"/>
      <c r="G240" s="9"/>
      <c r="H240" s="9"/>
      <c r="I240" s="12"/>
      <c r="J240" s="12"/>
      <c r="K240" s="12"/>
      <c r="L240" s="12"/>
    </row>
    <row r="241" spans="1:26" ht="30" x14ac:dyDescent="0.25">
      <c r="A241" s="10"/>
      <c r="B241" s="70" t="s">
        <v>2919</v>
      </c>
      <c r="C241" s="6" t="s">
        <v>2001</v>
      </c>
      <c r="D241" s="32"/>
      <c r="E241" s="9"/>
      <c r="F241" s="9"/>
      <c r="G241" s="9"/>
      <c r="H241" s="9"/>
      <c r="I241" s="12"/>
      <c r="J241" s="12"/>
      <c r="K241" s="12"/>
      <c r="L241" s="12"/>
    </row>
    <row r="242" spans="1:26" x14ac:dyDescent="0.25">
      <c r="A242" s="10"/>
      <c r="B242" s="70" t="s">
        <v>1182</v>
      </c>
      <c r="C242" s="32"/>
      <c r="D242" s="32" t="s">
        <v>1763</v>
      </c>
      <c r="E242" s="9"/>
      <c r="F242" s="9"/>
      <c r="G242" s="9"/>
      <c r="H242" s="9"/>
      <c r="I242" s="12">
        <f>5+9+2</f>
        <v>16</v>
      </c>
      <c r="J242" s="12">
        <f>4+11+1</f>
        <v>16</v>
      </c>
      <c r="K242" s="12">
        <f>2+11+5</f>
        <v>18</v>
      </c>
      <c r="L242" s="12">
        <v>18</v>
      </c>
      <c r="N242" s="241">
        <f t="shared" ref="N242:N243" si="213">P242+S242+V242+Y242</f>
        <v>18</v>
      </c>
      <c r="O242" s="241">
        <f t="shared" ref="O242:O243" si="214">Q242+T242+W242+Z242</f>
        <v>18</v>
      </c>
      <c r="P242" s="241">
        <v>2</v>
      </c>
      <c r="Q242" s="241">
        <v>2</v>
      </c>
      <c r="R242" s="241"/>
      <c r="S242" s="241">
        <v>5</v>
      </c>
      <c r="T242">
        <v>5</v>
      </c>
      <c r="V242">
        <v>11</v>
      </c>
      <c r="W242">
        <v>11</v>
      </c>
    </row>
    <row r="243" spans="1:26" x14ac:dyDescent="0.25">
      <c r="A243" s="10"/>
      <c r="B243" s="70" t="s">
        <v>1184</v>
      </c>
      <c r="C243" s="32"/>
      <c r="D243" s="32" t="s">
        <v>1763</v>
      </c>
      <c r="E243" s="9"/>
      <c r="F243" s="9"/>
      <c r="G243" s="9"/>
      <c r="H243" s="9"/>
      <c r="I243" s="12">
        <v>1</v>
      </c>
      <c r="J243" s="12">
        <v>0</v>
      </c>
      <c r="K243" s="12">
        <v>2</v>
      </c>
      <c r="L243" s="12">
        <v>1</v>
      </c>
      <c r="N243" s="241">
        <f t="shared" si="213"/>
        <v>2</v>
      </c>
      <c r="O243" s="241">
        <f t="shared" si="214"/>
        <v>1</v>
      </c>
      <c r="P243" s="241">
        <v>0</v>
      </c>
      <c r="Q243" s="241">
        <v>0</v>
      </c>
      <c r="R243" s="241"/>
      <c r="S243" s="241">
        <v>0</v>
      </c>
      <c r="T243" s="241">
        <v>0</v>
      </c>
      <c r="U243" s="241"/>
      <c r="V243" s="241">
        <v>0</v>
      </c>
      <c r="W243" s="241">
        <v>0</v>
      </c>
      <c r="Y243" s="241">
        <v>2</v>
      </c>
      <c r="Z243" s="241">
        <v>1</v>
      </c>
    </row>
    <row r="244" spans="1:26" x14ac:dyDescent="0.25">
      <c r="A244" s="10"/>
      <c r="B244" s="70" t="s">
        <v>1949</v>
      </c>
      <c r="C244" s="32"/>
      <c r="D244" s="32"/>
      <c r="E244" s="9"/>
      <c r="F244" s="9"/>
      <c r="G244" s="9"/>
      <c r="H244" s="9"/>
      <c r="I244" s="12"/>
      <c r="J244" s="12"/>
      <c r="K244" s="12"/>
      <c r="L244" s="12"/>
      <c r="N244" s="241"/>
      <c r="O244" s="241"/>
      <c r="P244" s="241"/>
      <c r="Q244" s="241"/>
      <c r="R244" s="241"/>
      <c r="S244" s="241"/>
    </row>
    <row r="245" spans="1:26" x14ac:dyDescent="0.25">
      <c r="A245" s="10"/>
      <c r="B245" s="70" t="s">
        <v>1182</v>
      </c>
      <c r="C245" s="32"/>
      <c r="D245" s="32" t="s">
        <v>1763</v>
      </c>
      <c r="E245" s="9"/>
      <c r="F245" s="9"/>
      <c r="G245" s="9"/>
      <c r="H245" s="9"/>
      <c r="I245" s="12">
        <f>3+3+4</f>
        <v>10</v>
      </c>
      <c r="J245" s="12">
        <f>3+4+4</f>
        <v>11</v>
      </c>
      <c r="K245" s="12">
        <f>4+4+3</f>
        <v>11</v>
      </c>
      <c r="L245" s="12">
        <v>11</v>
      </c>
      <c r="N245" s="241">
        <f t="shared" ref="N245:N246" si="215">P245+S245+V245+Y245</f>
        <v>11</v>
      </c>
      <c r="O245" s="241">
        <f t="shared" ref="O245:O246" si="216">Q245+T245+W245+Z245</f>
        <v>11</v>
      </c>
      <c r="P245" s="241">
        <v>4</v>
      </c>
      <c r="Q245" s="241">
        <v>4</v>
      </c>
      <c r="R245" s="241"/>
      <c r="S245" s="241">
        <v>3</v>
      </c>
      <c r="T245">
        <v>3</v>
      </c>
      <c r="V245">
        <v>4</v>
      </c>
      <c r="W245">
        <v>4</v>
      </c>
    </row>
    <row r="246" spans="1:26" x14ac:dyDescent="0.25">
      <c r="A246" s="10"/>
      <c r="B246" s="70" t="s">
        <v>1184</v>
      </c>
      <c r="C246" s="32"/>
      <c r="D246" s="32" t="s">
        <v>1763</v>
      </c>
      <c r="E246" s="9"/>
      <c r="F246" s="9"/>
      <c r="G246" s="9"/>
      <c r="H246" s="9"/>
      <c r="I246" s="12">
        <v>0</v>
      </c>
      <c r="J246" s="12">
        <v>0</v>
      </c>
      <c r="K246" s="12">
        <v>0</v>
      </c>
      <c r="L246" s="12">
        <v>0</v>
      </c>
      <c r="N246" s="241">
        <f t="shared" si="215"/>
        <v>0</v>
      </c>
      <c r="O246" s="241">
        <f t="shared" si="216"/>
        <v>0</v>
      </c>
      <c r="P246" s="241">
        <v>0</v>
      </c>
      <c r="Q246" s="241">
        <v>0</v>
      </c>
      <c r="R246" s="241"/>
      <c r="S246" s="241">
        <v>0</v>
      </c>
      <c r="T246" s="241">
        <v>0</v>
      </c>
      <c r="U246" s="241"/>
      <c r="V246" s="241">
        <v>0</v>
      </c>
      <c r="W246" s="241">
        <v>0</v>
      </c>
      <c r="Y246" s="241">
        <v>0</v>
      </c>
      <c r="Z246" s="241">
        <v>0</v>
      </c>
    </row>
    <row r="247" spans="1:26" ht="75" x14ac:dyDescent="0.25">
      <c r="A247" s="42" t="s">
        <v>83</v>
      </c>
      <c r="B247" s="94" t="s">
        <v>1950</v>
      </c>
      <c r="C247" s="42"/>
      <c r="D247" s="42"/>
      <c r="E247" s="50"/>
      <c r="F247" s="50"/>
      <c r="G247" s="50"/>
      <c r="H247" s="50"/>
      <c r="I247" s="50"/>
      <c r="J247" s="50"/>
      <c r="K247" s="50"/>
      <c r="L247" s="50"/>
    </row>
    <row r="248" spans="1:26" x14ac:dyDescent="0.25">
      <c r="A248" s="42"/>
      <c r="B248" s="94" t="s">
        <v>1182</v>
      </c>
      <c r="C248" s="42"/>
      <c r="D248" s="42"/>
      <c r="E248" s="50"/>
      <c r="F248" s="50"/>
      <c r="G248" s="50"/>
      <c r="H248" s="50"/>
      <c r="I248" s="50"/>
      <c r="J248" s="50"/>
      <c r="K248" s="50"/>
      <c r="L248" s="50"/>
    </row>
    <row r="249" spans="1:26" x14ac:dyDescent="0.25">
      <c r="A249" s="42"/>
      <c r="B249" s="94" t="s">
        <v>2002</v>
      </c>
      <c r="C249" s="42"/>
      <c r="D249" s="42" t="s">
        <v>8</v>
      </c>
      <c r="E249" s="50"/>
      <c r="F249" s="50"/>
      <c r="G249" s="50"/>
      <c r="H249" s="50"/>
      <c r="I249" s="45">
        <f>I258/$I$261*100</f>
        <v>3.9158100832109639E-2</v>
      </c>
      <c r="J249" s="45">
        <f t="shared" ref="J249:J251" si="217">J258/$J$261*100</f>
        <v>2.0177562550443905E-2</v>
      </c>
      <c r="K249" s="45">
        <f>K258/$K$261*100</f>
        <v>9.9671085418120194E-3</v>
      </c>
      <c r="L249" s="45">
        <f>L258/$L$261*100</f>
        <v>3.1065548306927617E-2</v>
      </c>
      <c r="N249" s="45">
        <f>N258/$K$261*100</f>
        <v>9.9671085418120194E-3</v>
      </c>
      <c r="O249" s="45">
        <f>O258/$L$261*100</f>
        <v>3.1065548306927617E-2</v>
      </c>
      <c r="P249" s="45">
        <f>P258/$K$261*100</f>
        <v>0</v>
      </c>
      <c r="Q249" s="45">
        <f>Q258/$L$261*100</f>
        <v>0</v>
      </c>
      <c r="S249" s="45">
        <f>S258/$K$261*100</f>
        <v>0</v>
      </c>
      <c r="T249" s="45">
        <f>T258/$L$261*100</f>
        <v>0</v>
      </c>
      <c r="V249" s="45">
        <f>V258/$K$261*100</f>
        <v>9.9671085418120194E-3</v>
      </c>
      <c r="W249" s="45">
        <f>W258/$L$261*100</f>
        <v>3.1065548306927617E-2</v>
      </c>
      <c r="Y249" s="45">
        <f>Y258/$K$261*100</f>
        <v>0</v>
      </c>
      <c r="Z249" s="45">
        <f>Z258/$L$261*100</f>
        <v>0</v>
      </c>
    </row>
    <row r="250" spans="1:26" x14ac:dyDescent="0.25">
      <c r="A250" s="42"/>
      <c r="B250" s="94" t="s">
        <v>2003</v>
      </c>
      <c r="C250" s="42"/>
      <c r="D250" s="42" t="s">
        <v>8</v>
      </c>
      <c r="E250" s="50"/>
      <c r="F250" s="50"/>
      <c r="G250" s="50"/>
      <c r="H250" s="50"/>
      <c r="I250" s="45">
        <f>I259/$I$261*100</f>
        <v>3.9158100832109639E-2</v>
      </c>
      <c r="J250" s="45">
        <f t="shared" si="217"/>
        <v>1.0088781275221953E-2</v>
      </c>
      <c r="K250" s="45">
        <f>K259/$K$261*100</f>
        <v>0</v>
      </c>
      <c r="L250" s="45">
        <f>L259/$L$261*100</f>
        <v>3.1065548306927617E-2</v>
      </c>
      <c r="N250" s="45">
        <f>N259/$K$261*100</f>
        <v>0</v>
      </c>
      <c r="O250" s="45">
        <f>O259/$L$261*100</f>
        <v>3.1065548306927617E-2</v>
      </c>
      <c r="P250" s="45">
        <f>P259/$K$261*100</f>
        <v>0</v>
      </c>
      <c r="Q250" s="45">
        <f>Q259/$L$261*100</f>
        <v>0</v>
      </c>
      <c r="S250" s="45">
        <f>S259/$K$261*100</f>
        <v>0</v>
      </c>
      <c r="T250" s="45">
        <f>T259/$L$261*100</f>
        <v>0</v>
      </c>
      <c r="V250" s="45">
        <f>V259/$K$261*100</f>
        <v>0</v>
      </c>
      <c r="W250" s="45">
        <f>W259/$L$261*100</f>
        <v>3.1065548306927617E-2</v>
      </c>
      <c r="Y250" s="45">
        <f>Y259/$K$261*100</f>
        <v>0</v>
      </c>
      <c r="Z250" s="45">
        <f>Z259/$L$261*100</f>
        <v>0</v>
      </c>
    </row>
    <row r="251" spans="1:26" ht="30" x14ac:dyDescent="0.25">
      <c r="A251" s="42"/>
      <c r="B251" s="94" t="s">
        <v>2004</v>
      </c>
      <c r="C251" s="42"/>
      <c r="D251" s="42" t="s">
        <v>8</v>
      </c>
      <c r="E251" s="50"/>
      <c r="F251" s="50"/>
      <c r="G251" s="50"/>
      <c r="H251" s="50"/>
      <c r="I251" s="45">
        <f>I260/$I$261*100</f>
        <v>0.5775819872736172</v>
      </c>
      <c r="J251" s="45">
        <f t="shared" si="217"/>
        <v>0.67594834543987092</v>
      </c>
      <c r="K251" s="45">
        <f>K260/$K$261*100</f>
        <v>0.88707266022126985</v>
      </c>
      <c r="L251" s="45">
        <f>L260/$L$261*100</f>
        <v>0.98374236305270779</v>
      </c>
      <c r="N251" s="45">
        <f>N260/$K$261*100</f>
        <v>0.88707266022126985</v>
      </c>
      <c r="O251" s="45">
        <f>O260/$L$261*100</f>
        <v>0.98374236305270779</v>
      </c>
      <c r="P251" s="45">
        <f>P260/$K$261*100</f>
        <v>2.990132562543606E-2</v>
      </c>
      <c r="Q251" s="45">
        <f>Q260/$L$261*100</f>
        <v>3.1065548306927617E-2</v>
      </c>
      <c r="S251" s="45">
        <f>S260/$K$261*100</f>
        <v>0.21927638791986442</v>
      </c>
      <c r="T251" s="45">
        <f>T260/$L$261*100</f>
        <v>0.23816920368644506</v>
      </c>
      <c r="V251" s="45">
        <f>V260/$K$261*100</f>
        <v>0.63789494667596924</v>
      </c>
      <c r="W251" s="45">
        <f>W260/$L$261*100</f>
        <v>0.71450761105933525</v>
      </c>
      <c r="Y251" s="45">
        <f>Y260/$K$261*100</f>
        <v>0</v>
      </c>
      <c r="Z251" s="45">
        <f>Z260/$L$261*100</f>
        <v>0</v>
      </c>
    </row>
    <row r="252" spans="1:26" x14ac:dyDescent="0.25">
      <c r="A252" s="42"/>
      <c r="B252" s="94" t="s">
        <v>1184</v>
      </c>
      <c r="C252" s="42"/>
      <c r="D252" s="42"/>
      <c r="E252" s="50"/>
      <c r="F252" s="50"/>
      <c r="G252" s="50"/>
      <c r="H252" s="50"/>
      <c r="I252" s="50"/>
      <c r="J252" s="50"/>
      <c r="K252" s="50"/>
      <c r="L252" s="50"/>
      <c r="N252" s="50"/>
      <c r="O252" s="50"/>
      <c r="P252" s="50"/>
      <c r="Q252" s="50"/>
      <c r="S252" s="50"/>
      <c r="T252" s="50"/>
      <c r="V252" s="50"/>
      <c r="W252" s="50"/>
      <c r="Y252" s="50"/>
      <c r="Z252" s="50"/>
    </row>
    <row r="253" spans="1:26" x14ac:dyDescent="0.25">
      <c r="A253" s="42"/>
      <c r="B253" s="94" t="s">
        <v>2002</v>
      </c>
      <c r="C253" s="42"/>
      <c r="D253" s="42" t="s">
        <v>8</v>
      </c>
      <c r="E253" s="50"/>
      <c r="F253" s="50"/>
      <c r="G253" s="50"/>
      <c r="H253" s="50"/>
      <c r="I253" s="45">
        <f>I264/$I$267*100</f>
        <v>0</v>
      </c>
      <c r="J253" s="45" t="e">
        <f>J264/$J$267*100</f>
        <v>#DIV/0!</v>
      </c>
      <c r="K253" s="45">
        <f>K264/$K$267*100</f>
        <v>0</v>
      </c>
      <c r="L253" s="45">
        <f>L264/$L$267*100</f>
        <v>0</v>
      </c>
      <c r="N253" s="45">
        <f>N264/$K$267*100</f>
        <v>0</v>
      </c>
      <c r="O253" s="45">
        <f>O264/$L$267*100</f>
        <v>0</v>
      </c>
      <c r="P253" s="45">
        <f>P264/$K$267*100</f>
        <v>0</v>
      </c>
      <c r="Q253" s="45">
        <f>Q264/$L$267*100</f>
        <v>0</v>
      </c>
      <c r="S253" s="45">
        <f>S264/$K$267*100</f>
        <v>0</v>
      </c>
      <c r="T253" s="45">
        <f>T264/$L$267*100</f>
        <v>0</v>
      </c>
      <c r="V253" s="45">
        <f>V264/$K$267*100</f>
        <v>0</v>
      </c>
      <c r="W253" s="45">
        <f>W264/$L$267*100</f>
        <v>0</v>
      </c>
      <c r="Y253" s="45">
        <f>Y264/$K$267*100</f>
        <v>0</v>
      </c>
      <c r="Z253" s="45">
        <f>Z264/$L$267*100</f>
        <v>0</v>
      </c>
    </row>
    <row r="254" spans="1:26" x14ac:dyDescent="0.25">
      <c r="A254" s="42"/>
      <c r="B254" s="94" t="s">
        <v>2003</v>
      </c>
      <c r="C254" s="42"/>
      <c r="D254" s="42" t="s">
        <v>8</v>
      </c>
      <c r="E254" s="50"/>
      <c r="F254" s="50"/>
      <c r="G254" s="50"/>
      <c r="H254" s="50"/>
      <c r="I254" s="45">
        <f>I265/$I$267*100</f>
        <v>0</v>
      </c>
      <c r="J254" s="45" t="e">
        <f t="shared" ref="J254:J255" si="218">J265/$J$267*100</f>
        <v>#DIV/0!</v>
      </c>
      <c r="K254" s="45">
        <f>K265/$K$267*100</f>
        <v>0</v>
      </c>
      <c r="L254" s="45">
        <f>L265/$L$267*100</f>
        <v>0</v>
      </c>
      <c r="N254" s="45">
        <f>N265/$K$267*100</f>
        <v>0</v>
      </c>
      <c r="O254" s="45">
        <f>O265/$L$267*100</f>
        <v>0</v>
      </c>
      <c r="P254" s="45">
        <f>P265/$K$267*100</f>
        <v>0</v>
      </c>
      <c r="Q254" s="45">
        <f>Q265/$L$267*100</f>
        <v>0</v>
      </c>
      <c r="S254" s="45">
        <f>S265/$K$267*100</f>
        <v>0</v>
      </c>
      <c r="T254" s="45">
        <f>T265/$L$267*100</f>
        <v>0</v>
      </c>
      <c r="V254" s="45">
        <f>V265/$K$267*100</f>
        <v>0</v>
      </c>
      <c r="W254" s="45">
        <f>W265/$L$267*100</f>
        <v>0</v>
      </c>
      <c r="Y254" s="45">
        <f>Y265/$K$267*100</f>
        <v>0</v>
      </c>
      <c r="Z254" s="45">
        <f>Z265/$L$267*100</f>
        <v>0</v>
      </c>
    </row>
    <row r="255" spans="1:26" ht="30" x14ac:dyDescent="0.25">
      <c r="A255" s="42"/>
      <c r="B255" s="94" t="s">
        <v>2004</v>
      </c>
      <c r="C255" s="42"/>
      <c r="D255" s="42" t="s">
        <v>8</v>
      </c>
      <c r="E255" s="50"/>
      <c r="F255" s="50"/>
      <c r="G255" s="50"/>
      <c r="H255" s="50"/>
      <c r="I255" s="45">
        <f>I266/$I$267*100</f>
        <v>0</v>
      </c>
      <c r="J255" s="45" t="e">
        <f t="shared" si="218"/>
        <v>#DIV/0!</v>
      </c>
      <c r="K255" s="45">
        <f>K266/$K$267*100</f>
        <v>0</v>
      </c>
      <c r="L255" s="45">
        <f>L266/$L$267*100</f>
        <v>0</v>
      </c>
      <c r="N255" s="45">
        <f>N266/$K$267*100</f>
        <v>0</v>
      </c>
      <c r="O255" s="45">
        <f>O266/$L$267*100</f>
        <v>0</v>
      </c>
      <c r="P255" s="45">
        <f>P266/$K$267*100</f>
        <v>0</v>
      </c>
      <c r="Q255" s="45">
        <f>Q266/$L$267*100</f>
        <v>0</v>
      </c>
      <c r="S255" s="45">
        <f>S266/$K$267*100</f>
        <v>0</v>
      </c>
      <c r="T255" s="45">
        <f>T266/$L$267*100</f>
        <v>0</v>
      </c>
      <c r="V255" s="45">
        <f>V266/$K$267*100</f>
        <v>0</v>
      </c>
      <c r="W255" s="45">
        <f>W266/$L$267*100</f>
        <v>0</v>
      </c>
      <c r="Y255" s="45">
        <f>Y266/$K$267*100</f>
        <v>0</v>
      </c>
      <c r="Z255" s="45">
        <f>Z266/$L$267*100</f>
        <v>0</v>
      </c>
    </row>
    <row r="256" spans="1:26" x14ac:dyDescent="0.25">
      <c r="A256" s="6"/>
      <c r="B256" s="70" t="s">
        <v>1182</v>
      </c>
      <c r="C256" s="6"/>
      <c r="D256" s="6"/>
      <c r="E256" s="9"/>
      <c r="F256" s="9"/>
      <c r="G256" s="9"/>
      <c r="H256" s="9"/>
      <c r="I256" s="9"/>
      <c r="J256" s="12"/>
      <c r="K256" s="9"/>
      <c r="L256" s="9"/>
    </row>
    <row r="257" spans="1:26" ht="30" x14ac:dyDescent="0.25">
      <c r="A257" s="6"/>
      <c r="B257" s="70" t="s">
        <v>2005</v>
      </c>
      <c r="C257" s="6"/>
      <c r="D257" s="6"/>
      <c r="E257" s="9"/>
      <c r="F257" s="9"/>
      <c r="G257" s="9"/>
      <c r="H257" s="9"/>
      <c r="I257" s="9"/>
      <c r="J257" s="12"/>
      <c r="K257" s="9"/>
      <c r="L257" s="9"/>
    </row>
    <row r="258" spans="1:26" ht="45" x14ac:dyDescent="0.25">
      <c r="A258" s="6"/>
      <c r="B258" s="70" t="s">
        <v>2002</v>
      </c>
      <c r="C258" s="6" t="s">
        <v>2459</v>
      </c>
      <c r="D258" s="6" t="s">
        <v>950</v>
      </c>
      <c r="E258" s="9"/>
      <c r="F258" s="9"/>
      <c r="G258" s="9"/>
      <c r="H258" s="9"/>
      <c r="I258" s="12">
        <v>4</v>
      </c>
      <c r="J258" s="12">
        <f>1+1</f>
        <v>2</v>
      </c>
      <c r="K258" s="12">
        <v>1</v>
      </c>
      <c r="L258" s="12">
        <v>3</v>
      </c>
      <c r="N258" s="241">
        <f t="shared" ref="N258:N261" si="219">P258+S258+V258+Y258</f>
        <v>1</v>
      </c>
      <c r="O258" s="241">
        <f t="shared" ref="O258:O261" si="220">Q258+T258+W258+Z258</f>
        <v>3</v>
      </c>
      <c r="P258">
        <v>0</v>
      </c>
      <c r="Q258">
        <v>0</v>
      </c>
      <c r="S258">
        <v>0</v>
      </c>
      <c r="T258">
        <v>0</v>
      </c>
      <c r="V258">
        <v>1</v>
      </c>
      <c r="W258">
        <v>3</v>
      </c>
      <c r="Y258" s="241">
        <v>0</v>
      </c>
      <c r="Z258" s="241">
        <v>0</v>
      </c>
    </row>
    <row r="259" spans="1:26" ht="45" x14ac:dyDescent="0.25">
      <c r="A259" s="6"/>
      <c r="B259" s="70" t="s">
        <v>2003</v>
      </c>
      <c r="C259" s="6" t="s">
        <v>2460</v>
      </c>
      <c r="D259" s="6" t="s">
        <v>950</v>
      </c>
      <c r="E259" s="9"/>
      <c r="F259" s="9"/>
      <c r="G259" s="9"/>
      <c r="H259" s="9"/>
      <c r="I259" s="12">
        <v>4</v>
      </c>
      <c r="J259" s="12">
        <v>1</v>
      </c>
      <c r="K259" s="12">
        <v>0</v>
      </c>
      <c r="L259" s="12">
        <f>2+1</f>
        <v>3</v>
      </c>
      <c r="N259" s="241">
        <f t="shared" si="219"/>
        <v>0</v>
      </c>
      <c r="O259" s="241">
        <f t="shared" si="220"/>
        <v>3</v>
      </c>
      <c r="P259">
        <v>0</v>
      </c>
      <c r="Q259">
        <v>0</v>
      </c>
      <c r="S259">
        <v>0</v>
      </c>
      <c r="T259">
        <v>0</v>
      </c>
      <c r="V259">
        <v>0</v>
      </c>
      <c r="W259">
        <v>3</v>
      </c>
      <c r="Y259" s="241">
        <v>0</v>
      </c>
      <c r="Z259" s="241">
        <v>0</v>
      </c>
    </row>
    <row r="260" spans="1:26" ht="45" x14ac:dyDescent="0.25">
      <c r="A260" s="6"/>
      <c r="B260" s="70" t="s">
        <v>2004</v>
      </c>
      <c r="C260" s="6" t="s">
        <v>2461</v>
      </c>
      <c r="D260" s="6" t="s">
        <v>950</v>
      </c>
      <c r="E260" s="9"/>
      <c r="F260" s="9"/>
      <c r="G260" s="9"/>
      <c r="H260" s="9"/>
      <c r="I260" s="12">
        <f>39+20</f>
        <v>59</v>
      </c>
      <c r="J260" s="12">
        <f>2+28+10+2+2+13+3+7</f>
        <v>67</v>
      </c>
      <c r="K260" s="12">
        <f>1+2+17+5+45+9+5+2+1+1+1</f>
        <v>89</v>
      </c>
      <c r="L260" s="12">
        <f>18+1+4+53+12+4+1+2</f>
        <v>95</v>
      </c>
      <c r="N260" s="241">
        <f t="shared" si="219"/>
        <v>89</v>
      </c>
      <c r="O260" s="241">
        <f t="shared" si="220"/>
        <v>95</v>
      </c>
      <c r="P260">
        <v>3</v>
      </c>
      <c r="Q260">
        <v>3</v>
      </c>
      <c r="S260">
        <f>17+5</f>
        <v>22</v>
      </c>
      <c r="T260">
        <f>19+4</f>
        <v>23</v>
      </c>
      <c r="V260">
        <v>64</v>
      </c>
      <c r="W260">
        <v>69</v>
      </c>
      <c r="Y260" s="241">
        <v>0</v>
      </c>
      <c r="Z260" s="241">
        <v>0</v>
      </c>
    </row>
    <row r="261" spans="1:26" ht="30" x14ac:dyDescent="0.25">
      <c r="A261" s="6"/>
      <c r="B261" s="70" t="s">
        <v>2006</v>
      </c>
      <c r="C261" s="6" t="s">
        <v>1977</v>
      </c>
      <c r="D261" s="6" t="s">
        <v>950</v>
      </c>
      <c r="E261" s="9"/>
      <c r="F261" s="9"/>
      <c r="G261" s="9"/>
      <c r="H261" s="9"/>
      <c r="I261" s="12">
        <f>564+2932+1413+493+14+19+1664+87+387+1769+248+593+32</f>
        <v>10215</v>
      </c>
      <c r="J261" s="12">
        <f>594+4790+57+1811+2102+558</f>
        <v>9912</v>
      </c>
      <c r="K261" s="12">
        <f>K37</f>
        <v>10033</v>
      </c>
      <c r="L261" s="12">
        <f>L37</f>
        <v>9657</v>
      </c>
      <c r="N261" s="241">
        <f t="shared" si="219"/>
        <v>10033</v>
      </c>
      <c r="O261" s="241">
        <f t="shared" si="220"/>
        <v>9657</v>
      </c>
      <c r="P261" s="241">
        <f>P11</f>
        <v>625</v>
      </c>
      <c r="Q261">
        <f>Q11</f>
        <v>614</v>
      </c>
      <c r="S261" s="241">
        <f t="shared" ref="S261:W261" si="221">S11</f>
        <v>2528</v>
      </c>
      <c r="T261" s="241">
        <f t="shared" si="221"/>
        <v>2398</v>
      </c>
      <c r="V261" s="241">
        <f t="shared" si="221"/>
        <v>6880</v>
      </c>
      <c r="W261" s="241">
        <f t="shared" si="221"/>
        <v>6645</v>
      </c>
      <c r="Y261" s="241">
        <f t="shared" ref="Y261:Z261" si="222">Y11</f>
        <v>0</v>
      </c>
      <c r="Z261" s="241">
        <f t="shared" si="222"/>
        <v>0</v>
      </c>
    </row>
    <row r="262" spans="1:26" x14ac:dyDescent="0.25">
      <c r="A262" s="6"/>
      <c r="B262" s="70" t="s">
        <v>1184</v>
      </c>
      <c r="C262" s="6"/>
      <c r="D262" s="6"/>
      <c r="E262" s="9"/>
      <c r="F262" s="9"/>
      <c r="G262" s="9"/>
      <c r="H262" s="9"/>
      <c r="I262" s="12"/>
      <c r="J262" s="12"/>
      <c r="K262" s="12"/>
      <c r="L262" s="12"/>
    </row>
    <row r="263" spans="1:26" ht="30" x14ac:dyDescent="0.25">
      <c r="A263" s="6"/>
      <c r="B263" s="70" t="s">
        <v>2005</v>
      </c>
      <c r="C263" s="6"/>
      <c r="D263" s="6"/>
      <c r="E263" s="9"/>
      <c r="F263" s="9"/>
      <c r="G263" s="9"/>
      <c r="H263" s="9"/>
      <c r="I263" s="12"/>
      <c r="J263" s="12"/>
      <c r="K263" s="12"/>
      <c r="L263" s="12"/>
    </row>
    <row r="264" spans="1:26" ht="45" x14ac:dyDescent="0.25">
      <c r="A264" s="6"/>
      <c r="B264" s="70" t="s">
        <v>2002</v>
      </c>
      <c r="C264" s="6" t="s">
        <v>2008</v>
      </c>
      <c r="D264" s="6" t="s">
        <v>950</v>
      </c>
      <c r="E264" s="9"/>
      <c r="F264" s="9"/>
      <c r="G264" s="9"/>
      <c r="H264" s="9"/>
      <c r="I264" s="12">
        <v>0</v>
      </c>
      <c r="J264" s="12">
        <v>0</v>
      </c>
      <c r="K264" s="12">
        <v>0</v>
      </c>
      <c r="L264" s="12">
        <v>0</v>
      </c>
      <c r="N264" s="241">
        <f t="shared" ref="N264:N267" si="223">P264+S264+V264+Y264</f>
        <v>0</v>
      </c>
      <c r="O264" s="241">
        <f t="shared" ref="O264:O267" si="224">Q264+T264+W264+Z264</f>
        <v>0</v>
      </c>
      <c r="P264">
        <v>0</v>
      </c>
      <c r="Q264">
        <v>0</v>
      </c>
      <c r="S264">
        <v>0</v>
      </c>
      <c r="T264">
        <v>0</v>
      </c>
      <c r="V264">
        <v>0</v>
      </c>
      <c r="W264">
        <v>0</v>
      </c>
      <c r="Z264" s="241">
        <v>0</v>
      </c>
    </row>
    <row r="265" spans="1:26" ht="45" x14ac:dyDescent="0.25">
      <c r="A265" s="6"/>
      <c r="B265" s="70" t="s">
        <v>2003</v>
      </c>
      <c r="C265" s="6" t="s">
        <v>2007</v>
      </c>
      <c r="D265" s="6" t="s">
        <v>950</v>
      </c>
      <c r="E265" s="9"/>
      <c r="F265" s="9"/>
      <c r="G265" s="9"/>
      <c r="H265" s="9"/>
      <c r="I265" s="12">
        <v>0</v>
      </c>
      <c r="J265" s="12">
        <v>0</v>
      </c>
      <c r="K265" s="12">
        <v>0</v>
      </c>
      <c r="L265" s="12">
        <v>0</v>
      </c>
      <c r="N265" s="241">
        <f t="shared" si="223"/>
        <v>0</v>
      </c>
      <c r="O265" s="241">
        <f t="shared" si="224"/>
        <v>0</v>
      </c>
      <c r="P265" s="241">
        <v>0</v>
      </c>
      <c r="Q265" s="241">
        <v>0</v>
      </c>
      <c r="R265" s="241"/>
      <c r="S265" s="241">
        <v>0</v>
      </c>
      <c r="T265" s="241">
        <v>0</v>
      </c>
      <c r="U265" s="241"/>
      <c r="V265" s="241">
        <v>0</v>
      </c>
      <c r="W265" s="241">
        <v>0</v>
      </c>
      <c r="Z265" s="241">
        <v>0</v>
      </c>
    </row>
    <row r="266" spans="1:26" ht="45" x14ac:dyDescent="0.25">
      <c r="A266" s="6"/>
      <c r="B266" s="70" t="s">
        <v>2004</v>
      </c>
      <c r="C266" s="6" t="s">
        <v>2009</v>
      </c>
      <c r="D266" s="6" t="s">
        <v>950</v>
      </c>
      <c r="E266" s="9"/>
      <c r="F266" s="9"/>
      <c r="G266" s="9"/>
      <c r="H266" s="9"/>
      <c r="I266" s="12">
        <v>0</v>
      </c>
      <c r="J266" s="12">
        <v>0</v>
      </c>
      <c r="K266" s="12">
        <v>0</v>
      </c>
      <c r="L266" s="12">
        <v>0</v>
      </c>
      <c r="N266" s="241">
        <f t="shared" si="223"/>
        <v>0</v>
      </c>
      <c r="O266" s="241">
        <f t="shared" si="224"/>
        <v>0</v>
      </c>
      <c r="P266" s="241">
        <v>0</v>
      </c>
      <c r="Q266" s="241">
        <v>0</v>
      </c>
      <c r="R266" s="241"/>
      <c r="S266" s="241">
        <v>0</v>
      </c>
      <c r="T266" s="241">
        <v>0</v>
      </c>
      <c r="U266" s="241"/>
      <c r="V266" s="241">
        <v>0</v>
      </c>
      <c r="W266" s="241">
        <v>0</v>
      </c>
      <c r="Z266" s="241">
        <v>0</v>
      </c>
    </row>
    <row r="267" spans="1:26" ht="45" x14ac:dyDescent="0.25">
      <c r="A267" s="6"/>
      <c r="B267" s="70" t="s">
        <v>2006</v>
      </c>
      <c r="C267" s="6" t="s">
        <v>2462</v>
      </c>
      <c r="D267" s="6" t="s">
        <v>950</v>
      </c>
      <c r="E267" s="9"/>
      <c r="F267" s="9"/>
      <c r="G267" s="9"/>
      <c r="H267" s="9"/>
      <c r="I267" s="12">
        <v>57</v>
      </c>
      <c r="J267" s="12">
        <v>0</v>
      </c>
      <c r="K267" s="12">
        <f>K38</f>
        <v>164</v>
      </c>
      <c r="L267" s="12">
        <f>L38</f>
        <v>236</v>
      </c>
      <c r="N267" s="241">
        <f t="shared" si="223"/>
        <v>164</v>
      </c>
      <c r="O267" s="241">
        <f t="shared" si="224"/>
        <v>236</v>
      </c>
      <c r="P267" s="241">
        <v>0</v>
      </c>
      <c r="Q267" s="241">
        <v>0</v>
      </c>
      <c r="R267" s="241"/>
      <c r="S267" s="241">
        <v>0</v>
      </c>
      <c r="T267" s="241">
        <v>0</v>
      </c>
      <c r="U267" s="241"/>
      <c r="V267" s="241">
        <v>0</v>
      </c>
      <c r="W267" s="241">
        <v>0</v>
      </c>
      <c r="Y267" s="241">
        <f>Y38</f>
        <v>164</v>
      </c>
      <c r="Z267" s="241">
        <f>Z38</f>
        <v>236</v>
      </c>
    </row>
    <row r="268" spans="1:26" ht="60" hidden="1" x14ac:dyDescent="0.25">
      <c r="A268" s="42" t="s">
        <v>707</v>
      </c>
      <c r="B268" s="141" t="s">
        <v>706</v>
      </c>
      <c r="C268" s="44"/>
      <c r="D268" s="42"/>
      <c r="E268" s="50"/>
      <c r="F268" s="50"/>
      <c r="G268" s="50"/>
      <c r="H268" s="50"/>
      <c r="I268" s="50"/>
      <c r="J268" s="12"/>
      <c r="K268" s="50"/>
      <c r="L268" s="50"/>
      <c r="M268" s="3" t="s">
        <v>281</v>
      </c>
    </row>
    <row r="269" spans="1:26" hidden="1" x14ac:dyDescent="0.25">
      <c r="A269" s="54"/>
      <c r="B269" s="141" t="s">
        <v>1182</v>
      </c>
      <c r="C269" s="44"/>
      <c r="D269" s="42" t="s">
        <v>8</v>
      </c>
      <c r="E269" s="45">
        <v>100</v>
      </c>
      <c r="F269" s="45">
        <v>100</v>
      </c>
      <c r="G269" s="45">
        <v>100</v>
      </c>
      <c r="H269" s="45">
        <f>H271/H273*100</f>
        <v>100</v>
      </c>
      <c r="I269" s="45">
        <f>I271/I273*100</f>
        <v>100</v>
      </c>
      <c r="J269" s="12">
        <v>0</v>
      </c>
      <c r="K269" s="45">
        <f>K271/K273*100</f>
        <v>100</v>
      </c>
      <c r="L269" s="45">
        <f>L271/L273*100</f>
        <v>100</v>
      </c>
      <c r="M269" s="3"/>
    </row>
    <row r="270" spans="1:26" hidden="1" x14ac:dyDescent="0.25">
      <c r="A270" s="54"/>
      <c r="B270" s="141" t="s">
        <v>1184</v>
      </c>
      <c r="C270" s="44"/>
      <c r="D270" s="42" t="s">
        <v>8</v>
      </c>
      <c r="E270" s="45">
        <v>44.44</v>
      </c>
      <c r="F270" s="45">
        <v>50</v>
      </c>
      <c r="G270" s="45">
        <v>100</v>
      </c>
      <c r="H270" s="45">
        <v>75</v>
      </c>
      <c r="I270" s="45">
        <f>I272/I274*100</f>
        <v>100</v>
      </c>
      <c r="J270" s="12">
        <v>0</v>
      </c>
      <c r="K270" s="45">
        <f>K272/K274*100</f>
        <v>100</v>
      </c>
      <c r="L270" s="45">
        <f>L272/L274*100</f>
        <v>100</v>
      </c>
      <c r="M270" s="3"/>
    </row>
    <row r="271" spans="1:26" ht="49.5" hidden="1" customHeight="1" x14ac:dyDescent="0.25">
      <c r="A271" s="429"/>
      <c r="B271" s="429" t="s">
        <v>708</v>
      </c>
      <c r="C271" s="6" t="s">
        <v>1984</v>
      </c>
      <c r="D271" s="6" t="s">
        <v>1112</v>
      </c>
      <c r="E271" s="12"/>
      <c r="F271" s="12"/>
      <c r="G271" s="12"/>
      <c r="H271" s="12">
        <v>3</v>
      </c>
      <c r="I271" s="12">
        <v>3</v>
      </c>
      <c r="J271" s="12"/>
      <c r="K271" s="12">
        <v>3</v>
      </c>
      <c r="L271" s="12">
        <v>3</v>
      </c>
      <c r="M271" s="20"/>
    </row>
    <row r="272" spans="1:26" ht="49.5" hidden="1" customHeight="1" x14ac:dyDescent="0.25">
      <c r="A272" s="430"/>
      <c r="B272" s="430"/>
      <c r="C272" s="6" t="s">
        <v>1984</v>
      </c>
      <c r="D272" s="6" t="s">
        <v>1112</v>
      </c>
      <c r="E272" s="12"/>
      <c r="F272" s="12"/>
      <c r="G272" s="12"/>
      <c r="H272" s="12">
        <v>2</v>
      </c>
      <c r="I272" s="12">
        <v>1</v>
      </c>
      <c r="J272" s="12">
        <v>2</v>
      </c>
      <c r="K272" s="12">
        <v>1</v>
      </c>
      <c r="L272" s="12">
        <v>1</v>
      </c>
    </row>
    <row r="273" spans="1:13" ht="30" hidden="1" x14ac:dyDescent="0.25">
      <c r="A273" s="429"/>
      <c r="B273" s="429" t="s">
        <v>709</v>
      </c>
      <c r="C273" s="6" t="s">
        <v>710</v>
      </c>
      <c r="D273" s="6" t="s">
        <v>1112</v>
      </c>
      <c r="E273" s="12"/>
      <c r="F273" s="12"/>
      <c r="G273" s="12"/>
      <c r="H273" s="12">
        <v>3</v>
      </c>
      <c r="I273" s="12">
        <v>3</v>
      </c>
      <c r="J273" s="12">
        <v>0</v>
      </c>
      <c r="K273" s="12">
        <v>3</v>
      </c>
      <c r="L273" s="12">
        <v>3</v>
      </c>
      <c r="M273" s="20"/>
    </row>
    <row r="274" spans="1:13" ht="30" hidden="1" x14ac:dyDescent="0.25">
      <c r="A274" s="430"/>
      <c r="B274" s="430"/>
      <c r="C274" s="6" t="s">
        <v>711</v>
      </c>
      <c r="D274" s="6" t="s">
        <v>1112</v>
      </c>
      <c r="E274" s="12"/>
      <c r="F274" s="12"/>
      <c r="G274" s="12"/>
      <c r="H274" s="12">
        <v>2</v>
      </c>
      <c r="I274" s="12">
        <v>1</v>
      </c>
      <c r="J274" s="12"/>
      <c r="K274" s="12">
        <v>1</v>
      </c>
      <c r="L274" s="12">
        <v>1</v>
      </c>
    </row>
    <row r="275" spans="1:13" ht="60" hidden="1" x14ac:dyDescent="0.25">
      <c r="A275" s="42" t="s">
        <v>713</v>
      </c>
      <c r="B275" s="141" t="s">
        <v>712</v>
      </c>
      <c r="C275" s="44"/>
      <c r="D275" s="42"/>
      <c r="E275" s="50"/>
      <c r="F275" s="50"/>
      <c r="G275" s="50"/>
      <c r="H275" s="50"/>
      <c r="I275" s="50"/>
      <c r="J275" s="12">
        <v>0</v>
      </c>
      <c r="K275" s="50"/>
      <c r="L275" s="50"/>
      <c r="M275" s="3" t="s">
        <v>281</v>
      </c>
    </row>
    <row r="276" spans="1:13" hidden="1" x14ac:dyDescent="0.25">
      <c r="A276" s="54"/>
      <c r="B276" s="141" t="s">
        <v>1182</v>
      </c>
      <c r="C276" s="44"/>
      <c r="D276" s="42" t="s">
        <v>8</v>
      </c>
      <c r="E276" s="45">
        <v>0.36</v>
      </c>
      <c r="F276" s="45">
        <v>0.35</v>
      </c>
      <c r="G276" s="45">
        <v>0.56999999999999995</v>
      </c>
      <c r="H276" s="45">
        <f t="shared" ref="H276:I277" si="225">(H279+H282+H285)/H288*100</f>
        <v>0.56988602279544087</v>
      </c>
      <c r="I276" s="45">
        <f t="shared" si="225"/>
        <v>1.957905041605482E-2</v>
      </c>
      <c r="J276" s="12">
        <v>0</v>
      </c>
      <c r="K276" s="45">
        <f t="shared" ref="K276:L276" si="226">(K279+K282+K285)/K288*100</f>
        <v>1.957905041605482E-2</v>
      </c>
      <c r="L276" s="45">
        <f t="shared" si="226"/>
        <v>1.957905041605482E-2</v>
      </c>
      <c r="M276" s="3"/>
    </row>
    <row r="277" spans="1:13" hidden="1" x14ac:dyDescent="0.25">
      <c r="A277" s="42"/>
      <c r="B277" s="141" t="s">
        <v>1184</v>
      </c>
      <c r="C277" s="44"/>
      <c r="D277" s="42" t="s">
        <v>8</v>
      </c>
      <c r="E277" s="45">
        <v>7.0000000000000007E-2</v>
      </c>
      <c r="F277" s="45">
        <v>0</v>
      </c>
      <c r="G277" s="45">
        <f>(G280+G283+G286)/G289*100</f>
        <v>0</v>
      </c>
      <c r="H277" s="45">
        <f t="shared" si="225"/>
        <v>0</v>
      </c>
      <c r="I277" s="45">
        <f t="shared" si="225"/>
        <v>0</v>
      </c>
      <c r="J277" s="12"/>
      <c r="K277" s="45">
        <f t="shared" ref="K277:L277" si="227">(K280+K283+K286)/K289*100</f>
        <v>0</v>
      </c>
      <c r="L277" s="45">
        <f t="shared" si="227"/>
        <v>0</v>
      </c>
      <c r="M277" s="3"/>
    </row>
    <row r="278" spans="1:13" ht="45" hidden="1" x14ac:dyDescent="0.25">
      <c r="A278" s="417"/>
      <c r="B278" s="68" t="s">
        <v>714</v>
      </c>
      <c r="C278" s="6" t="s">
        <v>1982</v>
      </c>
      <c r="D278" s="6" t="s">
        <v>950</v>
      </c>
      <c r="E278" s="12"/>
      <c r="F278" s="12"/>
      <c r="G278" s="12"/>
      <c r="H278" s="12"/>
      <c r="I278" s="12"/>
      <c r="J278" s="12">
        <v>10215</v>
      </c>
      <c r="K278" s="12"/>
      <c r="L278" s="12"/>
      <c r="M278" s="71"/>
    </row>
    <row r="279" spans="1:13" hidden="1" x14ac:dyDescent="0.25">
      <c r="A279" s="417"/>
      <c r="B279" s="21" t="s">
        <v>1182</v>
      </c>
      <c r="C279" s="6"/>
      <c r="D279" s="6"/>
      <c r="E279" s="12"/>
      <c r="F279" s="12"/>
      <c r="G279" s="12">
        <v>74</v>
      </c>
      <c r="H279" s="12">
        <f>2+22+7+3+9+5</f>
        <v>48</v>
      </c>
      <c r="I279" s="12">
        <v>0</v>
      </c>
      <c r="J279" s="12">
        <v>57</v>
      </c>
      <c r="K279" s="12">
        <v>0</v>
      </c>
      <c r="L279" s="12">
        <v>0</v>
      </c>
      <c r="M279" s="3"/>
    </row>
    <row r="280" spans="1:13" hidden="1" x14ac:dyDescent="0.25">
      <c r="A280" s="417"/>
      <c r="B280" s="21" t="s">
        <v>1184</v>
      </c>
      <c r="C280" s="6"/>
      <c r="D280" s="6"/>
      <c r="E280" s="12"/>
      <c r="F280" s="12"/>
      <c r="G280" s="12">
        <v>0</v>
      </c>
      <c r="H280" s="12">
        <v>0</v>
      </c>
      <c r="I280" s="12">
        <v>0</v>
      </c>
      <c r="J280" s="44"/>
      <c r="K280" s="12">
        <v>0</v>
      </c>
      <c r="L280" s="12">
        <v>0</v>
      </c>
      <c r="M280" s="3"/>
    </row>
    <row r="281" spans="1:13" ht="45" hidden="1" x14ac:dyDescent="0.25">
      <c r="A281" s="417"/>
      <c r="B281" s="128"/>
      <c r="C281" s="6" t="s">
        <v>1982</v>
      </c>
      <c r="D281" s="6" t="s">
        <v>950</v>
      </c>
      <c r="E281" s="12"/>
      <c r="F281" s="12"/>
      <c r="G281" s="12"/>
      <c r="H281" s="12"/>
      <c r="I281" s="12"/>
      <c r="J281" s="50"/>
      <c r="K281" s="12"/>
      <c r="L281" s="12"/>
      <c r="M281" s="3"/>
    </row>
    <row r="282" spans="1:13" hidden="1" x14ac:dyDescent="0.25">
      <c r="A282" s="417"/>
      <c r="B282" s="21" t="s">
        <v>1182</v>
      </c>
      <c r="C282" s="6"/>
      <c r="D282" s="6"/>
      <c r="E282" s="12"/>
      <c r="F282" s="12"/>
      <c r="G282" s="12">
        <v>0</v>
      </c>
      <c r="H282" s="12">
        <f>1+3+2+3</f>
        <v>9</v>
      </c>
      <c r="I282" s="12">
        <v>2</v>
      </c>
      <c r="J282" s="45">
        <f t="shared" ref="J282:J283" si="228">J285/J288*100</f>
        <v>63.153370013755165</v>
      </c>
      <c r="K282" s="12">
        <v>2</v>
      </c>
      <c r="L282" s="12">
        <v>2</v>
      </c>
      <c r="M282" s="3"/>
    </row>
    <row r="283" spans="1:13" hidden="1" x14ac:dyDescent="0.25">
      <c r="A283" s="417"/>
      <c r="B283" s="21" t="s">
        <v>1184</v>
      </c>
      <c r="C283" s="6"/>
      <c r="D283" s="6"/>
      <c r="E283" s="12"/>
      <c r="F283" s="12"/>
      <c r="G283" s="12">
        <v>0</v>
      </c>
      <c r="H283" s="12">
        <v>0</v>
      </c>
      <c r="I283" s="12">
        <v>0</v>
      </c>
      <c r="J283" s="45" t="e">
        <f t="shared" si="228"/>
        <v>#DIV/0!</v>
      </c>
      <c r="K283" s="12">
        <v>0</v>
      </c>
      <c r="L283" s="12">
        <v>0</v>
      </c>
      <c r="M283" s="3"/>
    </row>
    <row r="284" spans="1:13" ht="45" hidden="1" x14ac:dyDescent="0.25">
      <c r="A284" s="417"/>
      <c r="B284" s="128"/>
      <c r="C284" s="6" t="s">
        <v>1982</v>
      </c>
      <c r="D284" s="6" t="s">
        <v>950</v>
      </c>
      <c r="E284" s="12"/>
      <c r="F284" s="12"/>
      <c r="G284" s="12"/>
      <c r="H284" s="12"/>
      <c r="I284" s="12"/>
      <c r="J284" s="12"/>
      <c r="K284" s="12"/>
      <c r="L284" s="12"/>
      <c r="M284" s="3"/>
    </row>
    <row r="285" spans="1:13" hidden="1" x14ac:dyDescent="0.25">
      <c r="A285" s="127"/>
      <c r="B285" s="21" t="s">
        <v>1182</v>
      </c>
      <c r="C285" s="6"/>
      <c r="D285" s="6"/>
      <c r="E285" s="12"/>
      <c r="F285" s="12"/>
      <c r="G285" s="12">
        <v>18</v>
      </c>
      <c r="H285" s="12">
        <v>0</v>
      </c>
      <c r="I285" s="12">
        <v>0</v>
      </c>
      <c r="J285" s="12">
        <f>236+1881+1556</f>
        <v>3673</v>
      </c>
      <c r="K285" s="12">
        <v>0</v>
      </c>
      <c r="L285" s="12">
        <v>0</v>
      </c>
      <c r="M285" s="3"/>
    </row>
    <row r="286" spans="1:13" hidden="1" x14ac:dyDescent="0.25">
      <c r="A286" s="127"/>
      <c r="B286" s="21" t="s">
        <v>1184</v>
      </c>
      <c r="C286" s="6"/>
      <c r="D286" s="6"/>
      <c r="E286" s="12"/>
      <c r="F286" s="12"/>
      <c r="G286" s="12">
        <v>0</v>
      </c>
      <c r="H286" s="12">
        <v>0</v>
      </c>
      <c r="I286" s="12">
        <v>0</v>
      </c>
      <c r="J286" s="12">
        <v>0</v>
      </c>
      <c r="K286" s="12">
        <v>0</v>
      </c>
      <c r="L286" s="12">
        <v>0</v>
      </c>
      <c r="M286" s="3"/>
    </row>
    <row r="287" spans="1:13" ht="45" hidden="1" customHeight="1" x14ac:dyDescent="0.25">
      <c r="A287" s="26"/>
      <c r="B287" s="21" t="s">
        <v>627</v>
      </c>
      <c r="C287" s="6" t="s">
        <v>1983</v>
      </c>
      <c r="D287" s="6" t="s">
        <v>950</v>
      </c>
      <c r="E287" s="12"/>
      <c r="F287" s="12"/>
      <c r="G287" s="12"/>
      <c r="H287" s="12"/>
      <c r="I287" s="12"/>
      <c r="J287" s="12"/>
      <c r="K287" s="12"/>
      <c r="L287" s="12"/>
      <c r="M287" s="3"/>
    </row>
    <row r="288" spans="1:13" hidden="1" x14ac:dyDescent="0.25">
      <c r="A288" s="126"/>
      <c r="B288" s="21" t="s">
        <v>1182</v>
      </c>
      <c r="C288" s="6"/>
      <c r="D288" s="6"/>
      <c r="E288" s="12"/>
      <c r="F288" s="12"/>
      <c r="G288" s="12">
        <v>27799</v>
      </c>
      <c r="H288" s="12">
        <f>555+2942+1430+443+11+1620+71+277+1753+1+240+639+20</f>
        <v>10002</v>
      </c>
      <c r="I288" s="12">
        <v>10215</v>
      </c>
      <c r="J288" s="12">
        <f>1939+3416+461</f>
        <v>5816</v>
      </c>
      <c r="K288" s="12">
        <v>10215</v>
      </c>
      <c r="L288" s="12">
        <v>10215</v>
      </c>
      <c r="M288" s="3"/>
    </row>
    <row r="289" spans="1:26" hidden="1" x14ac:dyDescent="0.25">
      <c r="A289" s="126"/>
      <c r="B289" s="21" t="s">
        <v>1184</v>
      </c>
      <c r="C289" s="6"/>
      <c r="D289" s="6"/>
      <c r="E289" s="12"/>
      <c r="F289" s="12"/>
      <c r="G289" s="12">
        <v>414</v>
      </c>
      <c r="H289" s="12">
        <v>158</v>
      </c>
      <c r="I289" s="12">
        <v>57</v>
      </c>
      <c r="J289" s="12">
        <v>0</v>
      </c>
      <c r="K289" s="12">
        <v>57</v>
      </c>
      <c r="L289" s="12">
        <v>57</v>
      </c>
      <c r="M289" s="3"/>
    </row>
    <row r="290" spans="1:26" ht="45" x14ac:dyDescent="0.25">
      <c r="A290" s="47" t="s">
        <v>87</v>
      </c>
      <c r="B290" s="48" t="s">
        <v>716</v>
      </c>
      <c r="C290" s="44"/>
      <c r="D290" s="44"/>
      <c r="E290" s="44"/>
      <c r="F290" s="44"/>
      <c r="G290" s="44"/>
      <c r="H290" s="44"/>
      <c r="I290" s="44"/>
      <c r="J290" s="44"/>
      <c r="K290" s="44"/>
      <c r="L290" s="44"/>
    </row>
    <row r="291" spans="1:26" ht="75" x14ac:dyDescent="0.25">
      <c r="A291" s="42" t="s">
        <v>89</v>
      </c>
      <c r="B291" s="43" t="s">
        <v>1951</v>
      </c>
      <c r="C291" s="42"/>
      <c r="D291" s="42"/>
      <c r="E291" s="50"/>
      <c r="F291" s="50"/>
      <c r="G291" s="50"/>
      <c r="H291" s="50"/>
      <c r="I291" s="50"/>
      <c r="J291" s="50"/>
      <c r="K291" s="50"/>
      <c r="L291" s="50"/>
      <c r="M291" s="3" t="s">
        <v>281</v>
      </c>
    </row>
    <row r="292" spans="1:26" x14ac:dyDescent="0.25">
      <c r="A292" s="42"/>
      <c r="B292" s="43" t="s">
        <v>1182</v>
      </c>
      <c r="C292" s="42"/>
      <c r="D292" s="42" t="s">
        <v>8</v>
      </c>
      <c r="E292" s="45">
        <v>32.74</v>
      </c>
      <c r="F292" s="45">
        <v>22.67</v>
      </c>
      <c r="G292" s="45">
        <v>39.75</v>
      </c>
      <c r="H292" s="45">
        <f t="shared" ref="H292:I293" si="229">H295/H298*100</f>
        <v>56.898424769147205</v>
      </c>
      <c r="I292" s="45">
        <f t="shared" si="229"/>
        <v>55.695746214852207</v>
      </c>
      <c r="J292" s="45">
        <f t="shared" ref="J292:K292" si="230">J295/J298*100</f>
        <v>63.153370013755165</v>
      </c>
      <c r="K292" s="45">
        <f t="shared" si="230"/>
        <v>73.4670392898241</v>
      </c>
      <c r="L292" s="45">
        <f t="shared" ref="L292" si="231">L295/L298*100</f>
        <v>63.677201989411202</v>
      </c>
      <c r="M292" s="241"/>
      <c r="N292" s="45">
        <f t="shared" ref="N292:O292" si="232">N295/N298*100</f>
        <v>73.4670392898241</v>
      </c>
      <c r="O292" s="45">
        <f t="shared" si="232"/>
        <v>63.677201989411202</v>
      </c>
      <c r="P292" s="45">
        <f t="shared" ref="P292:P293" si="233">P295/P298*100</f>
        <v>48.20295983086681</v>
      </c>
      <c r="Q292" s="45">
        <f t="shared" ref="Q292" si="234">Q295/Q298*100</f>
        <v>56.147540983606561</v>
      </c>
      <c r="S292" s="45">
        <f t="shared" ref="S292:T293" si="235">S295/S298*100</f>
        <v>97.394476289734229</v>
      </c>
      <c r="T292" s="45">
        <f t="shared" si="235"/>
        <v>74.839743589743591</v>
      </c>
      <c r="V292" s="45">
        <f t="shared" ref="V292:W292" si="236">V295/V298*100</f>
        <v>64.264426984557034</v>
      </c>
      <c r="W292" s="45">
        <f t="shared" si="236"/>
        <v>59.230570617092695</v>
      </c>
      <c r="Y292" s="45" t="e">
        <f t="shared" ref="Y292:Z292" si="237">Y295/Y298*100</f>
        <v>#DIV/0!</v>
      </c>
      <c r="Z292" s="45" t="e">
        <f t="shared" si="237"/>
        <v>#DIV/0!</v>
      </c>
    </row>
    <row r="293" spans="1:26" x14ac:dyDescent="0.25">
      <c r="A293" s="42"/>
      <c r="B293" s="43" t="s">
        <v>1184</v>
      </c>
      <c r="C293" s="42"/>
      <c r="D293" s="42" t="s">
        <v>8</v>
      </c>
      <c r="E293" s="45">
        <v>0</v>
      </c>
      <c r="F293" s="45">
        <v>0</v>
      </c>
      <c r="G293" s="45">
        <v>0</v>
      </c>
      <c r="H293" s="45">
        <f t="shared" si="229"/>
        <v>0</v>
      </c>
      <c r="I293" s="45">
        <f t="shared" si="229"/>
        <v>0</v>
      </c>
      <c r="J293" s="45" t="e">
        <f t="shared" ref="J293:K293" si="238">J296/J299*100</f>
        <v>#DIV/0!</v>
      </c>
      <c r="K293" s="45" t="e">
        <f t="shared" si="238"/>
        <v>#DIV/0!</v>
      </c>
      <c r="L293" s="45" t="e">
        <f t="shared" ref="L293" si="239">L296/L299*100</f>
        <v>#DIV/0!</v>
      </c>
      <c r="M293" s="241"/>
      <c r="N293" s="45" t="e">
        <f t="shared" ref="N293:O293" si="240">N296/N299*100</f>
        <v>#DIV/0!</v>
      </c>
      <c r="O293" s="45" t="e">
        <f t="shared" si="240"/>
        <v>#DIV/0!</v>
      </c>
      <c r="P293" s="45" t="e">
        <f t="shared" si="233"/>
        <v>#DIV/0!</v>
      </c>
      <c r="Q293" s="45" t="e">
        <f t="shared" ref="Q293" si="241">Q296/Q299*100</f>
        <v>#DIV/0!</v>
      </c>
      <c r="S293" s="45" t="e">
        <f t="shared" ref="S293" si="242">S296/S299*100</f>
        <v>#DIV/0!</v>
      </c>
      <c r="T293" s="45" t="e">
        <f t="shared" si="235"/>
        <v>#DIV/0!</v>
      </c>
      <c r="V293" s="45" t="e">
        <f t="shared" ref="V293:W293" si="243">V296/V299*100</f>
        <v>#DIV/0!</v>
      </c>
      <c r="W293" s="45" t="e">
        <f t="shared" si="243"/>
        <v>#DIV/0!</v>
      </c>
      <c r="Y293" s="45" t="e">
        <f t="shared" ref="Y293:Z293" si="244">Y296/Y299*100</f>
        <v>#DIV/0!</v>
      </c>
      <c r="Z293" s="45" t="e">
        <f t="shared" si="244"/>
        <v>#DIV/0!</v>
      </c>
    </row>
    <row r="294" spans="1:26" ht="60" x14ac:dyDescent="0.25">
      <c r="A294" s="8"/>
      <c r="B294" s="21" t="s">
        <v>718</v>
      </c>
      <c r="C294" s="6" t="s">
        <v>2463</v>
      </c>
      <c r="D294" s="6"/>
      <c r="E294" s="12"/>
      <c r="F294" s="12"/>
      <c r="G294" s="12"/>
      <c r="H294" s="12"/>
      <c r="I294" s="12"/>
      <c r="J294" s="12"/>
      <c r="K294" s="12"/>
      <c r="L294" s="12"/>
      <c r="M294" s="241"/>
    </row>
    <row r="295" spans="1:26" x14ac:dyDescent="0.25">
      <c r="A295" s="8"/>
      <c r="B295" s="21" t="s">
        <v>1182</v>
      </c>
      <c r="C295" s="6"/>
      <c r="D295" s="6" t="s">
        <v>950</v>
      </c>
      <c r="E295" s="12"/>
      <c r="F295" s="12"/>
      <c r="G295" s="12">
        <v>6707</v>
      </c>
      <c r="H295" s="12">
        <f>485+2199+1506</f>
        <v>4190</v>
      </c>
      <c r="I295" s="12">
        <f>231+1308+1551</f>
        <v>3090</v>
      </c>
      <c r="J295" s="12">
        <f>236+1881+1556</f>
        <v>3673</v>
      </c>
      <c r="K295" s="12">
        <f>228+1869+2372</f>
        <v>4469</v>
      </c>
      <c r="L295" s="12">
        <f>1401+2294+274</f>
        <v>3969</v>
      </c>
      <c r="M295" s="241"/>
      <c r="N295" s="241">
        <f t="shared" ref="N295:N296" si="245">P295+S295+V295+Y295</f>
        <v>4469</v>
      </c>
      <c r="O295" s="241">
        <f t="shared" ref="O295:O296" si="246">Q295+T295+W295+Z295</f>
        <v>3969</v>
      </c>
      <c r="P295">
        <v>228</v>
      </c>
      <c r="Q295">
        <v>274</v>
      </c>
      <c r="S295">
        <v>1869</v>
      </c>
      <c r="T295">
        <v>1401</v>
      </c>
      <c r="V295">
        <v>2372</v>
      </c>
      <c r="W295">
        <v>2294</v>
      </c>
      <c r="Y295" s="241">
        <v>0</v>
      </c>
      <c r="Z295" s="241">
        <v>0</v>
      </c>
    </row>
    <row r="296" spans="1:26" x14ac:dyDescent="0.25">
      <c r="A296" s="8"/>
      <c r="B296" s="21" t="s">
        <v>1184</v>
      </c>
      <c r="C296" s="6"/>
      <c r="D296" s="6" t="s">
        <v>950</v>
      </c>
      <c r="E296" s="12"/>
      <c r="F296" s="12"/>
      <c r="G296" s="12">
        <v>0</v>
      </c>
      <c r="H296" s="12">
        <v>0</v>
      </c>
      <c r="I296" s="12">
        <v>0</v>
      </c>
      <c r="J296" s="12">
        <v>0</v>
      </c>
      <c r="K296" s="12">
        <v>0</v>
      </c>
      <c r="L296" s="12">
        <v>0</v>
      </c>
      <c r="M296" s="241"/>
      <c r="N296" s="241">
        <f t="shared" si="245"/>
        <v>0</v>
      </c>
      <c r="O296" s="241">
        <f t="shared" si="246"/>
        <v>0</v>
      </c>
      <c r="P296">
        <v>0</v>
      </c>
      <c r="Q296">
        <v>0</v>
      </c>
      <c r="S296">
        <v>0</v>
      </c>
      <c r="T296">
        <v>0</v>
      </c>
      <c r="V296">
        <v>0</v>
      </c>
      <c r="W296">
        <v>0</v>
      </c>
      <c r="Y296" s="241">
        <v>0</v>
      </c>
      <c r="Z296" s="241">
        <v>0</v>
      </c>
    </row>
    <row r="297" spans="1:26" ht="60" x14ac:dyDescent="0.25">
      <c r="A297" s="8"/>
      <c r="B297" s="21" t="s">
        <v>719</v>
      </c>
      <c r="C297" s="6" t="s">
        <v>2844</v>
      </c>
      <c r="D297" s="6"/>
      <c r="E297" s="12"/>
      <c r="F297" s="12"/>
      <c r="G297" s="12"/>
      <c r="H297" s="12"/>
      <c r="I297" s="12"/>
      <c r="J297" s="12"/>
      <c r="K297" s="12"/>
      <c r="L297" s="12"/>
      <c r="M297" s="241"/>
    </row>
    <row r="298" spans="1:26" x14ac:dyDescent="0.25">
      <c r="A298" s="8"/>
      <c r="B298" s="21" t="s">
        <v>1182</v>
      </c>
      <c r="C298" s="6"/>
      <c r="D298" s="6" t="s">
        <v>950</v>
      </c>
      <c r="E298" s="12"/>
      <c r="F298" s="12"/>
      <c r="G298" s="12">
        <v>14052</v>
      </c>
      <c r="H298" s="12">
        <f>555+2942+1430+443+1753+1+240</f>
        <v>7364</v>
      </c>
      <c r="I298" s="12">
        <f>470+3243+1835</f>
        <v>5548</v>
      </c>
      <c r="J298" s="12">
        <f>1939+3416+461</f>
        <v>5816</v>
      </c>
      <c r="K298" s="12">
        <f>473+1919+3691</f>
        <v>6083</v>
      </c>
      <c r="L298" s="12">
        <f>1872+3873+488</f>
        <v>6233</v>
      </c>
      <c r="M298" s="241"/>
      <c r="N298" s="241">
        <f t="shared" ref="N298:N299" si="247">P298+S298+V298+Y298</f>
        <v>6083</v>
      </c>
      <c r="O298" s="241">
        <f t="shared" ref="O298:O299" si="248">Q298+T298+W298+Z298</f>
        <v>6233</v>
      </c>
      <c r="P298">
        <v>473</v>
      </c>
      <c r="Q298">
        <v>488</v>
      </c>
      <c r="S298">
        <v>1919</v>
      </c>
      <c r="T298">
        <v>1872</v>
      </c>
      <c r="V298">
        <v>3691</v>
      </c>
      <c r="W298">
        <v>3873</v>
      </c>
      <c r="Y298" s="241">
        <v>0</v>
      </c>
      <c r="Z298" s="241">
        <v>0</v>
      </c>
    </row>
    <row r="299" spans="1:26" x14ac:dyDescent="0.25">
      <c r="A299" s="8"/>
      <c r="B299" s="21" t="s">
        <v>1184</v>
      </c>
      <c r="C299" s="6"/>
      <c r="D299" s="6" t="s">
        <v>950</v>
      </c>
      <c r="E299" s="12"/>
      <c r="F299" s="12"/>
      <c r="G299" s="12">
        <v>3</v>
      </c>
      <c r="H299" s="12">
        <v>3</v>
      </c>
      <c r="I299" s="12">
        <v>1</v>
      </c>
      <c r="J299" s="12">
        <v>0</v>
      </c>
      <c r="K299" s="12">
        <v>0</v>
      </c>
      <c r="L299" s="12">
        <v>0</v>
      </c>
      <c r="N299" s="241">
        <f t="shared" si="247"/>
        <v>0</v>
      </c>
      <c r="O299" s="241">
        <f t="shared" si="248"/>
        <v>0</v>
      </c>
      <c r="P299" s="241">
        <v>0</v>
      </c>
      <c r="Q299" s="241">
        <v>0</v>
      </c>
      <c r="R299" s="241"/>
      <c r="S299" s="241">
        <v>0</v>
      </c>
      <c r="T299" s="241">
        <v>0</v>
      </c>
      <c r="U299" s="241"/>
      <c r="V299" s="241">
        <v>0</v>
      </c>
      <c r="W299" s="241">
        <v>0</v>
      </c>
      <c r="Y299" s="241">
        <v>0</v>
      </c>
      <c r="Z299" s="241">
        <v>0</v>
      </c>
    </row>
    <row r="300" spans="1:26" ht="60" x14ac:dyDescent="0.25">
      <c r="A300" s="60" t="s">
        <v>721</v>
      </c>
      <c r="B300" s="61" t="s">
        <v>720</v>
      </c>
      <c r="C300" s="60"/>
      <c r="D300" s="60" t="s">
        <v>8</v>
      </c>
      <c r="E300" s="52" t="e">
        <f t="shared" ref="E300:I300" si="249">E301/E302*100</f>
        <v>#DIV/0!</v>
      </c>
      <c r="F300" s="52" t="e">
        <f t="shared" si="249"/>
        <v>#DIV/0!</v>
      </c>
      <c r="G300" s="52" t="e">
        <f t="shared" si="249"/>
        <v>#DIV/0!</v>
      </c>
      <c r="H300" s="52" t="e">
        <f t="shared" si="249"/>
        <v>#DIV/0!</v>
      </c>
      <c r="I300" s="52" t="e">
        <f t="shared" si="249"/>
        <v>#DIV/0!</v>
      </c>
      <c r="J300" s="52" t="e">
        <f t="shared" ref="J300:K300" si="250">J301/J302*100</f>
        <v>#DIV/0!</v>
      </c>
      <c r="K300" s="52" t="e">
        <f t="shared" si="250"/>
        <v>#DIV/0!</v>
      </c>
      <c r="L300" s="52" t="e">
        <f t="shared" ref="L300" si="251">L301/L302*100</f>
        <v>#DIV/0!</v>
      </c>
      <c r="M300" s="3" t="s">
        <v>94</v>
      </c>
    </row>
    <row r="301" spans="1:26" ht="60" x14ac:dyDescent="0.25">
      <c r="A301" s="64"/>
      <c r="B301" s="63" t="s">
        <v>722</v>
      </c>
      <c r="C301" s="37" t="s">
        <v>523</v>
      </c>
      <c r="D301" s="37" t="s">
        <v>950</v>
      </c>
      <c r="E301" s="38"/>
      <c r="F301" s="38"/>
      <c r="G301" s="38"/>
      <c r="H301" s="38"/>
      <c r="I301" s="38"/>
      <c r="J301" s="38"/>
      <c r="K301" s="38"/>
      <c r="L301" s="38"/>
      <c r="M301" s="3"/>
    </row>
    <row r="302" spans="1:26" ht="60" x14ac:dyDescent="0.25">
      <c r="A302" s="64"/>
      <c r="B302" s="63" t="s">
        <v>723</v>
      </c>
      <c r="C302" s="37" t="s">
        <v>523</v>
      </c>
      <c r="D302" s="37" t="s">
        <v>950</v>
      </c>
      <c r="E302" s="38"/>
      <c r="F302" s="38"/>
      <c r="G302" s="38"/>
      <c r="H302" s="38"/>
      <c r="I302" s="38"/>
      <c r="J302" s="38"/>
      <c r="K302" s="38"/>
      <c r="L302" s="38"/>
      <c r="M302" s="3"/>
    </row>
    <row r="303" spans="1:26" ht="45" x14ac:dyDescent="0.25">
      <c r="A303" s="47" t="s">
        <v>96</v>
      </c>
      <c r="B303" s="48" t="s">
        <v>725</v>
      </c>
      <c r="C303" s="44"/>
      <c r="D303" s="44"/>
      <c r="E303" s="44"/>
      <c r="F303" s="44"/>
      <c r="G303" s="44"/>
      <c r="H303" s="44"/>
      <c r="I303" s="44"/>
      <c r="J303" s="45"/>
      <c r="K303" s="44"/>
      <c r="L303" s="44"/>
    </row>
    <row r="304" spans="1:26" ht="75" x14ac:dyDescent="0.25">
      <c r="A304" s="42" t="s">
        <v>97</v>
      </c>
      <c r="B304" s="43" t="s">
        <v>726</v>
      </c>
      <c r="C304" s="44"/>
      <c r="D304" s="42"/>
      <c r="E304" s="50"/>
      <c r="F304" s="50"/>
      <c r="G304" s="50"/>
      <c r="H304" s="50"/>
      <c r="I304" s="50"/>
      <c r="J304" s="50"/>
      <c r="K304" s="50"/>
      <c r="L304" s="50"/>
      <c r="M304" s="3" t="s">
        <v>281</v>
      </c>
    </row>
    <row r="305" spans="1:26" x14ac:dyDescent="0.25">
      <c r="A305" s="54"/>
      <c r="B305" s="43" t="s">
        <v>1182</v>
      </c>
      <c r="C305" s="44"/>
      <c r="D305" s="42" t="s">
        <v>8</v>
      </c>
      <c r="E305" s="45">
        <v>18.3</v>
      </c>
      <c r="F305" s="45">
        <v>17.84</v>
      </c>
      <c r="G305" s="45">
        <v>15.33</v>
      </c>
      <c r="H305" s="45">
        <f t="shared" ref="H305:I306" si="252">H307/H309*100</f>
        <v>15.122745978718335</v>
      </c>
      <c r="I305" s="45">
        <f t="shared" si="252"/>
        <v>15.962344101355011</v>
      </c>
      <c r="J305" s="45">
        <f t="shared" ref="J305:K305" si="253">J307/J309*100</f>
        <v>14.832147236290522</v>
      </c>
      <c r="K305" s="45">
        <f t="shared" si="253"/>
        <v>13.14091067586641</v>
      </c>
      <c r="L305" s="45">
        <f>L307/L309*100</f>
        <v>9.2072771570112835</v>
      </c>
      <c r="N305" s="45">
        <f t="shared" ref="N305:P306" si="254">N307/N309*100</f>
        <v>13.14091067586641</v>
      </c>
      <c r="O305" s="45">
        <f t="shared" si="254"/>
        <v>9.2072771570112835</v>
      </c>
      <c r="P305" s="45">
        <f t="shared" ref="P305:Q305" si="255">P307/P309*100</f>
        <v>8.9800709634179441</v>
      </c>
      <c r="Q305" s="45">
        <f t="shared" si="255"/>
        <v>6.7864015825715454</v>
      </c>
      <c r="S305" s="45">
        <f t="shared" ref="S305:T306" si="256">S307/S309*100</f>
        <v>6.9000287600166477</v>
      </c>
      <c r="T305" s="45">
        <f t="shared" si="256"/>
        <v>4.9800712916001295</v>
      </c>
      <c r="V305" s="45">
        <f t="shared" ref="V305:W305" si="257">V307/V309*100</f>
        <v>16.63978959898273</v>
      </c>
      <c r="W305" s="45">
        <f t="shared" si="257"/>
        <v>12.02242344686201</v>
      </c>
      <c r="Y305" s="45" t="e">
        <f t="shared" ref="Y305:Z305" si="258">Y307/Y309*100</f>
        <v>#DIV/0!</v>
      </c>
      <c r="Z305" s="45" t="e">
        <f t="shared" si="258"/>
        <v>#DIV/0!</v>
      </c>
    </row>
    <row r="306" spans="1:26" x14ac:dyDescent="0.25">
      <c r="A306" s="54"/>
      <c r="B306" s="43" t="s">
        <v>1184</v>
      </c>
      <c r="C306" s="44"/>
      <c r="D306" s="42"/>
      <c r="E306" s="45">
        <v>100</v>
      </c>
      <c r="F306" s="45">
        <v>100</v>
      </c>
      <c r="G306" s="45">
        <v>100</v>
      </c>
      <c r="H306" s="45">
        <f t="shared" si="252"/>
        <v>100</v>
      </c>
      <c r="I306" s="45">
        <f t="shared" si="252"/>
        <v>100</v>
      </c>
      <c r="J306" s="45" t="e">
        <f t="shared" ref="J306:K306" si="259">J308/J310*100</f>
        <v>#DIV/0!</v>
      </c>
      <c r="K306" s="45">
        <f t="shared" si="259"/>
        <v>100</v>
      </c>
      <c r="L306" s="45">
        <f t="shared" ref="L306" si="260">L308/L310*100</f>
        <v>100</v>
      </c>
      <c r="N306" s="45">
        <f t="shared" ref="N306" si="261">N308/N310*100</f>
        <v>100</v>
      </c>
      <c r="O306" s="45">
        <f t="shared" si="254"/>
        <v>100</v>
      </c>
      <c r="P306" s="45" t="e">
        <f t="shared" si="254"/>
        <v>#DIV/0!</v>
      </c>
      <c r="Q306" s="45" t="e">
        <f t="shared" ref="Q306" si="262">Q308/Q310*100</f>
        <v>#DIV/0!</v>
      </c>
      <c r="S306" s="45" t="e">
        <f t="shared" ref="S306" si="263">S308/S310*100</f>
        <v>#DIV/0!</v>
      </c>
      <c r="T306" s="45" t="e">
        <f t="shared" si="256"/>
        <v>#DIV/0!</v>
      </c>
      <c r="V306" s="45" t="e">
        <f t="shared" ref="V306:W306" si="264">V308/V310*100</f>
        <v>#DIV/0!</v>
      </c>
      <c r="W306" s="45" t="e">
        <f t="shared" si="264"/>
        <v>#DIV/0!</v>
      </c>
      <c r="Y306" s="45">
        <f t="shared" ref="Y306:Z306" si="265">Y308/Y310*100</f>
        <v>100</v>
      </c>
      <c r="Z306" s="45">
        <f t="shared" si="265"/>
        <v>100</v>
      </c>
    </row>
    <row r="307" spans="1:26" ht="45" x14ac:dyDescent="0.25">
      <c r="A307" s="427"/>
      <c r="B307" s="429" t="s">
        <v>728</v>
      </c>
      <c r="C307" s="6" t="s">
        <v>1979</v>
      </c>
      <c r="D307" s="13" t="s">
        <v>1114</v>
      </c>
      <c r="E307" s="12"/>
      <c r="F307" s="12"/>
      <c r="G307" s="12"/>
      <c r="H307" s="130">
        <f>838.7+2378+153342.1+83575.6+39854.3+5061.3</f>
        <v>285050</v>
      </c>
      <c r="I307" s="130">
        <f>176050.7+89591+11429.8+46361.2+1497</f>
        <v>324929.7</v>
      </c>
      <c r="J307" s="130">
        <f>826.8+17862.4+173838.1+89627.4+45746.9+1398.9</f>
        <v>329300.50000000006</v>
      </c>
      <c r="K307" s="130">
        <f>22965.4+172717.2+74069.3+44804.3+804</f>
        <v>315360.2</v>
      </c>
      <c r="L307" s="130">
        <v>252747.40000000002</v>
      </c>
      <c r="N307" s="147">
        <f>P307+S307+V307+Y307</f>
        <v>315360.2</v>
      </c>
      <c r="O307" s="147">
        <f t="shared" ref="O307:O310" si="266">Q307+T307+W307+Z307</f>
        <v>252747.40000000002</v>
      </c>
      <c r="P307" s="147">
        <v>22965.4</v>
      </c>
      <c r="Q307" s="147">
        <v>20188.900000000001</v>
      </c>
      <c r="R307" s="147"/>
      <c r="S307" s="147">
        <f>44804.3+804</f>
        <v>45608.3</v>
      </c>
      <c r="T307" s="147">
        <f>43013+619.8</f>
        <v>43632.800000000003</v>
      </c>
      <c r="U307" s="147"/>
      <c r="V307" s="147">
        <f>172717.2+74069.3</f>
        <v>246786.5</v>
      </c>
      <c r="W307" s="147">
        <f>131495.6+57430.1</f>
        <v>188925.7</v>
      </c>
      <c r="X307" s="147"/>
      <c r="Y307" s="147">
        <v>0</v>
      </c>
      <c r="Z307" s="147">
        <v>0</v>
      </c>
    </row>
    <row r="308" spans="1:26" ht="45" x14ac:dyDescent="0.25">
      <c r="A308" s="428"/>
      <c r="B308" s="430"/>
      <c r="C308" s="6" t="s">
        <v>1979</v>
      </c>
      <c r="D308" s="13" t="s">
        <v>1114</v>
      </c>
      <c r="E308" s="12"/>
      <c r="F308" s="12"/>
      <c r="G308" s="12"/>
      <c r="H308" s="130">
        <f>7043+4349.3</f>
        <v>11392.3</v>
      </c>
      <c r="I308" s="130">
        <v>6484.6</v>
      </c>
      <c r="J308" s="130">
        <v>0</v>
      </c>
      <c r="K308" s="130">
        <v>13980</v>
      </c>
      <c r="L308" s="130">
        <f>53.9+4001</f>
        <v>4054.9</v>
      </c>
      <c r="N308" s="147">
        <f t="shared" ref="N308:N310" si="267">P308+S308+V308+Y308</f>
        <v>13980</v>
      </c>
      <c r="O308" s="147">
        <f t="shared" si="266"/>
        <v>4054.9</v>
      </c>
      <c r="P308" s="147">
        <v>0</v>
      </c>
      <c r="Q308" s="147">
        <v>0</v>
      </c>
      <c r="R308" s="147"/>
      <c r="S308" s="147">
        <v>0</v>
      </c>
      <c r="T308" s="147">
        <v>0</v>
      </c>
      <c r="U308" s="147"/>
      <c r="V308" s="147">
        <v>0</v>
      </c>
      <c r="W308" s="147">
        <v>0</v>
      </c>
      <c r="X308" s="147"/>
      <c r="Y308" s="147">
        <v>13980</v>
      </c>
      <c r="Z308" s="147">
        <v>4054.9</v>
      </c>
    </row>
    <row r="309" spans="1:26" ht="39" customHeight="1" x14ac:dyDescent="0.25">
      <c r="A309" s="427"/>
      <c r="B309" s="429" t="s">
        <v>729</v>
      </c>
      <c r="C309" s="6" t="s">
        <v>1978</v>
      </c>
      <c r="D309" s="13" t="s">
        <v>1114</v>
      </c>
      <c r="E309" s="12"/>
      <c r="F309" s="12"/>
      <c r="G309" s="12"/>
      <c r="H309" s="130">
        <f>192554.9+772101.3+387043.7+454001+79208.1</f>
        <v>1884909.0000000002</v>
      </c>
      <c r="I309" s="130">
        <f xml:space="preserve"> 486821.3+69035.9+801373.7+475449.2+202921.3</f>
        <v>2035601.4</v>
      </c>
      <c r="J309" s="130">
        <f>249520+821180.2+517311.4+549133.3+83036</f>
        <v>2220180.9000000004</v>
      </c>
      <c r="K309" s="130">
        <f>255737.4+889458.2+593652.5+575539.8+85447.3</f>
        <v>2399835.1999999997</v>
      </c>
      <c r="L309" s="130">
        <v>2745083</v>
      </c>
      <c r="N309" s="147">
        <f t="shared" si="267"/>
        <v>2399835.2000000002</v>
      </c>
      <c r="O309" s="147">
        <f t="shared" si="266"/>
        <v>2745083</v>
      </c>
      <c r="P309" s="147">
        <v>255737.4</v>
      </c>
      <c r="Q309" s="147">
        <f>297490.5</f>
        <v>297490.5</v>
      </c>
      <c r="R309" s="147"/>
      <c r="S309" s="147">
        <f>575539.8+85447.3</f>
        <v>660987.10000000009</v>
      </c>
      <c r="T309" s="147">
        <f>734791.9+141356.2</f>
        <v>876148.10000000009</v>
      </c>
      <c r="U309" s="147"/>
      <c r="V309" s="147">
        <f>889458.2+593652.5</f>
        <v>1483110.7</v>
      </c>
      <c r="W309" s="147">
        <f>922471.2+648973.2</f>
        <v>1571444.4</v>
      </c>
      <c r="X309" s="147"/>
      <c r="Y309" s="147">
        <v>0</v>
      </c>
      <c r="Z309" s="147">
        <v>0</v>
      </c>
    </row>
    <row r="310" spans="1:26" ht="39" customHeight="1" x14ac:dyDescent="0.25">
      <c r="A310" s="428"/>
      <c r="B310" s="430"/>
      <c r="C310" s="6" t="s">
        <v>1978</v>
      </c>
      <c r="D310" s="13" t="s">
        <v>1114</v>
      </c>
      <c r="E310" s="12"/>
      <c r="F310" s="12"/>
      <c r="G310" s="12"/>
      <c r="H310" s="130">
        <f>7043+4349.3</f>
        <v>11392.3</v>
      </c>
      <c r="I310" s="130">
        <v>6484.6</v>
      </c>
      <c r="J310" s="130">
        <v>0</v>
      </c>
      <c r="K310" s="130">
        <v>13980</v>
      </c>
      <c r="L310" s="130">
        <v>4054.9</v>
      </c>
      <c r="N310" s="147">
        <f t="shared" si="267"/>
        <v>13980</v>
      </c>
      <c r="O310" s="147">
        <f t="shared" si="266"/>
        <v>4054.9</v>
      </c>
      <c r="P310" s="147">
        <v>0</v>
      </c>
      <c r="Q310" s="147">
        <v>0</v>
      </c>
      <c r="R310" s="147"/>
      <c r="S310" s="147">
        <v>0</v>
      </c>
      <c r="T310" s="147">
        <v>0</v>
      </c>
      <c r="U310" s="147"/>
      <c r="V310" s="147">
        <v>0</v>
      </c>
      <c r="W310" s="147">
        <v>0</v>
      </c>
      <c r="X310" s="147"/>
      <c r="Y310" s="147">
        <v>13980</v>
      </c>
      <c r="Z310" s="147">
        <v>4054.9</v>
      </c>
    </row>
    <row r="311" spans="1:26" ht="90" x14ac:dyDescent="0.25">
      <c r="A311" s="42" t="s">
        <v>2824</v>
      </c>
      <c r="B311" s="46" t="s">
        <v>1952</v>
      </c>
      <c r="C311" s="42"/>
      <c r="D311" s="42"/>
      <c r="E311" s="50"/>
      <c r="F311" s="50"/>
      <c r="G311" s="50"/>
      <c r="H311" s="50"/>
      <c r="I311" s="50"/>
      <c r="J311" s="50"/>
      <c r="K311" s="50"/>
      <c r="L311" s="50"/>
      <c r="M311" s="3" t="s">
        <v>281</v>
      </c>
    </row>
    <row r="312" spans="1:26" x14ac:dyDescent="0.25">
      <c r="A312" s="42"/>
      <c r="B312" s="43" t="s">
        <v>1182</v>
      </c>
      <c r="C312" s="42"/>
      <c r="D312" s="42" t="s">
        <v>1114</v>
      </c>
      <c r="E312" s="45">
        <v>246.82</v>
      </c>
      <c r="F312" s="45">
        <v>262.37</v>
      </c>
      <c r="G312" s="45">
        <v>269.8</v>
      </c>
      <c r="H312" s="45">
        <f>H315/H324</f>
        <v>395.37016429755749</v>
      </c>
      <c r="I312" s="45">
        <f>(I315/I317)/(I322*I321)</f>
        <v>262.93493594769984</v>
      </c>
      <c r="J312" s="45">
        <f>(J315/J317)/(J322*J321)</f>
        <v>296.43773744127822</v>
      </c>
      <c r="K312" s="45">
        <f>K315/K322-0.41</f>
        <v>43.000538777083399</v>
      </c>
      <c r="L312" s="45">
        <f>L315/L322</f>
        <v>31.900869631069437</v>
      </c>
      <c r="M312" s="241"/>
      <c r="N312" s="45">
        <f>N315/N322-0.41</f>
        <v>43.000538777083399</v>
      </c>
      <c r="O312" s="45">
        <f>O315/O322</f>
        <v>31.900869631069437</v>
      </c>
      <c r="P312" s="45">
        <f>P315/P322-0.41</f>
        <v>39.117366609294329</v>
      </c>
      <c r="Q312" s="45">
        <f>Q315/Q322</f>
        <v>19.100189214758753</v>
      </c>
      <c r="S312" s="45">
        <f>S315/S322-0.41</f>
        <v>24.715771264874395</v>
      </c>
      <c r="T312" s="45">
        <f>T315/T322</f>
        <v>25.847283928677214</v>
      </c>
      <c r="V312" s="45">
        <f>V315/V322-0.41</f>
        <v>50.281500287568818</v>
      </c>
      <c r="W312" s="45">
        <f>W315/W322</f>
        <v>36.487639538027736</v>
      </c>
      <c r="Y312" s="45" t="e">
        <f>Y315/Y322-0.41</f>
        <v>#DIV/0!</v>
      </c>
      <c r="Z312" s="45" t="e">
        <f>Z315/Z322</f>
        <v>#DIV/0!</v>
      </c>
    </row>
    <row r="313" spans="1:26" x14ac:dyDescent="0.25">
      <c r="A313" s="42"/>
      <c r="B313" s="43" t="s">
        <v>1184</v>
      </c>
      <c r="C313" s="42"/>
      <c r="D313" s="42" t="s">
        <v>1114</v>
      </c>
      <c r="E313" s="45">
        <v>403.4</v>
      </c>
      <c r="F313" s="45">
        <v>427.57</v>
      </c>
      <c r="G313" s="45">
        <v>386.71</v>
      </c>
      <c r="H313" s="45">
        <v>11389.24</v>
      </c>
      <c r="I313" s="45">
        <v>237.07</v>
      </c>
      <c r="J313" s="45" t="e">
        <f>J316/J328</f>
        <v>#DIV/0!</v>
      </c>
      <c r="K313" s="45">
        <f>K316/K328-2.18</f>
        <v>513.68715867158676</v>
      </c>
      <c r="L313" s="45">
        <f>L316/L328</f>
        <v>103.17811704834607</v>
      </c>
      <c r="M313" s="241"/>
      <c r="N313" s="45">
        <f>N316/N328-2.18</f>
        <v>513.68715867158676</v>
      </c>
      <c r="O313" s="45">
        <f>O316/O328</f>
        <v>103.17811704834607</v>
      </c>
      <c r="P313" s="45" t="e">
        <f>P316/P328-2.18</f>
        <v>#DIV/0!</v>
      </c>
      <c r="Q313" s="45" t="e">
        <f>Q316/Q328</f>
        <v>#DIV/0!</v>
      </c>
      <c r="S313" s="45" t="e">
        <f>S316/S328-2.18</f>
        <v>#DIV/0!</v>
      </c>
      <c r="T313" s="45" t="e">
        <f>T316/T328</f>
        <v>#DIV/0!</v>
      </c>
      <c r="V313" s="45" t="e">
        <f>V316/V328-2.18</f>
        <v>#DIV/0!</v>
      </c>
      <c r="W313" s="45" t="e">
        <f>W316/W328</f>
        <v>#DIV/0!</v>
      </c>
      <c r="Y313" s="45">
        <f>Y316/Y328-2.18</f>
        <v>513.68715867158676</v>
      </c>
      <c r="Z313" s="45">
        <f>Z316/Z328</f>
        <v>103.17811704834607</v>
      </c>
    </row>
    <row r="314" spans="1:26" ht="45" customHeight="1" x14ac:dyDescent="0.25">
      <c r="A314" s="8"/>
      <c r="B314" s="21" t="s">
        <v>731</v>
      </c>
      <c r="C314" s="6" t="s">
        <v>745</v>
      </c>
      <c r="D314" s="13"/>
      <c r="E314" s="12"/>
      <c r="F314" s="12"/>
      <c r="G314" s="12"/>
      <c r="H314" s="40"/>
      <c r="I314" s="12"/>
      <c r="J314" s="12"/>
      <c r="K314" s="12"/>
      <c r="L314" s="12"/>
    </row>
    <row r="315" spans="1:26" x14ac:dyDescent="0.25">
      <c r="A315" s="8"/>
      <c r="B315" s="21" t="s">
        <v>1182</v>
      </c>
      <c r="C315" s="6"/>
      <c r="D315" s="13" t="s">
        <v>1114</v>
      </c>
      <c r="E315" s="12"/>
      <c r="F315" s="12"/>
      <c r="G315" s="12"/>
      <c r="H315" s="9">
        <f>383238.6+1913992.8+719225.5</f>
        <v>3016456.9</v>
      </c>
      <c r="I315" s="9">
        <f>1981915.8+417013.3+794073.3</f>
        <v>3193002.4000000004</v>
      </c>
      <c r="J315" s="9">
        <f>916932.4+2110099.1+483330.6</f>
        <v>3510362.1</v>
      </c>
      <c r="K315" s="9">
        <f>K307</f>
        <v>315360.2</v>
      </c>
      <c r="L315" s="9">
        <f>L307</f>
        <v>252747.40000000002</v>
      </c>
      <c r="M315" s="241"/>
      <c r="N315" s="241">
        <f t="shared" ref="N315:N320" si="268">P315+S315+V315+Y315</f>
        <v>315360.2</v>
      </c>
      <c r="O315" s="241">
        <f t="shared" ref="O315:O331" si="269">Q315+T315+W315+Z315</f>
        <v>252747.40000000002</v>
      </c>
      <c r="P315" s="241">
        <f>P307</f>
        <v>22965.4</v>
      </c>
      <c r="Q315" s="241">
        <f>Q307</f>
        <v>20188.900000000001</v>
      </c>
      <c r="S315" s="241">
        <f>S307</f>
        <v>45608.3</v>
      </c>
      <c r="T315" s="241">
        <f>T307</f>
        <v>43632.800000000003</v>
      </c>
      <c r="V315" s="241">
        <f>V307</f>
        <v>246786.5</v>
      </c>
      <c r="W315" s="241">
        <f>W307</f>
        <v>188925.7</v>
      </c>
      <c r="Y315" s="241">
        <f t="shared" ref="Y315:Z317" si="270">Y307</f>
        <v>0</v>
      </c>
      <c r="Z315" s="241">
        <f t="shared" si="270"/>
        <v>0</v>
      </c>
    </row>
    <row r="316" spans="1:26" x14ac:dyDescent="0.25">
      <c r="A316" s="8"/>
      <c r="B316" s="21" t="s">
        <v>1184</v>
      </c>
      <c r="C316" s="6"/>
      <c r="D316" s="13" t="s">
        <v>1114</v>
      </c>
      <c r="E316" s="12"/>
      <c r="F316" s="12"/>
      <c r="G316" s="12"/>
      <c r="H316" s="9">
        <f>9783+13629.9</f>
        <v>23412.9</v>
      </c>
      <c r="I316" s="12">
        <v>13018</v>
      </c>
      <c r="J316" s="12">
        <v>0</v>
      </c>
      <c r="K316" s="9">
        <f>K308</f>
        <v>13980</v>
      </c>
      <c r="L316" s="9">
        <f>L308</f>
        <v>4054.9</v>
      </c>
      <c r="M316" s="241"/>
      <c r="N316" s="241">
        <f t="shared" si="268"/>
        <v>13980</v>
      </c>
      <c r="O316" s="241">
        <f t="shared" si="269"/>
        <v>4054.9</v>
      </c>
      <c r="P316" s="241">
        <f>P308</f>
        <v>0</v>
      </c>
      <c r="Q316" s="241">
        <f>Q308</f>
        <v>0</v>
      </c>
      <c r="S316" s="241">
        <f>S308</f>
        <v>0</v>
      </c>
      <c r="T316" s="241">
        <f>T308</f>
        <v>0</v>
      </c>
      <c r="V316" s="241">
        <f>V308</f>
        <v>0</v>
      </c>
      <c r="W316" s="241">
        <f>W308</f>
        <v>0</v>
      </c>
      <c r="Y316" s="241">
        <f t="shared" si="270"/>
        <v>13980</v>
      </c>
      <c r="Z316" s="241">
        <f t="shared" si="270"/>
        <v>4054.9</v>
      </c>
    </row>
    <row r="317" spans="1:26" x14ac:dyDescent="0.25">
      <c r="A317" s="8"/>
      <c r="B317" s="21"/>
      <c r="C317" s="6"/>
      <c r="D317" s="13"/>
      <c r="E317" s="12"/>
      <c r="F317" s="12"/>
      <c r="G317" s="12"/>
      <c r="H317" s="9"/>
      <c r="I317" s="40">
        <f>I319/I318</f>
        <v>1.1888103561220758</v>
      </c>
      <c r="J317" s="40">
        <f>J319/J318</f>
        <v>1.1946952412138241</v>
      </c>
      <c r="K317" s="40">
        <f>K319/K318</f>
        <v>1.1946952412138241</v>
      </c>
      <c r="L317" s="40">
        <f>L319/L318</f>
        <v>1.1946952412138241</v>
      </c>
      <c r="M317" s="241"/>
      <c r="N317" s="241" t="e">
        <f>N319/N318</f>
        <v>#DIV/0!</v>
      </c>
      <c r="O317" s="241" t="e">
        <f>O319/O318</f>
        <v>#DIV/0!</v>
      </c>
      <c r="P317">
        <v>0</v>
      </c>
      <c r="Q317">
        <v>0</v>
      </c>
      <c r="S317" s="241">
        <v>0</v>
      </c>
      <c r="T317" s="241">
        <v>0</v>
      </c>
      <c r="V317" s="241">
        <v>0</v>
      </c>
      <c r="W317" s="241">
        <v>0</v>
      </c>
      <c r="Y317" s="241">
        <f t="shared" si="270"/>
        <v>0</v>
      </c>
      <c r="Z317" s="241">
        <f t="shared" si="270"/>
        <v>0</v>
      </c>
    </row>
    <row r="318" spans="1:26" x14ac:dyDescent="0.25">
      <c r="A318" s="8"/>
      <c r="B318" s="21"/>
      <c r="C318" s="6"/>
      <c r="D318" s="13"/>
      <c r="E318" s="12"/>
      <c r="F318" s="12"/>
      <c r="G318" s="12"/>
      <c r="H318" s="9"/>
      <c r="I318" s="12">
        <v>14668.682500000001</v>
      </c>
      <c r="J318" s="12">
        <v>15147.28</v>
      </c>
      <c r="K318" s="12">
        <v>15147.28</v>
      </c>
      <c r="L318" s="12">
        <v>15147.28</v>
      </c>
      <c r="M318" s="241"/>
      <c r="N318" s="241">
        <f t="shared" si="268"/>
        <v>0</v>
      </c>
      <c r="O318" s="241">
        <f t="shared" si="269"/>
        <v>0</v>
      </c>
      <c r="P318" s="241">
        <v>0</v>
      </c>
      <c r="Q318" s="241">
        <v>0</v>
      </c>
      <c r="R318" s="241"/>
      <c r="S318" s="241">
        <v>0</v>
      </c>
      <c r="T318" s="241">
        <v>0</v>
      </c>
      <c r="U318" s="241"/>
      <c r="V318" s="241">
        <v>0</v>
      </c>
      <c r="W318" s="241">
        <v>0</v>
      </c>
    </row>
    <row r="319" spans="1:26" x14ac:dyDescent="0.25">
      <c r="A319" s="8"/>
      <c r="B319" s="21"/>
      <c r="C319" s="6"/>
      <c r="D319" s="13"/>
      <c r="E319" s="12"/>
      <c r="F319" s="12"/>
      <c r="G319" s="12"/>
      <c r="H319" s="9"/>
      <c r="I319" s="12">
        <v>17438.281666666662</v>
      </c>
      <c r="J319" s="12">
        <v>18096.383333333335</v>
      </c>
      <c r="K319" s="12">
        <v>18096.383333333335</v>
      </c>
      <c r="L319" s="12">
        <v>18096.383333333335</v>
      </c>
      <c r="M319" s="241"/>
      <c r="N319" s="241">
        <f t="shared" si="268"/>
        <v>0</v>
      </c>
      <c r="O319" s="241">
        <f t="shared" si="269"/>
        <v>0</v>
      </c>
      <c r="P319" s="241">
        <v>0</v>
      </c>
      <c r="Q319" s="241">
        <v>0</v>
      </c>
      <c r="R319" s="241"/>
      <c r="S319" s="241">
        <v>0</v>
      </c>
      <c r="T319" s="241">
        <v>0</v>
      </c>
      <c r="U319" s="241"/>
      <c r="V319" s="241">
        <v>0</v>
      </c>
      <c r="W319" s="241">
        <v>0</v>
      </c>
    </row>
    <row r="320" spans="1:26" x14ac:dyDescent="0.25">
      <c r="A320" s="8"/>
      <c r="B320" s="21"/>
      <c r="C320" s="6"/>
      <c r="D320" s="13"/>
      <c r="E320" s="12"/>
      <c r="F320" s="12"/>
      <c r="G320" s="12"/>
      <c r="H320" s="9"/>
      <c r="I320" s="12">
        <f>I322*I321</f>
        <v>10215</v>
      </c>
      <c r="J320" s="12">
        <f>J322*J321</f>
        <v>9912</v>
      </c>
      <c r="K320" s="12">
        <f>K322*K321</f>
        <v>10033</v>
      </c>
      <c r="L320" s="12">
        <f>L322*L321</f>
        <v>9657</v>
      </c>
      <c r="M320" s="241"/>
      <c r="N320" s="241">
        <f t="shared" si="268"/>
        <v>0</v>
      </c>
      <c r="O320" s="241">
        <f t="shared" si="269"/>
        <v>0</v>
      </c>
      <c r="P320" s="241">
        <v>0</v>
      </c>
      <c r="Q320" s="241">
        <v>0</v>
      </c>
      <c r="R320" s="241"/>
      <c r="S320" s="241">
        <v>0</v>
      </c>
      <c r="T320" s="241">
        <v>0</v>
      </c>
      <c r="U320" s="241"/>
      <c r="V320" s="241">
        <v>0</v>
      </c>
      <c r="W320" s="241">
        <v>0</v>
      </c>
    </row>
    <row r="321" spans="1:26" ht="45" x14ac:dyDescent="0.25">
      <c r="A321" s="8"/>
      <c r="B321" s="21" t="s">
        <v>696</v>
      </c>
      <c r="C321" s="6" t="s">
        <v>1977</v>
      </c>
      <c r="D321" s="13"/>
      <c r="E321" s="12"/>
      <c r="F321" s="12"/>
      <c r="G321" s="12"/>
      <c r="H321" s="12"/>
      <c r="I321" s="40">
        <f>I323/I322</f>
        <v>1.0167315291283878</v>
      </c>
      <c r="J321" s="40">
        <f>J323/J322</f>
        <v>0.98288479463736789</v>
      </c>
      <c r="K321" s="40">
        <f>K323/K322</f>
        <v>1.3810808578586571</v>
      </c>
      <c r="L321" s="40">
        <f>L323/L322</f>
        <v>1.2188718777215415</v>
      </c>
      <c r="M321" s="241"/>
      <c r="N321" s="65">
        <f t="shared" ref="N321:O321" si="271">N323/N322</f>
        <v>1.3810808578586571</v>
      </c>
      <c r="O321" s="65">
        <f t="shared" si="271"/>
        <v>1.2188718777215415</v>
      </c>
      <c r="P321" s="65">
        <f>P323/P322</f>
        <v>1.0757314974182444</v>
      </c>
      <c r="Q321" s="65">
        <f>Q323/Q322</f>
        <v>0.58088930936613059</v>
      </c>
      <c r="R321" s="65"/>
      <c r="S321" s="65">
        <f>S323/S322</f>
        <v>1.3926840017628912</v>
      </c>
      <c r="T321" s="65">
        <f>T323/T322</f>
        <v>1.4205319590071679</v>
      </c>
      <c r="U321" s="65"/>
      <c r="V321" s="65">
        <f>V323/V322</f>
        <v>1.4131953003040014</v>
      </c>
      <c r="W321" s="65">
        <f>W323/W322</f>
        <v>1.2833635907142029</v>
      </c>
      <c r="Y321" s="65" t="e">
        <f>Y323/Y322</f>
        <v>#DIV/0!</v>
      </c>
      <c r="Z321" s="65" t="e">
        <f>Z323/Z322</f>
        <v>#DIV/0!</v>
      </c>
    </row>
    <row r="322" spans="1:26" x14ac:dyDescent="0.25">
      <c r="A322" s="8"/>
      <c r="B322" s="21"/>
      <c r="C322" s="6"/>
      <c r="D322" s="13"/>
      <c r="E322" s="12"/>
      <c r="F322" s="12"/>
      <c r="G322" s="12"/>
      <c r="H322" s="12"/>
      <c r="I322" s="12">
        <f>2600+6472+514.6+460.3</f>
        <v>10046.9</v>
      </c>
      <c r="J322" s="12">
        <f>2627+6358.7+580.5+518.4</f>
        <v>10084.6</v>
      </c>
      <c r="K322" s="40">
        <f>K223</f>
        <v>7264.5999999999995</v>
      </c>
      <c r="L322" s="40">
        <f>L223</f>
        <v>7922.9</v>
      </c>
      <c r="N322" s="241">
        <f t="shared" ref="N322:N331" si="272">P322+S322+V322+Y322</f>
        <v>7264.5999999999995</v>
      </c>
      <c r="O322" s="241">
        <f t="shared" si="269"/>
        <v>7922.9</v>
      </c>
      <c r="P322" s="241">
        <f>P223</f>
        <v>581</v>
      </c>
      <c r="Q322" s="241">
        <f>Q223</f>
        <v>1057</v>
      </c>
      <c r="S322" s="241">
        <f>S223</f>
        <v>1815.2</v>
      </c>
      <c r="T322" s="241">
        <f>T223</f>
        <v>1688.1</v>
      </c>
      <c r="V322" s="241">
        <f>V223</f>
        <v>4868.3999999999996</v>
      </c>
      <c r="W322" s="241">
        <f>W223</f>
        <v>5177.8</v>
      </c>
      <c r="Y322" s="241">
        <f>Y223</f>
        <v>0</v>
      </c>
      <c r="Z322" s="241">
        <f>Z223</f>
        <v>0</v>
      </c>
    </row>
    <row r="323" spans="1:26" x14ac:dyDescent="0.25">
      <c r="A323" s="8"/>
      <c r="B323" s="21"/>
      <c r="C323" s="6"/>
      <c r="D323" s="13"/>
      <c r="E323" s="12"/>
      <c r="F323" s="12"/>
      <c r="G323" s="12"/>
      <c r="H323" s="12"/>
      <c r="I323" s="12">
        <f>I325+I326+I327</f>
        <v>10215</v>
      </c>
      <c r="J323" s="12">
        <f>J325+J326+J327</f>
        <v>9912</v>
      </c>
      <c r="K323" s="12">
        <f>K325+K326+K327</f>
        <v>10033</v>
      </c>
      <c r="L323" s="12">
        <f>L325+L326+L327</f>
        <v>9657</v>
      </c>
      <c r="N323" s="241">
        <f t="shared" si="272"/>
        <v>10033</v>
      </c>
      <c r="O323" s="241">
        <f t="shared" si="269"/>
        <v>9657</v>
      </c>
      <c r="P323" s="241">
        <f>P325+P326+P327</f>
        <v>625</v>
      </c>
      <c r="Q323" s="241">
        <f>Q325+Q326+Q327</f>
        <v>614</v>
      </c>
      <c r="S323" s="241">
        <f>S325+S326+S327</f>
        <v>2528</v>
      </c>
      <c r="T323" s="241">
        <f>T325+T326+T327</f>
        <v>2398</v>
      </c>
      <c r="V323" s="241">
        <f>V325+V326+V327</f>
        <v>6880</v>
      </c>
      <c r="W323" s="241">
        <f>W325+W326+W327</f>
        <v>6645</v>
      </c>
      <c r="Y323" s="241">
        <f>Y325+Y326+Y327</f>
        <v>0</v>
      </c>
      <c r="Z323" s="241">
        <f>Z325+Z326+Z327</f>
        <v>0</v>
      </c>
    </row>
    <row r="324" spans="1:26" x14ac:dyDescent="0.25">
      <c r="A324" s="8"/>
      <c r="B324" s="21" t="s">
        <v>1182</v>
      </c>
      <c r="C324" s="6"/>
      <c r="D324" s="13" t="s">
        <v>950</v>
      </c>
      <c r="E324" s="12"/>
      <c r="F324" s="12"/>
      <c r="G324" s="12"/>
      <c r="H324" s="12">
        <f>H325+(H326*0.1)+(H327*0.25)</f>
        <v>7629.45</v>
      </c>
      <c r="I324" s="12">
        <f>I325+(I326*0.1)+(I327*0.25)</f>
        <v>7703.55</v>
      </c>
      <c r="J324" s="12">
        <f>J325+(J326*0.1)+(J327*0.25)</f>
        <v>8083.95</v>
      </c>
      <c r="K324" s="12">
        <f>K325+(K326*0.1)+(K327*0.25)</f>
        <v>8146</v>
      </c>
      <c r="L324" s="12">
        <f>L325+(L326*0.1)+(L327*0.25)</f>
        <v>7974.3</v>
      </c>
      <c r="N324" s="241">
        <f t="shared" si="272"/>
        <v>8146</v>
      </c>
      <c r="O324" s="241">
        <f t="shared" si="269"/>
        <v>7974.3</v>
      </c>
      <c r="P324" s="241">
        <f>P325+(P326*0.1)+(P327*0.25)</f>
        <v>625</v>
      </c>
      <c r="Q324" s="241">
        <f>Q325+(Q326*0.1)+(Q327*0.25)</f>
        <v>614</v>
      </c>
      <c r="S324" s="241">
        <f>S325+(S326*0.1)+(S327*0.25)</f>
        <v>2171.75</v>
      </c>
      <c r="T324" s="241">
        <f>T325+(T326*0.1)+(T327*0.25)</f>
        <v>2068.75</v>
      </c>
      <c r="V324" s="241">
        <f>V325+(V326*0.1)+(V327*0.25)</f>
        <v>5349.25</v>
      </c>
      <c r="W324" s="241">
        <f>W325+(W326*0.1)+(W327*0.25)</f>
        <v>5291.55</v>
      </c>
      <c r="Y324" s="241">
        <f>Y325+(Y326*0.1)+(Y327*0.25)</f>
        <v>0</v>
      </c>
      <c r="Z324" s="241">
        <f>Z325+(Z326*0.1)+(Z327*0.25)</f>
        <v>0</v>
      </c>
    </row>
    <row r="325" spans="1:26" x14ac:dyDescent="0.25">
      <c r="A325" s="8"/>
      <c r="B325" s="21" t="s">
        <v>633</v>
      </c>
      <c r="C325" s="6"/>
      <c r="D325" s="13" t="s">
        <v>950</v>
      </c>
      <c r="E325" s="12"/>
      <c r="F325" s="12"/>
      <c r="G325" s="12"/>
      <c r="H325" s="12">
        <f>555+2942+1430+443+1753+1+240</f>
        <v>7364</v>
      </c>
      <c r="I325" s="12">
        <v>7419</v>
      </c>
      <c r="J325" s="12">
        <v>7486</v>
      </c>
      <c r="K325" s="12">
        <f>K28</f>
        <v>7530</v>
      </c>
      <c r="L325" s="12">
        <f>L28</f>
        <v>7426</v>
      </c>
      <c r="N325" s="241">
        <f t="shared" si="272"/>
        <v>7530</v>
      </c>
      <c r="O325" s="241">
        <f t="shared" si="269"/>
        <v>7426</v>
      </c>
      <c r="P325" s="241">
        <f>P28</f>
        <v>625</v>
      </c>
      <c r="Q325" s="241">
        <f>Q28</f>
        <v>614</v>
      </c>
      <c r="S325" s="241">
        <f>S28</f>
        <v>2053</v>
      </c>
      <c r="T325" s="241">
        <f>T28</f>
        <v>1959</v>
      </c>
      <c r="V325" s="241">
        <f>V28</f>
        <v>4852</v>
      </c>
      <c r="W325" s="241">
        <f>W28</f>
        <v>4853</v>
      </c>
      <c r="Y325" s="241">
        <f>Y28</f>
        <v>0</v>
      </c>
      <c r="Z325" s="241">
        <f>Z28</f>
        <v>0</v>
      </c>
    </row>
    <row r="326" spans="1:26" x14ac:dyDescent="0.25">
      <c r="A326" s="8"/>
      <c r="B326" s="21" t="s">
        <v>634</v>
      </c>
      <c r="C326" s="6"/>
      <c r="D326" s="13" t="s">
        <v>950</v>
      </c>
      <c r="E326" s="12"/>
      <c r="F326" s="12"/>
      <c r="G326" s="12"/>
      <c r="H326" s="12">
        <f>0+1620+71+277+639+20</f>
        <v>2627</v>
      </c>
      <c r="I326" s="12">
        <v>2763</v>
      </c>
      <c r="J326" s="12">
        <v>57</v>
      </c>
      <c r="K326" s="12">
        <f>K31</f>
        <v>65</v>
      </c>
      <c r="L326" s="12">
        <f>L31</f>
        <v>63</v>
      </c>
      <c r="N326" s="241">
        <f t="shared" si="272"/>
        <v>65</v>
      </c>
      <c r="O326" s="241">
        <f t="shared" si="269"/>
        <v>63</v>
      </c>
      <c r="P326" s="241">
        <f>P31</f>
        <v>0</v>
      </c>
      <c r="Q326" s="241">
        <f>Q31</f>
        <v>0</v>
      </c>
      <c r="S326" s="241">
        <f>S31</f>
        <v>0</v>
      </c>
      <c r="T326" s="241">
        <f>T31</f>
        <v>0</v>
      </c>
      <c r="V326" s="241">
        <f>V31</f>
        <v>65</v>
      </c>
      <c r="W326" s="241">
        <f>W31</f>
        <v>63</v>
      </c>
      <c r="Y326" s="241">
        <f>Y31</f>
        <v>0</v>
      </c>
      <c r="Z326" s="241">
        <f>Z31</f>
        <v>0</v>
      </c>
    </row>
    <row r="327" spans="1:26" x14ac:dyDescent="0.25">
      <c r="A327" s="8"/>
      <c r="B327" s="21" t="s">
        <v>614</v>
      </c>
      <c r="C327" s="6"/>
      <c r="D327" s="13" t="s">
        <v>950</v>
      </c>
      <c r="E327" s="12"/>
      <c r="F327" s="12"/>
      <c r="G327" s="12"/>
      <c r="H327" s="12">
        <f>0+11</f>
        <v>11</v>
      </c>
      <c r="I327" s="12">
        <v>33</v>
      </c>
      <c r="J327" s="12">
        <v>2369</v>
      </c>
      <c r="K327" s="12">
        <f>K34</f>
        <v>2438</v>
      </c>
      <c r="L327" s="12">
        <f>L34</f>
        <v>2168</v>
      </c>
      <c r="N327" s="241">
        <f t="shared" si="272"/>
        <v>2438</v>
      </c>
      <c r="O327" s="241">
        <f t="shared" si="269"/>
        <v>2168</v>
      </c>
      <c r="P327" s="241">
        <f>P34</f>
        <v>0</v>
      </c>
      <c r="Q327" s="241">
        <f>Q34</f>
        <v>0</v>
      </c>
      <c r="S327" s="241">
        <f>S34</f>
        <v>475</v>
      </c>
      <c r="T327" s="241">
        <f>T34</f>
        <v>439</v>
      </c>
      <c r="V327" s="241">
        <f>V34</f>
        <v>1963</v>
      </c>
      <c r="W327" s="241">
        <f>W34</f>
        <v>1729</v>
      </c>
      <c r="Y327" s="241">
        <f>Y34</f>
        <v>0</v>
      </c>
      <c r="Z327" s="241">
        <f>Z34</f>
        <v>0</v>
      </c>
    </row>
    <row r="328" spans="1:26" x14ac:dyDescent="0.25">
      <c r="A328" s="8"/>
      <c r="B328" s="21" t="s">
        <v>1184</v>
      </c>
      <c r="C328" s="6"/>
      <c r="D328" s="13" t="s">
        <v>950</v>
      </c>
      <c r="E328" s="12"/>
      <c r="F328" s="12"/>
      <c r="G328" s="12"/>
      <c r="H328" s="12">
        <f>H329+(H330*0.1)+(H331*0.25)</f>
        <v>18.5</v>
      </c>
      <c r="I328" s="12">
        <f>I329+(I330*0.1)+(I331*0.25)</f>
        <v>6.6000000000000005</v>
      </c>
      <c r="J328" s="12">
        <f>J329+(J330*0.1)+(J331*0.25)</f>
        <v>0</v>
      </c>
      <c r="K328" s="9">
        <f>K224</f>
        <v>27.1</v>
      </c>
      <c r="L328" s="9">
        <f>L224</f>
        <v>39.299999999999997</v>
      </c>
      <c r="M328" s="241"/>
      <c r="N328" s="241">
        <f t="shared" si="272"/>
        <v>27.1</v>
      </c>
      <c r="O328" s="241">
        <f t="shared" si="269"/>
        <v>39.299999999999997</v>
      </c>
      <c r="P328" s="241"/>
      <c r="Q328" s="241"/>
      <c r="S328" s="241"/>
      <c r="T328" s="241"/>
      <c r="V328" s="241"/>
      <c r="W328" s="241"/>
      <c r="Y328" s="241">
        <f>Y224</f>
        <v>27.1</v>
      </c>
      <c r="Z328" s="241">
        <f>Z224</f>
        <v>39.299999999999997</v>
      </c>
    </row>
    <row r="329" spans="1:26" x14ac:dyDescent="0.25">
      <c r="A329" s="8"/>
      <c r="B329" s="21" t="s">
        <v>633</v>
      </c>
      <c r="C329" s="6"/>
      <c r="D329" s="13" t="s">
        <v>950</v>
      </c>
      <c r="E329" s="12"/>
      <c r="F329" s="12"/>
      <c r="G329" s="12"/>
      <c r="H329" s="12">
        <f>0+3</f>
        <v>3</v>
      </c>
      <c r="I329" s="12">
        <v>1</v>
      </c>
      <c r="J329" s="12">
        <v>0</v>
      </c>
      <c r="K329" s="12">
        <f>K29</f>
        <v>0</v>
      </c>
      <c r="L329" s="12">
        <f>L29</f>
        <v>0</v>
      </c>
      <c r="N329" s="241">
        <f t="shared" si="272"/>
        <v>0</v>
      </c>
      <c r="O329" s="241">
        <f t="shared" si="269"/>
        <v>0</v>
      </c>
      <c r="P329" s="241">
        <f>P29</f>
        <v>0</v>
      </c>
      <c r="Q329" s="241">
        <f>Q29</f>
        <v>0</v>
      </c>
      <c r="S329" s="241">
        <f>S29</f>
        <v>0</v>
      </c>
      <c r="T329" s="241">
        <f>T29</f>
        <v>0</v>
      </c>
      <c r="V329" s="241">
        <f>V29</f>
        <v>0</v>
      </c>
      <c r="W329" s="241">
        <f>W29</f>
        <v>0</v>
      </c>
      <c r="Y329" s="241">
        <f>Y29</f>
        <v>0</v>
      </c>
      <c r="Z329" s="241">
        <f>Z29</f>
        <v>0</v>
      </c>
    </row>
    <row r="330" spans="1:26" x14ac:dyDescent="0.25">
      <c r="A330" s="8"/>
      <c r="B330" s="21" t="s">
        <v>634</v>
      </c>
      <c r="C330" s="6"/>
      <c r="D330" s="13" t="s">
        <v>950</v>
      </c>
      <c r="E330" s="12"/>
      <c r="F330" s="12"/>
      <c r="G330" s="12"/>
      <c r="H330" s="12">
        <f>79+76</f>
        <v>155</v>
      </c>
      <c r="I330" s="12">
        <v>56</v>
      </c>
      <c r="J330" s="12">
        <v>0</v>
      </c>
      <c r="K330" s="12">
        <f>K32</f>
        <v>71</v>
      </c>
      <c r="L330" s="12">
        <f>L32</f>
        <v>105</v>
      </c>
      <c r="N330" s="241">
        <f t="shared" si="272"/>
        <v>71</v>
      </c>
      <c r="O330" s="241">
        <f t="shared" si="269"/>
        <v>105</v>
      </c>
      <c r="P330" s="241">
        <f>P32</f>
        <v>0</v>
      </c>
      <c r="Q330" s="241">
        <f>Q32</f>
        <v>0</v>
      </c>
      <c r="S330" s="241">
        <f>S32</f>
        <v>0</v>
      </c>
      <c r="T330" s="241">
        <f>T32</f>
        <v>0</v>
      </c>
      <c r="V330" s="241">
        <f>V32</f>
        <v>0</v>
      </c>
      <c r="W330" s="241">
        <f>W32</f>
        <v>0</v>
      </c>
      <c r="Y330" s="241">
        <f>Y32</f>
        <v>71</v>
      </c>
      <c r="Z330" s="241">
        <f>Z32</f>
        <v>105</v>
      </c>
    </row>
    <row r="331" spans="1:26" x14ac:dyDescent="0.25">
      <c r="A331" s="8"/>
      <c r="B331" s="21" t="s">
        <v>614</v>
      </c>
      <c r="C331" s="6"/>
      <c r="D331" s="13" t="s">
        <v>950</v>
      </c>
      <c r="E331" s="12"/>
      <c r="F331" s="12"/>
      <c r="G331" s="12"/>
      <c r="H331" s="12">
        <v>0</v>
      </c>
      <c r="I331" s="12">
        <v>0</v>
      </c>
      <c r="J331" s="12">
        <v>0</v>
      </c>
      <c r="K331" s="12">
        <f>K35</f>
        <v>93</v>
      </c>
      <c r="L331" s="12">
        <f>L35</f>
        <v>131</v>
      </c>
      <c r="N331" s="241">
        <f t="shared" si="272"/>
        <v>93</v>
      </c>
      <c r="O331" s="241">
        <f t="shared" si="269"/>
        <v>131</v>
      </c>
      <c r="P331" s="241">
        <f>P35</f>
        <v>0</v>
      </c>
      <c r="Q331" s="241">
        <f>Q35</f>
        <v>0</v>
      </c>
      <c r="S331" s="241">
        <f>S35</f>
        <v>0</v>
      </c>
      <c r="T331" s="241">
        <f>T35</f>
        <v>0</v>
      </c>
      <c r="V331" s="241">
        <f>V35</f>
        <v>0</v>
      </c>
      <c r="W331" s="241">
        <f>W35</f>
        <v>0</v>
      </c>
      <c r="Y331" s="241">
        <f>Y35</f>
        <v>93</v>
      </c>
      <c r="Z331" s="241">
        <f>Z35</f>
        <v>131</v>
      </c>
    </row>
    <row r="332" spans="1:26" ht="45" x14ac:dyDescent="0.25">
      <c r="A332" s="47" t="s">
        <v>104</v>
      </c>
      <c r="B332" s="48" t="s">
        <v>733</v>
      </c>
      <c r="C332" s="44"/>
      <c r="D332" s="44"/>
      <c r="E332" s="44"/>
      <c r="F332" s="44"/>
      <c r="G332" s="44"/>
      <c r="H332" s="44"/>
      <c r="I332" s="44"/>
      <c r="J332" s="44"/>
      <c r="K332" s="44"/>
      <c r="L332" s="44"/>
    </row>
    <row r="333" spans="1:26" ht="60" x14ac:dyDescent="0.25">
      <c r="A333" s="42" t="s">
        <v>106</v>
      </c>
      <c r="B333" s="46" t="s">
        <v>1953</v>
      </c>
      <c r="C333" s="44"/>
      <c r="D333" s="42"/>
      <c r="E333" s="50"/>
      <c r="F333" s="50"/>
      <c r="G333" s="50"/>
      <c r="H333" s="50"/>
      <c r="I333" s="50"/>
      <c r="J333" s="50"/>
      <c r="K333" s="50"/>
      <c r="L333" s="50"/>
      <c r="M333" s="3" t="s">
        <v>281</v>
      </c>
    </row>
    <row r="334" spans="1:26" x14ac:dyDescent="0.25">
      <c r="A334" s="42"/>
      <c r="B334" s="43" t="s">
        <v>1182</v>
      </c>
      <c r="C334" s="44"/>
      <c r="D334" s="42" t="s">
        <v>8</v>
      </c>
      <c r="E334" s="45">
        <v>0</v>
      </c>
      <c r="F334" s="45">
        <v>0</v>
      </c>
      <c r="G334" s="45">
        <v>0</v>
      </c>
      <c r="H334" s="45">
        <f t="shared" ref="H334:I335" si="273">H337/H340*100</f>
        <v>0</v>
      </c>
      <c r="I334" s="45">
        <f t="shared" si="273"/>
        <v>0</v>
      </c>
      <c r="J334" s="45">
        <f t="shared" ref="J334:K334" si="274">J337/J340*100</f>
        <v>0</v>
      </c>
      <c r="K334" s="45">
        <f t="shared" si="274"/>
        <v>0</v>
      </c>
      <c r="L334" s="45">
        <f t="shared" ref="L334" si="275">L337/L340*100</f>
        <v>0</v>
      </c>
      <c r="M334" s="3"/>
      <c r="N334" s="45">
        <f t="shared" ref="N334:P335" si="276">N337/N340*100</f>
        <v>0</v>
      </c>
      <c r="O334" s="45">
        <f t="shared" si="276"/>
        <v>0</v>
      </c>
      <c r="P334" s="45">
        <f t="shared" ref="P334:Q334" si="277">P337/P340*100</f>
        <v>0</v>
      </c>
      <c r="Q334" s="45">
        <f t="shared" si="277"/>
        <v>0</v>
      </c>
      <c r="S334" s="45">
        <f t="shared" ref="S334:T335" si="278">S337/S340*100</f>
        <v>0</v>
      </c>
      <c r="T334" s="45">
        <f t="shared" si="278"/>
        <v>0</v>
      </c>
      <c r="V334" s="45">
        <f t="shared" ref="V334:W334" si="279">V337/V340*100</f>
        <v>0</v>
      </c>
      <c r="W334" s="45">
        <f t="shared" si="279"/>
        <v>0</v>
      </c>
      <c r="Y334" s="45" t="e">
        <f t="shared" ref="Y334:Z334" si="280">Y337/Y340*100</f>
        <v>#DIV/0!</v>
      </c>
      <c r="Z334" s="45" t="e">
        <f t="shared" si="280"/>
        <v>#DIV/0!</v>
      </c>
    </row>
    <row r="335" spans="1:26" x14ac:dyDescent="0.25">
      <c r="A335" s="42"/>
      <c r="B335" s="43" t="s">
        <v>1184</v>
      </c>
      <c r="C335" s="44"/>
      <c r="D335" s="42" t="s">
        <v>8</v>
      </c>
      <c r="E335" s="45">
        <v>0</v>
      </c>
      <c r="F335" s="45">
        <v>0</v>
      </c>
      <c r="G335" s="45">
        <v>0</v>
      </c>
      <c r="H335" s="45">
        <f t="shared" si="273"/>
        <v>0</v>
      </c>
      <c r="I335" s="45">
        <f t="shared" si="273"/>
        <v>0</v>
      </c>
      <c r="J335" s="45" t="e">
        <f t="shared" ref="J335:K335" si="281">J338/J341*100</f>
        <v>#DIV/0!</v>
      </c>
      <c r="K335" s="45">
        <f t="shared" si="281"/>
        <v>0</v>
      </c>
      <c r="L335" s="45">
        <f t="shared" ref="L335" si="282">L338/L341*100</f>
        <v>0</v>
      </c>
      <c r="M335" s="3"/>
      <c r="N335" s="45" t="e">
        <f t="shared" ref="N335" si="283">N338/N341*100</f>
        <v>#DIV/0!</v>
      </c>
      <c r="O335" s="45">
        <f t="shared" si="276"/>
        <v>0</v>
      </c>
      <c r="P335" s="45" t="e">
        <f t="shared" si="276"/>
        <v>#DIV/0!</v>
      </c>
      <c r="Q335" s="45" t="e">
        <f t="shared" ref="Q335" si="284">Q338/Q341*100</f>
        <v>#DIV/0!</v>
      </c>
      <c r="S335" s="45" t="e">
        <f t="shared" ref="S335" si="285">S338/S341*100</f>
        <v>#DIV/0!</v>
      </c>
      <c r="T335" s="45" t="e">
        <f t="shared" si="278"/>
        <v>#DIV/0!</v>
      </c>
      <c r="V335" s="45" t="e">
        <f t="shared" ref="V335:W335" si="286">V338/V341*100</f>
        <v>#DIV/0!</v>
      </c>
      <c r="W335" s="45" t="e">
        <f t="shared" si="286"/>
        <v>#DIV/0!</v>
      </c>
      <c r="Y335" s="45" t="e">
        <f t="shared" ref="Y335:Z335" si="287">Y338/Y341*100</f>
        <v>#DIV/0!</v>
      </c>
      <c r="Z335" s="45">
        <f t="shared" si="287"/>
        <v>0</v>
      </c>
    </row>
    <row r="336" spans="1:26" ht="60" x14ac:dyDescent="0.25">
      <c r="A336" s="8"/>
      <c r="B336" s="21" t="s">
        <v>735</v>
      </c>
      <c r="C336" s="6" t="s">
        <v>736</v>
      </c>
      <c r="D336" s="13"/>
      <c r="E336" s="12"/>
      <c r="F336" s="12"/>
      <c r="G336" s="12"/>
      <c r="H336" s="12"/>
      <c r="I336" s="12"/>
      <c r="J336" s="40"/>
      <c r="K336" s="12"/>
      <c r="L336" s="12"/>
    </row>
    <row r="337" spans="1:26" x14ac:dyDescent="0.25">
      <c r="A337" s="8"/>
      <c r="B337" s="21" t="s">
        <v>1182</v>
      </c>
      <c r="C337" s="6"/>
      <c r="D337" s="13" t="s">
        <v>1112</v>
      </c>
      <c r="E337" s="12"/>
      <c r="F337" s="12"/>
      <c r="G337" s="12"/>
      <c r="H337" s="12">
        <v>0</v>
      </c>
      <c r="I337" s="12">
        <v>0</v>
      </c>
      <c r="J337" s="12">
        <v>0</v>
      </c>
      <c r="K337" s="12">
        <v>0</v>
      </c>
      <c r="L337" s="12">
        <v>0</v>
      </c>
      <c r="N337" s="241">
        <f t="shared" ref="N337:N338" si="288">P337+S337+V337+Y337</f>
        <v>0</v>
      </c>
      <c r="O337" s="241">
        <f t="shared" ref="O337:O338" si="289">Q337+T337+W337+Z337</f>
        <v>0</v>
      </c>
      <c r="P337">
        <v>0</v>
      </c>
      <c r="Q337">
        <v>0</v>
      </c>
      <c r="S337">
        <v>0</v>
      </c>
      <c r="T337">
        <v>0</v>
      </c>
      <c r="V337">
        <v>0</v>
      </c>
      <c r="W337">
        <v>0</v>
      </c>
      <c r="Y337" s="241">
        <v>0</v>
      </c>
      <c r="Z337" s="241">
        <v>0</v>
      </c>
    </row>
    <row r="338" spans="1:26" x14ac:dyDescent="0.25">
      <c r="A338" s="8"/>
      <c r="B338" s="21" t="s">
        <v>1184</v>
      </c>
      <c r="C338" s="6"/>
      <c r="D338" s="13" t="s">
        <v>1112</v>
      </c>
      <c r="E338" s="12"/>
      <c r="F338" s="12"/>
      <c r="G338" s="12"/>
      <c r="H338" s="12">
        <v>0</v>
      </c>
      <c r="I338" s="12">
        <v>0</v>
      </c>
      <c r="J338" s="12">
        <v>0</v>
      </c>
      <c r="K338" s="12">
        <v>0</v>
      </c>
      <c r="L338" s="12">
        <v>0</v>
      </c>
      <c r="N338" s="241">
        <f t="shared" si="288"/>
        <v>0</v>
      </c>
      <c r="O338" s="241">
        <f t="shared" si="289"/>
        <v>0</v>
      </c>
      <c r="P338">
        <v>0</v>
      </c>
      <c r="Q338">
        <v>0</v>
      </c>
      <c r="S338">
        <v>0</v>
      </c>
      <c r="T338">
        <v>0</v>
      </c>
      <c r="V338">
        <v>0</v>
      </c>
      <c r="W338">
        <v>0</v>
      </c>
      <c r="Y338" s="241">
        <v>0</v>
      </c>
      <c r="Z338" s="241">
        <v>0</v>
      </c>
    </row>
    <row r="339" spans="1:26" ht="30" x14ac:dyDescent="0.25">
      <c r="A339" s="8"/>
      <c r="B339" s="21" t="s">
        <v>737</v>
      </c>
      <c r="C339" s="6" t="s">
        <v>738</v>
      </c>
      <c r="D339" s="13"/>
      <c r="E339" s="12"/>
      <c r="F339" s="12"/>
      <c r="G339" s="12"/>
      <c r="H339" s="12"/>
      <c r="I339" s="12"/>
      <c r="J339" s="12"/>
      <c r="K339" s="12"/>
      <c r="L339" s="12"/>
    </row>
    <row r="340" spans="1:26" x14ac:dyDescent="0.25">
      <c r="A340" s="8"/>
      <c r="B340" s="21" t="s">
        <v>1182</v>
      </c>
      <c r="C340" s="6"/>
      <c r="D340" s="13" t="s">
        <v>1112</v>
      </c>
      <c r="E340" s="12"/>
      <c r="F340" s="12"/>
      <c r="G340" s="12"/>
      <c r="H340" s="12">
        <v>3</v>
      </c>
      <c r="I340" s="12">
        <v>3</v>
      </c>
      <c r="J340" s="12">
        <v>3</v>
      </c>
      <c r="K340" s="12">
        <v>3</v>
      </c>
      <c r="L340" s="12">
        <v>3</v>
      </c>
      <c r="N340" s="241">
        <f t="shared" ref="N340:N341" si="290">P340+S340+V340+Y340</f>
        <v>3</v>
      </c>
      <c r="O340" s="241">
        <f t="shared" ref="O340:O341" si="291">Q340+T340+W340+Z340</f>
        <v>3</v>
      </c>
      <c r="P340">
        <v>1</v>
      </c>
      <c r="Q340">
        <v>1</v>
      </c>
      <c r="S340">
        <v>1</v>
      </c>
      <c r="T340">
        <v>1</v>
      </c>
      <c r="V340">
        <v>1</v>
      </c>
      <c r="W340">
        <v>1</v>
      </c>
      <c r="Y340" s="241">
        <v>0</v>
      </c>
      <c r="Z340" s="241">
        <v>0</v>
      </c>
    </row>
    <row r="341" spans="1:26" x14ac:dyDescent="0.25">
      <c r="A341" s="8"/>
      <c r="B341" s="21" t="s">
        <v>1184</v>
      </c>
      <c r="C341" s="6"/>
      <c r="D341" s="13" t="s">
        <v>1112</v>
      </c>
      <c r="E341" s="12"/>
      <c r="F341" s="12"/>
      <c r="G341" s="12"/>
      <c r="H341" s="12">
        <v>2</v>
      </c>
      <c r="I341" s="12">
        <v>2</v>
      </c>
      <c r="J341" s="12">
        <v>0</v>
      </c>
      <c r="K341" s="12">
        <v>2</v>
      </c>
      <c r="L341" s="12">
        <v>2</v>
      </c>
      <c r="N341" s="241">
        <f t="shared" si="290"/>
        <v>0</v>
      </c>
      <c r="O341" s="241">
        <f t="shared" si="291"/>
        <v>2</v>
      </c>
      <c r="P341">
        <v>0</v>
      </c>
      <c r="Q341">
        <v>0</v>
      </c>
      <c r="S341">
        <v>0</v>
      </c>
      <c r="T341">
        <v>0</v>
      </c>
      <c r="V341">
        <v>0</v>
      </c>
      <c r="W341">
        <v>0</v>
      </c>
      <c r="Z341" s="241">
        <v>2</v>
      </c>
    </row>
    <row r="342" spans="1:26" ht="60" x14ac:dyDescent="0.25">
      <c r="A342" s="47" t="s">
        <v>115</v>
      </c>
      <c r="B342" s="48" t="s">
        <v>740</v>
      </c>
      <c r="C342" s="44"/>
      <c r="D342" s="44"/>
      <c r="E342" s="44"/>
      <c r="F342" s="44"/>
      <c r="G342" s="44"/>
      <c r="H342" s="44"/>
      <c r="I342" s="44"/>
      <c r="J342" s="50"/>
      <c r="K342" s="44"/>
      <c r="L342" s="44"/>
    </row>
    <row r="343" spans="1:26" ht="60" x14ac:dyDescent="0.25">
      <c r="A343" s="42" t="s">
        <v>116</v>
      </c>
      <c r="B343" s="43" t="s">
        <v>741</v>
      </c>
      <c r="C343" s="44"/>
      <c r="D343" s="42"/>
      <c r="E343" s="50"/>
      <c r="F343" s="50"/>
      <c r="G343" s="50"/>
      <c r="H343" s="50"/>
      <c r="I343" s="50"/>
      <c r="J343" s="50"/>
      <c r="K343" s="50"/>
      <c r="L343" s="50"/>
      <c r="M343" s="3" t="s">
        <v>281</v>
      </c>
    </row>
    <row r="344" spans="1:26" x14ac:dyDescent="0.25">
      <c r="A344" s="42"/>
      <c r="B344" s="43" t="s">
        <v>1182</v>
      </c>
      <c r="C344" s="44"/>
      <c r="D344" s="42" t="s">
        <v>8</v>
      </c>
      <c r="E344" s="45">
        <v>14.46</v>
      </c>
      <c r="F344" s="45">
        <v>12.46</v>
      </c>
      <c r="G344" s="45">
        <v>9.48</v>
      </c>
      <c r="H344" s="45">
        <f>H347/H350*100</f>
        <v>5.8301943581557554</v>
      </c>
      <c r="I344" s="45">
        <f>I347/I350*100</f>
        <v>5.5961436170545937</v>
      </c>
      <c r="J344" s="45">
        <f>J347/J350*100</f>
        <v>4.2014070286367327</v>
      </c>
      <c r="K344" s="45">
        <f>K347/K350*100</f>
        <v>3.9344554850536624</v>
      </c>
      <c r="L344" s="45">
        <f>L347/L350*100</f>
        <v>3.6367690324696493</v>
      </c>
      <c r="M344" s="3"/>
      <c r="N344" s="45">
        <f t="shared" ref="N344:Q345" si="292">N347/N350*100</f>
        <v>3.9344554850536624</v>
      </c>
      <c r="O344" s="45">
        <f t="shared" si="292"/>
        <v>3.6367690324696502</v>
      </c>
      <c r="P344" s="45">
        <f t="shared" si="292"/>
        <v>2.88151075037152</v>
      </c>
      <c r="Q344" s="45">
        <f t="shared" si="292"/>
        <v>2.5693943813699751</v>
      </c>
      <c r="S344" s="45">
        <f>S347/S350*100</f>
        <v>5.4025321683452834</v>
      </c>
      <c r="T344" s="45">
        <f>T347/T350*100</f>
        <v>4.4324663812522758</v>
      </c>
      <c r="V344" s="45">
        <f>V347/V350*100</f>
        <v>3.6966792256767738</v>
      </c>
      <c r="W344" s="45">
        <f>W347/W350*100</f>
        <v>3.5783804194137945</v>
      </c>
      <c r="Y344" s="45" t="e">
        <f>Y347/Y350*100</f>
        <v>#DIV/0!</v>
      </c>
      <c r="Z344" s="45" t="e">
        <f>Z347/Z350*100</f>
        <v>#DIV/0!</v>
      </c>
    </row>
    <row r="345" spans="1:26" x14ac:dyDescent="0.25">
      <c r="A345" s="42"/>
      <c r="B345" s="43" t="s">
        <v>1184</v>
      </c>
      <c r="C345" s="44"/>
      <c r="D345" s="42" t="s">
        <v>8</v>
      </c>
      <c r="E345" s="45">
        <v>4.0599999999999996</v>
      </c>
      <c r="F345" s="45">
        <v>5.88</v>
      </c>
      <c r="G345" s="45">
        <v>8.81</v>
      </c>
      <c r="H345" s="45">
        <v>8.7200000000000006</v>
      </c>
      <c r="I345" s="45">
        <v>8.83</v>
      </c>
      <c r="J345" s="45" t="e">
        <f>J348/J351*100</f>
        <v>#DIV/0!</v>
      </c>
      <c r="K345" s="45">
        <f>K348/K351*100</f>
        <v>3.4463706057048142</v>
      </c>
      <c r="L345" s="45">
        <f>L348/L351*100</f>
        <v>0</v>
      </c>
      <c r="M345" s="3"/>
      <c r="N345" s="45">
        <f t="shared" si="292"/>
        <v>3.4463706057048142</v>
      </c>
      <c r="O345" s="45">
        <f t="shared" si="292"/>
        <v>0</v>
      </c>
      <c r="P345" s="45" t="e">
        <f t="shared" si="292"/>
        <v>#DIV/0!</v>
      </c>
      <c r="Q345" s="45" t="e">
        <f t="shared" si="292"/>
        <v>#DIV/0!</v>
      </c>
      <c r="S345" s="45" t="e">
        <f>S348/S351*100</f>
        <v>#DIV/0!</v>
      </c>
      <c r="T345" s="45" t="e">
        <f>T348/T351*100</f>
        <v>#DIV/0!</v>
      </c>
      <c r="V345" s="45" t="e">
        <f>V348/V351*100</f>
        <v>#DIV/0!</v>
      </c>
      <c r="W345" s="45" t="e">
        <f>W348/W351*100</f>
        <v>#DIV/0!</v>
      </c>
      <c r="Y345" s="45">
        <f>Y348/Y351*100</f>
        <v>3.4463706057048142</v>
      </c>
      <c r="Z345" s="45">
        <f>Z348/Z351*100</f>
        <v>0</v>
      </c>
    </row>
    <row r="346" spans="1:26" ht="45" x14ac:dyDescent="0.25">
      <c r="A346" s="8"/>
      <c r="B346" s="21" t="s">
        <v>743</v>
      </c>
      <c r="C346" s="6" t="s">
        <v>2032</v>
      </c>
      <c r="D346" s="13"/>
      <c r="E346" s="12"/>
      <c r="F346" s="12"/>
      <c r="G346" s="12"/>
      <c r="H346" s="40"/>
      <c r="I346" s="40"/>
      <c r="J346" s="9"/>
      <c r="K346" s="40"/>
      <c r="L346" s="40"/>
    </row>
    <row r="347" spans="1:26" x14ac:dyDescent="0.25">
      <c r="A347" s="8"/>
      <c r="B347" s="21" t="s">
        <v>1182</v>
      </c>
      <c r="C347" s="6"/>
      <c r="D347" s="13" t="s">
        <v>1114</v>
      </c>
      <c r="E347" s="12"/>
      <c r="F347" s="12"/>
      <c r="G347" s="12"/>
      <c r="H347" s="130">
        <f>16774.1+117662.2+41429</f>
        <v>175865.3</v>
      </c>
      <c r="I347" s="130">
        <f>114752.1+17516.9+46416</f>
        <v>178685</v>
      </c>
      <c r="J347" s="130">
        <f>13318.3+88435.4+45730.9</f>
        <v>147484.6</v>
      </c>
      <c r="K347" s="130">
        <f>15347.2+90985.9+42174.5</f>
        <v>148507.59999999998</v>
      </c>
      <c r="L347" s="130">
        <v>152586.9</v>
      </c>
      <c r="N347" s="147">
        <f t="shared" ref="N347:N348" si="293">P347+S347+V347+Y347</f>
        <v>148507.59999999998</v>
      </c>
      <c r="O347" s="147">
        <f t="shared" ref="O347:O348" si="294">Q347+T347+W347+Z347</f>
        <v>152586.90000000002</v>
      </c>
      <c r="P347" s="147">
        <v>15347.2</v>
      </c>
      <c r="Q347" s="147">
        <v>15689.2</v>
      </c>
      <c r="R347" s="147"/>
      <c r="S347" s="147">
        <v>42174.5</v>
      </c>
      <c r="T347" s="147">
        <v>44687.9</v>
      </c>
      <c r="U347" s="147"/>
      <c r="V347" s="147">
        <v>90985.9</v>
      </c>
      <c r="W347" s="147">
        <v>92209.8</v>
      </c>
      <c r="X347" s="147"/>
      <c r="Y347" s="147">
        <v>0</v>
      </c>
      <c r="Z347" s="147">
        <v>0</v>
      </c>
    </row>
    <row r="348" spans="1:26" x14ac:dyDescent="0.25">
      <c r="A348" s="8"/>
      <c r="B348" s="21" t="s">
        <v>1184</v>
      </c>
      <c r="C348" s="6"/>
      <c r="D348" s="13" t="s">
        <v>1114</v>
      </c>
      <c r="E348" s="12"/>
      <c r="F348" s="12"/>
      <c r="G348" s="12"/>
      <c r="H348" s="130">
        <f>2465.8+1362.2</f>
        <v>3828</v>
      </c>
      <c r="I348" s="130">
        <v>1314.5</v>
      </c>
      <c r="J348" s="130">
        <v>0</v>
      </c>
      <c r="K348" s="130">
        <v>499</v>
      </c>
      <c r="L348" s="130">
        <v>0</v>
      </c>
      <c r="N348" s="147">
        <f t="shared" si="293"/>
        <v>499</v>
      </c>
      <c r="O348" s="147">
        <f t="shared" si="294"/>
        <v>0</v>
      </c>
      <c r="P348" s="147">
        <v>0</v>
      </c>
      <c r="Q348" s="147">
        <v>0</v>
      </c>
      <c r="R348" s="147"/>
      <c r="S348" s="147">
        <v>0</v>
      </c>
      <c r="T348" s="147">
        <v>0</v>
      </c>
      <c r="U348" s="147"/>
      <c r="V348" s="147">
        <v>0</v>
      </c>
      <c r="W348" s="147">
        <v>0</v>
      </c>
      <c r="X348" s="147"/>
      <c r="Y348" s="147">
        <v>499</v>
      </c>
      <c r="Z348" s="147">
        <v>0</v>
      </c>
    </row>
    <row r="349" spans="1:26" ht="30" x14ac:dyDescent="0.25">
      <c r="A349" s="8"/>
      <c r="B349" s="21" t="s">
        <v>744</v>
      </c>
      <c r="C349" s="6" t="s">
        <v>745</v>
      </c>
      <c r="D349" s="13"/>
      <c r="E349" s="12"/>
      <c r="F349" s="12"/>
      <c r="G349" s="12"/>
      <c r="H349" s="130"/>
      <c r="I349" s="130"/>
      <c r="J349" s="130"/>
      <c r="K349" s="130"/>
      <c r="L349" s="130"/>
      <c r="N349" s="147"/>
      <c r="O349" s="147"/>
      <c r="P349" s="147"/>
      <c r="Q349" s="147"/>
      <c r="R349" s="147"/>
      <c r="S349" s="147"/>
      <c r="T349" s="147"/>
      <c r="U349" s="147"/>
      <c r="V349" s="147"/>
      <c r="W349" s="147"/>
      <c r="X349" s="147"/>
      <c r="Y349" s="147"/>
      <c r="Z349" s="147"/>
    </row>
    <row r="350" spans="1:26" x14ac:dyDescent="0.25">
      <c r="A350" s="8"/>
      <c r="B350" s="21" t="s">
        <v>1182</v>
      </c>
      <c r="C350" s="6"/>
      <c r="D350" s="13" t="s">
        <v>1114</v>
      </c>
      <c r="E350" s="12"/>
      <c r="F350" s="12"/>
      <c r="G350" s="12"/>
      <c r="H350" s="130">
        <f t="shared" ref="H350:J351" si="295">H315</f>
        <v>3016456.9</v>
      </c>
      <c r="I350" s="130">
        <f t="shared" si="295"/>
        <v>3193002.4000000004</v>
      </c>
      <c r="J350" s="130">
        <f t="shared" si="295"/>
        <v>3510362.1</v>
      </c>
      <c r="K350" s="130">
        <f>532609.5+2461287.4+780643.2</f>
        <v>3774540.0999999996</v>
      </c>
      <c r="L350" s="130">
        <v>4195672</v>
      </c>
      <c r="N350" s="147">
        <f t="shared" ref="N350:N351" si="296">P350+S350+V350+Y350</f>
        <v>3774540.0999999996</v>
      </c>
      <c r="O350" s="147">
        <f t="shared" ref="O350:O351" si="297">Q350+T350+W350+Z350</f>
        <v>4195672</v>
      </c>
      <c r="P350" s="147">
        <v>532609.5</v>
      </c>
      <c r="Q350" s="147">
        <v>610618.6</v>
      </c>
      <c r="R350" s="147"/>
      <c r="S350" s="147">
        <v>780643.2</v>
      </c>
      <c r="T350" s="147">
        <v>1008194.9</v>
      </c>
      <c r="U350" s="147"/>
      <c r="V350" s="147">
        <v>2461287.4</v>
      </c>
      <c r="W350" s="147">
        <v>2576858.5</v>
      </c>
      <c r="X350" s="147"/>
      <c r="Y350" s="147">
        <v>0</v>
      </c>
      <c r="Z350" s="147">
        <v>0</v>
      </c>
    </row>
    <row r="351" spans="1:26" x14ac:dyDescent="0.25">
      <c r="A351" s="8"/>
      <c r="B351" s="21" t="s">
        <v>1184</v>
      </c>
      <c r="C351" s="6"/>
      <c r="D351" s="13" t="s">
        <v>1114</v>
      </c>
      <c r="E351" s="12"/>
      <c r="F351" s="12"/>
      <c r="G351" s="12"/>
      <c r="H351" s="130">
        <f t="shared" si="295"/>
        <v>23412.9</v>
      </c>
      <c r="I351" s="130">
        <f t="shared" si="295"/>
        <v>13018</v>
      </c>
      <c r="J351" s="130">
        <f t="shared" si="295"/>
        <v>0</v>
      </c>
      <c r="K351" s="130">
        <v>14479</v>
      </c>
      <c r="L351" s="130">
        <v>4054.9</v>
      </c>
      <c r="N351" s="147">
        <f t="shared" si="296"/>
        <v>14479</v>
      </c>
      <c r="O351" s="147">
        <f t="shared" si="297"/>
        <v>4054.9</v>
      </c>
      <c r="P351" s="147">
        <v>0</v>
      </c>
      <c r="Q351" s="147">
        <v>0</v>
      </c>
      <c r="R351" s="147"/>
      <c r="S351" s="147">
        <v>0</v>
      </c>
      <c r="T351" s="147">
        <v>0</v>
      </c>
      <c r="U351" s="147"/>
      <c r="V351" s="147">
        <v>0</v>
      </c>
      <c r="W351" s="147">
        <v>0</v>
      </c>
      <c r="X351" s="147"/>
      <c r="Y351" s="147">
        <v>14479</v>
      </c>
      <c r="Z351" s="147">
        <v>4054.9</v>
      </c>
    </row>
    <row r="352" spans="1:26" ht="60" x14ac:dyDescent="0.25">
      <c r="A352" s="42" t="s">
        <v>118</v>
      </c>
      <c r="B352" s="43" t="s">
        <v>747</v>
      </c>
      <c r="C352" s="42"/>
      <c r="D352" s="42"/>
      <c r="E352" s="50"/>
      <c r="F352" s="50"/>
      <c r="G352" s="50"/>
      <c r="H352" s="50"/>
      <c r="I352" s="50"/>
      <c r="J352" s="50"/>
      <c r="K352" s="50"/>
      <c r="L352" s="50"/>
      <c r="M352" s="3" t="s">
        <v>281</v>
      </c>
    </row>
    <row r="353" spans="1:26" x14ac:dyDescent="0.25">
      <c r="A353" s="42"/>
      <c r="B353" s="43" t="s">
        <v>1182</v>
      </c>
      <c r="C353" s="42"/>
      <c r="D353" s="42" t="s">
        <v>1114</v>
      </c>
      <c r="E353" s="45">
        <v>521.78</v>
      </c>
      <c r="F353" s="45">
        <v>485.43</v>
      </c>
      <c r="G353" s="45">
        <v>383.93</v>
      </c>
      <c r="H353" s="45">
        <f>H356/(H359+H362)</f>
        <v>268.49664122137403</v>
      </c>
      <c r="I353" s="45">
        <f>I356/(I359+I362)</f>
        <v>260.89210103664766</v>
      </c>
      <c r="J353" s="45">
        <f>J356/(J359+J362)</f>
        <v>221.84807460890497</v>
      </c>
      <c r="K353" s="45">
        <f>K356/(K359+K362)</f>
        <v>227.38876129229826</v>
      </c>
      <c r="L353" s="45">
        <f>L356/(L359+L362)</f>
        <v>234.28051589129433</v>
      </c>
      <c r="N353" s="45">
        <f t="shared" ref="N353:Q354" si="298">N356/(N359+N362)</f>
        <v>227.38876129229823</v>
      </c>
      <c r="O353" s="45">
        <f t="shared" si="298"/>
        <v>234.28051589129439</v>
      </c>
      <c r="P353" s="45">
        <f t="shared" si="298"/>
        <v>235.74807987711216</v>
      </c>
      <c r="Q353" s="45">
        <f t="shared" si="298"/>
        <v>249.43084260731322</v>
      </c>
      <c r="S353" s="45">
        <f>S356/(S359+S362)</f>
        <v>227.47842502696872</v>
      </c>
      <c r="T353" s="45">
        <f>T356/(T359+T362)</f>
        <v>231.30383022774325</v>
      </c>
      <c r="V353" s="45">
        <f>V356/(V359+V362)</f>
        <v>225.99577744659712</v>
      </c>
      <c r="W353" s="45">
        <f>W356/(W359+W362)</f>
        <v>233.32439271255063</v>
      </c>
      <c r="Y353" s="45" t="e">
        <f>Y356/(Y359+Y362)</f>
        <v>#DIV/0!</v>
      </c>
      <c r="Z353" s="45" t="e">
        <f>Z356/(Z359+Z362)</f>
        <v>#DIV/0!</v>
      </c>
    </row>
    <row r="354" spans="1:26" x14ac:dyDescent="0.25">
      <c r="A354" s="42"/>
      <c r="B354" s="43" t="s">
        <v>1184</v>
      </c>
      <c r="C354" s="42"/>
      <c r="D354" s="42" t="s">
        <v>1114</v>
      </c>
      <c r="E354" s="45">
        <v>84.08</v>
      </c>
      <c r="F354" s="45">
        <v>116.68</v>
      </c>
      <c r="G354" s="45">
        <v>86.24</v>
      </c>
      <c r="H354" s="45">
        <v>193.86</v>
      </c>
      <c r="I354" s="45">
        <v>328.63</v>
      </c>
      <c r="J354" s="45" t="e">
        <f>J357/(J360+J363)</f>
        <v>#DIV/0!</v>
      </c>
      <c r="K354" s="45">
        <f>K357/(K360+K363)</f>
        <v>99.8</v>
      </c>
      <c r="L354" s="45">
        <f>L357/(L360+L363)</f>
        <v>0</v>
      </c>
      <c r="N354" s="45">
        <f t="shared" si="298"/>
        <v>99.8</v>
      </c>
      <c r="O354" s="45">
        <f t="shared" si="298"/>
        <v>0</v>
      </c>
      <c r="P354" s="45" t="e">
        <f t="shared" si="298"/>
        <v>#DIV/0!</v>
      </c>
      <c r="Q354" s="45" t="e">
        <f t="shared" si="298"/>
        <v>#DIV/0!</v>
      </c>
      <c r="S354" s="45" t="e">
        <f>S357/(S360+S363)</f>
        <v>#DIV/0!</v>
      </c>
      <c r="T354" s="45" t="e">
        <f>T357/(T360+T363)</f>
        <v>#DIV/0!</v>
      </c>
      <c r="V354" s="45" t="e">
        <f>V357/(V360+V363)</f>
        <v>#DIV/0!</v>
      </c>
      <c r="W354" s="45" t="e">
        <f>W357/(W360+W363)</f>
        <v>#DIV/0!</v>
      </c>
      <c r="Y354" s="45">
        <f>Y357/(Y360+Y363)</f>
        <v>99.8</v>
      </c>
      <c r="Z354" s="45">
        <f>Z357/(Z360+Z363)</f>
        <v>0</v>
      </c>
    </row>
    <row r="355" spans="1:26" ht="60" x14ac:dyDescent="0.25">
      <c r="A355" s="8"/>
      <c r="B355" s="21" t="s">
        <v>748</v>
      </c>
      <c r="C355" s="6" t="s">
        <v>2032</v>
      </c>
      <c r="D355" s="13"/>
      <c r="E355" s="12"/>
      <c r="F355" s="12"/>
      <c r="G355" s="12"/>
      <c r="H355" s="40"/>
      <c r="I355" s="12"/>
      <c r="J355" s="38"/>
      <c r="K355" s="12"/>
      <c r="L355" s="12"/>
    </row>
    <row r="356" spans="1:26" x14ac:dyDescent="0.25">
      <c r="A356" s="8"/>
      <c r="B356" s="21" t="s">
        <v>1182</v>
      </c>
      <c r="C356" s="6"/>
      <c r="D356" s="13" t="s">
        <v>1114</v>
      </c>
      <c r="E356" s="12"/>
      <c r="F356" s="12"/>
      <c r="G356" s="12"/>
      <c r="H356" s="9">
        <f t="shared" ref="H356:L357" si="299">H347</f>
        <v>175865.3</v>
      </c>
      <c r="I356" s="9">
        <f t="shared" si="299"/>
        <v>178685</v>
      </c>
      <c r="J356" s="9">
        <f t="shared" si="299"/>
        <v>147484.6</v>
      </c>
      <c r="K356" s="9">
        <f t="shared" si="299"/>
        <v>148507.59999999998</v>
      </c>
      <c r="L356" s="9">
        <f t="shared" si="299"/>
        <v>152586.9</v>
      </c>
      <c r="N356" s="147">
        <f t="shared" ref="N356:N357" si="300">P356+S356+V356+Y356</f>
        <v>148507.59999999998</v>
      </c>
      <c r="O356" s="147">
        <f t="shared" ref="O356:O357" si="301">Q356+T356+W356+Z356</f>
        <v>152586.90000000002</v>
      </c>
      <c r="P356" s="147">
        <f t="shared" ref="P356:Q356" si="302">P347</f>
        <v>15347.2</v>
      </c>
      <c r="Q356" s="147">
        <f t="shared" si="302"/>
        <v>15689.2</v>
      </c>
      <c r="R356" s="147"/>
      <c r="S356" s="147">
        <f t="shared" ref="S356:T356" si="303">S347</f>
        <v>42174.5</v>
      </c>
      <c r="T356" s="147">
        <f t="shared" si="303"/>
        <v>44687.9</v>
      </c>
      <c r="U356" s="147"/>
      <c r="V356" s="147">
        <f t="shared" ref="V356:W356" si="304">V347</f>
        <v>90985.9</v>
      </c>
      <c r="W356" s="147">
        <f t="shared" si="304"/>
        <v>92209.8</v>
      </c>
      <c r="X356" s="147"/>
      <c r="Y356" s="147">
        <v>0</v>
      </c>
      <c r="Z356" s="147">
        <f t="shared" ref="Z356" si="305">Z347</f>
        <v>0</v>
      </c>
    </row>
    <row r="357" spans="1:26" x14ac:dyDescent="0.25">
      <c r="A357" s="8"/>
      <c r="B357" s="21" t="s">
        <v>1184</v>
      </c>
      <c r="C357" s="6"/>
      <c r="D357" s="13" t="s">
        <v>1114</v>
      </c>
      <c r="E357" s="12"/>
      <c r="F357" s="12"/>
      <c r="G357" s="12"/>
      <c r="H357" s="9">
        <f t="shared" si="299"/>
        <v>3828</v>
      </c>
      <c r="I357" s="9">
        <f t="shared" si="299"/>
        <v>1314.5</v>
      </c>
      <c r="J357" s="9">
        <f t="shared" si="299"/>
        <v>0</v>
      </c>
      <c r="K357" s="9">
        <f t="shared" si="299"/>
        <v>499</v>
      </c>
      <c r="L357" s="9">
        <f t="shared" si="299"/>
        <v>0</v>
      </c>
      <c r="N357" s="147">
        <f t="shared" si="300"/>
        <v>499</v>
      </c>
      <c r="O357" s="147">
        <f t="shared" si="301"/>
        <v>0</v>
      </c>
      <c r="P357" s="147">
        <f t="shared" ref="P357:Q357" si="306">P348</f>
        <v>0</v>
      </c>
      <c r="Q357" s="147">
        <f t="shared" si="306"/>
        <v>0</v>
      </c>
      <c r="R357" s="147"/>
      <c r="S357" s="147">
        <f t="shared" ref="S357:T357" si="307">S348</f>
        <v>0</v>
      </c>
      <c r="T357" s="147">
        <f t="shared" si="307"/>
        <v>0</v>
      </c>
      <c r="U357" s="147"/>
      <c r="V357" s="147">
        <f t="shared" ref="V357:W357" si="308">V348</f>
        <v>0</v>
      </c>
      <c r="W357" s="147">
        <f t="shared" si="308"/>
        <v>0</v>
      </c>
      <c r="X357" s="147"/>
      <c r="Y357" s="147">
        <f t="shared" ref="Y357:Z357" si="309">Y348</f>
        <v>499</v>
      </c>
      <c r="Z357" s="147">
        <f t="shared" si="309"/>
        <v>0</v>
      </c>
    </row>
    <row r="358" spans="1:26" ht="45" x14ac:dyDescent="0.25">
      <c r="A358" s="8"/>
      <c r="B358" s="21" t="s">
        <v>749</v>
      </c>
      <c r="C358" s="6" t="s">
        <v>2464</v>
      </c>
      <c r="D358" s="13"/>
      <c r="E358" s="12"/>
      <c r="F358" s="12"/>
      <c r="G358" s="12"/>
      <c r="H358" s="12"/>
      <c r="I358" s="12"/>
      <c r="J358" s="12"/>
      <c r="K358" s="12"/>
      <c r="L358" s="12"/>
      <c r="N358" s="147"/>
      <c r="O358" s="147"/>
      <c r="P358" s="147"/>
      <c r="Q358" s="147"/>
      <c r="R358" s="147"/>
      <c r="S358" s="147"/>
      <c r="T358" s="147"/>
      <c r="U358" s="147"/>
      <c r="V358" s="147"/>
      <c r="W358" s="147"/>
      <c r="X358" s="147"/>
      <c r="Y358" s="147"/>
      <c r="Z358" s="147"/>
    </row>
    <row r="359" spans="1:26" x14ac:dyDescent="0.25">
      <c r="A359" s="8"/>
      <c r="B359" s="21" t="s">
        <v>1182</v>
      </c>
      <c r="C359" s="6"/>
      <c r="D359" s="13" t="s">
        <v>950</v>
      </c>
      <c r="E359" s="12"/>
      <c r="F359" s="12"/>
      <c r="G359" s="12"/>
      <c r="H359" s="9">
        <f>54+426+175</f>
        <v>655</v>
      </c>
      <c r="I359" s="9">
        <f>176.8+399.1+60.4</f>
        <v>636.30000000000007</v>
      </c>
      <c r="J359" s="9">
        <f>175+386.4+59.8</f>
        <v>621.19999999999993</v>
      </c>
      <c r="K359" s="9">
        <f>62.4+376.9+170.8</f>
        <v>610.09999999999991</v>
      </c>
      <c r="L359" s="9">
        <v>606.4</v>
      </c>
      <c r="N359" s="147">
        <f t="shared" ref="N359:N360" si="310">P359+S359+V359+Y359</f>
        <v>610.1</v>
      </c>
      <c r="O359" s="147">
        <f t="shared" ref="O359:O360" si="311">Q359+T359+W359+Z359</f>
        <v>606.4</v>
      </c>
      <c r="P359" s="147">
        <v>62.4</v>
      </c>
      <c r="Q359" s="147">
        <v>58.9</v>
      </c>
      <c r="R359" s="147"/>
      <c r="S359" s="147">
        <v>170.8</v>
      </c>
      <c r="T359" s="147">
        <v>177.3</v>
      </c>
      <c r="U359" s="147"/>
      <c r="V359" s="147">
        <v>376.9</v>
      </c>
      <c r="W359" s="147">
        <v>370.2</v>
      </c>
      <c r="X359" s="147"/>
      <c r="Y359" s="147">
        <v>0</v>
      </c>
      <c r="Z359" s="147">
        <v>0</v>
      </c>
    </row>
    <row r="360" spans="1:26" x14ac:dyDescent="0.25">
      <c r="A360" s="8"/>
      <c r="B360" s="21" t="s">
        <v>1184</v>
      </c>
      <c r="C360" s="6"/>
      <c r="D360" s="13" t="s">
        <v>950</v>
      </c>
      <c r="E360" s="12"/>
      <c r="F360" s="12"/>
      <c r="G360" s="12"/>
      <c r="H360" s="9">
        <v>28</v>
      </c>
      <c r="I360" s="9">
        <v>23</v>
      </c>
      <c r="J360" s="9">
        <v>0</v>
      </c>
      <c r="K360" s="9">
        <v>4</v>
      </c>
      <c r="L360" s="9">
        <v>4</v>
      </c>
      <c r="N360" s="147">
        <f t="shared" si="310"/>
        <v>4</v>
      </c>
      <c r="O360" s="147">
        <f t="shared" si="311"/>
        <v>4</v>
      </c>
      <c r="P360" s="147"/>
      <c r="Q360" s="147"/>
      <c r="R360" s="147"/>
      <c r="S360" s="147"/>
      <c r="T360" s="147"/>
      <c r="U360" s="147"/>
      <c r="V360" s="147"/>
      <c r="W360" s="147"/>
      <c r="X360" s="147"/>
      <c r="Y360" s="147">
        <v>4</v>
      </c>
      <c r="Z360" s="147">
        <v>4</v>
      </c>
    </row>
    <row r="361" spans="1:26" ht="45" x14ac:dyDescent="0.25">
      <c r="A361" s="8"/>
      <c r="B361" s="21" t="s">
        <v>750</v>
      </c>
      <c r="C361" s="6" t="s">
        <v>2465</v>
      </c>
      <c r="D361" s="13"/>
      <c r="E361" s="12"/>
      <c r="F361" s="12"/>
      <c r="G361" s="12"/>
      <c r="H361" s="9"/>
      <c r="I361" s="9"/>
      <c r="J361" s="9"/>
      <c r="K361" s="9"/>
      <c r="L361" s="9"/>
      <c r="N361" s="147"/>
      <c r="O361" s="147"/>
      <c r="P361" s="147"/>
      <c r="Q361" s="147"/>
      <c r="R361" s="147"/>
      <c r="S361" s="147"/>
      <c r="T361" s="147"/>
      <c r="U361" s="147"/>
      <c r="V361" s="147"/>
      <c r="W361" s="147"/>
      <c r="X361" s="147"/>
      <c r="Y361" s="147"/>
      <c r="Z361" s="147"/>
    </row>
    <row r="362" spans="1:26" x14ac:dyDescent="0.25">
      <c r="A362" s="8"/>
      <c r="B362" s="21" t="s">
        <v>1182</v>
      </c>
      <c r="C362" s="6"/>
      <c r="D362" s="13" t="s">
        <v>950</v>
      </c>
      <c r="E362" s="12"/>
      <c r="F362" s="12"/>
      <c r="G362" s="12"/>
      <c r="H362" s="9">
        <v>0</v>
      </c>
      <c r="I362" s="9">
        <f>12.1+32+4.5</f>
        <v>48.6</v>
      </c>
      <c r="J362" s="9">
        <f>14+26.8+2.8</f>
        <v>43.599999999999994</v>
      </c>
      <c r="K362" s="9">
        <f>2.7+25.7+14.6</f>
        <v>43</v>
      </c>
      <c r="L362" s="9">
        <v>44.9</v>
      </c>
      <c r="N362" s="147">
        <f t="shared" ref="N362:N363" si="312">P362+S362+V362+Y362</f>
        <v>43</v>
      </c>
      <c r="O362" s="147">
        <f t="shared" ref="O362:O363" si="313">Q362+T362+W362+Z362</f>
        <v>44.9</v>
      </c>
      <c r="P362" s="147">
        <v>2.7</v>
      </c>
      <c r="Q362" s="147">
        <v>4</v>
      </c>
      <c r="R362" s="147"/>
      <c r="S362" s="147">
        <v>14.6</v>
      </c>
      <c r="T362" s="147">
        <v>15.9</v>
      </c>
      <c r="U362" s="147"/>
      <c r="V362" s="147">
        <v>25.7</v>
      </c>
      <c r="W362" s="147">
        <v>25</v>
      </c>
      <c r="X362" s="147"/>
      <c r="Y362" s="147">
        <v>0</v>
      </c>
      <c r="Z362" s="147">
        <v>0</v>
      </c>
    </row>
    <row r="363" spans="1:26" x14ac:dyDescent="0.25">
      <c r="A363" s="8"/>
      <c r="B363" s="21" t="s">
        <v>1184</v>
      </c>
      <c r="C363" s="6"/>
      <c r="D363" s="13" t="s">
        <v>950</v>
      </c>
      <c r="E363" s="12"/>
      <c r="F363" s="12"/>
      <c r="G363" s="12"/>
      <c r="H363" s="9">
        <f>0+0</f>
        <v>0</v>
      </c>
      <c r="I363" s="9">
        <v>0</v>
      </c>
      <c r="J363" s="9">
        <v>0</v>
      </c>
      <c r="K363" s="9">
        <v>1</v>
      </c>
      <c r="L363" s="9">
        <v>1</v>
      </c>
      <c r="N363" s="147">
        <f t="shared" si="312"/>
        <v>1</v>
      </c>
      <c r="O363" s="147">
        <f t="shared" si="313"/>
        <v>1</v>
      </c>
      <c r="P363" s="147"/>
      <c r="Q363" s="147"/>
      <c r="R363" s="147"/>
      <c r="S363" s="147"/>
      <c r="T363" s="147"/>
      <c r="U363" s="147"/>
      <c r="V363" s="147"/>
      <c r="W363" s="147"/>
      <c r="X363" s="147"/>
      <c r="Y363" s="147">
        <v>1</v>
      </c>
      <c r="Z363" s="147">
        <v>1</v>
      </c>
    </row>
    <row r="364" spans="1:26" ht="75" x14ac:dyDescent="0.25">
      <c r="A364" s="60" t="s">
        <v>751</v>
      </c>
      <c r="B364" s="142" t="s">
        <v>1954</v>
      </c>
      <c r="C364" s="60"/>
      <c r="D364" s="60" t="s">
        <v>8</v>
      </c>
      <c r="E364" s="52" t="e">
        <f t="shared" ref="E364:J364" si="314">E365/E366*100</f>
        <v>#DIV/0!</v>
      </c>
      <c r="F364" s="52" t="e">
        <f t="shared" si="314"/>
        <v>#DIV/0!</v>
      </c>
      <c r="G364" s="52" t="e">
        <f t="shared" si="314"/>
        <v>#DIV/0!</v>
      </c>
      <c r="H364" s="52" t="e">
        <f t="shared" si="314"/>
        <v>#DIV/0!</v>
      </c>
      <c r="I364" s="52" t="e">
        <f t="shared" si="314"/>
        <v>#DIV/0!</v>
      </c>
      <c r="J364" s="52" t="e">
        <f t="shared" si="314"/>
        <v>#DIV/0!</v>
      </c>
      <c r="K364" s="52" t="e">
        <f t="shared" ref="K364:L364" si="315">K365/K366*100</f>
        <v>#DIV/0!</v>
      </c>
      <c r="L364" s="52" t="e">
        <f t="shared" si="315"/>
        <v>#DIV/0!</v>
      </c>
      <c r="M364" s="3" t="s">
        <v>94</v>
      </c>
    </row>
    <row r="365" spans="1:26" ht="105" x14ac:dyDescent="0.25">
      <c r="A365" s="64"/>
      <c r="B365" s="63" t="s">
        <v>752</v>
      </c>
      <c r="C365" s="37" t="s">
        <v>676</v>
      </c>
      <c r="D365" s="62" t="s">
        <v>950</v>
      </c>
      <c r="E365" s="38"/>
      <c r="F365" s="38"/>
      <c r="G365" s="38"/>
      <c r="H365" s="38"/>
      <c r="I365" s="38"/>
      <c r="J365" s="38"/>
      <c r="K365" s="38"/>
      <c r="L365" s="38"/>
    </row>
    <row r="366" spans="1:26" ht="105" x14ac:dyDescent="0.25">
      <c r="A366" s="64"/>
      <c r="B366" s="63" t="s">
        <v>753</v>
      </c>
      <c r="C366" s="37" t="s">
        <v>676</v>
      </c>
      <c r="D366" s="62" t="s">
        <v>950</v>
      </c>
      <c r="E366" s="38"/>
      <c r="F366" s="38"/>
      <c r="G366" s="38"/>
      <c r="H366" s="38"/>
      <c r="I366" s="38"/>
      <c r="J366" s="38"/>
      <c r="K366" s="38"/>
      <c r="L366" s="38"/>
    </row>
    <row r="367" spans="1:26" ht="105" x14ac:dyDescent="0.25">
      <c r="A367" s="60" t="s">
        <v>754</v>
      </c>
      <c r="B367" s="142" t="s">
        <v>1955</v>
      </c>
      <c r="C367" s="60"/>
      <c r="D367" s="60" t="s">
        <v>8</v>
      </c>
      <c r="E367" s="52" t="e">
        <f t="shared" ref="E367:J367" si="316">E368/E369*100</f>
        <v>#DIV/0!</v>
      </c>
      <c r="F367" s="52" t="e">
        <f t="shared" si="316"/>
        <v>#DIV/0!</v>
      </c>
      <c r="G367" s="52" t="e">
        <f t="shared" si="316"/>
        <v>#DIV/0!</v>
      </c>
      <c r="H367" s="52" t="e">
        <f t="shared" si="316"/>
        <v>#DIV/0!</v>
      </c>
      <c r="I367" s="52" t="e">
        <f t="shared" si="316"/>
        <v>#DIV/0!</v>
      </c>
      <c r="J367" s="52" t="e">
        <f t="shared" si="316"/>
        <v>#DIV/0!</v>
      </c>
      <c r="K367" s="52" t="e">
        <f t="shared" ref="K367:L367" si="317">K368/K369*100</f>
        <v>#DIV/0!</v>
      </c>
      <c r="L367" s="52" t="e">
        <f t="shared" si="317"/>
        <v>#DIV/0!</v>
      </c>
      <c r="M367" s="3" t="s">
        <v>94</v>
      </c>
    </row>
    <row r="368" spans="1:26" ht="105" x14ac:dyDescent="0.25">
      <c r="A368" s="64"/>
      <c r="B368" s="63" t="s">
        <v>755</v>
      </c>
      <c r="C368" s="37" t="s">
        <v>676</v>
      </c>
      <c r="D368" s="62" t="s">
        <v>950</v>
      </c>
      <c r="E368" s="38"/>
      <c r="F368" s="38"/>
      <c r="G368" s="38"/>
      <c r="H368" s="38"/>
      <c r="I368" s="38"/>
      <c r="J368" s="12"/>
      <c r="K368" s="38"/>
      <c r="L368" s="38"/>
    </row>
    <row r="369" spans="1:26" ht="105" x14ac:dyDescent="0.25">
      <c r="A369" s="64"/>
      <c r="B369" s="63" t="s">
        <v>756</v>
      </c>
      <c r="C369" s="37" t="s">
        <v>676</v>
      </c>
      <c r="D369" s="62" t="s">
        <v>950</v>
      </c>
      <c r="E369" s="38"/>
      <c r="F369" s="38"/>
      <c r="G369" s="38"/>
      <c r="H369" s="38"/>
      <c r="I369" s="38"/>
      <c r="J369" s="12"/>
      <c r="K369" s="38"/>
      <c r="L369" s="38"/>
    </row>
    <row r="370" spans="1:26" ht="45" x14ac:dyDescent="0.25">
      <c r="A370" s="47" t="s">
        <v>2823</v>
      </c>
      <c r="B370" s="48" t="s">
        <v>758</v>
      </c>
      <c r="C370" s="44"/>
      <c r="D370" s="44"/>
      <c r="E370" s="44"/>
      <c r="F370" s="44"/>
      <c r="G370" s="44"/>
      <c r="H370" s="44"/>
      <c r="I370" s="44"/>
      <c r="J370" s="44"/>
      <c r="K370" s="44"/>
      <c r="L370" s="44"/>
    </row>
    <row r="371" spans="1:26" ht="60" x14ac:dyDescent="0.25">
      <c r="A371" s="42" t="s">
        <v>2822</v>
      </c>
      <c r="B371" s="43" t="s">
        <v>1135</v>
      </c>
      <c r="C371" s="42"/>
      <c r="D371" s="42"/>
      <c r="E371" s="50"/>
      <c r="F371" s="50"/>
      <c r="G371" s="50"/>
      <c r="H371" s="50"/>
      <c r="I371" s="50"/>
      <c r="J371" s="50"/>
      <c r="K371" s="50"/>
      <c r="L371" s="50"/>
      <c r="M371" s="3" t="s">
        <v>281</v>
      </c>
    </row>
    <row r="372" spans="1:26" x14ac:dyDescent="0.25">
      <c r="A372" s="42"/>
      <c r="B372" s="46" t="s">
        <v>1948</v>
      </c>
      <c r="C372" s="42"/>
      <c r="D372" s="42"/>
      <c r="E372" s="50"/>
      <c r="F372" s="50"/>
      <c r="G372" s="50"/>
      <c r="H372" s="50"/>
      <c r="I372" s="50"/>
      <c r="J372" s="50"/>
      <c r="K372" s="50"/>
      <c r="L372" s="50"/>
    </row>
    <row r="373" spans="1:26" x14ac:dyDescent="0.25">
      <c r="A373" s="42"/>
      <c r="B373" s="43" t="s">
        <v>1182</v>
      </c>
      <c r="C373" s="42"/>
      <c r="D373" s="42" t="s">
        <v>8</v>
      </c>
      <c r="E373" s="45">
        <v>100</v>
      </c>
      <c r="F373" s="45">
        <v>100</v>
      </c>
      <c r="G373" s="45">
        <v>100</v>
      </c>
      <c r="H373" s="45">
        <f t="shared" ref="H373:I374" si="318">H379/H385*100</f>
        <v>100</v>
      </c>
      <c r="I373" s="45">
        <f t="shared" si="318"/>
        <v>97.623743554404399</v>
      </c>
      <c r="J373" s="45">
        <f t="shared" ref="J373:K373" si="319">J379/J385*100</f>
        <v>100</v>
      </c>
      <c r="K373" s="45">
        <f t="shared" si="319"/>
        <v>35.98923239255241</v>
      </c>
      <c r="L373" s="45">
        <f t="shared" ref="L373" si="320">L379/L385*100</f>
        <v>35.587325474458659</v>
      </c>
      <c r="N373" s="45">
        <f t="shared" ref="N373:O373" si="321">N379/N385*100</f>
        <v>35.98923239255241</v>
      </c>
      <c r="O373" s="45">
        <f t="shared" si="321"/>
        <v>35.587325474458659</v>
      </c>
      <c r="P373" s="45">
        <f t="shared" ref="P373:Q373" si="322">P379/P385*100</f>
        <v>100</v>
      </c>
      <c r="Q373" s="45">
        <f t="shared" si="322"/>
        <v>100</v>
      </c>
      <c r="S373" s="45">
        <f t="shared" ref="S373:T373" si="323">S379/S385*100</f>
        <v>100</v>
      </c>
      <c r="T373" s="45">
        <f t="shared" si="323"/>
        <v>100</v>
      </c>
      <c r="V373" s="45">
        <f t="shared" ref="V373:W373" si="324">V379/V385*100</f>
        <v>0</v>
      </c>
      <c r="W373" s="45">
        <f t="shared" si="324"/>
        <v>0</v>
      </c>
      <c r="Y373" s="45" t="e">
        <f t="shared" ref="Y373:Z373" si="325">Y379/Y385*100</f>
        <v>#DIV/0!</v>
      </c>
      <c r="Z373" s="45" t="e">
        <f t="shared" si="325"/>
        <v>#DIV/0!</v>
      </c>
    </row>
    <row r="374" spans="1:26" x14ac:dyDescent="0.25">
      <c r="A374" s="42"/>
      <c r="B374" s="43" t="s">
        <v>1184</v>
      </c>
      <c r="C374" s="42"/>
      <c r="D374" s="42" t="s">
        <v>8</v>
      </c>
      <c r="E374" s="45">
        <v>70.37</v>
      </c>
      <c r="F374" s="45">
        <v>92.61</v>
      </c>
      <c r="G374" s="45">
        <v>100</v>
      </c>
      <c r="H374" s="45">
        <f t="shared" si="318"/>
        <v>100</v>
      </c>
      <c r="I374" s="45">
        <f t="shared" si="318"/>
        <v>100</v>
      </c>
      <c r="J374" s="45" t="e">
        <f>J380/J386*100</f>
        <v>#DIV/0!</v>
      </c>
      <c r="K374" s="45">
        <f>K380/K386*100</f>
        <v>100</v>
      </c>
      <c r="L374" s="45">
        <f>L380/L386*100</f>
        <v>100</v>
      </c>
      <c r="N374" s="45">
        <f>N380/N386*100</f>
        <v>100</v>
      </c>
      <c r="O374" s="45">
        <f>O380/O386*100</f>
        <v>100</v>
      </c>
      <c r="P374" s="45" t="e">
        <f>P380/P386*100</f>
        <v>#DIV/0!</v>
      </c>
      <c r="Q374" s="45" t="e">
        <f>Q380/Q386*100</f>
        <v>#DIV/0!</v>
      </c>
      <c r="S374" s="45" t="e">
        <f>S380/S386*100</f>
        <v>#DIV/0!</v>
      </c>
      <c r="T374" s="45" t="e">
        <f>T380/T386*100</f>
        <v>#DIV/0!</v>
      </c>
      <c r="V374" s="45" t="e">
        <f>V380/V386*100</f>
        <v>#DIV/0!</v>
      </c>
      <c r="W374" s="45" t="e">
        <f>W380/W386*100</f>
        <v>#DIV/0!</v>
      </c>
      <c r="Y374" s="45">
        <f>Y380/Y386*100</f>
        <v>100</v>
      </c>
      <c r="Z374" s="45">
        <f>Z380/Z386*100</f>
        <v>100</v>
      </c>
    </row>
    <row r="375" spans="1:26" x14ac:dyDescent="0.25">
      <c r="A375" s="42"/>
      <c r="B375" s="46" t="s">
        <v>1949</v>
      </c>
      <c r="C375" s="42"/>
      <c r="D375" s="42"/>
      <c r="E375" s="50"/>
      <c r="F375" s="50"/>
      <c r="G375" s="50"/>
      <c r="H375" s="50"/>
      <c r="I375" s="50"/>
      <c r="J375" s="50"/>
      <c r="K375" s="50"/>
      <c r="L375" s="50"/>
      <c r="N375" s="50"/>
      <c r="O375" s="50"/>
      <c r="P375" s="50"/>
      <c r="Q375" s="50"/>
      <c r="S375" s="50"/>
      <c r="T375" s="50"/>
      <c r="V375" s="50"/>
      <c r="W375" s="50"/>
      <c r="Y375" s="50"/>
      <c r="Z375" s="50"/>
    </row>
    <row r="376" spans="1:26" x14ac:dyDescent="0.25">
      <c r="A376" s="42"/>
      <c r="B376" s="43" t="s">
        <v>1182</v>
      </c>
      <c r="C376" s="42"/>
      <c r="D376" s="42" t="s">
        <v>8</v>
      </c>
      <c r="E376" s="45">
        <v>97.73</v>
      </c>
      <c r="F376" s="45">
        <v>100</v>
      </c>
      <c r="G376" s="45">
        <v>97.6</v>
      </c>
      <c r="H376" s="45">
        <f t="shared" ref="H376:I377" si="326">H382/H388*100</f>
        <v>100</v>
      </c>
      <c r="I376" s="45">
        <f t="shared" si="326"/>
        <v>100</v>
      </c>
      <c r="J376" s="45">
        <f t="shared" ref="J376:K376" si="327">J382/J388*100</f>
        <v>100</v>
      </c>
      <c r="K376" s="45">
        <f t="shared" si="327"/>
        <v>42.550224342131862</v>
      </c>
      <c r="L376" s="45">
        <f t="shared" ref="L376" si="328">L382/L388*100</f>
        <v>42.550224342131862</v>
      </c>
      <c r="N376" s="45">
        <f t="shared" ref="N376:P377" si="329">N382/N388*100</f>
        <v>42.550224342131862</v>
      </c>
      <c r="O376" s="45">
        <f t="shared" si="329"/>
        <v>42.550224342131862</v>
      </c>
      <c r="P376" s="45">
        <f t="shared" ref="P376:Q376" si="330">P382/P388*100</f>
        <v>100</v>
      </c>
      <c r="Q376" s="45">
        <f t="shared" si="330"/>
        <v>100</v>
      </c>
      <c r="S376" s="45">
        <f t="shared" ref="S376:T377" si="331">S382/S388*100</f>
        <v>100</v>
      </c>
      <c r="T376" s="45">
        <f t="shared" si="331"/>
        <v>100</v>
      </c>
      <c r="V376" s="45">
        <f t="shared" ref="V376:W376" si="332">V382/V388*100</f>
        <v>0</v>
      </c>
      <c r="W376" s="45">
        <f t="shared" si="332"/>
        <v>0</v>
      </c>
      <c r="Y376" s="45" t="e">
        <f t="shared" ref="Y376:Z376" si="333">Y382/Y388*100</f>
        <v>#DIV/0!</v>
      </c>
      <c r="Z376" s="45" t="e">
        <f t="shared" si="333"/>
        <v>#DIV/0!</v>
      </c>
    </row>
    <row r="377" spans="1:26" x14ac:dyDescent="0.25">
      <c r="A377" s="42"/>
      <c r="B377" s="43" t="s">
        <v>1184</v>
      </c>
      <c r="C377" s="42"/>
      <c r="D377" s="42" t="s">
        <v>8</v>
      </c>
      <c r="E377" s="45">
        <v>0</v>
      </c>
      <c r="F377" s="45">
        <v>100</v>
      </c>
      <c r="G377" s="45">
        <v>100</v>
      </c>
      <c r="H377" s="45" t="e">
        <f t="shared" si="326"/>
        <v>#DIV/0!</v>
      </c>
      <c r="I377" s="45">
        <f t="shared" si="326"/>
        <v>100</v>
      </c>
      <c r="J377" s="45" t="e">
        <f t="shared" ref="J377:K377" si="334">J383/J389*100</f>
        <v>#DIV/0!</v>
      </c>
      <c r="K377" s="45">
        <f t="shared" si="334"/>
        <v>100</v>
      </c>
      <c r="L377" s="45" t="e">
        <f t="shared" ref="L377" si="335">L383/L389*100</f>
        <v>#DIV/0!</v>
      </c>
      <c r="N377" s="45">
        <f t="shared" ref="N377" si="336">N383/N389*100</f>
        <v>100</v>
      </c>
      <c r="O377" s="45" t="e">
        <f t="shared" si="329"/>
        <v>#DIV/0!</v>
      </c>
      <c r="P377" s="45" t="e">
        <f t="shared" si="329"/>
        <v>#DIV/0!</v>
      </c>
      <c r="Q377" s="45" t="e">
        <f t="shared" ref="Q377" si="337">Q383/Q389*100</f>
        <v>#DIV/0!</v>
      </c>
      <c r="S377" s="45" t="e">
        <f t="shared" ref="S377" si="338">S383/S389*100</f>
        <v>#DIV/0!</v>
      </c>
      <c r="T377" s="45" t="e">
        <f t="shared" si="331"/>
        <v>#DIV/0!</v>
      </c>
      <c r="V377" s="45" t="e">
        <f t="shared" ref="V377:W377" si="339">V383/V389*100</f>
        <v>#DIV/0!</v>
      </c>
      <c r="W377" s="45" t="e">
        <f t="shared" si="339"/>
        <v>#DIV/0!</v>
      </c>
      <c r="Y377" s="45">
        <f t="shared" ref="Y377:Z377" si="340">Y383/Y389*100</f>
        <v>100</v>
      </c>
      <c r="Z377" s="45" t="e">
        <f t="shared" si="340"/>
        <v>#DIV/0!</v>
      </c>
    </row>
    <row r="378" spans="1:26" ht="60" x14ac:dyDescent="0.25">
      <c r="A378" s="6"/>
      <c r="B378" s="21" t="s">
        <v>760</v>
      </c>
      <c r="C378" s="6" t="s">
        <v>1976</v>
      </c>
      <c r="D378" s="13"/>
      <c r="E378" s="12"/>
      <c r="F378" s="12"/>
      <c r="G378" s="12"/>
      <c r="H378" s="12"/>
      <c r="I378" s="12"/>
      <c r="J378" s="12"/>
      <c r="K378" s="12"/>
      <c r="L378" s="12"/>
    </row>
    <row r="379" spans="1:26" ht="30" x14ac:dyDescent="0.25">
      <c r="A379" s="6"/>
      <c r="B379" s="21" t="s">
        <v>1182</v>
      </c>
      <c r="C379" s="6"/>
      <c r="D379" s="13" t="s">
        <v>1111</v>
      </c>
      <c r="E379" s="12"/>
      <c r="F379" s="12"/>
      <c r="G379" s="12"/>
      <c r="H379" s="12">
        <f>16657+72958+32167</f>
        <v>121782</v>
      </c>
      <c r="I379" s="12">
        <f>16657+74425+32167</f>
        <v>123249</v>
      </c>
      <c r="J379" s="12">
        <f>11068+77425+32167</f>
        <v>120660</v>
      </c>
      <c r="K379" s="12">
        <f>11150+32167</f>
        <v>43317</v>
      </c>
      <c r="L379" s="12">
        <v>42566</v>
      </c>
      <c r="N379" s="241">
        <f t="shared" ref="N379:N380" si="341">P379+S379+V379+Y379</f>
        <v>43317</v>
      </c>
      <c r="O379" s="241">
        <f t="shared" ref="O379:O380" si="342">Q379+T379+W379+Z379</f>
        <v>42566</v>
      </c>
      <c r="P379">
        <v>11150</v>
      </c>
      <c r="Q379">
        <v>10399</v>
      </c>
      <c r="S379">
        <v>32167</v>
      </c>
      <c r="T379">
        <v>32167</v>
      </c>
      <c r="V379">
        <v>0</v>
      </c>
      <c r="W379">
        <v>0</v>
      </c>
      <c r="Y379" s="241">
        <v>0</v>
      </c>
      <c r="Z379" s="241">
        <v>0</v>
      </c>
    </row>
    <row r="380" spans="1:26" ht="30" x14ac:dyDescent="0.25">
      <c r="A380" s="6"/>
      <c r="B380" s="21" t="s">
        <v>1184</v>
      </c>
      <c r="C380" s="6"/>
      <c r="D380" s="13" t="s">
        <v>1111</v>
      </c>
      <c r="E380" s="12"/>
      <c r="F380" s="12"/>
      <c r="G380" s="12"/>
      <c r="H380" s="12">
        <f>6393+1139</f>
        <v>7532</v>
      </c>
      <c r="I380" s="12">
        <v>6393</v>
      </c>
      <c r="J380" s="12">
        <v>0</v>
      </c>
      <c r="K380" s="12">
        <v>1407</v>
      </c>
      <c r="L380" s="12">
        <v>758</v>
      </c>
      <c r="N380" s="241">
        <f t="shared" si="341"/>
        <v>1407</v>
      </c>
      <c r="O380" s="241">
        <f t="shared" si="342"/>
        <v>758</v>
      </c>
      <c r="P380">
        <v>0</v>
      </c>
      <c r="Q380">
        <v>0</v>
      </c>
      <c r="S380">
        <v>0</v>
      </c>
      <c r="T380">
        <v>0</v>
      </c>
      <c r="V380">
        <v>0</v>
      </c>
      <c r="W380">
        <v>0</v>
      </c>
      <c r="Y380" s="241">
        <v>1407</v>
      </c>
      <c r="Z380" s="241">
        <v>758</v>
      </c>
    </row>
    <row r="381" spans="1:26" ht="45" x14ac:dyDescent="0.25">
      <c r="A381" s="6"/>
      <c r="B381" s="21" t="s">
        <v>761</v>
      </c>
      <c r="C381" s="6" t="s">
        <v>2031</v>
      </c>
      <c r="D381" s="13"/>
      <c r="E381" s="12"/>
      <c r="F381" s="12"/>
      <c r="G381" s="12"/>
      <c r="H381" s="12"/>
      <c r="I381" s="12"/>
      <c r="J381" s="12"/>
      <c r="K381" s="12"/>
      <c r="L381" s="12"/>
    </row>
    <row r="382" spans="1:26" ht="30" x14ac:dyDescent="0.25">
      <c r="A382" s="6"/>
      <c r="B382" s="21" t="s">
        <v>1182</v>
      </c>
      <c r="C382" s="6"/>
      <c r="D382" s="13" t="s">
        <v>1111</v>
      </c>
      <c r="E382" s="12"/>
      <c r="F382" s="12"/>
      <c r="G382" s="12"/>
      <c r="H382" s="12">
        <f>9788+25820+11265</f>
        <v>46873</v>
      </c>
      <c r="I382" s="12">
        <f>9788+25820+11265</f>
        <v>46873</v>
      </c>
      <c r="J382" s="12">
        <f>9788+25820+11265</f>
        <v>46873</v>
      </c>
      <c r="K382" s="12">
        <f>9788+11265</f>
        <v>21053</v>
      </c>
      <c r="L382" s="12">
        <v>21053</v>
      </c>
      <c r="N382" s="241">
        <f t="shared" ref="N382:N383" si="343">P382+S382+V382+Y382</f>
        <v>21053</v>
      </c>
      <c r="O382" s="241">
        <f t="shared" ref="O382:O383" si="344">Q382+T382+W382+Z382</f>
        <v>21053</v>
      </c>
      <c r="P382">
        <v>9788</v>
      </c>
      <c r="Q382">
        <v>9788</v>
      </c>
      <c r="S382">
        <v>11265</v>
      </c>
      <c r="T382">
        <v>11265</v>
      </c>
      <c r="V382">
        <v>0</v>
      </c>
      <c r="W382">
        <v>0</v>
      </c>
      <c r="Y382" s="241">
        <v>0</v>
      </c>
      <c r="Z382" s="241">
        <v>0</v>
      </c>
    </row>
    <row r="383" spans="1:26" ht="30" x14ac:dyDescent="0.25">
      <c r="A383" s="6"/>
      <c r="B383" s="21" t="s">
        <v>1184</v>
      </c>
      <c r="C383" s="6"/>
      <c r="D383" s="13" t="s">
        <v>1111</v>
      </c>
      <c r="E383" s="12"/>
      <c r="F383" s="12"/>
      <c r="G383" s="12"/>
      <c r="H383" s="12">
        <f>0+0</f>
        <v>0</v>
      </c>
      <c r="I383" s="12">
        <v>6393</v>
      </c>
      <c r="J383" s="12">
        <v>0</v>
      </c>
      <c r="K383" s="12">
        <v>58</v>
      </c>
      <c r="L383" s="12">
        <v>0</v>
      </c>
      <c r="N383" s="241">
        <f t="shared" si="343"/>
        <v>58</v>
      </c>
      <c r="O383" s="241">
        <f t="shared" si="344"/>
        <v>0</v>
      </c>
      <c r="P383" s="241">
        <v>0</v>
      </c>
      <c r="Q383" s="241">
        <v>0</v>
      </c>
      <c r="R383" s="241"/>
      <c r="S383" s="241">
        <v>0</v>
      </c>
      <c r="T383" s="241">
        <v>0</v>
      </c>
      <c r="U383" s="241"/>
      <c r="V383" s="241">
        <v>0</v>
      </c>
      <c r="W383" s="241">
        <v>0</v>
      </c>
      <c r="Y383" s="241">
        <v>58</v>
      </c>
      <c r="Z383" s="241">
        <v>0</v>
      </c>
    </row>
    <row r="384" spans="1:26" ht="45" x14ac:dyDescent="0.25">
      <c r="A384" s="6"/>
      <c r="B384" s="21" t="s">
        <v>762</v>
      </c>
      <c r="C384" s="6" t="s">
        <v>1971</v>
      </c>
      <c r="D384" s="13"/>
      <c r="E384" s="12"/>
      <c r="F384" s="12"/>
      <c r="G384" s="12"/>
      <c r="H384" s="12"/>
      <c r="I384" s="12"/>
      <c r="J384" s="12"/>
      <c r="K384" s="12"/>
      <c r="L384" s="12"/>
    </row>
    <row r="385" spans="1:26" ht="30" x14ac:dyDescent="0.25">
      <c r="A385" s="6"/>
      <c r="B385" s="21" t="s">
        <v>1182</v>
      </c>
      <c r="C385" s="6"/>
      <c r="D385" s="13" t="s">
        <v>1111</v>
      </c>
      <c r="E385" s="12"/>
      <c r="F385" s="12"/>
      <c r="G385" s="12"/>
      <c r="H385" s="12">
        <f>H216</f>
        <v>121782</v>
      </c>
      <c r="I385" s="12">
        <f>I216</f>
        <v>126249</v>
      </c>
      <c r="J385" s="12">
        <f>J216</f>
        <v>120660</v>
      </c>
      <c r="K385" s="12">
        <f>K216</f>
        <v>120361</v>
      </c>
      <c r="L385" s="12">
        <v>119610</v>
      </c>
      <c r="N385" s="241">
        <f t="shared" ref="N385:N386" si="345">P385+S385+V385+Y385</f>
        <v>120361</v>
      </c>
      <c r="O385" s="241">
        <f t="shared" ref="O385:O386" si="346">Q385+T385+W385+Z385</f>
        <v>119610</v>
      </c>
      <c r="P385">
        <v>11150</v>
      </c>
      <c r="Q385">
        <v>10399</v>
      </c>
      <c r="S385">
        <v>32167</v>
      </c>
      <c r="T385">
        <v>32167</v>
      </c>
      <c r="V385">
        <v>77044</v>
      </c>
      <c r="W385">
        <v>77044</v>
      </c>
      <c r="Y385" s="241">
        <v>0</v>
      </c>
      <c r="Z385" s="241">
        <v>0</v>
      </c>
    </row>
    <row r="386" spans="1:26" ht="30" x14ac:dyDescent="0.25">
      <c r="A386" s="6"/>
      <c r="B386" s="21" t="s">
        <v>1184</v>
      </c>
      <c r="C386" s="6"/>
      <c r="D386" s="13" t="s">
        <v>1111</v>
      </c>
      <c r="E386" s="12"/>
      <c r="F386" s="12"/>
      <c r="G386" s="12"/>
      <c r="H386" s="12">
        <f>6393+1139</f>
        <v>7532</v>
      </c>
      <c r="I386" s="12">
        <v>6393</v>
      </c>
      <c r="J386" s="12">
        <v>0</v>
      </c>
      <c r="K386" s="12">
        <v>1407</v>
      </c>
      <c r="L386" s="12">
        <v>758</v>
      </c>
      <c r="N386" s="241">
        <f t="shared" si="345"/>
        <v>1407</v>
      </c>
      <c r="O386" s="241">
        <f t="shared" si="346"/>
        <v>758</v>
      </c>
      <c r="P386" s="241">
        <v>0</v>
      </c>
      <c r="Q386" s="241">
        <v>0</v>
      </c>
      <c r="R386" s="241"/>
      <c r="S386" s="241">
        <v>0</v>
      </c>
      <c r="T386" s="241">
        <v>0</v>
      </c>
      <c r="U386" s="241"/>
      <c r="V386" s="241">
        <v>0</v>
      </c>
      <c r="W386" s="241">
        <v>0</v>
      </c>
      <c r="Y386" s="241">
        <v>1407</v>
      </c>
      <c r="Z386" s="241">
        <v>758</v>
      </c>
    </row>
    <row r="387" spans="1:26" ht="45" x14ac:dyDescent="0.25">
      <c r="A387" s="6"/>
      <c r="B387" s="21" t="s">
        <v>763</v>
      </c>
      <c r="C387" s="6" t="s">
        <v>2030</v>
      </c>
      <c r="D387" s="13"/>
      <c r="E387" s="12"/>
      <c r="F387" s="12"/>
      <c r="G387" s="12"/>
      <c r="H387" s="12"/>
      <c r="I387" s="12"/>
      <c r="J387" s="12"/>
      <c r="K387" s="12"/>
      <c r="L387" s="12"/>
    </row>
    <row r="388" spans="1:26" ht="30" x14ac:dyDescent="0.25">
      <c r="A388" s="6"/>
      <c r="B388" s="21" t="s">
        <v>1182</v>
      </c>
      <c r="C388" s="6"/>
      <c r="D388" s="13" t="s">
        <v>1111</v>
      </c>
      <c r="E388" s="12"/>
      <c r="F388" s="12"/>
      <c r="G388" s="12"/>
      <c r="H388" s="12">
        <f>9788+25820+11265</f>
        <v>46873</v>
      </c>
      <c r="I388" s="12">
        <f>9788+25820+11265</f>
        <v>46873</v>
      </c>
      <c r="J388" s="12">
        <f>9788+25820+11265</f>
        <v>46873</v>
      </c>
      <c r="K388" s="12">
        <f>9788+28425+11265</f>
        <v>49478</v>
      </c>
      <c r="L388" s="12">
        <v>49478</v>
      </c>
      <c r="N388" s="241">
        <f t="shared" ref="N388:N389" si="347">P388+S388+V388+Y388</f>
        <v>49478</v>
      </c>
      <c r="O388" s="241">
        <f t="shared" ref="O388:O389" si="348">Q388+T388+W388+Z388</f>
        <v>49478</v>
      </c>
      <c r="P388">
        <v>9788</v>
      </c>
      <c r="Q388">
        <v>9788</v>
      </c>
      <c r="S388">
        <v>11265</v>
      </c>
      <c r="T388">
        <v>11265</v>
      </c>
      <c r="V388">
        <v>28425</v>
      </c>
      <c r="W388">
        <v>28425</v>
      </c>
      <c r="Y388" s="241">
        <v>0</v>
      </c>
      <c r="Z388" s="241">
        <v>0</v>
      </c>
    </row>
    <row r="389" spans="1:26" ht="30" x14ac:dyDescent="0.25">
      <c r="A389" s="6"/>
      <c r="B389" s="21" t="s">
        <v>1184</v>
      </c>
      <c r="C389" s="6"/>
      <c r="D389" s="13" t="s">
        <v>1111</v>
      </c>
      <c r="E389" s="12"/>
      <c r="F389" s="12"/>
      <c r="G389" s="12"/>
      <c r="H389" s="12">
        <f>0+0</f>
        <v>0</v>
      </c>
      <c r="I389" s="12">
        <v>6393</v>
      </c>
      <c r="J389" s="12">
        <v>0</v>
      </c>
      <c r="K389" s="12">
        <v>58</v>
      </c>
      <c r="L389" s="12">
        <v>0</v>
      </c>
      <c r="N389" s="241">
        <f t="shared" si="347"/>
        <v>58</v>
      </c>
      <c r="O389" s="241">
        <f t="shared" si="348"/>
        <v>0</v>
      </c>
      <c r="P389" s="241">
        <v>0</v>
      </c>
      <c r="Q389" s="241">
        <v>0</v>
      </c>
      <c r="R389" s="241"/>
      <c r="S389" s="241">
        <v>0</v>
      </c>
      <c r="T389" s="241">
        <v>0</v>
      </c>
      <c r="U389" s="241"/>
      <c r="V389" s="241">
        <v>0</v>
      </c>
      <c r="W389" s="241">
        <v>0</v>
      </c>
      <c r="Y389" s="241">
        <v>58</v>
      </c>
      <c r="Z389" s="241">
        <v>0</v>
      </c>
    </row>
    <row r="390" spans="1:26" ht="60" x14ac:dyDescent="0.25">
      <c r="A390" s="42" t="s">
        <v>2821</v>
      </c>
      <c r="B390" s="43" t="s">
        <v>765</v>
      </c>
      <c r="C390" s="42"/>
      <c r="D390" s="42"/>
      <c r="E390" s="50"/>
      <c r="F390" s="50"/>
      <c r="G390" s="50"/>
      <c r="H390" s="50"/>
      <c r="I390" s="50"/>
      <c r="J390" s="50"/>
      <c r="K390" s="50"/>
      <c r="L390" s="50"/>
      <c r="M390" s="3" t="s">
        <v>281</v>
      </c>
    </row>
    <row r="391" spans="1:26" x14ac:dyDescent="0.25">
      <c r="A391" s="42"/>
      <c r="B391" s="46" t="s">
        <v>1948</v>
      </c>
      <c r="C391" s="42"/>
      <c r="D391" s="42"/>
      <c r="E391" s="50"/>
      <c r="F391" s="50"/>
      <c r="G391" s="50"/>
      <c r="H391" s="50"/>
      <c r="I391" s="50"/>
      <c r="J391" s="50"/>
      <c r="K391" s="50"/>
      <c r="L391" s="50"/>
    </row>
    <row r="392" spans="1:26" x14ac:dyDescent="0.25">
      <c r="A392" s="42"/>
      <c r="B392" s="43" t="s">
        <v>1182</v>
      </c>
      <c r="C392" s="42"/>
      <c r="D392" s="42" t="s">
        <v>8</v>
      </c>
      <c r="E392" s="45">
        <v>1.29</v>
      </c>
      <c r="F392" s="45">
        <v>1.31</v>
      </c>
      <c r="G392" s="45">
        <v>1.31</v>
      </c>
      <c r="H392" s="45">
        <f t="shared" ref="H392:I393" si="349">H398/H401*100</f>
        <v>1.303148248509632</v>
      </c>
      <c r="I392" s="45">
        <f t="shared" si="349"/>
        <v>1.2570396597200768</v>
      </c>
      <c r="J392" s="45">
        <f t="shared" ref="J392:K392" si="350">J398/J401*100</f>
        <v>1.315266036797613</v>
      </c>
      <c r="K392" s="45">
        <f t="shared" si="350"/>
        <v>1.3185334119856098</v>
      </c>
      <c r="L392" s="45">
        <f t="shared" ref="L392" si="351">L398/L401*100</f>
        <v>1.3268121394532231</v>
      </c>
      <c r="N392" s="45">
        <f t="shared" ref="N392:P393" si="352">N398/N401*100</f>
        <v>1.3185334119856098</v>
      </c>
      <c r="O392" s="45">
        <f t="shared" si="352"/>
        <v>1.3268121394532231</v>
      </c>
      <c r="P392" s="45">
        <f t="shared" ref="P392:Q392" si="353">P398/P401*100</f>
        <v>0</v>
      </c>
      <c r="Q392" s="45">
        <f t="shared" si="353"/>
        <v>0</v>
      </c>
      <c r="S392" s="45">
        <f t="shared" ref="S392:T393" si="354">S398/S401*100</f>
        <v>1.7005005129480524</v>
      </c>
      <c r="T392" s="45">
        <f t="shared" si="354"/>
        <v>1.7005005129480524</v>
      </c>
      <c r="V392" s="45">
        <f t="shared" ref="V392:W392" si="355">V398/V401*100</f>
        <v>1.3498779917968953</v>
      </c>
      <c r="W392" s="45">
        <f t="shared" si="355"/>
        <v>1.3498779917968953</v>
      </c>
      <c r="Y392" s="45" t="e">
        <f t="shared" ref="Y392:Z392" si="356">Y398/Y401*100</f>
        <v>#DIV/0!</v>
      </c>
      <c r="Z392" s="45" t="e">
        <f t="shared" si="356"/>
        <v>#DIV/0!</v>
      </c>
    </row>
    <row r="393" spans="1:26" x14ac:dyDescent="0.25">
      <c r="A393" s="42"/>
      <c r="B393" s="43" t="s">
        <v>1184</v>
      </c>
      <c r="C393" s="42"/>
      <c r="D393" s="42" t="s">
        <v>8</v>
      </c>
      <c r="E393" s="45">
        <v>0</v>
      </c>
      <c r="F393" s="45">
        <f>F399/F402*100</f>
        <v>0</v>
      </c>
      <c r="G393" s="45">
        <v>0</v>
      </c>
      <c r="H393" s="45">
        <f t="shared" si="349"/>
        <v>0</v>
      </c>
      <c r="I393" s="45">
        <f t="shared" si="349"/>
        <v>0</v>
      </c>
      <c r="J393" s="45" t="e">
        <f t="shared" ref="J393:K393" si="357">J399/J402*100</f>
        <v>#DIV/0!</v>
      </c>
      <c r="K393" s="45">
        <f t="shared" si="357"/>
        <v>0</v>
      </c>
      <c r="L393" s="45">
        <f t="shared" ref="L393" si="358">L399/L402*100</f>
        <v>0</v>
      </c>
      <c r="N393" s="45">
        <f t="shared" ref="N393" si="359">N399/N402*100</f>
        <v>0</v>
      </c>
      <c r="O393" s="45">
        <f t="shared" si="352"/>
        <v>0</v>
      </c>
      <c r="P393" s="45" t="e">
        <f t="shared" si="352"/>
        <v>#DIV/0!</v>
      </c>
      <c r="Q393" s="45" t="e">
        <f t="shared" ref="Q393" si="360">Q399/Q402*100</f>
        <v>#DIV/0!</v>
      </c>
      <c r="S393" s="45" t="e">
        <f t="shared" ref="S393" si="361">S399/S402*100</f>
        <v>#DIV/0!</v>
      </c>
      <c r="T393" s="45" t="e">
        <f t="shared" si="354"/>
        <v>#DIV/0!</v>
      </c>
      <c r="V393" s="45" t="e">
        <f t="shared" ref="V393:W393" si="362">V399/V402*100</f>
        <v>#DIV/0!</v>
      </c>
      <c r="W393" s="45" t="e">
        <f t="shared" si="362"/>
        <v>#DIV/0!</v>
      </c>
      <c r="Y393" s="45">
        <f t="shared" ref="Y393:Z393" si="363">Y399/Y402*100</f>
        <v>0</v>
      </c>
      <c r="Z393" s="45">
        <f t="shared" si="363"/>
        <v>0</v>
      </c>
    </row>
    <row r="394" spans="1:26" x14ac:dyDescent="0.25">
      <c r="A394" s="42"/>
      <c r="B394" s="46" t="s">
        <v>1949</v>
      </c>
      <c r="C394" s="42"/>
      <c r="D394" s="42"/>
      <c r="E394" s="50"/>
      <c r="F394" s="50"/>
      <c r="G394" s="50"/>
      <c r="H394" s="50"/>
      <c r="I394" s="50"/>
      <c r="J394" s="50"/>
      <c r="K394" s="50"/>
      <c r="L394" s="50"/>
      <c r="N394" s="50"/>
      <c r="O394" s="50"/>
      <c r="P394" s="50"/>
      <c r="Q394" s="50"/>
      <c r="S394" s="50"/>
      <c r="T394" s="50"/>
      <c r="V394" s="50"/>
      <c r="W394" s="50"/>
      <c r="Y394" s="50"/>
      <c r="Z394" s="50"/>
    </row>
    <row r="395" spans="1:26" x14ac:dyDescent="0.25">
      <c r="A395" s="42"/>
      <c r="B395" s="43" t="s">
        <v>1182</v>
      </c>
      <c r="C395" s="42"/>
      <c r="D395" s="42" t="s">
        <v>8</v>
      </c>
      <c r="E395" s="45">
        <v>0</v>
      </c>
      <c r="F395" s="45">
        <f>F404/F407*100</f>
        <v>0</v>
      </c>
      <c r="G395" s="45">
        <v>0</v>
      </c>
      <c r="H395" s="45">
        <f t="shared" ref="H395:I396" si="364">H404/H407*100</f>
        <v>1.0709790284385468</v>
      </c>
      <c r="I395" s="45">
        <f t="shared" si="364"/>
        <v>1.0709790284385468</v>
      </c>
      <c r="J395" s="45">
        <f t="shared" ref="J395:K395" si="365">J404/J407*100</f>
        <v>1.0709790284385468</v>
      </c>
      <c r="K395" s="45">
        <f t="shared" si="365"/>
        <v>1.0166134443591091</v>
      </c>
      <c r="L395" s="45">
        <f t="shared" ref="L395" si="366">L404/L407*100</f>
        <v>1.0166134443591091</v>
      </c>
      <c r="N395" s="45">
        <f t="shared" ref="N395:P396" si="367">N404/N407*100</f>
        <v>1.0166134443591091</v>
      </c>
      <c r="O395" s="45">
        <f t="shared" si="367"/>
        <v>1.0166134443591091</v>
      </c>
      <c r="P395" s="45">
        <f t="shared" ref="P395:Q395" si="368">P404/P407*100</f>
        <v>0</v>
      </c>
      <c r="Q395" s="45">
        <f t="shared" si="368"/>
        <v>0</v>
      </c>
      <c r="S395" s="45">
        <f t="shared" ref="S395:T396" si="369">S404/S407*100</f>
        <v>0</v>
      </c>
      <c r="T395" s="45">
        <f t="shared" si="369"/>
        <v>0</v>
      </c>
      <c r="V395" s="45">
        <f t="shared" ref="V395:W395" si="370">V404/V407*100</f>
        <v>1.7695690413368512</v>
      </c>
      <c r="W395" s="45">
        <f t="shared" si="370"/>
        <v>1.7695690413368512</v>
      </c>
      <c r="Y395" s="45" t="e">
        <f t="shared" ref="Y395:Z395" si="371">Y404/Y407*100</f>
        <v>#DIV/0!</v>
      </c>
      <c r="Z395" s="45" t="e">
        <f t="shared" si="371"/>
        <v>#DIV/0!</v>
      </c>
    </row>
    <row r="396" spans="1:26" x14ac:dyDescent="0.25">
      <c r="A396" s="42"/>
      <c r="B396" s="43" t="s">
        <v>1184</v>
      </c>
      <c r="C396" s="42"/>
      <c r="D396" s="42" t="s">
        <v>8</v>
      </c>
      <c r="E396" s="45">
        <v>0</v>
      </c>
      <c r="F396" s="45">
        <f>F405/F408*100</f>
        <v>0</v>
      </c>
      <c r="G396" s="45">
        <v>0</v>
      </c>
      <c r="H396" s="45" t="e">
        <f t="shared" si="364"/>
        <v>#DIV/0!</v>
      </c>
      <c r="I396" s="45">
        <f t="shared" si="364"/>
        <v>0</v>
      </c>
      <c r="J396" s="45" t="e">
        <f t="shared" ref="J396:K396" si="372">J405/J408*100</f>
        <v>#DIV/0!</v>
      </c>
      <c r="K396" s="45">
        <f t="shared" si="372"/>
        <v>0</v>
      </c>
      <c r="L396" s="45" t="e">
        <f t="shared" ref="L396" si="373">L405/L408*100</f>
        <v>#DIV/0!</v>
      </c>
      <c r="N396" s="45">
        <f t="shared" ref="N396" si="374">N405/N408*100</f>
        <v>0</v>
      </c>
      <c r="O396" s="45" t="e">
        <f t="shared" si="367"/>
        <v>#DIV/0!</v>
      </c>
      <c r="P396" s="45" t="e">
        <f t="shared" si="367"/>
        <v>#DIV/0!</v>
      </c>
      <c r="Q396" s="45" t="e">
        <f t="shared" ref="Q396" si="375">Q405/Q408*100</f>
        <v>#DIV/0!</v>
      </c>
      <c r="S396" s="45" t="e">
        <f t="shared" ref="S396" si="376">S405/S408*100</f>
        <v>#DIV/0!</v>
      </c>
      <c r="T396" s="45" t="e">
        <f t="shared" si="369"/>
        <v>#DIV/0!</v>
      </c>
      <c r="V396" s="45" t="e">
        <f t="shared" ref="V396:W396" si="377">V405/V408*100</f>
        <v>#DIV/0!</v>
      </c>
      <c r="W396" s="45" t="e">
        <f t="shared" si="377"/>
        <v>#DIV/0!</v>
      </c>
      <c r="Y396" s="45">
        <f t="shared" ref="Y396:Z396" si="378">Y405/Y408*100</f>
        <v>0</v>
      </c>
      <c r="Z396" s="45" t="e">
        <f t="shared" si="378"/>
        <v>#DIV/0!</v>
      </c>
    </row>
    <row r="397" spans="1:26" ht="45" x14ac:dyDescent="0.25">
      <c r="A397" s="6"/>
      <c r="B397" s="21" t="s">
        <v>766</v>
      </c>
      <c r="C397" s="6" t="s">
        <v>1974</v>
      </c>
      <c r="D397" s="13"/>
      <c r="E397" s="12"/>
      <c r="F397" s="12"/>
      <c r="G397" s="12"/>
      <c r="H397" s="12"/>
      <c r="I397" s="12"/>
      <c r="J397" s="12"/>
      <c r="K397" s="12"/>
      <c r="L397" s="12"/>
    </row>
    <row r="398" spans="1:26" ht="30" x14ac:dyDescent="0.25">
      <c r="A398" s="6"/>
      <c r="B398" s="21" t="s">
        <v>1182</v>
      </c>
      <c r="C398" s="6"/>
      <c r="D398" s="13" t="s">
        <v>1111</v>
      </c>
      <c r="E398" s="12"/>
      <c r="F398" s="12">
        <v>1587</v>
      </c>
      <c r="G398" s="12"/>
      <c r="H398" s="12">
        <f>0+1040+547</f>
        <v>1587</v>
      </c>
      <c r="I398" s="12">
        <f>0+1040+547</f>
        <v>1587</v>
      </c>
      <c r="J398" s="12">
        <f>0+1040+547</f>
        <v>1587</v>
      </c>
      <c r="K398" s="12">
        <f>0+1040+547</f>
        <v>1587</v>
      </c>
      <c r="L398" s="12">
        <v>1587</v>
      </c>
      <c r="N398" s="241">
        <f t="shared" ref="N398:N399" si="379">P398+S398+V398+Y398</f>
        <v>1587</v>
      </c>
      <c r="O398" s="241">
        <f t="shared" ref="O398:O399" si="380">Q398+T398+W398+Z398</f>
        <v>1587</v>
      </c>
      <c r="P398">
        <v>0</v>
      </c>
      <c r="Q398">
        <v>0</v>
      </c>
      <c r="S398">
        <v>547</v>
      </c>
      <c r="T398">
        <v>547</v>
      </c>
      <c r="V398">
        <v>1040</v>
      </c>
      <c r="W398">
        <v>1040</v>
      </c>
      <c r="Y398" s="241">
        <v>0</v>
      </c>
      <c r="Z398" s="241">
        <v>0</v>
      </c>
    </row>
    <row r="399" spans="1:26" ht="30" x14ac:dyDescent="0.25">
      <c r="A399" s="6"/>
      <c r="B399" s="21" t="s">
        <v>1184</v>
      </c>
      <c r="C399" s="6"/>
      <c r="D399" s="13" t="s">
        <v>1111</v>
      </c>
      <c r="E399" s="12"/>
      <c r="F399" s="12">
        <v>0</v>
      </c>
      <c r="G399" s="12"/>
      <c r="H399" s="12">
        <f>0+0</f>
        <v>0</v>
      </c>
      <c r="I399" s="12">
        <v>0</v>
      </c>
      <c r="J399" s="12">
        <v>0</v>
      </c>
      <c r="K399" s="12">
        <v>0</v>
      </c>
      <c r="L399" s="12">
        <v>0</v>
      </c>
      <c r="N399" s="241">
        <f t="shared" si="379"/>
        <v>0</v>
      </c>
      <c r="O399" s="241">
        <f t="shared" si="380"/>
        <v>0</v>
      </c>
      <c r="P399">
        <v>0</v>
      </c>
      <c r="Q399">
        <v>0</v>
      </c>
      <c r="S399">
        <v>0</v>
      </c>
      <c r="T399">
        <v>0</v>
      </c>
      <c r="V399">
        <v>0</v>
      </c>
      <c r="W399">
        <v>0</v>
      </c>
      <c r="Y399" s="241">
        <v>0</v>
      </c>
      <c r="Z399" s="241">
        <v>0</v>
      </c>
    </row>
    <row r="400" spans="1:26" ht="45" x14ac:dyDescent="0.25">
      <c r="A400" s="6"/>
      <c r="B400" s="21" t="s">
        <v>762</v>
      </c>
      <c r="C400" s="6" t="s">
        <v>1971</v>
      </c>
      <c r="D400" s="13"/>
      <c r="E400" s="12"/>
      <c r="F400" s="12"/>
      <c r="G400" s="12"/>
      <c r="H400" s="12"/>
      <c r="I400" s="12"/>
      <c r="J400" s="12"/>
      <c r="K400" s="12"/>
      <c r="L400" s="12"/>
    </row>
    <row r="401" spans="1:26" ht="30" x14ac:dyDescent="0.25">
      <c r="A401" s="6"/>
      <c r="B401" s="21" t="s">
        <v>1182</v>
      </c>
      <c r="C401" s="6"/>
      <c r="D401" s="13" t="s">
        <v>1111</v>
      </c>
      <c r="E401" s="12"/>
      <c r="F401" s="12">
        <v>324880</v>
      </c>
      <c r="G401" s="12"/>
      <c r="H401" s="12">
        <f t="shared" ref="H401:L402" si="381">H385</f>
        <v>121782</v>
      </c>
      <c r="I401" s="12">
        <f t="shared" si="381"/>
        <v>126249</v>
      </c>
      <c r="J401" s="12">
        <f t="shared" si="381"/>
        <v>120660</v>
      </c>
      <c r="K401" s="12">
        <f t="shared" si="381"/>
        <v>120361</v>
      </c>
      <c r="L401" s="12">
        <f t="shared" si="381"/>
        <v>119610</v>
      </c>
      <c r="N401" s="241">
        <f t="shared" ref="N401:N402" si="382">P401+S401+V401+Y401</f>
        <v>120361</v>
      </c>
      <c r="O401" s="241">
        <f t="shared" ref="O401:O402" si="383">Q401+T401+W401+Z401</f>
        <v>119610</v>
      </c>
      <c r="P401" s="241">
        <f t="shared" ref="P401:Q401" si="384">P385</f>
        <v>11150</v>
      </c>
      <c r="Q401" s="241">
        <f t="shared" si="384"/>
        <v>10399</v>
      </c>
      <c r="S401" s="241">
        <f t="shared" ref="S401:T401" si="385">S385</f>
        <v>32167</v>
      </c>
      <c r="T401" s="241">
        <f t="shared" si="385"/>
        <v>32167</v>
      </c>
      <c r="V401" s="241">
        <f t="shared" ref="V401:W401" si="386">V385</f>
        <v>77044</v>
      </c>
      <c r="W401" s="241">
        <f t="shared" si="386"/>
        <v>77044</v>
      </c>
      <c r="Y401" s="241">
        <f t="shared" ref="Y401:Z401" si="387">Y385</f>
        <v>0</v>
      </c>
      <c r="Z401" s="241">
        <f t="shared" si="387"/>
        <v>0</v>
      </c>
    </row>
    <row r="402" spans="1:26" ht="30" x14ac:dyDescent="0.25">
      <c r="A402" s="6"/>
      <c r="B402" s="21" t="s">
        <v>1184</v>
      </c>
      <c r="C402" s="6"/>
      <c r="D402" s="13" t="s">
        <v>1111</v>
      </c>
      <c r="E402" s="12"/>
      <c r="F402" s="12">
        <v>17605</v>
      </c>
      <c r="G402" s="12"/>
      <c r="H402" s="12">
        <f t="shared" si="381"/>
        <v>7532</v>
      </c>
      <c r="I402" s="12">
        <f t="shared" si="381"/>
        <v>6393</v>
      </c>
      <c r="J402" s="12">
        <f t="shared" si="381"/>
        <v>0</v>
      </c>
      <c r="K402" s="12">
        <f t="shared" si="381"/>
        <v>1407</v>
      </c>
      <c r="L402" s="12">
        <f t="shared" si="381"/>
        <v>758</v>
      </c>
      <c r="N402" s="241">
        <f t="shared" si="382"/>
        <v>1407</v>
      </c>
      <c r="O402" s="241">
        <f t="shared" si="383"/>
        <v>758</v>
      </c>
      <c r="P402" s="241">
        <f t="shared" ref="P402:Q402" si="388">P386</f>
        <v>0</v>
      </c>
      <c r="Q402" s="241">
        <f t="shared" si="388"/>
        <v>0</v>
      </c>
      <c r="S402" s="241">
        <f t="shared" ref="S402:T402" si="389">S386</f>
        <v>0</v>
      </c>
      <c r="T402" s="241">
        <f t="shared" si="389"/>
        <v>0</v>
      </c>
      <c r="V402" s="241">
        <f t="shared" ref="V402:W402" si="390">V386</f>
        <v>0</v>
      </c>
      <c r="W402" s="241">
        <f t="shared" si="390"/>
        <v>0</v>
      </c>
      <c r="Y402" s="241">
        <f t="shared" ref="Y402:Z402" si="391">Y386</f>
        <v>1407</v>
      </c>
      <c r="Z402" s="241">
        <f t="shared" si="391"/>
        <v>758</v>
      </c>
    </row>
    <row r="403" spans="1:26" ht="45" x14ac:dyDescent="0.25">
      <c r="A403" s="6"/>
      <c r="B403" s="21" t="s">
        <v>767</v>
      </c>
      <c r="C403" s="6" t="s">
        <v>1975</v>
      </c>
      <c r="D403" s="13"/>
      <c r="E403" s="12"/>
      <c r="F403" s="12"/>
      <c r="G403" s="12"/>
      <c r="H403" s="12"/>
      <c r="I403" s="12"/>
      <c r="J403" s="12"/>
      <c r="K403" s="12"/>
      <c r="L403" s="12"/>
    </row>
    <row r="404" spans="1:26" ht="30" x14ac:dyDescent="0.25">
      <c r="A404" s="6"/>
      <c r="B404" s="21" t="s">
        <v>1182</v>
      </c>
      <c r="C404" s="6"/>
      <c r="D404" s="13" t="s">
        <v>1111</v>
      </c>
      <c r="E404" s="12"/>
      <c r="F404" s="12">
        <v>0</v>
      </c>
      <c r="G404" s="12"/>
      <c r="H404" s="12">
        <f>0+502+0</f>
        <v>502</v>
      </c>
      <c r="I404" s="12">
        <f>0+502+0</f>
        <v>502</v>
      </c>
      <c r="J404" s="12">
        <v>502</v>
      </c>
      <c r="K404" s="12">
        <v>503</v>
      </c>
      <c r="L404" s="12">
        <v>503</v>
      </c>
      <c r="N404" s="241">
        <f t="shared" ref="N404:N405" si="392">P404+S404+V404+Y404</f>
        <v>503</v>
      </c>
      <c r="O404" s="241">
        <f t="shared" ref="O404:O405" si="393">Q404+T404+W404+Z404</f>
        <v>503</v>
      </c>
      <c r="P404" s="209">
        <v>0</v>
      </c>
      <c r="Q404">
        <v>0</v>
      </c>
      <c r="S404">
        <v>0</v>
      </c>
      <c r="T404">
        <v>0</v>
      </c>
      <c r="V404">
        <v>503</v>
      </c>
      <c r="W404">
        <v>503</v>
      </c>
      <c r="Y404" s="241">
        <v>0</v>
      </c>
      <c r="Z404" s="241">
        <v>0</v>
      </c>
    </row>
    <row r="405" spans="1:26" ht="30" x14ac:dyDescent="0.25">
      <c r="A405" s="6"/>
      <c r="B405" s="21" t="s">
        <v>1184</v>
      </c>
      <c r="C405" s="6"/>
      <c r="D405" s="13" t="s">
        <v>1111</v>
      </c>
      <c r="E405" s="12"/>
      <c r="F405" s="12">
        <v>0</v>
      </c>
      <c r="G405" s="12"/>
      <c r="H405" s="12">
        <f>0+0</f>
        <v>0</v>
      </c>
      <c r="I405" s="12">
        <v>0</v>
      </c>
      <c r="J405" s="12">
        <v>0</v>
      </c>
      <c r="K405" s="12">
        <v>0</v>
      </c>
      <c r="L405" s="12">
        <v>0</v>
      </c>
      <c r="N405" s="241">
        <f t="shared" si="392"/>
        <v>0</v>
      </c>
      <c r="O405" s="241">
        <f t="shared" si="393"/>
        <v>0</v>
      </c>
      <c r="P405" s="241">
        <v>0</v>
      </c>
      <c r="Q405" s="241">
        <v>0</v>
      </c>
      <c r="R405" s="241"/>
      <c r="S405" s="241">
        <v>0</v>
      </c>
      <c r="T405" s="241">
        <v>0</v>
      </c>
      <c r="U405" s="241"/>
      <c r="V405" s="241">
        <v>0</v>
      </c>
      <c r="W405" s="241">
        <v>0</v>
      </c>
      <c r="Y405" s="241">
        <v>0</v>
      </c>
      <c r="Z405" s="241">
        <v>0</v>
      </c>
    </row>
    <row r="406" spans="1:26" ht="45" x14ac:dyDescent="0.25">
      <c r="A406" s="6"/>
      <c r="B406" s="21" t="s">
        <v>763</v>
      </c>
      <c r="C406" s="6" t="s">
        <v>1973</v>
      </c>
      <c r="D406" s="13"/>
      <c r="E406" s="12"/>
      <c r="F406" s="12"/>
      <c r="G406" s="12"/>
      <c r="H406" s="12"/>
      <c r="I406" s="12"/>
      <c r="J406" s="12"/>
      <c r="K406" s="12"/>
      <c r="L406" s="12"/>
    </row>
    <row r="407" spans="1:26" ht="30" x14ac:dyDescent="0.25">
      <c r="A407" s="6"/>
      <c r="B407" s="21" t="s">
        <v>1182</v>
      </c>
      <c r="C407" s="6"/>
      <c r="D407" s="13" t="s">
        <v>1111</v>
      </c>
      <c r="E407" s="12"/>
      <c r="F407" s="12">
        <v>98509</v>
      </c>
      <c r="G407" s="12"/>
      <c r="H407" s="12">
        <f t="shared" ref="H407:L408" si="394">H388</f>
        <v>46873</v>
      </c>
      <c r="I407" s="12">
        <f t="shared" si="394"/>
        <v>46873</v>
      </c>
      <c r="J407" s="12">
        <f t="shared" si="394"/>
        <v>46873</v>
      </c>
      <c r="K407" s="12">
        <f t="shared" si="394"/>
        <v>49478</v>
      </c>
      <c r="L407" s="12">
        <f t="shared" si="394"/>
        <v>49478</v>
      </c>
      <c r="N407" s="241">
        <f t="shared" ref="N407:N408" si="395">P407+S407+V407+Y407</f>
        <v>49478</v>
      </c>
      <c r="O407" s="241">
        <f t="shared" ref="O407:O408" si="396">Q407+T407+W407+Z407</f>
        <v>49478</v>
      </c>
      <c r="P407" s="241">
        <f t="shared" ref="P407:Q407" si="397">P388</f>
        <v>9788</v>
      </c>
      <c r="Q407" s="241">
        <f t="shared" si="397"/>
        <v>9788</v>
      </c>
      <c r="S407" s="241">
        <f t="shared" ref="S407:T407" si="398">S388</f>
        <v>11265</v>
      </c>
      <c r="T407" s="241">
        <f t="shared" si="398"/>
        <v>11265</v>
      </c>
      <c r="V407" s="241">
        <f t="shared" ref="V407:W407" si="399">V388</f>
        <v>28425</v>
      </c>
      <c r="W407" s="241">
        <f t="shared" si="399"/>
        <v>28425</v>
      </c>
      <c r="Y407" s="241">
        <f t="shared" ref="Y407:Z407" si="400">Y388</f>
        <v>0</v>
      </c>
      <c r="Z407" s="241">
        <f t="shared" si="400"/>
        <v>0</v>
      </c>
    </row>
    <row r="408" spans="1:26" ht="30" x14ac:dyDescent="0.25">
      <c r="A408" s="6"/>
      <c r="B408" s="21" t="s">
        <v>1184</v>
      </c>
      <c r="C408" s="6"/>
      <c r="D408" s="13" t="s">
        <v>1111</v>
      </c>
      <c r="E408" s="12"/>
      <c r="F408" s="12">
        <v>58</v>
      </c>
      <c r="G408" s="12"/>
      <c r="H408" s="12">
        <f t="shared" si="394"/>
        <v>0</v>
      </c>
      <c r="I408" s="12">
        <f t="shared" si="394"/>
        <v>6393</v>
      </c>
      <c r="J408" s="12">
        <f t="shared" si="394"/>
        <v>0</v>
      </c>
      <c r="K408" s="12">
        <f t="shared" si="394"/>
        <v>58</v>
      </c>
      <c r="L408" s="12">
        <f t="shared" si="394"/>
        <v>0</v>
      </c>
      <c r="N408" s="241">
        <f t="shared" si="395"/>
        <v>58</v>
      </c>
      <c r="O408" s="241">
        <f t="shared" si="396"/>
        <v>0</v>
      </c>
      <c r="P408" s="241">
        <f t="shared" ref="P408:Q408" si="401">P389</f>
        <v>0</v>
      </c>
      <c r="Q408" s="241">
        <f t="shared" si="401"/>
        <v>0</v>
      </c>
      <c r="S408" s="241">
        <f t="shared" ref="S408:T408" si="402">S389</f>
        <v>0</v>
      </c>
      <c r="T408" s="241">
        <f t="shared" si="402"/>
        <v>0</v>
      </c>
      <c r="V408" s="241">
        <f t="shared" ref="V408:W408" si="403">V389</f>
        <v>0</v>
      </c>
      <c r="W408" s="241">
        <f t="shared" si="403"/>
        <v>0</v>
      </c>
      <c r="Y408" s="241">
        <f t="shared" ref="Y408:Z408" si="404">Y389</f>
        <v>58</v>
      </c>
      <c r="Z408" s="241">
        <f t="shared" si="404"/>
        <v>0</v>
      </c>
    </row>
    <row r="409" spans="1:26" ht="60" x14ac:dyDescent="0.25">
      <c r="A409" s="42" t="s">
        <v>2820</v>
      </c>
      <c r="B409" s="43" t="s">
        <v>769</v>
      </c>
      <c r="C409" s="42"/>
      <c r="D409" s="42"/>
      <c r="E409" s="50"/>
      <c r="F409" s="50"/>
      <c r="G409" s="50"/>
      <c r="H409" s="50"/>
      <c r="I409" s="50"/>
      <c r="J409" s="50"/>
      <c r="K409" s="50"/>
      <c r="L409" s="50"/>
      <c r="M409" s="3" t="s">
        <v>281</v>
      </c>
    </row>
    <row r="410" spans="1:26" x14ac:dyDescent="0.25">
      <c r="A410" s="42"/>
      <c r="B410" s="46" t="s">
        <v>1948</v>
      </c>
      <c r="C410" s="42"/>
      <c r="D410" s="42"/>
      <c r="E410" s="50"/>
      <c r="F410" s="50"/>
      <c r="G410" s="50"/>
      <c r="H410" s="50"/>
      <c r="I410" s="50"/>
      <c r="J410" s="50"/>
      <c r="K410" s="50"/>
      <c r="L410" s="50"/>
      <c r="M410" s="3"/>
    </row>
    <row r="411" spans="1:26" x14ac:dyDescent="0.25">
      <c r="A411" s="42"/>
      <c r="B411" s="43" t="s">
        <v>1182</v>
      </c>
      <c r="C411" s="42"/>
      <c r="D411" s="42" t="s">
        <v>8</v>
      </c>
      <c r="E411" s="45">
        <v>0.44</v>
      </c>
      <c r="F411" s="45">
        <v>0.45</v>
      </c>
      <c r="G411" s="45">
        <v>0.45</v>
      </c>
      <c r="H411" s="45">
        <f t="shared" ref="H411:I412" si="405">H417/H420*100</f>
        <v>0.44916325893810255</v>
      </c>
      <c r="I411" s="45">
        <f t="shared" si="405"/>
        <v>0.43327075858026598</v>
      </c>
      <c r="J411" s="45">
        <f t="shared" ref="J411:K411" si="406">J417/J420*100</f>
        <v>0.45333996353389694</v>
      </c>
      <c r="K411" s="45">
        <f t="shared" si="406"/>
        <v>0.45446614767241883</v>
      </c>
      <c r="L411" s="45">
        <f t="shared" ref="L411" si="407">L417/L420*100</f>
        <v>0</v>
      </c>
      <c r="M411" s="3"/>
      <c r="N411" s="45">
        <f t="shared" ref="N411:P412" si="408">N417/N420*100</f>
        <v>0.45446614767241883</v>
      </c>
      <c r="O411" s="45">
        <f t="shared" si="408"/>
        <v>0</v>
      </c>
      <c r="P411" s="45">
        <f t="shared" ref="P411:Q411" si="409">P417/P420*100</f>
        <v>0</v>
      </c>
      <c r="Q411" s="45">
        <f t="shared" si="409"/>
        <v>0</v>
      </c>
      <c r="S411" s="45">
        <f t="shared" ref="S411:T412" si="410">S417/S420*100</f>
        <v>1.7005005129480524</v>
      </c>
      <c r="T411" s="45">
        <f t="shared" si="410"/>
        <v>0</v>
      </c>
      <c r="V411" s="45">
        <f t="shared" ref="V411:W411" si="411">V417/V420*100</f>
        <v>0</v>
      </c>
      <c r="W411" s="45">
        <f t="shared" si="411"/>
        <v>0</v>
      </c>
      <c r="Y411" s="45" t="e">
        <f t="shared" ref="Y411:Z411" si="412">Y417/Y420*100</f>
        <v>#DIV/0!</v>
      </c>
      <c r="Z411" s="45" t="e">
        <f t="shared" si="412"/>
        <v>#DIV/0!</v>
      </c>
    </row>
    <row r="412" spans="1:26" x14ac:dyDescent="0.25">
      <c r="A412" s="42"/>
      <c r="B412" s="43" t="s">
        <v>1184</v>
      </c>
      <c r="C412" s="42"/>
      <c r="D412" s="42" t="s">
        <v>8</v>
      </c>
      <c r="E412" s="45">
        <v>0</v>
      </c>
      <c r="F412" s="45">
        <f>F418/F421*100</f>
        <v>0</v>
      </c>
      <c r="G412" s="45">
        <v>0</v>
      </c>
      <c r="H412" s="45">
        <f t="shared" si="405"/>
        <v>0</v>
      </c>
      <c r="I412" s="45">
        <f t="shared" si="405"/>
        <v>0</v>
      </c>
      <c r="J412" s="45" t="e">
        <f t="shared" ref="J412:K412" si="413">J418/J421*100</f>
        <v>#DIV/0!</v>
      </c>
      <c r="K412" s="45">
        <f t="shared" si="413"/>
        <v>0</v>
      </c>
      <c r="L412" s="45">
        <f t="shared" ref="L412" si="414">L418/L421*100</f>
        <v>0</v>
      </c>
      <c r="M412" s="3"/>
      <c r="N412" s="45">
        <f t="shared" ref="N412" si="415">N418/N421*100</f>
        <v>0</v>
      </c>
      <c r="O412" s="45">
        <f t="shared" si="408"/>
        <v>0</v>
      </c>
      <c r="P412" s="45" t="e">
        <f t="shared" si="408"/>
        <v>#DIV/0!</v>
      </c>
      <c r="Q412" s="45" t="e">
        <f t="shared" ref="Q412" si="416">Q418/Q421*100</f>
        <v>#DIV/0!</v>
      </c>
      <c r="S412" s="45" t="e">
        <f t="shared" ref="S412" si="417">S418/S421*100</f>
        <v>#DIV/0!</v>
      </c>
      <c r="T412" s="45" t="e">
        <f t="shared" si="410"/>
        <v>#DIV/0!</v>
      </c>
      <c r="V412" s="45" t="e">
        <f t="shared" ref="V412:W412" si="418">V418/V421*100</f>
        <v>#DIV/0!</v>
      </c>
      <c r="W412" s="45" t="e">
        <f t="shared" si="418"/>
        <v>#DIV/0!</v>
      </c>
      <c r="Y412" s="45">
        <f t="shared" ref="Y412:Z412" si="419">Y418/Y421*100</f>
        <v>0</v>
      </c>
      <c r="Z412" s="45">
        <f t="shared" si="419"/>
        <v>0</v>
      </c>
    </row>
    <row r="413" spans="1:26" x14ac:dyDescent="0.25">
      <c r="A413" s="42"/>
      <c r="B413" s="46" t="s">
        <v>1949</v>
      </c>
      <c r="C413" s="42"/>
      <c r="D413" s="42"/>
      <c r="E413" s="50"/>
      <c r="F413" s="50"/>
      <c r="G413" s="50"/>
      <c r="H413" s="50"/>
      <c r="I413" s="50"/>
      <c r="J413" s="50"/>
      <c r="K413" s="50"/>
      <c r="L413" s="50"/>
      <c r="M413" s="3"/>
      <c r="N413" s="50"/>
      <c r="O413" s="50"/>
      <c r="P413" s="50"/>
      <c r="Q413" s="50"/>
      <c r="S413" s="50"/>
      <c r="T413" s="50"/>
      <c r="V413" s="50"/>
      <c r="W413" s="50"/>
      <c r="Y413" s="50"/>
      <c r="Z413" s="50"/>
    </row>
    <row r="414" spans="1:26" x14ac:dyDescent="0.25">
      <c r="A414" s="42"/>
      <c r="B414" s="43" t="s">
        <v>1182</v>
      </c>
      <c r="C414" s="42"/>
      <c r="D414" s="42" t="s">
        <v>8</v>
      </c>
      <c r="E414" s="45">
        <v>0</v>
      </c>
      <c r="F414" s="45">
        <f>F423/F426*100</f>
        <v>0</v>
      </c>
      <c r="G414" s="45">
        <v>0</v>
      </c>
      <c r="H414" s="45">
        <f t="shared" ref="H414:I415" si="420">H423/H426*100</f>
        <v>0</v>
      </c>
      <c r="I414" s="45">
        <f t="shared" si="420"/>
        <v>0</v>
      </c>
      <c r="J414" s="45">
        <f t="shared" ref="J414:K414" si="421">J423/J426*100</f>
        <v>0</v>
      </c>
      <c r="K414" s="45">
        <f t="shared" si="421"/>
        <v>0</v>
      </c>
      <c r="L414" s="45">
        <f t="shared" ref="L414" si="422">L423/L426*100</f>
        <v>0</v>
      </c>
      <c r="M414" s="3"/>
      <c r="N414" s="45">
        <f t="shared" ref="N414:P415" si="423">N423/N426*100</f>
        <v>0</v>
      </c>
      <c r="O414" s="45">
        <f t="shared" si="423"/>
        <v>0</v>
      </c>
      <c r="P414" s="45">
        <f t="shared" ref="P414:Q414" si="424">P423/P426*100</f>
        <v>0</v>
      </c>
      <c r="Q414" s="45">
        <f t="shared" si="424"/>
        <v>0</v>
      </c>
      <c r="S414" s="45">
        <f t="shared" ref="S414:T415" si="425">S423/S426*100</f>
        <v>0</v>
      </c>
      <c r="T414" s="45">
        <f t="shared" si="425"/>
        <v>0</v>
      </c>
      <c r="V414" s="45">
        <f t="shared" ref="V414:W414" si="426">V423/V426*100</f>
        <v>0</v>
      </c>
      <c r="W414" s="45">
        <f t="shared" si="426"/>
        <v>0</v>
      </c>
      <c r="Y414" s="45" t="e">
        <f t="shared" ref="Y414:Z414" si="427">Y423/Y426*100</f>
        <v>#DIV/0!</v>
      </c>
      <c r="Z414" s="45" t="e">
        <f t="shared" si="427"/>
        <v>#DIV/0!</v>
      </c>
    </row>
    <row r="415" spans="1:26" x14ac:dyDescent="0.25">
      <c r="A415" s="42"/>
      <c r="B415" s="43" t="s">
        <v>1184</v>
      </c>
      <c r="C415" s="42"/>
      <c r="D415" s="42" t="s">
        <v>8</v>
      </c>
      <c r="E415" s="45">
        <v>0</v>
      </c>
      <c r="F415" s="45">
        <f>F424/F427*100</f>
        <v>0</v>
      </c>
      <c r="G415" s="45">
        <v>0</v>
      </c>
      <c r="H415" s="45" t="e">
        <f t="shared" si="420"/>
        <v>#DIV/0!</v>
      </c>
      <c r="I415" s="45">
        <f t="shared" si="420"/>
        <v>0</v>
      </c>
      <c r="J415" s="45" t="e">
        <f t="shared" ref="J415:K415" si="428">J424/J427*100</f>
        <v>#DIV/0!</v>
      </c>
      <c r="K415" s="45">
        <f t="shared" si="428"/>
        <v>0</v>
      </c>
      <c r="L415" s="45" t="e">
        <f t="shared" ref="L415" si="429">L424/L427*100</f>
        <v>#DIV/0!</v>
      </c>
      <c r="M415" s="3"/>
      <c r="N415" s="45">
        <f t="shared" ref="N415" si="430">N424/N427*100</f>
        <v>0</v>
      </c>
      <c r="O415" s="45" t="e">
        <f t="shared" si="423"/>
        <v>#DIV/0!</v>
      </c>
      <c r="P415" s="45" t="e">
        <f t="shared" si="423"/>
        <v>#DIV/0!</v>
      </c>
      <c r="Q415" s="45" t="e">
        <f t="shared" ref="Q415" si="431">Q424/Q427*100</f>
        <v>#DIV/0!</v>
      </c>
      <c r="S415" s="45" t="e">
        <f t="shared" ref="S415" si="432">S424/S427*100</f>
        <v>#DIV/0!</v>
      </c>
      <c r="T415" s="45" t="e">
        <f t="shared" si="425"/>
        <v>#DIV/0!</v>
      </c>
      <c r="V415" s="45" t="e">
        <f t="shared" ref="V415:W415" si="433">V424/V427*100</f>
        <v>#DIV/0!</v>
      </c>
      <c r="W415" s="45" t="e">
        <f t="shared" si="433"/>
        <v>#DIV/0!</v>
      </c>
      <c r="Y415" s="45">
        <f t="shared" ref="Y415:Z415" si="434">Y424/Y427*100</f>
        <v>0</v>
      </c>
      <c r="Z415" s="45" t="e">
        <f t="shared" si="434"/>
        <v>#DIV/0!</v>
      </c>
    </row>
    <row r="416" spans="1:26" ht="45" x14ac:dyDescent="0.25">
      <c r="A416" s="6"/>
      <c r="B416" s="21" t="s">
        <v>770</v>
      </c>
      <c r="C416" s="6" t="s">
        <v>1970</v>
      </c>
      <c r="D416" s="13"/>
      <c r="E416" s="12"/>
      <c r="F416" s="12"/>
      <c r="G416" s="12"/>
      <c r="H416" s="12"/>
      <c r="I416" s="12"/>
      <c r="J416" s="12"/>
      <c r="K416" s="12"/>
      <c r="L416" s="12"/>
    </row>
    <row r="417" spans="1:26" ht="30" x14ac:dyDescent="0.25">
      <c r="A417" s="6"/>
      <c r="B417" s="21" t="s">
        <v>1182</v>
      </c>
      <c r="C417" s="6"/>
      <c r="D417" s="13" t="s">
        <v>1111</v>
      </c>
      <c r="E417" s="12"/>
      <c r="F417" s="12">
        <v>2126</v>
      </c>
      <c r="G417" s="12"/>
      <c r="H417" s="12">
        <v>547</v>
      </c>
      <c r="I417" s="12">
        <v>547</v>
      </c>
      <c r="J417" s="12">
        <v>547</v>
      </c>
      <c r="K417" s="12">
        <v>547</v>
      </c>
      <c r="L417" s="12">
        <v>0</v>
      </c>
      <c r="N417" s="241">
        <f t="shared" ref="N417:N418" si="435">P417+S417+V417+Y417</f>
        <v>547</v>
      </c>
      <c r="O417" s="241">
        <f t="shared" ref="O417:O418" si="436">Q417+T417+W417+Z417</f>
        <v>0</v>
      </c>
      <c r="P417" s="209">
        <v>0</v>
      </c>
      <c r="Q417">
        <v>0</v>
      </c>
      <c r="S417">
        <v>547</v>
      </c>
      <c r="T417">
        <v>0</v>
      </c>
      <c r="V417">
        <v>0</v>
      </c>
      <c r="W417">
        <v>0</v>
      </c>
      <c r="Y417" s="241">
        <v>0</v>
      </c>
      <c r="Z417" s="241">
        <v>0</v>
      </c>
    </row>
    <row r="418" spans="1:26" ht="30" x14ac:dyDescent="0.25">
      <c r="A418" s="6"/>
      <c r="B418" s="21" t="s">
        <v>1184</v>
      </c>
      <c r="C418" s="6"/>
      <c r="D418" s="13" t="s">
        <v>1111</v>
      </c>
      <c r="E418" s="12"/>
      <c r="F418" s="12">
        <v>0</v>
      </c>
      <c r="G418" s="12"/>
      <c r="H418" s="12">
        <f>0+0</f>
        <v>0</v>
      </c>
      <c r="I418" s="12">
        <v>0</v>
      </c>
      <c r="J418" s="12">
        <v>0</v>
      </c>
      <c r="K418" s="12">
        <v>0</v>
      </c>
      <c r="L418" s="12">
        <v>0</v>
      </c>
      <c r="N418" s="241">
        <f t="shared" si="435"/>
        <v>0</v>
      </c>
      <c r="O418" s="241">
        <f t="shared" si="436"/>
        <v>0</v>
      </c>
      <c r="P418">
        <v>0</v>
      </c>
      <c r="Q418">
        <v>0</v>
      </c>
      <c r="S418">
        <v>0</v>
      </c>
      <c r="T418">
        <v>0</v>
      </c>
      <c r="V418">
        <v>0</v>
      </c>
      <c r="W418">
        <v>0</v>
      </c>
      <c r="Y418" s="241">
        <v>0</v>
      </c>
      <c r="Z418" s="241">
        <v>0</v>
      </c>
    </row>
    <row r="419" spans="1:26" ht="45" x14ac:dyDescent="0.25">
      <c r="A419" s="6"/>
      <c r="B419" s="21" t="s">
        <v>762</v>
      </c>
      <c r="C419" s="6" t="s">
        <v>1971</v>
      </c>
      <c r="D419" s="13"/>
      <c r="E419" s="12"/>
      <c r="F419" s="12"/>
      <c r="G419" s="12"/>
      <c r="H419" s="12"/>
      <c r="I419" s="12"/>
      <c r="J419" s="12"/>
      <c r="K419" s="12"/>
      <c r="L419" s="12"/>
    </row>
    <row r="420" spans="1:26" ht="30" x14ac:dyDescent="0.25">
      <c r="A420" s="6"/>
      <c r="B420" s="21" t="s">
        <v>1182</v>
      </c>
      <c r="C420" s="6"/>
      <c r="D420" s="13" t="s">
        <v>1111</v>
      </c>
      <c r="E420" s="12"/>
      <c r="F420" s="12">
        <v>324880</v>
      </c>
      <c r="G420" s="12"/>
      <c r="H420" s="12">
        <f t="shared" ref="H420:L421" si="437">H385</f>
        <v>121782</v>
      </c>
      <c r="I420" s="12">
        <f t="shared" si="437"/>
        <v>126249</v>
      </c>
      <c r="J420" s="12">
        <f t="shared" si="437"/>
        <v>120660</v>
      </c>
      <c r="K420" s="12">
        <f t="shared" si="437"/>
        <v>120361</v>
      </c>
      <c r="L420" s="12">
        <f t="shared" si="437"/>
        <v>119610</v>
      </c>
      <c r="N420" s="241">
        <f t="shared" ref="N420:N421" si="438">P420+S420+V420+Y420</f>
        <v>120361</v>
      </c>
      <c r="O420" s="241">
        <f t="shared" ref="O420:O421" si="439">Q420+T420+W420+Z420</f>
        <v>119610</v>
      </c>
      <c r="P420" s="241">
        <f t="shared" ref="P420:Q420" si="440">P385</f>
        <v>11150</v>
      </c>
      <c r="Q420" s="241">
        <f t="shared" si="440"/>
        <v>10399</v>
      </c>
      <c r="S420" s="241">
        <f t="shared" ref="S420:T420" si="441">S385</f>
        <v>32167</v>
      </c>
      <c r="T420" s="241">
        <f t="shared" si="441"/>
        <v>32167</v>
      </c>
      <c r="V420" s="241">
        <f t="shared" ref="V420:W420" si="442">V385</f>
        <v>77044</v>
      </c>
      <c r="W420" s="241">
        <f t="shared" si="442"/>
        <v>77044</v>
      </c>
      <c r="Y420" s="241">
        <f t="shared" ref="Y420:Z420" si="443">Y385</f>
        <v>0</v>
      </c>
      <c r="Z420" s="241">
        <f t="shared" si="443"/>
        <v>0</v>
      </c>
    </row>
    <row r="421" spans="1:26" ht="30" x14ac:dyDescent="0.25">
      <c r="A421" s="6"/>
      <c r="B421" s="21" t="s">
        <v>1184</v>
      </c>
      <c r="C421" s="6"/>
      <c r="D421" s="13" t="s">
        <v>1111</v>
      </c>
      <c r="E421" s="12"/>
      <c r="F421" s="12">
        <v>17605</v>
      </c>
      <c r="G421" s="12"/>
      <c r="H421" s="12">
        <f t="shared" si="437"/>
        <v>7532</v>
      </c>
      <c r="I421" s="12">
        <f t="shared" si="437"/>
        <v>6393</v>
      </c>
      <c r="J421" s="12">
        <f t="shared" si="437"/>
        <v>0</v>
      </c>
      <c r="K421" s="12">
        <f t="shared" si="437"/>
        <v>1407</v>
      </c>
      <c r="L421" s="12">
        <f t="shared" si="437"/>
        <v>758</v>
      </c>
      <c r="N421" s="241">
        <f t="shared" si="438"/>
        <v>1407</v>
      </c>
      <c r="O421" s="241">
        <f t="shared" si="439"/>
        <v>758</v>
      </c>
      <c r="P421" s="241">
        <f t="shared" ref="P421:Q421" si="444">P386</f>
        <v>0</v>
      </c>
      <c r="Q421" s="241">
        <f t="shared" si="444"/>
        <v>0</v>
      </c>
      <c r="S421" s="241">
        <f t="shared" ref="S421:T421" si="445">S386</f>
        <v>0</v>
      </c>
      <c r="T421" s="241">
        <f t="shared" si="445"/>
        <v>0</v>
      </c>
      <c r="V421" s="241">
        <f t="shared" ref="V421:W421" si="446">V386</f>
        <v>0</v>
      </c>
      <c r="W421" s="241">
        <f t="shared" si="446"/>
        <v>0</v>
      </c>
      <c r="Y421" s="241">
        <f t="shared" ref="Y421:Z421" si="447">Y386</f>
        <v>1407</v>
      </c>
      <c r="Z421" s="241">
        <f t="shared" si="447"/>
        <v>758</v>
      </c>
    </row>
    <row r="422" spans="1:26" ht="45" x14ac:dyDescent="0.25">
      <c r="A422" s="6"/>
      <c r="B422" s="21" t="s">
        <v>771</v>
      </c>
      <c r="C422" s="6" t="s">
        <v>1972</v>
      </c>
      <c r="D422" s="13"/>
      <c r="E422" s="12"/>
      <c r="F422" s="12"/>
      <c r="G422" s="12"/>
      <c r="H422" s="12"/>
      <c r="I422" s="12"/>
      <c r="J422" s="12"/>
      <c r="K422" s="12"/>
      <c r="L422" s="12"/>
    </row>
    <row r="423" spans="1:26" ht="30" x14ac:dyDescent="0.25">
      <c r="A423" s="6"/>
      <c r="B423" s="21" t="s">
        <v>1182</v>
      </c>
      <c r="C423" s="6"/>
      <c r="D423" s="13" t="s">
        <v>1111</v>
      </c>
      <c r="E423" s="12"/>
      <c r="F423" s="12">
        <v>0</v>
      </c>
      <c r="G423" s="12"/>
      <c r="H423" s="12">
        <f>0+0+0</f>
        <v>0</v>
      </c>
      <c r="I423" s="12">
        <v>0</v>
      </c>
      <c r="J423" s="12">
        <v>0</v>
      </c>
      <c r="K423" s="12">
        <v>0</v>
      </c>
      <c r="L423" s="12">
        <v>0</v>
      </c>
      <c r="N423" s="241">
        <f t="shared" ref="N423:N424" si="448">P423+S423+V423+Y423</f>
        <v>0</v>
      </c>
      <c r="O423" s="241">
        <f t="shared" ref="O423:O424" si="449">Q423+T423+W423+Z423</f>
        <v>0</v>
      </c>
      <c r="P423" s="209">
        <v>0</v>
      </c>
      <c r="Q423">
        <v>0</v>
      </c>
      <c r="S423">
        <v>0</v>
      </c>
      <c r="T423">
        <v>0</v>
      </c>
      <c r="V423">
        <v>0</v>
      </c>
      <c r="W423">
        <v>0</v>
      </c>
      <c r="Y423" s="241">
        <v>0</v>
      </c>
      <c r="Z423" s="241">
        <v>0</v>
      </c>
    </row>
    <row r="424" spans="1:26" ht="30" x14ac:dyDescent="0.25">
      <c r="A424" s="6"/>
      <c r="B424" s="21" t="s">
        <v>1184</v>
      </c>
      <c r="C424" s="6"/>
      <c r="D424" s="13" t="s">
        <v>1111</v>
      </c>
      <c r="E424" s="12"/>
      <c r="F424" s="12">
        <v>0</v>
      </c>
      <c r="G424" s="12"/>
      <c r="H424" s="12">
        <f>0+0</f>
        <v>0</v>
      </c>
      <c r="I424" s="12">
        <v>0</v>
      </c>
      <c r="J424" s="12">
        <v>0</v>
      </c>
      <c r="K424" s="12">
        <v>0</v>
      </c>
      <c r="L424" s="12">
        <v>0</v>
      </c>
      <c r="N424" s="241">
        <f t="shared" si="448"/>
        <v>0</v>
      </c>
      <c r="O424" s="241">
        <f t="shared" si="449"/>
        <v>0</v>
      </c>
      <c r="P424" s="241">
        <v>0</v>
      </c>
      <c r="Q424" s="241">
        <v>0</v>
      </c>
      <c r="R424" s="241"/>
      <c r="S424" s="241">
        <v>0</v>
      </c>
      <c r="T424" s="241">
        <v>0</v>
      </c>
      <c r="U424" s="241"/>
      <c r="V424" s="241">
        <v>0</v>
      </c>
      <c r="W424" s="241">
        <v>0</v>
      </c>
      <c r="Y424" s="241">
        <v>0</v>
      </c>
      <c r="Z424" s="241">
        <v>0</v>
      </c>
    </row>
    <row r="425" spans="1:26" ht="45" x14ac:dyDescent="0.25">
      <c r="A425" s="6"/>
      <c r="B425" s="21" t="s">
        <v>763</v>
      </c>
      <c r="C425" s="6" t="s">
        <v>1973</v>
      </c>
      <c r="D425" s="13"/>
      <c r="E425" s="12"/>
      <c r="F425" s="12"/>
      <c r="G425" s="12"/>
      <c r="H425" s="12"/>
      <c r="I425" s="12"/>
      <c r="J425" s="12"/>
      <c r="K425" s="12"/>
      <c r="L425" s="12"/>
    </row>
    <row r="426" spans="1:26" ht="30" x14ac:dyDescent="0.25">
      <c r="A426" s="6"/>
      <c r="B426" s="21" t="s">
        <v>1182</v>
      </c>
      <c r="C426" s="6"/>
      <c r="D426" s="13" t="s">
        <v>1111</v>
      </c>
      <c r="E426" s="12"/>
      <c r="F426" s="12">
        <v>98509</v>
      </c>
      <c r="G426" s="12"/>
      <c r="H426" s="12">
        <f t="shared" ref="H426:L427" si="450">H388</f>
        <v>46873</v>
      </c>
      <c r="I426" s="12">
        <f t="shared" si="450"/>
        <v>46873</v>
      </c>
      <c r="J426" s="12">
        <f t="shared" si="450"/>
        <v>46873</v>
      </c>
      <c r="K426" s="12">
        <f t="shared" si="450"/>
        <v>49478</v>
      </c>
      <c r="L426" s="12">
        <f t="shared" si="450"/>
        <v>49478</v>
      </c>
      <c r="N426" s="241">
        <f t="shared" ref="N426:N427" si="451">P426+S426+V426+Y426</f>
        <v>49478</v>
      </c>
      <c r="O426" s="241">
        <f t="shared" ref="O426:O427" si="452">Q426+T426+W426+Z426</f>
        <v>49478</v>
      </c>
      <c r="P426" s="241">
        <f t="shared" ref="P426:Q426" si="453">P388</f>
        <v>9788</v>
      </c>
      <c r="Q426" s="241">
        <f t="shared" si="453"/>
        <v>9788</v>
      </c>
      <c r="S426" s="241">
        <f t="shared" ref="S426:T426" si="454">S388</f>
        <v>11265</v>
      </c>
      <c r="T426" s="241">
        <f t="shared" si="454"/>
        <v>11265</v>
      </c>
      <c r="V426" s="241">
        <f t="shared" ref="V426:W426" si="455">V388</f>
        <v>28425</v>
      </c>
      <c r="W426" s="241">
        <f t="shared" si="455"/>
        <v>28425</v>
      </c>
      <c r="Y426" s="241">
        <f t="shared" ref="Y426:Z426" si="456">Y388</f>
        <v>0</v>
      </c>
      <c r="Z426" s="241">
        <f t="shared" si="456"/>
        <v>0</v>
      </c>
    </row>
    <row r="427" spans="1:26" ht="30" x14ac:dyDescent="0.25">
      <c r="A427" s="6"/>
      <c r="B427" s="21" t="s">
        <v>1184</v>
      </c>
      <c r="C427" s="6"/>
      <c r="D427" s="13" t="s">
        <v>1111</v>
      </c>
      <c r="E427" s="12"/>
      <c r="F427" s="12">
        <v>58</v>
      </c>
      <c r="G427" s="12"/>
      <c r="H427" s="12">
        <f t="shared" si="450"/>
        <v>0</v>
      </c>
      <c r="I427" s="12">
        <f t="shared" si="450"/>
        <v>6393</v>
      </c>
      <c r="J427" s="12">
        <f t="shared" si="450"/>
        <v>0</v>
      </c>
      <c r="K427" s="12">
        <f t="shared" si="450"/>
        <v>58</v>
      </c>
      <c r="L427" s="12">
        <f t="shared" si="450"/>
        <v>0</v>
      </c>
      <c r="N427" s="241">
        <f t="shared" si="451"/>
        <v>58</v>
      </c>
      <c r="O427" s="241">
        <f t="shared" si="452"/>
        <v>0</v>
      </c>
      <c r="P427" s="241">
        <f t="shared" ref="P427:Q427" si="457">P389</f>
        <v>0</v>
      </c>
      <c r="Q427" s="241">
        <f t="shared" si="457"/>
        <v>0</v>
      </c>
      <c r="S427" s="241">
        <f t="shared" ref="S427:T427" si="458">S389</f>
        <v>0</v>
      </c>
      <c r="T427" s="241">
        <f t="shared" si="458"/>
        <v>0</v>
      </c>
      <c r="V427" s="241">
        <f t="shared" ref="V427:W427" si="459">V389</f>
        <v>0</v>
      </c>
      <c r="W427" s="241">
        <f t="shared" si="459"/>
        <v>0</v>
      </c>
      <c r="Y427" s="241">
        <f t="shared" ref="Y427:Z427" si="460">Y389</f>
        <v>58</v>
      </c>
      <c r="Z427" s="241">
        <f t="shared" si="460"/>
        <v>0</v>
      </c>
    </row>
  </sheetData>
  <mergeCells count="23">
    <mergeCell ref="Y8:Z8"/>
    <mergeCell ref="P8:Q8"/>
    <mergeCell ref="S8:T8"/>
    <mergeCell ref="V8:W8"/>
    <mergeCell ref="B152:B153"/>
    <mergeCell ref="A152:A153"/>
    <mergeCell ref="A128:A130"/>
    <mergeCell ref="A3:J3"/>
    <mergeCell ref="A4:J4"/>
    <mergeCell ref="A11:A12"/>
    <mergeCell ref="A7:L7"/>
    <mergeCell ref="A8:L8"/>
    <mergeCell ref="A309:A310"/>
    <mergeCell ref="B309:B310"/>
    <mergeCell ref="A273:A274"/>
    <mergeCell ref="B273:B274"/>
    <mergeCell ref="A216:A218"/>
    <mergeCell ref="A271:A272"/>
    <mergeCell ref="B271:B272"/>
    <mergeCell ref="B216:B221"/>
    <mergeCell ref="A278:A284"/>
    <mergeCell ref="A307:A308"/>
    <mergeCell ref="B307:B308"/>
  </mergeCells>
  <conditionalFormatting sqref="P61:W61">
    <cfRule type="colorScale" priority="6">
      <colorScale>
        <cfvo type="min"/>
        <cfvo type="percentile" val="50"/>
        <cfvo type="max"/>
        <color rgb="FFF8696B"/>
        <color rgb="FFFCFCFF"/>
        <color rgb="FF63BE7B"/>
      </colorScale>
    </cfRule>
  </conditionalFormatting>
  <conditionalFormatting sqref="P64:W64">
    <cfRule type="colorScale" priority="5">
      <colorScale>
        <cfvo type="min"/>
        <cfvo type="percentile" val="50"/>
        <cfvo type="max"/>
        <color rgb="FFF8696B"/>
        <color rgb="FFFCFCFF"/>
        <color rgb="FF63BE7B"/>
      </colorScale>
    </cfRule>
  </conditionalFormatting>
  <conditionalFormatting sqref="P67:W67">
    <cfRule type="colorScale" priority="4">
      <colorScale>
        <cfvo type="min"/>
        <cfvo type="percentile" val="50"/>
        <cfvo type="max"/>
        <color rgb="FFF8696B"/>
        <color rgb="FFFCFCFF"/>
        <color rgb="FF63BE7B"/>
      </colorScale>
    </cfRule>
  </conditionalFormatting>
  <conditionalFormatting sqref="P71:W71">
    <cfRule type="colorScale" priority="3">
      <colorScale>
        <cfvo type="min"/>
        <cfvo type="percentile" val="50"/>
        <cfvo type="max"/>
        <color rgb="FFF8696B"/>
        <color rgb="FFFCFCFF"/>
        <color rgb="FF63BE7B"/>
      </colorScale>
    </cfRule>
  </conditionalFormatting>
  <conditionalFormatting sqref="P74:W74">
    <cfRule type="colorScale" priority="2">
      <colorScale>
        <cfvo type="min"/>
        <cfvo type="percentile" val="50"/>
        <cfvo type="max"/>
        <color rgb="FFF8696B"/>
        <color rgb="FFFCFCFF"/>
        <color rgb="FF63BE7B"/>
      </colorScale>
    </cfRule>
  </conditionalFormatting>
  <conditionalFormatting sqref="P77:W77">
    <cfRule type="colorScale" priority="1">
      <colorScale>
        <cfvo type="min"/>
        <cfvo type="percentile" val="50"/>
        <cfvo type="max"/>
        <color rgb="FFF8696B"/>
        <color rgb="FFFCFCFF"/>
        <color rgb="FF63BE7B"/>
      </colorScale>
    </cfRule>
  </conditionalFormatting>
  <pageMargins left="0.7" right="0.7" top="0.75" bottom="0.75" header="0.3" footer="0.3"/>
  <pageSetup paperSize="9" scale="39" orientation="portrait" r:id="rId1"/>
  <colBreaks count="1" manualBreakCount="1">
    <brk id="12" max="4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3:CK335"/>
  <sheetViews>
    <sheetView tabSelected="1" view="pageBreakPreview" zoomScale="85" zoomScaleSheetLayoutView="85" workbookViewId="0">
      <pane xSplit="3" ySplit="8" topLeftCell="D361" activePane="bottomRight" state="frozen"/>
      <selection activeCell="J11" sqref="J11"/>
      <selection pane="topRight" activeCell="J11" sqref="J11"/>
      <selection pane="bottomLeft" activeCell="J11" sqref="J11"/>
      <selection pane="bottomRight" activeCell="B140" sqref="B140"/>
    </sheetView>
  </sheetViews>
  <sheetFormatPr defaultRowHeight="15" x14ac:dyDescent="0.25"/>
  <cols>
    <col min="1" max="1" width="9.140625" style="267"/>
    <col min="2" max="2" width="75.140625" style="267" customWidth="1"/>
    <col min="3" max="3" width="20.140625" style="267" customWidth="1"/>
    <col min="4" max="4" width="16.140625" style="267" customWidth="1"/>
    <col min="5" max="5" width="16.140625" style="267" hidden="1" customWidth="1"/>
    <col min="6" max="15" width="12.28515625" style="267" customWidth="1"/>
    <col min="16" max="16" width="41.85546875" style="267" customWidth="1"/>
    <col min="17" max="17" width="9.5703125" style="267" bestFit="1" customWidth="1"/>
    <col min="18" max="18" width="10.7109375" style="267" bestFit="1" customWidth="1"/>
    <col min="19" max="16384" width="9.140625" style="267"/>
  </cols>
  <sheetData>
    <row r="3" spans="1:87" ht="18.75" x14ac:dyDescent="0.3">
      <c r="A3" s="408" t="s">
        <v>0</v>
      </c>
      <c r="B3" s="408"/>
      <c r="C3" s="408"/>
      <c r="D3" s="408"/>
      <c r="E3" s="408"/>
      <c r="F3" s="408"/>
      <c r="G3" s="408"/>
      <c r="H3" s="408"/>
      <c r="I3" s="408"/>
      <c r="J3" s="408"/>
      <c r="K3" s="408"/>
      <c r="L3" s="408"/>
      <c r="M3" s="408"/>
      <c r="N3" s="387"/>
      <c r="O3" s="387"/>
      <c r="P3" s="382"/>
    </row>
    <row r="4" spans="1:87" ht="18.75" x14ac:dyDescent="0.3">
      <c r="A4" s="408" t="s">
        <v>1</v>
      </c>
      <c r="B4" s="408"/>
      <c r="C4" s="408"/>
      <c r="D4" s="408"/>
      <c r="E4" s="408"/>
      <c r="F4" s="408"/>
      <c r="G4" s="408"/>
      <c r="H4" s="408"/>
      <c r="I4" s="408"/>
      <c r="J4" s="408"/>
      <c r="K4" s="408"/>
      <c r="L4" s="408"/>
      <c r="M4" s="408"/>
      <c r="N4" s="387"/>
      <c r="O4" s="387"/>
      <c r="P4" s="387"/>
    </row>
    <row r="5" spans="1:87" x14ac:dyDescent="0.25">
      <c r="A5" s="391"/>
      <c r="B5" s="391"/>
      <c r="C5" s="391"/>
      <c r="D5" s="391"/>
      <c r="E5" s="391"/>
      <c r="F5" s="391"/>
      <c r="G5" s="391"/>
      <c r="H5" s="391"/>
      <c r="I5" s="391"/>
      <c r="J5" s="391"/>
      <c r="K5" s="391"/>
      <c r="L5" s="391"/>
      <c r="M5" s="391"/>
      <c r="N5" s="391"/>
      <c r="O5" s="391"/>
      <c r="P5" s="391"/>
    </row>
    <row r="6" spans="1:87" ht="45" x14ac:dyDescent="0.25">
      <c r="A6" s="270" t="s">
        <v>6</v>
      </c>
      <c r="B6" s="270" t="s">
        <v>375</v>
      </c>
      <c r="C6" s="271" t="s">
        <v>9</v>
      </c>
      <c r="D6" s="271" t="s">
        <v>10</v>
      </c>
      <c r="E6" s="271" t="s">
        <v>1445</v>
      </c>
      <c r="F6" s="271" t="s">
        <v>1401</v>
      </c>
      <c r="G6" s="271" t="s">
        <v>1406</v>
      </c>
      <c r="H6" s="271" t="s">
        <v>1446</v>
      </c>
      <c r="I6" s="271" t="s">
        <v>1486</v>
      </c>
      <c r="J6" s="271" t="s">
        <v>1599</v>
      </c>
      <c r="K6" s="271" t="s">
        <v>2384</v>
      </c>
      <c r="L6" s="271" t="s">
        <v>2723</v>
      </c>
      <c r="M6" s="271" t="s">
        <v>2845</v>
      </c>
      <c r="N6" s="271" t="s">
        <v>3005</v>
      </c>
      <c r="O6" s="271" t="s">
        <v>3012</v>
      </c>
      <c r="P6" s="272" t="s">
        <v>13</v>
      </c>
    </row>
    <row r="7" spans="1:87" ht="15" customHeight="1" x14ac:dyDescent="0.25">
      <c r="A7" s="409" t="s">
        <v>774</v>
      </c>
      <c r="B7" s="410"/>
      <c r="C7" s="410"/>
      <c r="D7" s="410"/>
      <c r="E7" s="410"/>
      <c r="F7" s="410"/>
      <c r="G7" s="410"/>
      <c r="H7" s="410"/>
      <c r="I7" s="410"/>
      <c r="J7" s="410"/>
      <c r="K7" s="410"/>
      <c r="L7" s="410"/>
      <c r="M7" s="410"/>
      <c r="N7" s="410"/>
      <c r="O7" s="391"/>
    </row>
    <row r="8" spans="1:87" x14ac:dyDescent="0.25">
      <c r="A8" s="433" t="s">
        <v>2573</v>
      </c>
      <c r="B8" s="434"/>
      <c r="C8" s="434"/>
      <c r="D8" s="434"/>
      <c r="E8" s="434"/>
      <c r="F8" s="434"/>
      <c r="G8" s="434"/>
      <c r="H8" s="434"/>
      <c r="I8" s="434"/>
      <c r="J8" s="434"/>
      <c r="K8" s="434"/>
      <c r="L8" s="434"/>
      <c r="M8" s="434"/>
      <c r="N8" s="434"/>
      <c r="O8" s="391"/>
      <c r="S8" s="435" t="s">
        <v>1421</v>
      </c>
      <c r="T8" s="435"/>
      <c r="U8" s="390"/>
      <c r="V8" s="435" t="s">
        <v>1422</v>
      </c>
      <c r="W8" s="435"/>
      <c r="X8" s="390"/>
      <c r="Y8" s="435" t="s">
        <v>1423</v>
      </c>
      <c r="Z8" s="435"/>
      <c r="AA8" s="390"/>
      <c r="AB8" s="435" t="s">
        <v>1424</v>
      </c>
      <c r="AC8" s="435"/>
      <c r="AD8" s="390"/>
      <c r="AE8" s="435" t="s">
        <v>1425</v>
      </c>
      <c r="AF8" s="435"/>
      <c r="AG8" s="390"/>
      <c r="AH8" s="435" t="s">
        <v>1426</v>
      </c>
      <c r="AI8" s="435"/>
      <c r="AJ8" s="390"/>
      <c r="AK8" s="435" t="s">
        <v>1427</v>
      </c>
      <c r="AL8" s="435"/>
      <c r="AM8" s="390"/>
      <c r="AN8" s="435" t="s">
        <v>1428</v>
      </c>
      <c r="AO8" s="435"/>
      <c r="AP8" s="390"/>
      <c r="AQ8" s="435" t="s">
        <v>1429</v>
      </c>
      <c r="AR8" s="435"/>
      <c r="AS8" s="390"/>
      <c r="AT8" s="435" t="s">
        <v>1430</v>
      </c>
      <c r="AU8" s="435"/>
      <c r="AV8" s="390"/>
      <c r="AW8" s="435" t="s">
        <v>1431</v>
      </c>
      <c r="AX8" s="435"/>
      <c r="AY8" s="390"/>
      <c r="AZ8" s="435" t="s">
        <v>1432</v>
      </c>
      <c r="BA8" s="435"/>
      <c r="BB8" s="390"/>
      <c r="BC8" s="435" t="s">
        <v>1433</v>
      </c>
      <c r="BD8" s="435"/>
      <c r="BE8" s="390"/>
      <c r="BF8" s="435" t="s">
        <v>1434</v>
      </c>
      <c r="BG8" s="435"/>
      <c r="BH8" s="390"/>
      <c r="BI8" s="435" t="s">
        <v>1435</v>
      </c>
      <c r="BJ8" s="435"/>
      <c r="BK8" s="390"/>
      <c r="BL8" s="435" t="s">
        <v>1436</v>
      </c>
      <c r="BM8" s="435"/>
      <c r="BN8" s="390"/>
      <c r="BO8" s="435" t="s">
        <v>1437</v>
      </c>
      <c r="BP8" s="435"/>
      <c r="BQ8" s="390"/>
      <c r="BR8" s="435" t="s">
        <v>1438</v>
      </c>
      <c r="BS8" s="435"/>
      <c r="BT8" s="390"/>
      <c r="BU8" s="435" t="s">
        <v>1439</v>
      </c>
      <c r="BV8" s="435"/>
      <c r="BW8" s="390"/>
      <c r="BX8" s="435" t="s">
        <v>1440</v>
      </c>
      <c r="BY8" s="435"/>
      <c r="BZ8" s="390"/>
      <c r="CA8" s="435" t="s">
        <v>1441</v>
      </c>
      <c r="CB8" s="435"/>
      <c r="CC8" s="390"/>
      <c r="CD8" s="435" t="s">
        <v>1442</v>
      </c>
      <c r="CE8" s="435"/>
      <c r="CF8" s="390"/>
      <c r="CG8" s="435" t="s">
        <v>2435</v>
      </c>
      <c r="CH8" s="435"/>
      <c r="CI8" s="390"/>
    </row>
    <row r="9" spans="1:87" ht="30" x14ac:dyDescent="0.25">
      <c r="A9" s="274" t="s">
        <v>618</v>
      </c>
      <c r="B9" s="275" t="s">
        <v>775</v>
      </c>
      <c r="C9" s="276"/>
      <c r="D9" s="277"/>
      <c r="E9" s="277"/>
      <c r="F9" s="277"/>
      <c r="G9" s="277"/>
      <c r="H9" s="277"/>
      <c r="I9" s="277"/>
      <c r="J9" s="277"/>
      <c r="K9" s="277"/>
      <c r="L9" s="277"/>
      <c r="M9" s="277"/>
      <c r="N9" s="277"/>
      <c r="O9" s="277"/>
      <c r="S9" s="278">
        <v>2017</v>
      </c>
      <c r="T9" s="278">
        <v>2018</v>
      </c>
      <c r="U9" s="278"/>
      <c r="V9" s="278">
        <v>2017</v>
      </c>
      <c r="W9" s="278">
        <v>2018</v>
      </c>
      <c r="X9" s="278"/>
      <c r="Y9" s="278">
        <v>2017</v>
      </c>
      <c r="Z9" s="278">
        <v>2018</v>
      </c>
      <c r="AA9" s="278"/>
      <c r="AB9" s="278">
        <v>2017</v>
      </c>
      <c r="AC9" s="278">
        <v>2018</v>
      </c>
      <c r="AD9" s="278"/>
      <c r="AE9" s="278">
        <v>2017</v>
      </c>
      <c r="AF9" s="278">
        <v>2018</v>
      </c>
      <c r="AG9" s="278"/>
      <c r="AH9" s="278">
        <v>2017</v>
      </c>
      <c r="AI9" s="278">
        <v>2018</v>
      </c>
      <c r="AJ9" s="278"/>
      <c r="AK9" s="278">
        <v>2017</v>
      </c>
      <c r="AL9" s="278">
        <v>2018</v>
      </c>
      <c r="AM9" s="278"/>
      <c r="AN9" s="278">
        <v>2017</v>
      </c>
      <c r="AO9" s="278">
        <v>2018</v>
      </c>
      <c r="AP9" s="278"/>
      <c r="AQ9" s="278">
        <v>2017</v>
      </c>
      <c r="AR9" s="278">
        <v>2018</v>
      </c>
      <c r="AS9" s="278"/>
      <c r="AT9" s="278">
        <v>2017</v>
      </c>
      <c r="AU9" s="278">
        <v>2018</v>
      </c>
      <c r="AV9" s="278"/>
      <c r="AW9" s="278">
        <v>2017</v>
      </c>
      <c r="AX9" s="278">
        <v>2018</v>
      </c>
      <c r="AY9" s="278"/>
      <c r="AZ9" s="278">
        <v>2017</v>
      </c>
      <c r="BA9" s="278">
        <v>2018</v>
      </c>
      <c r="BB9" s="278"/>
      <c r="BC9" s="278">
        <v>2017</v>
      </c>
      <c r="BD9" s="278">
        <v>2018</v>
      </c>
      <c r="BE9" s="278"/>
      <c r="BF9" s="278">
        <v>2017</v>
      </c>
      <c r="BG9" s="278">
        <v>2018</v>
      </c>
      <c r="BI9" s="278">
        <v>2017</v>
      </c>
      <c r="BJ9" s="278">
        <v>2018</v>
      </c>
      <c r="BK9" s="278"/>
      <c r="BL9" s="278">
        <v>2017</v>
      </c>
      <c r="BM9" s="278">
        <v>2018</v>
      </c>
      <c r="BN9" s="278"/>
      <c r="BO9" s="278">
        <v>2017</v>
      </c>
      <c r="BP9" s="278">
        <v>2018</v>
      </c>
      <c r="BQ9" s="278"/>
      <c r="BR9" s="278">
        <v>2017</v>
      </c>
      <c r="BS9" s="278">
        <v>2018</v>
      </c>
      <c r="BT9" s="278"/>
      <c r="BU9" s="278">
        <v>2017</v>
      </c>
      <c r="BV9" s="278">
        <v>2018</v>
      </c>
      <c r="BW9" s="278"/>
      <c r="BX9" s="278">
        <v>2017</v>
      </c>
      <c r="BY9" s="278">
        <v>2018</v>
      </c>
      <c r="BZ9" s="278"/>
      <c r="CA9" s="278">
        <v>2017</v>
      </c>
      <c r="CB9" s="278">
        <v>2018</v>
      </c>
      <c r="CC9" s="278"/>
      <c r="CD9" s="278">
        <v>2017</v>
      </c>
      <c r="CE9" s="278">
        <v>2018</v>
      </c>
      <c r="CF9" s="278"/>
      <c r="CG9" s="278">
        <v>2017</v>
      </c>
      <c r="CH9" s="278">
        <v>2018</v>
      </c>
      <c r="CI9" s="278"/>
    </row>
    <row r="10" spans="1:87" ht="60" x14ac:dyDescent="0.25">
      <c r="A10" s="95" t="s">
        <v>623</v>
      </c>
      <c r="B10" s="96" t="s">
        <v>1865</v>
      </c>
      <c r="C10" s="16"/>
      <c r="D10" s="95" t="s">
        <v>8</v>
      </c>
      <c r="E10" s="279">
        <f>(E11+E12+E13+E14+E15)/E17*100</f>
        <v>57.410221161035139</v>
      </c>
      <c r="F10" s="279">
        <f>(F11+F12+F13+F14+F15)/F17*100</f>
        <v>57.865146451739726</v>
      </c>
      <c r="G10" s="279">
        <f>(G11+G12+G13+G14+G15)/G17*100</f>
        <v>60.509319628748948</v>
      </c>
      <c r="H10" s="279">
        <f>(H11+H12+H13+H14+H15)/H17*100</f>
        <v>61</v>
      </c>
      <c r="I10" s="279">
        <f>(I11+I12+I13+I14+I15)/I17*100</f>
        <v>55.54006028161411</v>
      </c>
      <c r="J10" s="280">
        <f>ROUND((J11+J12+J13+J14+J15)/J17*100,0)</f>
        <v>72</v>
      </c>
      <c r="K10" s="279">
        <f>ROUND((K11+K12+K13+K14+K15)/K17*100,2)</f>
        <v>76.13</v>
      </c>
      <c r="L10" s="279">
        <v>80</v>
      </c>
      <c r="M10" s="279">
        <v>97.8</v>
      </c>
      <c r="N10" s="279">
        <v>98.3</v>
      </c>
      <c r="O10" s="279">
        <f>ROUND((O11+O12+O13+O14+O15)/O17*100,2)</f>
        <v>87</v>
      </c>
      <c r="P10" s="281" t="s">
        <v>23</v>
      </c>
      <c r="Q10" s="279">
        <f>(Q11+Q12+Q13+Q14+Q15)/Q17*100</f>
        <v>84.697802811329552</v>
      </c>
      <c r="R10" s="279">
        <f>(R11+R12+R13+R14+R15)/R17*100</f>
        <v>80.668762986833514</v>
      </c>
      <c r="S10" s="279">
        <f>(S11+S12+S13+S14+S15)/S17*100</f>
        <v>97.789925031501284</v>
      </c>
      <c r="T10" s="279">
        <f>(T11+T12+T13+T14+T15)/T17*100</f>
        <v>97.781789338366011</v>
      </c>
      <c r="V10" s="279">
        <f>(V11+V12+V13+V14+V15)/V17*100</f>
        <v>56.105794198382675</v>
      </c>
      <c r="W10" s="279">
        <f>(W11+W12+W13+W14+W15)/W17*100</f>
        <v>52.00473675385647</v>
      </c>
      <c r="Y10" s="279">
        <f>(Y11+Y12+Y13+Y14+Y15)/Y17*100</f>
        <v>84.26792816382995</v>
      </c>
      <c r="Z10" s="279">
        <f>(Z11+Z12+Z13+Z14+Z15)/Z17*100</f>
        <v>86.709730289956383</v>
      </c>
      <c r="AB10" s="279">
        <f>(AB11+AB12+AB13+AB14+AB15)/AB17*100</f>
        <v>94.403246699228731</v>
      </c>
      <c r="AC10" s="279">
        <f>(AC11+AC12+AC13+AC14+AC15)/AC17*100</f>
        <v>94.305259417199721</v>
      </c>
      <c r="AE10" s="279">
        <f>(AE11+AE12+AE13+AE14+AE15)/AE17*100</f>
        <v>90.684799614875445</v>
      </c>
      <c r="AF10" s="279">
        <f>(AF11+AF12+AF13+AF14+AF15)/AF17*100</f>
        <v>90.976788624740081</v>
      </c>
      <c r="AH10" s="279">
        <f>(AH11+AH12+AH13+AH14+AH15)/AH17*100</f>
        <v>97.810206206311307</v>
      </c>
      <c r="AI10" s="279">
        <f>(AI11+AI12+AI13+AI14+AI15)/AI17*100</f>
        <v>97.797543959014504</v>
      </c>
      <c r="AK10" s="279">
        <f>(AK11+AK12+AK13+AK14+AK15)/AK17*100</f>
        <v>77.720524588022016</v>
      </c>
      <c r="AL10" s="279">
        <f>(AL11+AL12+AL13+AL14+AL15)/AL17*100</f>
        <v>79.998431270724808</v>
      </c>
      <c r="AN10" s="279">
        <f>(AN11+AN12+AN13+AN14+AN15)/AN17*100</f>
        <v>74.484034214613303</v>
      </c>
      <c r="AO10" s="279">
        <f>(AO11+AO12+AO13+AO14+AO15)/AO17*100</f>
        <v>75.002782535015072</v>
      </c>
      <c r="AQ10" s="279">
        <f>(AQ11+AQ12+AQ13+AQ14+AQ15)/AQ17*100</f>
        <v>79.329297093048226</v>
      </c>
      <c r="AR10" s="279">
        <f>(AR11+AR12+AR13+AR14+AR15)/AR17*100</f>
        <v>82.001949400347499</v>
      </c>
      <c r="AT10" s="279">
        <f>(AT11+AT12+AT13+AT14+AT15)/AT17*100</f>
        <v>89.97675203528803</v>
      </c>
      <c r="AU10" s="279">
        <f>(AU11+AU12+AU13+AU14+AU15)/AU17*100</f>
        <v>91.131747224584956</v>
      </c>
      <c r="AW10" s="279">
        <f>(AW11+AW12+AW13+AW14+AW15)/AW17*100</f>
        <v>51.881498886531418</v>
      </c>
      <c r="AX10" s="279">
        <f>(AX11+AX12+AX13+AX14+AX15)/AX17*100</f>
        <v>78.003494975972046</v>
      </c>
      <c r="AZ10" s="279">
        <f>(AZ11+AZ12+AZ13+AZ14+AZ15)/AZ17*100</f>
        <v>84.22484325357776</v>
      </c>
      <c r="BA10" s="279">
        <f>(BA11+BA12+BA13+BA14+BA15)/BA17*100</f>
        <v>86.207096663370436</v>
      </c>
      <c r="BC10" s="279">
        <f>(BC11+BC12+BC13+BC14+BC15)/BC17*100</f>
        <v>77.980090835023503</v>
      </c>
      <c r="BD10" s="279">
        <f>(BD11+BD12+BD13+BD14+BD15)/BD17*100</f>
        <v>75.000914055157324</v>
      </c>
      <c r="BF10" s="279">
        <f>(BF11+BF12+BF13+BF14+BF15)/BF17*100</f>
        <v>91.383004720579834</v>
      </c>
      <c r="BG10" s="279">
        <f>(BG11+BG12+BG13+BG14+BG15)/BG17*100</f>
        <v>80.500303205354811</v>
      </c>
      <c r="BI10" s="279">
        <f>(BI11+BI12+BI13+BI14+BI15)/BI17*100</f>
        <v>94.388656670080238</v>
      </c>
      <c r="BJ10" s="279">
        <f>(BJ11+BJ12+BJ13+BJ14+BJ15)/BJ17*100</f>
        <v>80.000954703589471</v>
      </c>
      <c r="BL10" s="279">
        <f>(BL11+BL12+BL13+BL14+BL15)/BL17*100</f>
        <v>82.884410747539235</v>
      </c>
      <c r="BM10" s="279">
        <f>(BM11+BM12+BM13+BM14+BM15)/BM17*100</f>
        <v>82.993002804323552</v>
      </c>
      <c r="BO10" s="279">
        <f>(BO11+BO12+BO13+BO14+BO15)/BO17*100</f>
        <v>49.838117065007822</v>
      </c>
      <c r="BP10" s="279">
        <f>(BP11+BP12+BP13+BP14+BP15)/BP17*100</f>
        <v>63.705294787375145</v>
      </c>
      <c r="BR10" s="279">
        <f>(BR11+BR12+BR13+BR14+BR15)/BR17*100</f>
        <v>67.305640894350574</v>
      </c>
      <c r="BS10" s="279">
        <f>(BS11+BS12+BS13+BS14+BS15)/BS17*100</f>
        <v>79.803214661258821</v>
      </c>
      <c r="BU10" s="279">
        <f>(BU11+BU12+BU13+BU14+BU15)/BU17*100</f>
        <v>83.927344133529715</v>
      </c>
      <c r="BV10" s="279">
        <f>(BV11+BV12+BV13+BV14+BV15)/BV17*100</f>
        <v>84.149420158869987</v>
      </c>
      <c r="BX10" s="279">
        <f>(BX11+BX12+BX13+BX14+BX15)/BX17*100</f>
        <v>94.676996295394929</v>
      </c>
      <c r="BY10" s="279">
        <f>(BY11+BY12+BY13+BY14+BY15)/BY17*100</f>
        <v>75.012657553228351</v>
      </c>
      <c r="CA10" s="279">
        <f>(CA11+CA12+CA13+CA14+CA15)/CA17*100</f>
        <v>96.404440154440152</v>
      </c>
      <c r="CB10" s="279">
        <f>(CB11+CB12+CB13+CB14+CB15)/CB17*100</f>
        <v>75.001885653944797</v>
      </c>
      <c r="CD10" s="279">
        <f>(CD11+CD12+CD13+CD14+CD15)/CD17*100</f>
        <v>83.90654447233959</v>
      </c>
      <c r="CE10" s="279">
        <f>(CE11+CE12+CE13+CE14+CE15)/CE17*100</f>
        <v>80.710527175866915</v>
      </c>
      <c r="CG10" s="279" t="e">
        <f>(CG11+CG12+CG13+CG14+CG15)/CG17*100</f>
        <v>#DIV/0!</v>
      </c>
      <c r="CH10" s="279" t="e">
        <f>(CH11+CH12+CH13+CH14+CH15)/CH17*100</f>
        <v>#DIV/0!</v>
      </c>
    </row>
    <row r="11" spans="1:87" ht="45" customHeight="1" x14ac:dyDescent="0.25">
      <c r="A11" s="419"/>
      <c r="B11" s="419" t="s">
        <v>778</v>
      </c>
      <c r="C11" s="95" t="s">
        <v>779</v>
      </c>
      <c r="D11" s="95" t="s">
        <v>950</v>
      </c>
      <c r="E11" s="95">
        <v>35841</v>
      </c>
      <c r="F11" s="282">
        <v>36018</v>
      </c>
      <c r="G11" s="282">
        <v>33344</v>
      </c>
      <c r="H11" s="282">
        <f>31621+2978</f>
        <v>34599</v>
      </c>
      <c r="I11" s="282">
        <f>36400+2552</f>
        <v>38952</v>
      </c>
      <c r="J11" s="282"/>
      <c r="K11" s="282"/>
      <c r="L11" s="282"/>
      <c r="M11" s="282">
        <v>1826</v>
      </c>
      <c r="N11" s="282">
        <v>1302</v>
      </c>
      <c r="O11" s="282">
        <v>1250</v>
      </c>
      <c r="P11" s="278"/>
      <c r="Q11" s="283">
        <f t="shared" ref="Q11:R14" si="0">S11+V11+Y11+AB11+AE11+AH11+AK11+AN11+AQ11+AT11+AW11+AZ11+BC11+BF11+BI11+BL11+BO11+BR11+BU11+BX11+CA11+CD11+CG11</f>
        <v>0</v>
      </c>
      <c r="R11" s="283">
        <f t="shared" si="0"/>
        <v>0</v>
      </c>
    </row>
    <row r="12" spans="1:87" ht="45" customHeight="1" x14ac:dyDescent="0.25">
      <c r="A12" s="420"/>
      <c r="B12" s="420"/>
      <c r="C12" s="95" t="s">
        <v>780</v>
      </c>
      <c r="D12" s="95" t="s">
        <v>950</v>
      </c>
      <c r="E12" s="95">
        <v>27769</v>
      </c>
      <c r="F12" s="282">
        <v>30967</v>
      </c>
      <c r="G12" s="282">
        <v>29878</v>
      </c>
      <c r="H12" s="282">
        <f>32008+2098</f>
        <v>34106</v>
      </c>
      <c r="I12" s="282">
        <f>29537+1684</f>
        <v>31221</v>
      </c>
      <c r="J12" s="282"/>
      <c r="K12" s="282"/>
      <c r="L12" s="282"/>
      <c r="M12" s="282">
        <v>2686</v>
      </c>
      <c r="N12" s="282">
        <v>2414</v>
      </c>
      <c r="O12" s="282">
        <v>1870</v>
      </c>
      <c r="P12" s="278"/>
      <c r="Q12" s="283">
        <f t="shared" si="0"/>
        <v>0</v>
      </c>
      <c r="R12" s="283">
        <f t="shared" si="0"/>
        <v>0</v>
      </c>
    </row>
    <row r="13" spans="1:87" ht="45" customHeight="1" x14ac:dyDescent="0.25">
      <c r="A13" s="420"/>
      <c r="B13" s="420"/>
      <c r="C13" s="95" t="s">
        <v>781</v>
      </c>
      <c r="D13" s="95" t="s">
        <v>950</v>
      </c>
      <c r="E13" s="95">
        <v>12364</v>
      </c>
      <c r="F13" s="282">
        <v>11609</v>
      </c>
      <c r="G13" s="282">
        <v>12734</v>
      </c>
      <c r="H13" s="282">
        <f>12552+764</f>
        <v>13316</v>
      </c>
      <c r="I13" s="282">
        <f>10446+483</f>
        <v>10929</v>
      </c>
      <c r="J13" s="282"/>
      <c r="K13" s="282"/>
      <c r="L13" s="282"/>
      <c r="M13" s="282">
        <v>1187</v>
      </c>
      <c r="N13" s="282">
        <v>734</v>
      </c>
      <c r="O13" s="282">
        <v>393</v>
      </c>
      <c r="P13" s="278"/>
      <c r="Q13" s="283">
        <f t="shared" si="0"/>
        <v>0</v>
      </c>
      <c r="R13" s="283">
        <f t="shared" si="0"/>
        <v>0</v>
      </c>
    </row>
    <row r="14" spans="1:87" ht="60" x14ac:dyDescent="0.25">
      <c r="A14" s="284"/>
      <c r="B14" s="16" t="s">
        <v>782</v>
      </c>
      <c r="C14" s="95" t="s">
        <v>783</v>
      </c>
      <c r="D14" s="95" t="s">
        <v>950</v>
      </c>
      <c r="E14" s="285">
        <v>18317</v>
      </c>
      <c r="F14" s="282">
        <v>19710</v>
      </c>
      <c r="G14" s="282">
        <v>19616</v>
      </c>
      <c r="H14" s="282">
        <v>19741</v>
      </c>
      <c r="I14" s="282">
        <v>20088</v>
      </c>
      <c r="J14" s="282"/>
      <c r="K14" s="282"/>
      <c r="L14" s="282"/>
      <c r="M14" s="282">
        <v>753</v>
      </c>
      <c r="N14" s="282">
        <v>359</v>
      </c>
      <c r="O14" s="282">
        <v>698</v>
      </c>
      <c r="P14" s="278"/>
      <c r="Q14" s="283">
        <f t="shared" si="0"/>
        <v>0</v>
      </c>
      <c r="R14" s="283">
        <f t="shared" si="0"/>
        <v>0</v>
      </c>
    </row>
    <row r="15" spans="1:87" ht="45" x14ac:dyDescent="0.25">
      <c r="A15" s="284"/>
      <c r="B15" s="16" t="s">
        <v>784</v>
      </c>
      <c r="C15" s="95" t="s">
        <v>785</v>
      </c>
      <c r="D15" s="95" t="s">
        <v>950</v>
      </c>
      <c r="E15" s="285">
        <v>48533</v>
      </c>
      <c r="F15" s="282">
        <v>48876</v>
      </c>
      <c r="G15" s="282">
        <v>62200</v>
      </c>
      <c r="H15" s="282">
        <v>61901</v>
      </c>
      <c r="I15" s="282">
        <v>59308</v>
      </c>
      <c r="J15" s="282">
        <f>J16/1.68</f>
        <v>198947.02380952382</v>
      </c>
      <c r="K15" s="282">
        <f>K16/1.68</f>
        <v>227275.59523809524</v>
      </c>
      <c r="L15" s="282">
        <f>L16/1.68</f>
        <v>252839.88095238098</v>
      </c>
      <c r="M15" s="282">
        <v>688</v>
      </c>
      <c r="N15" s="282">
        <v>688</v>
      </c>
      <c r="O15" s="282">
        <v>614</v>
      </c>
      <c r="P15" s="278"/>
      <c r="Q15" s="282">
        <f>Q16/1.68</f>
        <v>252839.88095238098</v>
      </c>
      <c r="R15" s="282">
        <f>R16/1.68</f>
        <v>248075</v>
      </c>
      <c r="S15" s="282">
        <f>S16/1.68</f>
        <v>5136.9047619047624</v>
      </c>
      <c r="T15" s="282">
        <f>T16/1.68</f>
        <v>5107.1428571428569</v>
      </c>
      <c r="V15" s="282">
        <f>V16/1.68</f>
        <v>2520.8333333333335</v>
      </c>
      <c r="W15" s="282">
        <f>W16/1.68</f>
        <v>2363.0952380952381</v>
      </c>
      <c r="Y15" s="282">
        <f>Y16/1.68</f>
        <v>4873.2142857142862</v>
      </c>
      <c r="Z15" s="282">
        <f>Z16/1.68</f>
        <v>5139.2857142857147</v>
      </c>
      <c r="AB15" s="282">
        <f>AB16/1.68</f>
        <v>7565.4761904761908</v>
      </c>
      <c r="AC15" s="282">
        <f>AC16/1.68</f>
        <v>7582.1428571428578</v>
      </c>
      <c r="AE15" s="282">
        <f>AE16/1.68</f>
        <v>5382.1428571428578</v>
      </c>
      <c r="AF15" s="282">
        <f>AF16/1.68</f>
        <v>5395.8333333333339</v>
      </c>
      <c r="AH15" s="282">
        <f>AH16/1.68</f>
        <v>5323.8095238095239</v>
      </c>
      <c r="AI15" s="282">
        <f>AI16/1.68</f>
        <v>5426.7857142857147</v>
      </c>
      <c r="AK15" s="282">
        <f>AK16/1.68</f>
        <v>6798.2142857142862</v>
      </c>
      <c r="AL15" s="282">
        <f>AL16/1.68</f>
        <v>7042.2619047619046</v>
      </c>
      <c r="AN15" s="282">
        <f>AN16/1.68</f>
        <v>19435.11904761905</v>
      </c>
      <c r="AO15" s="282">
        <f>AO16/1.68</f>
        <v>19895.238095238095</v>
      </c>
      <c r="AQ15" s="282">
        <f>AQ16/1.68</f>
        <v>2639.2857142857142</v>
      </c>
      <c r="AR15" s="282">
        <f>AR16/1.68</f>
        <v>2764.2857142857142</v>
      </c>
      <c r="AT15" s="282">
        <f>AT16/1.68</f>
        <v>14725.595238095239</v>
      </c>
      <c r="AU15" s="282">
        <f>AU16/1.68</f>
        <v>15764.880952380952</v>
      </c>
      <c r="AW15" s="282">
        <f>AW16/1.68</f>
        <v>4226.7857142857147</v>
      </c>
      <c r="AX15" s="282">
        <f>AX16/1.68</f>
        <v>6376.7857142857147</v>
      </c>
      <c r="AZ15" s="282">
        <f>AZ16/1.68</f>
        <v>8558.9285714285725</v>
      </c>
      <c r="BA15" s="282">
        <f>BA16/1.68</f>
        <v>8842.2619047619046</v>
      </c>
      <c r="BC15" s="282">
        <f>BC16/1.68</f>
        <v>17136.904761904763</v>
      </c>
      <c r="BD15" s="282">
        <f>BD16/1.68</f>
        <v>16605.952380952382</v>
      </c>
      <c r="BF15" s="282">
        <f>BF16/1.68</f>
        <v>43805.357142857145</v>
      </c>
      <c r="BG15" s="282">
        <f>BG16/1.68</f>
        <v>40014.285714285717</v>
      </c>
      <c r="BI15" s="282">
        <f>BI16/1.68</f>
        <v>59647.023809523809</v>
      </c>
      <c r="BJ15" s="282">
        <f>BJ16/1.68</f>
        <v>53470.238095238099</v>
      </c>
      <c r="BL15" s="282">
        <f>BL16/1.68</f>
        <v>7121.4285714285716</v>
      </c>
      <c r="BM15" s="282">
        <f>BM16/1.68</f>
        <v>7257.7380952380954</v>
      </c>
      <c r="BO15" s="282">
        <f>BO16/1.68</f>
        <v>3914.2857142857142</v>
      </c>
      <c r="BP15" s="282">
        <f>BP16/1.68</f>
        <v>5169.0476190476193</v>
      </c>
      <c r="BR15" s="282">
        <f>BR16/1.68</f>
        <v>7511.3095238095239</v>
      </c>
      <c r="BS15" s="282">
        <f>BS16/1.68</f>
        <v>9107.1428571428569</v>
      </c>
      <c r="BU15" s="282">
        <f>BU16/1.68</f>
        <v>10176.190476190477</v>
      </c>
      <c r="BV15" s="282">
        <f>BV16/1.68</f>
        <v>10507.738095238095</v>
      </c>
      <c r="BX15" s="282">
        <f>BX16/1.68</f>
        <v>3334.5238095238096</v>
      </c>
      <c r="BY15" s="282">
        <f>BY16/1.68</f>
        <v>2680.9523809523812</v>
      </c>
      <c r="CA15" s="282">
        <f>CA16/1.68</f>
        <v>7133.9285714285716</v>
      </c>
      <c r="CB15" s="282">
        <f>CB16/1.68</f>
        <v>5682.1428571428578</v>
      </c>
      <c r="CD15" s="282">
        <f>CD16/1.68</f>
        <v>5872.6190476190477</v>
      </c>
      <c r="CE15" s="282">
        <f>CE16/1.68</f>
        <v>5879.7619047619046</v>
      </c>
      <c r="CG15" s="282">
        <f>CG16/1.68</f>
        <v>0</v>
      </c>
      <c r="CH15" s="282">
        <f>CH16/1.68</f>
        <v>0</v>
      </c>
    </row>
    <row r="16" spans="1:87" x14ac:dyDescent="0.25">
      <c r="A16" s="284"/>
      <c r="B16" s="16"/>
      <c r="C16" s="95"/>
      <c r="D16" s="95"/>
      <c r="E16" s="285"/>
      <c r="F16" s="282"/>
      <c r="G16" s="282"/>
      <c r="H16" s="282"/>
      <c r="I16" s="282"/>
      <c r="J16" s="282">
        <v>334231</v>
      </c>
      <c r="K16" s="282">
        <v>381823</v>
      </c>
      <c r="L16" s="282">
        <v>424771</v>
      </c>
      <c r="M16" s="282"/>
      <c r="N16" s="282"/>
      <c r="O16" s="282"/>
      <c r="P16" s="283"/>
      <c r="Q16" s="286">
        <f>S16+V16+Y16+AB16+AE16+AH16+AK16+AN16+AQ16+AT16+AW16+AZ16+BC16+BF16+BI16+BL16+BO16+BR16+BU16+BX16+CA16+CD16+CG16</f>
        <v>424771</v>
      </c>
      <c r="R16" s="286">
        <f>T16+W16+Z16+AC16+AF16+AI16+AL16+AO16+AR16+AU16+AX16+BA16+BD16+BG16+BJ16+BM16+BP16+BS16+BV16+BY16+CB16+CE16+CH16</f>
        <v>416766</v>
      </c>
      <c r="S16" s="286">
        <v>8630</v>
      </c>
      <c r="T16" s="286">
        <v>8580</v>
      </c>
      <c r="U16" s="286"/>
      <c r="V16" s="286">
        <v>4235</v>
      </c>
      <c r="W16" s="286">
        <v>3970</v>
      </c>
      <c r="X16" s="286"/>
      <c r="Y16" s="286">
        <v>8187</v>
      </c>
      <c r="Z16" s="286">
        <v>8634</v>
      </c>
      <c r="AA16" s="286"/>
      <c r="AB16" s="286">
        <v>12710</v>
      </c>
      <c r="AC16" s="286">
        <v>12738</v>
      </c>
      <c r="AD16" s="286"/>
      <c r="AE16" s="286">
        <v>9042</v>
      </c>
      <c r="AF16" s="286">
        <v>9065</v>
      </c>
      <c r="AG16" s="286"/>
      <c r="AH16" s="286">
        <v>8944</v>
      </c>
      <c r="AI16" s="286">
        <v>9117</v>
      </c>
      <c r="AJ16" s="286"/>
      <c r="AK16" s="286">
        <v>11421</v>
      </c>
      <c r="AL16" s="286">
        <v>11831</v>
      </c>
      <c r="AM16" s="286"/>
      <c r="AN16" s="286">
        <v>32651</v>
      </c>
      <c r="AO16" s="286">
        <v>33424</v>
      </c>
      <c r="AP16" s="286"/>
      <c r="AQ16" s="286">
        <v>4434</v>
      </c>
      <c r="AR16" s="286">
        <v>4644</v>
      </c>
      <c r="AS16" s="286"/>
      <c r="AT16" s="286">
        <v>24739</v>
      </c>
      <c r="AU16" s="286">
        <v>26485</v>
      </c>
      <c r="AV16" s="286"/>
      <c r="AW16" s="286">
        <v>7101</v>
      </c>
      <c r="AX16" s="286">
        <v>10713</v>
      </c>
      <c r="AY16" s="286"/>
      <c r="AZ16" s="286">
        <v>14379</v>
      </c>
      <c r="BA16" s="286">
        <v>14855</v>
      </c>
      <c r="BB16" s="286"/>
      <c r="BC16" s="286">
        <v>28790</v>
      </c>
      <c r="BD16" s="286">
        <v>27898</v>
      </c>
      <c r="BE16" s="286"/>
      <c r="BF16" s="286">
        <v>73593</v>
      </c>
      <c r="BG16" s="286">
        <v>67224</v>
      </c>
      <c r="BH16" s="286"/>
      <c r="BI16" s="286">
        <v>100207</v>
      </c>
      <c r="BJ16" s="286">
        <v>89830</v>
      </c>
      <c r="BK16" s="286"/>
      <c r="BL16" s="286">
        <v>11964</v>
      </c>
      <c r="BM16" s="286">
        <v>12193</v>
      </c>
      <c r="BN16" s="286"/>
      <c r="BO16" s="286">
        <v>6576</v>
      </c>
      <c r="BP16" s="286">
        <v>8684</v>
      </c>
      <c r="BQ16" s="286"/>
      <c r="BR16" s="286">
        <v>12619</v>
      </c>
      <c r="BS16" s="286">
        <v>15300</v>
      </c>
      <c r="BT16" s="286"/>
      <c r="BU16" s="286">
        <v>17096</v>
      </c>
      <c r="BV16" s="286">
        <v>17653</v>
      </c>
      <c r="BW16" s="286"/>
      <c r="BX16" s="286">
        <v>5602</v>
      </c>
      <c r="BY16" s="286">
        <v>4504</v>
      </c>
      <c r="BZ16" s="286"/>
      <c r="CA16" s="286">
        <v>11985</v>
      </c>
      <c r="CB16" s="286">
        <v>9546</v>
      </c>
      <c r="CC16" s="286"/>
      <c r="CD16" s="286">
        <v>9866</v>
      </c>
      <c r="CE16" s="286">
        <v>9878</v>
      </c>
      <c r="CF16" s="286"/>
      <c r="CG16" s="286">
        <v>0</v>
      </c>
      <c r="CH16" s="286">
        <v>0</v>
      </c>
    </row>
    <row r="17" spans="1:86" ht="30" x14ac:dyDescent="0.25">
      <c r="A17" s="16"/>
      <c r="B17" s="16" t="s">
        <v>786</v>
      </c>
      <c r="C17" s="95" t="s">
        <v>134</v>
      </c>
      <c r="D17" s="95" t="s">
        <v>950</v>
      </c>
      <c r="E17" s="95">
        <v>248778</v>
      </c>
      <c r="F17" s="282">
        <v>254350</v>
      </c>
      <c r="G17" s="282">
        <v>260740</v>
      </c>
      <c r="H17" s="282">
        <v>268300</v>
      </c>
      <c r="I17" s="282">
        <v>288977</v>
      </c>
      <c r="J17" s="282">
        <v>277963</v>
      </c>
      <c r="K17" s="282">
        <v>298520</v>
      </c>
      <c r="L17" s="282">
        <v>307523</v>
      </c>
      <c r="M17" s="282">
        <v>5719</v>
      </c>
      <c r="N17" s="282">
        <v>5591</v>
      </c>
      <c r="O17" s="103">
        <v>5546</v>
      </c>
      <c r="P17" s="278"/>
      <c r="Q17" s="286">
        <f>S17+V17+Y17+AB17+AE17+AH17+AK17+AN17+AQ17+AT17+AW17+AZ17+BC17+BF17+BI17+BL17+BO17+BR17+BU17+BX17+CA17+CD17+CG17</f>
        <v>298520</v>
      </c>
      <c r="R17" s="286">
        <f>T17+W17+Z17+AC17+AF17+AI17+AL17+AO17+AR17+AU17+AX17+BA17+BD17+BG17+BJ17+BM17+BP17+BS17+BV17+BY17+CB17+CE17+CH17</f>
        <v>307523</v>
      </c>
      <c r="S17" s="286">
        <v>5253</v>
      </c>
      <c r="T17" s="286">
        <v>5223</v>
      </c>
      <c r="U17" s="286"/>
      <c r="V17" s="286">
        <v>4493</v>
      </c>
      <c r="W17" s="286">
        <v>4544</v>
      </c>
      <c r="X17" s="286"/>
      <c r="Y17" s="286">
        <v>5783</v>
      </c>
      <c r="Z17" s="286">
        <v>5927</v>
      </c>
      <c r="AA17" s="286"/>
      <c r="AB17" s="286">
        <v>8014</v>
      </c>
      <c r="AC17" s="286">
        <v>8040</v>
      </c>
      <c r="AD17" s="286"/>
      <c r="AE17" s="286">
        <v>5935</v>
      </c>
      <c r="AF17" s="286">
        <v>5931</v>
      </c>
      <c r="AG17" s="286"/>
      <c r="AH17" s="286">
        <v>5443</v>
      </c>
      <c r="AI17" s="286">
        <v>5549</v>
      </c>
      <c r="AJ17" s="286"/>
      <c r="AK17" s="286">
        <v>8747</v>
      </c>
      <c r="AL17" s="286">
        <v>8803</v>
      </c>
      <c r="AM17" s="286"/>
      <c r="AN17" s="286">
        <v>26093</v>
      </c>
      <c r="AO17" s="286">
        <v>26526</v>
      </c>
      <c r="AP17" s="286"/>
      <c r="AQ17" s="286">
        <v>3327</v>
      </c>
      <c r="AR17" s="286">
        <v>3371</v>
      </c>
      <c r="AS17" s="286"/>
      <c r="AT17" s="286">
        <v>16366</v>
      </c>
      <c r="AU17" s="286">
        <v>17299</v>
      </c>
      <c r="AV17" s="286"/>
      <c r="AW17" s="286">
        <v>8147</v>
      </c>
      <c r="AX17" s="286">
        <v>8175</v>
      </c>
      <c r="AY17" s="286"/>
      <c r="AZ17" s="286">
        <v>10162</v>
      </c>
      <c r="BA17" s="286">
        <v>10257</v>
      </c>
      <c r="BB17" s="286"/>
      <c r="BC17" s="286">
        <v>21976</v>
      </c>
      <c r="BD17" s="286">
        <v>22141</v>
      </c>
      <c r="BE17" s="286"/>
      <c r="BF17" s="286">
        <v>47936</v>
      </c>
      <c r="BG17" s="286">
        <v>49707</v>
      </c>
      <c r="BH17" s="286"/>
      <c r="BI17" s="286">
        <v>63193</v>
      </c>
      <c r="BJ17" s="286">
        <v>66837</v>
      </c>
      <c r="BK17" s="286"/>
      <c r="BL17" s="286">
        <v>8592</v>
      </c>
      <c r="BM17" s="286">
        <v>8745</v>
      </c>
      <c r="BN17" s="286"/>
      <c r="BO17" s="286">
        <v>7854</v>
      </c>
      <c r="BP17" s="286">
        <v>8114</v>
      </c>
      <c r="BQ17" s="286"/>
      <c r="BR17" s="286">
        <v>11160</v>
      </c>
      <c r="BS17" s="286">
        <v>11412</v>
      </c>
      <c r="BT17" s="286"/>
      <c r="BU17" s="286">
        <v>12125</v>
      </c>
      <c r="BV17" s="286">
        <v>12487</v>
      </c>
      <c r="BW17" s="286"/>
      <c r="BX17" s="286">
        <v>3522</v>
      </c>
      <c r="BY17" s="286">
        <v>3574</v>
      </c>
      <c r="BZ17" s="286"/>
      <c r="CA17" s="286">
        <v>7400</v>
      </c>
      <c r="CB17" s="286">
        <v>7576</v>
      </c>
      <c r="CC17" s="286"/>
      <c r="CD17" s="286">
        <v>6999</v>
      </c>
      <c r="CE17" s="286">
        <v>7285</v>
      </c>
      <c r="CF17" s="286"/>
      <c r="CG17" s="286">
        <v>0</v>
      </c>
      <c r="CH17" s="286">
        <v>0</v>
      </c>
    </row>
    <row r="18" spans="1:86" ht="30" x14ac:dyDescent="0.25">
      <c r="A18" s="95" t="s">
        <v>628</v>
      </c>
      <c r="B18" s="96" t="s">
        <v>1862</v>
      </c>
      <c r="C18" s="95"/>
      <c r="D18" s="95"/>
      <c r="E18" s="95"/>
      <c r="F18" s="282"/>
      <c r="G18" s="282"/>
      <c r="H18" s="282"/>
      <c r="I18" s="282"/>
      <c r="J18" s="282"/>
      <c r="K18" s="282"/>
      <c r="L18" s="282"/>
      <c r="M18" s="282"/>
      <c r="N18" s="282"/>
      <c r="O18" s="282"/>
      <c r="P18" s="278"/>
    </row>
    <row r="19" spans="1:86" x14ac:dyDescent="0.25">
      <c r="A19" s="95"/>
      <c r="B19" s="96" t="s">
        <v>1900</v>
      </c>
      <c r="C19" s="95"/>
      <c r="D19" s="95" t="s">
        <v>8</v>
      </c>
      <c r="E19" s="95"/>
      <c r="F19" s="282"/>
      <c r="G19" s="282"/>
      <c r="H19" s="287">
        <f t="shared" ref="H19:J28" si="1">H30/$J$29*100</f>
        <v>0</v>
      </c>
      <c r="I19" s="287">
        <f>I30/$I$29*100</f>
        <v>10.492822170461567</v>
      </c>
      <c r="J19" s="287">
        <f>J30/$J$29*100</f>
        <v>9.9501385704793996</v>
      </c>
      <c r="K19" s="287">
        <f>K30/$K$29*100</f>
        <v>11.623971507954387</v>
      </c>
      <c r="L19" s="287">
        <f t="shared" ref="L19:M22" si="2">L30/$L$29*100</f>
        <v>11.861333128640101</v>
      </c>
      <c r="M19" s="287">
        <f t="shared" si="2"/>
        <v>0.24611162817474408</v>
      </c>
      <c r="N19" s="287">
        <v>0.13</v>
      </c>
      <c r="O19" s="287">
        <v>0.12</v>
      </c>
      <c r="P19" s="278"/>
      <c r="Q19" s="287">
        <f t="shared" ref="Q19:T28" si="3">Q30/$J$29*100</f>
        <v>14.799207484601617</v>
      </c>
      <c r="R19" s="287">
        <f t="shared" si="3"/>
        <v>18.339787984173636</v>
      </c>
      <c r="S19" s="287">
        <f>S30/$J$29*100</f>
        <v>0.36543100506994369</v>
      </c>
      <c r="T19" s="287">
        <f>T30/$J$29*100</f>
        <v>0.39236695138959554</v>
      </c>
      <c r="V19" s="287">
        <f t="shared" ref="V19:W28" si="4">V30/$J$29*100</f>
        <v>8.0209262374074455E-2</v>
      </c>
      <c r="W19" s="287">
        <f t="shared" si="4"/>
        <v>0.11851816380646822</v>
      </c>
      <c r="Y19" s="287">
        <f t="shared" ref="Y19:Z28" si="5">Y30/$J$29*100</f>
        <v>0.15682706523886197</v>
      </c>
      <c r="Z19" s="287">
        <f t="shared" si="5"/>
        <v>0.14575339841856066</v>
      </c>
      <c r="AB19" s="287">
        <f t="shared" ref="AB19:AC28" si="6">AB30/$J$29*100</f>
        <v>0.64676199996408545</v>
      </c>
      <c r="AC19" s="287">
        <f t="shared" si="6"/>
        <v>0.65873353166170845</v>
      </c>
      <c r="AE19" s="287">
        <f t="shared" ref="AE19:AF28" si="7">AE30/$J$29*100</f>
        <v>0.17418578620041542</v>
      </c>
      <c r="AF19" s="287">
        <f t="shared" si="7"/>
        <v>0.16101710133303004</v>
      </c>
      <c r="AH19" s="287">
        <f t="shared" ref="AH19:AI28" si="8">AH30/$J$29*100</f>
        <v>0.28252814806390403</v>
      </c>
      <c r="AI19" s="287">
        <f t="shared" si="8"/>
        <v>0.51238155665826668</v>
      </c>
      <c r="AK19" s="287">
        <f t="shared" ref="AK19:AL28" si="9">AK30/$J$29*100</f>
        <v>0.2047131920293542</v>
      </c>
      <c r="AL19" s="287">
        <f t="shared" si="9"/>
        <v>0.42319364551097488</v>
      </c>
      <c r="AN19" s="287">
        <f t="shared" ref="AN19:AO28" si="10">AN30/$J$29*100</f>
        <v>1.6365083830650713</v>
      </c>
      <c r="AO19" s="287">
        <f t="shared" si="10"/>
        <v>2.3137977888580954</v>
      </c>
      <c r="AQ19" s="287">
        <f t="shared" ref="AQ19:AR28" si="11">AQ30/$J$29*100</f>
        <v>9.6370830165865576E-2</v>
      </c>
      <c r="AR19" s="287">
        <f t="shared" si="11"/>
        <v>0.1149267042971813</v>
      </c>
      <c r="AT19" s="287">
        <f t="shared" ref="AT19:AU28" si="12">AT30/$J$29*100</f>
        <v>0.60815381023925108</v>
      </c>
      <c r="AU19" s="287">
        <f t="shared" si="12"/>
        <v>1.069357068890179</v>
      </c>
      <c r="AW19" s="287">
        <f t="shared" ref="AW19:AX28" si="13">AW30/$J$29*100</f>
        <v>8.7990757977529435E-2</v>
      </c>
      <c r="AX19" s="287">
        <f t="shared" si="13"/>
        <v>8.2902857006039637E-2</v>
      </c>
      <c r="AZ19" s="287">
        <f t="shared" ref="AZ19:BA28" si="14">AZ30/$J$29*100</f>
        <v>0.26666586856455349</v>
      </c>
      <c r="BA19" s="287">
        <f t="shared" si="14"/>
        <v>0.35016730215547426</v>
      </c>
      <c r="BC19" s="287">
        <f t="shared" ref="BC19:BD28" si="15">BC30/$J$29*100</f>
        <v>1.1043737991057265</v>
      </c>
      <c r="BD19" s="287">
        <f t="shared" si="15"/>
        <v>1.4237144071398216</v>
      </c>
      <c r="BF19" s="287">
        <f t="shared" ref="BF19:BG28" si="16">BF30/$J$29*100</f>
        <v>1.6706272484032971</v>
      </c>
      <c r="BG19" s="287">
        <f t="shared" si="16"/>
        <v>1.7807653400214292</v>
      </c>
      <c r="BI19" s="287">
        <f t="shared" ref="BI19:BJ28" si="17">BI30/$J$29*100</f>
        <v>5.2423337303891344</v>
      </c>
      <c r="BJ19" s="287">
        <f t="shared" si="17"/>
        <v>6.3604747909471282</v>
      </c>
      <c r="BL19" s="287">
        <f t="shared" ref="BL19:BM28" si="18">BL30/$J$29*100</f>
        <v>0.56954562051441671</v>
      </c>
      <c r="BM19" s="287">
        <f t="shared" si="18"/>
        <v>0.75660080328977697</v>
      </c>
      <c r="BO19" s="287">
        <f t="shared" ref="BO19:BP28" si="19">BO30/$J$29*100</f>
        <v>0.15772493011618371</v>
      </c>
      <c r="BP19" s="287">
        <f t="shared" si="19"/>
        <v>0.24930714760300005</v>
      </c>
      <c r="BR19" s="287">
        <f t="shared" ref="BR19:BS28" si="20">BR30/$J$29*100</f>
        <v>0.42169720404877203</v>
      </c>
      <c r="BS19" s="287">
        <f t="shared" si="20"/>
        <v>0.2286562554246003</v>
      </c>
      <c r="BU19" s="287">
        <f t="shared" ref="BU19:BV28" si="21">BU30/$J$29*100</f>
        <v>0.26876088661163755</v>
      </c>
      <c r="BV19" s="287">
        <f t="shared" si="21"/>
        <v>0.37800111335244785</v>
      </c>
      <c r="BX19" s="287">
        <f t="shared" ref="BX19:BY28" si="22">BX30/$J$29*100</f>
        <v>0.13048969550409129</v>
      </c>
      <c r="BY19" s="287">
        <f t="shared" si="22"/>
        <v>8.7691469685088869E-2</v>
      </c>
      <c r="CA19" s="287">
        <f t="shared" ref="CA19:CB28" si="23">CA30/$J$29*100</f>
        <v>0.15682706523886197</v>
      </c>
      <c r="CB19" s="287">
        <f t="shared" si="23"/>
        <v>0.18166799351142982</v>
      </c>
      <c r="CD19" s="287">
        <f t="shared" ref="CD19:CE28" si="24">CD30/$J$29*100</f>
        <v>0.47048119571658592</v>
      </c>
      <c r="CE19" s="287">
        <f t="shared" si="24"/>
        <v>0.54979259321333873</v>
      </c>
      <c r="CG19" s="287">
        <f t="shared" ref="CG19:CH28" si="25">CG30/$J$29*100</f>
        <v>0</v>
      </c>
      <c r="CH19" s="287">
        <f t="shared" si="25"/>
        <v>0</v>
      </c>
    </row>
    <row r="20" spans="1:86" x14ac:dyDescent="0.25">
      <c r="A20" s="95"/>
      <c r="B20" s="96" t="s">
        <v>1899</v>
      </c>
      <c r="C20" s="95"/>
      <c r="D20" s="95" t="s">
        <v>8</v>
      </c>
      <c r="E20" s="95"/>
      <c r="F20" s="282"/>
      <c r="G20" s="282"/>
      <c r="H20" s="287">
        <f t="shared" si="1"/>
        <v>0</v>
      </c>
      <c r="I20" s="287">
        <f t="shared" ref="I20:I27" si="26">I31/$I$29*100</f>
        <v>7.7357750629842652</v>
      </c>
      <c r="J20" s="287">
        <f t="shared" si="1"/>
        <v>8.7915935904419289</v>
      </c>
      <c r="K20" s="287">
        <f t="shared" ref="K20:K28" si="27">K31/$K$29*100</f>
        <v>10.574292794387411</v>
      </c>
      <c r="L20" s="287">
        <f t="shared" si="2"/>
        <v>11.611623377246429</v>
      </c>
      <c r="M20" s="287">
        <f t="shared" si="2"/>
        <v>8.9473330710701293E-2</v>
      </c>
      <c r="N20" s="287">
        <v>0.08</v>
      </c>
      <c r="O20" s="287">
        <v>0.09</v>
      </c>
      <c r="P20" s="278"/>
      <c r="Q20" s="287">
        <f t="shared" si="3"/>
        <v>14.487648372170977</v>
      </c>
      <c r="R20" s="287">
        <f t="shared" si="3"/>
        <v>15.776084471127657</v>
      </c>
      <c r="S20" s="287">
        <f t="shared" si="3"/>
        <v>0.23823348078269874</v>
      </c>
      <c r="T20" s="287">
        <f t="shared" si="3"/>
        <v>0.25888437296109851</v>
      </c>
      <c r="V20" s="287">
        <f t="shared" si="4"/>
        <v>2.334448681036495E-2</v>
      </c>
      <c r="W20" s="287">
        <f t="shared" si="4"/>
        <v>5.2974027761982005E-2</v>
      </c>
      <c r="Y20" s="287">
        <f t="shared" si="5"/>
        <v>5.6565487271268922E-2</v>
      </c>
      <c r="Z20" s="287">
        <f t="shared" si="5"/>
        <v>6.2850541412521027E-2</v>
      </c>
      <c r="AB20" s="287">
        <f t="shared" si="6"/>
        <v>0.25200074223496527</v>
      </c>
      <c r="AC20" s="287">
        <f t="shared" si="6"/>
        <v>0.18974877740732538</v>
      </c>
      <c r="AE20" s="287">
        <f t="shared" si="7"/>
        <v>0.17268934473821251</v>
      </c>
      <c r="AF20" s="287">
        <f t="shared" si="7"/>
        <v>0.14575339841856066</v>
      </c>
      <c r="AH20" s="287">
        <f t="shared" si="8"/>
        <v>0.57193992685394135</v>
      </c>
      <c r="AI20" s="287">
        <f t="shared" si="8"/>
        <v>0.76049155109150446</v>
      </c>
      <c r="AK20" s="287">
        <f t="shared" si="9"/>
        <v>0.11283168625009726</v>
      </c>
      <c r="AL20" s="287">
        <f t="shared" si="9"/>
        <v>0.14335909207903605</v>
      </c>
      <c r="AN20" s="287">
        <f t="shared" si="10"/>
        <v>1.3405122618413412</v>
      </c>
      <c r="AO20" s="287">
        <f t="shared" si="10"/>
        <v>1.6796058971765144</v>
      </c>
      <c r="AQ20" s="287">
        <f t="shared" si="11"/>
        <v>7.6019226279906385E-2</v>
      </c>
      <c r="AR20" s="287">
        <f t="shared" si="11"/>
        <v>9.0385064317054051E-2</v>
      </c>
      <c r="AT20" s="287">
        <f t="shared" si="12"/>
        <v>0.33340715777880203</v>
      </c>
      <c r="AU20" s="287">
        <f t="shared" si="12"/>
        <v>0.47646696156539747</v>
      </c>
      <c r="AW20" s="287">
        <f t="shared" si="13"/>
        <v>0.12839467745700722</v>
      </c>
      <c r="AX20" s="287">
        <f t="shared" si="13"/>
        <v>0.10385303747687998</v>
      </c>
      <c r="AZ20" s="287">
        <f t="shared" si="14"/>
        <v>0.10714520869372632</v>
      </c>
      <c r="BA20" s="287">
        <f t="shared" si="14"/>
        <v>7.8413532619430987E-2</v>
      </c>
      <c r="BC20" s="287">
        <f t="shared" si="15"/>
        <v>0.49292781764962923</v>
      </c>
      <c r="BD20" s="287">
        <f t="shared" si="15"/>
        <v>0.63209687363449718</v>
      </c>
      <c r="BF20" s="287">
        <f t="shared" si="16"/>
        <v>4.3190293482099564</v>
      </c>
      <c r="BG20" s="287">
        <f t="shared" si="16"/>
        <v>4.7200756600803295</v>
      </c>
      <c r="BI20" s="287">
        <f t="shared" si="17"/>
        <v>4.2855090594566123</v>
      </c>
      <c r="BJ20" s="287">
        <f t="shared" si="17"/>
        <v>4.5910824060384412</v>
      </c>
      <c r="BL20" s="287">
        <f t="shared" si="18"/>
        <v>0.35525520312696413</v>
      </c>
      <c r="BM20" s="287">
        <f t="shared" si="18"/>
        <v>0.38039541969197249</v>
      </c>
      <c r="BO20" s="287">
        <f t="shared" si="19"/>
        <v>2.5738793149889562E-2</v>
      </c>
      <c r="BP20" s="287">
        <f t="shared" si="19"/>
        <v>6.6741289214248517E-2</v>
      </c>
      <c r="BR20" s="287">
        <f t="shared" si="20"/>
        <v>0.18915020082244424</v>
      </c>
      <c r="BS20" s="287">
        <f t="shared" si="20"/>
        <v>0.13378186672093761</v>
      </c>
      <c r="BU20" s="287">
        <f t="shared" si="21"/>
        <v>0.40074702357793168</v>
      </c>
      <c r="BV20" s="287">
        <f t="shared" si="21"/>
        <v>0.30557334658182844</v>
      </c>
      <c r="BX20" s="287">
        <f t="shared" si="22"/>
        <v>0.18256585838875156</v>
      </c>
      <c r="BY20" s="287">
        <f t="shared" si="22"/>
        <v>0.22745910225483801</v>
      </c>
      <c r="CA20" s="287">
        <f t="shared" si="23"/>
        <v>0.22356835445311052</v>
      </c>
      <c r="CB20" s="287">
        <f t="shared" si="23"/>
        <v>0.39266623968203612</v>
      </c>
      <c r="CD20" s="287">
        <f t="shared" si="24"/>
        <v>0.60007302634335546</v>
      </c>
      <c r="CE20" s="287">
        <f t="shared" si="24"/>
        <v>0.28342601294122577</v>
      </c>
      <c r="CG20" s="287">
        <f t="shared" si="25"/>
        <v>0</v>
      </c>
      <c r="CH20" s="287">
        <f t="shared" si="25"/>
        <v>0</v>
      </c>
    </row>
    <row r="21" spans="1:86" x14ac:dyDescent="0.25">
      <c r="A21" s="95"/>
      <c r="B21" s="96" t="s">
        <v>1898</v>
      </c>
      <c r="C21" s="95"/>
      <c r="D21" s="95" t="s">
        <v>8</v>
      </c>
      <c r="E21" s="95"/>
      <c r="F21" s="282"/>
      <c r="G21" s="282"/>
      <c r="H21" s="287">
        <f t="shared" si="1"/>
        <v>0</v>
      </c>
      <c r="I21" s="287">
        <f t="shared" si="26"/>
        <v>2.8158720349859769</v>
      </c>
      <c r="J21" s="287">
        <f t="shared" si="1"/>
        <v>2.0450369022464576</v>
      </c>
      <c r="K21" s="287">
        <f t="shared" si="27"/>
        <v>1.9261094841180448</v>
      </c>
      <c r="L21" s="287">
        <f t="shared" si="2"/>
        <v>2.0367776167950797</v>
      </c>
      <c r="M21" s="287">
        <f t="shared" si="2"/>
        <v>2.7825486226384321E-2</v>
      </c>
      <c r="N21" s="287">
        <v>0.03</v>
      </c>
      <c r="O21" s="287">
        <v>0.03</v>
      </c>
      <c r="P21" s="278"/>
      <c r="Q21" s="287">
        <f t="shared" si="3"/>
        <v>2.5412568911129334</v>
      </c>
      <c r="R21" s="287">
        <f t="shared" si="3"/>
        <v>2.909680779107283</v>
      </c>
      <c r="S21" s="287">
        <f t="shared" si="3"/>
        <v>5.9259081903234111E-2</v>
      </c>
      <c r="T21" s="287">
        <f t="shared" si="3"/>
        <v>8.7691469685088869E-2</v>
      </c>
      <c r="V21" s="287">
        <f t="shared" si="4"/>
        <v>1.1672243405182475E-2</v>
      </c>
      <c r="W21" s="287">
        <f t="shared" si="4"/>
        <v>1.8555874131315733E-2</v>
      </c>
      <c r="Y21" s="287">
        <f t="shared" si="5"/>
        <v>9.6071541873424995E-2</v>
      </c>
      <c r="Z21" s="287">
        <f t="shared" si="5"/>
        <v>0.10086015455247421</v>
      </c>
      <c r="AB21" s="287">
        <f t="shared" si="6"/>
        <v>8.0807838958955602E-2</v>
      </c>
      <c r="AC21" s="287">
        <f t="shared" si="6"/>
        <v>5.8660505318352957E-2</v>
      </c>
      <c r="AE21" s="287">
        <f t="shared" si="7"/>
        <v>7.5719937987465805E-2</v>
      </c>
      <c r="AF21" s="287">
        <f t="shared" si="7"/>
        <v>7.7216379449668679E-2</v>
      </c>
      <c r="AH21" s="287">
        <f t="shared" si="8"/>
        <v>0.14455624524879834</v>
      </c>
      <c r="AI21" s="287">
        <f t="shared" si="8"/>
        <v>0.20082244422762671</v>
      </c>
      <c r="AK21" s="287">
        <f t="shared" si="9"/>
        <v>5.9857658488115268E-3</v>
      </c>
      <c r="AL21" s="287">
        <f t="shared" si="9"/>
        <v>1.6760144376672274E-2</v>
      </c>
      <c r="AN21" s="287">
        <f t="shared" si="10"/>
        <v>0.38937406846518979</v>
      </c>
      <c r="AO21" s="287">
        <f t="shared" si="10"/>
        <v>0.41631001478484159</v>
      </c>
      <c r="AQ21" s="287">
        <f t="shared" si="11"/>
        <v>9.2180794071697492E-2</v>
      </c>
      <c r="AR21" s="287">
        <f t="shared" si="11"/>
        <v>2.8432387781854751E-2</v>
      </c>
      <c r="AT21" s="287">
        <f t="shared" si="12"/>
        <v>0.12749681257968551</v>
      </c>
      <c r="AU21" s="287">
        <f t="shared" si="12"/>
        <v>0.2059103451991165</v>
      </c>
      <c r="AW21" s="287">
        <f t="shared" si="13"/>
        <v>4.66889736207299E-2</v>
      </c>
      <c r="AX21" s="287">
        <f t="shared" si="13"/>
        <v>5.0280433130016823E-2</v>
      </c>
      <c r="AZ21" s="287">
        <f t="shared" si="14"/>
        <v>9.0684352609494617E-2</v>
      </c>
      <c r="BA21" s="287">
        <f t="shared" si="14"/>
        <v>8.619502822288598E-2</v>
      </c>
      <c r="BC21" s="287">
        <f t="shared" si="15"/>
        <v>4.1002496064358955E-2</v>
      </c>
      <c r="BD21" s="287">
        <f t="shared" si="15"/>
        <v>2.7235234612092447E-2</v>
      </c>
      <c r="BF21" s="287">
        <f t="shared" si="16"/>
        <v>0.401944176747694</v>
      </c>
      <c r="BG21" s="287">
        <f t="shared" si="16"/>
        <v>0.45102745670794847</v>
      </c>
      <c r="BI21" s="287">
        <f t="shared" si="17"/>
        <v>0.34298438313690044</v>
      </c>
      <c r="BJ21" s="287">
        <f t="shared" si="17"/>
        <v>0.43905592501032548</v>
      </c>
      <c r="BL21" s="287">
        <f t="shared" si="18"/>
        <v>5.5368334101506614E-2</v>
      </c>
      <c r="BM21" s="287">
        <f t="shared" si="18"/>
        <v>6.973417213865428E-2</v>
      </c>
      <c r="BO21" s="287">
        <f t="shared" si="19"/>
        <v>7.9311397496752714E-2</v>
      </c>
      <c r="BP21" s="287">
        <f t="shared" si="19"/>
        <v>0.13168684867385358</v>
      </c>
      <c r="BR21" s="287">
        <f t="shared" si="20"/>
        <v>0.12629965940992319</v>
      </c>
      <c r="BS21" s="287">
        <f t="shared" si="20"/>
        <v>0.11642314575938419</v>
      </c>
      <c r="BU21" s="287">
        <f t="shared" si="21"/>
        <v>0.16221425450279237</v>
      </c>
      <c r="BV21" s="287">
        <f t="shared" si="21"/>
        <v>0.21339255251013092</v>
      </c>
      <c r="BX21" s="287">
        <f t="shared" si="22"/>
        <v>0</v>
      </c>
      <c r="BY21" s="287">
        <f t="shared" si="22"/>
        <v>0</v>
      </c>
      <c r="CA21" s="287">
        <f t="shared" si="23"/>
        <v>8.4100010175801945E-2</v>
      </c>
      <c r="CB21" s="287">
        <f t="shared" si="23"/>
        <v>5.5966910686387775E-2</v>
      </c>
      <c r="CD21" s="287">
        <f t="shared" si="24"/>
        <v>2.753452290453302E-2</v>
      </c>
      <c r="CE21" s="287">
        <f t="shared" si="24"/>
        <v>5.7463352148590649E-2</v>
      </c>
      <c r="CG21" s="287">
        <f t="shared" si="25"/>
        <v>0</v>
      </c>
      <c r="CH21" s="287">
        <f t="shared" si="25"/>
        <v>0</v>
      </c>
    </row>
    <row r="22" spans="1:86" x14ac:dyDescent="0.25">
      <c r="A22" s="95"/>
      <c r="B22" s="96" t="s">
        <v>1897</v>
      </c>
      <c r="C22" s="95"/>
      <c r="D22" s="95" t="s">
        <v>8</v>
      </c>
      <c r="E22" s="95"/>
      <c r="F22" s="282"/>
      <c r="G22" s="282"/>
      <c r="H22" s="287">
        <f t="shared" si="1"/>
        <v>0</v>
      </c>
      <c r="I22" s="287">
        <f t="shared" si="26"/>
        <v>22.397442601131338</v>
      </c>
      <c r="J22" s="287">
        <f t="shared" si="1"/>
        <v>26.025810622340074</v>
      </c>
      <c r="K22" s="287">
        <f t="shared" si="27"/>
        <v>23.670335446636415</v>
      </c>
      <c r="L22" s="287">
        <f t="shared" si="2"/>
        <v>23.127536676869344</v>
      </c>
      <c r="M22" s="287">
        <f t="shared" si="2"/>
        <v>0.33846345746058853</v>
      </c>
      <c r="N22" s="287">
        <v>0.15</v>
      </c>
      <c r="O22" s="287">
        <v>0.23</v>
      </c>
      <c r="P22" s="278"/>
      <c r="Q22" s="287">
        <f t="shared" si="3"/>
        <v>28.855880715658166</v>
      </c>
      <c r="R22" s="287">
        <f t="shared" si="3"/>
        <v>28.536240819331631</v>
      </c>
      <c r="S22" s="287">
        <f t="shared" si="3"/>
        <v>0.69045809066040953</v>
      </c>
      <c r="T22" s="287">
        <f t="shared" si="3"/>
        <v>0.63568833314378403</v>
      </c>
      <c r="V22" s="287">
        <f t="shared" si="4"/>
        <v>0.27534522904533021</v>
      </c>
      <c r="W22" s="287">
        <f t="shared" si="4"/>
        <v>0.26756373344187523</v>
      </c>
      <c r="Y22" s="287">
        <f t="shared" si="5"/>
        <v>0.28971106708247785</v>
      </c>
      <c r="Z22" s="287">
        <f t="shared" si="5"/>
        <v>0.77186450620424629</v>
      </c>
      <c r="AB22" s="287">
        <f t="shared" si="6"/>
        <v>0.77455810083621146</v>
      </c>
      <c r="AC22" s="287">
        <f t="shared" si="6"/>
        <v>0.73325631647941192</v>
      </c>
      <c r="AE22" s="287">
        <f t="shared" si="7"/>
        <v>0.46449542986777448</v>
      </c>
      <c r="AF22" s="287">
        <f t="shared" si="7"/>
        <v>0.51028653861118267</v>
      </c>
      <c r="AH22" s="287">
        <f t="shared" si="8"/>
        <v>0.73894279403578289</v>
      </c>
      <c r="AI22" s="287">
        <f t="shared" si="8"/>
        <v>1.0403261045234433</v>
      </c>
      <c r="AK22" s="287">
        <f t="shared" si="9"/>
        <v>0.77545596571353326</v>
      </c>
      <c r="AL22" s="287">
        <f t="shared" si="9"/>
        <v>0.81885276811741681</v>
      </c>
      <c r="AN22" s="287">
        <f t="shared" si="10"/>
        <v>1.5856293733501732</v>
      </c>
      <c r="AO22" s="287">
        <f t="shared" si="10"/>
        <v>1.4243129837247026</v>
      </c>
      <c r="AQ22" s="287">
        <f t="shared" si="11"/>
        <v>0.27444736416800847</v>
      </c>
      <c r="AR22" s="287">
        <f t="shared" si="11"/>
        <v>0.29958758073301689</v>
      </c>
      <c r="AT22" s="287">
        <f t="shared" si="12"/>
        <v>1.482075624165734</v>
      </c>
      <c r="AU22" s="287">
        <f t="shared" si="12"/>
        <v>1.2809538916456666</v>
      </c>
      <c r="AW22" s="287">
        <f t="shared" si="13"/>
        <v>0.57463352148590652</v>
      </c>
      <c r="AX22" s="287">
        <f t="shared" si="13"/>
        <v>0.27833811196973596</v>
      </c>
      <c r="AZ22" s="287">
        <f t="shared" si="14"/>
        <v>1.2357613594871395</v>
      </c>
      <c r="BA22" s="287">
        <f t="shared" si="14"/>
        <v>1.2309727468080904</v>
      </c>
      <c r="BC22" s="287">
        <f t="shared" si="15"/>
        <v>1.5628834631246895</v>
      </c>
      <c r="BD22" s="287">
        <f t="shared" si="15"/>
        <v>1.5413347060689679</v>
      </c>
      <c r="BF22" s="287">
        <f t="shared" si="16"/>
        <v>4.9918294296163719</v>
      </c>
      <c r="BG22" s="287">
        <f t="shared" si="16"/>
        <v>5.2806426318215287</v>
      </c>
      <c r="BI22" s="287">
        <f t="shared" si="17"/>
        <v>7.0545243411168244</v>
      </c>
      <c r="BJ22" s="287">
        <f t="shared" si="17"/>
        <v>6.7773833823168514</v>
      </c>
      <c r="BL22" s="287">
        <f t="shared" si="18"/>
        <v>0.74822073110144083</v>
      </c>
      <c r="BM22" s="287">
        <f t="shared" si="18"/>
        <v>0.88379832757702181</v>
      </c>
      <c r="BO22" s="287">
        <f t="shared" si="19"/>
        <v>0.64406840533212018</v>
      </c>
      <c r="BP22" s="287">
        <f t="shared" si="19"/>
        <v>0.58480932342888614</v>
      </c>
      <c r="BR22" s="287">
        <f t="shared" si="20"/>
        <v>0.96759904946038322</v>
      </c>
      <c r="BS22" s="287">
        <f t="shared" si="20"/>
        <v>0.55907053027899656</v>
      </c>
      <c r="BU22" s="287">
        <f t="shared" si="21"/>
        <v>1.5482183367951012</v>
      </c>
      <c r="BV22" s="287">
        <f t="shared" si="21"/>
        <v>1.4413724163938155</v>
      </c>
      <c r="BX22" s="287">
        <f t="shared" si="22"/>
        <v>0.25140216565008411</v>
      </c>
      <c r="BY22" s="287">
        <f t="shared" si="22"/>
        <v>0.27893668855461712</v>
      </c>
      <c r="CA22" s="287">
        <f t="shared" si="23"/>
        <v>1.3578709828028948</v>
      </c>
      <c r="CB22" s="287">
        <f t="shared" si="23"/>
        <v>1.2980133243147796</v>
      </c>
      <c r="CD22" s="287">
        <f t="shared" si="24"/>
        <v>0.56774989075977322</v>
      </c>
      <c r="CE22" s="287">
        <f t="shared" si="24"/>
        <v>0.59887587317359314</v>
      </c>
      <c r="CG22" s="287">
        <f t="shared" si="25"/>
        <v>0</v>
      </c>
      <c r="CH22" s="287">
        <f t="shared" si="25"/>
        <v>0</v>
      </c>
    </row>
    <row r="23" spans="1:86" x14ac:dyDescent="0.25">
      <c r="A23" s="95"/>
      <c r="B23" s="96" t="s">
        <v>1863</v>
      </c>
      <c r="C23" s="95"/>
      <c r="D23" s="95" t="s">
        <v>8</v>
      </c>
      <c r="E23" s="95"/>
      <c r="F23" s="282"/>
      <c r="G23" s="282"/>
      <c r="H23" s="287">
        <f t="shared" si="1"/>
        <v>0</v>
      </c>
      <c r="I23" s="287"/>
      <c r="J23" s="287"/>
      <c r="K23" s="287"/>
      <c r="L23" s="287"/>
      <c r="M23" s="287"/>
      <c r="N23" s="287"/>
      <c r="O23" s="287"/>
      <c r="P23" s="278"/>
      <c r="Q23" s="287">
        <f t="shared" si="3"/>
        <v>0</v>
      </c>
      <c r="R23" s="287">
        <f t="shared" si="3"/>
        <v>0</v>
      </c>
      <c r="S23" s="287">
        <f t="shared" si="3"/>
        <v>0</v>
      </c>
      <c r="T23" s="287">
        <f t="shared" si="3"/>
        <v>0</v>
      </c>
      <c r="V23" s="287">
        <f t="shared" si="4"/>
        <v>0</v>
      </c>
      <c r="W23" s="287">
        <f t="shared" si="4"/>
        <v>0</v>
      </c>
      <c r="Y23" s="287">
        <f t="shared" si="5"/>
        <v>0</v>
      </c>
      <c r="Z23" s="287">
        <f t="shared" si="5"/>
        <v>0</v>
      </c>
      <c r="AB23" s="287">
        <f t="shared" si="6"/>
        <v>0</v>
      </c>
      <c r="AC23" s="287">
        <f t="shared" si="6"/>
        <v>0</v>
      </c>
      <c r="AE23" s="287">
        <f t="shared" si="7"/>
        <v>0</v>
      </c>
      <c r="AF23" s="287">
        <f t="shared" si="7"/>
        <v>0</v>
      </c>
      <c r="AH23" s="287">
        <f t="shared" si="8"/>
        <v>0</v>
      </c>
      <c r="AI23" s="287">
        <f t="shared" si="8"/>
        <v>0</v>
      </c>
      <c r="AK23" s="287">
        <f t="shared" si="9"/>
        <v>0</v>
      </c>
      <c r="AL23" s="287">
        <f t="shared" si="9"/>
        <v>0</v>
      </c>
      <c r="AN23" s="287">
        <f t="shared" si="10"/>
        <v>0</v>
      </c>
      <c r="AO23" s="287">
        <f t="shared" si="10"/>
        <v>0</v>
      </c>
      <c r="AQ23" s="287">
        <f t="shared" si="11"/>
        <v>0</v>
      </c>
      <c r="AR23" s="287">
        <f t="shared" si="11"/>
        <v>0</v>
      </c>
      <c r="AT23" s="287">
        <f t="shared" si="12"/>
        <v>0</v>
      </c>
      <c r="AU23" s="287">
        <f t="shared" si="12"/>
        <v>0</v>
      </c>
      <c r="AW23" s="287">
        <f t="shared" si="13"/>
        <v>0</v>
      </c>
      <c r="AX23" s="287">
        <f t="shared" si="13"/>
        <v>0</v>
      </c>
      <c r="AZ23" s="287">
        <f t="shared" si="14"/>
        <v>0</v>
      </c>
      <c r="BA23" s="287">
        <f t="shared" si="14"/>
        <v>0</v>
      </c>
      <c r="BC23" s="287">
        <f t="shared" si="15"/>
        <v>0</v>
      </c>
      <c r="BD23" s="287">
        <f t="shared" si="15"/>
        <v>0</v>
      </c>
      <c r="BF23" s="287">
        <f t="shared" si="16"/>
        <v>0</v>
      </c>
      <c r="BG23" s="287">
        <f t="shared" si="16"/>
        <v>0</v>
      </c>
      <c r="BI23" s="287">
        <f t="shared" si="17"/>
        <v>0</v>
      </c>
      <c r="BJ23" s="287">
        <f t="shared" si="17"/>
        <v>0</v>
      </c>
      <c r="BL23" s="287">
        <f t="shared" si="18"/>
        <v>0</v>
      </c>
      <c r="BM23" s="287">
        <f t="shared" si="18"/>
        <v>0</v>
      </c>
      <c r="BO23" s="287">
        <f t="shared" si="19"/>
        <v>0</v>
      </c>
      <c r="BP23" s="287">
        <f t="shared" si="19"/>
        <v>0</v>
      </c>
      <c r="BR23" s="287">
        <f t="shared" si="20"/>
        <v>0</v>
      </c>
      <c r="BS23" s="287">
        <f t="shared" si="20"/>
        <v>0</v>
      </c>
      <c r="BU23" s="287">
        <f t="shared" si="21"/>
        <v>0</v>
      </c>
      <c r="BV23" s="287">
        <f t="shared" si="21"/>
        <v>0</v>
      </c>
      <c r="BX23" s="287">
        <f t="shared" si="22"/>
        <v>0</v>
      </c>
      <c r="BY23" s="287">
        <f t="shared" si="22"/>
        <v>0</v>
      </c>
      <c r="CA23" s="287">
        <f t="shared" si="23"/>
        <v>0</v>
      </c>
      <c r="CB23" s="287">
        <f t="shared" si="23"/>
        <v>0</v>
      </c>
      <c r="CD23" s="287">
        <f t="shared" si="24"/>
        <v>0</v>
      </c>
      <c r="CE23" s="287">
        <f t="shared" si="24"/>
        <v>0</v>
      </c>
      <c r="CG23" s="287">
        <f t="shared" si="25"/>
        <v>0</v>
      </c>
      <c r="CH23" s="287">
        <f t="shared" si="25"/>
        <v>0</v>
      </c>
    </row>
    <row r="24" spans="1:86" x14ac:dyDescent="0.25">
      <c r="A24" s="95"/>
      <c r="B24" s="96" t="s">
        <v>1895</v>
      </c>
      <c r="C24" s="95"/>
      <c r="D24" s="95" t="s">
        <v>8</v>
      </c>
      <c r="E24" s="95"/>
      <c r="F24" s="282"/>
      <c r="G24" s="282"/>
      <c r="H24" s="287">
        <f t="shared" si="1"/>
        <v>0</v>
      </c>
      <c r="I24" s="287">
        <f t="shared" si="26"/>
        <v>26.618576793269</v>
      </c>
      <c r="J24" s="287">
        <f t="shared" si="1"/>
        <v>26.287388589933141</v>
      </c>
      <c r="K24" s="287">
        <f t="shared" si="27"/>
        <v>25.445724584044026</v>
      </c>
      <c r="L24" s="287">
        <f t="shared" ref="L24:M25" si="28">L35/$L$29*100</f>
        <v>24.865190316730793</v>
      </c>
      <c r="M24" s="287">
        <f t="shared" si="28"/>
        <v>0.37012694178716382</v>
      </c>
      <c r="N24" s="287">
        <v>0.46</v>
      </c>
      <c r="O24" s="287">
        <v>0.27</v>
      </c>
      <c r="P24" s="278"/>
      <c r="Q24" s="287">
        <f t="shared" si="3"/>
        <v>31.0239251060977</v>
      </c>
      <c r="R24" s="287">
        <f t="shared" si="3"/>
        <v>30.713563146836819</v>
      </c>
      <c r="S24" s="287">
        <f t="shared" si="3"/>
        <v>0.73116129843232791</v>
      </c>
      <c r="T24" s="287">
        <f t="shared" si="3"/>
        <v>0.66202570287855478</v>
      </c>
      <c r="V24" s="287">
        <f t="shared" si="4"/>
        <v>0.39565912260644187</v>
      </c>
      <c r="W24" s="287">
        <f t="shared" si="4"/>
        <v>0.43755948354812257</v>
      </c>
      <c r="Y24" s="287">
        <f t="shared" si="5"/>
        <v>0.40224346504013458</v>
      </c>
      <c r="Z24" s="287">
        <f t="shared" si="5"/>
        <v>0.30287975194986322</v>
      </c>
      <c r="AB24" s="287">
        <f t="shared" si="6"/>
        <v>1.2612008643445887</v>
      </c>
      <c r="AC24" s="287">
        <f t="shared" si="6"/>
        <v>1.1334047634724624</v>
      </c>
      <c r="AE24" s="287">
        <f t="shared" si="7"/>
        <v>0.67190221652909377</v>
      </c>
      <c r="AF24" s="287">
        <f t="shared" si="7"/>
        <v>0.65304705410533748</v>
      </c>
      <c r="AH24" s="287">
        <f t="shared" si="8"/>
        <v>0.7949097047221706</v>
      </c>
      <c r="AI24" s="287">
        <f t="shared" si="8"/>
        <v>1.2273812872988035</v>
      </c>
      <c r="AK24" s="287">
        <f t="shared" si="9"/>
        <v>1.0645684562111299</v>
      </c>
      <c r="AL24" s="287">
        <f t="shared" si="9"/>
        <v>0.98286275237485266</v>
      </c>
      <c r="AN24" s="287">
        <f t="shared" si="10"/>
        <v>2.0022386764274556</v>
      </c>
      <c r="AO24" s="287">
        <f t="shared" si="10"/>
        <v>1.765202348814519</v>
      </c>
      <c r="AQ24" s="287">
        <f t="shared" si="11"/>
        <v>0.30826694121379361</v>
      </c>
      <c r="AR24" s="287">
        <f t="shared" si="11"/>
        <v>0.27265163441336498</v>
      </c>
      <c r="AT24" s="287">
        <f t="shared" si="12"/>
        <v>1.9696162525514327</v>
      </c>
      <c r="AU24" s="287">
        <f t="shared" si="12"/>
        <v>1.8962906209034915</v>
      </c>
      <c r="AW24" s="287">
        <f t="shared" si="13"/>
        <v>0.90474850804786211</v>
      </c>
      <c r="AX24" s="287">
        <f t="shared" si="13"/>
        <v>0.60845309853169161</v>
      </c>
      <c r="AZ24" s="287">
        <f t="shared" si="14"/>
        <v>0.68985951407552837</v>
      </c>
      <c r="BA24" s="287">
        <f t="shared" si="14"/>
        <v>0.58810149464573247</v>
      </c>
      <c r="BC24" s="287">
        <f t="shared" si="15"/>
        <v>2.288058995708206</v>
      </c>
      <c r="BD24" s="287">
        <f t="shared" si="15"/>
        <v>2.0755643080753967</v>
      </c>
      <c r="BF24" s="287">
        <f t="shared" si="16"/>
        <v>4.5818044689727824</v>
      </c>
      <c r="BG24" s="287">
        <f t="shared" si="16"/>
        <v>4.5722272436146838</v>
      </c>
      <c r="BI24" s="287">
        <f t="shared" si="17"/>
        <v>7.121265630331072</v>
      </c>
      <c r="BJ24" s="287">
        <f t="shared" si="17"/>
        <v>7.7698233600498021</v>
      </c>
      <c r="BL24" s="287">
        <f t="shared" si="18"/>
        <v>0.53991607956279963</v>
      </c>
      <c r="BM24" s="287">
        <f t="shared" si="18"/>
        <v>0.56266198978828341</v>
      </c>
      <c r="BO24" s="287">
        <f t="shared" si="19"/>
        <v>0.45850966401896293</v>
      </c>
      <c r="BP24" s="287">
        <f t="shared" si="19"/>
        <v>0.46000610548116577</v>
      </c>
      <c r="BR24" s="287">
        <f t="shared" si="20"/>
        <v>0.83351789444700497</v>
      </c>
      <c r="BS24" s="287">
        <f t="shared" si="20"/>
        <v>0.62311822486127988</v>
      </c>
      <c r="BU24" s="287">
        <f t="shared" si="21"/>
        <v>1.4590304256478095</v>
      </c>
      <c r="BV24" s="287">
        <f t="shared" si="21"/>
        <v>1.6221425450279234</v>
      </c>
      <c r="BX24" s="287">
        <f t="shared" si="22"/>
        <v>0.69165524383017185</v>
      </c>
      <c r="BY24" s="287">
        <f t="shared" si="22"/>
        <v>0.64855772971872894</v>
      </c>
      <c r="CA24" s="287">
        <f t="shared" si="23"/>
        <v>1.2857425043247157</v>
      </c>
      <c r="CB24" s="287">
        <f t="shared" si="23"/>
        <v>1.2336663414400555</v>
      </c>
      <c r="CD24" s="287">
        <f t="shared" si="24"/>
        <v>0.56804917905221386</v>
      </c>
      <c r="CE24" s="287">
        <f t="shared" si="24"/>
        <v>0.61593530584270606</v>
      </c>
      <c r="CG24" s="287">
        <f t="shared" si="25"/>
        <v>0</v>
      </c>
      <c r="CH24" s="287">
        <f t="shared" si="25"/>
        <v>0</v>
      </c>
    </row>
    <row r="25" spans="1:86" x14ac:dyDescent="0.25">
      <c r="A25" s="95"/>
      <c r="B25" s="96" t="s">
        <v>1896</v>
      </c>
      <c r="C25" s="95"/>
      <c r="D25" s="95" t="s">
        <v>8</v>
      </c>
      <c r="E25" s="95"/>
      <c r="F25" s="282"/>
      <c r="G25" s="282"/>
      <c r="H25" s="287">
        <f t="shared" si="1"/>
        <v>0</v>
      </c>
      <c r="I25" s="287">
        <f t="shared" si="26"/>
        <v>3.3660930741075248</v>
      </c>
      <c r="J25" s="287">
        <f t="shared" si="1"/>
        <v>4.6730873981671586</v>
      </c>
      <c r="K25" s="287">
        <f t="shared" si="27"/>
        <v>4.2239243072764134</v>
      </c>
      <c r="L25" s="287">
        <f t="shared" si="28"/>
        <v>4.0829103539593747</v>
      </c>
      <c r="M25" s="287">
        <f t="shared" si="28"/>
        <v>0.10866332121165601</v>
      </c>
      <c r="N25" s="287">
        <v>0.09</v>
      </c>
      <c r="O25" s="287">
        <v>0.14000000000000001</v>
      </c>
      <c r="P25" s="278"/>
      <c r="Q25" s="287">
        <f t="shared" si="3"/>
        <v>5.0941860256310489</v>
      </c>
      <c r="R25" s="287">
        <f t="shared" si="3"/>
        <v>5.2552031269640791</v>
      </c>
      <c r="S25" s="287">
        <f t="shared" si="3"/>
        <v>0.10714520869372632</v>
      </c>
      <c r="T25" s="287">
        <f t="shared" si="3"/>
        <v>0.11851816380646822</v>
      </c>
      <c r="V25" s="287">
        <f t="shared" si="4"/>
        <v>9.9663001382711905E-2</v>
      </c>
      <c r="W25" s="287">
        <f t="shared" si="4"/>
        <v>0.1149267042971813</v>
      </c>
      <c r="Y25" s="287">
        <f t="shared" si="5"/>
        <v>0.12629965940992319</v>
      </c>
      <c r="Z25" s="287">
        <f t="shared" si="5"/>
        <v>0.13318329013605645</v>
      </c>
      <c r="AB25" s="287">
        <f t="shared" si="6"/>
        <v>6.7339865799129678E-2</v>
      </c>
      <c r="AC25" s="287">
        <f t="shared" si="6"/>
        <v>7.2128478478178895E-2</v>
      </c>
      <c r="AE25" s="287">
        <f t="shared" si="7"/>
        <v>0.21758258860429897</v>
      </c>
      <c r="AF25" s="287">
        <f t="shared" si="7"/>
        <v>0.22326906616066994</v>
      </c>
      <c r="AH25" s="287">
        <f t="shared" si="8"/>
        <v>0.15772493011618371</v>
      </c>
      <c r="AI25" s="287">
        <f t="shared" si="8"/>
        <v>0.16251354279523295</v>
      </c>
      <c r="AK25" s="287">
        <f t="shared" si="9"/>
        <v>0.19453739008637461</v>
      </c>
      <c r="AL25" s="287">
        <f t="shared" si="9"/>
        <v>0.19603383154857748</v>
      </c>
      <c r="AN25" s="287">
        <f t="shared" si="10"/>
        <v>0.60486163902240475</v>
      </c>
      <c r="AO25" s="287">
        <f t="shared" si="10"/>
        <v>0.61144598145609741</v>
      </c>
      <c r="AQ25" s="287">
        <f t="shared" si="11"/>
        <v>4.1002496064358955E-2</v>
      </c>
      <c r="AR25" s="287">
        <f t="shared" si="11"/>
        <v>4.698826191317048E-2</v>
      </c>
      <c r="AT25" s="287">
        <f t="shared" si="12"/>
        <v>0.16400998425743582</v>
      </c>
      <c r="AU25" s="287">
        <f t="shared" si="12"/>
        <v>0.17777724570970233</v>
      </c>
      <c r="AW25" s="287">
        <f t="shared" si="13"/>
        <v>5.0579721422457397E-2</v>
      </c>
      <c r="AX25" s="287">
        <f t="shared" si="13"/>
        <v>5.7762640441031222E-2</v>
      </c>
      <c r="AZ25" s="287">
        <f t="shared" si="14"/>
        <v>0.27295092270580562</v>
      </c>
      <c r="BA25" s="287">
        <f t="shared" si="14"/>
        <v>0.26935946319651871</v>
      </c>
      <c r="BC25" s="287">
        <f t="shared" si="15"/>
        <v>0.37201534750363635</v>
      </c>
      <c r="BD25" s="287">
        <f t="shared" si="15"/>
        <v>0.38009613139953191</v>
      </c>
      <c r="BF25" s="287">
        <f t="shared" si="16"/>
        <v>0.79640614618437344</v>
      </c>
      <c r="BG25" s="287">
        <f t="shared" si="16"/>
        <v>0.81047269592908067</v>
      </c>
      <c r="BI25" s="287">
        <f t="shared" si="17"/>
        <v>0.73565062281893656</v>
      </c>
      <c r="BJ25" s="287">
        <f t="shared" si="17"/>
        <v>0.75809724475197982</v>
      </c>
      <c r="BL25" s="287">
        <f t="shared" si="18"/>
        <v>0.26846159831919697</v>
      </c>
      <c r="BM25" s="287">
        <f t="shared" si="18"/>
        <v>0.26846159831919697</v>
      </c>
      <c r="BO25" s="287">
        <f t="shared" si="19"/>
        <v>0.16640429059696044</v>
      </c>
      <c r="BP25" s="287">
        <f t="shared" si="19"/>
        <v>0.17508365107773713</v>
      </c>
      <c r="BR25" s="287">
        <f t="shared" si="20"/>
        <v>0.22356835445311052</v>
      </c>
      <c r="BS25" s="287">
        <f t="shared" si="20"/>
        <v>0.23194842664144666</v>
      </c>
      <c r="BU25" s="287">
        <f t="shared" si="21"/>
        <v>0.10834236186348861</v>
      </c>
      <c r="BV25" s="287">
        <f t="shared" si="21"/>
        <v>0.1113352447878944</v>
      </c>
      <c r="BX25" s="287">
        <f t="shared" si="22"/>
        <v>2.9928829244057629E-2</v>
      </c>
      <c r="BY25" s="287">
        <f t="shared" si="22"/>
        <v>3.5914595092869157E-2</v>
      </c>
      <c r="CA25" s="287">
        <f t="shared" si="23"/>
        <v>0.1149267042971813</v>
      </c>
      <c r="CB25" s="287">
        <f t="shared" si="23"/>
        <v>0.12031389356111166</v>
      </c>
      <c r="CD25" s="287">
        <f t="shared" si="24"/>
        <v>0.17478436278529655</v>
      </c>
      <c r="CE25" s="287">
        <f t="shared" si="24"/>
        <v>0.17957297546434578</v>
      </c>
      <c r="CG25" s="287">
        <f t="shared" si="25"/>
        <v>0</v>
      </c>
      <c r="CH25" s="287">
        <f t="shared" si="25"/>
        <v>0</v>
      </c>
    </row>
    <row r="26" spans="1:86" x14ac:dyDescent="0.25">
      <c r="A26" s="95"/>
      <c r="B26" s="96" t="s">
        <v>1864</v>
      </c>
      <c r="C26" s="95"/>
      <c r="D26" s="95" t="s">
        <v>8</v>
      </c>
      <c r="E26" s="95"/>
      <c r="F26" s="282"/>
      <c r="G26" s="282"/>
      <c r="H26" s="287">
        <f t="shared" si="1"/>
        <v>0</v>
      </c>
      <c r="I26" s="287"/>
      <c r="J26" s="287"/>
      <c r="K26" s="287"/>
      <c r="L26" s="287"/>
      <c r="M26" s="287"/>
      <c r="N26" s="287"/>
      <c r="O26" s="287"/>
      <c r="P26" s="278"/>
      <c r="Q26" s="287">
        <f t="shared" si="3"/>
        <v>0</v>
      </c>
      <c r="R26" s="287">
        <f t="shared" si="3"/>
        <v>0</v>
      </c>
      <c r="S26" s="287">
        <f t="shared" si="3"/>
        <v>0</v>
      </c>
      <c r="T26" s="287">
        <f t="shared" si="3"/>
        <v>0</v>
      </c>
      <c r="V26" s="287">
        <f t="shared" si="4"/>
        <v>0</v>
      </c>
      <c r="W26" s="287">
        <f t="shared" si="4"/>
        <v>0</v>
      </c>
      <c r="Y26" s="287">
        <f t="shared" si="5"/>
        <v>0</v>
      </c>
      <c r="Z26" s="287">
        <f t="shared" si="5"/>
        <v>0</v>
      </c>
      <c r="AB26" s="287">
        <f t="shared" si="6"/>
        <v>0</v>
      </c>
      <c r="AC26" s="287">
        <f t="shared" si="6"/>
        <v>0</v>
      </c>
      <c r="AE26" s="287">
        <f t="shared" si="7"/>
        <v>0</v>
      </c>
      <c r="AF26" s="287">
        <f t="shared" si="7"/>
        <v>0</v>
      </c>
      <c r="AH26" s="287">
        <f t="shared" si="8"/>
        <v>0</v>
      </c>
      <c r="AI26" s="287">
        <f t="shared" si="8"/>
        <v>0</v>
      </c>
      <c r="AK26" s="287">
        <f t="shared" si="9"/>
        <v>0</v>
      </c>
      <c r="AL26" s="287">
        <f t="shared" si="9"/>
        <v>0</v>
      </c>
      <c r="AN26" s="287">
        <f t="shared" si="10"/>
        <v>0</v>
      </c>
      <c r="AO26" s="287">
        <f t="shared" si="10"/>
        <v>0</v>
      </c>
      <c r="AQ26" s="287">
        <f t="shared" si="11"/>
        <v>0</v>
      </c>
      <c r="AR26" s="287">
        <f t="shared" si="11"/>
        <v>0</v>
      </c>
      <c r="AT26" s="287">
        <f t="shared" si="12"/>
        <v>0</v>
      </c>
      <c r="AU26" s="287">
        <f t="shared" si="12"/>
        <v>0</v>
      </c>
      <c r="AW26" s="287">
        <f t="shared" si="13"/>
        <v>0</v>
      </c>
      <c r="AX26" s="287">
        <f t="shared" si="13"/>
        <v>0</v>
      </c>
      <c r="AZ26" s="287">
        <f t="shared" si="14"/>
        <v>0</v>
      </c>
      <c r="BA26" s="287">
        <f t="shared" si="14"/>
        <v>0</v>
      </c>
      <c r="BC26" s="287">
        <f t="shared" si="15"/>
        <v>0</v>
      </c>
      <c r="BD26" s="287">
        <f t="shared" si="15"/>
        <v>0</v>
      </c>
      <c r="BF26" s="287">
        <f t="shared" si="16"/>
        <v>0</v>
      </c>
      <c r="BG26" s="287">
        <f t="shared" si="16"/>
        <v>0</v>
      </c>
      <c r="BI26" s="287">
        <f t="shared" si="17"/>
        <v>0</v>
      </c>
      <c r="BJ26" s="287">
        <f t="shared" si="17"/>
        <v>0</v>
      </c>
      <c r="BL26" s="287">
        <f t="shared" si="18"/>
        <v>0</v>
      </c>
      <c r="BM26" s="287">
        <f t="shared" si="18"/>
        <v>0</v>
      </c>
      <c r="BO26" s="287">
        <f t="shared" si="19"/>
        <v>0</v>
      </c>
      <c r="BP26" s="287">
        <f t="shared" si="19"/>
        <v>0</v>
      </c>
      <c r="BR26" s="287">
        <f t="shared" si="20"/>
        <v>0</v>
      </c>
      <c r="BS26" s="287">
        <f t="shared" si="20"/>
        <v>0</v>
      </c>
      <c r="BU26" s="287">
        <f t="shared" si="21"/>
        <v>0</v>
      </c>
      <c r="BV26" s="287">
        <f t="shared" si="21"/>
        <v>0</v>
      </c>
      <c r="BX26" s="287">
        <f t="shared" si="22"/>
        <v>0</v>
      </c>
      <c r="BY26" s="287">
        <f t="shared" si="22"/>
        <v>0</v>
      </c>
      <c r="CA26" s="287">
        <f t="shared" si="23"/>
        <v>0</v>
      </c>
      <c r="CB26" s="287">
        <f t="shared" si="23"/>
        <v>0</v>
      </c>
      <c r="CD26" s="287">
        <f t="shared" si="24"/>
        <v>0</v>
      </c>
      <c r="CE26" s="287">
        <f t="shared" si="24"/>
        <v>0</v>
      </c>
      <c r="CG26" s="287">
        <f t="shared" si="25"/>
        <v>0</v>
      </c>
      <c r="CH26" s="287">
        <f t="shared" si="25"/>
        <v>0</v>
      </c>
    </row>
    <row r="27" spans="1:86" x14ac:dyDescent="0.25">
      <c r="A27" s="95"/>
      <c r="B27" s="96" t="s">
        <v>1895</v>
      </c>
      <c r="C27" s="95"/>
      <c r="D27" s="95" t="s">
        <v>8</v>
      </c>
      <c r="E27" s="95"/>
      <c r="F27" s="282"/>
      <c r="G27" s="282"/>
      <c r="H27" s="287">
        <f t="shared" si="1"/>
        <v>0</v>
      </c>
      <c r="I27" s="287">
        <f t="shared" si="26"/>
        <v>22.268206017968343</v>
      </c>
      <c r="J27" s="287">
        <f t="shared" si="1"/>
        <v>19.500427982258188</v>
      </c>
      <c r="K27" s="287">
        <f t="shared" si="27"/>
        <v>19.961327626342271</v>
      </c>
      <c r="L27" s="287">
        <f t="shared" ref="L27:M28" si="29">L38/$L$29*100</f>
        <v>19.706201245430382</v>
      </c>
      <c r="M27" s="287">
        <f t="shared" si="29"/>
        <v>0.16503391830821043</v>
      </c>
      <c r="N27" s="287">
        <v>0.13</v>
      </c>
      <c r="O27" s="287">
        <v>0.13</v>
      </c>
      <c r="P27" s="278"/>
      <c r="Q27" s="287">
        <f t="shared" si="3"/>
        <v>24.585934647408465</v>
      </c>
      <c r="R27" s="287">
        <f t="shared" si="3"/>
        <v>24.575758845465483</v>
      </c>
      <c r="S27" s="287">
        <f t="shared" si="3"/>
        <v>0.61413957608806258</v>
      </c>
      <c r="T27" s="287">
        <f t="shared" si="3"/>
        <v>0.58780220635329183</v>
      </c>
      <c r="V27" s="287">
        <f t="shared" si="4"/>
        <v>0.15383418231445622</v>
      </c>
      <c r="W27" s="287">
        <f t="shared" si="4"/>
        <v>0.14605268671100125</v>
      </c>
      <c r="Y27" s="287">
        <f t="shared" si="5"/>
        <v>1.0250624016089738</v>
      </c>
      <c r="Z27" s="287">
        <f t="shared" si="5"/>
        <v>0.87871042660553211</v>
      </c>
      <c r="AB27" s="287">
        <f t="shared" si="6"/>
        <v>0.96071541873424993</v>
      </c>
      <c r="AC27" s="287">
        <f t="shared" si="6"/>
        <v>0.96819762604526438</v>
      </c>
      <c r="AE27" s="287">
        <f t="shared" si="7"/>
        <v>0.81137056080640235</v>
      </c>
      <c r="AF27" s="287">
        <f t="shared" si="7"/>
        <v>0.46569258303753674</v>
      </c>
      <c r="AH27" s="287">
        <f t="shared" si="8"/>
        <v>0.77785027205305779</v>
      </c>
      <c r="AI27" s="287">
        <f t="shared" si="8"/>
        <v>0.89547057098220439</v>
      </c>
      <c r="AK27" s="287">
        <f t="shared" si="9"/>
        <v>0.94694815728198356</v>
      </c>
      <c r="AL27" s="287">
        <f t="shared" si="9"/>
        <v>0.70751752332952234</v>
      </c>
      <c r="AN27" s="287">
        <f t="shared" si="10"/>
        <v>1.7846560878231565</v>
      </c>
      <c r="AO27" s="287">
        <f t="shared" si="10"/>
        <v>1.5269688680318203</v>
      </c>
      <c r="AQ27" s="287">
        <f t="shared" si="11"/>
        <v>0.31784416657189202</v>
      </c>
      <c r="AR27" s="287">
        <f t="shared" si="11"/>
        <v>0.29120750854468075</v>
      </c>
      <c r="AT27" s="287">
        <f t="shared" si="12"/>
        <v>2.2255077425881256</v>
      </c>
      <c r="AU27" s="287">
        <f t="shared" si="12"/>
        <v>2.4206437092593811</v>
      </c>
      <c r="AW27" s="287">
        <f t="shared" si="13"/>
        <v>0.20980109300084401</v>
      </c>
      <c r="AX27" s="287">
        <f t="shared" si="13"/>
        <v>0.12181033502331455</v>
      </c>
      <c r="AZ27" s="287">
        <f t="shared" si="14"/>
        <v>1.1971531697623052</v>
      </c>
      <c r="BA27" s="287">
        <f t="shared" si="14"/>
        <v>0.84908088565391493</v>
      </c>
      <c r="BC27" s="287">
        <f t="shared" si="15"/>
        <v>1.4039613798387436</v>
      </c>
      <c r="BD27" s="287">
        <f t="shared" si="15"/>
        <v>1.5964037518780343</v>
      </c>
      <c r="BF27" s="287">
        <f t="shared" si="16"/>
        <v>4.2005111844034886</v>
      </c>
      <c r="BG27" s="287">
        <f t="shared" si="16"/>
        <v>4.4013336286311153</v>
      </c>
      <c r="BI27" s="287">
        <f t="shared" si="17"/>
        <v>4.4240795388565992</v>
      </c>
      <c r="BJ27" s="287">
        <f t="shared" si="17"/>
        <v>5.1782860358068517</v>
      </c>
      <c r="BL27" s="287">
        <f t="shared" si="18"/>
        <v>0.70362677552779496</v>
      </c>
      <c r="BM27" s="287">
        <f t="shared" si="18"/>
        <v>0.58600647659864846</v>
      </c>
      <c r="BO27" s="287">
        <f t="shared" si="19"/>
        <v>0.34088936508981638</v>
      </c>
      <c r="BP27" s="287">
        <f t="shared" si="19"/>
        <v>0.44264738451961233</v>
      </c>
      <c r="BR27" s="287">
        <f t="shared" si="20"/>
        <v>0.50699436739433623</v>
      </c>
      <c r="BS27" s="287">
        <f t="shared" si="20"/>
        <v>0.38967335675763037</v>
      </c>
      <c r="BU27" s="287">
        <f t="shared" si="21"/>
        <v>0.70572179357487896</v>
      </c>
      <c r="BV27" s="287">
        <f t="shared" si="21"/>
        <v>0.79939902910877936</v>
      </c>
      <c r="BX27" s="287">
        <f t="shared" si="22"/>
        <v>9.2180794071697492E-2</v>
      </c>
      <c r="BY27" s="287">
        <f t="shared" si="22"/>
        <v>0.15024272280516932</v>
      </c>
      <c r="CA27" s="287">
        <f t="shared" si="23"/>
        <v>0.89217839976535807</v>
      </c>
      <c r="CB27" s="287">
        <f t="shared" si="23"/>
        <v>0.77904742522282011</v>
      </c>
      <c r="CD27" s="287">
        <f t="shared" si="24"/>
        <v>0.29090822025224017</v>
      </c>
      <c r="CE27" s="287">
        <f t="shared" si="24"/>
        <v>0.39356410455935786</v>
      </c>
      <c r="CG27" s="287">
        <f t="shared" si="25"/>
        <v>0</v>
      </c>
      <c r="CH27" s="287">
        <f t="shared" si="25"/>
        <v>0</v>
      </c>
    </row>
    <row r="28" spans="1:86" x14ac:dyDescent="0.25">
      <c r="A28" s="95"/>
      <c r="B28" s="96" t="s">
        <v>1896</v>
      </c>
      <c r="C28" s="95"/>
      <c r="D28" s="95" t="s">
        <v>8</v>
      </c>
      <c r="E28" s="95"/>
      <c r="F28" s="282"/>
      <c r="G28" s="282"/>
      <c r="H28" s="287">
        <f t="shared" si="1"/>
        <v>0</v>
      </c>
      <c r="I28" s="287">
        <f>I39/$I$29*100</f>
        <v>4.3052122450919805</v>
      </c>
      <c r="J28" s="287">
        <f t="shared" si="1"/>
        <v>2.7265163441336502</v>
      </c>
      <c r="K28" s="287">
        <f t="shared" si="27"/>
        <v>2.5743142492410347</v>
      </c>
      <c r="L28" s="287">
        <f t="shared" si="29"/>
        <v>2.708427284328494</v>
      </c>
      <c r="M28" s="287">
        <f t="shared" si="29"/>
        <v>0</v>
      </c>
      <c r="N28" s="287">
        <v>0</v>
      </c>
      <c r="O28" s="287">
        <v>0</v>
      </c>
      <c r="P28" s="278"/>
      <c r="Q28" s="287">
        <f t="shared" si="3"/>
        <v>3.379264109946547</v>
      </c>
      <c r="R28" s="287">
        <f t="shared" si="3"/>
        <v>1.5850307967652921</v>
      </c>
      <c r="S28" s="287">
        <f t="shared" si="3"/>
        <v>8.7392181392648274E-2</v>
      </c>
      <c r="T28" s="287">
        <f t="shared" si="3"/>
        <v>4.0104631187037228E-2</v>
      </c>
      <c r="V28" s="287">
        <f t="shared" si="4"/>
        <v>7.0931325308416587E-2</v>
      </c>
      <c r="W28" s="287">
        <f t="shared" si="4"/>
        <v>0</v>
      </c>
      <c r="Y28" s="287">
        <f t="shared" si="5"/>
        <v>8.200499212871791E-2</v>
      </c>
      <c r="Z28" s="287">
        <f t="shared" si="5"/>
        <v>0.18795304765268192</v>
      </c>
      <c r="AB28" s="287">
        <f t="shared" si="6"/>
        <v>0.19154450716196886</v>
      </c>
      <c r="AC28" s="287">
        <f t="shared" si="6"/>
        <v>2.5140216565008412E-2</v>
      </c>
      <c r="AE28" s="287">
        <f t="shared" si="7"/>
        <v>0.13497901989069991</v>
      </c>
      <c r="AF28" s="287">
        <f t="shared" si="7"/>
        <v>0</v>
      </c>
      <c r="AH28" s="287">
        <f t="shared" si="8"/>
        <v>0</v>
      </c>
      <c r="AI28" s="287">
        <f t="shared" si="8"/>
        <v>5.9857658488115259E-4</v>
      </c>
      <c r="AK28" s="287">
        <f t="shared" si="9"/>
        <v>0</v>
      </c>
      <c r="AL28" s="287">
        <f t="shared" si="9"/>
        <v>0</v>
      </c>
      <c r="AN28" s="287">
        <f t="shared" si="10"/>
        <v>0</v>
      </c>
      <c r="AO28" s="287">
        <f t="shared" si="10"/>
        <v>0</v>
      </c>
      <c r="AQ28" s="287">
        <f t="shared" si="11"/>
        <v>0.17089361498356909</v>
      </c>
      <c r="AR28" s="287">
        <f t="shared" si="11"/>
        <v>0.15622848865398084</v>
      </c>
      <c r="AT28" s="287">
        <f t="shared" si="12"/>
        <v>7.9012109204312148E-2</v>
      </c>
      <c r="AU28" s="287">
        <f t="shared" si="12"/>
        <v>4.4893243866086447E-3</v>
      </c>
      <c r="AW28" s="287">
        <f t="shared" si="13"/>
        <v>0</v>
      </c>
      <c r="AX28" s="287">
        <f t="shared" si="13"/>
        <v>0</v>
      </c>
      <c r="AZ28" s="287">
        <f t="shared" si="14"/>
        <v>0.66711360385004459</v>
      </c>
      <c r="BA28" s="287">
        <f t="shared" si="14"/>
        <v>0.57553138636322831</v>
      </c>
      <c r="BC28" s="287">
        <f t="shared" si="15"/>
        <v>0.77844884863793895</v>
      </c>
      <c r="BD28" s="287">
        <f t="shared" si="15"/>
        <v>3.8907478017274916E-3</v>
      </c>
      <c r="BF28" s="287">
        <f t="shared" si="16"/>
        <v>0.31754487827945144</v>
      </c>
      <c r="BG28" s="287">
        <f t="shared" si="16"/>
        <v>6.0456235072996418E-2</v>
      </c>
      <c r="BI28" s="287">
        <f t="shared" si="17"/>
        <v>9.8166559920509031E-2</v>
      </c>
      <c r="BJ28" s="287">
        <f t="shared" si="17"/>
        <v>9.7268695043187303E-2</v>
      </c>
      <c r="BL28" s="287">
        <f t="shared" si="18"/>
        <v>0.24870857101811891</v>
      </c>
      <c r="BM28" s="287">
        <f t="shared" si="18"/>
        <v>0</v>
      </c>
      <c r="BO28" s="287">
        <f t="shared" si="19"/>
        <v>0.40523634796454033</v>
      </c>
      <c r="BP28" s="287">
        <f t="shared" si="19"/>
        <v>0.38608189724834341</v>
      </c>
      <c r="BR28" s="287">
        <f t="shared" si="20"/>
        <v>4.7287550205611061E-2</v>
      </c>
      <c r="BS28" s="287">
        <f t="shared" si="20"/>
        <v>4.7287550205611061E-2</v>
      </c>
      <c r="BU28" s="287">
        <f t="shared" si="21"/>
        <v>0</v>
      </c>
      <c r="BV28" s="287">
        <f t="shared" si="21"/>
        <v>0</v>
      </c>
      <c r="BX28" s="287">
        <f t="shared" si="22"/>
        <v>0</v>
      </c>
      <c r="BY28" s="287">
        <f t="shared" si="22"/>
        <v>0</v>
      </c>
      <c r="CA28" s="287">
        <f t="shared" si="23"/>
        <v>0</v>
      </c>
      <c r="CB28" s="287">
        <f t="shared" si="23"/>
        <v>0</v>
      </c>
      <c r="CD28" s="287">
        <f t="shared" si="24"/>
        <v>0</v>
      </c>
      <c r="CE28" s="287">
        <f t="shared" si="24"/>
        <v>0</v>
      </c>
      <c r="CG28" s="287">
        <f t="shared" si="25"/>
        <v>0</v>
      </c>
      <c r="CH28" s="287">
        <f t="shared" si="25"/>
        <v>0</v>
      </c>
    </row>
    <row r="29" spans="1:86" x14ac:dyDescent="0.25">
      <c r="A29" s="16"/>
      <c r="B29" s="16" t="s">
        <v>1901</v>
      </c>
      <c r="C29" s="95"/>
      <c r="D29" s="95"/>
      <c r="E29" s="95"/>
      <c r="F29" s="282"/>
      <c r="G29" s="282"/>
      <c r="H29" s="282"/>
      <c r="I29" s="282">
        <f>I30+I31+I32+I33+I35+I36+I38+I39</f>
        <v>336592</v>
      </c>
      <c r="J29" s="282">
        <f>J30+J31+J32+J33+J35+J36+J38+J39</f>
        <v>334126</v>
      </c>
      <c r="K29" s="282">
        <f>K30+K31+K32+K33+K35+K36+K38+K39</f>
        <v>372876</v>
      </c>
      <c r="L29" s="282">
        <f>L30+L31+L32+L33+L35+L36+L38+L39</f>
        <v>416884</v>
      </c>
      <c r="M29" s="282">
        <f t="shared" ref="M29:N29" si="30">M30+M31+M32+M33+M35+M36+M38+M39</f>
        <v>5610</v>
      </c>
      <c r="N29" s="282">
        <f t="shared" si="30"/>
        <v>4437</v>
      </c>
      <c r="O29" s="282">
        <f>O30+O31+O32+O33+O35+O36+O38+O39</f>
        <v>4825</v>
      </c>
      <c r="P29" s="278"/>
      <c r="Q29" s="282">
        <f>Q30+Q31+Q32+Q33+Q35+Q36+Q38+Q39</f>
        <v>416880</v>
      </c>
      <c r="R29" s="282">
        <f>R30+R31+R32+R33+R35+R36+R38+R39</f>
        <v>426650</v>
      </c>
      <c r="S29" s="282">
        <f>S30+S31+S32+S33+S35+S36+S38+S39</f>
        <v>9667</v>
      </c>
      <c r="T29" s="282">
        <f>T30+T31+T32+T33+T35+T36+T38+T39</f>
        <v>9299</v>
      </c>
      <c r="V29" s="282">
        <f>V30+V31+V32+V33+V35+V36+V38+V39</f>
        <v>3711</v>
      </c>
      <c r="W29" s="282">
        <f>W30+W31+W32+W33+W35+W36+W38+W39</f>
        <v>3863</v>
      </c>
      <c r="Y29" s="282">
        <f>Y30+Y31+Y32+Y33+Y35+Y36+Y38+Y39</f>
        <v>7467</v>
      </c>
      <c r="Z29" s="282">
        <f>Z30+Z31+Z32+Z33+Z35+Z36+Z38+Z39</f>
        <v>8634</v>
      </c>
      <c r="AB29" s="282">
        <f>AB30+AB31+AB32+AB33+AB35+AB36+AB38+AB39</f>
        <v>14150</v>
      </c>
      <c r="AC29" s="282">
        <f>AC30+AC31+AC32+AC33+AC35+AC36+AC38+AC39</f>
        <v>12828</v>
      </c>
      <c r="AE29" s="282">
        <f>AE30+AE31+AE32+AE33+AE35+AE36+AE38+AE39</f>
        <v>9098</v>
      </c>
      <c r="AF29" s="282">
        <f>AF30+AF31+AF32+AF33+AF35+AF36+AF38+AF39</f>
        <v>7472</v>
      </c>
      <c r="AH29" s="282">
        <f>AH30+AH31+AH32+AH33+AH35+AH36+AH38+AH39</f>
        <v>11589</v>
      </c>
      <c r="AI29" s="282">
        <f>AI30+AI31+AI32+AI33+AI35+AI36+AI38+AI39</f>
        <v>16038</v>
      </c>
      <c r="AK29" s="282">
        <f>AK30+AK31+AK32+AK33+AK35+AK36+AK38+AK39</f>
        <v>11043</v>
      </c>
      <c r="AL29" s="282">
        <f>AL30+AL31+AL32+AL33+AL35+AL36+AL38+AL39</f>
        <v>10988</v>
      </c>
      <c r="AN29" s="282">
        <f>AN30+AN31+AN32+AN33+AN35+AN36+AN38+AN39</f>
        <v>31220</v>
      </c>
      <c r="AO29" s="282">
        <f>AO30+AO31+AO32+AO33+AO35+AO36+AO38+AO39</f>
        <v>32536</v>
      </c>
      <c r="AQ29" s="282">
        <f>AQ30+AQ31+AQ32+AQ33+AQ35+AQ36+AQ38+AQ39</f>
        <v>4601</v>
      </c>
      <c r="AR29" s="282">
        <f>AR30+AR31+AR32+AR33+AR35+AR36+AR38+AR39</f>
        <v>4345</v>
      </c>
      <c r="AT29" s="282">
        <f>AT30+AT31+AT32+AT33+AT35+AT36+AT38+AT39</f>
        <v>23353</v>
      </c>
      <c r="AU29" s="282">
        <f>AU30+AU31+AU32+AU33+AU35+AU36+AU38+AU39</f>
        <v>25166</v>
      </c>
      <c r="AW29" s="282">
        <f>AW30+AW31+AW32+AW33+AW35+AW36+AW38+AW39</f>
        <v>6692</v>
      </c>
      <c r="AX29" s="282">
        <f>AX30+AX31+AX32+AX33+AX35+AX36+AX38+AX39</f>
        <v>4355</v>
      </c>
      <c r="AZ29" s="282">
        <f>AZ30+AZ31+AZ32+AZ33+AZ35+AZ36+AZ38+AZ39</f>
        <v>15127</v>
      </c>
      <c r="BA29" s="282">
        <f>BA30+BA31+BA32+BA33+BA35+BA36+BA38+BA39</f>
        <v>13458</v>
      </c>
      <c r="BC29" s="282">
        <f>BC30+BC31+BC32+BC33+BC35+BC36+BC38+BC39</f>
        <v>26876</v>
      </c>
      <c r="BD29" s="282">
        <f>BD30+BD31+BD32+BD33+BD35+BD36+BD38+BD39</f>
        <v>25662</v>
      </c>
      <c r="BF29" s="282">
        <f>BF30+BF31+BF32+BF33+BF35+BF36+BF38+BF39</f>
        <v>71101</v>
      </c>
      <c r="BG29" s="282">
        <f>BG30+BG31+BG32+BG33+BG35+BG36+BG38+BG39</f>
        <v>73765</v>
      </c>
      <c r="BI29" s="282">
        <f>BI30+BI31+BI32+BI33+BI35+BI36+BI38+BI39</f>
        <v>97914</v>
      </c>
      <c r="BJ29" s="282">
        <f>BJ30+BJ31+BJ32+BJ33+BJ35+BJ36+BJ38+BJ39</f>
        <v>106825</v>
      </c>
      <c r="BL29" s="282">
        <f>BL30+BL31+BL32+BL33+BL35+BL36+BL38+BL39</f>
        <v>11658</v>
      </c>
      <c r="BM29" s="282">
        <f>BM30+BM31+BM32+BM33+BM35+BM36+BM38+BM39</f>
        <v>11720</v>
      </c>
      <c r="BO29" s="282">
        <f>BO30+BO31+BO32+BO33+BO35+BO36+BO38+BO39</f>
        <v>7611</v>
      </c>
      <c r="BP29" s="282">
        <f>BP30+BP31+BP32+BP33+BP35+BP36+BP38+BP39</f>
        <v>8341</v>
      </c>
      <c r="BR29" s="282">
        <f>BR30+BR31+BR32+BR33+BR35+BR36+BR38+BR39</f>
        <v>11080</v>
      </c>
      <c r="BS29" s="282">
        <f>BS30+BS31+BS32+BS33+BS35+BS36+BS38+BS39</f>
        <v>7785</v>
      </c>
      <c r="BU29" s="282">
        <f>BU30+BU31+BU32+BU33+BU35+BU36+BU38+BU39</f>
        <v>15547</v>
      </c>
      <c r="BV29" s="282">
        <f>BV30+BV31+BV32+BV33+BV35+BV36+BV38+BV39</f>
        <v>16276</v>
      </c>
      <c r="BX29" s="282">
        <f>BX30+BX31+BX32+BX33+BX35+BX36+BX38+BX39</f>
        <v>4605</v>
      </c>
      <c r="BY29" s="282">
        <f>BY30+BY31+BY32+BY33+BY35+BY36+BY38+BY39</f>
        <v>4774</v>
      </c>
      <c r="CA29" s="282">
        <f>CA30+CA31+CA32+CA33+CA35+CA36+CA38+CA39</f>
        <v>13750</v>
      </c>
      <c r="CB29" s="282">
        <f>CB30+CB31+CB32+CB33+CB35+CB36+CB38+CB39</f>
        <v>13570</v>
      </c>
      <c r="CD29" s="282">
        <f>CD30+CD31+CD32+CD33+CD35+CD36+CD38+CD39</f>
        <v>9020</v>
      </c>
      <c r="CE29" s="282">
        <f>CE30+CE31+CE32+CE33+CE35+CE36+CE38+CE39</f>
        <v>8950</v>
      </c>
      <c r="CG29" s="282">
        <f>CG30+CG31+CG32+CG33+CG35+CG36+CG38+CG39</f>
        <v>0</v>
      </c>
      <c r="CH29" s="282">
        <f>CH30+CH31+CH32+CH33+CH35+CH36+CH38+CH39</f>
        <v>0</v>
      </c>
    </row>
    <row r="30" spans="1:86" ht="30" x14ac:dyDescent="0.25">
      <c r="A30" s="16"/>
      <c r="B30" s="96" t="s">
        <v>1900</v>
      </c>
      <c r="C30" s="95" t="s">
        <v>1902</v>
      </c>
      <c r="D30" s="95" t="s">
        <v>950</v>
      </c>
      <c r="E30" s="95"/>
      <c r="F30" s="282"/>
      <c r="G30" s="282"/>
      <c r="H30" s="282"/>
      <c r="I30" s="282">
        <v>35318</v>
      </c>
      <c r="J30" s="282">
        <f t="shared" ref="J30:M33" si="31">J52+J64</f>
        <v>33246</v>
      </c>
      <c r="K30" s="282">
        <f t="shared" si="31"/>
        <v>43343</v>
      </c>
      <c r="L30" s="282">
        <f t="shared" si="31"/>
        <v>49448</v>
      </c>
      <c r="M30" s="282">
        <f t="shared" si="31"/>
        <v>1026</v>
      </c>
      <c r="N30" s="282">
        <v>544</v>
      </c>
      <c r="O30" s="282">
        <v>545</v>
      </c>
      <c r="P30" s="288"/>
      <c r="Q30" s="286">
        <f t="shared" ref="Q30:R33" si="32">S30+V30+Y30+AB30+AE30+AH30+AK30+AN30+AQ30+AT30+AW30+AZ30+BC30+BF30+BI30+BL30+BO30+BR30+BU30+BX30+CA30+CD30+CG30</f>
        <v>49448</v>
      </c>
      <c r="R30" s="286">
        <f t="shared" si="32"/>
        <v>61278</v>
      </c>
      <c r="S30" s="286">
        <v>1221</v>
      </c>
      <c r="T30" s="286">
        <v>1311</v>
      </c>
      <c r="U30" s="286"/>
      <c r="V30" s="286">
        <v>268</v>
      </c>
      <c r="W30" s="286">
        <v>396</v>
      </c>
      <c r="X30" s="286"/>
      <c r="Y30" s="286">
        <v>524</v>
      </c>
      <c r="Z30" s="286">
        <v>487</v>
      </c>
      <c r="AA30" s="286"/>
      <c r="AB30" s="286">
        <v>2161</v>
      </c>
      <c r="AC30" s="286">
        <v>2201</v>
      </c>
      <c r="AD30" s="286"/>
      <c r="AE30" s="286">
        <v>582</v>
      </c>
      <c r="AF30" s="286">
        <v>538</v>
      </c>
      <c r="AG30" s="286"/>
      <c r="AH30" s="286">
        <v>944</v>
      </c>
      <c r="AI30" s="286">
        <v>1712</v>
      </c>
      <c r="AJ30" s="286"/>
      <c r="AK30" s="286">
        <v>684</v>
      </c>
      <c r="AL30" s="286">
        <v>1414</v>
      </c>
      <c r="AM30" s="286"/>
      <c r="AN30" s="286">
        <v>5468</v>
      </c>
      <c r="AO30" s="286">
        <v>7731</v>
      </c>
      <c r="AP30" s="286"/>
      <c r="AQ30" s="286">
        <v>322</v>
      </c>
      <c r="AR30" s="286">
        <v>384</v>
      </c>
      <c r="AS30" s="286"/>
      <c r="AT30" s="286">
        <v>2032</v>
      </c>
      <c r="AU30" s="286">
        <v>3573</v>
      </c>
      <c r="AV30" s="286"/>
      <c r="AW30" s="286">
        <v>294</v>
      </c>
      <c r="AX30" s="286">
        <v>277</v>
      </c>
      <c r="AY30" s="286"/>
      <c r="AZ30" s="286">
        <v>891</v>
      </c>
      <c r="BA30" s="286">
        <v>1170</v>
      </c>
      <c r="BB30" s="286"/>
      <c r="BC30" s="286">
        <v>3690</v>
      </c>
      <c r="BD30" s="286">
        <v>4757</v>
      </c>
      <c r="BE30" s="286"/>
      <c r="BF30" s="286">
        <v>5582</v>
      </c>
      <c r="BG30" s="286">
        <v>5950</v>
      </c>
      <c r="BH30" s="286"/>
      <c r="BI30" s="286">
        <v>17516</v>
      </c>
      <c r="BJ30" s="286">
        <v>21252</v>
      </c>
      <c r="BK30" s="286"/>
      <c r="BL30" s="286">
        <v>1903</v>
      </c>
      <c r="BM30" s="286">
        <v>2528</v>
      </c>
      <c r="BN30" s="286"/>
      <c r="BO30" s="286">
        <v>527</v>
      </c>
      <c r="BP30" s="286">
        <v>833</v>
      </c>
      <c r="BQ30" s="286"/>
      <c r="BR30" s="286">
        <v>1409</v>
      </c>
      <c r="BS30" s="286">
        <v>764</v>
      </c>
      <c r="BT30" s="286"/>
      <c r="BU30" s="286">
        <v>898</v>
      </c>
      <c r="BV30" s="286">
        <v>1263</v>
      </c>
      <c r="BW30" s="286"/>
      <c r="BX30" s="286">
        <v>436</v>
      </c>
      <c r="BY30" s="286">
        <v>293</v>
      </c>
      <c r="BZ30" s="286"/>
      <c r="CA30" s="286">
        <v>524</v>
      </c>
      <c r="CB30" s="286">
        <v>607</v>
      </c>
      <c r="CC30" s="286"/>
      <c r="CD30" s="286">
        <v>1572</v>
      </c>
      <c r="CE30" s="286">
        <v>1837</v>
      </c>
      <c r="CF30" s="286"/>
      <c r="CG30" s="286"/>
      <c r="CH30" s="286"/>
    </row>
    <row r="31" spans="1:86" ht="30" x14ac:dyDescent="0.25">
      <c r="A31" s="16"/>
      <c r="B31" s="96" t="s">
        <v>1899</v>
      </c>
      <c r="C31" s="95" t="s">
        <v>1903</v>
      </c>
      <c r="D31" s="95" t="s">
        <v>950</v>
      </c>
      <c r="E31" s="95"/>
      <c r="F31" s="282"/>
      <c r="G31" s="282"/>
      <c r="H31" s="282"/>
      <c r="I31" s="282">
        <v>26038</v>
      </c>
      <c r="J31" s="282">
        <f t="shared" si="31"/>
        <v>29375</v>
      </c>
      <c r="K31" s="282">
        <f t="shared" si="31"/>
        <v>39429</v>
      </c>
      <c r="L31" s="282">
        <f t="shared" si="31"/>
        <v>48407</v>
      </c>
      <c r="M31" s="282">
        <f t="shared" si="31"/>
        <v>373</v>
      </c>
      <c r="N31" s="282">
        <v>322</v>
      </c>
      <c r="O31" s="282">
        <v>460</v>
      </c>
      <c r="P31" s="288"/>
      <c r="Q31" s="286">
        <f t="shared" si="32"/>
        <v>48407</v>
      </c>
      <c r="R31" s="286">
        <f t="shared" si="32"/>
        <v>52712</v>
      </c>
      <c r="S31" s="286">
        <v>796</v>
      </c>
      <c r="T31" s="286">
        <v>865</v>
      </c>
      <c r="U31" s="286"/>
      <c r="V31" s="286">
        <v>78</v>
      </c>
      <c r="W31" s="286">
        <v>177</v>
      </c>
      <c r="X31" s="286"/>
      <c r="Y31" s="286">
        <v>189</v>
      </c>
      <c r="Z31" s="286">
        <v>210</v>
      </c>
      <c r="AA31" s="286"/>
      <c r="AB31" s="286">
        <v>842</v>
      </c>
      <c r="AC31" s="286">
        <v>634</v>
      </c>
      <c r="AD31" s="286"/>
      <c r="AE31" s="286">
        <v>577</v>
      </c>
      <c r="AF31" s="286">
        <v>487</v>
      </c>
      <c r="AG31" s="286"/>
      <c r="AH31" s="286">
        <v>1911</v>
      </c>
      <c r="AI31" s="286">
        <v>2541</v>
      </c>
      <c r="AJ31" s="286"/>
      <c r="AK31" s="286">
        <v>377</v>
      </c>
      <c r="AL31" s="286">
        <v>479</v>
      </c>
      <c r="AM31" s="286"/>
      <c r="AN31" s="286">
        <v>4479</v>
      </c>
      <c r="AO31" s="286">
        <v>5612</v>
      </c>
      <c r="AP31" s="286"/>
      <c r="AQ31" s="286">
        <v>254</v>
      </c>
      <c r="AR31" s="286">
        <v>302</v>
      </c>
      <c r="AS31" s="286"/>
      <c r="AT31" s="286">
        <v>1114</v>
      </c>
      <c r="AU31" s="286">
        <v>1592</v>
      </c>
      <c r="AV31" s="286"/>
      <c r="AW31" s="286">
        <v>429</v>
      </c>
      <c r="AX31" s="286">
        <v>347</v>
      </c>
      <c r="AY31" s="286"/>
      <c r="AZ31" s="286">
        <v>358</v>
      </c>
      <c r="BA31" s="286">
        <v>262</v>
      </c>
      <c r="BB31" s="286"/>
      <c r="BC31" s="286">
        <v>1647</v>
      </c>
      <c r="BD31" s="286">
        <v>2112</v>
      </c>
      <c r="BE31" s="286"/>
      <c r="BF31" s="286">
        <v>14431</v>
      </c>
      <c r="BG31" s="286">
        <v>15771</v>
      </c>
      <c r="BH31" s="286"/>
      <c r="BI31" s="286">
        <v>14319</v>
      </c>
      <c r="BJ31" s="286">
        <v>15340</v>
      </c>
      <c r="BK31" s="286"/>
      <c r="BL31" s="286">
        <v>1187</v>
      </c>
      <c r="BM31" s="286">
        <v>1271</v>
      </c>
      <c r="BN31" s="286"/>
      <c r="BO31" s="286">
        <v>86</v>
      </c>
      <c r="BP31" s="286">
        <v>223</v>
      </c>
      <c r="BQ31" s="286"/>
      <c r="BR31" s="286">
        <v>632</v>
      </c>
      <c r="BS31" s="286">
        <v>447</v>
      </c>
      <c r="BT31" s="286"/>
      <c r="BU31" s="286">
        <v>1339</v>
      </c>
      <c r="BV31" s="286">
        <v>1021</v>
      </c>
      <c r="BW31" s="286"/>
      <c r="BX31" s="286">
        <v>610</v>
      </c>
      <c r="BY31" s="286">
        <v>760</v>
      </c>
      <c r="BZ31" s="286"/>
      <c r="CA31" s="286">
        <v>747</v>
      </c>
      <c r="CB31" s="286">
        <v>1312</v>
      </c>
      <c r="CC31" s="286"/>
      <c r="CD31" s="286">
        <v>2005</v>
      </c>
      <c r="CE31" s="286">
        <v>947</v>
      </c>
      <c r="CF31" s="286"/>
      <c r="CG31" s="286"/>
      <c r="CH31" s="286"/>
    </row>
    <row r="32" spans="1:86" ht="30" x14ac:dyDescent="0.25">
      <c r="A32" s="16"/>
      <c r="B32" s="96" t="s">
        <v>1898</v>
      </c>
      <c r="C32" s="95" t="s">
        <v>1904</v>
      </c>
      <c r="D32" s="95" t="s">
        <v>950</v>
      </c>
      <c r="E32" s="95"/>
      <c r="F32" s="282"/>
      <c r="G32" s="282"/>
      <c r="H32" s="282"/>
      <c r="I32" s="282">
        <v>9478</v>
      </c>
      <c r="J32" s="282">
        <f t="shared" si="31"/>
        <v>6833</v>
      </c>
      <c r="K32" s="282">
        <f t="shared" si="31"/>
        <v>7182</v>
      </c>
      <c r="L32" s="282">
        <f t="shared" si="31"/>
        <v>8491</v>
      </c>
      <c r="M32" s="282">
        <f t="shared" si="31"/>
        <v>116</v>
      </c>
      <c r="N32" s="282">
        <v>128</v>
      </c>
      <c r="O32" s="282">
        <v>125</v>
      </c>
      <c r="P32" s="288"/>
      <c r="Q32" s="286">
        <f t="shared" si="32"/>
        <v>8491</v>
      </c>
      <c r="R32" s="286">
        <f t="shared" si="32"/>
        <v>9722</v>
      </c>
      <c r="S32" s="286">
        <v>198</v>
      </c>
      <c r="T32" s="286">
        <v>293</v>
      </c>
      <c r="U32" s="286"/>
      <c r="V32" s="286">
        <v>39</v>
      </c>
      <c r="W32" s="286">
        <v>62</v>
      </c>
      <c r="X32" s="286"/>
      <c r="Y32" s="286">
        <v>321</v>
      </c>
      <c r="Z32" s="286">
        <v>337</v>
      </c>
      <c r="AA32" s="286"/>
      <c r="AB32" s="286">
        <v>270</v>
      </c>
      <c r="AC32" s="286">
        <v>196</v>
      </c>
      <c r="AD32" s="286"/>
      <c r="AE32" s="286">
        <v>253</v>
      </c>
      <c r="AF32" s="286">
        <v>258</v>
      </c>
      <c r="AG32" s="286"/>
      <c r="AH32" s="286">
        <v>483</v>
      </c>
      <c r="AI32" s="286">
        <v>671</v>
      </c>
      <c r="AJ32" s="286"/>
      <c r="AK32" s="286">
        <v>20</v>
      </c>
      <c r="AL32" s="286">
        <v>56</v>
      </c>
      <c r="AM32" s="286"/>
      <c r="AN32" s="286">
        <v>1301</v>
      </c>
      <c r="AO32" s="286">
        <v>1391</v>
      </c>
      <c r="AP32" s="286"/>
      <c r="AQ32" s="286">
        <v>308</v>
      </c>
      <c r="AR32" s="286">
        <v>95</v>
      </c>
      <c r="AS32" s="286"/>
      <c r="AT32" s="286">
        <v>426</v>
      </c>
      <c r="AU32" s="286">
        <v>688</v>
      </c>
      <c r="AV32" s="286"/>
      <c r="AW32" s="286">
        <v>156</v>
      </c>
      <c r="AX32" s="286">
        <v>168</v>
      </c>
      <c r="AY32" s="286"/>
      <c r="AZ32" s="286">
        <v>303</v>
      </c>
      <c r="BA32" s="286">
        <v>288</v>
      </c>
      <c r="BB32" s="286"/>
      <c r="BC32" s="286">
        <v>137</v>
      </c>
      <c r="BD32" s="286">
        <v>91</v>
      </c>
      <c r="BE32" s="286"/>
      <c r="BF32" s="286">
        <v>1343</v>
      </c>
      <c r="BG32" s="286">
        <v>1507</v>
      </c>
      <c r="BH32" s="286"/>
      <c r="BI32" s="286">
        <v>1146</v>
      </c>
      <c r="BJ32" s="286">
        <v>1467</v>
      </c>
      <c r="BK32" s="286"/>
      <c r="BL32" s="286">
        <v>185</v>
      </c>
      <c r="BM32" s="286">
        <v>233</v>
      </c>
      <c r="BN32" s="286"/>
      <c r="BO32" s="286">
        <v>265</v>
      </c>
      <c r="BP32" s="286">
        <v>440</v>
      </c>
      <c r="BQ32" s="286"/>
      <c r="BR32" s="286">
        <v>422</v>
      </c>
      <c r="BS32" s="286">
        <v>389</v>
      </c>
      <c r="BT32" s="286"/>
      <c r="BU32" s="286">
        <v>542</v>
      </c>
      <c r="BV32" s="286">
        <v>713</v>
      </c>
      <c r="BW32" s="286"/>
      <c r="BX32" s="286">
        <v>0</v>
      </c>
      <c r="BY32" s="286">
        <v>0</v>
      </c>
      <c r="BZ32" s="286"/>
      <c r="CA32" s="286">
        <v>281</v>
      </c>
      <c r="CB32" s="286">
        <v>187</v>
      </c>
      <c r="CC32" s="286"/>
      <c r="CD32" s="286">
        <v>92</v>
      </c>
      <c r="CE32" s="286">
        <v>192</v>
      </c>
      <c r="CF32" s="286"/>
      <c r="CG32" s="286"/>
      <c r="CH32" s="286"/>
    </row>
    <row r="33" spans="1:86" ht="30" x14ac:dyDescent="0.25">
      <c r="A33" s="16"/>
      <c r="B33" s="96" t="s">
        <v>1897</v>
      </c>
      <c r="C33" s="95" t="s">
        <v>1905</v>
      </c>
      <c r="D33" s="95" t="s">
        <v>950</v>
      </c>
      <c r="E33" s="95"/>
      <c r="F33" s="282"/>
      <c r="G33" s="282"/>
      <c r="H33" s="282"/>
      <c r="I33" s="282">
        <v>75388</v>
      </c>
      <c r="J33" s="282">
        <f t="shared" si="31"/>
        <v>86959</v>
      </c>
      <c r="K33" s="282">
        <f t="shared" si="31"/>
        <v>88261</v>
      </c>
      <c r="L33" s="282">
        <f t="shared" si="31"/>
        <v>96415</v>
      </c>
      <c r="M33" s="282">
        <f t="shared" si="31"/>
        <v>1411</v>
      </c>
      <c r="N33" s="282">
        <v>678</v>
      </c>
      <c r="O33" s="282">
        <v>1102</v>
      </c>
      <c r="P33" s="288"/>
      <c r="Q33" s="286">
        <f t="shared" si="32"/>
        <v>96415</v>
      </c>
      <c r="R33" s="286">
        <f t="shared" si="32"/>
        <v>95347</v>
      </c>
      <c r="S33" s="286">
        <v>2307</v>
      </c>
      <c r="T33" s="286">
        <v>2124</v>
      </c>
      <c r="U33" s="286"/>
      <c r="V33" s="286">
        <v>920</v>
      </c>
      <c r="W33" s="286">
        <v>894</v>
      </c>
      <c r="X33" s="286"/>
      <c r="Y33" s="286">
        <v>968</v>
      </c>
      <c r="Z33" s="286">
        <v>2579</v>
      </c>
      <c r="AA33" s="286"/>
      <c r="AB33" s="286">
        <v>2588</v>
      </c>
      <c r="AC33" s="286">
        <v>2450</v>
      </c>
      <c r="AD33" s="286"/>
      <c r="AE33" s="286">
        <v>1552</v>
      </c>
      <c r="AF33" s="286">
        <v>1705</v>
      </c>
      <c r="AG33" s="286"/>
      <c r="AH33" s="286">
        <v>2469</v>
      </c>
      <c r="AI33" s="286">
        <v>3476</v>
      </c>
      <c r="AJ33" s="286"/>
      <c r="AK33" s="286">
        <v>2591</v>
      </c>
      <c r="AL33" s="286">
        <v>2736</v>
      </c>
      <c r="AM33" s="286"/>
      <c r="AN33" s="286">
        <v>5298</v>
      </c>
      <c r="AO33" s="286">
        <v>4759</v>
      </c>
      <c r="AP33" s="286"/>
      <c r="AQ33" s="286">
        <v>917</v>
      </c>
      <c r="AR33" s="286">
        <v>1001</v>
      </c>
      <c r="AS33" s="286"/>
      <c r="AT33" s="286">
        <v>4952</v>
      </c>
      <c r="AU33" s="286">
        <v>4280</v>
      </c>
      <c r="AV33" s="286"/>
      <c r="AW33" s="286">
        <v>1920</v>
      </c>
      <c r="AX33" s="286">
        <v>930</v>
      </c>
      <c r="AY33" s="286"/>
      <c r="AZ33" s="286">
        <v>4129</v>
      </c>
      <c r="BA33" s="286">
        <v>4113</v>
      </c>
      <c r="BB33" s="286"/>
      <c r="BC33" s="286">
        <v>5222</v>
      </c>
      <c r="BD33" s="286">
        <v>5150</v>
      </c>
      <c r="BE33" s="286"/>
      <c r="BF33" s="286">
        <v>16679</v>
      </c>
      <c r="BG33" s="286">
        <v>17644</v>
      </c>
      <c r="BH33" s="286"/>
      <c r="BI33" s="286">
        <v>23571</v>
      </c>
      <c r="BJ33" s="286">
        <v>22645</v>
      </c>
      <c r="BK33" s="286"/>
      <c r="BL33" s="286">
        <v>2500</v>
      </c>
      <c r="BM33" s="286">
        <v>2953</v>
      </c>
      <c r="BN33" s="286"/>
      <c r="BO33" s="286">
        <v>2152</v>
      </c>
      <c r="BP33" s="286">
        <v>1954</v>
      </c>
      <c r="BQ33" s="286"/>
      <c r="BR33" s="286">
        <v>3233</v>
      </c>
      <c r="BS33" s="286">
        <v>1868</v>
      </c>
      <c r="BT33" s="286"/>
      <c r="BU33" s="286">
        <v>5173</v>
      </c>
      <c r="BV33" s="286">
        <v>4816</v>
      </c>
      <c r="BW33" s="286"/>
      <c r="BX33" s="286">
        <v>840</v>
      </c>
      <c r="BY33" s="286">
        <v>932</v>
      </c>
      <c r="BZ33" s="286"/>
      <c r="CA33" s="286">
        <v>4537</v>
      </c>
      <c r="CB33" s="286">
        <v>4337</v>
      </c>
      <c r="CC33" s="286"/>
      <c r="CD33" s="286">
        <v>1897</v>
      </c>
      <c r="CE33" s="286">
        <v>2001</v>
      </c>
      <c r="CF33" s="286"/>
      <c r="CG33" s="286"/>
      <c r="CH33" s="286"/>
    </row>
    <row r="34" spans="1:86" x14ac:dyDescent="0.25">
      <c r="A34" s="16"/>
      <c r="B34" s="96" t="s">
        <v>1863</v>
      </c>
      <c r="C34" s="95"/>
      <c r="D34" s="95"/>
      <c r="E34" s="95"/>
      <c r="F34" s="282"/>
      <c r="G34" s="282"/>
      <c r="H34" s="282"/>
      <c r="I34" s="282"/>
      <c r="J34" s="282"/>
      <c r="K34" s="282"/>
      <c r="L34" s="282"/>
      <c r="M34" s="282"/>
      <c r="N34" s="282"/>
      <c r="O34" s="282"/>
      <c r="P34" s="289"/>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row>
    <row r="35" spans="1:86" ht="30" x14ac:dyDescent="0.25">
      <c r="A35" s="16"/>
      <c r="B35" s="96" t="s">
        <v>1895</v>
      </c>
      <c r="C35" s="95" t="s">
        <v>1906</v>
      </c>
      <c r="D35" s="95" t="s">
        <v>950</v>
      </c>
      <c r="E35" s="95"/>
      <c r="F35" s="282"/>
      <c r="G35" s="282"/>
      <c r="H35" s="282"/>
      <c r="I35" s="282">
        <v>89596</v>
      </c>
      <c r="J35" s="282">
        <f t="shared" ref="J35:M36" si="33">J57+J69</f>
        <v>87833</v>
      </c>
      <c r="K35" s="282">
        <f t="shared" si="33"/>
        <v>94881</v>
      </c>
      <c r="L35" s="282">
        <f t="shared" si="33"/>
        <v>103659</v>
      </c>
      <c r="M35" s="282">
        <f t="shared" si="33"/>
        <v>1543</v>
      </c>
      <c r="N35" s="282">
        <v>1869</v>
      </c>
      <c r="O35" s="282">
        <v>1281</v>
      </c>
      <c r="P35" s="288"/>
      <c r="Q35" s="286">
        <f>S35+V35+Y35+AB35+AE35+AH35+AK35+AN35+AQ35+AT35+AW35+AZ35+BC35+BF35+BI35+BL35+BO35+BR35+BU35+BX35+CA35+CD35+CG35</f>
        <v>103659</v>
      </c>
      <c r="R35" s="286">
        <f>T35+W35+Z35+AC35+AF35+AI35+AL35+AO35+AR35+AU35+AX35+BA35+BD35+BG35+BJ35+BM35+BP35+BS35+BV35+BY35+CB35+CE35+CH35</f>
        <v>102622</v>
      </c>
      <c r="S35" s="286">
        <v>2443</v>
      </c>
      <c r="T35" s="286">
        <v>2212</v>
      </c>
      <c r="U35" s="286"/>
      <c r="V35" s="286">
        <v>1322</v>
      </c>
      <c r="W35" s="286">
        <v>1462</v>
      </c>
      <c r="X35" s="286"/>
      <c r="Y35" s="286">
        <v>1344</v>
      </c>
      <c r="Z35" s="286">
        <v>1012</v>
      </c>
      <c r="AA35" s="286"/>
      <c r="AB35" s="286">
        <v>4214</v>
      </c>
      <c r="AC35" s="286">
        <v>3787</v>
      </c>
      <c r="AD35" s="286"/>
      <c r="AE35" s="286">
        <v>2245</v>
      </c>
      <c r="AF35" s="286">
        <v>2182</v>
      </c>
      <c r="AG35" s="286"/>
      <c r="AH35" s="286">
        <v>2656</v>
      </c>
      <c r="AI35" s="286">
        <v>4101</v>
      </c>
      <c r="AJ35" s="286"/>
      <c r="AK35" s="286">
        <v>3557</v>
      </c>
      <c r="AL35" s="286">
        <v>3284</v>
      </c>
      <c r="AM35" s="286"/>
      <c r="AN35" s="286">
        <v>6690</v>
      </c>
      <c r="AO35" s="286">
        <v>5898</v>
      </c>
      <c r="AP35" s="286"/>
      <c r="AQ35" s="286">
        <v>1030</v>
      </c>
      <c r="AR35" s="286">
        <v>911</v>
      </c>
      <c r="AS35" s="286"/>
      <c r="AT35" s="286">
        <v>6581</v>
      </c>
      <c r="AU35" s="286">
        <v>6336</v>
      </c>
      <c r="AV35" s="286"/>
      <c r="AW35" s="286">
        <v>3023</v>
      </c>
      <c r="AX35" s="286">
        <v>2033</v>
      </c>
      <c r="AY35" s="286"/>
      <c r="AZ35" s="286">
        <v>2305</v>
      </c>
      <c r="BA35" s="286">
        <v>1965</v>
      </c>
      <c r="BB35" s="286"/>
      <c r="BC35" s="286">
        <v>7645</v>
      </c>
      <c r="BD35" s="286">
        <v>6935</v>
      </c>
      <c r="BE35" s="286"/>
      <c r="BF35" s="286">
        <v>15309</v>
      </c>
      <c r="BG35" s="286">
        <v>15277</v>
      </c>
      <c r="BH35" s="286"/>
      <c r="BI35" s="286">
        <v>23794</v>
      </c>
      <c r="BJ35" s="286">
        <v>25961</v>
      </c>
      <c r="BK35" s="286"/>
      <c r="BL35" s="286">
        <v>1804</v>
      </c>
      <c r="BM35" s="286">
        <v>1880</v>
      </c>
      <c r="BN35" s="286"/>
      <c r="BO35" s="286">
        <v>1532</v>
      </c>
      <c r="BP35" s="286">
        <v>1537</v>
      </c>
      <c r="BQ35" s="286"/>
      <c r="BR35" s="286">
        <v>2785</v>
      </c>
      <c r="BS35" s="286">
        <v>2082</v>
      </c>
      <c r="BT35" s="286"/>
      <c r="BU35" s="286">
        <v>4875</v>
      </c>
      <c r="BV35" s="286">
        <v>5420</v>
      </c>
      <c r="BW35" s="286"/>
      <c r="BX35" s="286">
        <v>2311</v>
      </c>
      <c r="BY35" s="286">
        <v>2167</v>
      </c>
      <c r="BZ35" s="286"/>
      <c r="CA35" s="286">
        <v>4296</v>
      </c>
      <c r="CB35" s="286">
        <v>4122</v>
      </c>
      <c r="CC35" s="286"/>
      <c r="CD35" s="286">
        <v>1898</v>
      </c>
      <c r="CE35" s="286">
        <v>2058</v>
      </c>
      <c r="CF35" s="286"/>
      <c r="CG35" s="286"/>
      <c r="CH35" s="286"/>
    </row>
    <row r="36" spans="1:86" ht="30" x14ac:dyDescent="0.25">
      <c r="A36" s="16"/>
      <c r="B36" s="96" t="s">
        <v>1896</v>
      </c>
      <c r="C36" s="95" t="s">
        <v>1907</v>
      </c>
      <c r="D36" s="95" t="s">
        <v>950</v>
      </c>
      <c r="E36" s="95"/>
      <c r="F36" s="282"/>
      <c r="G36" s="282"/>
      <c r="H36" s="282"/>
      <c r="I36" s="282">
        <v>11330</v>
      </c>
      <c r="J36" s="282">
        <f t="shared" si="33"/>
        <v>15614</v>
      </c>
      <c r="K36" s="282">
        <f t="shared" si="33"/>
        <v>15750</v>
      </c>
      <c r="L36" s="282">
        <f t="shared" si="33"/>
        <v>17021</v>
      </c>
      <c r="M36" s="282">
        <f t="shared" si="33"/>
        <v>453</v>
      </c>
      <c r="N36" s="282">
        <v>359</v>
      </c>
      <c r="O36" s="282">
        <v>698</v>
      </c>
      <c r="P36" s="288"/>
      <c r="Q36" s="286">
        <f>S36+V36+Y36+AB36+AE36+AH36+AK36+AN36+AQ36+AT36+AW36+AZ36+BC36+BF36+BI36+BL36+BO36+BR36+BU36+BX36+CA36+CD36+CG36</f>
        <v>17021</v>
      </c>
      <c r="R36" s="286">
        <f>T36+W36+Z36+AC36+AF36+AI36+AL36+AO36+AR36+AU36+AX36+BA36+BD36+BG36+BJ36+BM36+BP36+BS36+BV36+BY36+CB36+CE36+CH36</f>
        <v>17559</v>
      </c>
      <c r="S36" s="286">
        <v>358</v>
      </c>
      <c r="T36" s="286">
        <v>396</v>
      </c>
      <c r="U36" s="286"/>
      <c r="V36" s="286">
        <v>333</v>
      </c>
      <c r="W36" s="286">
        <v>384</v>
      </c>
      <c r="X36" s="286"/>
      <c r="Y36" s="286">
        <v>422</v>
      </c>
      <c r="Z36" s="286">
        <v>445</v>
      </c>
      <c r="AA36" s="286"/>
      <c r="AB36" s="286">
        <v>225</v>
      </c>
      <c r="AC36" s="286">
        <v>241</v>
      </c>
      <c r="AD36" s="286"/>
      <c r="AE36" s="286">
        <v>727</v>
      </c>
      <c r="AF36" s="286">
        <v>746</v>
      </c>
      <c r="AG36" s="286"/>
      <c r="AH36" s="286">
        <v>527</v>
      </c>
      <c r="AI36" s="286">
        <v>543</v>
      </c>
      <c r="AJ36" s="286"/>
      <c r="AK36" s="286">
        <v>650</v>
      </c>
      <c r="AL36" s="286">
        <v>655</v>
      </c>
      <c r="AM36" s="286"/>
      <c r="AN36" s="286">
        <v>2021</v>
      </c>
      <c r="AO36" s="286">
        <v>2043</v>
      </c>
      <c r="AP36" s="286"/>
      <c r="AQ36" s="286">
        <v>137</v>
      </c>
      <c r="AR36" s="286">
        <v>157</v>
      </c>
      <c r="AS36" s="286"/>
      <c r="AT36" s="286">
        <v>548</v>
      </c>
      <c r="AU36" s="286">
        <v>594</v>
      </c>
      <c r="AV36" s="286"/>
      <c r="AW36" s="286">
        <v>169</v>
      </c>
      <c r="AX36" s="286">
        <v>193</v>
      </c>
      <c r="AY36" s="286"/>
      <c r="AZ36" s="286">
        <v>912</v>
      </c>
      <c r="BA36" s="286">
        <v>900</v>
      </c>
      <c r="BB36" s="286"/>
      <c r="BC36" s="286">
        <v>1243</v>
      </c>
      <c r="BD36" s="286">
        <v>1270</v>
      </c>
      <c r="BE36" s="286"/>
      <c r="BF36" s="286">
        <v>2661</v>
      </c>
      <c r="BG36" s="286">
        <v>2708</v>
      </c>
      <c r="BH36" s="286"/>
      <c r="BI36" s="286">
        <v>2458</v>
      </c>
      <c r="BJ36" s="286">
        <v>2533</v>
      </c>
      <c r="BK36" s="286"/>
      <c r="BL36" s="286">
        <v>897</v>
      </c>
      <c r="BM36" s="286">
        <v>897</v>
      </c>
      <c r="BN36" s="286"/>
      <c r="BO36" s="286">
        <v>556</v>
      </c>
      <c r="BP36" s="286">
        <v>585</v>
      </c>
      <c r="BQ36" s="286"/>
      <c r="BR36" s="286">
        <v>747</v>
      </c>
      <c r="BS36" s="286">
        <v>775</v>
      </c>
      <c r="BT36" s="286"/>
      <c r="BU36" s="286">
        <v>362</v>
      </c>
      <c r="BV36" s="286">
        <v>372</v>
      </c>
      <c r="BW36" s="286"/>
      <c r="BX36" s="286">
        <v>100</v>
      </c>
      <c r="BY36" s="286">
        <v>120</v>
      </c>
      <c r="BZ36" s="286"/>
      <c r="CA36" s="286">
        <v>384</v>
      </c>
      <c r="CB36" s="286">
        <v>402</v>
      </c>
      <c r="CC36" s="286"/>
      <c r="CD36" s="286">
        <v>584</v>
      </c>
      <c r="CE36" s="286">
        <v>600</v>
      </c>
      <c r="CF36" s="286"/>
      <c r="CG36" s="286"/>
      <c r="CH36" s="286"/>
    </row>
    <row r="37" spans="1:86" x14ac:dyDescent="0.25">
      <c r="A37" s="16"/>
      <c r="B37" s="96" t="s">
        <v>1864</v>
      </c>
      <c r="C37" s="95"/>
      <c r="D37" s="95"/>
      <c r="E37" s="95"/>
      <c r="F37" s="282"/>
      <c r="G37" s="282"/>
      <c r="H37" s="282"/>
      <c r="I37" s="282"/>
      <c r="J37" s="282"/>
      <c r="K37" s="282"/>
      <c r="L37" s="282"/>
      <c r="M37" s="282"/>
      <c r="N37" s="282"/>
      <c r="O37" s="282"/>
      <c r="P37" s="289"/>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row>
    <row r="38" spans="1:86" ht="30" x14ac:dyDescent="0.25">
      <c r="A38" s="16"/>
      <c r="B38" s="96" t="s">
        <v>1895</v>
      </c>
      <c r="C38" s="95" t="s">
        <v>1908</v>
      </c>
      <c r="D38" s="95" t="s">
        <v>950</v>
      </c>
      <c r="E38" s="95"/>
      <c r="F38" s="282"/>
      <c r="G38" s="282"/>
      <c r="H38" s="282"/>
      <c r="I38" s="282">
        <v>74953</v>
      </c>
      <c r="J38" s="282">
        <f t="shared" ref="J38:M39" si="34">J60+J72</f>
        <v>65156</v>
      </c>
      <c r="K38" s="282">
        <f t="shared" si="34"/>
        <v>74431</v>
      </c>
      <c r="L38" s="282">
        <f t="shared" si="34"/>
        <v>82152</v>
      </c>
      <c r="M38" s="282">
        <v>688</v>
      </c>
      <c r="N38" s="282">
        <v>537</v>
      </c>
      <c r="O38" s="282">
        <v>614</v>
      </c>
      <c r="P38" s="288"/>
      <c r="Q38" s="286">
        <f>S38+V38+Y38+AB38+AE38+AH38+AK38+AN38+AQ38+AT38+AW38+AZ38+BC38+BF38+BI38+BL38+BO38+BR38+BU38+BX38+CA38+CD38+CG38</f>
        <v>82148</v>
      </c>
      <c r="R38" s="286">
        <f>T38+W38+Z38+AC38+AF38+AI38+AL38+AO38+AR38+AU38+AX38+BA38+BD38+BG38+BJ38+BM38+BP38+BS38+BV38+BY38+CB38+CE38+CH38</f>
        <v>82114</v>
      </c>
      <c r="S38" s="286">
        <v>2052</v>
      </c>
      <c r="T38" s="286">
        <v>1964</v>
      </c>
      <c r="U38" s="286"/>
      <c r="V38" s="286">
        <v>514</v>
      </c>
      <c r="W38" s="286">
        <v>488</v>
      </c>
      <c r="X38" s="286"/>
      <c r="Y38" s="286">
        <v>3425</v>
      </c>
      <c r="Z38" s="286">
        <v>2936</v>
      </c>
      <c r="AA38" s="286"/>
      <c r="AB38" s="286">
        <v>3210</v>
      </c>
      <c r="AC38" s="286">
        <v>3235</v>
      </c>
      <c r="AD38" s="286"/>
      <c r="AE38" s="286">
        <v>2711</v>
      </c>
      <c r="AF38" s="286">
        <v>1556</v>
      </c>
      <c r="AG38" s="286"/>
      <c r="AH38" s="286">
        <v>2599</v>
      </c>
      <c r="AI38" s="286">
        <v>2992</v>
      </c>
      <c r="AJ38" s="286"/>
      <c r="AK38" s="286">
        <v>3164</v>
      </c>
      <c r="AL38" s="286">
        <v>2364</v>
      </c>
      <c r="AM38" s="286"/>
      <c r="AN38" s="286">
        <v>5963</v>
      </c>
      <c r="AO38" s="286">
        <v>5102</v>
      </c>
      <c r="AP38" s="286"/>
      <c r="AQ38" s="286">
        <v>1062</v>
      </c>
      <c r="AR38" s="286">
        <v>973</v>
      </c>
      <c r="AS38" s="286"/>
      <c r="AT38" s="286">
        <v>7436</v>
      </c>
      <c r="AU38" s="286">
        <v>8088</v>
      </c>
      <c r="AV38" s="286"/>
      <c r="AW38" s="286">
        <v>701</v>
      </c>
      <c r="AX38" s="286">
        <v>407</v>
      </c>
      <c r="AY38" s="286"/>
      <c r="AZ38" s="286">
        <v>4000</v>
      </c>
      <c r="BA38" s="286">
        <v>2837</v>
      </c>
      <c r="BB38" s="286"/>
      <c r="BC38" s="286">
        <v>4691</v>
      </c>
      <c r="BD38" s="286">
        <v>5334</v>
      </c>
      <c r="BE38" s="286"/>
      <c r="BF38" s="286">
        <v>14035</v>
      </c>
      <c r="BG38" s="286">
        <v>14706</v>
      </c>
      <c r="BH38" s="286"/>
      <c r="BI38" s="286">
        <v>14782</v>
      </c>
      <c r="BJ38" s="286">
        <v>17302</v>
      </c>
      <c r="BK38" s="286"/>
      <c r="BL38" s="286">
        <v>2351</v>
      </c>
      <c r="BM38" s="286">
        <v>1958</v>
      </c>
      <c r="BN38" s="286"/>
      <c r="BO38" s="286">
        <v>1139</v>
      </c>
      <c r="BP38" s="286">
        <v>1479</v>
      </c>
      <c r="BQ38" s="286"/>
      <c r="BR38" s="286">
        <v>1694</v>
      </c>
      <c r="BS38" s="286">
        <v>1302</v>
      </c>
      <c r="BT38" s="286"/>
      <c r="BU38" s="286">
        <v>2358</v>
      </c>
      <c r="BV38" s="286">
        <v>2671</v>
      </c>
      <c r="BW38" s="286"/>
      <c r="BX38" s="286">
        <v>308</v>
      </c>
      <c r="BY38" s="286">
        <v>502</v>
      </c>
      <c r="BZ38" s="286"/>
      <c r="CA38" s="286">
        <v>2981</v>
      </c>
      <c r="CB38" s="286">
        <v>2603</v>
      </c>
      <c r="CC38" s="286"/>
      <c r="CD38" s="286">
        <v>972</v>
      </c>
      <c r="CE38" s="286">
        <v>1315</v>
      </c>
      <c r="CF38" s="286"/>
      <c r="CG38" s="286"/>
      <c r="CH38" s="286"/>
    </row>
    <row r="39" spans="1:86" ht="30" x14ac:dyDescent="0.25">
      <c r="A39" s="16"/>
      <c r="B39" s="96" t="s">
        <v>1896</v>
      </c>
      <c r="C39" s="95" t="s">
        <v>1909</v>
      </c>
      <c r="D39" s="95" t="s">
        <v>950</v>
      </c>
      <c r="E39" s="95"/>
      <c r="F39" s="282"/>
      <c r="G39" s="282"/>
      <c r="H39" s="282"/>
      <c r="I39" s="282">
        <v>14491</v>
      </c>
      <c r="J39" s="282">
        <f t="shared" si="34"/>
        <v>9110</v>
      </c>
      <c r="K39" s="282">
        <f t="shared" si="34"/>
        <v>9599</v>
      </c>
      <c r="L39" s="282">
        <f t="shared" si="34"/>
        <v>11291</v>
      </c>
      <c r="M39" s="282">
        <f t="shared" si="34"/>
        <v>0</v>
      </c>
      <c r="N39" s="282">
        <v>0</v>
      </c>
      <c r="O39" s="282">
        <v>0</v>
      </c>
      <c r="P39" s="288"/>
      <c r="Q39" s="286">
        <f>S39+V39+Y39+AB39+AE39+AH39+AK39+AN39+AQ39+AT39+AW39+AZ39+BC39+BF39+BI39+BL39+BO39+BR39+BU39+BX39+CA39+CD39+CG39</f>
        <v>11291</v>
      </c>
      <c r="R39" s="286">
        <f>T39+W39+Z39+AC39+AF39+AI39+AL39+AO39+AR39+AU39+AX39+BA39+BD39+BG39+BJ39+BM39+BP39+BS39+BV39+BY39+CB39+CE39+CH39</f>
        <v>5296</v>
      </c>
      <c r="S39" s="286">
        <v>292</v>
      </c>
      <c r="T39" s="286">
        <v>134</v>
      </c>
      <c r="U39" s="286"/>
      <c r="V39" s="286">
        <v>237</v>
      </c>
      <c r="W39" s="286">
        <v>0</v>
      </c>
      <c r="X39" s="286"/>
      <c r="Y39" s="286">
        <v>274</v>
      </c>
      <c r="Z39" s="286">
        <v>628</v>
      </c>
      <c r="AA39" s="286"/>
      <c r="AB39" s="286">
        <v>640</v>
      </c>
      <c r="AC39" s="286">
        <v>84</v>
      </c>
      <c r="AD39" s="286"/>
      <c r="AE39" s="286">
        <v>451</v>
      </c>
      <c r="AF39" s="286">
        <v>0</v>
      </c>
      <c r="AG39" s="286"/>
      <c r="AH39" s="286">
        <v>0</v>
      </c>
      <c r="AI39" s="286">
        <v>2</v>
      </c>
      <c r="AJ39" s="286"/>
      <c r="AK39" s="286">
        <v>0</v>
      </c>
      <c r="AL39" s="286">
        <v>0</v>
      </c>
      <c r="AM39" s="286"/>
      <c r="AN39" s="286">
        <v>0</v>
      </c>
      <c r="AO39" s="286">
        <v>0</v>
      </c>
      <c r="AP39" s="286"/>
      <c r="AQ39" s="286">
        <v>571</v>
      </c>
      <c r="AR39" s="286">
        <v>522</v>
      </c>
      <c r="AS39" s="286"/>
      <c r="AT39" s="286">
        <v>264</v>
      </c>
      <c r="AU39" s="286">
        <v>15</v>
      </c>
      <c r="AV39" s="286"/>
      <c r="AW39" s="286">
        <v>0</v>
      </c>
      <c r="AX39" s="286">
        <v>0</v>
      </c>
      <c r="AY39" s="286"/>
      <c r="AZ39" s="286">
        <v>2229</v>
      </c>
      <c r="BA39" s="286">
        <v>1923</v>
      </c>
      <c r="BB39" s="286"/>
      <c r="BC39" s="286">
        <v>2601</v>
      </c>
      <c r="BD39" s="286">
        <v>13</v>
      </c>
      <c r="BE39" s="286"/>
      <c r="BF39" s="286">
        <v>1061</v>
      </c>
      <c r="BG39" s="286">
        <v>202</v>
      </c>
      <c r="BH39" s="286"/>
      <c r="BI39" s="286">
        <v>328</v>
      </c>
      <c r="BJ39" s="286">
        <v>325</v>
      </c>
      <c r="BK39" s="286"/>
      <c r="BL39" s="286">
        <v>831</v>
      </c>
      <c r="BM39" s="286">
        <v>0</v>
      </c>
      <c r="BN39" s="286"/>
      <c r="BO39" s="286">
        <v>1354</v>
      </c>
      <c r="BP39" s="286">
        <v>1290</v>
      </c>
      <c r="BQ39" s="286"/>
      <c r="BR39" s="286">
        <v>158</v>
      </c>
      <c r="BS39" s="286">
        <v>158</v>
      </c>
      <c r="BT39" s="286"/>
      <c r="BU39" s="286">
        <v>0</v>
      </c>
      <c r="BV39" s="286">
        <v>0</v>
      </c>
      <c r="BW39" s="286"/>
      <c r="BX39" s="286">
        <v>0</v>
      </c>
      <c r="BY39" s="286">
        <v>0</v>
      </c>
      <c r="BZ39" s="286"/>
      <c r="CA39" s="286">
        <v>0</v>
      </c>
      <c r="CB39" s="286">
        <v>0</v>
      </c>
      <c r="CC39" s="286"/>
      <c r="CD39" s="286">
        <v>0</v>
      </c>
      <c r="CE39" s="286">
        <v>0</v>
      </c>
      <c r="CF39" s="286"/>
      <c r="CG39" s="286"/>
      <c r="CH39" s="286"/>
    </row>
    <row r="40" spans="1:86" ht="60" x14ac:dyDescent="0.25">
      <c r="A40" s="95" t="s">
        <v>2575</v>
      </c>
      <c r="B40" s="96" t="s">
        <v>2320</v>
      </c>
      <c r="C40" s="95"/>
      <c r="D40" s="95" t="s">
        <v>8</v>
      </c>
      <c r="E40" s="95"/>
      <c r="F40" s="282"/>
      <c r="G40" s="282"/>
      <c r="H40" s="282"/>
      <c r="I40" s="282"/>
      <c r="J40" s="287">
        <f t="shared" ref="J40:O44" si="35">J51/J63*100</f>
        <v>45.044517084055023</v>
      </c>
      <c r="K40" s="287">
        <f t="shared" si="35"/>
        <v>51.396518752207754</v>
      </c>
      <c r="L40" s="287">
        <f t="shared" si="35"/>
        <v>52.352620865325925</v>
      </c>
      <c r="M40" s="287">
        <f t="shared" si="35"/>
        <v>0</v>
      </c>
      <c r="N40" s="287" t="e">
        <f t="shared" si="35"/>
        <v>#DIV/0!</v>
      </c>
      <c r="O40" s="287" t="e">
        <f t="shared" si="35"/>
        <v>#DIV/0!</v>
      </c>
      <c r="P40" s="278"/>
    </row>
    <row r="41" spans="1:86" x14ac:dyDescent="0.25">
      <c r="A41" s="95"/>
      <c r="B41" s="96" t="s">
        <v>1900</v>
      </c>
      <c r="C41" s="95"/>
      <c r="D41" s="95" t="s">
        <v>8</v>
      </c>
      <c r="E41" s="95"/>
      <c r="F41" s="282"/>
      <c r="G41" s="282"/>
      <c r="H41" s="282"/>
      <c r="I41" s="282"/>
      <c r="J41" s="287">
        <f t="shared" si="35"/>
        <v>19.865878280934528</v>
      </c>
      <c r="K41" s="287">
        <f t="shared" si="35"/>
        <v>23.695776255707763</v>
      </c>
      <c r="L41" s="287">
        <f t="shared" si="35"/>
        <v>27.620915707427862</v>
      </c>
      <c r="M41" s="287">
        <f t="shared" si="35"/>
        <v>0</v>
      </c>
      <c r="N41" s="287" t="e">
        <f t="shared" si="35"/>
        <v>#DIV/0!</v>
      </c>
      <c r="O41" s="287" t="e">
        <f t="shared" si="35"/>
        <v>#DIV/0!</v>
      </c>
      <c r="P41" s="278"/>
    </row>
    <row r="42" spans="1:86" x14ac:dyDescent="0.25">
      <c r="A42" s="95"/>
      <c r="B42" s="96" t="s">
        <v>1899</v>
      </c>
      <c r="C42" s="95"/>
      <c r="D42" s="95" t="s">
        <v>8</v>
      </c>
      <c r="E42" s="95"/>
      <c r="F42" s="282"/>
      <c r="G42" s="282"/>
      <c r="H42" s="282"/>
      <c r="I42" s="282"/>
      <c r="J42" s="287">
        <f t="shared" si="35"/>
        <v>63.603453077137281</v>
      </c>
      <c r="K42" s="287">
        <f t="shared" si="35"/>
        <v>92.149122807017548</v>
      </c>
      <c r="L42" s="287">
        <f t="shared" si="35"/>
        <v>79.75120683252878</v>
      </c>
      <c r="M42" s="287">
        <f t="shared" si="35"/>
        <v>0</v>
      </c>
      <c r="N42" s="287" t="e">
        <f t="shared" si="35"/>
        <v>#DIV/0!</v>
      </c>
      <c r="O42" s="287" t="e">
        <f t="shared" si="35"/>
        <v>#DIV/0!</v>
      </c>
      <c r="P42" s="278"/>
    </row>
    <row r="43" spans="1:86" x14ac:dyDescent="0.25">
      <c r="A43" s="95"/>
      <c r="B43" s="96" t="s">
        <v>1898</v>
      </c>
      <c r="C43" s="95"/>
      <c r="D43" s="95" t="s">
        <v>8</v>
      </c>
      <c r="E43" s="95"/>
      <c r="F43" s="282"/>
      <c r="G43" s="282"/>
      <c r="H43" s="282"/>
      <c r="I43" s="282"/>
      <c r="J43" s="287">
        <f t="shared" si="35"/>
        <v>4.6882181706756549</v>
      </c>
      <c r="K43" s="287">
        <f t="shared" si="35"/>
        <v>4.6786182772190639</v>
      </c>
      <c r="L43" s="287">
        <f t="shared" si="35"/>
        <v>8.2483426823049459</v>
      </c>
      <c r="M43" s="287">
        <f t="shared" si="35"/>
        <v>0</v>
      </c>
      <c r="N43" s="287" t="e">
        <f t="shared" si="35"/>
        <v>#DIV/0!</v>
      </c>
      <c r="O43" s="287" t="e">
        <f t="shared" si="35"/>
        <v>#DIV/0!</v>
      </c>
      <c r="P43" s="278"/>
    </row>
    <row r="44" spans="1:86" x14ac:dyDescent="0.25">
      <c r="A44" s="95"/>
      <c r="B44" s="96" t="s">
        <v>1897</v>
      </c>
      <c r="C44" s="95"/>
      <c r="D44" s="95" t="s">
        <v>8</v>
      </c>
      <c r="E44" s="95"/>
      <c r="F44" s="282"/>
      <c r="G44" s="282"/>
      <c r="H44" s="282"/>
      <c r="I44" s="282"/>
      <c r="J44" s="287">
        <f t="shared" si="35"/>
        <v>107.31178181471415</v>
      </c>
      <c r="K44" s="287">
        <f t="shared" si="35"/>
        <v>121.58871230950767</v>
      </c>
      <c r="L44" s="287">
        <f t="shared" si="35"/>
        <v>124.72263658400149</v>
      </c>
      <c r="M44" s="287">
        <f t="shared" si="35"/>
        <v>0</v>
      </c>
      <c r="N44" s="287" t="e">
        <f t="shared" si="35"/>
        <v>#DIV/0!</v>
      </c>
      <c r="O44" s="287" t="e">
        <f t="shared" si="35"/>
        <v>#DIV/0!</v>
      </c>
      <c r="P44" s="278"/>
    </row>
    <row r="45" spans="1:86" x14ac:dyDescent="0.25">
      <c r="A45" s="95"/>
      <c r="B45" s="96" t="s">
        <v>1863</v>
      </c>
      <c r="C45" s="95"/>
      <c r="D45" s="95" t="s">
        <v>8</v>
      </c>
      <c r="E45" s="95"/>
      <c r="F45" s="282"/>
      <c r="G45" s="282"/>
      <c r="H45" s="282"/>
      <c r="I45" s="282"/>
      <c r="J45" s="287"/>
      <c r="K45" s="287"/>
      <c r="L45" s="287"/>
      <c r="M45" s="287"/>
      <c r="N45" s="287"/>
      <c r="O45" s="287"/>
      <c r="P45" s="278"/>
    </row>
    <row r="46" spans="1:86" x14ac:dyDescent="0.25">
      <c r="A46" s="95"/>
      <c r="B46" s="96" t="s">
        <v>1895</v>
      </c>
      <c r="C46" s="95"/>
      <c r="D46" s="95" t="s">
        <v>8</v>
      </c>
      <c r="E46" s="95"/>
      <c r="F46" s="282"/>
      <c r="G46" s="282"/>
      <c r="H46" s="282"/>
      <c r="I46" s="282"/>
      <c r="J46" s="287">
        <f t="shared" ref="J46:O47" si="36">J57/J69*100</f>
        <v>36.990766735292283</v>
      </c>
      <c r="K46" s="287">
        <f t="shared" si="36"/>
        <v>42.504618434688574</v>
      </c>
      <c r="L46" s="287">
        <f t="shared" si="36"/>
        <v>45.00804364552004</v>
      </c>
      <c r="M46" s="287">
        <f t="shared" si="36"/>
        <v>0</v>
      </c>
      <c r="N46" s="287" t="e">
        <f t="shared" si="36"/>
        <v>#DIV/0!</v>
      </c>
      <c r="O46" s="287" t="e">
        <f t="shared" si="36"/>
        <v>#DIV/0!</v>
      </c>
      <c r="P46" s="278"/>
    </row>
    <row r="47" spans="1:86" x14ac:dyDescent="0.25">
      <c r="A47" s="95"/>
      <c r="B47" s="96" t="s">
        <v>1896</v>
      </c>
      <c r="C47" s="95"/>
      <c r="D47" s="95" t="s">
        <v>8</v>
      </c>
      <c r="E47" s="95"/>
      <c r="F47" s="282"/>
      <c r="G47" s="282"/>
      <c r="H47" s="282"/>
      <c r="I47" s="282"/>
      <c r="J47" s="287">
        <f t="shared" si="36"/>
        <v>2.259479992140939</v>
      </c>
      <c r="K47" s="287">
        <f t="shared" si="36"/>
        <v>0.76775431861804222</v>
      </c>
      <c r="L47" s="287">
        <f t="shared" si="36"/>
        <v>4.7022864868042087E-2</v>
      </c>
      <c r="M47" s="287">
        <f t="shared" si="36"/>
        <v>0</v>
      </c>
      <c r="N47" s="287" t="e">
        <f t="shared" si="36"/>
        <v>#DIV/0!</v>
      </c>
      <c r="O47" s="287" t="e">
        <f t="shared" si="36"/>
        <v>#DIV/0!</v>
      </c>
      <c r="P47" s="278"/>
    </row>
    <row r="48" spans="1:86" x14ac:dyDescent="0.25">
      <c r="A48" s="95"/>
      <c r="B48" s="96" t="s">
        <v>1864</v>
      </c>
      <c r="C48" s="95"/>
      <c r="D48" s="95" t="s">
        <v>8</v>
      </c>
      <c r="E48" s="95"/>
      <c r="F48" s="282"/>
      <c r="G48" s="282"/>
      <c r="H48" s="282"/>
      <c r="I48" s="282"/>
      <c r="J48" s="287"/>
      <c r="K48" s="287"/>
      <c r="L48" s="287"/>
      <c r="M48" s="287"/>
      <c r="N48" s="287"/>
      <c r="O48" s="287"/>
      <c r="P48" s="278"/>
    </row>
    <row r="49" spans="1:18" x14ac:dyDescent="0.25">
      <c r="A49" s="95"/>
      <c r="B49" s="96" t="s">
        <v>1895</v>
      </c>
      <c r="C49" s="95"/>
      <c r="D49" s="95" t="s">
        <v>8</v>
      </c>
      <c r="E49" s="95"/>
      <c r="F49" s="282"/>
      <c r="G49" s="282"/>
      <c r="H49" s="282"/>
      <c r="I49" s="282"/>
      <c r="J49" s="287">
        <f t="shared" ref="J49:O50" si="37">J60/J72*100</f>
        <v>35.05513639001741</v>
      </c>
      <c r="K49" s="287">
        <f t="shared" si="37"/>
        <v>39.457018661470435</v>
      </c>
      <c r="L49" s="287">
        <f t="shared" si="37"/>
        <v>41.616962592656435</v>
      </c>
      <c r="M49" s="287" t="e">
        <f t="shared" si="37"/>
        <v>#DIV/0!</v>
      </c>
      <c r="N49" s="287" t="e">
        <f t="shared" si="37"/>
        <v>#DIV/0!</v>
      </c>
      <c r="O49" s="287" t="e">
        <f t="shared" si="37"/>
        <v>#DIV/0!</v>
      </c>
      <c r="P49" s="278"/>
    </row>
    <row r="50" spans="1:18" x14ac:dyDescent="0.25">
      <c r="A50" s="95"/>
      <c r="B50" s="96" t="s">
        <v>1896</v>
      </c>
      <c r="C50" s="95"/>
      <c r="D50" s="95" t="s">
        <v>8</v>
      </c>
      <c r="E50" s="95"/>
      <c r="F50" s="282"/>
      <c r="G50" s="282"/>
      <c r="H50" s="282"/>
      <c r="I50" s="282"/>
      <c r="J50" s="287">
        <f t="shared" si="37"/>
        <v>6.325863678804855</v>
      </c>
      <c r="K50" s="287">
        <f t="shared" si="37"/>
        <v>13.517029328287606</v>
      </c>
      <c r="L50" s="287">
        <f t="shared" si="37"/>
        <v>5.5332274044303205</v>
      </c>
      <c r="M50" s="287" t="e">
        <f t="shared" si="37"/>
        <v>#DIV/0!</v>
      </c>
      <c r="N50" s="287" t="e">
        <f t="shared" si="37"/>
        <v>#DIV/0!</v>
      </c>
      <c r="O50" s="287" t="e">
        <f t="shared" si="37"/>
        <v>#DIV/0!</v>
      </c>
      <c r="P50" s="278"/>
    </row>
    <row r="51" spans="1:18" ht="30" x14ac:dyDescent="0.25">
      <c r="A51" s="16"/>
      <c r="B51" s="16" t="s">
        <v>2321</v>
      </c>
      <c r="C51" s="95" t="s">
        <v>1911</v>
      </c>
      <c r="D51" s="95" t="s">
        <v>950</v>
      </c>
      <c r="E51" s="95"/>
      <c r="F51" s="282"/>
      <c r="G51" s="282"/>
      <c r="H51" s="282"/>
      <c r="I51" s="282"/>
      <c r="J51" s="282">
        <f t="shared" ref="J51:O51" si="38">J52+J53+J54+J55+J57+J58+J60+J61</f>
        <v>103765</v>
      </c>
      <c r="K51" s="282">
        <f t="shared" si="38"/>
        <v>126585</v>
      </c>
      <c r="L51" s="282">
        <f t="shared" si="38"/>
        <v>143253</v>
      </c>
      <c r="M51" s="282">
        <f t="shared" si="38"/>
        <v>0</v>
      </c>
      <c r="N51" s="282">
        <f t="shared" si="38"/>
        <v>0</v>
      </c>
      <c r="O51" s="282">
        <f t="shared" si="38"/>
        <v>0</v>
      </c>
      <c r="P51" s="278"/>
    </row>
    <row r="52" spans="1:18" x14ac:dyDescent="0.25">
      <c r="A52" s="16"/>
      <c r="B52" s="96" t="s">
        <v>1900</v>
      </c>
      <c r="C52" s="95"/>
      <c r="D52" s="95" t="s">
        <v>950</v>
      </c>
      <c r="E52" s="95"/>
      <c r="F52" s="282"/>
      <c r="G52" s="282"/>
      <c r="H52" s="282"/>
      <c r="I52" s="282"/>
      <c r="J52" s="282">
        <v>5510</v>
      </c>
      <c r="K52" s="282">
        <v>8303</v>
      </c>
      <c r="L52" s="282">
        <v>10702</v>
      </c>
      <c r="M52" s="282">
        <v>0</v>
      </c>
      <c r="N52" s="282">
        <v>0</v>
      </c>
      <c r="O52" s="282">
        <v>0</v>
      </c>
      <c r="P52" s="278"/>
      <c r="Q52" s="286"/>
      <c r="R52" s="286"/>
    </row>
    <row r="53" spans="1:18" x14ac:dyDescent="0.25">
      <c r="A53" s="16"/>
      <c r="B53" s="96" t="s">
        <v>1899</v>
      </c>
      <c r="C53" s="95"/>
      <c r="D53" s="95" t="s">
        <v>950</v>
      </c>
      <c r="E53" s="95"/>
      <c r="F53" s="282"/>
      <c r="G53" s="282"/>
      <c r="H53" s="282"/>
      <c r="I53" s="282"/>
      <c r="J53" s="282">
        <v>11420</v>
      </c>
      <c r="K53" s="282">
        <v>18909</v>
      </c>
      <c r="L53" s="282">
        <v>21477</v>
      </c>
      <c r="M53" s="282">
        <v>0</v>
      </c>
      <c r="N53" s="282">
        <v>0</v>
      </c>
      <c r="O53" s="282">
        <v>0</v>
      </c>
      <c r="P53" s="278"/>
      <c r="Q53" s="286"/>
      <c r="R53" s="286"/>
    </row>
    <row r="54" spans="1:18" x14ac:dyDescent="0.25">
      <c r="A54" s="16"/>
      <c r="B54" s="96" t="s">
        <v>1898</v>
      </c>
      <c r="C54" s="95"/>
      <c r="D54" s="95" t="s">
        <v>950</v>
      </c>
      <c r="E54" s="95"/>
      <c r="F54" s="282"/>
      <c r="G54" s="282"/>
      <c r="H54" s="282"/>
      <c r="I54" s="282"/>
      <c r="J54" s="282">
        <v>306</v>
      </c>
      <c r="K54" s="282">
        <v>321</v>
      </c>
      <c r="L54" s="282">
        <v>647</v>
      </c>
      <c r="M54" s="282">
        <v>0</v>
      </c>
      <c r="N54" s="282">
        <v>0</v>
      </c>
      <c r="O54" s="282">
        <v>0</v>
      </c>
      <c r="P54" s="278"/>
      <c r="Q54" s="286"/>
      <c r="R54" s="286"/>
    </row>
    <row r="55" spans="1:18" x14ac:dyDescent="0.25">
      <c r="A55" s="16"/>
      <c r="B55" s="96" t="s">
        <v>1897</v>
      </c>
      <c r="C55" s="95"/>
      <c r="D55" s="95" t="s">
        <v>950</v>
      </c>
      <c r="E55" s="95"/>
      <c r="F55" s="282"/>
      <c r="G55" s="282"/>
      <c r="H55" s="282"/>
      <c r="I55" s="282"/>
      <c r="J55" s="282">
        <v>45013</v>
      </c>
      <c r="K55" s="282">
        <v>48430</v>
      </c>
      <c r="L55" s="282">
        <v>53511</v>
      </c>
      <c r="M55" s="282">
        <v>0</v>
      </c>
      <c r="N55" s="282">
        <v>0</v>
      </c>
      <c r="O55" s="282">
        <v>0</v>
      </c>
      <c r="P55" s="278"/>
      <c r="Q55" s="286"/>
      <c r="R55" s="286"/>
    </row>
    <row r="56" spans="1:18" x14ac:dyDescent="0.25">
      <c r="A56" s="16"/>
      <c r="B56" s="96" t="s">
        <v>1863</v>
      </c>
      <c r="C56" s="95"/>
      <c r="D56" s="95" t="s">
        <v>950</v>
      </c>
      <c r="E56" s="95"/>
      <c r="F56" s="282"/>
      <c r="G56" s="282"/>
      <c r="H56" s="282"/>
      <c r="I56" s="282"/>
      <c r="J56" s="282"/>
      <c r="K56" s="282"/>
      <c r="L56" s="282"/>
      <c r="M56" s="282"/>
      <c r="N56" s="282"/>
      <c r="O56" s="282"/>
      <c r="P56" s="278"/>
    </row>
    <row r="57" spans="1:18" x14ac:dyDescent="0.25">
      <c r="A57" s="16"/>
      <c r="B57" s="96" t="s">
        <v>1895</v>
      </c>
      <c r="C57" s="95"/>
      <c r="D57" s="95" t="s">
        <v>950</v>
      </c>
      <c r="E57" s="95"/>
      <c r="F57" s="282"/>
      <c r="G57" s="282"/>
      <c r="H57" s="282"/>
      <c r="I57" s="282"/>
      <c r="J57" s="282">
        <v>23717</v>
      </c>
      <c r="K57" s="282">
        <v>28300</v>
      </c>
      <c r="L57" s="282">
        <v>32174</v>
      </c>
      <c r="M57" s="282">
        <v>0</v>
      </c>
      <c r="N57" s="282">
        <v>0</v>
      </c>
      <c r="O57" s="282">
        <v>0</v>
      </c>
      <c r="P57" s="278"/>
      <c r="Q57" s="286"/>
      <c r="R57" s="286"/>
    </row>
    <row r="58" spans="1:18" x14ac:dyDescent="0.25">
      <c r="A58" s="16"/>
      <c r="B58" s="96" t="s">
        <v>1896</v>
      </c>
      <c r="C58" s="95"/>
      <c r="D58" s="95" t="s">
        <v>950</v>
      </c>
      <c r="E58" s="95"/>
      <c r="F58" s="282"/>
      <c r="G58" s="282"/>
      <c r="H58" s="282"/>
      <c r="I58" s="282"/>
      <c r="J58" s="282">
        <v>345</v>
      </c>
      <c r="K58" s="282">
        <v>120</v>
      </c>
      <c r="L58" s="282">
        <v>8</v>
      </c>
      <c r="M58" s="282">
        <v>0</v>
      </c>
      <c r="N58" s="282">
        <v>0</v>
      </c>
      <c r="O58" s="282">
        <v>0</v>
      </c>
      <c r="P58" s="278"/>
      <c r="Q58" s="286"/>
      <c r="R58" s="286"/>
    </row>
    <row r="59" spans="1:18" x14ac:dyDescent="0.25">
      <c r="A59" s="16"/>
      <c r="B59" s="96" t="s">
        <v>1864</v>
      </c>
      <c r="C59" s="95"/>
      <c r="D59" s="95" t="s">
        <v>950</v>
      </c>
      <c r="E59" s="95"/>
      <c r="F59" s="282"/>
      <c r="G59" s="282"/>
      <c r="H59" s="282"/>
      <c r="I59" s="282"/>
      <c r="J59" s="282"/>
      <c r="K59" s="282"/>
      <c r="L59" s="282"/>
      <c r="M59" s="282"/>
      <c r="N59" s="282"/>
      <c r="O59" s="282"/>
      <c r="P59" s="278"/>
      <c r="Q59" s="286"/>
      <c r="R59" s="286"/>
    </row>
    <row r="60" spans="1:18" x14ac:dyDescent="0.25">
      <c r="A60" s="16"/>
      <c r="B60" s="96" t="s">
        <v>1895</v>
      </c>
      <c r="C60" s="95"/>
      <c r="D60" s="95" t="s">
        <v>950</v>
      </c>
      <c r="E60" s="95"/>
      <c r="F60" s="282"/>
      <c r="G60" s="282"/>
      <c r="H60" s="282"/>
      <c r="I60" s="282"/>
      <c r="J60" s="282">
        <v>16912</v>
      </c>
      <c r="K60" s="282">
        <v>21059</v>
      </c>
      <c r="L60" s="282">
        <v>24142</v>
      </c>
      <c r="M60" s="282">
        <v>0</v>
      </c>
      <c r="N60" s="282">
        <v>0</v>
      </c>
      <c r="O60" s="282">
        <v>0</v>
      </c>
      <c r="P60" s="278"/>
      <c r="Q60" s="286"/>
      <c r="R60" s="286"/>
    </row>
    <row r="61" spans="1:18" x14ac:dyDescent="0.25">
      <c r="A61" s="16"/>
      <c r="B61" s="96" t="s">
        <v>1896</v>
      </c>
      <c r="C61" s="95"/>
      <c r="D61" s="95" t="s">
        <v>950</v>
      </c>
      <c r="E61" s="95"/>
      <c r="F61" s="282"/>
      <c r="G61" s="282"/>
      <c r="H61" s="282"/>
      <c r="I61" s="282"/>
      <c r="J61" s="282">
        <v>542</v>
      </c>
      <c r="K61" s="282">
        <v>1143</v>
      </c>
      <c r="L61" s="282">
        <v>592</v>
      </c>
      <c r="M61" s="282">
        <v>0</v>
      </c>
      <c r="N61" s="282">
        <v>0</v>
      </c>
      <c r="O61" s="282">
        <v>0</v>
      </c>
      <c r="P61" s="278"/>
      <c r="Q61" s="286"/>
      <c r="R61" s="286"/>
    </row>
    <row r="62" spans="1:18" ht="30" x14ac:dyDescent="0.25">
      <c r="A62" s="16"/>
      <c r="B62" s="96" t="s">
        <v>2661</v>
      </c>
      <c r="C62" s="95"/>
      <c r="D62" s="95" t="s">
        <v>950</v>
      </c>
      <c r="E62" s="95"/>
      <c r="F62" s="282"/>
      <c r="G62" s="282"/>
      <c r="H62" s="282"/>
      <c r="I62" s="282"/>
      <c r="J62" s="282">
        <v>1239</v>
      </c>
      <c r="K62" s="282">
        <v>1457</v>
      </c>
      <c r="L62" s="282">
        <v>3653</v>
      </c>
      <c r="M62" s="282"/>
      <c r="N62" s="282"/>
      <c r="O62" s="282"/>
      <c r="P62" s="278"/>
    </row>
    <row r="63" spans="1:18" ht="30" x14ac:dyDescent="0.25">
      <c r="A63" s="16"/>
      <c r="B63" s="16" t="s">
        <v>1901</v>
      </c>
      <c r="C63" s="95" t="s">
        <v>1916</v>
      </c>
      <c r="D63" s="95" t="s">
        <v>950</v>
      </c>
      <c r="E63" s="95"/>
      <c r="F63" s="282"/>
      <c r="G63" s="282"/>
      <c r="H63" s="282"/>
      <c r="I63" s="282"/>
      <c r="J63" s="282">
        <f t="shared" ref="J63:O63" si="39">SUM(J64:J73)</f>
        <v>230361</v>
      </c>
      <c r="K63" s="282">
        <f t="shared" si="39"/>
        <v>246291</v>
      </c>
      <c r="L63" s="282">
        <f t="shared" si="39"/>
        <v>273631</v>
      </c>
      <c r="M63" s="282">
        <f t="shared" si="39"/>
        <v>4922</v>
      </c>
      <c r="N63" s="282">
        <f t="shared" si="39"/>
        <v>0</v>
      </c>
      <c r="O63" s="282">
        <f t="shared" si="39"/>
        <v>0</v>
      </c>
      <c r="P63" s="278"/>
    </row>
    <row r="64" spans="1:18" x14ac:dyDescent="0.25">
      <c r="A64" s="16"/>
      <c r="B64" s="96" t="s">
        <v>1900</v>
      </c>
      <c r="C64" s="95"/>
      <c r="D64" s="95" t="s">
        <v>950</v>
      </c>
      <c r="E64" s="95"/>
      <c r="F64" s="282"/>
      <c r="G64" s="282"/>
      <c r="H64" s="282"/>
      <c r="I64" s="282"/>
      <c r="J64" s="282">
        <v>27736</v>
      </c>
      <c r="K64" s="282">
        <v>35040</v>
      </c>
      <c r="L64" s="282">
        <v>38746</v>
      </c>
      <c r="M64" s="282">
        <v>1026</v>
      </c>
      <c r="N64" s="282">
        <v>0</v>
      </c>
      <c r="O64" s="282">
        <v>0</v>
      </c>
      <c r="P64" s="278"/>
    </row>
    <row r="65" spans="1:16" x14ac:dyDescent="0.25">
      <c r="A65" s="16"/>
      <c r="B65" s="96" t="s">
        <v>1899</v>
      </c>
      <c r="C65" s="95"/>
      <c r="D65" s="95" t="s">
        <v>950</v>
      </c>
      <c r="E65" s="95"/>
      <c r="F65" s="282"/>
      <c r="G65" s="282"/>
      <c r="H65" s="282"/>
      <c r="I65" s="282"/>
      <c r="J65" s="282">
        <v>17955</v>
      </c>
      <c r="K65" s="282">
        <v>20520</v>
      </c>
      <c r="L65" s="282">
        <v>26930</v>
      </c>
      <c r="M65" s="282">
        <v>373</v>
      </c>
      <c r="N65" s="282">
        <v>0</v>
      </c>
      <c r="O65" s="282">
        <v>0</v>
      </c>
      <c r="P65" s="278"/>
    </row>
    <row r="66" spans="1:16" x14ac:dyDescent="0.25">
      <c r="A66" s="16"/>
      <c r="B66" s="96" t="s">
        <v>1898</v>
      </c>
      <c r="C66" s="95"/>
      <c r="D66" s="95" t="s">
        <v>950</v>
      </c>
      <c r="E66" s="95"/>
      <c r="F66" s="282"/>
      <c r="G66" s="282"/>
      <c r="H66" s="282"/>
      <c r="I66" s="282"/>
      <c r="J66" s="282">
        <v>6527</v>
      </c>
      <c r="K66" s="282">
        <v>6861</v>
      </c>
      <c r="L66" s="282">
        <v>7844</v>
      </c>
      <c r="M66" s="282">
        <v>116</v>
      </c>
      <c r="N66" s="282">
        <v>0</v>
      </c>
      <c r="O66" s="282">
        <v>0</v>
      </c>
      <c r="P66" s="278"/>
    </row>
    <row r="67" spans="1:16" x14ac:dyDescent="0.25">
      <c r="A67" s="16"/>
      <c r="B67" s="96" t="s">
        <v>1897</v>
      </c>
      <c r="C67" s="95"/>
      <c r="D67" s="95" t="s">
        <v>950</v>
      </c>
      <c r="E67" s="95"/>
      <c r="F67" s="282"/>
      <c r="G67" s="282"/>
      <c r="H67" s="282"/>
      <c r="I67" s="282"/>
      <c r="J67" s="282">
        <v>41946</v>
      </c>
      <c r="K67" s="282">
        <v>39831</v>
      </c>
      <c r="L67" s="282">
        <v>42904</v>
      </c>
      <c r="M67" s="282">
        <v>1411</v>
      </c>
      <c r="N67" s="282">
        <v>0</v>
      </c>
      <c r="O67" s="282">
        <v>0</v>
      </c>
      <c r="P67" s="278"/>
    </row>
    <row r="68" spans="1:16" x14ac:dyDescent="0.25">
      <c r="A68" s="16"/>
      <c r="B68" s="96" t="s">
        <v>1863</v>
      </c>
      <c r="C68" s="95"/>
      <c r="D68" s="95" t="s">
        <v>950</v>
      </c>
      <c r="E68" s="95"/>
      <c r="F68" s="282"/>
      <c r="G68" s="282"/>
      <c r="H68" s="282"/>
      <c r="I68" s="282"/>
      <c r="J68" s="282"/>
      <c r="K68" s="282"/>
      <c r="L68" s="282"/>
      <c r="M68" s="282"/>
      <c r="N68" s="282"/>
      <c r="O68" s="282"/>
      <c r="P68" s="278"/>
    </row>
    <row r="69" spans="1:16" x14ac:dyDescent="0.25">
      <c r="A69" s="16"/>
      <c r="B69" s="96" t="s">
        <v>1895</v>
      </c>
      <c r="C69" s="95"/>
      <c r="D69" s="95" t="s">
        <v>950</v>
      </c>
      <c r="E69" s="95"/>
      <c r="F69" s="282"/>
      <c r="G69" s="282"/>
      <c r="H69" s="282"/>
      <c r="I69" s="282"/>
      <c r="J69" s="282">
        <v>64116</v>
      </c>
      <c r="K69" s="282">
        <v>66581</v>
      </c>
      <c r="L69" s="282">
        <v>71485</v>
      </c>
      <c r="M69" s="282">
        <v>1543</v>
      </c>
      <c r="N69" s="282">
        <v>0</v>
      </c>
      <c r="O69" s="282">
        <v>0</v>
      </c>
      <c r="P69" s="278"/>
    </row>
    <row r="70" spans="1:16" x14ac:dyDescent="0.25">
      <c r="A70" s="16"/>
      <c r="B70" s="96" t="s">
        <v>1896</v>
      </c>
      <c r="C70" s="95"/>
      <c r="D70" s="95" t="s">
        <v>950</v>
      </c>
      <c r="E70" s="95"/>
      <c r="F70" s="282"/>
      <c r="G70" s="282"/>
      <c r="H70" s="282"/>
      <c r="I70" s="282"/>
      <c r="J70" s="282">
        <v>15269</v>
      </c>
      <c r="K70" s="282">
        <v>15630</v>
      </c>
      <c r="L70" s="282">
        <v>17013</v>
      </c>
      <c r="M70" s="282">
        <v>453</v>
      </c>
      <c r="N70" s="282">
        <v>0</v>
      </c>
      <c r="O70" s="282">
        <v>0</v>
      </c>
      <c r="P70" s="278"/>
    </row>
    <row r="71" spans="1:16" x14ac:dyDescent="0.25">
      <c r="A71" s="16"/>
      <c r="B71" s="96" t="s">
        <v>1864</v>
      </c>
      <c r="C71" s="95"/>
      <c r="D71" s="95" t="s">
        <v>950</v>
      </c>
      <c r="E71" s="95"/>
      <c r="F71" s="282"/>
      <c r="G71" s="282"/>
      <c r="H71" s="282"/>
      <c r="I71" s="282"/>
      <c r="J71" s="282"/>
      <c r="K71" s="282"/>
      <c r="L71" s="282"/>
      <c r="M71" s="282"/>
      <c r="N71" s="282"/>
      <c r="O71" s="282"/>
      <c r="P71" s="278"/>
    </row>
    <row r="72" spans="1:16" x14ac:dyDescent="0.25">
      <c r="A72" s="16"/>
      <c r="B72" s="96" t="s">
        <v>1895</v>
      </c>
      <c r="C72" s="95"/>
      <c r="D72" s="95" t="s">
        <v>950</v>
      </c>
      <c r="E72" s="95"/>
      <c r="F72" s="282"/>
      <c r="G72" s="282"/>
      <c r="H72" s="282"/>
      <c r="I72" s="282"/>
      <c r="J72" s="282">
        <v>48244</v>
      </c>
      <c r="K72" s="282">
        <v>53372</v>
      </c>
      <c r="L72" s="282">
        <v>58010</v>
      </c>
      <c r="M72" s="282">
        <v>0</v>
      </c>
      <c r="N72" s="282">
        <v>0</v>
      </c>
      <c r="O72" s="282">
        <v>0</v>
      </c>
      <c r="P72" s="278"/>
    </row>
    <row r="73" spans="1:16" x14ac:dyDescent="0.25">
      <c r="A73" s="16"/>
      <c r="B73" s="96" t="s">
        <v>1896</v>
      </c>
      <c r="C73" s="95"/>
      <c r="D73" s="95" t="s">
        <v>950</v>
      </c>
      <c r="E73" s="95"/>
      <c r="F73" s="282"/>
      <c r="G73" s="282"/>
      <c r="H73" s="282"/>
      <c r="I73" s="282"/>
      <c r="J73" s="282">
        <v>8568</v>
      </c>
      <c r="K73" s="282">
        <v>8456</v>
      </c>
      <c r="L73" s="282">
        <v>10699</v>
      </c>
      <c r="M73" s="282">
        <v>0</v>
      </c>
      <c r="N73" s="282">
        <v>0</v>
      </c>
      <c r="O73" s="282">
        <v>0</v>
      </c>
      <c r="P73" s="278"/>
    </row>
    <row r="74" spans="1:16" ht="30" x14ac:dyDescent="0.25">
      <c r="A74" s="16"/>
      <c r="B74" s="96" t="s">
        <v>2661</v>
      </c>
      <c r="C74" s="95"/>
      <c r="D74" s="95" t="s">
        <v>950</v>
      </c>
      <c r="E74" s="95"/>
      <c r="F74" s="282"/>
      <c r="G74" s="282"/>
      <c r="H74" s="282"/>
      <c r="I74" s="282"/>
      <c r="J74" s="282">
        <v>22629</v>
      </c>
      <c r="K74" s="282">
        <v>36282</v>
      </c>
      <c r="L74" s="282">
        <v>44750</v>
      </c>
      <c r="M74" s="282">
        <v>0</v>
      </c>
      <c r="N74" s="282">
        <v>0</v>
      </c>
      <c r="O74" s="282">
        <v>0</v>
      </c>
      <c r="P74" s="278"/>
    </row>
    <row r="75" spans="1:16" ht="75" hidden="1" x14ac:dyDescent="0.25">
      <c r="A75" s="95" t="s">
        <v>1866</v>
      </c>
      <c r="B75" s="96" t="s">
        <v>1867</v>
      </c>
      <c r="C75" s="95"/>
      <c r="D75" s="95" t="s">
        <v>8</v>
      </c>
      <c r="E75" s="95"/>
      <c r="F75" s="282"/>
      <c r="G75" s="282"/>
      <c r="H75" s="282"/>
      <c r="I75" s="282"/>
      <c r="J75" s="287">
        <f>J76/J77*100</f>
        <v>1.2869396574944781E-2</v>
      </c>
      <c r="K75" s="287">
        <f>K76/K77*100</f>
        <v>1.1531983823040368E-2</v>
      </c>
      <c r="L75" s="287">
        <f>L76/L77*100</f>
        <v>1.0314619894263152E-2</v>
      </c>
      <c r="M75" s="287">
        <f>M76/M77*100</f>
        <v>0.76648841354723707</v>
      </c>
      <c r="N75" s="287"/>
      <c r="O75" s="287"/>
      <c r="P75" s="278"/>
    </row>
    <row r="76" spans="1:16" ht="30" hidden="1" x14ac:dyDescent="0.25">
      <c r="A76" s="16"/>
      <c r="B76" s="16" t="s">
        <v>1912</v>
      </c>
      <c r="C76" s="95" t="s">
        <v>1913</v>
      </c>
      <c r="D76" s="95" t="s">
        <v>950</v>
      </c>
      <c r="E76" s="95"/>
      <c r="F76" s="282"/>
      <c r="G76" s="282"/>
      <c r="H76" s="282"/>
      <c r="I76" s="282"/>
      <c r="J76" s="282">
        <v>43</v>
      </c>
      <c r="K76" s="282">
        <v>43</v>
      </c>
      <c r="L76" s="282">
        <v>43</v>
      </c>
      <c r="M76" s="282">
        <v>43</v>
      </c>
      <c r="N76" s="282"/>
      <c r="O76" s="282"/>
      <c r="P76" s="278"/>
    </row>
    <row r="77" spans="1:16" ht="30" hidden="1" x14ac:dyDescent="0.25">
      <c r="A77" s="16"/>
      <c r="B77" s="16" t="s">
        <v>1910</v>
      </c>
      <c r="C77" s="95" t="s">
        <v>1916</v>
      </c>
      <c r="D77" s="95" t="s">
        <v>950</v>
      </c>
      <c r="E77" s="95"/>
      <c r="F77" s="282"/>
      <c r="G77" s="282"/>
      <c r="H77" s="282"/>
      <c r="I77" s="282"/>
      <c r="J77" s="282">
        <f>J29</f>
        <v>334126</v>
      </c>
      <c r="K77" s="282">
        <f>K29</f>
        <v>372876</v>
      </c>
      <c r="L77" s="282">
        <f>L29</f>
        <v>416884</v>
      </c>
      <c r="M77" s="282">
        <f>M29</f>
        <v>5610</v>
      </c>
      <c r="N77" s="282"/>
      <c r="O77" s="282"/>
      <c r="P77" s="278"/>
    </row>
    <row r="78" spans="1:16" ht="90" hidden="1" x14ac:dyDescent="0.25">
      <c r="A78" s="95" t="s">
        <v>1868</v>
      </c>
      <c r="B78" s="96" t="s">
        <v>1869</v>
      </c>
      <c r="C78" s="95"/>
      <c r="D78" s="95"/>
      <c r="E78" s="95"/>
      <c r="F78" s="282"/>
      <c r="G78" s="282"/>
      <c r="H78" s="282"/>
      <c r="I78" s="282"/>
      <c r="J78" s="287">
        <f>J79/J80*100</f>
        <v>31.055649665096404</v>
      </c>
      <c r="K78" s="287">
        <f>K79/K80*100</f>
        <v>27.828286079018227</v>
      </c>
      <c r="L78" s="287">
        <f>L79/L80*100</f>
        <v>24.89061705414456</v>
      </c>
      <c r="M78" s="287">
        <f>M79/M80*100</f>
        <v>1849.6434937611407</v>
      </c>
      <c r="N78" s="287"/>
      <c r="O78" s="287"/>
      <c r="P78" s="278"/>
    </row>
    <row r="79" spans="1:16" ht="45" hidden="1" x14ac:dyDescent="0.25">
      <c r="A79" s="16"/>
      <c r="B79" s="16" t="s">
        <v>1914</v>
      </c>
      <c r="C79" s="95" t="s">
        <v>1915</v>
      </c>
      <c r="D79" s="95"/>
      <c r="E79" s="95"/>
      <c r="F79" s="282"/>
      <c r="G79" s="282"/>
      <c r="H79" s="282"/>
      <c r="I79" s="282"/>
      <c r="J79" s="282">
        <v>103765</v>
      </c>
      <c r="K79" s="282">
        <v>103765</v>
      </c>
      <c r="L79" s="282">
        <v>103765</v>
      </c>
      <c r="M79" s="282">
        <v>103765</v>
      </c>
      <c r="N79" s="282"/>
      <c r="O79" s="282"/>
      <c r="P79" s="278"/>
    </row>
    <row r="80" spans="1:16" ht="45" hidden="1" x14ac:dyDescent="0.25">
      <c r="A80" s="16"/>
      <c r="B80" s="16" t="s">
        <v>1917</v>
      </c>
      <c r="C80" s="95" t="s">
        <v>1918</v>
      </c>
      <c r="D80" s="95"/>
      <c r="E80" s="95"/>
      <c r="F80" s="282"/>
      <c r="G80" s="282"/>
      <c r="H80" s="282"/>
      <c r="I80" s="282"/>
      <c r="J80" s="282">
        <f>J29</f>
        <v>334126</v>
      </c>
      <c r="K80" s="282">
        <f>K29</f>
        <v>372876</v>
      </c>
      <c r="L80" s="282">
        <f>L29</f>
        <v>416884</v>
      </c>
      <c r="M80" s="282">
        <f>M29</f>
        <v>5610</v>
      </c>
      <c r="N80" s="282"/>
      <c r="O80" s="282"/>
      <c r="P80" s="278"/>
    </row>
    <row r="81" spans="1:16" ht="45" x14ac:dyDescent="0.25">
      <c r="A81" s="105" t="s">
        <v>630</v>
      </c>
      <c r="B81" s="290" t="s">
        <v>788</v>
      </c>
      <c r="C81" s="107"/>
      <c r="D81" s="95"/>
      <c r="E81" s="95"/>
      <c r="F81" s="291"/>
      <c r="G81" s="291"/>
      <c r="H81" s="291"/>
      <c r="I81" s="291"/>
      <c r="J81" s="291"/>
      <c r="K81" s="291"/>
      <c r="L81" s="291"/>
      <c r="M81" s="291"/>
      <c r="N81" s="291"/>
      <c r="O81" s="291"/>
      <c r="P81" s="278"/>
    </row>
    <row r="82" spans="1:16" ht="90" hidden="1" x14ac:dyDescent="0.25">
      <c r="A82" s="95" t="s">
        <v>790</v>
      </c>
      <c r="B82" s="16" t="s">
        <v>789</v>
      </c>
      <c r="C82" s="107"/>
      <c r="D82" s="95"/>
      <c r="E82" s="95"/>
      <c r="F82" s="279"/>
      <c r="G82" s="279"/>
      <c r="H82" s="279"/>
      <c r="I82" s="279"/>
      <c r="J82" s="279"/>
      <c r="K82" s="279"/>
      <c r="L82" s="279"/>
      <c r="M82" s="279"/>
      <c r="N82" s="279"/>
      <c r="O82" s="279"/>
    </row>
    <row r="83" spans="1:16" hidden="1" x14ac:dyDescent="0.25">
      <c r="A83" s="95"/>
      <c r="B83" s="290" t="s">
        <v>812</v>
      </c>
      <c r="C83" s="107"/>
      <c r="D83" s="95" t="s">
        <v>8</v>
      </c>
      <c r="E83" s="95"/>
      <c r="F83" s="279" t="s">
        <v>1412</v>
      </c>
      <c r="G83" s="279">
        <f>G94/(G94+G105+G106)*100</f>
        <v>49.073163444420928</v>
      </c>
      <c r="H83" s="279">
        <f>H94/(H94+H105+H106)*100</f>
        <v>49.460195617184596</v>
      </c>
      <c r="I83" s="279">
        <v>50.48</v>
      </c>
      <c r="J83" s="279" t="e">
        <f>J94/(J94+J105+J106)*100</f>
        <v>#DIV/0!</v>
      </c>
      <c r="K83" s="279" t="e">
        <f>K94/(K94+K105+K106)*100</f>
        <v>#DIV/0!</v>
      </c>
      <c r="L83" s="279" t="e">
        <f>L94/(L94+L105+L106)*100</f>
        <v>#DIV/0!</v>
      </c>
      <c r="M83" s="279" t="e">
        <f>M94/(M94+M105+M106)*100</f>
        <v>#DIV/0!</v>
      </c>
      <c r="N83" s="279"/>
      <c r="O83" s="279"/>
      <c r="P83" s="281"/>
    </row>
    <row r="84" spans="1:16" hidden="1" x14ac:dyDescent="0.25">
      <c r="A84" s="95"/>
      <c r="B84" s="16" t="s">
        <v>792</v>
      </c>
      <c r="C84" s="107"/>
      <c r="D84" s="95" t="s">
        <v>8</v>
      </c>
      <c r="E84" s="95"/>
      <c r="F84" s="279">
        <f t="shared" ref="F84:F89" si="40">F96/($F$94+$F$107+$F$108)*100</f>
        <v>80.060529450373139</v>
      </c>
      <c r="G84" s="279">
        <f t="shared" ref="G84:G89" si="41">G96/($G$94+$G$105+$G$106)*100</f>
        <v>40.81691087679112</v>
      </c>
      <c r="H84" s="279">
        <f t="shared" ref="H84:H89" si="42">H96/($H$94+$H$105+$H$106)*100</f>
        <v>39.706574223102635</v>
      </c>
      <c r="I84" s="279">
        <v>43.89</v>
      </c>
      <c r="J84" s="279">
        <f t="shared" ref="J84:M89" si="43">J96/($H$94+$H$105+$H$106)*100</f>
        <v>0</v>
      </c>
      <c r="K84" s="279">
        <f t="shared" si="43"/>
        <v>0</v>
      </c>
      <c r="L84" s="279">
        <f t="shared" si="43"/>
        <v>0</v>
      </c>
      <c r="M84" s="279">
        <f t="shared" si="43"/>
        <v>0</v>
      </c>
      <c r="N84" s="279"/>
      <c r="O84" s="279"/>
      <c r="P84" s="281"/>
    </row>
    <row r="85" spans="1:16" hidden="1" x14ac:dyDescent="0.25">
      <c r="A85" s="95"/>
      <c r="B85" s="16" t="s">
        <v>802</v>
      </c>
      <c r="C85" s="107"/>
      <c r="D85" s="95" t="s">
        <v>8</v>
      </c>
      <c r="E85" s="95"/>
      <c r="F85" s="279">
        <f t="shared" si="40"/>
        <v>3.9368451758757326</v>
      </c>
      <c r="G85" s="279">
        <f t="shared" si="41"/>
        <v>3.3033724650491121</v>
      </c>
      <c r="H85" s="279">
        <f t="shared" si="42"/>
        <v>4.3493871486938218</v>
      </c>
      <c r="I85" s="279">
        <v>2.86</v>
      </c>
      <c r="J85" s="279">
        <f t="shared" si="43"/>
        <v>0</v>
      </c>
      <c r="K85" s="279">
        <f t="shared" si="43"/>
        <v>0</v>
      </c>
      <c r="L85" s="279">
        <f t="shared" si="43"/>
        <v>0</v>
      </c>
      <c r="M85" s="279">
        <f t="shared" si="43"/>
        <v>0</v>
      </c>
      <c r="N85" s="279"/>
      <c r="O85" s="279"/>
      <c r="P85" s="281"/>
    </row>
    <row r="86" spans="1:16" hidden="1" x14ac:dyDescent="0.25">
      <c r="A86" s="95"/>
      <c r="B86" s="16" t="s">
        <v>803</v>
      </c>
      <c r="C86" s="107"/>
      <c r="D86" s="95" t="s">
        <v>8</v>
      </c>
      <c r="E86" s="95"/>
      <c r="F86" s="279">
        <f t="shared" si="40"/>
        <v>2.7177480127379248</v>
      </c>
      <c r="G86" s="279">
        <f t="shared" si="41"/>
        <v>0.42202497292317648</v>
      </c>
      <c r="H86" s="279">
        <f t="shared" si="42"/>
        <v>0.42466262226074036</v>
      </c>
      <c r="I86" s="279">
        <v>0.36</v>
      </c>
      <c r="J86" s="279">
        <f t="shared" si="43"/>
        <v>0</v>
      </c>
      <c r="K86" s="279">
        <f t="shared" si="43"/>
        <v>0</v>
      </c>
      <c r="L86" s="279">
        <f t="shared" si="43"/>
        <v>0</v>
      </c>
      <c r="M86" s="279">
        <f t="shared" si="43"/>
        <v>0</v>
      </c>
      <c r="N86" s="279"/>
      <c r="O86" s="279"/>
      <c r="P86" s="281"/>
    </row>
    <row r="87" spans="1:16" hidden="1" x14ac:dyDescent="0.25">
      <c r="A87" s="95"/>
      <c r="B87" s="16" t="s">
        <v>804</v>
      </c>
      <c r="C87" s="107"/>
      <c r="D87" s="95" t="s">
        <v>8</v>
      </c>
      <c r="E87" s="95"/>
      <c r="F87" s="279">
        <f t="shared" si="40"/>
        <v>0.72927048642341452</v>
      </c>
      <c r="G87" s="279">
        <f t="shared" si="41"/>
        <v>0.38841236446026867</v>
      </c>
      <c r="H87" s="279">
        <f t="shared" si="42"/>
        <v>0.40299616194131488</v>
      </c>
      <c r="I87" s="279">
        <v>0</v>
      </c>
      <c r="J87" s="279">
        <f t="shared" si="43"/>
        <v>0</v>
      </c>
      <c r="K87" s="279">
        <f t="shared" si="43"/>
        <v>0</v>
      </c>
      <c r="L87" s="279">
        <f t="shared" si="43"/>
        <v>0</v>
      </c>
      <c r="M87" s="279">
        <f t="shared" si="43"/>
        <v>0</v>
      </c>
      <c r="N87" s="279"/>
      <c r="O87" s="279"/>
      <c r="P87" s="281"/>
    </row>
    <row r="88" spans="1:16" hidden="1" x14ac:dyDescent="0.25">
      <c r="A88" s="95"/>
      <c r="B88" s="16" t="s">
        <v>805</v>
      </c>
      <c r="C88" s="107"/>
      <c r="D88" s="95" t="s">
        <v>8</v>
      </c>
      <c r="E88" s="95"/>
      <c r="F88" s="279">
        <f t="shared" si="40"/>
        <v>2.5694630138318302</v>
      </c>
      <c r="G88" s="279">
        <f t="shared" si="41"/>
        <v>1.3513513513513513</v>
      </c>
      <c r="H88" s="279">
        <f t="shared" si="42"/>
        <v>1.3067970781230656</v>
      </c>
      <c r="I88" s="279">
        <v>0</v>
      </c>
      <c r="J88" s="279">
        <f t="shared" si="43"/>
        <v>0</v>
      </c>
      <c r="K88" s="279">
        <f t="shared" si="43"/>
        <v>0</v>
      </c>
      <c r="L88" s="279">
        <f t="shared" si="43"/>
        <v>0</v>
      </c>
      <c r="M88" s="279">
        <f t="shared" si="43"/>
        <v>0</v>
      </c>
      <c r="N88" s="279"/>
      <c r="O88" s="279"/>
      <c r="P88" s="281"/>
    </row>
    <row r="89" spans="1:16" hidden="1" x14ac:dyDescent="0.25">
      <c r="A89" s="95"/>
      <c r="B89" s="16" t="s">
        <v>806</v>
      </c>
      <c r="C89" s="107"/>
      <c r="D89" s="95" t="s">
        <v>8</v>
      </c>
      <c r="E89" s="95"/>
      <c r="F89" s="279">
        <f t="shared" si="40"/>
        <v>6.8332644577873927</v>
      </c>
      <c r="G89" s="279">
        <f t="shared" si="41"/>
        <v>1.0457255966238002</v>
      </c>
      <c r="H89" s="279">
        <f t="shared" si="42"/>
        <v>0.35966324130246374</v>
      </c>
      <c r="I89" s="279">
        <v>0.25</v>
      </c>
      <c r="J89" s="279">
        <f t="shared" si="43"/>
        <v>0</v>
      </c>
      <c r="K89" s="279">
        <f t="shared" si="43"/>
        <v>0</v>
      </c>
      <c r="L89" s="279">
        <f t="shared" si="43"/>
        <v>0</v>
      </c>
      <c r="M89" s="279">
        <f t="shared" si="43"/>
        <v>0</v>
      </c>
      <c r="N89" s="279"/>
      <c r="O89" s="279"/>
      <c r="P89" s="281"/>
    </row>
    <row r="90" spans="1:16" hidden="1" x14ac:dyDescent="0.25">
      <c r="A90" s="95"/>
      <c r="B90" s="389" t="s">
        <v>807</v>
      </c>
      <c r="C90" s="107"/>
      <c r="D90" s="95" t="s">
        <v>8</v>
      </c>
      <c r="E90" s="95"/>
      <c r="F90" s="279">
        <f>(F102)/($F$94+$F$107+$F$108)*100</f>
        <v>1.1644018766560518</v>
      </c>
      <c r="G90" s="279">
        <f>(G102)/($G$94+$G$105+$G$106)*100</f>
        <v>0.2987787418925143</v>
      </c>
      <c r="H90" s="279">
        <f>(H102)/($H$94+$H$105+$H$106)*100</f>
        <v>0</v>
      </c>
      <c r="I90" s="279">
        <v>0</v>
      </c>
      <c r="J90" s="279">
        <f>(J102)/($H$94+$H$105+$H$106)*100</f>
        <v>0</v>
      </c>
      <c r="K90" s="279">
        <f>(K102)/($H$94+$H$105+$H$106)*100</f>
        <v>0</v>
      </c>
      <c r="L90" s="279">
        <f>(L102)/($H$94+$H$105+$H$106)*100</f>
        <v>0</v>
      </c>
      <c r="M90" s="279">
        <f>(M102)/($H$94+$H$105+$H$106)*100</f>
        <v>0</v>
      </c>
      <c r="N90" s="279"/>
      <c r="O90" s="279"/>
      <c r="P90" s="281"/>
    </row>
    <row r="91" spans="1:16" hidden="1" x14ac:dyDescent="0.25">
      <c r="A91" s="95"/>
      <c r="B91" s="16" t="s">
        <v>808</v>
      </c>
      <c r="C91" s="107"/>
      <c r="D91" s="95" t="s">
        <v>8</v>
      </c>
      <c r="E91" s="95"/>
      <c r="F91" s="279">
        <f>(F104+F103)/($F$94+$F$107+$F$108)*100</f>
        <v>1.98847752631451</v>
      </c>
      <c r="G91" s="279">
        <f>(G104+G103)/($G$94+$G$105+$G$106)*100</f>
        <v>1.4465870753295904</v>
      </c>
      <c r="H91" s="279">
        <f>(H104+H103)/($H$94+$H$105+$H$106)*100</f>
        <v>2.9101151417605546</v>
      </c>
      <c r="I91" s="279">
        <v>3.11</v>
      </c>
      <c r="J91" s="279">
        <f>(J104+J103)/($H$94+$H$105+$H$106)*100</f>
        <v>0</v>
      </c>
      <c r="K91" s="279">
        <f>(K104+K103)/($H$94+$H$105+$H$106)*100</f>
        <v>0</v>
      </c>
      <c r="L91" s="279">
        <f>(L104+L103)/($H$94+$H$105+$H$106)*100</f>
        <v>0</v>
      </c>
      <c r="M91" s="279">
        <f>(M104+M103)/($H$94+$H$105+$H$106)*100</f>
        <v>0</v>
      </c>
      <c r="N91" s="279"/>
      <c r="O91" s="279"/>
      <c r="P91" s="281"/>
    </row>
    <row r="92" spans="1:16" hidden="1" x14ac:dyDescent="0.25">
      <c r="A92" s="95"/>
      <c r="B92" s="290" t="s">
        <v>813</v>
      </c>
      <c r="C92" s="107"/>
      <c r="D92" s="95" t="s">
        <v>8</v>
      </c>
      <c r="E92" s="95"/>
      <c r="F92" s="279" t="s">
        <v>1412</v>
      </c>
      <c r="G92" s="279">
        <f>G105/(G94+G105+G106)*100</f>
        <v>12.21009125200742</v>
      </c>
      <c r="H92" s="279">
        <f>H105/(H94+H105+H106)*100</f>
        <v>12.220502661879411</v>
      </c>
      <c r="I92" s="279">
        <v>12.75</v>
      </c>
      <c r="J92" s="279" t="e">
        <f>J105/(J94+J105+J106)*100</f>
        <v>#DIV/0!</v>
      </c>
      <c r="K92" s="279" t="e">
        <f>K105/(K94+K105+K106)*100</f>
        <v>#DIV/0!</v>
      </c>
      <c r="L92" s="279" t="e">
        <f>L105/(L94+L105+L106)*100</f>
        <v>#DIV/0!</v>
      </c>
      <c r="M92" s="279" t="e">
        <f>M105/(M94+M105+M106)*100</f>
        <v>#DIV/0!</v>
      </c>
      <c r="N92" s="279"/>
      <c r="O92" s="279"/>
      <c r="P92" s="281"/>
    </row>
    <row r="93" spans="1:16" hidden="1" x14ac:dyDescent="0.25">
      <c r="A93" s="95"/>
      <c r="B93" s="290" t="s">
        <v>814</v>
      </c>
      <c r="C93" s="107"/>
      <c r="D93" s="95" t="s">
        <v>8</v>
      </c>
      <c r="E93" s="95"/>
      <c r="F93" s="279" t="s">
        <v>1412</v>
      </c>
      <c r="G93" s="279">
        <f>G106/(G94+G105+G106)*100</f>
        <v>38.716745303571656</v>
      </c>
      <c r="H93" s="279">
        <f>H106/(H94+H105+H106)*100</f>
        <v>38.319301720935989</v>
      </c>
      <c r="I93" s="279">
        <v>36.770000000000003</v>
      </c>
      <c r="J93" s="279" t="e">
        <f>J106/(J94+J105+J106)*100</f>
        <v>#DIV/0!</v>
      </c>
      <c r="K93" s="279" t="e">
        <f>K106/(K94+K105+K106)*100</f>
        <v>#DIV/0!</v>
      </c>
      <c r="L93" s="279" t="e">
        <f>L106/(L94+L105+L106)*100</f>
        <v>#DIV/0!</v>
      </c>
      <c r="M93" s="279" t="e">
        <f>M106/(M94+M105+M106)*100</f>
        <v>#DIV/0!</v>
      </c>
      <c r="N93" s="279"/>
      <c r="O93" s="279"/>
      <c r="P93" s="281"/>
    </row>
    <row r="94" spans="1:16" ht="45" hidden="1" x14ac:dyDescent="0.25">
      <c r="A94" s="95"/>
      <c r="B94" s="16" t="s">
        <v>791</v>
      </c>
      <c r="C94" s="107"/>
      <c r="D94" s="95" t="s">
        <v>950</v>
      </c>
      <c r="E94" s="95"/>
      <c r="F94" s="282">
        <f t="shared" ref="F94:K94" si="44">F96+F97+F98+F99+F100+F101+F102+F103+F104</f>
        <v>82274</v>
      </c>
      <c r="G94" s="282">
        <f t="shared" si="44"/>
        <v>78838</v>
      </c>
      <c r="H94" s="282">
        <f t="shared" si="44"/>
        <v>79898</v>
      </c>
      <c r="I94" s="282">
        <f t="shared" si="44"/>
        <v>79504</v>
      </c>
      <c r="J94" s="282">
        <f t="shared" si="44"/>
        <v>0</v>
      </c>
      <c r="K94" s="282">
        <f t="shared" si="44"/>
        <v>0</v>
      </c>
      <c r="L94" s="282">
        <f>L96+L97+L98+L99+L100+L101+L102+L103+L104</f>
        <v>0</v>
      </c>
      <c r="M94" s="282">
        <f>M96+M97+M98+M99+M100+M101+M102+M103+M104</f>
        <v>0</v>
      </c>
      <c r="N94" s="282"/>
      <c r="O94" s="282"/>
      <c r="P94" s="281"/>
    </row>
    <row r="95" spans="1:16" hidden="1" x14ac:dyDescent="0.25">
      <c r="A95" s="95"/>
      <c r="B95" s="16" t="s">
        <v>1411</v>
      </c>
      <c r="C95" s="107"/>
      <c r="D95" s="95"/>
      <c r="E95" s="95"/>
      <c r="F95" s="282"/>
      <c r="G95" s="282"/>
      <c r="H95" s="282"/>
      <c r="I95" s="282"/>
      <c r="J95" s="282"/>
      <c r="K95" s="282"/>
      <c r="L95" s="282"/>
      <c r="M95" s="282"/>
      <c r="N95" s="282"/>
      <c r="O95" s="282"/>
      <c r="P95" s="281"/>
    </row>
    <row r="96" spans="1:16" ht="45" hidden="1" x14ac:dyDescent="0.25">
      <c r="A96" s="95"/>
      <c r="B96" s="16" t="s">
        <v>792</v>
      </c>
      <c r="C96" s="95" t="s">
        <v>793</v>
      </c>
      <c r="D96" s="95" t="s">
        <v>950</v>
      </c>
      <c r="E96" s="95"/>
      <c r="F96" s="282">
        <v>65869</v>
      </c>
      <c r="G96" s="282">
        <v>65574</v>
      </c>
      <c r="H96" s="282">
        <v>64142</v>
      </c>
      <c r="I96" s="282">
        <v>69126</v>
      </c>
      <c r="J96" s="282"/>
      <c r="K96" s="282"/>
      <c r="L96" s="282"/>
      <c r="M96" s="282"/>
      <c r="N96" s="282"/>
      <c r="O96" s="282"/>
      <c r="P96" s="281"/>
    </row>
    <row r="97" spans="1:86" ht="45" hidden="1" x14ac:dyDescent="0.25">
      <c r="A97" s="95"/>
      <c r="B97" s="16" t="s">
        <v>802</v>
      </c>
      <c r="C97" s="95" t="s">
        <v>794</v>
      </c>
      <c r="D97" s="95" t="s">
        <v>950</v>
      </c>
      <c r="E97" s="95"/>
      <c r="F97" s="282">
        <v>3239</v>
      </c>
      <c r="G97" s="282">
        <v>5307</v>
      </c>
      <c r="H97" s="282">
        <v>7026</v>
      </c>
      <c r="I97" s="282">
        <v>4512</v>
      </c>
      <c r="J97" s="282"/>
      <c r="K97" s="282"/>
      <c r="L97" s="282"/>
      <c r="M97" s="282"/>
      <c r="N97" s="282"/>
      <c r="O97" s="282"/>
      <c r="P97" s="281"/>
    </row>
    <row r="98" spans="1:86" ht="45" hidden="1" x14ac:dyDescent="0.25">
      <c r="A98" s="95"/>
      <c r="B98" s="16" t="s">
        <v>803</v>
      </c>
      <c r="C98" s="95" t="s">
        <v>795</v>
      </c>
      <c r="D98" s="95" t="s">
        <v>950</v>
      </c>
      <c r="E98" s="95"/>
      <c r="F98" s="282">
        <v>2236</v>
      </c>
      <c r="G98" s="282">
        <v>678</v>
      </c>
      <c r="H98" s="282">
        <v>686</v>
      </c>
      <c r="I98" s="282">
        <v>570</v>
      </c>
      <c r="J98" s="282"/>
      <c r="K98" s="282"/>
      <c r="L98" s="282"/>
      <c r="M98" s="282"/>
      <c r="N98" s="282"/>
      <c r="O98" s="282"/>
      <c r="P98" s="281"/>
    </row>
    <row r="99" spans="1:86" ht="45" hidden="1" x14ac:dyDescent="0.25">
      <c r="A99" s="95"/>
      <c r="B99" s="16" t="s">
        <v>804</v>
      </c>
      <c r="C99" s="95" t="s">
        <v>796</v>
      </c>
      <c r="D99" s="95" t="s">
        <v>950</v>
      </c>
      <c r="E99" s="95"/>
      <c r="F99" s="282">
        <v>600</v>
      </c>
      <c r="G99" s="282">
        <v>624</v>
      </c>
      <c r="H99" s="282">
        <v>651</v>
      </c>
      <c r="I99" s="282">
        <v>0</v>
      </c>
      <c r="J99" s="282"/>
      <c r="K99" s="282"/>
      <c r="L99" s="282"/>
      <c r="M99" s="282"/>
      <c r="N99" s="282"/>
      <c r="O99" s="282"/>
      <c r="P99" s="281"/>
    </row>
    <row r="100" spans="1:86" ht="45" hidden="1" x14ac:dyDescent="0.25">
      <c r="A100" s="95"/>
      <c r="B100" s="16" t="s">
        <v>805</v>
      </c>
      <c r="C100" s="95" t="s">
        <v>797</v>
      </c>
      <c r="D100" s="95" t="s">
        <v>950</v>
      </c>
      <c r="E100" s="95"/>
      <c r="F100" s="282">
        <v>2114</v>
      </c>
      <c r="G100" s="282">
        <v>2171</v>
      </c>
      <c r="H100" s="282">
        <v>2111</v>
      </c>
      <c r="I100" s="282">
        <v>0</v>
      </c>
      <c r="J100" s="282"/>
      <c r="K100" s="282"/>
      <c r="L100" s="282"/>
      <c r="M100" s="282"/>
      <c r="N100" s="282"/>
      <c r="O100" s="282"/>
      <c r="P100" s="281"/>
    </row>
    <row r="101" spans="1:86" ht="45" hidden="1" x14ac:dyDescent="0.25">
      <c r="A101" s="95"/>
      <c r="B101" s="16" t="s">
        <v>806</v>
      </c>
      <c r="C101" s="95" t="s">
        <v>798</v>
      </c>
      <c r="D101" s="95" t="s">
        <v>950</v>
      </c>
      <c r="E101" s="95"/>
      <c r="F101" s="282">
        <v>5622</v>
      </c>
      <c r="G101" s="282">
        <v>1680</v>
      </c>
      <c r="H101" s="282">
        <v>581</v>
      </c>
      <c r="I101" s="282">
        <v>400</v>
      </c>
      <c r="J101" s="282"/>
      <c r="K101" s="282"/>
      <c r="L101" s="282"/>
      <c r="M101" s="282"/>
      <c r="N101" s="282"/>
      <c r="O101" s="282"/>
      <c r="P101" s="281"/>
    </row>
    <row r="102" spans="1:86" ht="45" hidden="1" x14ac:dyDescent="0.25">
      <c r="A102" s="419"/>
      <c r="B102" s="419" t="s">
        <v>807</v>
      </c>
      <c r="C102" s="95" t="s">
        <v>799</v>
      </c>
      <c r="D102" s="95" t="s">
        <v>950</v>
      </c>
      <c r="E102" s="95"/>
      <c r="F102" s="282">
        <v>958</v>
      </c>
      <c r="G102" s="282">
        <v>480</v>
      </c>
      <c r="H102" s="282">
        <v>0</v>
      </c>
      <c r="I102" s="282">
        <v>0</v>
      </c>
      <c r="J102" s="282"/>
      <c r="K102" s="282"/>
      <c r="L102" s="282"/>
      <c r="M102" s="282"/>
      <c r="N102" s="282"/>
      <c r="O102" s="282"/>
      <c r="P102" s="281"/>
    </row>
    <row r="103" spans="1:86" ht="45" hidden="1" x14ac:dyDescent="0.25">
      <c r="A103" s="421"/>
      <c r="B103" s="421"/>
      <c r="C103" s="95" t="s">
        <v>800</v>
      </c>
      <c r="D103" s="95" t="s">
        <v>950</v>
      </c>
      <c r="E103" s="95"/>
      <c r="F103" s="282">
        <v>480</v>
      </c>
      <c r="G103" s="282">
        <v>0</v>
      </c>
      <c r="H103" s="282">
        <v>0</v>
      </c>
      <c r="I103" s="282">
        <v>0</v>
      </c>
      <c r="J103" s="282"/>
      <c r="K103" s="282"/>
      <c r="L103" s="282"/>
      <c r="M103" s="282"/>
      <c r="N103" s="282"/>
      <c r="O103" s="282"/>
      <c r="P103" s="281"/>
    </row>
    <row r="104" spans="1:86" ht="45" hidden="1" x14ac:dyDescent="0.25">
      <c r="A104" s="95"/>
      <c r="B104" s="16" t="s">
        <v>808</v>
      </c>
      <c r="C104" s="95" t="s">
        <v>801</v>
      </c>
      <c r="D104" s="95" t="s">
        <v>950</v>
      </c>
      <c r="E104" s="95"/>
      <c r="F104" s="282">
        <v>1156</v>
      </c>
      <c r="G104" s="282">
        <v>2324</v>
      </c>
      <c r="H104" s="282">
        <v>4701</v>
      </c>
      <c r="I104" s="282">
        <v>4896</v>
      </c>
      <c r="J104" s="282"/>
      <c r="K104" s="282"/>
      <c r="L104" s="282"/>
      <c r="M104" s="282"/>
      <c r="N104" s="282"/>
      <c r="O104" s="282"/>
      <c r="P104" s="281"/>
    </row>
    <row r="105" spans="1:86" hidden="1" x14ac:dyDescent="0.25">
      <c r="A105" s="95"/>
      <c r="B105" s="16" t="s">
        <v>1409</v>
      </c>
      <c r="C105" s="95"/>
      <c r="D105" s="95" t="s">
        <v>950</v>
      </c>
      <c r="E105" s="281"/>
      <c r="F105" s="282" t="s">
        <v>1412</v>
      </c>
      <c r="G105" s="282">
        <v>19616</v>
      </c>
      <c r="H105" s="282">
        <v>19741</v>
      </c>
      <c r="I105" s="282">
        <v>20088</v>
      </c>
      <c r="J105" s="282"/>
      <c r="K105" s="282"/>
      <c r="L105" s="282"/>
      <c r="M105" s="282"/>
      <c r="N105" s="282"/>
      <c r="O105" s="282"/>
      <c r="P105" s="281"/>
    </row>
    <row r="106" spans="1:86" hidden="1" x14ac:dyDescent="0.25">
      <c r="A106" s="95"/>
      <c r="B106" s="16" t="s">
        <v>1410</v>
      </c>
      <c r="C106" s="95"/>
      <c r="D106" s="95" t="s">
        <v>950</v>
      </c>
      <c r="E106" s="281"/>
      <c r="F106" s="282" t="s">
        <v>1412</v>
      </c>
      <c r="G106" s="282">
        <v>62200</v>
      </c>
      <c r="H106" s="282">
        <v>61901</v>
      </c>
      <c r="I106" s="282">
        <v>59308</v>
      </c>
      <c r="J106" s="282"/>
      <c r="K106" s="282"/>
      <c r="L106" s="282"/>
      <c r="M106" s="282"/>
      <c r="N106" s="282"/>
      <c r="O106" s="282"/>
      <c r="P106" s="281"/>
      <c r="Q106" s="286"/>
    </row>
    <row r="107" spans="1:86" ht="60" hidden="1" x14ac:dyDescent="0.25">
      <c r="A107" s="95"/>
      <c r="B107" s="16" t="s">
        <v>809</v>
      </c>
      <c r="C107" s="95" t="s">
        <v>810</v>
      </c>
      <c r="D107" s="95" t="s">
        <v>950</v>
      </c>
      <c r="E107" s="95"/>
      <c r="F107" s="291"/>
      <c r="G107" s="291"/>
      <c r="H107" s="291"/>
      <c r="I107" s="291"/>
      <c r="J107" s="291"/>
      <c r="K107" s="291"/>
      <c r="L107" s="291"/>
      <c r="M107" s="291"/>
      <c r="N107" s="291"/>
      <c r="O107" s="291"/>
      <c r="P107" s="281"/>
    </row>
    <row r="108" spans="1:86" ht="45" hidden="1" x14ac:dyDescent="0.25">
      <c r="A108" s="16"/>
      <c r="B108" s="16" t="s">
        <v>811</v>
      </c>
      <c r="C108" s="95" t="s">
        <v>785</v>
      </c>
      <c r="D108" s="95" t="s">
        <v>950</v>
      </c>
      <c r="E108" s="95"/>
      <c r="F108" s="291"/>
      <c r="G108" s="291"/>
      <c r="H108" s="291"/>
      <c r="I108" s="291"/>
      <c r="J108" s="291"/>
      <c r="K108" s="291"/>
      <c r="L108" s="291"/>
      <c r="M108" s="291"/>
      <c r="N108" s="291"/>
      <c r="O108" s="291"/>
    </row>
    <row r="109" spans="1:86" ht="45" x14ac:dyDescent="0.25">
      <c r="A109" s="101" t="s">
        <v>631</v>
      </c>
      <c r="B109" s="96" t="s">
        <v>1870</v>
      </c>
      <c r="C109" s="101"/>
      <c r="D109" s="101" t="s">
        <v>8</v>
      </c>
      <c r="E109" s="101"/>
      <c r="F109" s="292"/>
      <c r="G109" s="292"/>
      <c r="H109" s="292"/>
      <c r="I109" s="293">
        <f>ROUND((I112+I113)/(I114+I115)*100,2)</f>
        <v>0.85</v>
      </c>
      <c r="J109" s="293">
        <f>((J112+J113+J116)/(J114+J115+J117))*100</f>
        <v>0.64692982456140358</v>
      </c>
      <c r="K109" s="293">
        <f>((K112+K113+K116)/(K114+K115+K117))*100</f>
        <v>0.64597928051549947</v>
      </c>
      <c r="L109" s="293">
        <f>((L112+L113+L116)/(L114+L115+L117))*100</f>
        <v>0.76467724967418782</v>
      </c>
      <c r="M109" s="293">
        <f>((M112+M113+M116)/(M114+M115+M117))*100</f>
        <v>14.985137261759048</v>
      </c>
      <c r="N109" s="293">
        <v>15.2</v>
      </c>
      <c r="O109" s="293">
        <v>15.3</v>
      </c>
      <c r="Q109" s="293">
        <f>((Q112+Q113+Q116)/(Q114+Q115+Q117))*100</f>
        <v>0.76467724967418782</v>
      </c>
      <c r="R109" s="293">
        <f>((R112+R113+R116)/(R114+R115+R117))*100</f>
        <v>0.98345481892861275</v>
      </c>
      <c r="S109" s="293">
        <f>((S112+S113+S116)/(S114+S115+S117))*100</f>
        <v>0.38012489818083084</v>
      </c>
      <c r="T109" s="293">
        <f>((T112+T113+T116)/(T114+T115+T117))*100</f>
        <v>0.48046124279308139</v>
      </c>
      <c r="V109" s="293">
        <f>((V112+V113+V116)/(V114+V115+V117))*100</f>
        <v>0.23223409196470043</v>
      </c>
      <c r="W109" s="293">
        <f>((W112+W113+W116)/(W114+W115+W117))*100</f>
        <v>0.22429906542056074</v>
      </c>
      <c r="Y109" s="293">
        <f>((Y112+Y113+Y116)/(Y114+Y115+Y117))*100</f>
        <v>0.43746783324755528</v>
      </c>
      <c r="Z109" s="293">
        <f>((Z112+Z113+Z116)/(Z114+Z115+Z117))*100</f>
        <v>0.2258610954263128</v>
      </c>
      <c r="AB109" s="293">
        <f>((AB112+AB113+AB116)/(AB114+AB115+AB117))*100</f>
        <v>2.2421524663677129E-2</v>
      </c>
      <c r="AC109" s="293">
        <f>((AC112+AC113+AC116)/(AC114+AC115+AC117))*100</f>
        <v>7.6804915514592939E-2</v>
      </c>
      <c r="AE109" s="293">
        <f>((AE112+AE113+AE116)/(AE114+AE115+AE117))*100</f>
        <v>1.2438625204582652</v>
      </c>
      <c r="AF109" s="293">
        <f>((AF112+AF113+AF116)/(AF114+AF115+AF117))*100</f>
        <v>1.2130033964095099</v>
      </c>
      <c r="AH109" s="293">
        <f>((AH112+AH113+AH116)/(AH114+AH115+AH117))*100</f>
        <v>0</v>
      </c>
      <c r="AI109" s="293">
        <f>((AI112+AI113+AI116)/(AI114+AI115+AI117))*100</f>
        <v>0.12200701540338571</v>
      </c>
      <c r="AK109" s="293">
        <f>((AK112+AK113+AK116)/(AK114+AK115+AK117))*100</f>
        <v>0.63051702395964693</v>
      </c>
      <c r="AL109" s="293">
        <f>((AL112+AL113+AL116)/(AL114+AL115+AL117))*100</f>
        <v>0.89643783911299824</v>
      </c>
      <c r="AN109" s="293">
        <f>((AN112+AN113+AN116)/(AN114+AN115+AN117))*100</f>
        <v>0.14047845308432838</v>
      </c>
      <c r="AO109" s="293">
        <f>((AO112+AO113+AO116)/(AO114+AO115+AO117))*100</f>
        <v>0.54738886681675714</v>
      </c>
      <c r="AQ109" s="293">
        <f>((AQ112+AQ113+AQ116)/(AQ114+AQ115+AQ117))*100</f>
        <v>0.54928288068355202</v>
      </c>
      <c r="AR109" s="293">
        <f>((AR112+AR113+AR116)/(AR114+AR115+AR117))*100</f>
        <v>3.3576642335766427</v>
      </c>
      <c r="AT109" s="293">
        <f>((AT112+AT113+AT116)/(AT114+AT115+AT117))*100</f>
        <v>4.3376865671641793</v>
      </c>
      <c r="AU109" s="293">
        <f>((AU112+AU113+AU116)/(AU114+AU115+AU117))*100</f>
        <v>4.4382022471910112</v>
      </c>
      <c r="AW109" s="293">
        <f>((AW112+AW113+AW116)/(AW114+AW115+AW117))*100</f>
        <v>3.3003300330033E-2</v>
      </c>
      <c r="AX109" s="293">
        <f>((AX112+AX113+AX116)/(AX114+AX115+AX117))*100</f>
        <v>0</v>
      </c>
      <c r="AZ109" s="293">
        <f>((AZ112+AZ113+AZ116)/(AZ114+AZ115+AZ117))*100</f>
        <v>0.29976019184652281</v>
      </c>
      <c r="BA109" s="293">
        <f>((BA112+BA113+BA116)/(BA114+BA115+BA117))*100</f>
        <v>0</v>
      </c>
      <c r="BC109" s="293">
        <f>((BC112+BC113+BC116)/(BC114+BC115+BC117))*100</f>
        <v>0.29691211401425177</v>
      </c>
      <c r="BD109" s="293">
        <f>((BD112+BD113+BD116)/(BD114+BD115+BD117))*100</f>
        <v>0.58045791680103187</v>
      </c>
      <c r="BF109" s="293">
        <f>((BF112+BF113+BF116)/(BF114+BF115+BF117))*100</f>
        <v>0.77557639427483605</v>
      </c>
      <c r="BG109" s="293">
        <f>((BG112+BG113+BG116)/(BG114+BG115+BG117))*100</f>
        <v>0.69298952457695406</v>
      </c>
      <c r="BI109" s="293">
        <f>((BI112+BI113+BI116)/(BI114+BI115+BI117))*100</f>
        <v>1.4301794345494274</v>
      </c>
      <c r="BJ109" s="293">
        <f>((BJ112+BJ113+BJ116)/(BJ114+BJ115+BJ117))*100</f>
        <v>1.7913802221047066</v>
      </c>
      <c r="BL109" s="293">
        <f>((BL112+BL113+BL116)/(BL114+BL115+BL117))*100</f>
        <v>0.45532157085941949</v>
      </c>
      <c r="BM109" s="293">
        <f>((BM112+BM113+BM116)/(BM114+BM115+BM117))*100</f>
        <v>0.3536977491961415</v>
      </c>
      <c r="BO109" s="293">
        <f>((BO112+BO113+BO116)/(BO114+BO115+BO117))*100</f>
        <v>1.5480797856504911</v>
      </c>
      <c r="BP109" s="293">
        <f>((BP112+BP113+BP116)/(BP114+BP115+BP117))*100</f>
        <v>1.6597510373443984</v>
      </c>
      <c r="BR109" s="293">
        <f>((BR112+BR113+BR116)/(BR114+BR115+BR117))*100</f>
        <v>0.32556974705735037</v>
      </c>
      <c r="BS109" s="293">
        <f>((BS112+BS113+BS116)/(BS114+BS115+BS117))*100</f>
        <v>0.27837921435199503</v>
      </c>
      <c r="BU109" s="293">
        <f>((BU112+BU113+BU116)/(BU114+BU115+BU117))*100</f>
        <v>0.8782435129740519</v>
      </c>
      <c r="BV109" s="293">
        <f>((BV112+BV113+BV116)/(BV114+BV115+BV117))*100</f>
        <v>1.2613521695257317</v>
      </c>
      <c r="BX109" s="293">
        <f>((BX112+BX113+BX116)/(BX114+BX115+BX117))*100</f>
        <v>2.4691358024691357</v>
      </c>
      <c r="BY109" s="293">
        <f>((BY112+BY113+BY116)/(BY114+BY115+BY117))*100</f>
        <v>1.10803324099723</v>
      </c>
      <c r="CA109" s="293">
        <f>((CA112+CA113+CA116)/(CA114+CA115+CA117))*100</f>
        <v>0.32903756512201809</v>
      </c>
      <c r="CB109" s="293">
        <f>((CB112+CB113+CB116)/(CB114+CB115+CB117))*100</f>
        <v>0.23615848858567304</v>
      </c>
      <c r="CD109" s="293">
        <f>((CD112+CD113+CD116)/(CD114+CD115+CD117))*100</f>
        <v>0.21645021645021645</v>
      </c>
      <c r="CE109" s="293">
        <f>((CE112+CE113+CE116)/(CE114+CE115+CE117))*100</f>
        <v>0.62391681109185437</v>
      </c>
      <c r="CG109" s="293">
        <f>((CG112+CG113+CG116)/(CG114+CG115+CG117))*100</f>
        <v>0</v>
      </c>
      <c r="CH109" s="293">
        <f>((CH112+CH113+CH116)/(CH114+CH115+CH117))*100</f>
        <v>0</v>
      </c>
    </row>
    <row r="110" spans="1:86" x14ac:dyDescent="0.25">
      <c r="A110" s="101"/>
      <c r="B110" s="16" t="s">
        <v>1182</v>
      </c>
      <c r="C110" s="101"/>
      <c r="D110" s="101"/>
      <c r="E110" s="101"/>
      <c r="F110" s="292"/>
      <c r="G110" s="292"/>
      <c r="H110" s="292"/>
      <c r="I110" s="293"/>
      <c r="J110" s="293">
        <f>(J112+J113)/(J115+J114)*100</f>
        <v>0.65198551863220733</v>
      </c>
      <c r="K110" s="293">
        <f>(K112+K113)/(K115+K114)*100</f>
        <v>0.65217391304347827</v>
      </c>
      <c r="L110" s="293">
        <f>(L112+L113)/(L115+L114)*100</f>
        <v>0.77108941718288848</v>
      </c>
      <c r="M110" s="293">
        <f>(M112+M113)/(M115+M114)*100</f>
        <v>14.985137261759048</v>
      </c>
      <c r="N110" s="293">
        <v>15.2</v>
      </c>
      <c r="O110" s="293">
        <v>15.3</v>
      </c>
      <c r="Q110" s="293">
        <f>(Q112+Q113)/(Q115+Q114)*100</f>
        <v>0.77108941718288848</v>
      </c>
      <c r="R110" s="293">
        <f>(R112+R113)/(R115+R114)*100</f>
        <v>0.87821101314718253</v>
      </c>
      <c r="S110" s="293">
        <f>(S112+S113)/(S115+S114)*100</f>
        <v>0.38012489818083084</v>
      </c>
      <c r="T110" s="293">
        <f>(T112+T113)/(T115+T114)*100</f>
        <v>0.48046124279308139</v>
      </c>
      <c r="V110" s="293">
        <f>(V112+V113)/(V115+V114)*100</f>
        <v>0.23223409196470043</v>
      </c>
      <c r="W110" s="293">
        <f>(W112+W113)/(W115+W114)*100</f>
        <v>0.22429906542056074</v>
      </c>
      <c r="Y110" s="293">
        <f>(Y112+Y113)/(Y115+Y114)*100</f>
        <v>0.43746783324755528</v>
      </c>
      <c r="Z110" s="293">
        <f>(Z112+Z113)/(Z115+Z114)*100</f>
        <v>0.2258610954263128</v>
      </c>
      <c r="AB110" s="293">
        <f>(AB112+AB113)/(AB115+AB114)*100</f>
        <v>2.2421524663677129E-2</v>
      </c>
      <c r="AC110" s="293">
        <f>(AC112+AC113)/(AC115+AC114)*100</f>
        <v>7.6804915514592939E-2</v>
      </c>
      <c r="AE110" s="293">
        <f>(AE112+AE113)/(AE115+AE114)*100</f>
        <v>1.2438625204582652</v>
      </c>
      <c r="AF110" s="293">
        <f>(AF112+AF113)/(AF115+AF114)*100</f>
        <v>1.2130033964095099</v>
      </c>
      <c r="AH110" s="293">
        <f>(AH112+AH113)/(AH115+AH114)*100</f>
        <v>0</v>
      </c>
      <c r="AI110" s="293">
        <f>(AI112+AI113)/(AI115+AI114)*100</f>
        <v>0.12200701540338571</v>
      </c>
      <c r="AK110" s="293">
        <f>(AK112+AK113)/(AK115+AK114)*100</f>
        <v>0.63051702395964693</v>
      </c>
      <c r="AL110" s="293">
        <f>(AL112+AL113)/(AL115+AL114)*100</f>
        <v>0.89643783911299824</v>
      </c>
      <c r="AN110" s="293">
        <f>(AN112+AN113)/(AN115+AN114)*100</f>
        <v>0.14432464555564989</v>
      </c>
      <c r="AO110" s="293">
        <f>(AO112+AO113)/(AO115+AO114)*100</f>
        <v>0.1668365928260265</v>
      </c>
      <c r="AQ110" s="293">
        <f>(AQ112+AQ113)/(AQ115+AQ114)*100</f>
        <v>0.54928288068355202</v>
      </c>
      <c r="AR110" s="293">
        <f>(AR112+AR113)/(AR115+AR114)*100</f>
        <v>3.3576642335766427</v>
      </c>
      <c r="AT110" s="293">
        <f>(AT112+AT113)/(AT115+AT114)*100</f>
        <v>4.9433026222537206</v>
      </c>
      <c r="AU110" s="293">
        <f>(AU112+AU113)/(AU115+AU114)*100</f>
        <v>5.580081229030549</v>
      </c>
      <c r="AW110" s="293">
        <f>(AW112+AW113)/(AW115+AW114)*100</f>
        <v>3.3003300330033E-2</v>
      </c>
      <c r="AX110" s="293">
        <f>(AX112+AX113)/(AX115+AX114)*100</f>
        <v>0</v>
      </c>
      <c r="AZ110" s="293">
        <f>(AZ112+AZ113)/(AZ115+AZ114)*100</f>
        <v>0.29976019184652281</v>
      </c>
      <c r="BA110" s="293">
        <f>(BA112+BA113)/(BA115+BA114)*100</f>
        <v>0</v>
      </c>
      <c r="BC110" s="293">
        <f>(BC112+BC113)/(BC115+BC114)*100</f>
        <v>0.29691211401425177</v>
      </c>
      <c r="BD110" s="293">
        <f>(BD112+BD113)/(BD115+BD114)*100</f>
        <v>0.58045791680103187</v>
      </c>
      <c r="BF110" s="293">
        <f>(BF112+BF113)/(BF115+BF114)*100</f>
        <v>0.77557639427483605</v>
      </c>
      <c r="BG110" s="293">
        <f>(BG112+BG113)/(BG115+BG114)*100</f>
        <v>0.69298952457695406</v>
      </c>
      <c r="BI110" s="293">
        <f>(BI112+BI113)/(BI115+BI114)*100</f>
        <v>1.5117098770267097</v>
      </c>
      <c r="BJ110" s="293">
        <f>(BJ112+BJ113)/(BJ115+BJ114)*100</f>
        <v>1.4837035835900763</v>
      </c>
      <c r="BL110" s="293">
        <f>(BL112+BL113)/(BL115+BL114)*100</f>
        <v>0.46907065376722368</v>
      </c>
      <c r="BM110" s="293">
        <f>(BM112+BM113)/(BM115+BM114)*100</f>
        <v>0.36544850498338871</v>
      </c>
      <c r="BO110" s="293">
        <f>(BO112+BO113)/(BO115+BO114)*100</f>
        <v>1.5480797856504911</v>
      </c>
      <c r="BP110" s="293">
        <f>(BP112+BP113)/(BP115+BP114)*100</f>
        <v>1.6597510373443984</v>
      </c>
      <c r="BR110" s="293">
        <f>(BR112+BR113)/(BR115+BR114)*100</f>
        <v>0.32556974705735037</v>
      </c>
      <c r="BS110" s="293">
        <f>(BS112+BS113)/(BS115+BS114)*100</f>
        <v>0.27837921435199503</v>
      </c>
      <c r="BU110" s="293">
        <f>(BU112+BU113)/(BU115+BU114)*100</f>
        <v>0.94218415417558887</v>
      </c>
      <c r="BV110" s="293">
        <f>(BV112+BV113)/(BV115+BV114)*100</f>
        <v>1.3383297644539616</v>
      </c>
      <c r="BX110" s="293">
        <f>(BX112+BX113)/(BX115+BX114)*100</f>
        <v>2.4691358024691357</v>
      </c>
      <c r="BY110" s="293">
        <f>(BY112+BY113)/(BY115+BY114)*100</f>
        <v>1.10803324099723</v>
      </c>
      <c r="CA110" s="293">
        <f>(CA112+CA113)/(CA115+CA114)*100</f>
        <v>0.32903756512201809</v>
      </c>
      <c r="CB110" s="293">
        <f>(CB112+CB113)/(CB115+CB114)*100</f>
        <v>0.23615848858567304</v>
      </c>
      <c r="CD110" s="293">
        <f>(CD112+CD113)/(CD115+CD114)*100</f>
        <v>0.21645021645021645</v>
      </c>
      <c r="CE110" s="293">
        <f>(CE112+CE113)/(CE115+CE114)*100</f>
        <v>0.62391681109185437</v>
      </c>
      <c r="CG110" s="293">
        <f>(CG112+CG113)/(CG115+CG114)*100</f>
        <v>0</v>
      </c>
      <c r="CH110" s="293">
        <f>(CH112+CH113)/(CH115+CH114)*100</f>
        <v>0</v>
      </c>
    </row>
    <row r="111" spans="1:86" x14ac:dyDescent="0.25">
      <c r="A111" s="101"/>
      <c r="B111" s="16" t="s">
        <v>1184</v>
      </c>
      <c r="C111" s="101"/>
      <c r="D111" s="101"/>
      <c r="E111" s="101"/>
      <c r="F111" s="292"/>
      <c r="G111" s="292"/>
      <c r="H111" s="292"/>
      <c r="I111" s="293"/>
      <c r="J111" s="293">
        <f>J116/J117*100</f>
        <v>0.49869389693659466</v>
      </c>
      <c r="K111" s="293">
        <f>K116/K117*100</f>
        <v>0.4983057604145904</v>
      </c>
      <c r="L111" s="293">
        <f>L116/L117*100</f>
        <v>0.56902523503216229</v>
      </c>
      <c r="M111" s="293" t="e">
        <f>M116/M117*100</f>
        <v>#DIV/0!</v>
      </c>
      <c r="N111" s="293"/>
      <c r="O111" s="293"/>
      <c r="Q111" s="293">
        <f>Q116/Q117*100</f>
        <v>0.56902523503216229</v>
      </c>
      <c r="R111" s="293">
        <f>R116/R117*100</f>
        <v>3.1768953068592056</v>
      </c>
      <c r="S111" s="293" t="e">
        <f>S116/S117*100</f>
        <v>#DIV/0!</v>
      </c>
      <c r="T111" s="293" t="e">
        <f>T116/T117*100</f>
        <v>#DIV/0!</v>
      </c>
      <c r="V111" s="293" t="e">
        <f>V116/V117*100</f>
        <v>#DIV/0!</v>
      </c>
      <c r="W111" s="293" t="e">
        <f>W116/W117*100</f>
        <v>#DIV/0!</v>
      </c>
      <c r="Y111" s="293" t="e">
        <f>Y116/Y117*100</f>
        <v>#DIV/0!</v>
      </c>
      <c r="Z111" s="293" t="e">
        <f>Z116/Z117*100</f>
        <v>#DIV/0!</v>
      </c>
      <c r="AB111" s="293" t="e">
        <f>AB116/AB117*100</f>
        <v>#DIV/0!</v>
      </c>
      <c r="AC111" s="293" t="e">
        <f>AC116/AC117*100</f>
        <v>#DIV/0!</v>
      </c>
      <c r="AE111" s="293" t="e">
        <f>AE116/AE117*100</f>
        <v>#DIV/0!</v>
      </c>
      <c r="AF111" s="293" t="e">
        <f>AF116/AF117*100</f>
        <v>#DIV/0!</v>
      </c>
      <c r="AH111" s="293" t="e">
        <f>AH116/AH117*100</f>
        <v>#DIV/0!</v>
      </c>
      <c r="AI111" s="293" t="e">
        <f>AI116/AI117*100</f>
        <v>#DIV/0!</v>
      </c>
      <c r="AK111" s="293" t="e">
        <f>AK116/AK117*100</f>
        <v>#DIV/0!</v>
      </c>
      <c r="AL111" s="293" t="e">
        <f>AL116/AL117*100</f>
        <v>#DIV/0!</v>
      </c>
      <c r="AN111" s="293">
        <f>AN116/AN117*100</f>
        <v>0</v>
      </c>
      <c r="AO111" s="293">
        <f>AO116/AO117*100</f>
        <v>8.1860465116279055</v>
      </c>
      <c r="AQ111" s="293" t="e">
        <f>AQ116/AQ117*100</f>
        <v>#DIV/0!</v>
      </c>
      <c r="AR111" s="293" t="e">
        <f>AR116/AR117*100</f>
        <v>#DIV/0!</v>
      </c>
      <c r="AT111" s="293">
        <f>AT116/AT117*100</f>
        <v>0</v>
      </c>
      <c r="AU111" s="293">
        <f>AU116/AU117*100</f>
        <v>0</v>
      </c>
      <c r="AW111" s="293" t="e">
        <f>AW116/AW117*100</f>
        <v>#DIV/0!</v>
      </c>
      <c r="AX111" s="293" t="e">
        <f>AX116/AX117*100</f>
        <v>#DIV/0!</v>
      </c>
      <c r="AZ111" s="293" t="e">
        <f>AZ116/AZ117*100</f>
        <v>#DIV/0!</v>
      </c>
      <c r="BA111" s="293" t="e">
        <f>BA116/BA117*100</f>
        <v>#DIV/0!</v>
      </c>
      <c r="BC111" s="293" t="e">
        <f>BC116/BC117*100</f>
        <v>#DIV/0!</v>
      </c>
      <c r="BD111" s="293" t="e">
        <f>BD116/BD117*100</f>
        <v>#DIV/0!</v>
      </c>
      <c r="BF111" s="293" t="e">
        <f>BF116/BF117*100</f>
        <v>#DIV/0!</v>
      </c>
      <c r="BG111" s="293" t="e">
        <f>BG116/BG117*100</f>
        <v>#DIV/0!</v>
      </c>
      <c r="BI111" s="293">
        <f>BI116/BI117*100</f>
        <v>0.9845890410958904</v>
      </c>
      <c r="BJ111" s="293">
        <f>BJ116/BJ117*100</f>
        <v>3.1496062992125982</v>
      </c>
      <c r="BL111" s="293">
        <f>BL116/BL117*100</f>
        <v>0</v>
      </c>
      <c r="BM111" s="293">
        <f>BM116/BM117*100</f>
        <v>0</v>
      </c>
      <c r="BO111" s="293" t="e">
        <f>BO116/BO117*100</f>
        <v>#DIV/0!</v>
      </c>
      <c r="BP111" s="293" t="e">
        <f>BP116/BP117*100</f>
        <v>#DIV/0!</v>
      </c>
      <c r="BR111" s="293" t="e">
        <f>BR116/BR117*100</f>
        <v>#DIV/0!</v>
      </c>
      <c r="BS111" s="293" t="e">
        <f>BS116/BS117*100</f>
        <v>#DIV/0!</v>
      </c>
      <c r="BU111" s="293">
        <f>BU116/BU117*100</f>
        <v>0</v>
      </c>
      <c r="BV111" s="293">
        <f>BV116/BV117*100</f>
        <v>0</v>
      </c>
      <c r="BX111" s="293" t="e">
        <f>BX116/BX117*100</f>
        <v>#DIV/0!</v>
      </c>
      <c r="BY111" s="293" t="e">
        <f>BY116/BY117*100</f>
        <v>#DIV/0!</v>
      </c>
      <c r="CA111" s="293" t="e">
        <f>CA116/CA117*100</f>
        <v>#DIV/0!</v>
      </c>
      <c r="CB111" s="293" t="e">
        <f>CB116/CB117*100</f>
        <v>#DIV/0!</v>
      </c>
      <c r="CD111" s="293" t="e">
        <f>CD116/CD117*100</f>
        <v>#DIV/0!</v>
      </c>
      <c r="CE111" s="293" t="e">
        <f>CE116/CE117*100</f>
        <v>#DIV/0!</v>
      </c>
      <c r="CG111" s="293" t="e">
        <f>CG116/CG117*100</f>
        <v>#DIV/0!</v>
      </c>
      <c r="CH111" s="293" t="e">
        <f>CH116/CH117*100</f>
        <v>#DIV/0!</v>
      </c>
    </row>
    <row r="112" spans="1:86" ht="45" x14ac:dyDescent="0.25">
      <c r="A112" s="95"/>
      <c r="B112" s="294" t="s">
        <v>1182</v>
      </c>
      <c r="C112" s="95" t="s">
        <v>1561</v>
      </c>
      <c r="D112" s="95" t="s">
        <v>950</v>
      </c>
      <c r="E112" s="95"/>
      <c r="F112" s="291"/>
      <c r="G112" s="291"/>
      <c r="H112" s="291"/>
      <c r="I112" s="282">
        <v>674</v>
      </c>
      <c r="J112" s="282">
        <v>636</v>
      </c>
      <c r="K112" s="282">
        <v>674</v>
      </c>
      <c r="L112" s="282">
        <v>825</v>
      </c>
      <c r="M112" s="282">
        <v>857</v>
      </c>
      <c r="N112" s="282">
        <v>835</v>
      </c>
      <c r="O112" s="282">
        <v>670</v>
      </c>
      <c r="P112" s="295"/>
      <c r="Q112" s="286">
        <f t="shared" ref="Q112:R117" si="45">S112+V112+Y112+AB112+AE112+AH112+AK112+AN112+AQ112+AT112+AW112+AZ112+BC112+BF112+BI112+BL112+BO112+BR112+BU112+BX112+CA112+CD112+CG112</f>
        <v>825</v>
      </c>
      <c r="R112" s="286">
        <f t="shared" si="45"/>
        <v>910</v>
      </c>
      <c r="S112" s="286">
        <v>13</v>
      </c>
      <c r="T112" s="286">
        <v>13</v>
      </c>
      <c r="U112" s="286"/>
      <c r="V112" s="286">
        <v>5</v>
      </c>
      <c r="W112" s="286">
        <v>6</v>
      </c>
      <c r="X112" s="286"/>
      <c r="Y112" s="286">
        <v>15</v>
      </c>
      <c r="Z112" s="286">
        <v>4</v>
      </c>
      <c r="AA112" s="286"/>
      <c r="AB112" s="286">
        <v>1</v>
      </c>
      <c r="AC112" s="286">
        <v>3</v>
      </c>
      <c r="AD112" s="286"/>
      <c r="AE112" s="286">
        <v>62</v>
      </c>
      <c r="AF112" s="286">
        <v>62</v>
      </c>
      <c r="AG112" s="286"/>
      <c r="AH112" s="286">
        <v>0</v>
      </c>
      <c r="AI112" s="286">
        <v>6</v>
      </c>
      <c r="AJ112" s="286"/>
      <c r="AK112" s="286">
        <v>25</v>
      </c>
      <c r="AL112" s="286">
        <v>38</v>
      </c>
      <c r="AM112" s="286"/>
      <c r="AN112" s="286">
        <v>27</v>
      </c>
      <c r="AO112" s="286">
        <v>27</v>
      </c>
      <c r="AP112" s="286"/>
      <c r="AQ112" s="286">
        <v>0</v>
      </c>
      <c r="AR112" s="286">
        <v>92</v>
      </c>
      <c r="AS112" s="286"/>
      <c r="AT112" s="286">
        <v>279</v>
      </c>
      <c r="AU112" s="286">
        <v>316</v>
      </c>
      <c r="AV112" s="286"/>
      <c r="AW112" s="286">
        <v>1</v>
      </c>
      <c r="AX112" s="286">
        <v>0</v>
      </c>
      <c r="AY112" s="286"/>
      <c r="AZ112" s="286">
        <v>0</v>
      </c>
      <c r="BA112" s="286">
        <v>0</v>
      </c>
      <c r="BB112" s="286"/>
      <c r="BC112" s="286">
        <v>18</v>
      </c>
      <c r="BD112" s="286">
        <v>19</v>
      </c>
      <c r="BE112" s="286"/>
      <c r="BF112" s="286">
        <v>103</v>
      </c>
      <c r="BG112" s="286">
        <v>80</v>
      </c>
      <c r="BH112" s="286"/>
      <c r="BI112" s="286">
        <v>161</v>
      </c>
      <c r="BJ112" s="286">
        <v>148</v>
      </c>
      <c r="BK112" s="286"/>
      <c r="BL112" s="286">
        <v>13</v>
      </c>
      <c r="BM112" s="286">
        <v>11</v>
      </c>
      <c r="BN112" s="286"/>
      <c r="BO112" s="286">
        <v>52</v>
      </c>
      <c r="BP112" s="286">
        <v>31</v>
      </c>
      <c r="BQ112" s="286"/>
      <c r="BR112" s="286">
        <v>13</v>
      </c>
      <c r="BS112" s="286">
        <v>4</v>
      </c>
      <c r="BT112" s="286"/>
      <c r="BU112" s="286">
        <v>22</v>
      </c>
      <c r="BV112" s="286">
        <v>25</v>
      </c>
      <c r="BW112" s="286"/>
      <c r="BX112" s="286">
        <v>0</v>
      </c>
      <c r="BY112" s="286">
        <v>0</v>
      </c>
      <c r="BZ112" s="286"/>
      <c r="CA112" s="286">
        <v>7</v>
      </c>
      <c r="CB112" s="286">
        <v>7</v>
      </c>
      <c r="CC112" s="286"/>
      <c r="CD112" s="286">
        <v>8</v>
      </c>
      <c r="CE112" s="286">
        <v>18</v>
      </c>
      <c r="CF112" s="286"/>
      <c r="CG112" s="286">
        <v>0</v>
      </c>
      <c r="CH112" s="286">
        <v>0</v>
      </c>
    </row>
    <row r="113" spans="1:86" ht="45" x14ac:dyDescent="0.25">
      <c r="A113" s="95"/>
      <c r="B113" s="294"/>
      <c r="C113" s="95" t="s">
        <v>1561</v>
      </c>
      <c r="D113" s="95" t="s">
        <v>950</v>
      </c>
      <c r="E113" s="95"/>
      <c r="F113" s="291"/>
      <c r="G113" s="291"/>
      <c r="H113" s="291"/>
      <c r="I113" s="282">
        <v>0</v>
      </c>
      <c r="J113" s="282">
        <v>169</v>
      </c>
      <c r="K113" s="282">
        <v>106</v>
      </c>
      <c r="L113" s="282">
        <v>126</v>
      </c>
      <c r="M113" s="282">
        <v>857</v>
      </c>
      <c r="N113" s="282">
        <v>835</v>
      </c>
      <c r="O113" s="282">
        <v>670</v>
      </c>
      <c r="P113" s="295"/>
      <c r="Q113" s="286">
        <f t="shared" si="45"/>
        <v>126</v>
      </c>
      <c r="R113" s="286">
        <f t="shared" si="45"/>
        <v>104</v>
      </c>
      <c r="S113" s="286">
        <v>1</v>
      </c>
      <c r="T113" s="286">
        <v>2</v>
      </c>
      <c r="U113" s="286"/>
      <c r="V113" s="286">
        <v>0</v>
      </c>
      <c r="W113" s="286">
        <v>0</v>
      </c>
      <c r="X113" s="286"/>
      <c r="Y113" s="286">
        <v>2</v>
      </c>
      <c r="Z113" s="286">
        <v>0</v>
      </c>
      <c r="AA113" s="286"/>
      <c r="AB113" s="286">
        <v>0</v>
      </c>
      <c r="AC113" s="286">
        <v>0</v>
      </c>
      <c r="AD113" s="286"/>
      <c r="AE113" s="286">
        <v>14</v>
      </c>
      <c r="AF113" s="286">
        <v>13</v>
      </c>
      <c r="AG113" s="286"/>
      <c r="AH113" s="286">
        <v>0</v>
      </c>
      <c r="AI113" s="286">
        <v>2</v>
      </c>
      <c r="AJ113" s="286"/>
      <c r="AK113" s="286">
        <v>0</v>
      </c>
      <c r="AL113" s="286">
        <v>0</v>
      </c>
      <c r="AM113" s="286"/>
      <c r="AN113" s="286">
        <v>7</v>
      </c>
      <c r="AO113" s="286">
        <v>9</v>
      </c>
      <c r="AP113" s="286"/>
      <c r="AQ113" s="286">
        <v>18</v>
      </c>
      <c r="AR113" s="286">
        <v>0</v>
      </c>
      <c r="AS113" s="286"/>
      <c r="AT113" s="286">
        <v>0</v>
      </c>
      <c r="AU113" s="286">
        <v>0</v>
      </c>
      <c r="AV113" s="286"/>
      <c r="AW113" s="286">
        <v>0</v>
      </c>
      <c r="AX113" s="286">
        <v>0</v>
      </c>
      <c r="AY113" s="286"/>
      <c r="AZ113" s="286">
        <f>4+11</f>
        <v>15</v>
      </c>
      <c r="BA113" s="286">
        <v>0</v>
      </c>
      <c r="BB113" s="286"/>
      <c r="BC113" s="286">
        <v>2</v>
      </c>
      <c r="BD113" s="286">
        <v>17</v>
      </c>
      <c r="BE113" s="286"/>
      <c r="BF113" s="286">
        <v>7</v>
      </c>
      <c r="BG113" s="286">
        <v>6</v>
      </c>
      <c r="BH113" s="286"/>
      <c r="BI113" s="286">
        <v>32</v>
      </c>
      <c r="BJ113" s="286">
        <v>35</v>
      </c>
      <c r="BK113" s="286"/>
      <c r="BL113" s="286">
        <v>3</v>
      </c>
      <c r="BM113" s="286">
        <v>0</v>
      </c>
      <c r="BN113" s="286"/>
      <c r="BO113" s="286">
        <v>0</v>
      </c>
      <c r="BP113" s="286">
        <v>1</v>
      </c>
      <c r="BQ113" s="286"/>
      <c r="BR113" s="286">
        <v>0</v>
      </c>
      <c r="BS113" s="286">
        <v>5</v>
      </c>
      <c r="BT113" s="286"/>
      <c r="BU113" s="286">
        <v>0</v>
      </c>
      <c r="BV113" s="286">
        <v>0</v>
      </c>
      <c r="BW113" s="286"/>
      <c r="BX113" s="286">
        <v>20</v>
      </c>
      <c r="BY113" s="286">
        <v>12</v>
      </c>
      <c r="BZ113" s="286"/>
      <c r="CA113" s="286">
        <v>5</v>
      </c>
      <c r="CB113" s="286">
        <v>2</v>
      </c>
      <c r="CC113" s="286"/>
      <c r="CD113" s="286">
        <v>0</v>
      </c>
      <c r="CE113" s="286"/>
      <c r="CF113" s="286"/>
      <c r="CG113" s="286">
        <v>0</v>
      </c>
      <c r="CH113" s="286"/>
    </row>
    <row r="114" spans="1:86" ht="45" x14ac:dyDescent="0.25">
      <c r="A114" s="95"/>
      <c r="B114" s="294"/>
      <c r="C114" s="95" t="s">
        <v>1562</v>
      </c>
      <c r="D114" s="95" t="s">
        <v>950</v>
      </c>
      <c r="E114" s="95"/>
      <c r="F114" s="291"/>
      <c r="G114" s="291"/>
      <c r="H114" s="291"/>
      <c r="I114" s="282">
        <v>79266</v>
      </c>
      <c r="J114" s="282">
        <v>74454</v>
      </c>
      <c r="K114" s="282">
        <v>78769</v>
      </c>
      <c r="L114" s="282">
        <v>89308</v>
      </c>
      <c r="M114" s="282">
        <v>5719</v>
      </c>
      <c r="N114" s="282">
        <v>5497</v>
      </c>
      <c r="O114" s="282">
        <v>4825</v>
      </c>
      <c r="P114" s="295"/>
      <c r="Q114" s="286">
        <f t="shared" si="45"/>
        <v>89308</v>
      </c>
      <c r="R114" s="286">
        <f>T114+W114+Z114+AC114+AF114+AI114+AL114+AO114+AR114+AU114+AX114+BA114+BD114+BG114+BJ114+BM114+BP114+BS114+BV114+BY114+CB114+CE114+CH114</f>
        <v>91209</v>
      </c>
      <c r="S114" s="286">
        <v>2690</v>
      </c>
      <c r="T114" s="286">
        <v>2690</v>
      </c>
      <c r="U114" s="286"/>
      <c r="V114" s="286">
        <v>1410</v>
      </c>
      <c r="W114" s="286">
        <v>1892</v>
      </c>
      <c r="X114" s="286"/>
      <c r="Y114" s="286">
        <v>1097</v>
      </c>
      <c r="Z114" s="286">
        <v>1032</v>
      </c>
      <c r="AA114" s="286"/>
      <c r="AB114" s="286">
        <v>3407</v>
      </c>
      <c r="AC114" s="286">
        <v>3456</v>
      </c>
      <c r="AD114" s="286"/>
      <c r="AE114" s="286">
        <v>5086</v>
      </c>
      <c r="AF114" s="286">
        <v>5086</v>
      </c>
      <c r="AG114" s="286"/>
      <c r="AH114" s="286">
        <v>2049</v>
      </c>
      <c r="AI114" s="286">
        <v>5719</v>
      </c>
      <c r="AJ114" s="286"/>
      <c r="AK114" s="286">
        <v>3188</v>
      </c>
      <c r="AL114" s="286">
        <v>3493</v>
      </c>
      <c r="AM114" s="286"/>
      <c r="AN114" s="286">
        <v>20792</v>
      </c>
      <c r="AO114" s="286">
        <v>18924</v>
      </c>
      <c r="AP114" s="286"/>
      <c r="AQ114" s="286">
        <v>2509</v>
      </c>
      <c r="AR114" s="286">
        <v>2583</v>
      </c>
      <c r="AS114" s="286"/>
      <c r="AT114" s="286">
        <v>5644</v>
      </c>
      <c r="AU114" s="286">
        <v>5663</v>
      </c>
      <c r="AV114" s="286"/>
      <c r="AW114" s="286">
        <v>3030</v>
      </c>
      <c r="AX114" s="286">
        <v>3106</v>
      </c>
      <c r="AY114" s="286"/>
      <c r="AZ114" s="286">
        <v>0</v>
      </c>
      <c r="BA114" s="286">
        <v>0</v>
      </c>
      <c r="BB114" s="286"/>
      <c r="BC114" s="286">
        <v>4610</v>
      </c>
      <c r="BD114" s="286">
        <v>4564</v>
      </c>
      <c r="BE114" s="286"/>
      <c r="BF114" s="286">
        <v>10471</v>
      </c>
      <c r="BG114" s="286">
        <v>8657</v>
      </c>
      <c r="BH114" s="286"/>
      <c r="BI114" s="286">
        <v>8930</v>
      </c>
      <c r="BJ114" s="286">
        <v>8775</v>
      </c>
      <c r="BK114" s="286"/>
      <c r="BL114" s="286">
        <v>1920</v>
      </c>
      <c r="BM114" s="286">
        <v>1996</v>
      </c>
      <c r="BN114" s="286"/>
      <c r="BO114" s="286">
        <v>1039</v>
      </c>
      <c r="BP114" s="286">
        <v>1072</v>
      </c>
      <c r="BQ114" s="286"/>
      <c r="BR114" s="286">
        <v>3010</v>
      </c>
      <c r="BS114" s="286">
        <v>2250</v>
      </c>
      <c r="BT114" s="286"/>
      <c r="BU114" s="286">
        <v>2335</v>
      </c>
      <c r="BV114" s="286">
        <v>1868</v>
      </c>
      <c r="BW114" s="286"/>
      <c r="BX114" s="286">
        <v>0</v>
      </c>
      <c r="BY114" s="286">
        <v>0</v>
      </c>
      <c r="BZ114" s="286"/>
      <c r="CA114" s="286">
        <v>2635</v>
      </c>
      <c r="CB114" s="286">
        <v>2897</v>
      </c>
      <c r="CC114" s="286"/>
      <c r="CD114" s="286">
        <v>2504</v>
      </c>
      <c r="CE114" s="286">
        <v>1697</v>
      </c>
      <c r="CF114" s="286"/>
      <c r="CG114" s="286">
        <v>952</v>
      </c>
      <c r="CH114" s="286">
        <v>3789</v>
      </c>
    </row>
    <row r="115" spans="1:86" ht="45" x14ac:dyDescent="0.25">
      <c r="A115" s="95"/>
      <c r="B115" s="294"/>
      <c r="C115" s="95" t="s">
        <v>1562</v>
      </c>
      <c r="D115" s="95" t="s">
        <v>950</v>
      </c>
      <c r="E115" s="95"/>
      <c r="F115" s="291"/>
      <c r="G115" s="291"/>
      <c r="H115" s="291"/>
      <c r="I115" s="282">
        <v>238</v>
      </c>
      <c r="J115" s="282">
        <v>49015</v>
      </c>
      <c r="K115" s="282">
        <v>40831</v>
      </c>
      <c r="L115" s="282">
        <v>34024</v>
      </c>
      <c r="M115" s="282">
        <v>5719</v>
      </c>
      <c r="N115" s="282">
        <v>5497</v>
      </c>
      <c r="O115" s="282">
        <v>4825</v>
      </c>
      <c r="P115" s="295"/>
      <c r="Q115" s="286">
        <f t="shared" si="45"/>
        <v>34024</v>
      </c>
      <c r="R115" s="286">
        <f t="shared" si="45"/>
        <v>24253</v>
      </c>
      <c r="S115" s="286">
        <f>423+570</f>
        <v>993</v>
      </c>
      <c r="T115" s="286">
        <v>432</v>
      </c>
      <c r="U115" s="286"/>
      <c r="V115" s="286">
        <v>743</v>
      </c>
      <c r="W115" s="286">
        <v>783</v>
      </c>
      <c r="X115" s="286"/>
      <c r="Y115" s="286">
        <f>730+2059</f>
        <v>2789</v>
      </c>
      <c r="Z115" s="286">
        <v>739</v>
      </c>
      <c r="AA115" s="286"/>
      <c r="AB115" s="286">
        <f>482+571</f>
        <v>1053</v>
      </c>
      <c r="AC115" s="286">
        <v>450</v>
      </c>
      <c r="AD115" s="286"/>
      <c r="AE115" s="286">
        <v>1024</v>
      </c>
      <c r="AF115" s="286">
        <v>1097</v>
      </c>
      <c r="AG115" s="286"/>
      <c r="AH115" s="286">
        <v>624</v>
      </c>
      <c r="AI115" s="286">
        <v>838</v>
      </c>
      <c r="AJ115" s="286"/>
      <c r="AK115" s="286">
        <v>777</v>
      </c>
      <c r="AL115" s="286">
        <v>746</v>
      </c>
      <c r="AM115" s="286"/>
      <c r="AN115" s="286">
        <v>2766</v>
      </c>
      <c r="AO115" s="286">
        <v>2654</v>
      </c>
      <c r="AP115" s="286"/>
      <c r="AQ115" s="286">
        <f>145+623</f>
        <v>768</v>
      </c>
      <c r="AR115" s="286">
        <v>157</v>
      </c>
      <c r="AS115" s="286"/>
      <c r="AT115" s="286">
        <v>0</v>
      </c>
      <c r="AU115" s="286">
        <v>0</v>
      </c>
      <c r="AV115" s="286"/>
      <c r="AW115" s="286">
        <v>0</v>
      </c>
      <c r="AX115" s="286">
        <v>0</v>
      </c>
      <c r="AY115" s="286"/>
      <c r="AZ115" s="286">
        <f>1417+3587</f>
        <v>5004</v>
      </c>
      <c r="BA115" s="286">
        <v>1369</v>
      </c>
      <c r="BB115" s="286"/>
      <c r="BC115" s="286">
        <v>2126</v>
      </c>
      <c r="BD115" s="286">
        <v>1638</v>
      </c>
      <c r="BE115" s="286"/>
      <c r="BF115" s="286">
        <v>3712</v>
      </c>
      <c r="BG115" s="286">
        <v>3753</v>
      </c>
      <c r="BH115" s="286"/>
      <c r="BI115" s="286">
        <v>3837</v>
      </c>
      <c r="BJ115" s="286">
        <v>3559</v>
      </c>
      <c r="BK115" s="286"/>
      <c r="BL115" s="286">
        <f>1002+489</f>
        <v>1491</v>
      </c>
      <c r="BM115" s="286">
        <v>1014</v>
      </c>
      <c r="BN115" s="286"/>
      <c r="BO115" s="286">
        <f>740+1580</f>
        <v>2320</v>
      </c>
      <c r="BP115" s="286">
        <v>856</v>
      </c>
      <c r="BQ115" s="286"/>
      <c r="BR115" s="286">
        <v>983</v>
      </c>
      <c r="BS115" s="286">
        <v>983</v>
      </c>
      <c r="BT115" s="286"/>
      <c r="BU115" s="286">
        <v>0</v>
      </c>
      <c r="BV115" s="286">
        <v>0</v>
      </c>
      <c r="BW115" s="286"/>
      <c r="BX115" s="286">
        <v>810</v>
      </c>
      <c r="BY115" s="286">
        <v>1083</v>
      </c>
      <c r="BZ115" s="286"/>
      <c r="CA115" s="286">
        <v>1012</v>
      </c>
      <c r="CB115" s="286">
        <v>914</v>
      </c>
      <c r="CC115" s="286"/>
      <c r="CD115" s="286">
        <v>1192</v>
      </c>
      <c r="CE115" s="286">
        <v>1188</v>
      </c>
      <c r="CF115" s="286"/>
      <c r="CG115" s="286">
        <v>0</v>
      </c>
      <c r="CH115" s="286">
        <v>0</v>
      </c>
    </row>
    <row r="116" spans="1:86" ht="45" x14ac:dyDescent="0.25">
      <c r="A116" s="95"/>
      <c r="B116" s="294" t="s">
        <v>1184</v>
      </c>
      <c r="C116" s="95" t="s">
        <v>1561</v>
      </c>
      <c r="D116" s="95" t="s">
        <v>950</v>
      </c>
      <c r="E116" s="95"/>
      <c r="F116" s="291"/>
      <c r="G116" s="291"/>
      <c r="H116" s="291"/>
      <c r="I116" s="282"/>
      <c r="J116" s="282">
        <v>21</v>
      </c>
      <c r="K116" s="282">
        <v>25</v>
      </c>
      <c r="L116" s="282">
        <v>23</v>
      </c>
      <c r="M116" s="282">
        <v>0</v>
      </c>
      <c r="N116" s="282">
        <v>0</v>
      </c>
      <c r="O116" s="282">
        <v>0</v>
      </c>
      <c r="P116" s="295"/>
      <c r="Q116" s="286">
        <f t="shared" si="45"/>
        <v>23</v>
      </c>
      <c r="R116" s="286">
        <f t="shared" si="45"/>
        <v>176</v>
      </c>
      <c r="S116" s="286">
        <v>0</v>
      </c>
      <c r="T116" s="286">
        <v>0</v>
      </c>
      <c r="U116" s="286"/>
      <c r="V116" s="286">
        <v>0</v>
      </c>
      <c r="W116" s="286">
        <v>0</v>
      </c>
      <c r="X116" s="286"/>
      <c r="Y116" s="286">
        <v>0</v>
      </c>
      <c r="Z116" s="286">
        <v>0</v>
      </c>
      <c r="AA116" s="286"/>
      <c r="AB116" s="286">
        <v>0</v>
      </c>
      <c r="AC116" s="286">
        <v>0</v>
      </c>
      <c r="AD116" s="286"/>
      <c r="AE116" s="286">
        <v>0</v>
      </c>
      <c r="AF116" s="286">
        <v>0</v>
      </c>
      <c r="AG116" s="286"/>
      <c r="AH116" s="286">
        <v>0</v>
      </c>
      <c r="AI116" s="286">
        <v>0</v>
      </c>
      <c r="AJ116" s="286"/>
      <c r="AK116" s="286">
        <v>0</v>
      </c>
      <c r="AL116" s="286">
        <v>0</v>
      </c>
      <c r="AM116" s="286"/>
      <c r="AN116" s="286">
        <v>0</v>
      </c>
      <c r="AO116" s="286">
        <v>88</v>
      </c>
      <c r="AP116" s="286"/>
      <c r="AQ116" s="286">
        <v>0</v>
      </c>
      <c r="AR116" s="286">
        <v>0</v>
      </c>
      <c r="AS116" s="286"/>
      <c r="AT116" s="286">
        <v>0</v>
      </c>
      <c r="AU116" s="286">
        <v>0</v>
      </c>
      <c r="AV116" s="286"/>
      <c r="AW116" s="286">
        <v>0</v>
      </c>
      <c r="AX116" s="286">
        <v>0</v>
      </c>
      <c r="AY116" s="286"/>
      <c r="AZ116" s="286">
        <v>0</v>
      </c>
      <c r="BA116" s="286">
        <v>0</v>
      </c>
      <c r="BB116" s="286"/>
      <c r="BC116" s="286">
        <v>0</v>
      </c>
      <c r="BD116" s="286">
        <v>0</v>
      </c>
      <c r="BE116" s="286"/>
      <c r="BF116" s="286">
        <v>0</v>
      </c>
      <c r="BG116" s="286">
        <v>0</v>
      </c>
      <c r="BH116" s="286"/>
      <c r="BI116" s="286">
        <v>23</v>
      </c>
      <c r="BJ116" s="286">
        <v>88</v>
      </c>
      <c r="BK116" s="286"/>
      <c r="BL116" s="286">
        <v>0</v>
      </c>
      <c r="BM116" s="286">
        <v>0</v>
      </c>
      <c r="BN116" s="286"/>
      <c r="BO116" s="286">
        <v>0</v>
      </c>
      <c r="BP116" s="286">
        <v>0</v>
      </c>
      <c r="BQ116" s="286"/>
      <c r="BR116" s="286">
        <v>0</v>
      </c>
      <c r="BS116" s="286">
        <v>0</v>
      </c>
      <c r="BT116" s="286"/>
      <c r="BU116" s="286">
        <v>0</v>
      </c>
      <c r="BV116" s="286">
        <v>0</v>
      </c>
      <c r="BW116" s="286"/>
      <c r="BX116" s="286">
        <v>0</v>
      </c>
      <c r="BY116" s="286">
        <v>0</v>
      </c>
      <c r="BZ116" s="286"/>
      <c r="CA116" s="286">
        <v>0</v>
      </c>
      <c r="CB116" s="286">
        <v>0</v>
      </c>
      <c r="CC116" s="286"/>
      <c r="CD116" s="286">
        <v>0</v>
      </c>
      <c r="CE116" s="286">
        <v>0</v>
      </c>
      <c r="CF116" s="286"/>
      <c r="CG116" s="286">
        <v>0</v>
      </c>
      <c r="CH116" s="286">
        <v>0</v>
      </c>
    </row>
    <row r="117" spans="1:86" ht="45" x14ac:dyDescent="0.25">
      <c r="A117" s="95"/>
      <c r="B117" s="294"/>
      <c r="C117" s="95" t="s">
        <v>1562</v>
      </c>
      <c r="D117" s="95" t="s">
        <v>950</v>
      </c>
      <c r="E117" s="95"/>
      <c r="F117" s="291"/>
      <c r="G117" s="291"/>
      <c r="H117" s="291"/>
      <c r="I117" s="282"/>
      <c r="J117" s="282">
        <v>4211</v>
      </c>
      <c r="K117" s="282">
        <v>5017</v>
      </c>
      <c r="L117" s="282">
        <v>4042</v>
      </c>
      <c r="M117" s="282">
        <v>0</v>
      </c>
      <c r="N117" s="282">
        <v>0</v>
      </c>
      <c r="O117" s="282">
        <v>0</v>
      </c>
      <c r="P117" s="295"/>
      <c r="Q117" s="286">
        <f t="shared" si="45"/>
        <v>4042</v>
      </c>
      <c r="R117" s="286">
        <f t="shared" si="45"/>
        <v>5540</v>
      </c>
      <c r="S117" s="286">
        <v>0</v>
      </c>
      <c r="T117" s="286">
        <v>0</v>
      </c>
      <c r="U117" s="286"/>
      <c r="V117" s="286">
        <v>0</v>
      </c>
      <c r="W117" s="286">
        <v>0</v>
      </c>
      <c r="X117" s="286"/>
      <c r="Y117" s="286">
        <v>0</v>
      </c>
      <c r="Z117" s="286">
        <v>0</v>
      </c>
      <c r="AA117" s="286"/>
      <c r="AB117" s="286">
        <v>0</v>
      </c>
      <c r="AC117" s="286">
        <v>0</v>
      </c>
      <c r="AD117" s="286"/>
      <c r="AE117" s="286">
        <v>0</v>
      </c>
      <c r="AF117" s="286">
        <v>0</v>
      </c>
      <c r="AG117" s="286"/>
      <c r="AH117" s="286">
        <v>0</v>
      </c>
      <c r="AI117" s="286">
        <v>0</v>
      </c>
      <c r="AJ117" s="286"/>
      <c r="AK117" s="286">
        <v>0</v>
      </c>
      <c r="AL117" s="286">
        <v>0</v>
      </c>
      <c r="AM117" s="286"/>
      <c r="AN117" s="286">
        <v>645</v>
      </c>
      <c r="AO117" s="286">
        <v>1075</v>
      </c>
      <c r="AP117" s="286"/>
      <c r="AQ117" s="286">
        <v>0</v>
      </c>
      <c r="AR117" s="286">
        <v>0</v>
      </c>
      <c r="AS117" s="286"/>
      <c r="AT117" s="286">
        <v>788</v>
      </c>
      <c r="AU117" s="286">
        <v>1457</v>
      </c>
      <c r="AV117" s="286"/>
      <c r="AW117" s="286">
        <v>0</v>
      </c>
      <c r="AX117" s="286">
        <v>0</v>
      </c>
      <c r="AY117" s="286"/>
      <c r="AZ117" s="286">
        <v>0</v>
      </c>
      <c r="BA117" s="286">
        <v>0</v>
      </c>
      <c r="BB117" s="286"/>
      <c r="BC117" s="286">
        <v>0</v>
      </c>
      <c r="BD117" s="286">
        <v>0</v>
      </c>
      <c r="BE117" s="286"/>
      <c r="BF117" s="286">
        <v>0</v>
      </c>
      <c r="BG117" s="286">
        <v>0</v>
      </c>
      <c r="BH117" s="286"/>
      <c r="BI117" s="286">
        <v>2336</v>
      </c>
      <c r="BJ117" s="286">
        <v>2794</v>
      </c>
      <c r="BK117" s="286"/>
      <c r="BL117" s="286">
        <v>103</v>
      </c>
      <c r="BM117" s="286">
        <v>100</v>
      </c>
      <c r="BN117" s="286"/>
      <c r="BO117" s="286">
        <v>0</v>
      </c>
      <c r="BP117" s="286">
        <v>0</v>
      </c>
      <c r="BQ117" s="286"/>
      <c r="BR117" s="286">
        <v>0</v>
      </c>
      <c r="BS117" s="286">
        <v>0</v>
      </c>
      <c r="BT117" s="286"/>
      <c r="BU117" s="286">
        <v>170</v>
      </c>
      <c r="BV117" s="286">
        <v>114</v>
      </c>
      <c r="BW117" s="286"/>
      <c r="BX117" s="286">
        <v>0</v>
      </c>
      <c r="BY117" s="286">
        <v>0</v>
      </c>
      <c r="BZ117" s="286"/>
      <c r="CA117" s="286">
        <v>0</v>
      </c>
      <c r="CB117" s="286">
        <v>0</v>
      </c>
      <c r="CC117" s="286"/>
      <c r="CD117" s="286">
        <v>0</v>
      </c>
      <c r="CE117" s="286">
        <v>0</v>
      </c>
      <c r="CF117" s="286"/>
      <c r="CG117" s="286">
        <v>0</v>
      </c>
      <c r="CH117" s="286">
        <v>0</v>
      </c>
    </row>
    <row r="118" spans="1:86" ht="60" x14ac:dyDescent="0.25">
      <c r="A118" s="101" t="s">
        <v>631</v>
      </c>
      <c r="B118" s="294" t="s">
        <v>2577</v>
      </c>
      <c r="C118" s="95"/>
      <c r="D118" s="95"/>
      <c r="E118" s="95"/>
      <c r="F118" s="291"/>
      <c r="G118" s="291"/>
      <c r="H118" s="291"/>
      <c r="I118" s="282"/>
      <c r="J118" s="282"/>
      <c r="K118" s="287">
        <f>K119/K120*100</f>
        <v>3.4115899119278259</v>
      </c>
      <c r="L118" s="287">
        <f>L119/L120*100</f>
        <v>3.5774939791404803</v>
      </c>
      <c r="M118" s="287">
        <f>M119/M120*100</f>
        <v>14.985137261759048</v>
      </c>
      <c r="N118" s="287">
        <v>15.2</v>
      </c>
      <c r="O118" s="287">
        <v>15.3</v>
      </c>
      <c r="Q118" s="296"/>
      <c r="R118" s="296"/>
    </row>
    <row r="119" spans="1:86" ht="30" x14ac:dyDescent="0.25">
      <c r="A119" s="95"/>
      <c r="B119" s="294" t="s">
        <v>2877</v>
      </c>
      <c r="C119" s="95" t="s">
        <v>2878</v>
      </c>
      <c r="D119" s="95"/>
      <c r="E119" s="95"/>
      <c r="F119" s="291"/>
      <c r="G119" s="291"/>
      <c r="H119" s="291"/>
      <c r="I119" s="282"/>
      <c r="J119" s="282"/>
      <c r="K119" s="282">
        <v>12721</v>
      </c>
      <c r="L119" s="282">
        <v>14914</v>
      </c>
      <c r="M119" s="282">
        <v>857</v>
      </c>
      <c r="N119" s="282">
        <v>835</v>
      </c>
      <c r="O119" s="282">
        <v>670</v>
      </c>
      <c r="Q119" s="296"/>
      <c r="R119" s="296"/>
    </row>
    <row r="120" spans="1:86" ht="45" x14ac:dyDescent="0.25">
      <c r="A120" s="95"/>
      <c r="B120" s="294" t="s">
        <v>2660</v>
      </c>
      <c r="C120" s="95" t="s">
        <v>1916</v>
      </c>
      <c r="D120" s="95"/>
      <c r="E120" s="95"/>
      <c r="F120" s="291"/>
      <c r="G120" s="291"/>
      <c r="H120" s="291"/>
      <c r="I120" s="282"/>
      <c r="J120" s="282"/>
      <c r="K120" s="282">
        <f>K29</f>
        <v>372876</v>
      </c>
      <c r="L120" s="282">
        <f>L29</f>
        <v>416884</v>
      </c>
      <c r="M120" s="282">
        <v>5719</v>
      </c>
      <c r="N120" s="282">
        <v>5497</v>
      </c>
      <c r="O120" s="282">
        <v>4825</v>
      </c>
      <c r="Q120" s="296"/>
      <c r="R120" s="296"/>
    </row>
    <row r="121" spans="1:86" ht="60" x14ac:dyDescent="0.25">
      <c r="A121" s="101" t="s">
        <v>641</v>
      </c>
      <c r="B121" s="294" t="s">
        <v>2874</v>
      </c>
      <c r="C121" s="95"/>
      <c r="D121" s="95"/>
      <c r="E121" s="95"/>
      <c r="F121" s="291"/>
      <c r="G121" s="291"/>
      <c r="H121" s="291"/>
      <c r="I121" s="282"/>
      <c r="J121" s="282"/>
      <c r="K121" s="287">
        <f>K122/K123*100</f>
        <v>2.8317724927321684</v>
      </c>
      <c r="L121" s="287">
        <f t="shared" ref="L121:M121" si="46">L122/L123*100</f>
        <v>3.0341773730822004</v>
      </c>
      <c r="M121" s="287">
        <f t="shared" si="46"/>
        <v>14.985137261759048</v>
      </c>
      <c r="N121" s="287">
        <v>15.2</v>
      </c>
      <c r="O121" s="287">
        <v>15.3</v>
      </c>
      <c r="Q121" s="296"/>
      <c r="R121" s="296"/>
    </row>
    <row r="122" spans="1:86" ht="30" x14ac:dyDescent="0.25">
      <c r="A122" s="95"/>
      <c r="B122" s="294" t="s">
        <v>2877</v>
      </c>
      <c r="C122" s="95" t="s">
        <v>2878</v>
      </c>
      <c r="D122" s="95"/>
      <c r="E122" s="95"/>
      <c r="F122" s="291"/>
      <c r="G122" s="291"/>
      <c r="H122" s="291"/>
      <c r="I122" s="282"/>
      <c r="J122" s="282"/>
      <c r="K122" s="282">
        <f>K119-K125</f>
        <v>10559</v>
      </c>
      <c r="L122" s="282">
        <f>L119-L125</f>
        <v>12649</v>
      </c>
      <c r="M122" s="282">
        <v>857</v>
      </c>
      <c r="N122" s="282">
        <v>835</v>
      </c>
      <c r="O122" s="282">
        <v>670</v>
      </c>
      <c r="Q122" s="296"/>
      <c r="R122" s="296"/>
    </row>
    <row r="123" spans="1:86" ht="45" x14ac:dyDescent="0.25">
      <c r="A123" s="95"/>
      <c r="B123" s="294" t="s">
        <v>2660</v>
      </c>
      <c r="C123" s="95" t="s">
        <v>1916</v>
      </c>
      <c r="D123" s="95"/>
      <c r="E123" s="95"/>
      <c r="F123" s="291"/>
      <c r="G123" s="291"/>
      <c r="H123" s="291"/>
      <c r="I123" s="282"/>
      <c r="J123" s="282"/>
      <c r="K123" s="282">
        <f>K120</f>
        <v>372876</v>
      </c>
      <c r="L123" s="282">
        <f>L120</f>
        <v>416884</v>
      </c>
      <c r="M123" s="282">
        <f>M120</f>
        <v>5719</v>
      </c>
      <c r="N123" s="282">
        <v>5497</v>
      </c>
      <c r="O123" s="282">
        <v>4825</v>
      </c>
      <c r="Q123" s="296"/>
      <c r="R123" s="296"/>
    </row>
    <row r="124" spans="1:86" ht="45" x14ac:dyDescent="0.25">
      <c r="A124" s="101" t="s">
        <v>644</v>
      </c>
      <c r="B124" s="294" t="s">
        <v>2875</v>
      </c>
      <c r="C124" s="95"/>
      <c r="D124" s="95"/>
      <c r="E124" s="95"/>
      <c r="F124" s="291"/>
      <c r="G124" s="291"/>
      <c r="H124" s="291"/>
      <c r="I124" s="282"/>
      <c r="J124" s="282"/>
      <c r="K124" s="287">
        <f>K125/K126*100</f>
        <v>0.57981741919565755</v>
      </c>
      <c r="L124" s="287">
        <f t="shared" ref="L124:M124" si="47">L125/L126*100</f>
        <v>0.54331660605828003</v>
      </c>
      <c r="M124" s="287">
        <f t="shared" si="47"/>
        <v>1.9933554817275747</v>
      </c>
      <c r="N124" s="287">
        <v>1.8</v>
      </c>
      <c r="O124" s="287">
        <v>1.9</v>
      </c>
      <c r="Q124" s="296"/>
      <c r="R124" s="296"/>
    </row>
    <row r="125" spans="1:86" ht="30" x14ac:dyDescent="0.25">
      <c r="A125" s="95"/>
      <c r="B125" s="294" t="s">
        <v>2876</v>
      </c>
      <c r="C125" s="95" t="s">
        <v>2878</v>
      </c>
      <c r="D125" s="95"/>
      <c r="E125" s="95"/>
      <c r="F125" s="291"/>
      <c r="G125" s="291"/>
      <c r="H125" s="291"/>
      <c r="I125" s="282"/>
      <c r="J125" s="282"/>
      <c r="K125" s="282">
        <v>2162</v>
      </c>
      <c r="L125" s="282">
        <v>2265</v>
      </c>
      <c r="M125" s="282">
        <v>114</v>
      </c>
      <c r="N125" s="282">
        <v>99</v>
      </c>
      <c r="O125" s="282">
        <v>85</v>
      </c>
      <c r="Q125" s="296"/>
      <c r="R125" s="296"/>
    </row>
    <row r="126" spans="1:86" ht="45" x14ac:dyDescent="0.25">
      <c r="A126" s="95"/>
      <c r="B126" s="294" t="s">
        <v>2660</v>
      </c>
      <c r="C126" s="95" t="s">
        <v>1916</v>
      </c>
      <c r="D126" s="95"/>
      <c r="E126" s="95"/>
      <c r="F126" s="291"/>
      <c r="G126" s="291"/>
      <c r="H126" s="291"/>
      <c r="I126" s="282"/>
      <c r="J126" s="282"/>
      <c r="K126" s="282">
        <f>K120</f>
        <v>372876</v>
      </c>
      <c r="L126" s="282">
        <f>L120</f>
        <v>416884</v>
      </c>
      <c r="M126" s="282">
        <f>M120</f>
        <v>5719</v>
      </c>
      <c r="N126" s="282">
        <v>5497</v>
      </c>
      <c r="O126" s="282">
        <v>4825</v>
      </c>
      <c r="Q126" s="296"/>
      <c r="R126" s="296"/>
    </row>
    <row r="127" spans="1:86" ht="30" x14ac:dyDescent="0.25">
      <c r="A127" s="101" t="s">
        <v>644</v>
      </c>
      <c r="B127" s="96" t="s">
        <v>1871</v>
      </c>
      <c r="C127" s="101"/>
      <c r="D127" s="101" t="s">
        <v>8</v>
      </c>
      <c r="E127" s="101"/>
      <c r="F127" s="292"/>
      <c r="G127" s="292"/>
      <c r="H127" s="292"/>
      <c r="I127" s="293">
        <f>ROUND((I130+I131)/(I132+I133)*100,2)</f>
        <v>0.39</v>
      </c>
      <c r="J127" s="293">
        <f>((J130+J131+J134)/(J132+J133+J135))*100</f>
        <v>0.42919799498746863</v>
      </c>
      <c r="K127" s="293">
        <f>((K130+K131+K134)/(K132+K133+K135))*100</f>
        <v>0.3883900270428593</v>
      </c>
      <c r="L127" s="293">
        <f>((L130+L131+L134)/(L132+L133+L135))*100</f>
        <v>0.40275095388383814</v>
      </c>
      <c r="M127" s="293">
        <f>((M130+M131+M134)/(M132+M133+M135))*100</f>
        <v>1.9933554817275747</v>
      </c>
      <c r="N127" s="293">
        <v>1.8</v>
      </c>
      <c r="O127" s="293">
        <v>1.9</v>
      </c>
      <c r="Q127" s="293">
        <f>((Q130+Q131+Q134)/(Q132+Q133+Q135))*100</f>
        <v>0.40275095388383814</v>
      </c>
      <c r="R127" s="293">
        <f>((R130+R131+R134)/(R132+R133+R135))*100</f>
        <v>0.36115105535445696</v>
      </c>
      <c r="S127" s="293">
        <f>((S130+S131+S134)/(S132+S133+S135))*100</f>
        <v>2.7151778441487917E-2</v>
      </c>
      <c r="T127" s="293">
        <f>((T130+T131+T134)/(T132+T133+T135))*100</f>
        <v>6.4061499039077513E-2</v>
      </c>
      <c r="V127" s="293">
        <f>((V130+V131+V134)/(V132+V133+V135))*100</f>
        <v>0.23223409196470043</v>
      </c>
      <c r="W127" s="293">
        <f>((W130+W131+W134)/(W132+W133+W135))*100</f>
        <v>0.18691588785046731</v>
      </c>
      <c r="Y127" s="293">
        <f>((Y130+Y131+Y134)/(Y132+Y133+Y135))*100</f>
        <v>0.64333504889346371</v>
      </c>
      <c r="Z127" s="293">
        <f>((Z130+Z131+Z134)/(Z132+Z133+Z135))*100</f>
        <v>0</v>
      </c>
      <c r="AB127" s="293">
        <f>((AB130+AB131+AB134)/(AB132+AB133+AB135))*100</f>
        <v>0.22421524663677131</v>
      </c>
      <c r="AC127" s="293">
        <f>((AC130+AC131+AC134)/(AC132+AC133+AC135))*100</f>
        <v>0.2560163850486431</v>
      </c>
      <c r="AE127" s="293">
        <f>((AE130+AE131+AE134)/(AE132+AE133+AE135))*100</f>
        <v>1.0965630114566285</v>
      </c>
      <c r="AF127" s="293">
        <f>((AF130+AF131+AF134)/(AF132+AF133+AF135))*100</f>
        <v>1.1159631246967492</v>
      </c>
      <c r="AH127" s="293">
        <f>((AH130+AH131+AH134)/(AH132+AH133+AH135))*100</f>
        <v>0.11223344556677892</v>
      </c>
      <c r="AI127" s="293">
        <f>((AI130+AI131+AI134)/(AI132+AI133+AI135))*100</f>
        <v>0.10675613847796249</v>
      </c>
      <c r="AK127" s="293">
        <f>((AK130+AK131+AK134)/(AK132+AK133+AK135))*100</f>
        <v>0.45397225725094575</v>
      </c>
      <c r="AL127" s="293">
        <f>((AL130+AL131+AL134)/(AL132+AL133+AL135))*100</f>
        <v>0.58976173625855155</v>
      </c>
      <c r="AN127" s="293">
        <f>((AN130+AN131+AN134)/(AN132+AN133+AN135))*100</f>
        <v>0.10742469941742759</v>
      </c>
      <c r="AO127" s="293">
        <f>((AO130+AO131+AO134)/(AO132+AO133+AO135))*100</f>
        <v>8.3874100560632145E-2</v>
      </c>
      <c r="AQ127" s="293">
        <f>((AQ130+AQ131+AQ134)/(AQ132+AQ133+AQ135))*100</f>
        <v>0.54928288068355202</v>
      </c>
      <c r="AR127" s="293">
        <f>((AR130+AR131+AR134)/(AR132+AR133+AR135))*100</f>
        <v>3.6496350364963501E-2</v>
      </c>
      <c r="AT127" s="293">
        <f>((AT130+AT131+AT134)/(AT132+AT133+AT135))*100</f>
        <v>0.35758706467661694</v>
      </c>
      <c r="AU127" s="293">
        <f>((AU130+AU131+AU134)/(AU132+AU133+AU135))*100</f>
        <v>0.42134831460674155</v>
      </c>
      <c r="AW127" s="293">
        <f>((AW130+AW131+AW134)/(AW132+AW133+AW135))*100</f>
        <v>0.29702970297029702</v>
      </c>
      <c r="AX127" s="293">
        <f>((AX130+AX131+AX134)/(AX132+AX133+AX135))*100</f>
        <v>0</v>
      </c>
      <c r="AZ127" s="293">
        <f>((AZ130+AZ131+AZ134)/(AZ132+AZ133+AZ135))*100</f>
        <v>0.15987210231814547</v>
      </c>
      <c r="BA127" s="293">
        <f>((BA130+BA131+BA134)/(BA132+BA133+BA135))*100</f>
        <v>1.0226442658875092</v>
      </c>
      <c r="BC127" s="293">
        <f>((BC130+BC131+BC134)/(BC132+BC133+BC135))*100</f>
        <v>0.28206650831353919</v>
      </c>
      <c r="BD127" s="293">
        <f>((BD130+BD131+BD134)/(BD132+BD133+BD135))*100</f>
        <v>0.29022895840051594</v>
      </c>
      <c r="BF127" s="293">
        <f>((BF130+BF131+BF134)/(BF132+BF133+BF135))*100</f>
        <v>0.7050694493407601</v>
      </c>
      <c r="BG127" s="293">
        <f>((BG130+BG131+BG134)/(BG132+BG133+BG135))*100</f>
        <v>0.74133763094278815</v>
      </c>
      <c r="BI127" s="293">
        <f>((BI130+BI131+BI134)/(BI132+BI133+BI135))*100</f>
        <v>0.35754485863735685</v>
      </c>
      <c r="BJ127" s="293">
        <f>((BJ130+BJ131+BJ134)/(BJ132+BJ133+BJ135))*100</f>
        <v>0.33712321523003702</v>
      </c>
      <c r="BL127" s="293">
        <f>((BL130+BL131+BL134)/(BL132+BL133+BL135))*100</f>
        <v>0.25611838360842348</v>
      </c>
      <c r="BM127" s="293">
        <f>((BM130+BM131+BM134)/(BM132+BM133+BM135))*100</f>
        <v>9.6463022508038579E-2</v>
      </c>
      <c r="BO127" s="293">
        <f>((BO130+BO131+BO134)/(BO132+BO133+BO135))*100</f>
        <v>0.95266448347722543</v>
      </c>
      <c r="BP127" s="293">
        <f>((BP130+BP131+BP134)/(BP132+BP133+BP135))*100</f>
        <v>0.15560165975103735</v>
      </c>
      <c r="BR127" s="293">
        <f>((BR130+BR131+BR134)/(BR132+BR133+BR135))*100</f>
        <v>0.60105184072126228</v>
      </c>
      <c r="BS127" s="293">
        <f>((BS130+BS131+BS134)/(BS132+BS133+BS135))*100</f>
        <v>0.74234457160532008</v>
      </c>
      <c r="BU127" s="293">
        <f>((BU130+BU131+BU134)/(BU132+BU133+BU135))*100</f>
        <v>1.1177644710578842</v>
      </c>
      <c r="BV127" s="293">
        <f>((BV130+BV131+BV134)/(BV132+BV133+BV135))*100</f>
        <v>1.564076690211907</v>
      </c>
      <c r="BX127" s="293">
        <f>((BX130+BX131+BX134)/(BX132+BX133+BX135))*100</f>
        <v>2.4691358024691357</v>
      </c>
      <c r="BY127" s="293">
        <f>((BY130+BY131+BY134)/(BY132+BY133+BY135))*100</f>
        <v>1.7543859649122806</v>
      </c>
      <c r="CA127" s="293">
        <f>((CA130+CA131+CA134)/(CA132+CA133+CA135))*100</f>
        <v>2.7419797093501508E-2</v>
      </c>
      <c r="CB127" s="293">
        <f>((CB130+CB131+CB134)/(CB132+CB133+CB135))*100</f>
        <v>0</v>
      </c>
      <c r="CD127" s="293">
        <f>((CD130+CD131+CD134)/(CD132+CD133+CD135))*100</f>
        <v>0.35173160173160173</v>
      </c>
      <c r="CE127" s="293">
        <f>((CE130+CE131+CE134)/(CE132+CE133+CE135))*100</f>
        <v>0.48526863084922006</v>
      </c>
      <c r="CG127" s="293">
        <f>((CG130+CG131+CG134)/(CG132+CG133+CG135))*100</f>
        <v>0</v>
      </c>
      <c r="CH127" s="293">
        <f>((CH130+CH131+CH134)/(CH132+CH133+CH135))*100</f>
        <v>0</v>
      </c>
    </row>
    <row r="128" spans="1:86" x14ac:dyDescent="0.25">
      <c r="A128" s="101"/>
      <c r="B128" s="16" t="s">
        <v>1182</v>
      </c>
      <c r="C128" s="101"/>
      <c r="D128" s="101" t="s">
        <v>8</v>
      </c>
      <c r="E128" s="101"/>
      <c r="F128" s="292"/>
      <c r="G128" s="292"/>
      <c r="H128" s="292"/>
      <c r="I128" s="293"/>
      <c r="J128" s="293">
        <f>(J130+J131)/(J133+J132)*100</f>
        <v>0.4324972260243462</v>
      </c>
      <c r="K128" s="293">
        <f>(K130+K131)/(K133+K132)*100</f>
        <v>0.39464882943143814</v>
      </c>
      <c r="L128" s="293">
        <f>(L130+L131)/(L133+L132)*100</f>
        <v>0.41595044270748871</v>
      </c>
      <c r="M128" s="293">
        <f>(M130+M131)/(M133+M132)*100</f>
        <v>1.9933554817275747</v>
      </c>
      <c r="N128" s="293">
        <v>1.8</v>
      </c>
      <c r="O128" s="293">
        <v>1.9</v>
      </c>
      <c r="Q128" s="293">
        <f>(Q130+Q131)/(Q133+Q132)*100</f>
        <v>0.41595044270748871</v>
      </c>
      <c r="R128" s="293">
        <f>(R130+R131)/(R133+R132)*100</f>
        <v>0.3784794997488351</v>
      </c>
      <c r="S128" s="293">
        <f>(S130+S131)/(S133+S132)*100</f>
        <v>2.7151778441487917E-2</v>
      </c>
      <c r="T128" s="293">
        <f>(T130+T131)/(T133+T132)*100</f>
        <v>6.4061499039077513E-2</v>
      </c>
      <c r="V128" s="293">
        <f>(V130+V131)/(V133+V132)*100</f>
        <v>0.23223409196470043</v>
      </c>
      <c r="W128" s="293">
        <f>(W130+W131)/(W133+W132)*100</f>
        <v>0.18691588785046731</v>
      </c>
      <c r="Y128" s="293">
        <f>(Y130+Y131)/(Y133+Y132)*100</f>
        <v>0.64333504889346371</v>
      </c>
      <c r="Z128" s="293">
        <f>(Z130+Z131)/(Z133+Z132)*100</f>
        <v>0</v>
      </c>
      <c r="AB128" s="293">
        <f>(AB130+AB131)/(AB133+AB132)*100</f>
        <v>0.22421524663677131</v>
      </c>
      <c r="AC128" s="293">
        <f>(AC130+AC131)/(AC133+AC132)*100</f>
        <v>0.2560163850486431</v>
      </c>
      <c r="AE128" s="293">
        <f>(AE130+AE131)/(AE133+AE132)*100</f>
        <v>1.0965630114566285</v>
      </c>
      <c r="AF128" s="293">
        <f>(AF130+AF131)/(AF133+AF132)*100</f>
        <v>1.1159631246967492</v>
      </c>
      <c r="AH128" s="293">
        <f>(AH130+AH131)/(AH133+AH132)*100</f>
        <v>0.11223344556677892</v>
      </c>
      <c r="AI128" s="293">
        <f>(AI130+AI131)/(AI133+AI132)*100</f>
        <v>0.10675613847796249</v>
      </c>
      <c r="AK128" s="293">
        <f>(AK130+AK131)/(AK133+AK132)*100</f>
        <v>0.45397225725094575</v>
      </c>
      <c r="AL128" s="293">
        <f>(AL130+AL131)/(AL133+AL132)*100</f>
        <v>0.58976173625855155</v>
      </c>
      <c r="AN128" s="293">
        <f>(AN130+AN131)/(AN133+AN132)*100</f>
        <v>0.11036590542490873</v>
      </c>
      <c r="AO128" s="293">
        <f>(AO130+AO131)/(AO133+AO132)*100</f>
        <v>8.8052646213736208E-2</v>
      </c>
      <c r="AQ128" s="293">
        <f>(AQ130+AQ131)/(AQ133+AQ132)*100</f>
        <v>0.54928288068355202</v>
      </c>
      <c r="AR128" s="293">
        <f>(AR130+AR131)/(AR133+AR132)*100</f>
        <v>3.6496350364963501E-2</v>
      </c>
      <c r="AT128" s="293">
        <f>(AT130+AT131)/(AT133+AT132)*100</f>
        <v>0.40751240255138199</v>
      </c>
      <c r="AU128" s="293">
        <f>(AU130+AU131)/(AU133+AU132)*100</f>
        <v>0.52975454705986225</v>
      </c>
      <c r="AW128" s="293">
        <f>(AW130+AW131)/(AW133+AW132)*100</f>
        <v>0.29702970297029702</v>
      </c>
      <c r="AX128" s="293">
        <f>(AX130+AX131)/(AX133+AX132)*100</f>
        <v>0</v>
      </c>
      <c r="AZ128" s="293">
        <f>(AZ130+AZ131)/(AZ133+AZ132)*100</f>
        <v>0.15987210231814547</v>
      </c>
      <c r="BA128" s="293">
        <f>(BA130+BA131)/(BA133+BA132)*100</f>
        <v>1.0226442658875092</v>
      </c>
      <c r="BC128" s="293">
        <f>(BC130+BC131)/(BC133+BC132)*100</f>
        <v>0.28206650831353919</v>
      </c>
      <c r="BD128" s="293">
        <f>(BD130+BD131)/(BD133+BD132)*100</f>
        <v>0.29022895840051594</v>
      </c>
      <c r="BF128" s="293">
        <f>(BF130+BF131)/(BF133+BF132)*100</f>
        <v>0.7050694493407601</v>
      </c>
      <c r="BG128" s="293">
        <f>(BG130+BG131)/(BG133+BG132)*100</f>
        <v>0.74133763094278815</v>
      </c>
      <c r="BI128" s="293">
        <f>(BI130+BI131)/(BI133+BI132)*100</f>
        <v>0.42296545782094458</v>
      </c>
      <c r="BJ128" s="293">
        <f>(BJ130+BJ131)/(BJ133+BJ132)*100</f>
        <v>0.41349116263985736</v>
      </c>
      <c r="BL128" s="293">
        <f>(BL130+BL131)/(BL133+BL132)*100</f>
        <v>0.26385224274406333</v>
      </c>
      <c r="BM128" s="293">
        <f>(BM130+BM131)/(BM133+BM132)*100</f>
        <v>9.9667774086378724E-2</v>
      </c>
      <c r="BO128" s="293">
        <f>(BO130+BO131)/(BO133+BO132)*100</f>
        <v>0.95266448347722543</v>
      </c>
      <c r="BP128" s="293">
        <f>(BP130+BP131)/(BP133+BP132)*100</f>
        <v>0.15560165975103735</v>
      </c>
      <c r="BR128" s="293">
        <f>(BR130+BR131)/(BR133+BR132)*100</f>
        <v>0.60105184072126228</v>
      </c>
      <c r="BS128" s="293">
        <f>(BS130+BS131)/(BS133+BS132)*100</f>
        <v>0.74234457160532008</v>
      </c>
      <c r="BU128" s="293">
        <f>(BU130+BU131)/(BU133+BU132)*100</f>
        <v>1.1991434689507494</v>
      </c>
      <c r="BV128" s="293">
        <f>(BV130+BV131)/(BV133+BV132)*100</f>
        <v>1.6595289079229123</v>
      </c>
      <c r="BX128" s="293">
        <f>(BX130+BX131)/(BX133+BX132)*100</f>
        <v>2.4691358024691357</v>
      </c>
      <c r="BY128" s="293">
        <f>(BY130+BY131)/(BY133+BY132)*100</f>
        <v>1.7543859649122806</v>
      </c>
      <c r="CA128" s="293">
        <f>(CA130+CA131)/(CA133+CA132)*100</f>
        <v>2.7419797093501508E-2</v>
      </c>
      <c r="CB128" s="293">
        <f>(CB130+CB131)/(CB133+CB132)*100</f>
        <v>0</v>
      </c>
      <c r="CD128" s="293">
        <f>(CD130+CD131)/(CD133+CD132)*100</f>
        <v>0.35173160173160173</v>
      </c>
      <c r="CE128" s="293">
        <f>(CE130+CE131)/(CE133+CE132)*100</f>
        <v>0.48526863084922006</v>
      </c>
      <c r="CG128" s="293">
        <f>(CG130+CG131)/(CG133+CG132)*100</f>
        <v>0</v>
      </c>
      <c r="CH128" s="293">
        <f>(CH130+CH131)/(CH133+CH132)*100</f>
        <v>0</v>
      </c>
    </row>
    <row r="129" spans="1:86" x14ac:dyDescent="0.25">
      <c r="A129" s="101"/>
      <c r="B129" s="16" t="s">
        <v>1184</v>
      </c>
      <c r="C129" s="101"/>
      <c r="D129" s="101" t="s">
        <v>8</v>
      </c>
      <c r="E129" s="101"/>
      <c r="F129" s="292"/>
      <c r="G129" s="292"/>
      <c r="H129" s="292"/>
      <c r="I129" s="293"/>
      <c r="J129" s="293">
        <f>J134/J135*100</f>
        <v>0.33246259795772976</v>
      </c>
      <c r="K129" s="293">
        <f>K134/K135*100</f>
        <v>0.23918676499900338</v>
      </c>
      <c r="L129" s="293">
        <f>L134/L135*100</f>
        <v>0</v>
      </c>
      <c r="M129" s="293" t="e">
        <f>M134/M135*100</f>
        <v>#DIV/0!</v>
      </c>
      <c r="N129" s="293">
        <v>0</v>
      </c>
      <c r="O129" s="293">
        <v>0</v>
      </c>
      <c r="Q129" s="293">
        <f>Q134/Q135*100</f>
        <v>0</v>
      </c>
      <c r="R129" s="293">
        <f>R134/R135*100</f>
        <v>0</v>
      </c>
      <c r="S129" s="293" t="e">
        <f>S134/S135*100</f>
        <v>#DIV/0!</v>
      </c>
      <c r="T129" s="293" t="e">
        <f>T134/T135*100</f>
        <v>#DIV/0!</v>
      </c>
      <c r="V129" s="293" t="e">
        <f>V134/V135*100</f>
        <v>#DIV/0!</v>
      </c>
      <c r="W129" s="293" t="e">
        <f>W134/W135*100</f>
        <v>#DIV/0!</v>
      </c>
      <c r="Y129" s="293" t="e">
        <f>Y134/Y135*100</f>
        <v>#DIV/0!</v>
      </c>
      <c r="Z129" s="293" t="e">
        <f>Z134/Z135*100</f>
        <v>#DIV/0!</v>
      </c>
      <c r="AB129" s="293" t="e">
        <f>AB134/AB135*100</f>
        <v>#DIV/0!</v>
      </c>
      <c r="AC129" s="293" t="e">
        <f>AC134/AC135*100</f>
        <v>#DIV/0!</v>
      </c>
      <c r="AE129" s="293" t="e">
        <f>AE134/AE135*100</f>
        <v>#DIV/0!</v>
      </c>
      <c r="AF129" s="293" t="e">
        <f>AF134/AF135*100</f>
        <v>#DIV/0!</v>
      </c>
      <c r="AH129" s="293" t="e">
        <f>AH134/AH135*100</f>
        <v>#DIV/0!</v>
      </c>
      <c r="AI129" s="293" t="e">
        <f>AI134/AI135*100</f>
        <v>#DIV/0!</v>
      </c>
      <c r="AK129" s="293" t="e">
        <f>AK134/AK135*100</f>
        <v>#DIV/0!</v>
      </c>
      <c r="AL129" s="293" t="e">
        <f>AL134/AL135*100</f>
        <v>#DIV/0!</v>
      </c>
      <c r="AN129" s="293">
        <f>AN134/AN135*100</f>
        <v>0</v>
      </c>
      <c r="AO129" s="293">
        <f>AO134/AO135*100</f>
        <v>0</v>
      </c>
      <c r="AQ129" s="293" t="e">
        <f>AQ134/AQ135*100</f>
        <v>#DIV/0!</v>
      </c>
      <c r="AR129" s="293" t="e">
        <f>AR134/AR135*100</f>
        <v>#DIV/0!</v>
      </c>
      <c r="AT129" s="293">
        <f>AT134/AT135*100</f>
        <v>0</v>
      </c>
      <c r="AU129" s="293">
        <f>AU134/AU135*100</f>
        <v>0</v>
      </c>
      <c r="AW129" s="293" t="e">
        <f>AW134/AW135*100</f>
        <v>#DIV/0!</v>
      </c>
      <c r="AX129" s="293" t="e">
        <f>AX134/AX135*100</f>
        <v>#DIV/0!</v>
      </c>
      <c r="AZ129" s="293" t="e">
        <f>AZ134/AZ135*100</f>
        <v>#DIV/0!</v>
      </c>
      <c r="BA129" s="293" t="e">
        <f>BA134/BA135*100</f>
        <v>#DIV/0!</v>
      </c>
      <c r="BC129" s="293" t="e">
        <f>BC134/BC135*100</f>
        <v>#DIV/0!</v>
      </c>
      <c r="BD129" s="293" t="e">
        <f>BD134/BD135*100</f>
        <v>#DIV/0!</v>
      </c>
      <c r="BF129" s="293" t="e">
        <f>BF134/BF135*100</f>
        <v>#DIV/0!</v>
      </c>
      <c r="BG129" s="293" t="e">
        <f>BG134/BG135*100</f>
        <v>#DIV/0!</v>
      </c>
      <c r="BI129" s="293">
        <f>BI134/BI135*100</f>
        <v>0</v>
      </c>
      <c r="BJ129" s="293">
        <f>BJ134/BJ135*100</f>
        <v>0</v>
      </c>
      <c r="BL129" s="293">
        <f>BL134/BL135*100</f>
        <v>0</v>
      </c>
      <c r="BM129" s="293">
        <f>BM134/BM135*100</f>
        <v>0</v>
      </c>
      <c r="BO129" s="293" t="e">
        <f>BO134/BO135*100</f>
        <v>#DIV/0!</v>
      </c>
      <c r="BP129" s="293" t="e">
        <f>BP134/BP135*100</f>
        <v>#DIV/0!</v>
      </c>
      <c r="BR129" s="293" t="e">
        <f>BR134/BR135*100</f>
        <v>#DIV/0!</v>
      </c>
      <c r="BS129" s="293" t="e">
        <f>BS134/BS135*100</f>
        <v>#DIV/0!</v>
      </c>
      <c r="BU129" s="293">
        <f>BU134/BU135*100</f>
        <v>0</v>
      </c>
      <c r="BV129" s="293">
        <f>BV134/BV135*100</f>
        <v>0</v>
      </c>
      <c r="BX129" s="293" t="e">
        <f>BX134/BX135*100</f>
        <v>#DIV/0!</v>
      </c>
      <c r="BY129" s="293" t="e">
        <f>BY134/BY135*100</f>
        <v>#DIV/0!</v>
      </c>
      <c r="CA129" s="293" t="e">
        <f>CA134/CA135*100</f>
        <v>#DIV/0!</v>
      </c>
      <c r="CB129" s="293" t="e">
        <f>CB134/CB135*100</f>
        <v>#DIV/0!</v>
      </c>
      <c r="CD129" s="293" t="e">
        <f>CD134/CD135*100</f>
        <v>#DIV/0!</v>
      </c>
      <c r="CE129" s="293" t="e">
        <f>CE134/CE135*100</f>
        <v>#DIV/0!</v>
      </c>
      <c r="CG129" s="293" t="e">
        <f>CG134/CG135*100</f>
        <v>#DIV/0!</v>
      </c>
      <c r="CH129" s="293" t="e">
        <f>CH134/CH135*100</f>
        <v>#DIV/0!</v>
      </c>
    </row>
    <row r="130" spans="1:86" ht="45" x14ac:dyDescent="0.25">
      <c r="A130" s="95"/>
      <c r="B130" s="96" t="s">
        <v>1182</v>
      </c>
      <c r="C130" s="95" t="s">
        <v>1563</v>
      </c>
      <c r="D130" s="95" t="s">
        <v>950</v>
      </c>
      <c r="E130" s="95"/>
      <c r="F130" s="291"/>
      <c r="G130" s="291"/>
      <c r="H130" s="291"/>
      <c r="I130" s="282">
        <v>308</v>
      </c>
      <c r="J130" s="282">
        <v>265</v>
      </c>
      <c r="K130" s="282">
        <v>268</v>
      </c>
      <c r="L130" s="282">
        <v>266</v>
      </c>
      <c r="M130" s="282">
        <v>114</v>
      </c>
      <c r="N130" s="282">
        <v>99</v>
      </c>
      <c r="O130" s="282">
        <v>85</v>
      </c>
      <c r="Q130" s="286">
        <f t="shared" ref="Q130:R135" si="48">S130+V130+Y130+AB130+AE130+AH130+AK130+AN130+AQ130+AT130+AW130+AZ130+BC130+BF130+BI130+BL130+BO130+BR130+BU130+BX130+CA130+CD130+CG130</f>
        <v>266</v>
      </c>
      <c r="R130" s="286">
        <f t="shared" si="48"/>
        <v>248</v>
      </c>
      <c r="S130" s="286">
        <v>0</v>
      </c>
      <c r="T130" s="286">
        <v>0</v>
      </c>
      <c r="U130" s="286"/>
      <c r="V130" s="286">
        <v>2</v>
      </c>
      <c r="W130" s="286">
        <v>3</v>
      </c>
      <c r="X130" s="286"/>
      <c r="Y130" s="286">
        <v>1</v>
      </c>
      <c r="Z130" s="286">
        <v>0</v>
      </c>
      <c r="AA130" s="286"/>
      <c r="AB130" s="286">
        <v>9</v>
      </c>
      <c r="AC130" s="286">
        <v>8</v>
      </c>
      <c r="AD130" s="286"/>
      <c r="AE130" s="286">
        <v>62</v>
      </c>
      <c r="AF130" s="286">
        <v>62</v>
      </c>
      <c r="AG130" s="286"/>
      <c r="AH130" s="286">
        <v>2</v>
      </c>
      <c r="AI130" s="286">
        <v>4</v>
      </c>
      <c r="AJ130" s="286"/>
      <c r="AK130" s="286">
        <v>8</v>
      </c>
      <c r="AL130" s="286">
        <v>14</v>
      </c>
      <c r="AM130" s="286"/>
      <c r="AN130" s="286">
        <v>18</v>
      </c>
      <c r="AO130" s="286">
        <v>18</v>
      </c>
      <c r="AP130" s="286"/>
      <c r="AQ130" s="286">
        <v>0</v>
      </c>
      <c r="AR130" s="286">
        <v>1</v>
      </c>
      <c r="AS130" s="286"/>
      <c r="AT130" s="286">
        <v>23</v>
      </c>
      <c r="AU130" s="286">
        <v>30</v>
      </c>
      <c r="AV130" s="286"/>
      <c r="AW130" s="286">
        <v>9</v>
      </c>
      <c r="AX130" s="286">
        <v>0</v>
      </c>
      <c r="AY130" s="286"/>
      <c r="AZ130" s="286">
        <v>0</v>
      </c>
      <c r="BA130" s="286"/>
      <c r="BB130" s="286"/>
      <c r="BC130" s="286">
        <v>6</v>
      </c>
      <c r="BD130" s="286">
        <v>1</v>
      </c>
      <c r="BE130" s="286"/>
      <c r="BF130" s="286">
        <v>56</v>
      </c>
      <c r="BG130" s="286">
        <v>44</v>
      </c>
      <c r="BH130" s="286"/>
      <c r="BI130" s="286">
        <v>29</v>
      </c>
      <c r="BJ130" s="286">
        <v>25</v>
      </c>
      <c r="BK130" s="286"/>
      <c r="BL130" s="286">
        <v>3</v>
      </c>
      <c r="BM130" s="286">
        <v>3</v>
      </c>
      <c r="BN130" s="286"/>
      <c r="BO130" s="286">
        <v>10</v>
      </c>
      <c r="BP130" s="286">
        <v>3</v>
      </c>
      <c r="BQ130" s="286"/>
      <c r="BR130" s="286">
        <v>0</v>
      </c>
      <c r="BS130" s="286">
        <v>1</v>
      </c>
      <c r="BT130" s="286"/>
      <c r="BU130" s="286">
        <v>28</v>
      </c>
      <c r="BV130" s="286">
        <v>31</v>
      </c>
      <c r="BW130" s="286"/>
      <c r="BX130" s="286">
        <v>0</v>
      </c>
      <c r="BY130" s="286">
        <v>0</v>
      </c>
      <c r="BZ130" s="286"/>
      <c r="CA130" s="286">
        <v>0</v>
      </c>
      <c r="CB130" s="286">
        <v>0</v>
      </c>
      <c r="CC130" s="286"/>
      <c r="CD130" s="286">
        <v>0</v>
      </c>
      <c r="CE130" s="286">
        <v>0</v>
      </c>
      <c r="CF130" s="286"/>
      <c r="CG130" s="286">
        <v>0</v>
      </c>
      <c r="CH130" s="286">
        <v>0</v>
      </c>
    </row>
    <row r="131" spans="1:86" ht="45" x14ac:dyDescent="0.25">
      <c r="A131" s="95"/>
      <c r="B131" s="298"/>
      <c r="C131" s="95" t="s">
        <v>1563</v>
      </c>
      <c r="D131" s="95" t="s">
        <v>950</v>
      </c>
      <c r="E131" s="95"/>
      <c r="F131" s="291"/>
      <c r="G131" s="291"/>
      <c r="H131" s="291"/>
      <c r="I131" s="282">
        <v>0</v>
      </c>
      <c r="J131" s="282">
        <v>269</v>
      </c>
      <c r="K131" s="282">
        <v>204</v>
      </c>
      <c r="L131" s="282">
        <v>247</v>
      </c>
      <c r="M131" s="282">
        <v>114</v>
      </c>
      <c r="N131" s="282">
        <v>99</v>
      </c>
      <c r="O131" s="282">
        <v>85</v>
      </c>
      <c r="Q131" s="286">
        <f t="shared" si="48"/>
        <v>247</v>
      </c>
      <c r="R131" s="286">
        <f t="shared" si="48"/>
        <v>189</v>
      </c>
      <c r="S131" s="286">
        <v>1</v>
      </c>
      <c r="T131" s="286">
        <v>2</v>
      </c>
      <c r="U131" s="286"/>
      <c r="V131" s="286">
        <v>3</v>
      </c>
      <c r="W131" s="286">
        <v>2</v>
      </c>
      <c r="X131" s="286"/>
      <c r="Y131" s="286">
        <v>24</v>
      </c>
      <c r="Z131" s="286">
        <v>0</v>
      </c>
      <c r="AA131" s="286"/>
      <c r="AB131" s="286">
        <v>1</v>
      </c>
      <c r="AC131" s="286">
        <v>2</v>
      </c>
      <c r="AD131" s="286"/>
      <c r="AE131" s="286">
        <v>5</v>
      </c>
      <c r="AF131" s="286">
        <v>7</v>
      </c>
      <c r="AG131" s="286"/>
      <c r="AH131" s="286">
        <v>1</v>
      </c>
      <c r="AI131" s="286">
        <v>3</v>
      </c>
      <c r="AJ131" s="286"/>
      <c r="AK131" s="286">
        <v>10</v>
      </c>
      <c r="AL131" s="286">
        <v>11</v>
      </c>
      <c r="AM131" s="286"/>
      <c r="AN131" s="286">
        <v>8</v>
      </c>
      <c r="AO131" s="286">
        <v>1</v>
      </c>
      <c r="AP131" s="286"/>
      <c r="AQ131" s="286">
        <v>18</v>
      </c>
      <c r="AR131" s="286">
        <v>0</v>
      </c>
      <c r="AS131" s="286"/>
      <c r="AT131" s="286">
        <v>0</v>
      </c>
      <c r="AU131" s="286">
        <v>0</v>
      </c>
      <c r="AV131" s="286"/>
      <c r="AW131" s="286">
        <v>0</v>
      </c>
      <c r="AX131" s="286">
        <v>0</v>
      </c>
      <c r="AY131" s="286"/>
      <c r="AZ131" s="286">
        <f>3+5</f>
        <v>8</v>
      </c>
      <c r="BA131" s="286">
        <v>14</v>
      </c>
      <c r="BB131" s="286"/>
      <c r="BC131" s="286">
        <v>13</v>
      </c>
      <c r="BD131" s="286">
        <v>17</v>
      </c>
      <c r="BE131" s="286"/>
      <c r="BF131" s="286">
        <v>44</v>
      </c>
      <c r="BG131" s="286">
        <v>48</v>
      </c>
      <c r="BH131" s="286"/>
      <c r="BI131" s="286">
        <v>25</v>
      </c>
      <c r="BJ131" s="286">
        <v>26</v>
      </c>
      <c r="BK131" s="286"/>
      <c r="BL131" s="286">
        <v>6</v>
      </c>
      <c r="BM131" s="286">
        <v>0</v>
      </c>
      <c r="BN131" s="286"/>
      <c r="BO131" s="286">
        <v>22</v>
      </c>
      <c r="BP131" s="286">
        <v>0</v>
      </c>
      <c r="BQ131" s="286"/>
      <c r="BR131" s="286">
        <v>24</v>
      </c>
      <c r="BS131" s="286">
        <v>23</v>
      </c>
      <c r="BT131" s="286"/>
      <c r="BU131" s="286">
        <v>0</v>
      </c>
      <c r="BV131" s="286">
        <v>0</v>
      </c>
      <c r="BW131" s="286"/>
      <c r="BX131" s="286">
        <v>20</v>
      </c>
      <c r="BY131" s="286">
        <v>19</v>
      </c>
      <c r="BZ131" s="286"/>
      <c r="CA131" s="286">
        <v>1</v>
      </c>
      <c r="CB131" s="286">
        <v>0</v>
      </c>
      <c r="CC131" s="286"/>
      <c r="CD131" s="286">
        <v>13</v>
      </c>
      <c r="CE131" s="286">
        <v>14</v>
      </c>
      <c r="CF131" s="286"/>
      <c r="CG131" s="286">
        <v>0</v>
      </c>
      <c r="CH131" s="286">
        <v>0</v>
      </c>
    </row>
    <row r="132" spans="1:86" ht="45" x14ac:dyDescent="0.25">
      <c r="A132" s="95"/>
      <c r="B132" s="298"/>
      <c r="C132" s="95" t="s">
        <v>1562</v>
      </c>
      <c r="D132" s="95" t="s">
        <v>950</v>
      </c>
      <c r="E132" s="95"/>
      <c r="F132" s="291"/>
      <c r="G132" s="291"/>
      <c r="H132" s="291"/>
      <c r="I132" s="282">
        <v>79266</v>
      </c>
      <c r="J132" s="282">
        <f t="shared" ref="J132:M133" si="49">J114</f>
        <v>74454</v>
      </c>
      <c r="K132" s="282">
        <f t="shared" si="49"/>
        <v>78769</v>
      </c>
      <c r="L132" s="282">
        <f t="shared" si="49"/>
        <v>89308</v>
      </c>
      <c r="M132" s="282">
        <f t="shared" si="49"/>
        <v>5719</v>
      </c>
      <c r="N132" s="282">
        <v>5497</v>
      </c>
      <c r="O132" s="282">
        <v>4825</v>
      </c>
      <c r="Q132" s="286">
        <f t="shared" si="48"/>
        <v>89308</v>
      </c>
      <c r="R132" s="286">
        <f t="shared" si="48"/>
        <v>91209</v>
      </c>
      <c r="S132" s="286">
        <f>S114</f>
        <v>2690</v>
      </c>
      <c r="T132" s="286">
        <f>T114</f>
        <v>2690</v>
      </c>
      <c r="U132" s="286"/>
      <c r="V132" s="286">
        <f>V114</f>
        <v>1410</v>
      </c>
      <c r="W132" s="286">
        <f>W114</f>
        <v>1892</v>
      </c>
      <c r="X132" s="286"/>
      <c r="Y132" s="286">
        <f>Y114</f>
        <v>1097</v>
      </c>
      <c r="Z132" s="286">
        <f>Z114</f>
        <v>1032</v>
      </c>
      <c r="AA132" s="286"/>
      <c r="AB132" s="286">
        <f>AB114</f>
        <v>3407</v>
      </c>
      <c r="AC132" s="286">
        <f>AC114</f>
        <v>3456</v>
      </c>
      <c r="AD132" s="286"/>
      <c r="AE132" s="286">
        <f>AE114</f>
        <v>5086</v>
      </c>
      <c r="AF132" s="286">
        <f>AF114</f>
        <v>5086</v>
      </c>
      <c r="AG132" s="286"/>
      <c r="AH132" s="286">
        <f>AH114</f>
        <v>2049</v>
      </c>
      <c r="AI132" s="286">
        <f>AI114</f>
        <v>5719</v>
      </c>
      <c r="AJ132" s="286"/>
      <c r="AK132" s="286">
        <f>AK114</f>
        <v>3188</v>
      </c>
      <c r="AL132" s="286">
        <f>AL114</f>
        <v>3493</v>
      </c>
      <c r="AM132" s="286"/>
      <c r="AN132" s="286">
        <f>AN114</f>
        <v>20792</v>
      </c>
      <c r="AO132" s="286">
        <f>AO114</f>
        <v>18924</v>
      </c>
      <c r="AP132" s="286"/>
      <c r="AQ132" s="286">
        <f>AQ114</f>
        <v>2509</v>
      </c>
      <c r="AR132" s="286">
        <f>AR114</f>
        <v>2583</v>
      </c>
      <c r="AS132" s="286"/>
      <c r="AT132" s="286">
        <f>AT114</f>
        <v>5644</v>
      </c>
      <c r="AU132" s="286">
        <f>AU114</f>
        <v>5663</v>
      </c>
      <c r="AV132" s="286"/>
      <c r="AW132" s="286">
        <f>AW114</f>
        <v>3030</v>
      </c>
      <c r="AX132" s="286">
        <f>AX114</f>
        <v>3106</v>
      </c>
      <c r="AY132" s="286"/>
      <c r="AZ132" s="286">
        <f>AZ114</f>
        <v>0</v>
      </c>
      <c r="BA132" s="286">
        <f>BA114</f>
        <v>0</v>
      </c>
      <c r="BB132" s="286"/>
      <c r="BC132" s="286">
        <f>BC114</f>
        <v>4610</v>
      </c>
      <c r="BD132" s="286">
        <f>BD114</f>
        <v>4564</v>
      </c>
      <c r="BE132" s="286"/>
      <c r="BF132" s="286">
        <f>BF114</f>
        <v>10471</v>
      </c>
      <c r="BG132" s="286">
        <f>BG114</f>
        <v>8657</v>
      </c>
      <c r="BH132" s="286"/>
      <c r="BI132" s="286">
        <f>BI114</f>
        <v>8930</v>
      </c>
      <c r="BJ132" s="286">
        <f>BJ114</f>
        <v>8775</v>
      </c>
      <c r="BK132" s="286"/>
      <c r="BL132" s="286">
        <f>BL114</f>
        <v>1920</v>
      </c>
      <c r="BM132" s="286">
        <f>BM114</f>
        <v>1996</v>
      </c>
      <c r="BN132" s="286"/>
      <c r="BO132" s="286">
        <f>BO114</f>
        <v>1039</v>
      </c>
      <c r="BP132" s="286">
        <f>BP114</f>
        <v>1072</v>
      </c>
      <c r="BQ132" s="286"/>
      <c r="BR132" s="286">
        <f>BR114</f>
        <v>3010</v>
      </c>
      <c r="BS132" s="286">
        <f>BS114</f>
        <v>2250</v>
      </c>
      <c r="BT132" s="286"/>
      <c r="BU132" s="286">
        <f>BU114</f>
        <v>2335</v>
      </c>
      <c r="BV132" s="286">
        <f>BV114</f>
        <v>1868</v>
      </c>
      <c r="BW132" s="286"/>
      <c r="BX132" s="286">
        <f>BX114</f>
        <v>0</v>
      </c>
      <c r="BY132" s="286">
        <f>BY114</f>
        <v>0</v>
      </c>
      <c r="BZ132" s="286"/>
      <c r="CA132" s="286">
        <f>CA114</f>
        <v>2635</v>
      </c>
      <c r="CB132" s="286">
        <f>CB114</f>
        <v>2897</v>
      </c>
      <c r="CC132" s="286"/>
      <c r="CD132" s="286">
        <f>CD114</f>
        <v>2504</v>
      </c>
      <c r="CE132" s="286">
        <f>CE114</f>
        <v>1697</v>
      </c>
      <c r="CF132" s="286"/>
      <c r="CG132" s="286">
        <f>CG114</f>
        <v>952</v>
      </c>
      <c r="CH132" s="286">
        <f>CH114</f>
        <v>3789</v>
      </c>
    </row>
    <row r="133" spans="1:86" ht="45" x14ac:dyDescent="0.25">
      <c r="A133" s="95"/>
      <c r="B133" s="298"/>
      <c r="C133" s="95" t="s">
        <v>1562</v>
      </c>
      <c r="D133" s="95" t="s">
        <v>950</v>
      </c>
      <c r="E133" s="95"/>
      <c r="F133" s="291"/>
      <c r="G133" s="291"/>
      <c r="H133" s="291"/>
      <c r="I133" s="282">
        <v>238</v>
      </c>
      <c r="J133" s="282">
        <f t="shared" si="49"/>
        <v>49015</v>
      </c>
      <c r="K133" s="282">
        <f t="shared" si="49"/>
        <v>40831</v>
      </c>
      <c r="L133" s="282">
        <f t="shared" si="49"/>
        <v>34024</v>
      </c>
      <c r="M133" s="282">
        <f t="shared" si="49"/>
        <v>5719</v>
      </c>
      <c r="N133" s="282">
        <v>5497</v>
      </c>
      <c r="O133" s="282">
        <v>4825</v>
      </c>
      <c r="Q133" s="286">
        <f t="shared" si="48"/>
        <v>34024</v>
      </c>
      <c r="R133" s="286">
        <f t="shared" si="48"/>
        <v>24253</v>
      </c>
      <c r="S133" s="286">
        <f>S115</f>
        <v>993</v>
      </c>
      <c r="T133" s="286">
        <f>T115</f>
        <v>432</v>
      </c>
      <c r="U133" s="286"/>
      <c r="V133" s="286">
        <f>V115</f>
        <v>743</v>
      </c>
      <c r="W133" s="286">
        <f>W115</f>
        <v>783</v>
      </c>
      <c r="X133" s="286"/>
      <c r="Y133" s="286">
        <f>Y115</f>
        <v>2789</v>
      </c>
      <c r="Z133" s="286">
        <f>Z115</f>
        <v>739</v>
      </c>
      <c r="AA133" s="286"/>
      <c r="AB133" s="286">
        <f>AB115</f>
        <v>1053</v>
      </c>
      <c r="AC133" s="286">
        <f>AC115</f>
        <v>450</v>
      </c>
      <c r="AD133" s="286"/>
      <c r="AE133" s="286">
        <f>AE115</f>
        <v>1024</v>
      </c>
      <c r="AF133" s="286">
        <f>AF115</f>
        <v>1097</v>
      </c>
      <c r="AG133" s="286"/>
      <c r="AH133" s="286">
        <f>AH115</f>
        <v>624</v>
      </c>
      <c r="AI133" s="286">
        <f>AI115</f>
        <v>838</v>
      </c>
      <c r="AJ133" s="286"/>
      <c r="AK133" s="286">
        <f>AK115</f>
        <v>777</v>
      </c>
      <c r="AL133" s="286">
        <f>AL115</f>
        <v>746</v>
      </c>
      <c r="AM133" s="286"/>
      <c r="AN133" s="286">
        <f>AN115</f>
        <v>2766</v>
      </c>
      <c r="AO133" s="286">
        <f>AO115</f>
        <v>2654</v>
      </c>
      <c r="AP133" s="286"/>
      <c r="AQ133" s="286">
        <f>AQ115</f>
        <v>768</v>
      </c>
      <c r="AR133" s="286">
        <f>AR115</f>
        <v>157</v>
      </c>
      <c r="AS133" s="286"/>
      <c r="AT133" s="286">
        <f>AT115</f>
        <v>0</v>
      </c>
      <c r="AU133" s="286">
        <f>AU115</f>
        <v>0</v>
      </c>
      <c r="AV133" s="286"/>
      <c r="AW133" s="286">
        <f>AW115</f>
        <v>0</v>
      </c>
      <c r="AX133" s="286">
        <f>AX115</f>
        <v>0</v>
      </c>
      <c r="AY133" s="286"/>
      <c r="AZ133" s="286">
        <f>AZ115</f>
        <v>5004</v>
      </c>
      <c r="BA133" s="286">
        <f>BA115</f>
        <v>1369</v>
      </c>
      <c r="BB133" s="286"/>
      <c r="BC133" s="286">
        <f>BC115</f>
        <v>2126</v>
      </c>
      <c r="BD133" s="286">
        <f>BD115</f>
        <v>1638</v>
      </c>
      <c r="BE133" s="286"/>
      <c r="BF133" s="286">
        <f>BF115</f>
        <v>3712</v>
      </c>
      <c r="BG133" s="286">
        <f>BG115</f>
        <v>3753</v>
      </c>
      <c r="BH133" s="286"/>
      <c r="BI133" s="286">
        <f>BI115</f>
        <v>3837</v>
      </c>
      <c r="BJ133" s="286">
        <f>BJ115</f>
        <v>3559</v>
      </c>
      <c r="BK133" s="286"/>
      <c r="BL133" s="286">
        <f>BL115</f>
        <v>1491</v>
      </c>
      <c r="BM133" s="286">
        <f>BM115</f>
        <v>1014</v>
      </c>
      <c r="BN133" s="286"/>
      <c r="BO133" s="286">
        <f>BO115</f>
        <v>2320</v>
      </c>
      <c r="BP133" s="286">
        <f>BP115</f>
        <v>856</v>
      </c>
      <c r="BQ133" s="286"/>
      <c r="BR133" s="286">
        <f>BR115</f>
        <v>983</v>
      </c>
      <c r="BS133" s="286">
        <f>BS115</f>
        <v>983</v>
      </c>
      <c r="BT133" s="286"/>
      <c r="BU133" s="286">
        <f>BU115</f>
        <v>0</v>
      </c>
      <c r="BV133" s="286">
        <f>BV115</f>
        <v>0</v>
      </c>
      <c r="BW133" s="286"/>
      <c r="BX133" s="286">
        <f>BX115</f>
        <v>810</v>
      </c>
      <c r="BY133" s="286">
        <f>BY115</f>
        <v>1083</v>
      </c>
      <c r="BZ133" s="286"/>
      <c r="CA133" s="286">
        <f>CA115</f>
        <v>1012</v>
      </c>
      <c r="CB133" s="286">
        <f>CB115</f>
        <v>914</v>
      </c>
      <c r="CC133" s="286"/>
      <c r="CD133" s="286">
        <f>CD115</f>
        <v>1192</v>
      </c>
      <c r="CE133" s="286">
        <f>CE115</f>
        <v>1188</v>
      </c>
      <c r="CF133" s="286"/>
      <c r="CG133" s="286">
        <f>CG115</f>
        <v>0</v>
      </c>
      <c r="CH133" s="286">
        <f>CH115</f>
        <v>0</v>
      </c>
    </row>
    <row r="134" spans="1:86" ht="45" x14ac:dyDescent="0.25">
      <c r="A134" s="95"/>
      <c r="B134" s="96" t="s">
        <v>1184</v>
      </c>
      <c r="C134" s="95" t="s">
        <v>1563</v>
      </c>
      <c r="D134" s="95" t="s">
        <v>950</v>
      </c>
      <c r="E134" s="95"/>
      <c r="F134" s="291"/>
      <c r="G134" s="291"/>
      <c r="H134" s="291"/>
      <c r="I134" s="282"/>
      <c r="J134" s="282">
        <v>14</v>
      </c>
      <c r="K134" s="282">
        <v>12</v>
      </c>
      <c r="L134" s="282">
        <v>0</v>
      </c>
      <c r="M134" s="282">
        <v>0</v>
      </c>
      <c r="N134" s="282">
        <v>0</v>
      </c>
      <c r="O134" s="282">
        <v>0</v>
      </c>
      <c r="Q134" s="286">
        <f t="shared" si="48"/>
        <v>0</v>
      </c>
      <c r="R134" s="286">
        <f t="shared" si="48"/>
        <v>0</v>
      </c>
      <c r="S134" s="286">
        <v>0</v>
      </c>
      <c r="T134" s="286"/>
      <c r="U134" s="286"/>
      <c r="V134" s="286">
        <v>0</v>
      </c>
      <c r="W134" s="286"/>
      <c r="X134" s="286"/>
      <c r="Y134" s="286">
        <v>0</v>
      </c>
      <c r="Z134" s="286"/>
      <c r="AA134" s="286"/>
      <c r="AB134" s="286">
        <v>0</v>
      </c>
      <c r="AC134" s="286"/>
      <c r="AD134" s="286"/>
      <c r="AE134" s="286">
        <v>0</v>
      </c>
      <c r="AF134" s="286"/>
      <c r="AG134" s="286"/>
      <c r="AH134" s="286">
        <v>0</v>
      </c>
      <c r="AI134" s="286"/>
      <c r="AJ134" s="286"/>
      <c r="AK134" s="286">
        <v>0</v>
      </c>
      <c r="AL134" s="286"/>
      <c r="AM134" s="286"/>
      <c r="AN134" s="286">
        <v>0</v>
      </c>
      <c r="AO134" s="286"/>
      <c r="AP134" s="286"/>
      <c r="AQ134" s="286">
        <v>0</v>
      </c>
      <c r="AR134" s="286"/>
      <c r="AS134" s="286"/>
      <c r="AT134" s="286">
        <v>0</v>
      </c>
      <c r="AU134" s="286"/>
      <c r="AV134" s="286"/>
      <c r="AW134" s="286">
        <v>0</v>
      </c>
      <c r="AX134" s="286"/>
      <c r="AY134" s="286"/>
      <c r="AZ134" s="286">
        <v>0</v>
      </c>
      <c r="BA134" s="286"/>
      <c r="BB134" s="286"/>
      <c r="BC134" s="286">
        <v>0</v>
      </c>
      <c r="BD134" s="286"/>
      <c r="BE134" s="286"/>
      <c r="BF134" s="286">
        <v>0</v>
      </c>
      <c r="BG134" s="286"/>
      <c r="BH134" s="286"/>
      <c r="BI134" s="286">
        <v>0</v>
      </c>
      <c r="BJ134" s="286"/>
      <c r="BK134" s="286"/>
      <c r="BL134" s="286">
        <v>0</v>
      </c>
      <c r="BM134" s="286"/>
      <c r="BN134" s="286"/>
      <c r="BO134" s="286">
        <v>0</v>
      </c>
      <c r="BP134" s="286"/>
      <c r="BQ134" s="286"/>
      <c r="BR134" s="286">
        <v>0</v>
      </c>
      <c r="BS134" s="286"/>
      <c r="BT134" s="286"/>
      <c r="BU134" s="286">
        <v>0</v>
      </c>
      <c r="BV134" s="286"/>
      <c r="BW134" s="286"/>
      <c r="BX134" s="286">
        <v>0</v>
      </c>
      <c r="BY134" s="286"/>
      <c r="BZ134" s="286"/>
      <c r="CA134" s="286">
        <v>0</v>
      </c>
      <c r="CB134" s="286"/>
      <c r="CC134" s="286"/>
      <c r="CD134" s="286">
        <v>0</v>
      </c>
      <c r="CE134" s="286"/>
      <c r="CF134" s="286"/>
      <c r="CG134" s="286">
        <v>0</v>
      </c>
      <c r="CH134" s="286"/>
    </row>
    <row r="135" spans="1:86" ht="45" x14ac:dyDescent="0.25">
      <c r="A135" s="95"/>
      <c r="B135" s="298"/>
      <c r="C135" s="95" t="s">
        <v>1562</v>
      </c>
      <c r="D135" s="95" t="s">
        <v>950</v>
      </c>
      <c r="E135" s="95"/>
      <c r="F135" s="291"/>
      <c r="G135" s="291"/>
      <c r="H135" s="291"/>
      <c r="I135" s="282"/>
      <c r="J135" s="282">
        <f>J117</f>
        <v>4211</v>
      </c>
      <c r="K135" s="282">
        <f>K117</f>
        <v>5017</v>
      </c>
      <c r="L135" s="282">
        <f>L117</f>
        <v>4042</v>
      </c>
      <c r="M135" s="282">
        <v>0</v>
      </c>
      <c r="N135" s="282">
        <v>0</v>
      </c>
      <c r="O135" s="282">
        <v>0</v>
      </c>
      <c r="Q135" s="286">
        <f t="shared" si="48"/>
        <v>4042</v>
      </c>
      <c r="R135" s="286">
        <f t="shared" si="48"/>
        <v>5540</v>
      </c>
      <c r="S135" s="286">
        <f>S117</f>
        <v>0</v>
      </c>
      <c r="T135" s="286">
        <f>T117</f>
        <v>0</v>
      </c>
      <c r="U135" s="286"/>
      <c r="V135" s="286">
        <f>V117</f>
        <v>0</v>
      </c>
      <c r="W135" s="286">
        <f>W117</f>
        <v>0</v>
      </c>
      <c r="X135" s="286"/>
      <c r="Y135" s="286">
        <f>Y117</f>
        <v>0</v>
      </c>
      <c r="Z135" s="286">
        <f>Z117</f>
        <v>0</v>
      </c>
      <c r="AA135" s="286"/>
      <c r="AB135" s="286">
        <f>AB117</f>
        <v>0</v>
      </c>
      <c r="AC135" s="286">
        <f>AC117</f>
        <v>0</v>
      </c>
      <c r="AD135" s="286"/>
      <c r="AE135" s="286">
        <f>AE117</f>
        <v>0</v>
      </c>
      <c r="AF135" s="286">
        <f>AF117</f>
        <v>0</v>
      </c>
      <c r="AG135" s="286"/>
      <c r="AH135" s="286">
        <f>AH117</f>
        <v>0</v>
      </c>
      <c r="AI135" s="286">
        <f>AI117</f>
        <v>0</v>
      </c>
      <c r="AJ135" s="286"/>
      <c r="AK135" s="286">
        <f>AK117</f>
        <v>0</v>
      </c>
      <c r="AL135" s="286">
        <f>AL117</f>
        <v>0</v>
      </c>
      <c r="AM135" s="286"/>
      <c r="AN135" s="286">
        <f>AN117</f>
        <v>645</v>
      </c>
      <c r="AO135" s="286">
        <f>AO117</f>
        <v>1075</v>
      </c>
      <c r="AP135" s="286"/>
      <c r="AQ135" s="286">
        <f>AQ117</f>
        <v>0</v>
      </c>
      <c r="AR135" s="286">
        <f>AR117</f>
        <v>0</v>
      </c>
      <c r="AS135" s="286"/>
      <c r="AT135" s="286">
        <f>AT117</f>
        <v>788</v>
      </c>
      <c r="AU135" s="286">
        <f>AU117</f>
        <v>1457</v>
      </c>
      <c r="AV135" s="286"/>
      <c r="AW135" s="286">
        <f>AW117</f>
        <v>0</v>
      </c>
      <c r="AX135" s="286">
        <f>AX117</f>
        <v>0</v>
      </c>
      <c r="AY135" s="286"/>
      <c r="AZ135" s="286">
        <f>AZ117</f>
        <v>0</v>
      </c>
      <c r="BA135" s="286">
        <f>BA117</f>
        <v>0</v>
      </c>
      <c r="BB135" s="286"/>
      <c r="BC135" s="286">
        <f>BC117</f>
        <v>0</v>
      </c>
      <c r="BD135" s="286">
        <f>BD117</f>
        <v>0</v>
      </c>
      <c r="BE135" s="286"/>
      <c r="BF135" s="286">
        <f>BF117</f>
        <v>0</v>
      </c>
      <c r="BG135" s="286">
        <f>BG117</f>
        <v>0</v>
      </c>
      <c r="BH135" s="286"/>
      <c r="BI135" s="286">
        <f>BI117</f>
        <v>2336</v>
      </c>
      <c r="BJ135" s="286">
        <f>BJ117</f>
        <v>2794</v>
      </c>
      <c r="BK135" s="286"/>
      <c r="BL135" s="286">
        <f>BL117</f>
        <v>103</v>
      </c>
      <c r="BM135" s="286">
        <f>BM117</f>
        <v>100</v>
      </c>
      <c r="BN135" s="286"/>
      <c r="BO135" s="286">
        <f>BO117</f>
        <v>0</v>
      </c>
      <c r="BP135" s="286">
        <f>BP117</f>
        <v>0</v>
      </c>
      <c r="BQ135" s="286"/>
      <c r="BR135" s="286">
        <f>BR117</f>
        <v>0</v>
      </c>
      <c r="BS135" s="286">
        <f>BS117</f>
        <v>0</v>
      </c>
      <c r="BT135" s="286"/>
      <c r="BU135" s="286">
        <f>BU117</f>
        <v>170</v>
      </c>
      <c r="BV135" s="286">
        <f>BV117</f>
        <v>114</v>
      </c>
      <c r="BW135" s="286"/>
      <c r="BX135" s="286">
        <f>BX117</f>
        <v>0</v>
      </c>
      <c r="BY135" s="286">
        <f>BY117</f>
        <v>0</v>
      </c>
      <c r="BZ135" s="286"/>
      <c r="CA135" s="286">
        <f>CA117</f>
        <v>0</v>
      </c>
      <c r="CB135" s="286">
        <f>CB117</f>
        <v>0</v>
      </c>
      <c r="CC135" s="286"/>
      <c r="CD135" s="286">
        <f>CD117</f>
        <v>0</v>
      </c>
      <c r="CE135" s="286">
        <f>CE117</f>
        <v>0</v>
      </c>
      <c r="CF135" s="286"/>
      <c r="CG135" s="286">
        <f>CG117</f>
        <v>0</v>
      </c>
      <c r="CH135" s="286">
        <f>CH117</f>
        <v>0</v>
      </c>
    </row>
    <row r="136" spans="1:86" ht="45" x14ac:dyDescent="0.25">
      <c r="A136" s="105" t="s">
        <v>655</v>
      </c>
      <c r="B136" s="290" t="s">
        <v>816</v>
      </c>
      <c r="C136" s="107"/>
      <c r="D136" s="107"/>
      <c r="E136" s="107"/>
      <c r="F136" s="107"/>
      <c r="G136" s="107"/>
      <c r="H136" s="107"/>
      <c r="I136" s="107"/>
      <c r="J136" s="107"/>
      <c r="K136" s="107"/>
      <c r="L136" s="107"/>
      <c r="M136" s="107"/>
      <c r="N136" s="107"/>
      <c r="O136" s="107"/>
    </row>
    <row r="137" spans="1:86" ht="60" x14ac:dyDescent="0.25">
      <c r="A137" s="95" t="s">
        <v>656</v>
      </c>
      <c r="B137" s="16" t="s">
        <v>817</v>
      </c>
      <c r="C137" s="107"/>
      <c r="D137" s="95" t="s">
        <v>8</v>
      </c>
      <c r="E137" s="95"/>
      <c r="F137" s="280">
        <v>78.2</v>
      </c>
      <c r="G137" s="279">
        <v>79.8</v>
      </c>
      <c r="H137" s="279">
        <v>96.8</v>
      </c>
      <c r="I137" s="279">
        <v>82.99</v>
      </c>
      <c r="J137" s="279">
        <v>95</v>
      </c>
      <c r="K137" s="279">
        <v>100</v>
      </c>
      <c r="L137" s="279">
        <v>100.3</v>
      </c>
      <c r="M137" s="279"/>
      <c r="N137" s="279"/>
      <c r="O137" s="279"/>
      <c r="P137" s="281" t="s">
        <v>23</v>
      </c>
      <c r="Q137" s="279">
        <f>Q139/Q138*100</f>
        <v>100.29726336498676</v>
      </c>
      <c r="R137" s="279">
        <f>R139/R138*100</f>
        <v>98.607952360548026</v>
      </c>
      <c r="S137" s="279">
        <f>S139/S138*100</f>
        <v>105.57667223226524</v>
      </c>
      <c r="T137" s="279">
        <f>T139/T138*100</f>
        <v>102.19519430436073</v>
      </c>
      <c r="V137" s="279">
        <f>V139/V138*100</f>
        <v>102.06516783803102</v>
      </c>
      <c r="W137" s="279">
        <f>W139/W138*100</f>
        <v>99.995742553588883</v>
      </c>
      <c r="Y137" s="279">
        <f>Y139/Y138*100</f>
        <v>87.194377451128432</v>
      </c>
      <c r="Z137" s="279">
        <f>Z139/Z138*100</f>
        <v>87.420756561960943</v>
      </c>
      <c r="AB137" s="279">
        <f>AB139/AB138*100</f>
        <v>94.953569677123369</v>
      </c>
      <c r="AC137" s="279">
        <f>AC139/AC138*100</f>
        <v>94.401457969390336</v>
      </c>
      <c r="AE137" s="279">
        <f>AE139/AE138*100</f>
        <v>92.520238213370959</v>
      </c>
      <c r="AF137" s="279">
        <f>AF139/AF138*100</f>
        <v>89.541102211674726</v>
      </c>
      <c r="AH137" s="279">
        <f>AH139/AH138*100</f>
        <v>90.827692232466561</v>
      </c>
      <c r="AI137" s="279">
        <f>AI139/AI138*100</f>
        <v>88.212916268389421</v>
      </c>
      <c r="AK137" s="279">
        <f>AK139/AK138*100</f>
        <v>95.368760453474039</v>
      </c>
      <c r="AL137" s="279">
        <f>AL139/AL138*100</f>
        <v>94.563240933012494</v>
      </c>
      <c r="AN137" s="279">
        <f>AN139/AN138*100</f>
        <v>106.09540902835002</v>
      </c>
      <c r="AO137" s="279">
        <f>AO139/AO138*100</f>
        <v>105.26591186261905</v>
      </c>
      <c r="AQ137" s="279">
        <f>AQ139/AQ138*100</f>
        <v>98.800304310246887</v>
      </c>
      <c r="AR137" s="279">
        <f>AR139/AR138*100</f>
        <v>97.935825175516669</v>
      </c>
      <c r="AT137" s="279">
        <f>AT139/AT138*100</f>
        <v>95.229260954665534</v>
      </c>
      <c r="AU137" s="279">
        <f>AU139/AU138*100</f>
        <v>93.798136611841741</v>
      </c>
      <c r="AW137" s="279">
        <f>AW139/AW138*100</f>
        <v>0</v>
      </c>
      <c r="AX137" s="279">
        <f>AX139/AX138*100</f>
        <v>87.696529219816071</v>
      </c>
      <c r="AZ137" s="279">
        <f>AZ139/AZ138*100</f>
        <v>97.944899136109811</v>
      </c>
      <c r="BA137" s="279">
        <f>BA139/BA138*100</f>
        <v>96.872012920663167</v>
      </c>
      <c r="BC137" s="279">
        <f>BC139/BC138*100</f>
        <v>103.56414028759909</v>
      </c>
      <c r="BD137" s="279">
        <f>BD139/BD138*100</f>
        <v>102.00223584605072</v>
      </c>
      <c r="BF137" s="279">
        <f>BF139/BF138*100</f>
        <v>101.96406665487392</v>
      </c>
      <c r="BG137" s="279">
        <f>BG139/BG138*100</f>
        <v>100.11865915158707</v>
      </c>
      <c r="BI137" s="279">
        <f>BI139/BI138*100</f>
        <v>112.91851647316504</v>
      </c>
      <c r="BJ137" s="279">
        <f>BJ139/BJ138*100</f>
        <v>110.72134875902302</v>
      </c>
      <c r="BL137" s="279">
        <f>BL139/BL138*100</f>
        <v>96.252065527372807</v>
      </c>
      <c r="BM137" s="279">
        <f>BM139/BM138*100</f>
        <v>91.917169320017138</v>
      </c>
      <c r="BO137" s="279">
        <f>BO139/BO138*100</f>
        <v>92.491043988362577</v>
      </c>
      <c r="BP137" s="279">
        <f>BP139/BP138*100</f>
        <v>90.890850060977598</v>
      </c>
      <c r="BR137" s="279">
        <f>BR139/BR138*100</f>
        <v>100.12468666542986</v>
      </c>
      <c r="BS137" s="279">
        <f>BS139/BS138*100</f>
        <v>98.121916784776474</v>
      </c>
      <c r="BU137" s="279">
        <f>BU139/BU138*100</f>
        <v>0</v>
      </c>
      <c r="BV137" s="279">
        <f>BV139/BV138*100</f>
        <v>97.894486744234584</v>
      </c>
      <c r="BX137" s="279">
        <f>BX139/BX138*100</f>
        <v>0</v>
      </c>
      <c r="BY137" s="279">
        <f>BY139/BY138*100</f>
        <v>98.028390300713042</v>
      </c>
      <c r="CA137" s="279">
        <f>CA139/CA138*100</f>
        <v>0</v>
      </c>
      <c r="CB137" s="279">
        <f>CB139/CB138*100</f>
        <v>95.892662909126841</v>
      </c>
      <c r="CD137" s="279">
        <f>CD139/CD138*100</f>
        <v>95.429162298318957</v>
      </c>
      <c r="CE137" s="279">
        <f>CE139/CE138*100</f>
        <v>94.653883340474849</v>
      </c>
      <c r="CG137" s="279" t="e">
        <f>CG139/CG138*100</f>
        <v>#DIV/0!</v>
      </c>
      <c r="CH137" s="279" t="e">
        <f>CH139/CH138*100</f>
        <v>#DIV/0!</v>
      </c>
    </row>
    <row r="138" spans="1:86" ht="75" x14ac:dyDescent="0.25">
      <c r="A138" s="95"/>
      <c r="B138" s="16" t="s">
        <v>819</v>
      </c>
      <c r="C138" s="95" t="s">
        <v>820</v>
      </c>
      <c r="D138" s="95" t="s">
        <v>1114</v>
      </c>
      <c r="E138" s="95"/>
      <c r="F138" s="282"/>
      <c r="G138" s="282"/>
      <c r="H138" s="282"/>
      <c r="I138" s="282"/>
      <c r="J138" s="282"/>
      <c r="K138" s="282"/>
      <c r="L138" s="282"/>
      <c r="M138" s="282">
        <v>19835</v>
      </c>
      <c r="N138" s="282">
        <v>25315</v>
      </c>
      <c r="O138" s="282">
        <v>24747</v>
      </c>
      <c r="P138" s="281"/>
      <c r="Q138" s="299">
        <v>69534.3</v>
      </c>
      <c r="R138" s="299">
        <v>72813.600000000006</v>
      </c>
      <c r="S138" s="299">
        <v>69534.3</v>
      </c>
      <c r="T138" s="299">
        <v>72813.600000000006</v>
      </c>
      <c r="U138" s="299"/>
      <c r="V138" s="299">
        <v>69534.3</v>
      </c>
      <c r="W138" s="299">
        <v>72813.600000000006</v>
      </c>
      <c r="X138" s="299"/>
      <c r="Y138" s="299">
        <v>69534.3</v>
      </c>
      <c r="Z138" s="299">
        <v>72813.600000000006</v>
      </c>
      <c r="AA138" s="299"/>
      <c r="AB138" s="299">
        <v>69534.3</v>
      </c>
      <c r="AC138" s="299">
        <v>72813.600000000006</v>
      </c>
      <c r="AD138" s="299"/>
      <c r="AE138" s="299">
        <v>69534.3</v>
      </c>
      <c r="AF138" s="299">
        <v>72813.600000000006</v>
      </c>
      <c r="AG138" s="299"/>
      <c r="AH138" s="299">
        <v>69534.3</v>
      </c>
      <c r="AI138" s="299">
        <v>72813.600000000006</v>
      </c>
      <c r="AJ138" s="299"/>
      <c r="AK138" s="299">
        <v>69534.3</v>
      </c>
      <c r="AL138" s="299">
        <v>72813.600000000006</v>
      </c>
      <c r="AM138" s="299"/>
      <c r="AN138" s="299">
        <v>69534.3</v>
      </c>
      <c r="AO138" s="299">
        <v>72813.600000000006</v>
      </c>
      <c r="AP138" s="299"/>
      <c r="AQ138" s="299">
        <v>69534.3</v>
      </c>
      <c r="AR138" s="299">
        <v>72813.600000000006</v>
      </c>
      <c r="AS138" s="299"/>
      <c r="AT138" s="299">
        <v>69534.3</v>
      </c>
      <c r="AU138" s="299">
        <v>72813.600000000006</v>
      </c>
      <c r="AV138" s="299"/>
      <c r="AW138" s="299">
        <v>69534.3</v>
      </c>
      <c r="AX138" s="299">
        <v>72813.600000000006</v>
      </c>
      <c r="AY138" s="299"/>
      <c r="AZ138" s="299">
        <v>69534.3</v>
      </c>
      <c r="BA138" s="299">
        <v>72813.600000000006</v>
      </c>
      <c r="BB138" s="299"/>
      <c r="BC138" s="299">
        <v>69534.3</v>
      </c>
      <c r="BD138" s="299">
        <v>72813.600000000006</v>
      </c>
      <c r="BE138" s="299"/>
      <c r="BF138" s="299">
        <v>69534.3</v>
      </c>
      <c r="BG138" s="299">
        <v>72813.600000000006</v>
      </c>
      <c r="BH138" s="299"/>
      <c r="BI138" s="299">
        <v>69534.3</v>
      </c>
      <c r="BJ138" s="299">
        <v>72813.600000000006</v>
      </c>
      <c r="BK138" s="299"/>
      <c r="BL138" s="299">
        <v>69534.3</v>
      </c>
      <c r="BM138" s="299">
        <v>72813.600000000006</v>
      </c>
      <c r="BN138" s="299"/>
      <c r="BO138" s="299">
        <v>69534.3</v>
      </c>
      <c r="BP138" s="299">
        <v>72813.600000000006</v>
      </c>
      <c r="BQ138" s="299"/>
      <c r="BR138" s="299">
        <v>69534.3</v>
      </c>
      <c r="BS138" s="299">
        <v>72813.600000000006</v>
      </c>
      <c r="BT138" s="299"/>
      <c r="BU138" s="299">
        <v>69534.3</v>
      </c>
      <c r="BV138" s="299">
        <v>72813.600000000006</v>
      </c>
      <c r="BW138" s="299"/>
      <c r="BX138" s="299">
        <v>69534.3</v>
      </c>
      <c r="BY138" s="299">
        <v>72813.600000000006</v>
      </c>
      <c r="BZ138" s="299"/>
      <c r="CA138" s="299">
        <v>69534.3</v>
      </c>
      <c r="CB138" s="299">
        <v>72813.600000000006</v>
      </c>
      <c r="CC138" s="299"/>
      <c r="CD138" s="299">
        <v>69534.3</v>
      </c>
      <c r="CE138" s="299">
        <v>72813.600000000006</v>
      </c>
      <c r="CF138" s="299"/>
      <c r="CG138" s="299"/>
      <c r="CH138" s="299"/>
    </row>
    <row r="139" spans="1:86" ht="60" x14ac:dyDescent="0.25">
      <c r="A139" s="95"/>
      <c r="B139" s="16" t="s">
        <v>821</v>
      </c>
      <c r="C139" s="95" t="s">
        <v>822</v>
      </c>
      <c r="D139" s="95" t="s">
        <v>950</v>
      </c>
      <c r="E139" s="95"/>
      <c r="F139" s="282"/>
      <c r="G139" s="282"/>
      <c r="H139" s="282"/>
      <c r="I139" s="282"/>
      <c r="J139" s="282"/>
      <c r="K139" s="282"/>
      <c r="L139" s="282"/>
      <c r="M139" s="282">
        <v>29</v>
      </c>
      <c r="N139" s="282">
        <v>28.1</v>
      </c>
      <c r="O139" s="282">
        <v>28.7</v>
      </c>
      <c r="P139" s="281"/>
      <c r="Q139" s="299">
        <v>69741</v>
      </c>
      <c r="R139" s="299">
        <v>71800</v>
      </c>
      <c r="S139" s="299">
        <v>73412</v>
      </c>
      <c r="T139" s="299">
        <v>74412</v>
      </c>
      <c r="U139" s="299"/>
      <c r="V139" s="299">
        <v>70970.3</v>
      </c>
      <c r="W139" s="299">
        <v>72810.5</v>
      </c>
      <c r="X139" s="299"/>
      <c r="Y139" s="299">
        <v>60630</v>
      </c>
      <c r="Z139" s="299">
        <v>63654.2</v>
      </c>
      <c r="AA139" s="299"/>
      <c r="AB139" s="299">
        <v>66025.3</v>
      </c>
      <c r="AC139" s="299">
        <v>68737.100000000006</v>
      </c>
      <c r="AD139" s="299"/>
      <c r="AE139" s="299">
        <v>64333.3</v>
      </c>
      <c r="AF139" s="299">
        <v>65198.1</v>
      </c>
      <c r="AG139" s="299"/>
      <c r="AH139" s="299">
        <v>63156.4</v>
      </c>
      <c r="AI139" s="299">
        <v>64231</v>
      </c>
      <c r="AJ139" s="299"/>
      <c r="AK139" s="299">
        <v>66314</v>
      </c>
      <c r="AL139" s="299">
        <v>68854.899999999994</v>
      </c>
      <c r="AM139" s="299"/>
      <c r="AN139" s="299">
        <v>73772.7</v>
      </c>
      <c r="AO139" s="299">
        <v>76647.899999999994</v>
      </c>
      <c r="AP139" s="299"/>
      <c r="AQ139" s="299">
        <v>68700.100000000006</v>
      </c>
      <c r="AR139" s="299">
        <v>71310.600000000006</v>
      </c>
      <c r="AS139" s="299"/>
      <c r="AT139" s="299">
        <v>66217</v>
      </c>
      <c r="AU139" s="299">
        <v>68297.8</v>
      </c>
      <c r="AV139" s="299"/>
      <c r="AW139" s="299"/>
      <c r="AX139" s="299">
        <v>63855</v>
      </c>
      <c r="AY139" s="299"/>
      <c r="AZ139" s="299">
        <v>68105.3</v>
      </c>
      <c r="BA139" s="299">
        <v>70536</v>
      </c>
      <c r="BB139" s="299"/>
      <c r="BC139" s="299">
        <v>72012.600000000006</v>
      </c>
      <c r="BD139" s="299">
        <v>74271.5</v>
      </c>
      <c r="BE139" s="299"/>
      <c r="BF139" s="299">
        <v>70900</v>
      </c>
      <c r="BG139" s="299">
        <v>72900</v>
      </c>
      <c r="BH139" s="299"/>
      <c r="BI139" s="299">
        <v>78517.100000000006</v>
      </c>
      <c r="BJ139" s="299">
        <v>80620.2</v>
      </c>
      <c r="BK139" s="299"/>
      <c r="BL139" s="299">
        <v>66928.2</v>
      </c>
      <c r="BM139" s="299">
        <v>66928.2</v>
      </c>
      <c r="BN139" s="299"/>
      <c r="BO139" s="299">
        <v>64313</v>
      </c>
      <c r="BP139" s="299">
        <v>66180.899999999994</v>
      </c>
      <c r="BQ139" s="299"/>
      <c r="BR139" s="299">
        <v>69621</v>
      </c>
      <c r="BS139" s="299">
        <v>71446.100000000006</v>
      </c>
      <c r="BT139" s="299"/>
      <c r="BU139" s="299"/>
      <c r="BV139" s="299">
        <v>71280.5</v>
      </c>
      <c r="BW139" s="299"/>
      <c r="BX139" s="299"/>
      <c r="BY139" s="299">
        <v>71378</v>
      </c>
      <c r="BZ139" s="299"/>
      <c r="CA139" s="299"/>
      <c r="CB139" s="299">
        <v>69822.899999999994</v>
      </c>
      <c r="CC139" s="299"/>
      <c r="CD139" s="299">
        <v>66356</v>
      </c>
      <c r="CE139" s="299">
        <v>68920.899999999994</v>
      </c>
      <c r="CF139" s="299"/>
      <c r="CG139" s="299"/>
      <c r="CH139" s="299"/>
    </row>
    <row r="140" spans="1:86" ht="30" x14ac:dyDescent="0.25">
      <c r="A140" s="107"/>
      <c r="B140" s="16" t="s">
        <v>823</v>
      </c>
      <c r="C140" s="95" t="s">
        <v>178</v>
      </c>
      <c r="D140" s="95" t="s">
        <v>1114</v>
      </c>
      <c r="E140" s="95"/>
      <c r="F140" s="291"/>
      <c r="G140" s="291"/>
      <c r="H140" s="291"/>
      <c r="I140" s="291"/>
      <c r="J140" s="291"/>
      <c r="K140" s="291"/>
      <c r="L140" s="291"/>
      <c r="M140" s="291"/>
      <c r="N140" s="291"/>
      <c r="O140" s="291"/>
      <c r="P140" s="281"/>
    </row>
    <row r="141" spans="1:86" ht="30" x14ac:dyDescent="0.25">
      <c r="A141" s="101" t="s">
        <v>660</v>
      </c>
      <c r="B141" s="300" t="s">
        <v>1873</v>
      </c>
      <c r="C141" s="95"/>
      <c r="D141" s="95" t="s">
        <v>8</v>
      </c>
      <c r="E141" s="95"/>
      <c r="F141" s="291"/>
      <c r="G141" s="291"/>
      <c r="H141" s="291"/>
      <c r="I141" s="291"/>
      <c r="J141" s="291"/>
      <c r="K141" s="291"/>
      <c r="L141" s="291"/>
      <c r="M141" s="291"/>
      <c r="N141" s="291"/>
      <c r="O141" s="291"/>
      <c r="P141" s="281"/>
    </row>
    <row r="142" spans="1:86" x14ac:dyDescent="0.25">
      <c r="A142" s="101"/>
      <c r="B142" s="300" t="s">
        <v>1182</v>
      </c>
      <c r="C142" s="95"/>
      <c r="D142" s="95"/>
      <c r="E142" s="95"/>
      <c r="F142" s="291"/>
      <c r="G142" s="291"/>
      <c r="H142" s="291"/>
      <c r="I142" s="291"/>
      <c r="J142" s="291"/>
      <c r="K142" s="291"/>
      <c r="L142" s="291"/>
      <c r="M142" s="291"/>
      <c r="N142" s="291"/>
      <c r="O142" s="291"/>
      <c r="P142" s="281"/>
    </row>
    <row r="143" spans="1:86" x14ac:dyDescent="0.25">
      <c r="A143" s="101"/>
      <c r="B143" s="300" t="s">
        <v>1675</v>
      </c>
      <c r="C143" s="95"/>
      <c r="D143" s="95" t="s">
        <v>8</v>
      </c>
      <c r="E143" s="95"/>
      <c r="F143" s="291"/>
      <c r="G143" s="291"/>
      <c r="H143" s="291"/>
      <c r="I143" s="291"/>
      <c r="J143" s="279">
        <f t="shared" ref="J143:N143" si="50">(J150+J151+J152+J153)/(J154+J155+J156+J157)*100</f>
        <v>54.439441173074698</v>
      </c>
      <c r="K143" s="279">
        <f t="shared" si="50"/>
        <v>56.897477187332257</v>
      </c>
      <c r="L143" s="279">
        <f t="shared" si="50"/>
        <v>58.694680375502905</v>
      </c>
      <c r="M143" s="279">
        <f t="shared" si="50"/>
        <v>62.179487179487182</v>
      </c>
      <c r="N143" s="279">
        <f t="shared" si="50"/>
        <v>65.384615384615387</v>
      </c>
      <c r="O143" s="279" t="e">
        <f t="shared" ref="O143" si="51">(O150+O151+O152+O153)/(O154+O155+O156+O157)*100</f>
        <v>#DIV/0!</v>
      </c>
      <c r="P143" s="281"/>
      <c r="Q143" s="279">
        <f>(Q150+Q151+Q152+Q153)/(Q154+Q155+Q156+Q157)*100</f>
        <v>58.694680375502905</v>
      </c>
      <c r="R143" s="279">
        <f>(R150+R151+R152+R153)/(R154+R155+R156+R157)*100</f>
        <v>61.936589545844043</v>
      </c>
      <c r="S143" s="279">
        <f>(S150+S151+S152+S153)/(S154+S155+S156+S157)*100</f>
        <v>69.629629629629633</v>
      </c>
      <c r="T143" s="279">
        <f>(T150+T151+T152+T153)/(T154+T155+T156+T157)*100</f>
        <v>68.807339449541288</v>
      </c>
      <c r="V143" s="279">
        <f>(V150+V151+V152+V153)/(V154+V155+V156+V157)*100</f>
        <v>52.820512820512825</v>
      </c>
      <c r="W143" s="279">
        <f>(W150+W151+W152+W153)/(W154+W155+W156+W157)*100</f>
        <v>56.422018348623851</v>
      </c>
      <c r="Y143" s="279">
        <f>(Y150+Y151+Y152+Y153)/(Y154+Y155+Y156+Y157)*100</f>
        <v>42.710997442455245</v>
      </c>
      <c r="Z143" s="279">
        <f>(Z150+Z151+Z152+Z153)/(Z154+Z155+Z156+Z157)*100</f>
        <v>50.285714285714292</v>
      </c>
      <c r="AB143" s="279">
        <f>(AB150+AB151+AB152+AB153)/(AB154+AB155+AB156+AB157)*100</f>
        <v>44.765342960288805</v>
      </c>
      <c r="AC143" s="279">
        <f>(AC150+AC151+AC152+AC153)/(AC154+AC155+AC156+AC157)*100</f>
        <v>53.333333333333336</v>
      </c>
      <c r="AE143" s="279">
        <f>(AE150+AE151+AE152+AE153)/(AE154+AE155+AE156+AE157)*100</f>
        <v>75.746268656716424</v>
      </c>
      <c r="AF143" s="279">
        <f>(AF150+AF151+AF152+AF153)/(AF154+AF155+AF156+AF157)*100</f>
        <v>72.061328790459967</v>
      </c>
      <c r="AH143" s="279">
        <f>(AH150+AH151+AH152+AH153)/(AH154+AH155+AH156+AH157)*100</f>
        <v>66.137566137566139</v>
      </c>
      <c r="AI143" s="279">
        <f>(AI150+AI151+AI152+AI153)/(AI154+AI155+AI156+AI157)*100</f>
        <v>63.793103448275865</v>
      </c>
      <c r="AK143" s="279">
        <f>(AK150+AK151+AK152+AK153)/(AK154+AK155+AK156+AK157)*100</f>
        <v>61.224489795918366</v>
      </c>
      <c r="AL143" s="279">
        <f>(AL150+AL151+AL152+AL153)/(AL154+AL155+AL156+AL157)*100</f>
        <v>61.855670103092784</v>
      </c>
      <c r="AN143" s="279">
        <f>(AN150+AN151+AN152+AN153)/(AN154+AN155+AN156+AN157)*100</f>
        <v>77.844311377245518</v>
      </c>
      <c r="AO143" s="279">
        <f>(AO150+AO151+AO152+AO153)/(AO154+AO155+AO156+AO157)*100</f>
        <v>76.817288801571706</v>
      </c>
      <c r="AQ143" s="279">
        <f>(AQ150+AQ151+AQ152+AQ153)/(AQ154+AQ155+AQ156+AQ157)*100</f>
        <v>71.485943775100395</v>
      </c>
      <c r="AR143" s="279">
        <f>(AR150+AR151+AR152+AR153)/(AR154+AR155+AR156+AR157)*100</f>
        <v>79.775280898876403</v>
      </c>
      <c r="AT143" s="279">
        <f>(AT150+AT151+AT152+AT153)/(AT154+AT155+AT156+AT157)*100</f>
        <v>53.644314868804663</v>
      </c>
      <c r="AU143" s="279">
        <f>(AU150+AU151+AU152+AU153)/(AU154+AU155+AU156+AU157)*100</f>
        <v>51.401869158878498</v>
      </c>
      <c r="AW143" s="279">
        <f>(AW150+AW151+AW152+AW153)/(AW154+AW155+AW156+AW157)*100</f>
        <v>48.80952380952381</v>
      </c>
      <c r="AX143" s="279">
        <f>(AX150+AX151+AX152+AX153)/(AX154+AX155+AX156+AX157)*100</f>
        <v>48.214285714285715</v>
      </c>
      <c r="AZ143" s="279">
        <f>(AZ150+AZ151+AZ152+AZ153)/(AZ154+AZ155+AZ156+AZ157)*100</f>
        <v>45.410628019323674</v>
      </c>
      <c r="BA143" s="279">
        <f>(BA150+BA151+BA152+BA153)/(BA154+BA155+BA156+BA157)*100</f>
        <v>61.581920903954803</v>
      </c>
      <c r="BC143" s="279">
        <f>(BC150+BC151+BC152+BC153)/(BC154+BC155+BC156+BC157)*100</f>
        <v>66.956521739130437</v>
      </c>
      <c r="BD143" s="279">
        <f>(BD150+BD151+BD152+BD153)/(BD154+BD155+BD156+BD157)*100</f>
        <v>64.110429447852752</v>
      </c>
      <c r="BF143" s="279">
        <f>(BF150+BF151+BF152+BF153)/(BF154+BF155+BF156+BF157)*100</f>
        <v>62.068965517241381</v>
      </c>
      <c r="BG143" s="279">
        <f>(BG150+BG151+BG152+BG153)/(BG154+BG155+BG156+BG157)*100</f>
        <v>61.254019292604497</v>
      </c>
      <c r="BI143" s="279">
        <f>(BI150+BI151+BI152+BI153)/(BI154+BI155+BI156+BI157)*100</f>
        <v>65.201465201465197</v>
      </c>
      <c r="BJ143" s="279">
        <f>(BJ150+BJ151+BJ152+BJ153)/(BJ154+BJ155+BJ156+BJ157)*100</f>
        <v>66.108247422680407</v>
      </c>
      <c r="BL143" s="279">
        <f>(BL150+BL151+BL152+BL153)/(BL154+BL155+BL156+BL157)*100</f>
        <v>46.521739130434781</v>
      </c>
      <c r="BM143" s="279">
        <f>(BM150+BM151+BM152+BM153)/(BM154+BM155+BM156+BM157)*100</f>
        <v>51.351351351351347</v>
      </c>
      <c r="BO143" s="279">
        <f>(BO150+BO151+BO152+BO153)/(BO154+BO155+BO156+BO157)*100</f>
        <v>36.811594202898554</v>
      </c>
      <c r="BP143" s="279">
        <f>(BP150+BP151+BP152+BP153)/(BP154+BP155+BP156+BP157)*100</f>
        <v>53.896103896103895</v>
      </c>
      <c r="BR143" s="279">
        <f>(BR150+BR151+BR152+BR153)/(BR154+BR155+BR156+BR157)*100</f>
        <v>51.598173515981735</v>
      </c>
      <c r="BS143" s="279">
        <f>(BS150+BS151+BS152+BS153)/(BS154+BS155+BS156+BS157)*100</f>
        <v>50.900900900900901</v>
      </c>
      <c r="BU143" s="279">
        <f>(BU150+BU151+BU152+BU153)/(BU154+BU155+BU156+BU157)*100</f>
        <v>58.333333333333336</v>
      </c>
      <c r="BV143" s="279">
        <f>(BV150+BV151+BV152+BV153)/(BV154+BV155+BV156+BV157)*100</f>
        <v>55.2</v>
      </c>
      <c r="BX143" s="279">
        <f>(BX150+BX151+BX152+BX153)/(BX154+BX155+BX156+BX157)*100</f>
        <v>47.692307692307693</v>
      </c>
      <c r="BY143" s="279">
        <f>(BY150+BY151+BY152+BY153)/(BY154+BY155+BY156+BY157)*100</f>
        <v>48.484848484848484</v>
      </c>
      <c r="CA143" s="279">
        <f>(CA150+CA151+CA152+CA153)/(CA154+CA155+CA156+CA157)*100</f>
        <v>50.735294117647058</v>
      </c>
      <c r="CB143" s="279">
        <f>(CB150+CB151+CB152+CB153)/(CB154+CB155+CB156+CB157)*100</f>
        <v>52.671755725190842</v>
      </c>
      <c r="CD143" s="279">
        <f>(CD150+CD151+CD152+CD153)/(CD154+CD155+CD156+CD157)*100</f>
        <v>60.8</v>
      </c>
      <c r="CE143" s="279">
        <f>(CE150+CE151+CE152+CE153)/(CE154+CE155+CE156+CE157)*100</f>
        <v>59.558823529411761</v>
      </c>
      <c r="CG143" s="279">
        <f>(CG150+CG151+CG152+CG153)/(CG154+CG155+CG156+CG157)*100</f>
        <v>32</v>
      </c>
      <c r="CH143" s="279">
        <f>(CH150+CH151+CH152+CH153)/(CH154+CH155+CH156+CH157)*100</f>
        <v>44.036697247706428</v>
      </c>
    </row>
    <row r="144" spans="1:86" x14ac:dyDescent="0.25">
      <c r="A144" s="101"/>
      <c r="B144" s="300" t="s">
        <v>1874</v>
      </c>
      <c r="C144" s="95"/>
      <c r="D144" s="95" t="s">
        <v>8</v>
      </c>
      <c r="E144" s="95"/>
      <c r="F144" s="291"/>
      <c r="G144" s="291"/>
      <c r="H144" s="291"/>
      <c r="I144" s="291"/>
      <c r="J144" s="279">
        <f t="shared" ref="J144:N144" si="52">J159/J160*100</f>
        <v>11.626832929222953</v>
      </c>
      <c r="K144" s="279">
        <f t="shared" si="52"/>
        <v>12.063875469672571</v>
      </c>
      <c r="L144" s="279">
        <f t="shared" si="52"/>
        <v>12.114438980777829</v>
      </c>
      <c r="M144" s="279">
        <f t="shared" si="52"/>
        <v>19.230769230769234</v>
      </c>
      <c r="N144" s="279">
        <f t="shared" si="52"/>
        <v>62.903225806451616</v>
      </c>
      <c r="O144" s="279" t="e">
        <f t="shared" ref="O144" si="53">O159/O160*100</f>
        <v>#DIV/0!</v>
      </c>
      <c r="P144" s="281"/>
      <c r="Q144" s="279">
        <f>Q159/Q160*100</f>
        <v>12.114438980777829</v>
      </c>
      <c r="R144" s="279">
        <f>R159/R160*100</f>
        <v>13.024850042844902</v>
      </c>
      <c r="S144" s="279">
        <f>S159/S160*100</f>
        <v>8.1481481481481488</v>
      </c>
      <c r="T144" s="279">
        <f>T159/T160*100</f>
        <v>2.7522935779816518</v>
      </c>
      <c r="V144" s="279">
        <f>V159/V160*100</f>
        <v>6.1538461538461542</v>
      </c>
      <c r="W144" s="279">
        <f>W159/W160*100</f>
        <v>10.550458715596331</v>
      </c>
      <c r="Y144" s="279">
        <f>Y159/Y160*100</f>
        <v>4.3478260869565215</v>
      </c>
      <c r="Z144" s="279">
        <f>Z159/Z160*100</f>
        <v>4</v>
      </c>
      <c r="AB144" s="279">
        <f>AB159/AB160*100</f>
        <v>19.855595667870034</v>
      </c>
      <c r="AC144" s="279">
        <f>AC159/AC160*100</f>
        <v>26.666666666666668</v>
      </c>
      <c r="AE144" s="279">
        <f>AE159/AE160*100</f>
        <v>28.544776119402986</v>
      </c>
      <c r="AF144" s="279">
        <f>AF159/AF160*100</f>
        <v>27.086882453151617</v>
      </c>
      <c r="AH144" s="279">
        <f>AH159/AH160*100</f>
        <v>12.698412698412698</v>
      </c>
      <c r="AI144" s="279">
        <f>AI159/AI160*100</f>
        <v>12.643678160919542</v>
      </c>
      <c r="AK144" s="279">
        <f>AK159/AK160*100</f>
        <v>13.26530612244898</v>
      </c>
      <c r="AL144" s="279">
        <f>AL159/AL160*100</f>
        <v>13.917525773195877</v>
      </c>
      <c r="AN144" s="279">
        <f>AN159/AN160*100</f>
        <v>32.934131736526943</v>
      </c>
      <c r="AO144" s="279">
        <f>AO159/AO160*100</f>
        <v>33.595284872298627</v>
      </c>
      <c r="AQ144" s="279">
        <f>AQ159/AQ160*100</f>
        <v>36.144578313253014</v>
      </c>
      <c r="AR144" s="279">
        <f>AR159/AR160*100</f>
        <v>48.876404494382022</v>
      </c>
      <c r="AT144" s="279">
        <f>AT159/AT160*100</f>
        <v>7.2886297376093294</v>
      </c>
      <c r="AU144" s="279">
        <f>AU159/AU160*100</f>
        <v>4.9844236760124607</v>
      </c>
      <c r="AW144" s="279">
        <f>AW159/AW160*100</f>
        <v>3.5714285714285712</v>
      </c>
      <c r="AX144" s="279">
        <f>AX159/AX160*100</f>
        <v>4.7619047619047619</v>
      </c>
      <c r="AZ144" s="279">
        <f>AZ159/AZ160*100</f>
        <v>3.8647342995169081</v>
      </c>
      <c r="BA144" s="279">
        <f>BA159/BA160*100</f>
        <v>6.2146892655367232</v>
      </c>
      <c r="BC144" s="279">
        <f>BC159/BC160*100</f>
        <v>5.2173913043478262</v>
      </c>
      <c r="BD144" s="279">
        <f>BD159/BD160*100</f>
        <v>3.9877300613496933</v>
      </c>
      <c r="BF144" s="279">
        <f>BF159/BF160*100</f>
        <v>8.6206896551724146</v>
      </c>
      <c r="BG144" s="279">
        <f>BG159/BG160*100</f>
        <v>6.430868167202572</v>
      </c>
      <c r="BI144" s="279">
        <f>BI159/BI160*100</f>
        <v>10.378510378510379</v>
      </c>
      <c r="BJ144" s="279">
        <f>BJ159/BJ160*100</f>
        <v>9.4072164948453612</v>
      </c>
      <c r="BL144" s="279">
        <f>BL159/BL160*100</f>
        <v>3.4782608695652173</v>
      </c>
      <c r="BM144" s="279">
        <f>BM159/BM160*100</f>
        <v>2.7027027027027026</v>
      </c>
      <c r="BO144" s="279">
        <f>BO159/BO160*100</f>
        <v>3.4782608695652173</v>
      </c>
      <c r="BP144" s="279">
        <f>BP159/BP160*100</f>
        <v>1.948051948051948</v>
      </c>
      <c r="BR144" s="279">
        <f>BR159/BR160*100</f>
        <v>0.91324200913242004</v>
      </c>
      <c r="BS144" s="279">
        <f>BS159/BS160*100</f>
        <v>1.8018018018018018</v>
      </c>
      <c r="BU144" s="279">
        <f>BU159/BU160*100</f>
        <v>11.666666666666666</v>
      </c>
      <c r="BV144" s="279">
        <f>BV159/BV160*100</f>
        <v>9.6</v>
      </c>
      <c r="BX144" s="279">
        <f>BX159/BX160*100</f>
        <v>0</v>
      </c>
      <c r="BY144" s="279">
        <f>BY159/BY160*100</f>
        <v>0</v>
      </c>
      <c r="CA144" s="279">
        <f>CA159/CA160*100</f>
        <v>6.6176470588235299</v>
      </c>
      <c r="CB144" s="279">
        <f>CB159/CB160*100</f>
        <v>6.8702290076335881</v>
      </c>
      <c r="CD144" s="279">
        <f>CD159/CD160*100</f>
        <v>5.6000000000000005</v>
      </c>
      <c r="CE144" s="279">
        <f>CE159/CE160*100</f>
        <v>5.1470588235294112</v>
      </c>
      <c r="CG144" s="279">
        <f>CG159/CG160*100</f>
        <v>4</v>
      </c>
      <c r="CH144" s="279">
        <f>CH159/CH160*100</f>
        <v>4.5871559633027523</v>
      </c>
    </row>
    <row r="145" spans="1:86" x14ac:dyDescent="0.25">
      <c r="A145" s="101"/>
      <c r="B145" s="300" t="s">
        <v>1184</v>
      </c>
      <c r="C145" s="95"/>
      <c r="D145" s="95"/>
      <c r="E145" s="95"/>
      <c r="F145" s="291"/>
      <c r="G145" s="291"/>
      <c r="H145" s="291"/>
      <c r="I145" s="291"/>
      <c r="J145" s="279"/>
      <c r="K145" s="279"/>
      <c r="L145" s="279"/>
      <c r="M145" s="279"/>
      <c r="N145" s="279"/>
      <c r="O145" s="279"/>
      <c r="P145" s="281"/>
      <c r="Q145" s="279"/>
      <c r="R145" s="279"/>
      <c r="S145" s="279"/>
      <c r="T145" s="279"/>
      <c r="V145" s="279"/>
      <c r="W145" s="279"/>
      <c r="Y145" s="279"/>
      <c r="Z145" s="279"/>
      <c r="AB145" s="279"/>
      <c r="AC145" s="279"/>
      <c r="AE145" s="279"/>
      <c r="AF145" s="279"/>
      <c r="AH145" s="279"/>
      <c r="AI145" s="279"/>
      <c r="AK145" s="279"/>
      <c r="AL145" s="279"/>
      <c r="AN145" s="279"/>
      <c r="AO145" s="279"/>
      <c r="AQ145" s="279"/>
      <c r="AR145" s="279"/>
      <c r="AT145" s="279"/>
      <c r="AU145" s="279"/>
      <c r="AW145" s="279"/>
      <c r="AX145" s="279"/>
      <c r="AZ145" s="279"/>
      <c r="BA145" s="279"/>
      <c r="BC145" s="279"/>
      <c r="BD145" s="279"/>
      <c r="BF145" s="279"/>
      <c r="BG145" s="279"/>
      <c r="BI145" s="279"/>
      <c r="BJ145" s="279"/>
      <c r="BL145" s="279"/>
      <c r="BM145" s="279"/>
      <c r="BO145" s="279"/>
      <c r="BP145" s="279"/>
      <c r="BR145" s="279"/>
      <c r="BS145" s="279"/>
      <c r="BU145" s="279"/>
      <c r="BV145" s="279"/>
      <c r="BX145" s="279"/>
      <c r="BY145" s="279"/>
      <c r="CA145" s="279"/>
      <c r="CB145" s="279"/>
      <c r="CD145" s="279"/>
      <c r="CE145" s="279"/>
      <c r="CG145" s="279"/>
      <c r="CH145" s="279"/>
    </row>
    <row r="146" spans="1:86" x14ac:dyDescent="0.25">
      <c r="A146" s="101"/>
      <c r="B146" s="300" t="s">
        <v>1675</v>
      </c>
      <c r="C146" s="95"/>
      <c r="D146" s="95"/>
      <c r="E146" s="95"/>
      <c r="F146" s="291"/>
      <c r="G146" s="291"/>
      <c r="H146" s="291"/>
      <c r="I146" s="291"/>
      <c r="J146" s="279" t="e">
        <f t="shared" ref="J146:O146" si="54">(J162+J163)/(J164+J165)*100</f>
        <v>#DIV/0!</v>
      </c>
      <c r="K146" s="279" t="e">
        <f t="shared" si="54"/>
        <v>#DIV/0!</v>
      </c>
      <c r="L146" s="279" t="e">
        <f t="shared" si="54"/>
        <v>#DIV/0!</v>
      </c>
      <c r="M146" s="279" t="e">
        <f t="shared" si="54"/>
        <v>#DIV/0!</v>
      </c>
      <c r="N146" s="279" t="e">
        <f t="shared" si="54"/>
        <v>#DIV/0!</v>
      </c>
      <c r="O146" s="279" t="e">
        <f t="shared" si="54"/>
        <v>#DIV/0!</v>
      </c>
      <c r="P146" s="281"/>
      <c r="Q146" s="279">
        <f>(Q162+Q163)/(Q164+Q165)*100</f>
        <v>70.121951219512198</v>
      </c>
      <c r="R146" s="279">
        <f>(R162+R163)/(R164+R165)*100</f>
        <v>67.857142857142861</v>
      </c>
      <c r="S146" s="279" t="e">
        <f>(S162+S163)/(S164+S165)*100</f>
        <v>#DIV/0!</v>
      </c>
      <c r="T146" s="279" t="e">
        <f>(T162+T163)/(T164+T165)*100</f>
        <v>#DIV/0!</v>
      </c>
      <c r="V146" s="279" t="e">
        <f>(V162+V163)/(V164+V165)*100</f>
        <v>#DIV/0!</v>
      </c>
      <c r="W146" s="279" t="e">
        <f>(W162+W163)/(W164+W165)*100</f>
        <v>#DIV/0!</v>
      </c>
      <c r="Y146" s="279" t="e">
        <f>(Y162+Y163)/(Y164+Y165)*100</f>
        <v>#DIV/0!</v>
      </c>
      <c r="Z146" s="279" t="e">
        <f>(Z162+Z163)/(Z164+Z165)*100</f>
        <v>#DIV/0!</v>
      </c>
      <c r="AB146" s="279" t="e">
        <f>(AB162+AB163)/(AB164+AB165)*100</f>
        <v>#DIV/0!</v>
      </c>
      <c r="AC146" s="279" t="e">
        <f>(AC162+AC163)/(AC164+AC165)*100</f>
        <v>#DIV/0!</v>
      </c>
      <c r="AE146" s="279" t="e">
        <f>(AE162+AE163)/(AE164+AE165)*100</f>
        <v>#DIV/0!</v>
      </c>
      <c r="AF146" s="279" t="e">
        <f>(AF162+AF163)/(AF164+AF165)*100</f>
        <v>#DIV/0!</v>
      </c>
      <c r="AH146" s="279" t="e">
        <f>(AH162+AH163)/(AH164+AH165)*100</f>
        <v>#DIV/0!</v>
      </c>
      <c r="AI146" s="279" t="e">
        <f>(AI162+AI163)/(AI164+AI165)*100</f>
        <v>#DIV/0!</v>
      </c>
      <c r="AK146" s="279" t="e">
        <f>(AK162+AK163)/(AK164+AK165)*100</f>
        <v>#DIV/0!</v>
      </c>
      <c r="AL146" s="279" t="e">
        <f>(AL162+AL163)/(AL164+AL165)*100</f>
        <v>#DIV/0!</v>
      </c>
      <c r="AN146" s="279">
        <f>(AN162+AN163)/(AN164+AN165)*100</f>
        <v>69.565217391304344</v>
      </c>
      <c r="AO146" s="279">
        <f>(AO162+AO163)/(AO164+AO165)*100</f>
        <v>71.698113207547166</v>
      </c>
      <c r="AQ146" s="279" t="e">
        <f>(AQ162+AQ163)/(AQ164+AQ165)*100</f>
        <v>#DIV/0!</v>
      </c>
      <c r="AR146" s="279" t="e">
        <f>(AR162+AR163)/(AR164+AR165)*100</f>
        <v>#DIV/0!</v>
      </c>
      <c r="AT146" s="279">
        <f>(AT162+AT163)/(AT164+AT165)*100</f>
        <v>60.606060606060609</v>
      </c>
      <c r="AU146" s="279">
        <f>(AU162+AU163)/(AU164+AU165)*100</f>
        <v>66.666666666666657</v>
      </c>
      <c r="AW146" s="279" t="e">
        <f>(AW162+AW163)/(AW164+AW165)*100</f>
        <v>#DIV/0!</v>
      </c>
      <c r="AX146" s="279" t="e">
        <f>(AX162+AX163)/(AX164+AX165)*100</f>
        <v>#DIV/0!</v>
      </c>
      <c r="AZ146" s="279" t="e">
        <f>(AZ162+AZ163)/(AZ164+AZ165)*100</f>
        <v>#DIV/0!</v>
      </c>
      <c r="BA146" s="279" t="e">
        <f>(BA162+BA163)/(BA164+BA165)*100</f>
        <v>#DIV/0!</v>
      </c>
      <c r="BC146" s="279" t="e">
        <f>(BC162+BC163)/(BC164+BC165)*100</f>
        <v>#DIV/0!</v>
      </c>
      <c r="BD146" s="279" t="e">
        <f>(BD162+BD163)/(BD164+BD165)*100</f>
        <v>#DIV/0!</v>
      </c>
      <c r="BF146" s="279" t="e">
        <f>(BF162+BF163)/(BF164+BF165)*100</f>
        <v>#DIV/0!</v>
      </c>
      <c r="BG146" s="279" t="e">
        <f>(BG162+BG163)/(BG164+BG165)*100</f>
        <v>#DIV/0!</v>
      </c>
      <c r="BI146" s="279">
        <f>(BI162+BI163)/(BI164+BI165)*100</f>
        <v>81.17647058823529</v>
      </c>
      <c r="BJ146" s="279">
        <f>(BJ162+BJ163)/(BJ164+BJ165)*100</f>
        <v>71.212121212121218</v>
      </c>
      <c r="BL146" s="279">
        <f>(BL162+BL163)/(BL164+BL165)*100</f>
        <v>25</v>
      </c>
      <c r="BM146" s="279">
        <f>(BM162+BM163)/(BM164+BM165)*100</f>
        <v>22.222222222222221</v>
      </c>
      <c r="BO146" s="279" t="e">
        <f>(BO162+BO163)/(BO164+BO165)*100</f>
        <v>#DIV/0!</v>
      </c>
      <c r="BP146" s="279" t="e">
        <f>(BP162+BP163)/(BP164+BP165)*100</f>
        <v>#DIV/0!</v>
      </c>
      <c r="BR146" s="279" t="e">
        <f>(BR162+BR163)/(BR164+BR165)*100</f>
        <v>#DIV/0!</v>
      </c>
      <c r="BS146" s="279" t="e">
        <f>(BS162+BS163)/(BS164+BS165)*100</f>
        <v>#DIV/0!</v>
      </c>
      <c r="BU146" s="279">
        <f>(BU162+BU163)/(BU164+BU165)*100</f>
        <v>53.333333333333336</v>
      </c>
      <c r="BV146" s="279">
        <f>(BV162+BV163)/(BV164+BV165)*100</f>
        <v>75</v>
      </c>
      <c r="BX146" s="279" t="e">
        <f>(BX162+BX163)/(BX164+BX165)*100</f>
        <v>#DIV/0!</v>
      </c>
      <c r="BY146" s="279" t="e">
        <f>(BY162+BY163)/(BY164+BY165)*100</f>
        <v>#DIV/0!</v>
      </c>
      <c r="CA146" s="279" t="e">
        <f>(CA162+CA163)/(CA164+CA165)*100</f>
        <v>#DIV/0!</v>
      </c>
      <c r="CB146" s="279" t="e">
        <f>(CB162+CB163)/(CB164+CB165)*100</f>
        <v>#DIV/0!</v>
      </c>
      <c r="CD146" s="279" t="e">
        <f>(CD162+CD163)/(CD164+CD165)*100</f>
        <v>#DIV/0!</v>
      </c>
      <c r="CE146" s="279" t="e">
        <f>(CE162+CE163)/(CE164+CE165)*100</f>
        <v>#DIV/0!</v>
      </c>
      <c r="CG146" s="279" t="e">
        <f>(CG162+CG163)/(CG164+CG165)*100</f>
        <v>#DIV/0!</v>
      </c>
      <c r="CH146" s="279" t="e">
        <f>(CH162+CH163)/(CH164+CH165)*100</f>
        <v>#DIV/0!</v>
      </c>
    </row>
    <row r="147" spans="1:86" x14ac:dyDescent="0.25">
      <c r="A147" s="101"/>
      <c r="B147" s="300" t="s">
        <v>1874</v>
      </c>
      <c r="C147" s="95"/>
      <c r="D147" s="95"/>
      <c r="E147" s="95"/>
      <c r="F147" s="291"/>
      <c r="G147" s="291"/>
      <c r="H147" s="291"/>
      <c r="I147" s="291"/>
      <c r="J147" s="279" t="e">
        <f t="shared" ref="J147:O147" si="55">J168/J169*100</f>
        <v>#DIV/0!</v>
      </c>
      <c r="K147" s="279" t="e">
        <f t="shared" si="55"/>
        <v>#DIV/0!</v>
      </c>
      <c r="L147" s="279" t="e">
        <f t="shared" si="55"/>
        <v>#DIV/0!</v>
      </c>
      <c r="M147" s="279" t="e">
        <f t="shared" si="55"/>
        <v>#DIV/0!</v>
      </c>
      <c r="N147" s="279" t="e">
        <f t="shared" si="55"/>
        <v>#DIV/0!</v>
      </c>
      <c r="O147" s="279" t="e">
        <f t="shared" si="55"/>
        <v>#DIV/0!</v>
      </c>
      <c r="P147" s="281"/>
      <c r="Q147" s="279">
        <f>Q168/Q169*100</f>
        <v>14.634146341463413</v>
      </c>
      <c r="R147" s="279">
        <f>R168/R169*100</f>
        <v>8.9285714285714288</v>
      </c>
      <c r="S147" s="279" t="e">
        <f>S168/S169*100</f>
        <v>#DIV/0!</v>
      </c>
      <c r="T147" s="279" t="e">
        <f>T168/T169*100</f>
        <v>#DIV/0!</v>
      </c>
      <c r="V147" s="279" t="e">
        <f>V168/V169*100</f>
        <v>#DIV/0!</v>
      </c>
      <c r="W147" s="279" t="e">
        <f>W168/W169*100</f>
        <v>#DIV/0!</v>
      </c>
      <c r="Y147" s="279" t="e">
        <f>Y168/Y169*100</f>
        <v>#DIV/0!</v>
      </c>
      <c r="Z147" s="279" t="e">
        <f>Z168/Z169*100</f>
        <v>#DIV/0!</v>
      </c>
      <c r="AB147" s="279" t="e">
        <f>AB168/AB169*100</f>
        <v>#DIV/0!</v>
      </c>
      <c r="AC147" s="279" t="e">
        <f>AC168/AC169*100</f>
        <v>#DIV/0!</v>
      </c>
      <c r="AE147" s="279" t="e">
        <f>AE168/AE169*100</f>
        <v>#DIV/0!</v>
      </c>
      <c r="AF147" s="279" t="e">
        <f>AF168/AF169*100</f>
        <v>#DIV/0!</v>
      </c>
      <c r="AH147" s="279" t="e">
        <f>AH168/AH169*100</f>
        <v>#DIV/0!</v>
      </c>
      <c r="AI147" s="279" t="e">
        <f>AI168/AI169*100</f>
        <v>#DIV/0!</v>
      </c>
      <c r="AK147" s="279" t="e">
        <f>AK168/AK169*100</f>
        <v>#DIV/0!</v>
      </c>
      <c r="AL147" s="279" t="e">
        <f>AL168/AL169*100</f>
        <v>#DIV/0!</v>
      </c>
      <c r="AN147" s="279">
        <f>AN168/AN169*100</f>
        <v>17.391304347826086</v>
      </c>
      <c r="AO147" s="279">
        <f>AO168/AO169*100</f>
        <v>9.433962264150944</v>
      </c>
      <c r="AQ147" s="279" t="e">
        <f>AQ168/AQ169*100</f>
        <v>#DIV/0!</v>
      </c>
      <c r="AR147" s="279" t="e">
        <f>AR168/AR169*100</f>
        <v>#DIV/0!</v>
      </c>
      <c r="AT147" s="279">
        <f>AT168/AT169*100</f>
        <v>9.0909090909090917</v>
      </c>
      <c r="AU147" s="279">
        <f>AU168/AU169*100</f>
        <v>8.3333333333333321</v>
      </c>
      <c r="AW147" s="279" t="e">
        <f>AW168/AW169*100</f>
        <v>#DIV/0!</v>
      </c>
      <c r="AX147" s="279" t="e">
        <f>AX168/AX169*100</f>
        <v>#DIV/0!</v>
      </c>
      <c r="AZ147" s="279" t="e">
        <f>AZ168/AZ169*100</f>
        <v>#DIV/0!</v>
      </c>
      <c r="BA147" s="279" t="e">
        <f>BA168/BA169*100</f>
        <v>#DIV/0!</v>
      </c>
      <c r="BC147" s="279" t="e">
        <f>BC168/BC169*100</f>
        <v>#DIV/0!</v>
      </c>
      <c r="BD147" s="279" t="e">
        <f>BD168/BD169*100</f>
        <v>#DIV/0!</v>
      </c>
      <c r="BF147" s="279" t="e">
        <f>BF168/BF169*100</f>
        <v>#DIV/0!</v>
      </c>
      <c r="BG147" s="279" t="e">
        <f>BG168/BG169*100</f>
        <v>#DIV/0!</v>
      </c>
      <c r="BI147" s="279">
        <f>BI168/BI169*100</f>
        <v>17.647058823529413</v>
      </c>
      <c r="BJ147" s="279">
        <f>BJ168/BJ169*100</f>
        <v>10.606060606060606</v>
      </c>
      <c r="BL147" s="279">
        <f>BL168/BL169*100</f>
        <v>0</v>
      </c>
      <c r="BM147" s="279">
        <f>BM168/BM169*100</f>
        <v>0</v>
      </c>
      <c r="BO147" s="279" t="e">
        <f>BO168/BO169*100</f>
        <v>#DIV/0!</v>
      </c>
      <c r="BP147" s="279" t="e">
        <f>BP168/BP169*100</f>
        <v>#DIV/0!</v>
      </c>
      <c r="BR147" s="279" t="e">
        <f>BR168/BR169*100</f>
        <v>#DIV/0!</v>
      </c>
      <c r="BS147" s="279" t="e">
        <f>BS168/BS169*100</f>
        <v>#DIV/0!</v>
      </c>
      <c r="BU147" s="279">
        <f>BU168/BU169*100</f>
        <v>13.333333333333334</v>
      </c>
      <c r="BV147" s="279">
        <f>BV168/BV169*100</f>
        <v>0</v>
      </c>
      <c r="BX147" s="279" t="e">
        <f>BX168/BX169*100</f>
        <v>#DIV/0!</v>
      </c>
      <c r="BY147" s="279" t="e">
        <f>BY168/BY169*100</f>
        <v>#DIV/0!</v>
      </c>
      <c r="CA147" s="279" t="e">
        <f>CA168/CA169*100</f>
        <v>#DIV/0!</v>
      </c>
      <c r="CB147" s="279" t="e">
        <f>CB168/CB169*100</f>
        <v>#DIV/0!</v>
      </c>
      <c r="CD147" s="279" t="e">
        <f>CD168/CD169*100</f>
        <v>#DIV/0!</v>
      </c>
      <c r="CE147" s="279" t="e">
        <f>CE168/CE169*100</f>
        <v>#DIV/0!</v>
      </c>
      <c r="CG147" s="279" t="e">
        <f>CG168/CG169*100</f>
        <v>#DIV/0!</v>
      </c>
      <c r="CH147" s="279" t="e">
        <f>CH168/CH169*100</f>
        <v>#DIV/0!</v>
      </c>
    </row>
    <row r="148" spans="1:86" x14ac:dyDescent="0.25">
      <c r="A148" s="101"/>
      <c r="B148" s="300" t="s">
        <v>1182</v>
      </c>
      <c r="C148" s="95"/>
      <c r="D148" s="95"/>
      <c r="E148" s="95"/>
      <c r="F148" s="291"/>
      <c r="G148" s="291"/>
      <c r="H148" s="291"/>
      <c r="I148" s="291"/>
      <c r="J148" s="291"/>
      <c r="K148" s="291"/>
      <c r="L148" s="291"/>
      <c r="M148" s="291"/>
      <c r="N148" s="291"/>
      <c r="O148" s="291"/>
      <c r="P148" s="281"/>
    </row>
    <row r="149" spans="1:86" x14ac:dyDescent="0.25">
      <c r="A149" s="101"/>
      <c r="B149" s="300" t="s">
        <v>1675</v>
      </c>
      <c r="C149" s="95"/>
      <c r="D149" s="95"/>
      <c r="E149" s="95"/>
      <c r="F149" s="291"/>
      <c r="G149" s="291"/>
      <c r="H149" s="291"/>
      <c r="I149" s="291"/>
      <c r="J149" s="291"/>
      <c r="K149" s="291"/>
      <c r="L149" s="291"/>
      <c r="M149" s="291"/>
      <c r="N149" s="291"/>
      <c r="O149" s="291"/>
      <c r="P149" s="281"/>
    </row>
    <row r="150" spans="1:86" ht="45" x14ac:dyDescent="0.25">
      <c r="A150" s="101"/>
      <c r="B150" s="300" t="s">
        <v>1841</v>
      </c>
      <c r="C150" s="95" t="s">
        <v>2773</v>
      </c>
      <c r="D150" s="95" t="s">
        <v>950</v>
      </c>
      <c r="E150" s="95"/>
      <c r="F150" s="291"/>
      <c r="G150" s="291"/>
      <c r="H150" s="291"/>
      <c r="I150" s="291"/>
      <c r="J150" s="282">
        <v>1431</v>
      </c>
      <c r="K150" s="282">
        <v>1362</v>
      </c>
      <c r="L150" s="282">
        <v>1350</v>
      </c>
      <c r="M150" s="282">
        <v>31</v>
      </c>
      <c r="N150" s="282">
        <v>39</v>
      </c>
      <c r="O150" s="282"/>
      <c r="P150" s="301"/>
      <c r="Q150" s="286">
        <f>S150+V150+Y150+AB150+AE150+AH150+AK150+AN150+AQ150+AT150+AW150+AZ150+BC150+BF150+BI150+BL150+BO150+BR150+BU150+BX150+CA150+CD150+CG150</f>
        <v>1350</v>
      </c>
      <c r="R150" s="286">
        <f>T150+W150+Z150+AC150+AF150+AI150+AL150+AO150+AR150+AU150+AX150+BA150+BD150+BG150+BJ150+BM150+BP150+BS150+BV150+BY150+CB150+CE150+CH150</f>
        <v>1357</v>
      </c>
      <c r="S150" s="286">
        <v>39</v>
      </c>
      <c r="T150" s="286">
        <v>41</v>
      </c>
      <c r="U150" s="286"/>
      <c r="V150" s="286">
        <v>43</v>
      </c>
      <c r="W150" s="286">
        <v>52</v>
      </c>
      <c r="X150" s="286"/>
      <c r="Y150" s="286">
        <v>39</v>
      </c>
      <c r="Z150" s="286">
        <v>35</v>
      </c>
      <c r="AA150" s="286"/>
      <c r="AB150" s="286">
        <v>26</v>
      </c>
      <c r="AC150" s="286">
        <v>25</v>
      </c>
      <c r="AD150" s="286"/>
      <c r="AE150" s="286">
        <v>195</v>
      </c>
      <c r="AF150" s="286">
        <v>207</v>
      </c>
      <c r="AG150" s="286"/>
      <c r="AH150" s="286">
        <v>48</v>
      </c>
      <c r="AI150" s="286">
        <v>36</v>
      </c>
      <c r="AJ150" s="286"/>
      <c r="AK150" s="286">
        <v>39</v>
      </c>
      <c r="AL150" s="286">
        <v>36</v>
      </c>
      <c r="AM150" s="286"/>
      <c r="AN150" s="286">
        <v>68</v>
      </c>
      <c r="AO150" s="286">
        <v>66</v>
      </c>
      <c r="AP150" s="286"/>
      <c r="AQ150" s="286">
        <v>43</v>
      </c>
      <c r="AR150" s="286">
        <v>41</v>
      </c>
      <c r="AS150" s="286"/>
      <c r="AT150" s="286">
        <v>159</v>
      </c>
      <c r="AU150" s="286">
        <v>149</v>
      </c>
      <c r="AV150" s="286"/>
      <c r="AW150" s="286">
        <v>76</v>
      </c>
      <c r="AX150" s="286">
        <v>73</v>
      </c>
      <c r="AY150" s="286"/>
      <c r="AZ150" s="286">
        <v>0</v>
      </c>
      <c r="BA150" s="286">
        <v>0</v>
      </c>
      <c r="BB150" s="286"/>
      <c r="BC150" s="286">
        <v>87</v>
      </c>
      <c r="BD150" s="286">
        <v>82</v>
      </c>
      <c r="BE150" s="286"/>
      <c r="BF150" s="286">
        <v>150</v>
      </c>
      <c r="BG150" s="286">
        <v>150</v>
      </c>
      <c r="BH150" s="286"/>
      <c r="BI150" s="286">
        <v>118</v>
      </c>
      <c r="BJ150" s="286">
        <v>116</v>
      </c>
      <c r="BK150" s="286"/>
      <c r="BL150" s="286">
        <v>30</v>
      </c>
      <c r="BM150" s="286">
        <v>28</v>
      </c>
      <c r="BN150" s="286"/>
      <c r="BO150" s="286">
        <v>25</v>
      </c>
      <c r="BP150" s="286">
        <v>28</v>
      </c>
      <c r="BQ150" s="286"/>
      <c r="BR150" s="286">
        <v>46</v>
      </c>
      <c r="BS150" s="286">
        <v>44</v>
      </c>
      <c r="BT150" s="286"/>
      <c r="BU150" s="286">
        <v>56</v>
      </c>
      <c r="BV150" s="286">
        <v>57</v>
      </c>
      <c r="BW150" s="286"/>
      <c r="BX150" s="286">
        <v>0</v>
      </c>
      <c r="BY150" s="286">
        <v>0</v>
      </c>
      <c r="BZ150" s="286"/>
      <c r="CA150" s="286">
        <v>28</v>
      </c>
      <c r="CB150" s="286">
        <v>30</v>
      </c>
      <c r="CC150" s="286"/>
      <c r="CD150" s="286">
        <v>14</v>
      </c>
      <c r="CE150" s="286">
        <v>18</v>
      </c>
      <c r="CF150" s="286"/>
      <c r="CG150" s="286">
        <v>21</v>
      </c>
      <c r="CH150" s="286">
        <v>43</v>
      </c>
    </row>
    <row r="151" spans="1:86" ht="45" x14ac:dyDescent="0.25">
      <c r="A151" s="101"/>
      <c r="B151" s="300"/>
      <c r="C151" s="95" t="s">
        <v>2448</v>
      </c>
      <c r="D151" s="95"/>
      <c r="E151" s="95"/>
      <c r="F151" s="291"/>
      <c r="G151" s="291"/>
      <c r="H151" s="291"/>
      <c r="I151" s="291"/>
      <c r="J151" s="282">
        <v>669</v>
      </c>
      <c r="K151" s="282">
        <v>646</v>
      </c>
      <c r="L151" s="282">
        <v>590</v>
      </c>
      <c r="M151" s="282">
        <v>15</v>
      </c>
      <c r="N151" s="282">
        <v>12</v>
      </c>
      <c r="O151" s="282"/>
      <c r="P151" s="301"/>
      <c r="Q151" s="286">
        <f t="shared" ref="Q151:R157" si="56">S151+V151+Y151+AB151+AE151+AH151+AK151+AN151+AQ151+AT151+AW151+AZ151+BC151+BF151+BI151+BL151+BO151+BR151+BU151+BX151+CA151+CD151+CG151</f>
        <v>590</v>
      </c>
      <c r="R151" s="286">
        <f t="shared" si="56"/>
        <v>592</v>
      </c>
      <c r="S151" s="286">
        <v>2</v>
      </c>
      <c r="T151" s="286">
        <v>2</v>
      </c>
      <c r="U151" s="286"/>
      <c r="V151" s="286">
        <v>12</v>
      </c>
      <c r="W151" s="286">
        <v>22</v>
      </c>
      <c r="X151" s="286"/>
      <c r="Y151" s="286">
        <v>2</v>
      </c>
      <c r="Z151" s="286">
        <v>1</v>
      </c>
      <c r="AA151" s="286"/>
      <c r="AB151" s="286">
        <v>49</v>
      </c>
      <c r="AC151" s="286">
        <v>51</v>
      </c>
      <c r="AD151" s="286"/>
      <c r="AE151" s="286">
        <v>146</v>
      </c>
      <c r="AF151" s="286">
        <v>152</v>
      </c>
      <c r="AG151" s="286"/>
      <c r="AH151" s="286">
        <v>17</v>
      </c>
      <c r="AI151" s="286">
        <v>15</v>
      </c>
      <c r="AJ151" s="286"/>
      <c r="AK151" s="286">
        <v>20</v>
      </c>
      <c r="AL151" s="286">
        <v>22</v>
      </c>
      <c r="AM151" s="286"/>
      <c r="AN151" s="286">
        <v>142</v>
      </c>
      <c r="AO151" s="286">
        <v>142</v>
      </c>
      <c r="AP151" s="286"/>
      <c r="AQ151" s="286">
        <v>79</v>
      </c>
      <c r="AR151" s="286">
        <v>86</v>
      </c>
      <c r="AS151" s="286"/>
      <c r="AT151" s="286">
        <v>25</v>
      </c>
      <c r="AU151" s="286">
        <v>16</v>
      </c>
      <c r="AV151" s="286"/>
      <c r="AW151" s="286">
        <v>6</v>
      </c>
      <c r="AX151" s="286">
        <v>8</v>
      </c>
      <c r="AY151" s="286"/>
      <c r="AZ151" s="286">
        <v>0</v>
      </c>
      <c r="BA151" s="286">
        <v>0</v>
      </c>
      <c r="BB151" s="286"/>
      <c r="BC151" s="286">
        <v>15</v>
      </c>
      <c r="BD151" s="286">
        <v>11</v>
      </c>
      <c r="BE151" s="286"/>
      <c r="BF151" s="286">
        <v>21</v>
      </c>
      <c r="BG151" s="286">
        <v>17</v>
      </c>
      <c r="BH151" s="286"/>
      <c r="BI151" s="286">
        <v>20</v>
      </c>
      <c r="BJ151" s="286">
        <v>13</v>
      </c>
      <c r="BK151" s="286"/>
      <c r="BL151" s="286">
        <v>5</v>
      </c>
      <c r="BM151" s="286">
        <v>3</v>
      </c>
      <c r="BN151" s="286"/>
      <c r="BO151" s="286">
        <v>2</v>
      </c>
      <c r="BP151" s="286">
        <v>1</v>
      </c>
      <c r="BQ151" s="286"/>
      <c r="BR151" s="286">
        <v>1</v>
      </c>
      <c r="BS151" s="286">
        <v>2</v>
      </c>
      <c r="BT151" s="286"/>
      <c r="BU151" s="286">
        <v>14</v>
      </c>
      <c r="BV151" s="286">
        <v>12</v>
      </c>
      <c r="BW151" s="286"/>
      <c r="BX151" s="286">
        <v>0</v>
      </c>
      <c r="BY151" s="286">
        <v>0</v>
      </c>
      <c r="BZ151" s="286"/>
      <c r="CA151" s="286">
        <v>7</v>
      </c>
      <c r="CB151" s="286">
        <v>9</v>
      </c>
      <c r="CC151" s="286"/>
      <c r="CD151" s="286">
        <v>2</v>
      </c>
      <c r="CE151" s="286">
        <v>2</v>
      </c>
      <c r="CF151" s="286"/>
      <c r="CG151" s="286">
        <v>3</v>
      </c>
      <c r="CH151" s="286">
        <v>5</v>
      </c>
    </row>
    <row r="152" spans="1:86" ht="45" x14ac:dyDescent="0.25">
      <c r="A152" s="101"/>
      <c r="B152" s="300"/>
      <c r="C152" s="95" t="s">
        <v>2773</v>
      </c>
      <c r="D152" s="95"/>
      <c r="E152" s="95"/>
      <c r="F152" s="291"/>
      <c r="G152" s="291"/>
      <c r="H152" s="291"/>
      <c r="I152" s="291"/>
      <c r="J152" s="282">
        <v>2277</v>
      </c>
      <c r="K152" s="282">
        <v>1979</v>
      </c>
      <c r="L152" s="282">
        <v>1776</v>
      </c>
      <c r="M152" s="282">
        <v>36</v>
      </c>
      <c r="N152" s="282">
        <v>39</v>
      </c>
      <c r="O152" s="282"/>
      <c r="P152" s="301"/>
      <c r="Q152" s="286">
        <f t="shared" si="56"/>
        <v>1776</v>
      </c>
      <c r="R152" s="286">
        <f t="shared" si="56"/>
        <v>1497</v>
      </c>
      <c r="S152" s="286">
        <f>30+14</f>
        <v>44</v>
      </c>
      <c r="T152" s="286">
        <v>31</v>
      </c>
      <c r="U152" s="286"/>
      <c r="V152" s="286">
        <v>48</v>
      </c>
      <c r="W152" s="286">
        <v>48</v>
      </c>
      <c r="X152" s="286"/>
      <c r="Y152" s="286">
        <f>46+65</f>
        <v>111</v>
      </c>
      <c r="Z152" s="286">
        <v>46</v>
      </c>
      <c r="AA152" s="286"/>
      <c r="AB152" s="286">
        <f>32+11</f>
        <v>43</v>
      </c>
      <c r="AC152" s="286">
        <v>31</v>
      </c>
      <c r="AD152" s="286"/>
      <c r="AE152" s="286">
        <v>58</v>
      </c>
      <c r="AF152" s="286">
        <v>57</v>
      </c>
      <c r="AG152" s="286"/>
      <c r="AH152" s="286">
        <v>53</v>
      </c>
      <c r="AI152" s="286">
        <v>53</v>
      </c>
      <c r="AJ152" s="286"/>
      <c r="AK152" s="286">
        <v>55</v>
      </c>
      <c r="AL152" s="286">
        <v>57</v>
      </c>
      <c r="AM152" s="286"/>
      <c r="AN152" s="286">
        <v>157</v>
      </c>
      <c r="AO152" s="286">
        <v>154</v>
      </c>
      <c r="AP152" s="286"/>
      <c r="AQ152" s="286">
        <f>13+32</f>
        <v>45</v>
      </c>
      <c r="AR152" s="286">
        <v>14</v>
      </c>
      <c r="AS152" s="286"/>
      <c r="AT152" s="286">
        <v>0</v>
      </c>
      <c r="AU152" s="286">
        <v>0</v>
      </c>
      <c r="AV152" s="286"/>
      <c r="AW152" s="286">
        <v>0</v>
      </c>
      <c r="AX152" s="286">
        <v>0</v>
      </c>
      <c r="AY152" s="286"/>
      <c r="AZ152" s="286">
        <f>96+76</f>
        <v>172</v>
      </c>
      <c r="BA152" s="286">
        <v>98</v>
      </c>
      <c r="BB152" s="286"/>
      <c r="BC152" s="286">
        <v>126</v>
      </c>
      <c r="BD152" s="286">
        <v>114</v>
      </c>
      <c r="BE152" s="286"/>
      <c r="BF152" s="286">
        <v>191</v>
      </c>
      <c r="BG152" s="286">
        <v>191</v>
      </c>
      <c r="BH152" s="286"/>
      <c r="BI152" s="286">
        <v>331</v>
      </c>
      <c r="BJ152" s="286">
        <v>324</v>
      </c>
      <c r="BK152" s="286"/>
      <c r="BL152" s="286">
        <f>48+21</f>
        <v>69</v>
      </c>
      <c r="BM152" s="286">
        <v>44</v>
      </c>
      <c r="BN152" s="286"/>
      <c r="BO152" s="286">
        <f>50+40</f>
        <v>90</v>
      </c>
      <c r="BP152" s="286">
        <v>52</v>
      </c>
      <c r="BQ152" s="286"/>
      <c r="BR152" s="286">
        <v>65</v>
      </c>
      <c r="BS152" s="286">
        <v>65</v>
      </c>
      <c r="BT152" s="286"/>
      <c r="BU152" s="286">
        <v>0</v>
      </c>
      <c r="BV152" s="286">
        <v>0</v>
      </c>
      <c r="BW152" s="286"/>
      <c r="BX152" s="286">
        <v>31</v>
      </c>
      <c r="BY152" s="286">
        <v>32</v>
      </c>
      <c r="BZ152" s="286"/>
      <c r="CA152" s="286">
        <v>32</v>
      </c>
      <c r="CB152" s="286">
        <v>30</v>
      </c>
      <c r="CC152" s="286"/>
      <c r="CD152" s="286">
        <v>55</v>
      </c>
      <c r="CE152" s="286">
        <v>56</v>
      </c>
      <c r="CF152" s="286"/>
      <c r="CG152" s="286">
        <v>0</v>
      </c>
      <c r="CH152" s="286">
        <v>0</v>
      </c>
    </row>
    <row r="153" spans="1:86" ht="45" x14ac:dyDescent="0.25">
      <c r="A153" s="101"/>
      <c r="B153" s="300"/>
      <c r="C153" s="95" t="s">
        <v>2448</v>
      </c>
      <c r="D153" s="95"/>
      <c r="E153" s="95"/>
      <c r="F153" s="291"/>
      <c r="G153" s="291"/>
      <c r="H153" s="291"/>
      <c r="I153" s="291"/>
      <c r="J153" s="282">
        <v>338</v>
      </c>
      <c r="K153" s="282">
        <v>253</v>
      </c>
      <c r="L153" s="282">
        <v>223</v>
      </c>
      <c r="M153" s="282">
        <v>15</v>
      </c>
      <c r="N153" s="282">
        <v>12</v>
      </c>
      <c r="O153" s="282"/>
      <c r="P153" s="301"/>
      <c r="Q153" s="286">
        <f t="shared" si="56"/>
        <v>223</v>
      </c>
      <c r="R153" s="286">
        <f t="shared" si="56"/>
        <v>168</v>
      </c>
      <c r="S153" s="286">
        <f>1+8</f>
        <v>9</v>
      </c>
      <c r="T153" s="286">
        <v>1</v>
      </c>
      <c r="U153" s="286"/>
      <c r="V153" s="286">
        <v>0</v>
      </c>
      <c r="W153" s="286">
        <v>1</v>
      </c>
      <c r="X153" s="286"/>
      <c r="Y153" s="286">
        <f>6+9</f>
        <v>15</v>
      </c>
      <c r="Z153" s="286">
        <v>6</v>
      </c>
      <c r="AA153" s="286"/>
      <c r="AB153" s="286">
        <v>6</v>
      </c>
      <c r="AC153" s="286">
        <v>5</v>
      </c>
      <c r="AD153" s="286"/>
      <c r="AE153" s="286">
        <v>7</v>
      </c>
      <c r="AF153" s="286">
        <v>7</v>
      </c>
      <c r="AG153" s="286"/>
      <c r="AH153" s="286">
        <v>7</v>
      </c>
      <c r="AI153" s="286">
        <v>7</v>
      </c>
      <c r="AJ153" s="286"/>
      <c r="AK153" s="286">
        <v>6</v>
      </c>
      <c r="AL153" s="286">
        <v>5</v>
      </c>
      <c r="AM153" s="286"/>
      <c r="AN153" s="286">
        <v>23</v>
      </c>
      <c r="AO153" s="286">
        <v>29</v>
      </c>
      <c r="AP153" s="286"/>
      <c r="AQ153" s="286">
        <v>11</v>
      </c>
      <c r="AR153" s="286">
        <v>1</v>
      </c>
      <c r="AS153" s="286"/>
      <c r="AT153" s="286">
        <v>0</v>
      </c>
      <c r="AU153" s="286">
        <v>0</v>
      </c>
      <c r="AV153" s="286"/>
      <c r="AW153" s="286">
        <v>0</v>
      </c>
      <c r="AX153" s="286">
        <v>0</v>
      </c>
      <c r="AY153" s="286"/>
      <c r="AZ153" s="286">
        <f>7+9</f>
        <v>16</v>
      </c>
      <c r="BA153" s="286">
        <v>11</v>
      </c>
      <c r="BB153" s="286"/>
      <c r="BC153" s="286">
        <v>3</v>
      </c>
      <c r="BD153" s="286">
        <v>2</v>
      </c>
      <c r="BE153" s="286"/>
      <c r="BF153" s="286">
        <v>34</v>
      </c>
      <c r="BG153" s="286">
        <v>23</v>
      </c>
      <c r="BH153" s="286"/>
      <c r="BI153" s="286">
        <v>65</v>
      </c>
      <c r="BJ153" s="286">
        <v>60</v>
      </c>
      <c r="BK153" s="286"/>
      <c r="BL153" s="286">
        <f>1+2</f>
        <v>3</v>
      </c>
      <c r="BM153" s="286">
        <v>1</v>
      </c>
      <c r="BN153" s="286"/>
      <c r="BO153" s="286">
        <f>2+8</f>
        <v>10</v>
      </c>
      <c r="BP153" s="286">
        <v>2</v>
      </c>
      <c r="BQ153" s="286"/>
      <c r="BR153" s="286">
        <v>1</v>
      </c>
      <c r="BS153" s="286">
        <v>2</v>
      </c>
      <c r="BT153" s="286"/>
      <c r="BU153" s="286">
        <v>0</v>
      </c>
      <c r="BV153" s="286">
        <v>0</v>
      </c>
      <c r="BW153" s="286"/>
      <c r="BX153" s="286">
        <v>0</v>
      </c>
      <c r="BY153" s="286">
        <v>0</v>
      </c>
      <c r="BZ153" s="286"/>
      <c r="CA153" s="286">
        <v>2</v>
      </c>
      <c r="CB153" s="286">
        <v>0</v>
      </c>
      <c r="CC153" s="286"/>
      <c r="CD153" s="286">
        <v>5</v>
      </c>
      <c r="CE153" s="286">
        <v>5</v>
      </c>
      <c r="CF153" s="286"/>
      <c r="CG153" s="286">
        <v>0</v>
      </c>
      <c r="CH153" s="286">
        <v>0</v>
      </c>
    </row>
    <row r="154" spans="1:86" ht="45" x14ac:dyDescent="0.25">
      <c r="A154" s="101"/>
      <c r="B154" s="300" t="s">
        <v>1919</v>
      </c>
      <c r="C154" s="95" t="s">
        <v>2771</v>
      </c>
      <c r="D154" s="95" t="s">
        <v>950</v>
      </c>
      <c r="E154" s="95"/>
      <c r="F154" s="291"/>
      <c r="G154" s="291"/>
      <c r="H154" s="291"/>
      <c r="I154" s="291"/>
      <c r="J154" s="282">
        <v>2729</v>
      </c>
      <c r="K154" s="282">
        <v>2553</v>
      </c>
      <c r="L154" s="282">
        <v>2547</v>
      </c>
      <c r="M154" s="282">
        <v>60</v>
      </c>
      <c r="N154" s="282">
        <v>62</v>
      </c>
      <c r="O154" s="282"/>
      <c r="P154" s="301"/>
      <c r="Q154" s="286">
        <f t="shared" si="56"/>
        <v>2547</v>
      </c>
      <c r="R154" s="286">
        <f t="shared" si="56"/>
        <v>2585</v>
      </c>
      <c r="S154" s="286">
        <v>65</v>
      </c>
      <c r="T154" s="286">
        <v>69</v>
      </c>
      <c r="U154" s="286"/>
      <c r="V154" s="286">
        <v>86</v>
      </c>
      <c r="W154" s="286">
        <v>96</v>
      </c>
      <c r="X154" s="286"/>
      <c r="Y154" s="286">
        <v>95</v>
      </c>
      <c r="Z154" s="286">
        <v>93</v>
      </c>
      <c r="AA154" s="286"/>
      <c r="AB154" s="286">
        <v>79</v>
      </c>
      <c r="AC154" s="286">
        <v>75</v>
      </c>
      <c r="AD154" s="286"/>
      <c r="AE154" s="286">
        <v>246</v>
      </c>
      <c r="AF154" s="286">
        <v>285</v>
      </c>
      <c r="AG154" s="286"/>
      <c r="AH154" s="286">
        <v>75</v>
      </c>
      <c r="AI154" s="286">
        <v>60</v>
      </c>
      <c r="AJ154" s="286"/>
      <c r="AK154" s="286">
        <v>100</v>
      </c>
      <c r="AL154" s="286">
        <v>94</v>
      </c>
      <c r="AM154" s="286"/>
      <c r="AN154" s="286">
        <v>101</v>
      </c>
      <c r="AO154" s="286">
        <v>100</v>
      </c>
      <c r="AP154" s="286"/>
      <c r="AQ154" s="286">
        <v>66</v>
      </c>
      <c r="AR154" s="286">
        <v>63</v>
      </c>
      <c r="AS154" s="286"/>
      <c r="AT154" s="286">
        <v>306</v>
      </c>
      <c r="AU154" s="286">
        <v>295</v>
      </c>
      <c r="AV154" s="286"/>
      <c r="AW154" s="286">
        <v>162</v>
      </c>
      <c r="AX154" s="286">
        <v>160</v>
      </c>
      <c r="AY154" s="286"/>
      <c r="AZ154" s="286">
        <v>0</v>
      </c>
      <c r="BA154" s="286">
        <v>0</v>
      </c>
      <c r="BB154" s="286"/>
      <c r="BC154" s="286">
        <v>137</v>
      </c>
      <c r="BD154" s="286">
        <v>130</v>
      </c>
      <c r="BE154" s="286"/>
      <c r="BF154" s="286">
        <v>277</v>
      </c>
      <c r="BG154" s="286">
        <v>276</v>
      </c>
      <c r="BH154" s="286"/>
      <c r="BI154" s="286">
        <v>258</v>
      </c>
      <c r="BJ154" s="286">
        <v>256</v>
      </c>
      <c r="BK154" s="286"/>
      <c r="BL154" s="286">
        <v>62</v>
      </c>
      <c r="BM154" s="286">
        <v>57</v>
      </c>
      <c r="BN154" s="286"/>
      <c r="BO154" s="286">
        <v>65</v>
      </c>
      <c r="BP154" s="286">
        <v>64</v>
      </c>
      <c r="BQ154" s="286"/>
      <c r="BR154" s="286">
        <v>109</v>
      </c>
      <c r="BS154" s="286">
        <v>111</v>
      </c>
      <c r="BT154" s="286"/>
      <c r="BU154" s="286">
        <v>100</v>
      </c>
      <c r="BV154" s="286">
        <v>105</v>
      </c>
      <c r="BW154" s="286"/>
      <c r="BX154" s="286">
        <v>0</v>
      </c>
      <c r="BY154" s="286">
        <v>0</v>
      </c>
      <c r="BZ154" s="286"/>
      <c r="CA154" s="286">
        <v>51</v>
      </c>
      <c r="CB154" s="286">
        <v>53</v>
      </c>
      <c r="CC154" s="286"/>
      <c r="CD154" s="286">
        <v>35</v>
      </c>
      <c r="CE154" s="286">
        <v>39</v>
      </c>
      <c r="CF154" s="286"/>
      <c r="CG154" s="286">
        <v>72</v>
      </c>
      <c r="CH154" s="286">
        <v>104</v>
      </c>
    </row>
    <row r="155" spans="1:86" ht="45" x14ac:dyDescent="0.25">
      <c r="A155" s="101"/>
      <c r="B155" s="300"/>
      <c r="C155" s="95" t="s">
        <v>2772</v>
      </c>
      <c r="D155" s="95"/>
      <c r="E155" s="95"/>
      <c r="F155" s="291"/>
      <c r="G155" s="291"/>
      <c r="H155" s="291"/>
      <c r="I155" s="291"/>
      <c r="J155" s="282">
        <v>750</v>
      </c>
      <c r="K155" s="282">
        <v>720</v>
      </c>
      <c r="L155" s="282">
        <v>659</v>
      </c>
      <c r="M155" s="282">
        <v>18</v>
      </c>
      <c r="N155" s="282">
        <v>16</v>
      </c>
      <c r="O155" s="282"/>
      <c r="P155" s="301"/>
      <c r="Q155" s="286">
        <f t="shared" si="56"/>
        <v>659</v>
      </c>
      <c r="R155" s="286">
        <f t="shared" si="56"/>
        <v>667</v>
      </c>
      <c r="S155" s="286">
        <v>3</v>
      </c>
      <c r="T155" s="286">
        <v>3</v>
      </c>
      <c r="U155" s="286"/>
      <c r="V155" s="286">
        <v>14</v>
      </c>
      <c r="W155" s="286">
        <v>26</v>
      </c>
      <c r="X155" s="286"/>
      <c r="Y155" s="286">
        <v>5</v>
      </c>
      <c r="Z155" s="286">
        <v>6</v>
      </c>
      <c r="AA155" s="286"/>
      <c r="AB155" s="286">
        <v>56</v>
      </c>
      <c r="AC155" s="286">
        <v>58</v>
      </c>
      <c r="AD155" s="286"/>
      <c r="AE155" s="286">
        <v>149</v>
      </c>
      <c r="AF155" s="286">
        <v>160</v>
      </c>
      <c r="AG155" s="286"/>
      <c r="AH155" s="286">
        <v>19</v>
      </c>
      <c r="AI155" s="286">
        <v>18</v>
      </c>
      <c r="AJ155" s="286"/>
      <c r="AK155" s="286">
        <v>21</v>
      </c>
      <c r="AL155" s="286">
        <v>24</v>
      </c>
      <c r="AM155" s="286"/>
      <c r="AN155" s="286">
        <v>142</v>
      </c>
      <c r="AO155" s="286">
        <v>142</v>
      </c>
      <c r="AP155" s="286"/>
      <c r="AQ155" s="286">
        <v>82</v>
      </c>
      <c r="AR155" s="286">
        <v>89</v>
      </c>
      <c r="AS155" s="286"/>
      <c r="AT155" s="286">
        <v>37</v>
      </c>
      <c r="AU155" s="286">
        <v>26</v>
      </c>
      <c r="AV155" s="286"/>
      <c r="AW155" s="286">
        <v>6</v>
      </c>
      <c r="AX155" s="286">
        <v>8</v>
      </c>
      <c r="AY155" s="286"/>
      <c r="AZ155" s="286">
        <v>0</v>
      </c>
      <c r="BA155" s="286">
        <v>0</v>
      </c>
      <c r="BB155" s="286"/>
      <c r="BC155" s="286">
        <v>19</v>
      </c>
      <c r="BD155" s="286">
        <v>14</v>
      </c>
      <c r="BE155" s="286"/>
      <c r="BF155" s="286">
        <v>21</v>
      </c>
      <c r="BG155" s="286">
        <v>17</v>
      </c>
      <c r="BH155" s="286"/>
      <c r="BI155" s="286">
        <v>27</v>
      </c>
      <c r="BJ155" s="286">
        <v>16</v>
      </c>
      <c r="BK155" s="286"/>
      <c r="BL155" s="286">
        <v>13</v>
      </c>
      <c r="BM155" s="286">
        <v>10</v>
      </c>
      <c r="BN155" s="286"/>
      <c r="BO155" s="286">
        <v>2</v>
      </c>
      <c r="BP155" s="286">
        <v>1</v>
      </c>
      <c r="BQ155" s="286"/>
      <c r="BR155" s="286">
        <v>7</v>
      </c>
      <c r="BS155" s="286">
        <v>9</v>
      </c>
      <c r="BT155" s="286"/>
      <c r="BU155" s="286">
        <v>20</v>
      </c>
      <c r="BV155" s="286">
        <v>20</v>
      </c>
      <c r="BW155" s="286"/>
      <c r="BX155" s="286">
        <v>0</v>
      </c>
      <c r="BY155" s="286">
        <v>0</v>
      </c>
      <c r="BZ155" s="286"/>
      <c r="CA155" s="286">
        <v>10</v>
      </c>
      <c r="CB155" s="286">
        <v>12</v>
      </c>
      <c r="CC155" s="286"/>
      <c r="CD155" s="286">
        <v>3</v>
      </c>
      <c r="CE155" s="286">
        <v>3</v>
      </c>
      <c r="CF155" s="286"/>
      <c r="CG155" s="286">
        <v>3</v>
      </c>
      <c r="CH155" s="286">
        <v>5</v>
      </c>
    </row>
    <row r="156" spans="1:86" ht="45" x14ac:dyDescent="0.25">
      <c r="A156" s="101"/>
      <c r="B156" s="300"/>
      <c r="C156" s="95" t="s">
        <v>2771</v>
      </c>
      <c r="D156" s="95"/>
      <c r="E156" s="95"/>
      <c r="F156" s="291"/>
      <c r="G156" s="291"/>
      <c r="H156" s="291"/>
      <c r="I156" s="291"/>
      <c r="J156" s="282">
        <v>4707</v>
      </c>
      <c r="K156" s="282">
        <v>3820</v>
      </c>
      <c r="L156" s="282">
        <v>3196</v>
      </c>
      <c r="M156" s="282">
        <v>60</v>
      </c>
      <c r="N156" s="282">
        <v>62</v>
      </c>
      <c r="O156" s="282"/>
      <c r="P156" s="301"/>
      <c r="Q156" s="286">
        <f t="shared" si="56"/>
        <v>3196</v>
      </c>
      <c r="R156" s="286">
        <f t="shared" si="56"/>
        <v>2350</v>
      </c>
      <c r="S156" s="286">
        <f>36+21</f>
        <v>57</v>
      </c>
      <c r="T156" s="286">
        <v>36</v>
      </c>
      <c r="U156" s="286"/>
      <c r="V156" s="286">
        <v>89</v>
      </c>
      <c r="W156" s="286">
        <v>89</v>
      </c>
      <c r="X156" s="286"/>
      <c r="Y156" s="286">
        <f>68+200</f>
        <v>268</v>
      </c>
      <c r="Z156" s="286">
        <v>68</v>
      </c>
      <c r="AA156" s="286"/>
      <c r="AB156" s="286">
        <f>68+63</f>
        <v>131</v>
      </c>
      <c r="AC156" s="286">
        <v>68</v>
      </c>
      <c r="AD156" s="286"/>
      <c r="AE156" s="286">
        <v>126</v>
      </c>
      <c r="AF156" s="286">
        <v>125</v>
      </c>
      <c r="AG156" s="286"/>
      <c r="AH156" s="286">
        <v>86</v>
      </c>
      <c r="AI156" s="286">
        <v>87</v>
      </c>
      <c r="AJ156" s="286"/>
      <c r="AK156" s="286">
        <v>68</v>
      </c>
      <c r="AL156" s="286">
        <v>71</v>
      </c>
      <c r="AM156" s="286"/>
      <c r="AN156" s="286">
        <v>230</v>
      </c>
      <c r="AO156" s="286">
        <v>229</v>
      </c>
      <c r="AP156" s="286"/>
      <c r="AQ156" s="286">
        <f>23+63</f>
        <v>86</v>
      </c>
      <c r="AR156" s="286">
        <v>23</v>
      </c>
      <c r="AS156" s="286"/>
      <c r="AT156" s="286">
        <v>0</v>
      </c>
      <c r="AU156" s="286">
        <v>0</v>
      </c>
      <c r="AV156" s="286"/>
      <c r="AW156" s="286">
        <v>0</v>
      </c>
      <c r="AX156" s="286">
        <v>0</v>
      </c>
      <c r="AY156" s="286"/>
      <c r="AZ156" s="286">
        <f>172+211</f>
        <v>383</v>
      </c>
      <c r="BA156" s="286">
        <v>162</v>
      </c>
      <c r="BB156" s="286"/>
      <c r="BC156" s="286">
        <v>183</v>
      </c>
      <c r="BD156" s="286">
        <v>178</v>
      </c>
      <c r="BE156" s="286"/>
      <c r="BF156" s="286">
        <v>301</v>
      </c>
      <c r="BG156" s="286">
        <v>300</v>
      </c>
      <c r="BH156" s="286"/>
      <c r="BI156" s="286">
        <v>463</v>
      </c>
      <c r="BJ156" s="286">
        <v>437</v>
      </c>
      <c r="BK156" s="286"/>
      <c r="BL156" s="286">
        <f>79+67</f>
        <v>146</v>
      </c>
      <c r="BM156" s="286">
        <v>77</v>
      </c>
      <c r="BN156" s="286"/>
      <c r="BO156" s="286">
        <f>87+178</f>
        <v>265</v>
      </c>
      <c r="BP156" s="286">
        <v>87</v>
      </c>
      <c r="BQ156" s="286"/>
      <c r="BR156" s="286">
        <v>99</v>
      </c>
      <c r="BS156" s="286">
        <v>98</v>
      </c>
      <c r="BT156" s="286"/>
      <c r="BU156" s="286">
        <v>0</v>
      </c>
      <c r="BV156" s="286">
        <v>0</v>
      </c>
      <c r="BW156" s="286"/>
      <c r="BX156" s="286">
        <v>63</v>
      </c>
      <c r="BY156" s="286">
        <v>64</v>
      </c>
      <c r="BZ156" s="286"/>
      <c r="CA156" s="286">
        <v>70</v>
      </c>
      <c r="CB156" s="286">
        <v>65</v>
      </c>
      <c r="CC156" s="286"/>
      <c r="CD156" s="286">
        <v>82</v>
      </c>
      <c r="CE156" s="286">
        <v>86</v>
      </c>
      <c r="CF156" s="286"/>
      <c r="CG156" s="286">
        <v>0</v>
      </c>
      <c r="CH156" s="286">
        <v>0</v>
      </c>
    </row>
    <row r="157" spans="1:86" ht="45" x14ac:dyDescent="0.25">
      <c r="A157" s="101"/>
      <c r="B157" s="300"/>
      <c r="C157" s="95" t="s">
        <v>2772</v>
      </c>
      <c r="D157" s="95"/>
      <c r="E157" s="95"/>
      <c r="F157" s="291"/>
      <c r="G157" s="291"/>
      <c r="H157" s="291"/>
      <c r="I157" s="291"/>
      <c r="J157" s="282">
        <v>475</v>
      </c>
      <c r="K157" s="282">
        <v>359</v>
      </c>
      <c r="L157" s="282">
        <v>309</v>
      </c>
      <c r="M157" s="282">
        <v>18</v>
      </c>
      <c r="N157" s="282">
        <v>16</v>
      </c>
      <c r="O157" s="282"/>
      <c r="P157" s="301"/>
      <c r="Q157" s="286">
        <f t="shared" si="56"/>
        <v>309</v>
      </c>
      <c r="R157" s="286">
        <f t="shared" si="56"/>
        <v>233</v>
      </c>
      <c r="S157" s="286">
        <f>2+8</f>
        <v>10</v>
      </c>
      <c r="T157" s="286">
        <v>1</v>
      </c>
      <c r="U157" s="286"/>
      <c r="V157" s="286">
        <v>6</v>
      </c>
      <c r="W157" s="286">
        <v>7</v>
      </c>
      <c r="X157" s="286"/>
      <c r="Y157" s="286">
        <f>8+15</f>
        <v>23</v>
      </c>
      <c r="Z157" s="286">
        <v>8</v>
      </c>
      <c r="AA157" s="286"/>
      <c r="AB157" s="286">
        <f>10+1</f>
        <v>11</v>
      </c>
      <c r="AC157" s="286">
        <v>9</v>
      </c>
      <c r="AD157" s="286"/>
      <c r="AE157" s="286">
        <v>15</v>
      </c>
      <c r="AF157" s="286">
        <v>17</v>
      </c>
      <c r="AG157" s="286"/>
      <c r="AH157" s="286">
        <v>9</v>
      </c>
      <c r="AI157" s="286">
        <v>9</v>
      </c>
      <c r="AJ157" s="286"/>
      <c r="AK157" s="286">
        <v>7</v>
      </c>
      <c r="AL157" s="286">
        <v>5</v>
      </c>
      <c r="AM157" s="286"/>
      <c r="AN157" s="286">
        <v>28</v>
      </c>
      <c r="AO157" s="286">
        <v>38</v>
      </c>
      <c r="AP157" s="286"/>
      <c r="AQ157" s="286">
        <f>3+12</f>
        <v>15</v>
      </c>
      <c r="AR157" s="286">
        <v>3</v>
      </c>
      <c r="AS157" s="286"/>
      <c r="AT157" s="286">
        <v>0</v>
      </c>
      <c r="AU157" s="286">
        <v>0</v>
      </c>
      <c r="AV157" s="286"/>
      <c r="AW157" s="286">
        <v>0</v>
      </c>
      <c r="AX157" s="286">
        <v>0</v>
      </c>
      <c r="AY157" s="286"/>
      <c r="AZ157" s="286">
        <f>14+17</f>
        <v>31</v>
      </c>
      <c r="BA157" s="286">
        <v>15</v>
      </c>
      <c r="BB157" s="286"/>
      <c r="BC157" s="286">
        <v>6</v>
      </c>
      <c r="BD157" s="286">
        <v>4</v>
      </c>
      <c r="BE157" s="286"/>
      <c r="BF157" s="286">
        <v>39</v>
      </c>
      <c r="BG157" s="286">
        <v>29</v>
      </c>
      <c r="BH157" s="286"/>
      <c r="BI157" s="286">
        <v>71</v>
      </c>
      <c r="BJ157" s="286">
        <v>67</v>
      </c>
      <c r="BK157" s="286"/>
      <c r="BL157" s="286">
        <f>3+6</f>
        <v>9</v>
      </c>
      <c r="BM157" s="286">
        <v>4</v>
      </c>
      <c r="BN157" s="286"/>
      <c r="BO157" s="286">
        <f>3+10</f>
        <v>13</v>
      </c>
      <c r="BP157" s="286">
        <v>2</v>
      </c>
      <c r="BQ157" s="286"/>
      <c r="BR157" s="286">
        <v>4</v>
      </c>
      <c r="BS157" s="286">
        <v>4</v>
      </c>
      <c r="BT157" s="286"/>
      <c r="BU157" s="286">
        <v>0</v>
      </c>
      <c r="BV157" s="286">
        <v>0</v>
      </c>
      <c r="BW157" s="286"/>
      <c r="BX157" s="286">
        <v>2</v>
      </c>
      <c r="BY157" s="286">
        <v>2</v>
      </c>
      <c r="BZ157" s="286"/>
      <c r="CA157" s="286">
        <v>5</v>
      </c>
      <c r="CB157" s="286">
        <v>1</v>
      </c>
      <c r="CC157" s="286"/>
      <c r="CD157" s="286">
        <v>5</v>
      </c>
      <c r="CE157" s="286">
        <v>8</v>
      </c>
      <c r="CF157" s="286"/>
      <c r="CG157" s="286">
        <v>0</v>
      </c>
      <c r="CH157" s="286">
        <v>0</v>
      </c>
    </row>
    <row r="158" spans="1:86" x14ac:dyDescent="0.25">
      <c r="A158" s="101"/>
      <c r="B158" s="300" t="s">
        <v>1874</v>
      </c>
      <c r="C158" s="95"/>
      <c r="D158" s="95"/>
      <c r="E158" s="95"/>
      <c r="F158" s="291"/>
      <c r="G158" s="291"/>
      <c r="H158" s="291"/>
      <c r="I158" s="291"/>
      <c r="J158" s="282"/>
      <c r="K158" s="282"/>
      <c r="L158" s="282"/>
      <c r="M158" s="282"/>
      <c r="N158" s="282"/>
      <c r="O158" s="282"/>
      <c r="P158" s="281"/>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c r="CG158" s="286"/>
      <c r="CH158" s="286"/>
    </row>
    <row r="159" spans="1:86" ht="45" x14ac:dyDescent="0.25">
      <c r="A159" s="101"/>
      <c r="B159" s="300" t="s">
        <v>1841</v>
      </c>
      <c r="C159" s="95" t="s">
        <v>2448</v>
      </c>
      <c r="D159" s="95" t="s">
        <v>950</v>
      </c>
      <c r="E159" s="95"/>
      <c r="F159" s="291"/>
      <c r="G159" s="291"/>
      <c r="H159" s="291"/>
      <c r="I159" s="291"/>
      <c r="J159" s="282">
        <f>J151+J153</f>
        <v>1007</v>
      </c>
      <c r="K159" s="282">
        <f>K151+K153</f>
        <v>899</v>
      </c>
      <c r="L159" s="282">
        <f>L151+L153</f>
        <v>813</v>
      </c>
      <c r="M159" s="282">
        <f>M151+M153</f>
        <v>30</v>
      </c>
      <c r="N159" s="282">
        <v>39</v>
      </c>
      <c r="O159" s="282"/>
      <c r="P159" s="281"/>
      <c r="Q159" s="286">
        <f>S159+V159+Y159+AB159+AE159+AH159+AK159+AN159+AQ159+AT159+AW159+AZ159+BC159+BF159+BI159+BL159+BO159+BR159+BU159+BX159+CA159+CD159+CG159</f>
        <v>813</v>
      </c>
      <c r="R159" s="286">
        <f>T159+W159+Z159+AC159+AF159+AI159+AL159+AO159+AR159+AU159+AX159+BA159+BD159+BG159+BJ159+BM159+BP159+BS159+BV159+BY159+CB159+CE159+CH159</f>
        <v>760</v>
      </c>
      <c r="S159" s="286">
        <f>S151+S153</f>
        <v>11</v>
      </c>
      <c r="T159" s="286">
        <f>T151+T153</f>
        <v>3</v>
      </c>
      <c r="U159" s="286"/>
      <c r="V159" s="286">
        <f>V151+V153</f>
        <v>12</v>
      </c>
      <c r="W159" s="286">
        <f>W151+W153</f>
        <v>23</v>
      </c>
      <c r="X159" s="286"/>
      <c r="Y159" s="286">
        <f>Y151+Y153</f>
        <v>17</v>
      </c>
      <c r="Z159" s="286">
        <f>Z151+Z153</f>
        <v>7</v>
      </c>
      <c r="AA159" s="286"/>
      <c r="AB159" s="286">
        <f>AB151+AB153</f>
        <v>55</v>
      </c>
      <c r="AC159" s="286">
        <f>AC151+AC153</f>
        <v>56</v>
      </c>
      <c r="AD159" s="286"/>
      <c r="AE159" s="286">
        <f>AE151+AE153</f>
        <v>153</v>
      </c>
      <c r="AF159" s="286">
        <f>AF151+AF153</f>
        <v>159</v>
      </c>
      <c r="AG159" s="286"/>
      <c r="AH159" s="286">
        <f>AH151+AH153</f>
        <v>24</v>
      </c>
      <c r="AI159" s="286">
        <f>AI151+AI153</f>
        <v>22</v>
      </c>
      <c r="AJ159" s="286"/>
      <c r="AK159" s="286">
        <f>AK151+AK153</f>
        <v>26</v>
      </c>
      <c r="AL159" s="286">
        <f>AL151+AL153</f>
        <v>27</v>
      </c>
      <c r="AM159" s="286"/>
      <c r="AN159" s="286">
        <f>AN151+AN153</f>
        <v>165</v>
      </c>
      <c r="AO159" s="286">
        <f>AO151+AO153</f>
        <v>171</v>
      </c>
      <c r="AP159" s="286"/>
      <c r="AQ159" s="286">
        <f>AQ151+AQ153</f>
        <v>90</v>
      </c>
      <c r="AR159" s="286">
        <f>AR151+AR153</f>
        <v>87</v>
      </c>
      <c r="AS159" s="286"/>
      <c r="AT159" s="286">
        <f>AT151+AT153</f>
        <v>25</v>
      </c>
      <c r="AU159" s="286">
        <f>AU151+AU153</f>
        <v>16</v>
      </c>
      <c r="AV159" s="286"/>
      <c r="AW159" s="286">
        <f>AW151+AW153</f>
        <v>6</v>
      </c>
      <c r="AX159" s="286">
        <f>AX151+AX153</f>
        <v>8</v>
      </c>
      <c r="AY159" s="286"/>
      <c r="AZ159" s="286">
        <f>AZ151+AZ153</f>
        <v>16</v>
      </c>
      <c r="BA159" s="286">
        <f>BA151+BA153</f>
        <v>11</v>
      </c>
      <c r="BB159" s="286"/>
      <c r="BC159" s="286">
        <f>BC151+BC153</f>
        <v>18</v>
      </c>
      <c r="BD159" s="286">
        <f>BD151+BD153</f>
        <v>13</v>
      </c>
      <c r="BE159" s="286"/>
      <c r="BF159" s="286">
        <f>BF151+BF153</f>
        <v>55</v>
      </c>
      <c r="BG159" s="286">
        <f>BG151+BG153</f>
        <v>40</v>
      </c>
      <c r="BH159" s="286"/>
      <c r="BI159" s="286">
        <f>BI151+BI153</f>
        <v>85</v>
      </c>
      <c r="BJ159" s="286">
        <f>BJ151+BJ153</f>
        <v>73</v>
      </c>
      <c r="BK159" s="286"/>
      <c r="BL159" s="286">
        <f>BL151+BL153</f>
        <v>8</v>
      </c>
      <c r="BM159" s="286">
        <f>BM151+BM153</f>
        <v>4</v>
      </c>
      <c r="BN159" s="286"/>
      <c r="BO159" s="286">
        <f>BO151+BO153</f>
        <v>12</v>
      </c>
      <c r="BP159" s="286">
        <f>BP151+BP153</f>
        <v>3</v>
      </c>
      <c r="BQ159" s="286"/>
      <c r="BR159" s="286">
        <f>BR151+BR153</f>
        <v>2</v>
      </c>
      <c r="BS159" s="286">
        <f>BS151+BS153</f>
        <v>4</v>
      </c>
      <c r="BT159" s="286"/>
      <c r="BU159" s="286">
        <f>BU151+BU153</f>
        <v>14</v>
      </c>
      <c r="BV159" s="286">
        <f>BV151+BV153</f>
        <v>12</v>
      </c>
      <c r="BW159" s="286"/>
      <c r="BX159" s="286">
        <f>BX151+BX153</f>
        <v>0</v>
      </c>
      <c r="BY159" s="286">
        <f>BY151+BY153</f>
        <v>0</v>
      </c>
      <c r="BZ159" s="286"/>
      <c r="CA159" s="286">
        <f>CA151+CA153</f>
        <v>9</v>
      </c>
      <c r="CB159" s="286">
        <f>CB151+CB153</f>
        <v>9</v>
      </c>
      <c r="CC159" s="286"/>
      <c r="CD159" s="286">
        <f>CD151+CD153</f>
        <v>7</v>
      </c>
      <c r="CE159" s="286">
        <f>CE151+CE153</f>
        <v>7</v>
      </c>
      <c r="CF159" s="286"/>
      <c r="CG159" s="286">
        <f>CG151+CG153</f>
        <v>3</v>
      </c>
      <c r="CH159" s="286">
        <f>CH151+CH153</f>
        <v>5</v>
      </c>
    </row>
    <row r="160" spans="1:86" ht="45" x14ac:dyDescent="0.25">
      <c r="A160" s="107"/>
      <c r="B160" s="300" t="s">
        <v>1919</v>
      </c>
      <c r="C160" s="95" t="s">
        <v>2447</v>
      </c>
      <c r="D160" s="95" t="s">
        <v>950</v>
      </c>
      <c r="E160" s="95"/>
      <c r="F160" s="291"/>
      <c r="G160" s="291"/>
      <c r="H160" s="291"/>
      <c r="I160" s="291"/>
      <c r="J160" s="282">
        <f>J154+J155+J156+J157</f>
        <v>8661</v>
      </c>
      <c r="K160" s="282">
        <f>K154+K155+K156+K157</f>
        <v>7452</v>
      </c>
      <c r="L160" s="282">
        <f>L154+L155+L156+L157</f>
        <v>6711</v>
      </c>
      <c r="M160" s="282">
        <f>M154+M155+M156+M157</f>
        <v>156</v>
      </c>
      <c r="N160" s="282">
        <v>62</v>
      </c>
      <c r="O160" s="282"/>
      <c r="P160" s="281"/>
      <c r="Q160" s="286">
        <f>S160+V160+Y160+AB160+AE160+AH160+AK160+AN160+AQ160+AT160+AW160+AZ160+BC160+BF160+BI160+BL160+BO160+BR160+BU160+BX160+CA160+CD160+CG160</f>
        <v>6711</v>
      </c>
      <c r="R160" s="286">
        <f>T160+W160+Z160+AC160+AF160+AI160+AL160+AO160+AR160+AU160+AX160+BA160+BD160+BG160+BJ160+BM160+BP160+BS160+BV160+BY160+CB160+CE160+CH160</f>
        <v>5835</v>
      </c>
      <c r="S160" s="286">
        <f>S154+S155+S156+S157</f>
        <v>135</v>
      </c>
      <c r="T160" s="286">
        <f>T154+T155+T156+T157</f>
        <v>109</v>
      </c>
      <c r="U160" s="286"/>
      <c r="V160" s="286">
        <f>V154+V155+V156+V157</f>
        <v>195</v>
      </c>
      <c r="W160" s="286">
        <f>W154+W155+W156+W157</f>
        <v>218</v>
      </c>
      <c r="X160" s="286"/>
      <c r="Y160" s="286">
        <f>Y154+Y155+Y156+Y157</f>
        <v>391</v>
      </c>
      <c r="Z160" s="286">
        <f>Z154+Z155+Z156+Z157</f>
        <v>175</v>
      </c>
      <c r="AA160" s="286"/>
      <c r="AB160" s="286">
        <f>AB154+AB155+AB156+AB157</f>
        <v>277</v>
      </c>
      <c r="AC160" s="286">
        <f>AC154+AC155+AC156+AC157</f>
        <v>210</v>
      </c>
      <c r="AD160" s="286"/>
      <c r="AE160" s="286">
        <f>AE154+AE155+AE156+AE157</f>
        <v>536</v>
      </c>
      <c r="AF160" s="286">
        <f>AF154+AF155+AF156+AF157</f>
        <v>587</v>
      </c>
      <c r="AG160" s="286"/>
      <c r="AH160" s="286">
        <f>AH154+AH155+AH156+AH157</f>
        <v>189</v>
      </c>
      <c r="AI160" s="286">
        <f>AI154+AI155+AI156+AI157</f>
        <v>174</v>
      </c>
      <c r="AJ160" s="286"/>
      <c r="AK160" s="286">
        <f>AK154+AK155+AK156+AK157</f>
        <v>196</v>
      </c>
      <c r="AL160" s="286">
        <f>AL154+AL155+AL156+AL157</f>
        <v>194</v>
      </c>
      <c r="AM160" s="286"/>
      <c r="AN160" s="286">
        <f>AN154+AN155+AN156+AN157</f>
        <v>501</v>
      </c>
      <c r="AO160" s="286">
        <f>AO154+AO155+AO156+AO157</f>
        <v>509</v>
      </c>
      <c r="AP160" s="286"/>
      <c r="AQ160" s="286">
        <f>AQ154+AQ155+AQ156+AQ157</f>
        <v>249</v>
      </c>
      <c r="AR160" s="286">
        <f>AR154+AR155+AR156+AR157</f>
        <v>178</v>
      </c>
      <c r="AS160" s="286"/>
      <c r="AT160" s="286">
        <f>AT154+AT155+AT156+AT157</f>
        <v>343</v>
      </c>
      <c r="AU160" s="286">
        <f>AU154+AU155+AU156+AU157</f>
        <v>321</v>
      </c>
      <c r="AV160" s="286"/>
      <c r="AW160" s="286">
        <f>AW154+AW155+AW156+AW157</f>
        <v>168</v>
      </c>
      <c r="AX160" s="286">
        <f>AX154+AX155+AX156+AX157</f>
        <v>168</v>
      </c>
      <c r="AY160" s="286"/>
      <c r="AZ160" s="286">
        <f>AZ154+AZ155+AZ156+AZ157</f>
        <v>414</v>
      </c>
      <c r="BA160" s="286">
        <f>BA154+BA155+BA156+BA157</f>
        <v>177</v>
      </c>
      <c r="BB160" s="286"/>
      <c r="BC160" s="286">
        <f>BC154+BC155+BC156+BC157</f>
        <v>345</v>
      </c>
      <c r="BD160" s="286">
        <f>BD154+BD155+BD156+BD157</f>
        <v>326</v>
      </c>
      <c r="BE160" s="286"/>
      <c r="BF160" s="286">
        <f>BF154+BF155+BF156+BF157</f>
        <v>638</v>
      </c>
      <c r="BG160" s="286">
        <f>BG154+BG155+BG156+BG157</f>
        <v>622</v>
      </c>
      <c r="BH160" s="286"/>
      <c r="BI160" s="286">
        <f>BI154+BI155+BI156+BI157</f>
        <v>819</v>
      </c>
      <c r="BJ160" s="286">
        <f>BJ154+BJ155+BJ156+BJ157</f>
        <v>776</v>
      </c>
      <c r="BK160" s="286"/>
      <c r="BL160" s="286">
        <f>BL154+BL155+BL156+BL157</f>
        <v>230</v>
      </c>
      <c r="BM160" s="286">
        <f>BM154+BM155+BM156+BM157</f>
        <v>148</v>
      </c>
      <c r="BN160" s="286"/>
      <c r="BO160" s="286">
        <f>BO154+BO155+BO156+BO157</f>
        <v>345</v>
      </c>
      <c r="BP160" s="286">
        <f>BP154+BP155+BP156+BP157</f>
        <v>154</v>
      </c>
      <c r="BQ160" s="286"/>
      <c r="BR160" s="286">
        <f>BR154+BR155+BR156+BR157</f>
        <v>219</v>
      </c>
      <c r="BS160" s="286">
        <f>BS154+BS155+BS156+BS157</f>
        <v>222</v>
      </c>
      <c r="BT160" s="286"/>
      <c r="BU160" s="286">
        <f>BU154+BU155+BU156+BU157</f>
        <v>120</v>
      </c>
      <c r="BV160" s="286">
        <f>BV154+BV155+BV156+BV157</f>
        <v>125</v>
      </c>
      <c r="BW160" s="286"/>
      <c r="BX160" s="286">
        <f>BX154+BX155+BX156+BX157</f>
        <v>65</v>
      </c>
      <c r="BY160" s="286">
        <f>BY154+BY155+BY156+BY157</f>
        <v>66</v>
      </c>
      <c r="BZ160" s="286"/>
      <c r="CA160" s="286">
        <f>CA154+CA155+CA156+CA157</f>
        <v>136</v>
      </c>
      <c r="CB160" s="286">
        <f>CB154+CB155+CB156+CB157</f>
        <v>131</v>
      </c>
      <c r="CC160" s="286"/>
      <c r="CD160" s="286">
        <f>CD154+CD155+CD156+CD157</f>
        <v>125</v>
      </c>
      <c r="CE160" s="286">
        <f>CE154+CE155+CE156+CE157</f>
        <v>136</v>
      </c>
      <c r="CF160" s="286"/>
      <c r="CG160" s="286">
        <f>CG154+CG155+CG156+CG157</f>
        <v>75</v>
      </c>
      <c r="CH160" s="286">
        <f>CH154+CH155+CH156+CH157</f>
        <v>109</v>
      </c>
    </row>
    <row r="161" spans="1:89" x14ac:dyDescent="0.25">
      <c r="A161" s="107"/>
      <c r="B161" s="300" t="s">
        <v>1184</v>
      </c>
      <c r="C161" s="95"/>
      <c r="D161" s="95"/>
      <c r="E161" s="95"/>
      <c r="F161" s="291"/>
      <c r="G161" s="291"/>
      <c r="H161" s="291"/>
      <c r="I161" s="291"/>
      <c r="J161" s="282"/>
      <c r="K161" s="282"/>
      <c r="L161" s="282"/>
      <c r="M161" s="282"/>
      <c r="N161" s="282"/>
      <c r="O161" s="282"/>
      <c r="P161" s="281"/>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c r="CG161" s="286"/>
      <c r="CH161" s="286"/>
    </row>
    <row r="162" spans="1:89" ht="45" x14ac:dyDescent="0.25">
      <c r="A162" s="107"/>
      <c r="B162" s="300" t="s">
        <v>1841</v>
      </c>
      <c r="C162" s="95" t="s">
        <v>2769</v>
      </c>
      <c r="D162" s="95" t="s">
        <v>950</v>
      </c>
      <c r="E162" s="95"/>
      <c r="F162" s="291"/>
      <c r="G162" s="291"/>
      <c r="H162" s="291"/>
      <c r="I162" s="291"/>
      <c r="J162" s="282"/>
      <c r="K162" s="282"/>
      <c r="L162" s="282"/>
      <c r="M162" s="282"/>
      <c r="N162" s="282"/>
      <c r="O162" s="282"/>
      <c r="P162" s="281"/>
      <c r="Q162" s="286">
        <f t="shared" ref="Q162:R165" si="57">S162+V162+Y162+AB162+AE162+AH162+AK162+AN162+AQ162+AT162+AW162+AZ162+BC162+BF162+BI162+BL162+BO162+BR162+BU162+BX162+CA162+CD162+CG162</f>
        <v>91</v>
      </c>
      <c r="R162" s="286">
        <f t="shared" si="57"/>
        <v>99</v>
      </c>
      <c r="S162" s="286">
        <v>0</v>
      </c>
      <c r="T162" s="286">
        <v>0</v>
      </c>
      <c r="U162" s="286"/>
      <c r="V162" s="286">
        <v>0</v>
      </c>
      <c r="W162" s="286">
        <v>0</v>
      </c>
      <c r="X162" s="286"/>
      <c r="Y162" s="286">
        <v>0</v>
      </c>
      <c r="Z162" s="286">
        <v>0</v>
      </c>
      <c r="AA162" s="286"/>
      <c r="AB162" s="286">
        <v>0</v>
      </c>
      <c r="AC162" s="286">
        <v>0</v>
      </c>
      <c r="AD162" s="286"/>
      <c r="AE162" s="286">
        <v>0</v>
      </c>
      <c r="AF162" s="286">
        <v>0</v>
      </c>
      <c r="AG162" s="286"/>
      <c r="AH162" s="286">
        <v>0</v>
      </c>
      <c r="AI162" s="286">
        <v>0</v>
      </c>
      <c r="AJ162" s="286"/>
      <c r="AK162" s="286">
        <v>0</v>
      </c>
      <c r="AL162" s="286">
        <v>0</v>
      </c>
      <c r="AM162" s="286"/>
      <c r="AN162" s="286">
        <v>12</v>
      </c>
      <c r="AO162" s="286">
        <v>33</v>
      </c>
      <c r="AP162" s="286"/>
      <c r="AQ162" s="286">
        <v>0</v>
      </c>
      <c r="AR162" s="286">
        <v>0</v>
      </c>
      <c r="AS162" s="286"/>
      <c r="AT162" s="286">
        <v>17</v>
      </c>
      <c r="AU162" s="286">
        <v>21</v>
      </c>
      <c r="AV162" s="286"/>
      <c r="AW162" s="286">
        <v>0</v>
      </c>
      <c r="AX162" s="286">
        <v>0</v>
      </c>
      <c r="AY162" s="286"/>
      <c r="AZ162" s="286">
        <v>0</v>
      </c>
      <c r="BA162" s="286">
        <v>0</v>
      </c>
      <c r="BB162" s="286"/>
      <c r="BC162" s="286">
        <v>0</v>
      </c>
      <c r="BD162" s="286">
        <v>0</v>
      </c>
      <c r="BE162" s="286"/>
      <c r="BF162" s="286">
        <v>0</v>
      </c>
      <c r="BG162" s="286">
        <v>0</v>
      </c>
      <c r="BH162" s="286"/>
      <c r="BI162" s="286">
        <v>54</v>
      </c>
      <c r="BJ162" s="286">
        <v>40</v>
      </c>
      <c r="BK162" s="286"/>
      <c r="BL162" s="286">
        <v>2</v>
      </c>
      <c r="BM162" s="286">
        <v>2</v>
      </c>
      <c r="BN162" s="286"/>
      <c r="BO162" s="286">
        <v>0</v>
      </c>
      <c r="BP162" s="286">
        <v>0</v>
      </c>
      <c r="BQ162" s="286"/>
      <c r="BR162" s="286">
        <v>0</v>
      </c>
      <c r="BS162" s="286">
        <v>0</v>
      </c>
      <c r="BT162" s="286"/>
      <c r="BU162" s="286">
        <v>6</v>
      </c>
      <c r="BV162" s="286">
        <v>3</v>
      </c>
      <c r="BW162" s="286"/>
      <c r="BX162" s="286">
        <v>0</v>
      </c>
      <c r="BY162" s="286">
        <v>0</v>
      </c>
      <c r="BZ162" s="286"/>
      <c r="CA162" s="286">
        <v>0</v>
      </c>
      <c r="CB162" s="286">
        <v>0</v>
      </c>
      <c r="CC162" s="286"/>
      <c r="CD162" s="286">
        <v>0</v>
      </c>
      <c r="CE162" s="286">
        <v>0</v>
      </c>
      <c r="CF162" s="286"/>
      <c r="CG162" s="286">
        <v>0</v>
      </c>
      <c r="CH162" s="286">
        <v>0</v>
      </c>
    </row>
    <row r="163" spans="1:89" ht="45" x14ac:dyDescent="0.25">
      <c r="A163" s="107"/>
      <c r="B163" s="300"/>
      <c r="C163" s="95" t="s">
        <v>2770</v>
      </c>
      <c r="D163" s="95" t="s">
        <v>950</v>
      </c>
      <c r="E163" s="95"/>
      <c r="F163" s="291"/>
      <c r="G163" s="291"/>
      <c r="H163" s="291"/>
      <c r="I163" s="291"/>
      <c r="J163" s="282"/>
      <c r="K163" s="282"/>
      <c r="L163" s="282"/>
      <c r="M163" s="282"/>
      <c r="N163" s="282"/>
      <c r="O163" s="282"/>
      <c r="P163" s="281"/>
      <c r="Q163" s="286">
        <f t="shared" si="57"/>
        <v>24</v>
      </c>
      <c r="R163" s="286">
        <f t="shared" si="57"/>
        <v>15</v>
      </c>
      <c r="S163" s="286">
        <v>0</v>
      </c>
      <c r="T163" s="286">
        <v>0</v>
      </c>
      <c r="U163" s="286"/>
      <c r="V163" s="286">
        <v>0</v>
      </c>
      <c r="W163" s="286">
        <v>0</v>
      </c>
      <c r="X163" s="286"/>
      <c r="Y163" s="286">
        <v>0</v>
      </c>
      <c r="Z163" s="286">
        <v>0</v>
      </c>
      <c r="AA163" s="286"/>
      <c r="AB163" s="286">
        <v>0</v>
      </c>
      <c r="AC163" s="286">
        <v>0</v>
      </c>
      <c r="AD163" s="286"/>
      <c r="AE163" s="286">
        <v>0</v>
      </c>
      <c r="AF163" s="286">
        <v>0</v>
      </c>
      <c r="AG163" s="286"/>
      <c r="AH163" s="286">
        <v>0</v>
      </c>
      <c r="AI163" s="286">
        <v>0</v>
      </c>
      <c r="AJ163" s="286"/>
      <c r="AK163" s="286">
        <v>0</v>
      </c>
      <c r="AL163" s="286">
        <v>0</v>
      </c>
      <c r="AM163" s="286"/>
      <c r="AN163" s="286">
        <v>4</v>
      </c>
      <c r="AO163" s="286">
        <v>5</v>
      </c>
      <c r="AP163" s="286"/>
      <c r="AQ163" s="286">
        <v>0</v>
      </c>
      <c r="AR163" s="286">
        <v>0</v>
      </c>
      <c r="AS163" s="286"/>
      <c r="AT163" s="286">
        <v>3</v>
      </c>
      <c r="AU163" s="286">
        <v>3</v>
      </c>
      <c r="AV163" s="286"/>
      <c r="AW163" s="286">
        <v>0</v>
      </c>
      <c r="AX163" s="286">
        <v>0</v>
      </c>
      <c r="AY163" s="286"/>
      <c r="AZ163" s="286">
        <v>0</v>
      </c>
      <c r="BA163" s="286">
        <v>0</v>
      </c>
      <c r="BB163" s="286"/>
      <c r="BC163" s="286">
        <v>0</v>
      </c>
      <c r="BD163" s="286">
        <v>0</v>
      </c>
      <c r="BE163" s="286"/>
      <c r="BF163" s="286">
        <v>0</v>
      </c>
      <c r="BG163" s="286">
        <v>0</v>
      </c>
      <c r="BH163" s="286"/>
      <c r="BI163" s="286">
        <v>15</v>
      </c>
      <c r="BJ163" s="286">
        <v>7</v>
      </c>
      <c r="BK163" s="286"/>
      <c r="BL163" s="286">
        <v>0</v>
      </c>
      <c r="BM163" s="286">
        <v>0</v>
      </c>
      <c r="BN163" s="286"/>
      <c r="BO163" s="286">
        <v>0</v>
      </c>
      <c r="BP163" s="286">
        <v>0</v>
      </c>
      <c r="BQ163" s="286"/>
      <c r="BR163" s="286">
        <v>0</v>
      </c>
      <c r="BS163" s="286">
        <v>0</v>
      </c>
      <c r="BT163" s="286"/>
      <c r="BU163" s="286">
        <v>2</v>
      </c>
      <c r="BV163" s="286">
        <v>0</v>
      </c>
      <c r="BW163" s="286"/>
      <c r="BX163" s="286">
        <v>0</v>
      </c>
      <c r="BY163" s="286">
        <v>0</v>
      </c>
      <c r="BZ163" s="286"/>
      <c r="CA163" s="286">
        <v>0</v>
      </c>
      <c r="CB163" s="286">
        <v>0</v>
      </c>
      <c r="CC163" s="286"/>
      <c r="CD163" s="286">
        <v>0</v>
      </c>
      <c r="CE163" s="286">
        <v>0</v>
      </c>
      <c r="CF163" s="286"/>
      <c r="CG163" s="286">
        <v>0</v>
      </c>
      <c r="CH163" s="286">
        <v>0</v>
      </c>
    </row>
    <row r="164" spans="1:89" ht="45" x14ac:dyDescent="0.25">
      <c r="A164" s="107"/>
      <c r="B164" s="300" t="s">
        <v>1919</v>
      </c>
      <c r="C164" s="95" t="s">
        <v>2771</v>
      </c>
      <c r="D164" s="95" t="s">
        <v>950</v>
      </c>
      <c r="E164" s="95"/>
      <c r="F164" s="291"/>
      <c r="G164" s="291"/>
      <c r="H164" s="291"/>
      <c r="I164" s="291"/>
      <c r="J164" s="282"/>
      <c r="K164" s="282"/>
      <c r="L164" s="282"/>
      <c r="M164" s="282"/>
      <c r="N164" s="282"/>
      <c r="O164" s="282"/>
      <c r="P164" s="281"/>
      <c r="Q164" s="286">
        <f t="shared" si="57"/>
        <v>137</v>
      </c>
      <c r="R164" s="286">
        <f t="shared" si="57"/>
        <v>152</v>
      </c>
      <c r="S164" s="286">
        <v>0</v>
      </c>
      <c r="T164" s="286">
        <v>0</v>
      </c>
      <c r="U164" s="286"/>
      <c r="V164" s="286">
        <v>0</v>
      </c>
      <c r="W164" s="286">
        <v>0</v>
      </c>
      <c r="X164" s="286"/>
      <c r="Y164" s="286">
        <v>0</v>
      </c>
      <c r="Z164" s="286">
        <v>0</v>
      </c>
      <c r="AA164" s="286"/>
      <c r="AB164" s="286">
        <v>0</v>
      </c>
      <c r="AC164" s="286">
        <v>0</v>
      </c>
      <c r="AD164" s="286"/>
      <c r="AE164" s="286">
        <v>0</v>
      </c>
      <c r="AF164" s="286">
        <v>0</v>
      </c>
      <c r="AG164" s="286"/>
      <c r="AH164" s="286">
        <v>0</v>
      </c>
      <c r="AI164" s="286">
        <v>0</v>
      </c>
      <c r="AJ164" s="286"/>
      <c r="AK164" s="286">
        <v>0</v>
      </c>
      <c r="AL164" s="286">
        <v>0</v>
      </c>
      <c r="AM164" s="286"/>
      <c r="AN164" s="286">
        <v>19</v>
      </c>
      <c r="AO164" s="286">
        <v>48</v>
      </c>
      <c r="AP164" s="286"/>
      <c r="AQ164" s="286">
        <v>0</v>
      </c>
      <c r="AR164" s="286">
        <v>0</v>
      </c>
      <c r="AS164" s="286"/>
      <c r="AT164" s="286">
        <v>29</v>
      </c>
      <c r="AU164" s="286">
        <v>32</v>
      </c>
      <c r="AV164" s="286"/>
      <c r="AW164" s="286">
        <v>0</v>
      </c>
      <c r="AX164" s="286">
        <v>0</v>
      </c>
      <c r="AY164" s="286"/>
      <c r="AZ164" s="286">
        <v>0</v>
      </c>
      <c r="BA164" s="286">
        <v>0</v>
      </c>
      <c r="BB164" s="286"/>
      <c r="BC164" s="286">
        <v>0</v>
      </c>
      <c r="BD164" s="286">
        <v>0</v>
      </c>
      <c r="BE164" s="286"/>
      <c r="BF164" s="286">
        <v>0</v>
      </c>
      <c r="BG164" s="286">
        <v>0</v>
      </c>
      <c r="BH164" s="286"/>
      <c r="BI164" s="286">
        <v>70</v>
      </c>
      <c r="BJ164" s="286">
        <v>59</v>
      </c>
      <c r="BK164" s="286"/>
      <c r="BL164" s="286">
        <v>8</v>
      </c>
      <c r="BM164" s="286">
        <v>9</v>
      </c>
      <c r="BN164" s="286"/>
      <c r="BO164" s="286">
        <v>0</v>
      </c>
      <c r="BP164" s="286">
        <v>0</v>
      </c>
      <c r="BQ164" s="286"/>
      <c r="BR164" s="286">
        <v>0</v>
      </c>
      <c r="BS164" s="286">
        <v>0</v>
      </c>
      <c r="BT164" s="286"/>
      <c r="BU164" s="286">
        <v>11</v>
      </c>
      <c r="BV164" s="286">
        <v>4</v>
      </c>
      <c r="BW164" s="286"/>
      <c r="BX164" s="286">
        <v>0</v>
      </c>
      <c r="BY164" s="286">
        <v>0</v>
      </c>
      <c r="BZ164" s="286"/>
      <c r="CA164" s="286">
        <v>0</v>
      </c>
      <c r="CB164" s="286">
        <v>0</v>
      </c>
      <c r="CC164" s="286"/>
      <c r="CD164" s="286">
        <v>0</v>
      </c>
      <c r="CE164" s="286">
        <v>0</v>
      </c>
      <c r="CF164" s="286"/>
      <c r="CG164" s="286">
        <v>0</v>
      </c>
      <c r="CH164" s="286">
        <v>0</v>
      </c>
    </row>
    <row r="165" spans="1:89" ht="45" x14ac:dyDescent="0.25">
      <c r="A165" s="107"/>
      <c r="B165" s="300"/>
      <c r="C165" s="95" t="s">
        <v>2772</v>
      </c>
      <c r="D165" s="95" t="s">
        <v>950</v>
      </c>
      <c r="E165" s="95"/>
      <c r="F165" s="291"/>
      <c r="G165" s="291"/>
      <c r="H165" s="291"/>
      <c r="I165" s="291"/>
      <c r="J165" s="282"/>
      <c r="K165" s="282"/>
      <c r="L165" s="282"/>
      <c r="M165" s="282"/>
      <c r="N165" s="282"/>
      <c r="O165" s="282"/>
      <c r="P165" s="281"/>
      <c r="Q165" s="286">
        <f t="shared" si="57"/>
        <v>27</v>
      </c>
      <c r="R165" s="286">
        <f t="shared" si="57"/>
        <v>16</v>
      </c>
      <c r="S165" s="286">
        <v>0</v>
      </c>
      <c r="T165" s="286">
        <v>0</v>
      </c>
      <c r="U165" s="286"/>
      <c r="V165" s="286">
        <v>0</v>
      </c>
      <c r="W165" s="286">
        <v>0</v>
      </c>
      <c r="X165" s="286"/>
      <c r="Y165" s="286">
        <v>0</v>
      </c>
      <c r="Z165" s="286">
        <v>0</v>
      </c>
      <c r="AA165" s="286"/>
      <c r="AB165" s="286">
        <v>0</v>
      </c>
      <c r="AC165" s="286">
        <v>0</v>
      </c>
      <c r="AD165" s="286"/>
      <c r="AE165" s="286">
        <v>0</v>
      </c>
      <c r="AF165" s="286">
        <v>0</v>
      </c>
      <c r="AG165" s="286"/>
      <c r="AH165" s="286">
        <v>0</v>
      </c>
      <c r="AI165" s="286">
        <v>0</v>
      </c>
      <c r="AJ165" s="286"/>
      <c r="AK165" s="286">
        <v>0</v>
      </c>
      <c r="AL165" s="286">
        <v>0</v>
      </c>
      <c r="AM165" s="286"/>
      <c r="AN165" s="286">
        <v>4</v>
      </c>
      <c r="AO165" s="286">
        <v>5</v>
      </c>
      <c r="AP165" s="286"/>
      <c r="AQ165" s="286">
        <v>0</v>
      </c>
      <c r="AR165" s="286">
        <v>0</v>
      </c>
      <c r="AS165" s="286"/>
      <c r="AT165" s="286">
        <v>4</v>
      </c>
      <c r="AU165" s="286">
        <v>4</v>
      </c>
      <c r="AV165" s="286"/>
      <c r="AW165" s="286">
        <v>0</v>
      </c>
      <c r="AX165" s="286">
        <v>0</v>
      </c>
      <c r="AY165" s="286"/>
      <c r="AZ165" s="286">
        <v>0</v>
      </c>
      <c r="BA165" s="286">
        <v>0</v>
      </c>
      <c r="BB165" s="286"/>
      <c r="BC165" s="286">
        <v>0</v>
      </c>
      <c r="BD165" s="286">
        <v>0</v>
      </c>
      <c r="BE165" s="286"/>
      <c r="BF165" s="286">
        <v>0</v>
      </c>
      <c r="BG165" s="286">
        <v>0</v>
      </c>
      <c r="BH165" s="286"/>
      <c r="BI165" s="286">
        <v>15</v>
      </c>
      <c r="BJ165" s="286">
        <v>7</v>
      </c>
      <c r="BK165" s="286"/>
      <c r="BL165" s="286">
        <v>0</v>
      </c>
      <c r="BM165" s="286">
        <v>0</v>
      </c>
      <c r="BN165" s="286"/>
      <c r="BO165" s="286">
        <v>0</v>
      </c>
      <c r="BP165" s="286">
        <v>0</v>
      </c>
      <c r="BQ165" s="286"/>
      <c r="BR165" s="286">
        <v>0</v>
      </c>
      <c r="BS165" s="286">
        <v>0</v>
      </c>
      <c r="BT165" s="286"/>
      <c r="BU165" s="286">
        <v>4</v>
      </c>
      <c r="BV165" s="286">
        <v>0</v>
      </c>
      <c r="BW165" s="286"/>
      <c r="BX165" s="286">
        <v>0</v>
      </c>
      <c r="BY165" s="286">
        <v>0</v>
      </c>
      <c r="BZ165" s="286"/>
      <c r="CA165" s="286">
        <v>0</v>
      </c>
      <c r="CB165" s="286">
        <v>0</v>
      </c>
      <c r="CC165" s="286"/>
      <c r="CD165" s="286">
        <v>0</v>
      </c>
      <c r="CE165" s="286">
        <v>0</v>
      </c>
      <c r="CF165" s="286"/>
      <c r="CG165" s="286">
        <v>0</v>
      </c>
      <c r="CH165" s="286">
        <v>0</v>
      </c>
    </row>
    <row r="166" spans="1:89" x14ac:dyDescent="0.25">
      <c r="A166" s="107"/>
      <c r="B166" s="300" t="s">
        <v>1919</v>
      </c>
      <c r="C166" s="95"/>
      <c r="D166" s="95"/>
      <c r="E166" s="95"/>
      <c r="F166" s="291"/>
      <c r="G166" s="291"/>
      <c r="H166" s="291"/>
      <c r="I166" s="291"/>
      <c r="J166" s="282"/>
      <c r="K166" s="282"/>
      <c r="L166" s="282"/>
      <c r="M166" s="282"/>
      <c r="N166" s="282"/>
      <c r="O166" s="282"/>
      <c r="P166" s="281"/>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c r="CG166" s="286"/>
      <c r="CH166" s="286"/>
    </row>
    <row r="167" spans="1:89" x14ac:dyDescent="0.25">
      <c r="A167" s="107"/>
      <c r="B167" s="300" t="s">
        <v>1874</v>
      </c>
      <c r="C167" s="95"/>
      <c r="D167" s="95"/>
      <c r="E167" s="95"/>
      <c r="F167" s="291"/>
      <c r="G167" s="291"/>
      <c r="H167" s="291"/>
      <c r="I167" s="291"/>
      <c r="J167" s="282"/>
      <c r="K167" s="282"/>
      <c r="L167" s="282"/>
      <c r="M167" s="282"/>
      <c r="N167" s="282"/>
      <c r="O167" s="282"/>
      <c r="P167" s="281"/>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row>
    <row r="168" spans="1:89" ht="45" x14ac:dyDescent="0.25">
      <c r="A168" s="107"/>
      <c r="B168" s="300" t="s">
        <v>1841</v>
      </c>
      <c r="C168" s="95" t="s">
        <v>2446</v>
      </c>
      <c r="D168" s="95" t="s">
        <v>950</v>
      </c>
      <c r="E168" s="95"/>
      <c r="F168" s="291"/>
      <c r="G168" s="291"/>
      <c r="H168" s="291"/>
      <c r="I168" s="291"/>
      <c r="J168" s="282"/>
      <c r="K168" s="282"/>
      <c r="L168" s="282"/>
      <c r="M168" s="282"/>
      <c r="N168" s="282"/>
      <c r="O168" s="282"/>
      <c r="P168" s="281"/>
      <c r="Q168" s="286">
        <f>S168+V168+Y168+AB168+AE168+AH168+AK168+AN168+AQ168+AT168+AW168+AZ168+BC168+BF168+BI168+BL168+BO168+BR168+BU168+BX168+CA168+CD168+CG168</f>
        <v>24</v>
      </c>
      <c r="R168" s="286">
        <f>T168+W168+Z168+AC168+AF168+AI168+AL168+AO168+AR168+AU168+AX168+BA168+BD168+BG168+BJ168+BM168+BP168+BS168+BV168+BY168+CB168+CE168+CH168</f>
        <v>15</v>
      </c>
      <c r="S168" s="286">
        <f>S163</f>
        <v>0</v>
      </c>
      <c r="T168" s="286">
        <f>T163</f>
        <v>0</v>
      </c>
      <c r="U168" s="286"/>
      <c r="V168" s="286">
        <f>V163</f>
        <v>0</v>
      </c>
      <c r="W168" s="286">
        <f>W163</f>
        <v>0</v>
      </c>
      <c r="X168" s="286"/>
      <c r="Y168" s="286">
        <f>Y163</f>
        <v>0</v>
      </c>
      <c r="Z168" s="286">
        <f>Z163</f>
        <v>0</v>
      </c>
      <c r="AA168" s="286"/>
      <c r="AB168" s="286">
        <f>AB163</f>
        <v>0</v>
      </c>
      <c r="AC168" s="286">
        <f>AC163</f>
        <v>0</v>
      </c>
      <c r="AD168" s="286"/>
      <c r="AE168" s="286">
        <f>AE163</f>
        <v>0</v>
      </c>
      <c r="AF168" s="286">
        <f>AF163</f>
        <v>0</v>
      </c>
      <c r="AG168" s="286"/>
      <c r="AH168" s="286">
        <f>AH163</f>
        <v>0</v>
      </c>
      <c r="AI168" s="286">
        <f>AI163</f>
        <v>0</v>
      </c>
      <c r="AJ168" s="286"/>
      <c r="AK168" s="286">
        <f>AK163</f>
        <v>0</v>
      </c>
      <c r="AL168" s="286">
        <f>AL163</f>
        <v>0</v>
      </c>
      <c r="AM168" s="286"/>
      <c r="AN168" s="286">
        <f>AN163</f>
        <v>4</v>
      </c>
      <c r="AO168" s="286">
        <f>AO163</f>
        <v>5</v>
      </c>
      <c r="AP168" s="286"/>
      <c r="AQ168" s="286">
        <f>AQ163</f>
        <v>0</v>
      </c>
      <c r="AR168" s="286">
        <f>AR163</f>
        <v>0</v>
      </c>
      <c r="AS168" s="286"/>
      <c r="AT168" s="286">
        <f>AT163</f>
        <v>3</v>
      </c>
      <c r="AU168" s="286">
        <f>AU163</f>
        <v>3</v>
      </c>
      <c r="AV168" s="286"/>
      <c r="AW168" s="286">
        <f>AW163</f>
        <v>0</v>
      </c>
      <c r="AX168" s="286">
        <f>AX163</f>
        <v>0</v>
      </c>
      <c r="AY168" s="286"/>
      <c r="AZ168" s="286">
        <f>AZ163</f>
        <v>0</v>
      </c>
      <c r="BA168" s="286">
        <f>BA163</f>
        <v>0</v>
      </c>
      <c r="BB168" s="286"/>
      <c r="BC168" s="286">
        <f>BC163</f>
        <v>0</v>
      </c>
      <c r="BD168" s="286">
        <f>BD163</f>
        <v>0</v>
      </c>
      <c r="BE168" s="286"/>
      <c r="BF168" s="286">
        <f>BF163</f>
        <v>0</v>
      </c>
      <c r="BG168" s="286">
        <f>BG163</f>
        <v>0</v>
      </c>
      <c r="BH168" s="286"/>
      <c r="BI168" s="286">
        <f>BI163</f>
        <v>15</v>
      </c>
      <c r="BJ168" s="286">
        <f>BJ163</f>
        <v>7</v>
      </c>
      <c r="BK168" s="286"/>
      <c r="BL168" s="286">
        <f>BL163</f>
        <v>0</v>
      </c>
      <c r="BM168" s="286">
        <f>BM163</f>
        <v>0</v>
      </c>
      <c r="BN168" s="286"/>
      <c r="BO168" s="286">
        <f>BO163</f>
        <v>0</v>
      </c>
      <c r="BP168" s="286">
        <f>BP163</f>
        <v>0</v>
      </c>
      <c r="BQ168" s="286"/>
      <c r="BR168" s="286">
        <f>BR163</f>
        <v>0</v>
      </c>
      <c r="BS168" s="286">
        <f>BS163</f>
        <v>0</v>
      </c>
      <c r="BT168" s="286"/>
      <c r="BU168" s="286">
        <f>BU163</f>
        <v>2</v>
      </c>
      <c r="BV168" s="286">
        <f>BV163</f>
        <v>0</v>
      </c>
      <c r="BW168" s="286"/>
      <c r="BX168" s="286">
        <f>BX163</f>
        <v>0</v>
      </c>
      <c r="BY168" s="286">
        <f>BY163</f>
        <v>0</v>
      </c>
      <c r="BZ168" s="286"/>
      <c r="CA168" s="286">
        <f>CA163</f>
        <v>0</v>
      </c>
      <c r="CB168" s="286">
        <f>CB163</f>
        <v>0</v>
      </c>
      <c r="CC168" s="286"/>
      <c r="CD168" s="286">
        <f>CD163</f>
        <v>0</v>
      </c>
      <c r="CE168" s="286">
        <f>CE163</f>
        <v>0</v>
      </c>
      <c r="CF168" s="286"/>
      <c r="CG168" s="286">
        <f>CG163</f>
        <v>0</v>
      </c>
      <c r="CH168" s="286">
        <f>CH163</f>
        <v>0</v>
      </c>
    </row>
    <row r="169" spans="1:89" ht="45" x14ac:dyDescent="0.25">
      <c r="A169" s="107"/>
      <c r="B169" s="300" t="s">
        <v>1919</v>
      </c>
      <c r="C169" s="95" t="s">
        <v>2447</v>
      </c>
      <c r="D169" s="95" t="s">
        <v>950</v>
      </c>
      <c r="E169" s="95"/>
      <c r="F169" s="291"/>
      <c r="G169" s="291"/>
      <c r="H169" s="291"/>
      <c r="I169" s="291"/>
      <c r="J169" s="282"/>
      <c r="K169" s="282"/>
      <c r="L169" s="282"/>
      <c r="M169" s="282"/>
      <c r="N169" s="282"/>
      <c r="O169" s="282"/>
      <c r="P169" s="281"/>
      <c r="Q169" s="286">
        <f>S169+V169+Y169+AB169+AE169+AH169+AK169+AN169+AQ169+AT169+AW169+AZ169+BC169+BF169+BI169+BL169+BO169+BR169+BU169+BX169+CA169+CD169+CG169</f>
        <v>164</v>
      </c>
      <c r="R169" s="286">
        <f>R164+R165</f>
        <v>168</v>
      </c>
      <c r="S169" s="286">
        <f t="shared" ref="S169:T169" si="58">S164+S165</f>
        <v>0</v>
      </c>
      <c r="T169" s="286">
        <f t="shared" si="58"/>
        <v>0</v>
      </c>
      <c r="U169" s="286"/>
      <c r="V169" s="286">
        <f t="shared" ref="V169:W169" si="59">V164+V165</f>
        <v>0</v>
      </c>
      <c r="W169" s="286">
        <f t="shared" si="59"/>
        <v>0</v>
      </c>
      <c r="X169" s="286"/>
      <c r="Y169" s="286">
        <f t="shared" ref="Y169:Z169" si="60">Y164+Y165</f>
        <v>0</v>
      </c>
      <c r="Z169" s="286">
        <f t="shared" si="60"/>
        <v>0</v>
      </c>
      <c r="AA169" s="286"/>
      <c r="AB169" s="286">
        <f t="shared" ref="AB169:AC169" si="61">AB164+AB165</f>
        <v>0</v>
      </c>
      <c r="AC169" s="286">
        <f t="shared" si="61"/>
        <v>0</v>
      </c>
      <c r="AD169" s="286"/>
      <c r="AE169" s="286">
        <f t="shared" ref="AE169:AF169" si="62">AE164+AE165</f>
        <v>0</v>
      </c>
      <c r="AF169" s="286">
        <f t="shared" si="62"/>
        <v>0</v>
      </c>
      <c r="AG169" s="286"/>
      <c r="AH169" s="286">
        <f t="shared" ref="AH169:AI169" si="63">AH164+AH165</f>
        <v>0</v>
      </c>
      <c r="AI169" s="286">
        <f t="shared" si="63"/>
        <v>0</v>
      </c>
      <c r="AJ169" s="286"/>
      <c r="AK169" s="286">
        <f t="shared" ref="AK169:AL169" si="64">AK164+AK165</f>
        <v>0</v>
      </c>
      <c r="AL169" s="286">
        <f t="shared" si="64"/>
        <v>0</v>
      </c>
      <c r="AM169" s="286"/>
      <c r="AN169" s="286">
        <f t="shared" ref="AN169:AO169" si="65">AN164+AN165</f>
        <v>23</v>
      </c>
      <c r="AO169" s="286">
        <f t="shared" si="65"/>
        <v>53</v>
      </c>
      <c r="AP169" s="286"/>
      <c r="AQ169" s="286">
        <f t="shared" ref="AQ169:AR169" si="66">AQ164+AQ165</f>
        <v>0</v>
      </c>
      <c r="AR169" s="286">
        <f t="shared" si="66"/>
        <v>0</v>
      </c>
      <c r="AS169" s="286"/>
      <c r="AT169" s="286">
        <f t="shared" ref="AT169:AU169" si="67">AT164+AT165</f>
        <v>33</v>
      </c>
      <c r="AU169" s="286">
        <f t="shared" si="67"/>
        <v>36</v>
      </c>
      <c r="AV169" s="286"/>
      <c r="AW169" s="286">
        <f t="shared" ref="AW169:AX169" si="68">AW164+AW165</f>
        <v>0</v>
      </c>
      <c r="AX169" s="286">
        <f t="shared" si="68"/>
        <v>0</v>
      </c>
      <c r="AY169" s="286"/>
      <c r="AZ169" s="286">
        <f t="shared" ref="AZ169:BA169" si="69">AZ164+AZ165</f>
        <v>0</v>
      </c>
      <c r="BA169" s="286">
        <f t="shared" si="69"/>
        <v>0</v>
      </c>
      <c r="BB169" s="286"/>
      <c r="BC169" s="286">
        <f t="shared" ref="BC169:BD169" si="70">BC164+BC165</f>
        <v>0</v>
      </c>
      <c r="BD169" s="286">
        <f t="shared" si="70"/>
        <v>0</v>
      </c>
      <c r="BE169" s="286"/>
      <c r="BF169" s="286">
        <f t="shared" ref="BF169:BG169" si="71">BF164+BF165</f>
        <v>0</v>
      </c>
      <c r="BG169" s="286">
        <f t="shared" si="71"/>
        <v>0</v>
      </c>
      <c r="BH169" s="286"/>
      <c r="BI169" s="286">
        <f t="shared" ref="BI169:BJ169" si="72">BI164+BI165</f>
        <v>85</v>
      </c>
      <c r="BJ169" s="286">
        <f t="shared" si="72"/>
        <v>66</v>
      </c>
      <c r="BK169" s="286"/>
      <c r="BL169" s="286">
        <f t="shared" ref="BL169:BM169" si="73">BL164+BL165</f>
        <v>8</v>
      </c>
      <c r="BM169" s="286">
        <f t="shared" si="73"/>
        <v>9</v>
      </c>
      <c r="BN169" s="286"/>
      <c r="BO169" s="286">
        <f t="shared" ref="BO169:BP169" si="74">BO164+BO165</f>
        <v>0</v>
      </c>
      <c r="BP169" s="286">
        <f t="shared" si="74"/>
        <v>0</v>
      </c>
      <c r="BQ169" s="286"/>
      <c r="BR169" s="286">
        <f t="shared" ref="BR169:BS169" si="75">BR164+BR165</f>
        <v>0</v>
      </c>
      <c r="BS169" s="286">
        <f t="shared" si="75"/>
        <v>0</v>
      </c>
      <c r="BT169" s="286"/>
      <c r="BU169" s="286">
        <f t="shared" ref="BU169:BV169" si="76">BU164+BU165</f>
        <v>15</v>
      </c>
      <c r="BV169" s="286">
        <f t="shared" si="76"/>
        <v>4</v>
      </c>
      <c r="BW169" s="286"/>
      <c r="BX169" s="286">
        <f t="shared" ref="BX169:BY169" si="77">BX164+BX165</f>
        <v>0</v>
      </c>
      <c r="BY169" s="286">
        <f t="shared" si="77"/>
        <v>0</v>
      </c>
      <c r="BZ169" s="286"/>
      <c r="CA169" s="286">
        <f t="shared" ref="CA169:CB169" si="78">CA164+CA165</f>
        <v>0</v>
      </c>
      <c r="CB169" s="286">
        <f t="shared" si="78"/>
        <v>0</v>
      </c>
      <c r="CC169" s="286"/>
      <c r="CD169" s="286">
        <f>CD164+CD165</f>
        <v>0</v>
      </c>
      <c r="CE169" s="286">
        <f t="shared" ref="CE169" si="79">CE164+CE165</f>
        <v>0</v>
      </c>
      <c r="CF169" s="286"/>
      <c r="CG169" s="286">
        <f>CG164+CG165</f>
        <v>0</v>
      </c>
      <c r="CH169" s="286">
        <f t="shared" ref="CH169" si="80">CH164+CH165</f>
        <v>0</v>
      </c>
      <c r="CJ169" s="283"/>
      <c r="CK169" s="283"/>
    </row>
    <row r="170" spans="1:89" ht="30" x14ac:dyDescent="0.25">
      <c r="A170" s="101" t="s">
        <v>660</v>
      </c>
      <c r="B170" s="300" t="s">
        <v>1873</v>
      </c>
      <c r="C170" s="95"/>
      <c r="D170" s="95" t="s">
        <v>8</v>
      </c>
      <c r="E170" s="95"/>
      <c r="F170" s="291"/>
      <c r="G170" s="291"/>
      <c r="H170" s="291"/>
      <c r="I170" s="291"/>
      <c r="J170" s="291"/>
      <c r="K170" s="291"/>
      <c r="L170" s="291"/>
      <c r="M170" s="291"/>
      <c r="N170" s="291"/>
      <c r="O170" s="291"/>
      <c r="P170" s="281"/>
    </row>
    <row r="171" spans="1:89" x14ac:dyDescent="0.25">
      <c r="A171" s="101"/>
      <c r="B171" s="300" t="s">
        <v>1182</v>
      </c>
      <c r="C171" s="95"/>
      <c r="D171" s="95"/>
      <c r="E171" s="95"/>
      <c r="F171" s="291"/>
      <c r="G171" s="291"/>
      <c r="H171" s="291"/>
      <c r="I171" s="291"/>
      <c r="J171" s="291"/>
      <c r="K171" s="291"/>
      <c r="L171" s="291"/>
      <c r="M171" s="291"/>
      <c r="N171" s="291"/>
      <c r="O171" s="291"/>
      <c r="P171" s="281"/>
    </row>
    <row r="172" spans="1:89" x14ac:dyDescent="0.25">
      <c r="A172" s="101"/>
      <c r="B172" s="300" t="s">
        <v>1675</v>
      </c>
      <c r="C172" s="95"/>
      <c r="D172" s="95" t="s">
        <v>8</v>
      </c>
      <c r="E172" s="95"/>
      <c r="F172" s="291"/>
      <c r="G172" s="291"/>
      <c r="H172" s="291"/>
      <c r="I172" s="291"/>
      <c r="J172" s="279"/>
      <c r="K172" s="279"/>
      <c r="L172" s="279">
        <f>(L175+L176)/(L178+L179)*100</f>
        <v>26.036339897726034</v>
      </c>
      <c r="M172" s="279">
        <f>(M175+M176)/(M178+M179)*100</f>
        <v>65.384615384615387</v>
      </c>
      <c r="N172" s="279">
        <f>(N175+N176)/(N178+N179)*100</f>
        <v>65.384615384615387</v>
      </c>
      <c r="O172" s="279">
        <f>(O175+O176)/(O178+O179)*100</f>
        <v>55.932203389830505</v>
      </c>
      <c r="P172" s="281"/>
    </row>
    <row r="173" spans="1:89" x14ac:dyDescent="0.25">
      <c r="A173" s="101"/>
      <c r="B173" s="300" t="s">
        <v>1874</v>
      </c>
      <c r="C173" s="95"/>
      <c r="D173" s="95" t="s">
        <v>8</v>
      </c>
      <c r="E173" s="95"/>
      <c r="F173" s="291"/>
      <c r="G173" s="291"/>
      <c r="H173" s="291"/>
      <c r="I173" s="291"/>
      <c r="J173" s="279"/>
      <c r="K173" s="279"/>
      <c r="L173" s="279">
        <f>L176/(L178+L179)*100</f>
        <v>4.3738439778043734</v>
      </c>
      <c r="M173" s="279">
        <f>M176/(M178+M179)*100</f>
        <v>19.230769230769234</v>
      </c>
      <c r="N173" s="279">
        <f>N176/(N178+N179)*100</f>
        <v>15.384615384615385</v>
      </c>
      <c r="O173" s="279">
        <f>O176/(O178+O179)*100</f>
        <v>10.16949152542373</v>
      </c>
      <c r="P173" s="281"/>
    </row>
    <row r="174" spans="1:89" x14ac:dyDescent="0.25">
      <c r="A174" s="101"/>
      <c r="B174" s="300" t="s">
        <v>1841</v>
      </c>
      <c r="C174" s="95"/>
      <c r="D174" s="95"/>
      <c r="E174" s="95"/>
      <c r="F174" s="291"/>
      <c r="G174" s="291"/>
      <c r="H174" s="291"/>
      <c r="I174" s="291"/>
      <c r="J174" s="279"/>
      <c r="K174" s="279"/>
      <c r="L174" s="279"/>
      <c r="M174" s="279"/>
      <c r="N174" s="279"/>
      <c r="O174" s="279"/>
      <c r="P174" s="281"/>
    </row>
    <row r="175" spans="1:89" x14ac:dyDescent="0.25">
      <c r="A175" s="101"/>
      <c r="B175" s="300" t="s">
        <v>1675</v>
      </c>
      <c r="C175" s="95" t="s">
        <v>2328</v>
      </c>
      <c r="D175" s="95"/>
      <c r="E175" s="95"/>
      <c r="F175" s="291"/>
      <c r="G175" s="291"/>
      <c r="H175" s="291"/>
      <c r="I175" s="291"/>
      <c r="J175" s="279"/>
      <c r="K175" s="279"/>
      <c r="L175" s="282">
        <v>3982</v>
      </c>
      <c r="M175" s="282">
        <v>36</v>
      </c>
      <c r="N175" s="282">
        <v>39</v>
      </c>
      <c r="O175" s="282">
        <v>27</v>
      </c>
      <c r="P175" s="281"/>
    </row>
    <row r="176" spans="1:89" x14ac:dyDescent="0.25">
      <c r="A176" s="101"/>
      <c r="B176" s="300" t="s">
        <v>1874</v>
      </c>
      <c r="C176" s="95" t="s">
        <v>2328</v>
      </c>
      <c r="D176" s="95"/>
      <c r="E176" s="95"/>
      <c r="F176" s="291"/>
      <c r="G176" s="291"/>
      <c r="H176" s="291"/>
      <c r="I176" s="291"/>
      <c r="J176" s="279"/>
      <c r="K176" s="279"/>
      <c r="L176" s="282">
        <v>804</v>
      </c>
      <c r="M176" s="282">
        <v>15</v>
      </c>
      <c r="N176" s="282">
        <v>12</v>
      </c>
      <c r="O176" s="282">
        <v>6</v>
      </c>
      <c r="P176" s="281"/>
    </row>
    <row r="177" spans="1:16" x14ac:dyDescent="0.25">
      <c r="A177" s="101"/>
      <c r="B177" s="300" t="s">
        <v>1919</v>
      </c>
      <c r="C177" s="95"/>
      <c r="D177" s="95"/>
      <c r="E177" s="95"/>
      <c r="F177" s="291"/>
      <c r="G177" s="291"/>
      <c r="H177" s="291"/>
      <c r="I177" s="291"/>
      <c r="J177" s="279"/>
      <c r="K177" s="279"/>
      <c r="L177" s="282"/>
      <c r="M177" s="282"/>
      <c r="N177" s="282"/>
      <c r="O177" s="282"/>
      <c r="P177" s="281"/>
    </row>
    <row r="178" spans="1:16" x14ac:dyDescent="0.25">
      <c r="A178" s="101"/>
      <c r="B178" s="300" t="s">
        <v>1675</v>
      </c>
      <c r="C178" s="95" t="s">
        <v>2328</v>
      </c>
      <c r="D178" s="95"/>
      <c r="E178" s="95"/>
      <c r="F178" s="291"/>
      <c r="G178" s="291"/>
      <c r="H178" s="291"/>
      <c r="I178" s="291"/>
      <c r="J178" s="279"/>
      <c r="K178" s="279"/>
      <c r="L178" s="282">
        <v>17156</v>
      </c>
      <c r="M178" s="282">
        <v>60</v>
      </c>
      <c r="N178" s="282">
        <v>62</v>
      </c>
      <c r="O178" s="282">
        <v>50</v>
      </c>
      <c r="P178" s="281"/>
    </row>
    <row r="179" spans="1:16" x14ac:dyDescent="0.25">
      <c r="A179" s="101"/>
      <c r="B179" s="300" t="s">
        <v>1874</v>
      </c>
      <c r="C179" s="95" t="s">
        <v>2328</v>
      </c>
      <c r="D179" s="95"/>
      <c r="E179" s="95"/>
      <c r="F179" s="291"/>
      <c r="G179" s="291"/>
      <c r="H179" s="291"/>
      <c r="I179" s="291"/>
      <c r="J179" s="279"/>
      <c r="K179" s="279"/>
      <c r="L179" s="282">
        <v>1226</v>
      </c>
      <c r="M179" s="282">
        <v>18</v>
      </c>
      <c r="N179" s="282">
        <v>16</v>
      </c>
      <c r="O179" s="282">
        <v>9</v>
      </c>
      <c r="P179" s="281"/>
    </row>
    <row r="180" spans="1:16" ht="120" x14ac:dyDescent="0.25">
      <c r="A180" s="101" t="s">
        <v>662</v>
      </c>
      <c r="B180" s="300" t="s">
        <v>1875</v>
      </c>
      <c r="C180" s="95"/>
      <c r="D180" s="95"/>
      <c r="E180" s="95"/>
      <c r="F180" s="291"/>
      <c r="G180" s="291"/>
      <c r="H180" s="291"/>
      <c r="I180" s="291"/>
      <c r="J180" s="291"/>
      <c r="K180" s="279">
        <v>93.44</v>
      </c>
      <c r="L180" s="279">
        <v>92.39</v>
      </c>
      <c r="M180" s="279"/>
      <c r="N180" s="279"/>
      <c r="O180" s="279"/>
      <c r="P180" s="281"/>
    </row>
    <row r="181" spans="1:16" x14ac:dyDescent="0.25">
      <c r="A181" s="101"/>
      <c r="B181" s="300" t="s">
        <v>1182</v>
      </c>
      <c r="C181" s="95"/>
      <c r="D181" s="95"/>
      <c r="E181" s="95"/>
      <c r="F181" s="291"/>
      <c r="G181" s="291"/>
      <c r="H181" s="291"/>
      <c r="I181" s="291"/>
      <c r="J181" s="291"/>
      <c r="K181" s="291"/>
      <c r="L181" s="291"/>
      <c r="M181" s="291"/>
      <c r="N181" s="291"/>
      <c r="O181" s="291"/>
      <c r="P181" s="281"/>
    </row>
    <row r="182" spans="1:16" ht="45" x14ac:dyDescent="0.25">
      <c r="A182" s="101"/>
      <c r="B182" s="300" t="s">
        <v>2325</v>
      </c>
      <c r="C182" s="95"/>
      <c r="D182" s="95" t="s">
        <v>8</v>
      </c>
      <c r="E182" s="95"/>
      <c r="F182" s="291"/>
      <c r="G182" s="291"/>
      <c r="H182" s="291"/>
      <c r="I182" s="291"/>
      <c r="J182" s="279">
        <v>100</v>
      </c>
      <c r="K182" s="279"/>
      <c r="L182" s="279"/>
      <c r="M182" s="279"/>
      <c r="N182" s="279"/>
      <c r="O182" s="279"/>
      <c r="P182" s="281"/>
    </row>
    <row r="183" spans="1:16" x14ac:dyDescent="0.25">
      <c r="A183" s="101"/>
      <c r="B183" s="300" t="s">
        <v>2326</v>
      </c>
      <c r="C183" s="95"/>
      <c r="D183" s="95" t="s">
        <v>8</v>
      </c>
      <c r="E183" s="95"/>
      <c r="F183" s="291"/>
      <c r="G183" s="291"/>
      <c r="H183" s="291"/>
      <c r="I183" s="291"/>
      <c r="J183" s="279">
        <v>85.92</v>
      </c>
      <c r="K183" s="279"/>
      <c r="L183" s="279"/>
      <c r="M183" s="279">
        <v>100</v>
      </c>
      <c r="N183" s="279">
        <v>100</v>
      </c>
      <c r="O183" s="279">
        <v>100</v>
      </c>
      <c r="P183" s="281"/>
    </row>
    <row r="184" spans="1:16" x14ac:dyDescent="0.25">
      <c r="A184" s="101"/>
      <c r="B184" s="300" t="s">
        <v>1184</v>
      </c>
      <c r="C184" s="95"/>
      <c r="D184" s="95"/>
      <c r="E184" s="95"/>
      <c r="F184" s="291"/>
      <c r="G184" s="291"/>
      <c r="H184" s="291"/>
      <c r="I184" s="291"/>
      <c r="J184" s="291"/>
      <c r="K184" s="291"/>
      <c r="L184" s="291"/>
      <c r="M184" s="291"/>
      <c r="N184" s="291"/>
      <c r="O184" s="291"/>
      <c r="P184" s="281"/>
    </row>
    <row r="185" spans="1:16" ht="45" x14ac:dyDescent="0.25">
      <c r="A185" s="101"/>
      <c r="B185" s="300" t="s">
        <v>2325</v>
      </c>
      <c r="C185" s="95"/>
      <c r="D185" s="95" t="s">
        <v>8</v>
      </c>
      <c r="E185" s="95"/>
      <c r="F185" s="291"/>
      <c r="G185" s="291"/>
      <c r="H185" s="291"/>
      <c r="I185" s="291"/>
      <c r="J185" s="279">
        <v>0</v>
      </c>
      <c r="K185" s="279"/>
      <c r="L185" s="279"/>
      <c r="M185" s="279"/>
      <c r="N185" s="279"/>
      <c r="O185" s="279"/>
      <c r="P185" s="281"/>
    </row>
    <row r="186" spans="1:16" x14ac:dyDescent="0.25">
      <c r="A186" s="101"/>
      <c r="B186" s="300" t="s">
        <v>2326</v>
      </c>
      <c r="C186" s="95"/>
      <c r="D186" s="95" t="s">
        <v>8</v>
      </c>
      <c r="E186" s="95"/>
      <c r="F186" s="291"/>
      <c r="G186" s="291"/>
      <c r="H186" s="291"/>
      <c r="I186" s="291"/>
      <c r="J186" s="279">
        <v>83.91</v>
      </c>
      <c r="K186" s="279"/>
      <c r="L186" s="279"/>
      <c r="M186" s="279"/>
      <c r="N186" s="279"/>
      <c r="O186" s="279"/>
      <c r="P186" s="281"/>
    </row>
    <row r="187" spans="1:16" x14ac:dyDescent="0.25">
      <c r="A187" s="107"/>
      <c r="B187" s="300"/>
      <c r="C187" s="95"/>
      <c r="D187" s="95"/>
      <c r="E187" s="95"/>
      <c r="F187" s="291"/>
      <c r="G187" s="291"/>
      <c r="H187" s="291"/>
      <c r="I187" s="291"/>
      <c r="J187" s="291"/>
      <c r="K187" s="291"/>
      <c r="L187" s="291"/>
      <c r="M187" s="291"/>
      <c r="N187" s="291"/>
      <c r="O187" s="291"/>
      <c r="P187" s="281"/>
    </row>
    <row r="188" spans="1:16" x14ac:dyDescent="0.25">
      <c r="A188" s="107"/>
      <c r="B188" s="300"/>
      <c r="C188" s="95"/>
      <c r="D188" s="95"/>
      <c r="E188" s="95"/>
      <c r="F188" s="291"/>
      <c r="G188" s="291"/>
      <c r="H188" s="291"/>
      <c r="I188" s="291"/>
      <c r="J188" s="291"/>
      <c r="K188" s="282"/>
      <c r="L188" s="291"/>
      <c r="M188" s="291"/>
      <c r="N188" s="291"/>
      <c r="O188" s="291"/>
      <c r="P188" s="281"/>
    </row>
    <row r="189" spans="1:16" ht="90" x14ac:dyDescent="0.25">
      <c r="A189" s="101" t="s">
        <v>664</v>
      </c>
      <c r="B189" s="300" t="s">
        <v>1885</v>
      </c>
      <c r="C189" s="95"/>
      <c r="D189" s="95" t="s">
        <v>8</v>
      </c>
      <c r="E189" s="95"/>
      <c r="F189" s="291"/>
      <c r="G189" s="291"/>
      <c r="H189" s="291"/>
      <c r="I189" s="291"/>
      <c r="J189" s="279">
        <f t="shared" ref="J189:N189" si="81">J190/J191*100</f>
        <v>28.00659802059382</v>
      </c>
      <c r="K189" s="279">
        <f t="shared" si="81"/>
        <v>28.342377898371979</v>
      </c>
      <c r="L189" s="279">
        <f t="shared" si="81"/>
        <v>28.302360622802613</v>
      </c>
      <c r="M189" s="279">
        <f t="shared" si="81"/>
        <v>30.555555555555557</v>
      </c>
      <c r="N189" s="279">
        <f t="shared" si="81"/>
        <v>28.205128205128204</v>
      </c>
      <c r="O189" s="279">
        <f>O190/O191*100</f>
        <v>14.814814814814813</v>
      </c>
      <c r="P189" s="281"/>
    </row>
    <row r="190" spans="1:16" x14ac:dyDescent="0.25">
      <c r="A190" s="107"/>
      <c r="B190" s="300" t="s">
        <v>1920</v>
      </c>
      <c r="C190" s="95" t="s">
        <v>2328</v>
      </c>
      <c r="D190" s="95" t="s">
        <v>950</v>
      </c>
      <c r="E190" s="95"/>
      <c r="F190" s="291"/>
      <c r="G190" s="291"/>
      <c r="H190" s="291"/>
      <c r="I190" s="291"/>
      <c r="J190" s="282">
        <v>5603</v>
      </c>
      <c r="K190" s="282">
        <v>1149</v>
      </c>
      <c r="L190" s="282">
        <v>1127</v>
      </c>
      <c r="M190" s="282">
        <v>11</v>
      </c>
      <c r="N190" s="282">
        <v>11</v>
      </c>
      <c r="O190" s="282">
        <v>4</v>
      </c>
      <c r="P190" s="281"/>
    </row>
    <row r="191" spans="1:16" x14ac:dyDescent="0.25">
      <c r="A191" s="107"/>
      <c r="B191" s="300" t="s">
        <v>1841</v>
      </c>
      <c r="C191" s="95" t="s">
        <v>2327</v>
      </c>
      <c r="D191" s="95" t="s">
        <v>950</v>
      </c>
      <c r="E191" s="95"/>
      <c r="F191" s="291"/>
      <c r="G191" s="291"/>
      <c r="H191" s="291"/>
      <c r="I191" s="291"/>
      <c r="J191" s="282">
        <v>20006</v>
      </c>
      <c r="K191" s="282">
        <v>4054</v>
      </c>
      <c r="L191" s="282">
        <f>L175</f>
        <v>3982</v>
      </c>
      <c r="M191" s="282">
        <f>M175</f>
        <v>36</v>
      </c>
      <c r="N191" s="282">
        <f>N175</f>
        <v>39</v>
      </c>
      <c r="O191" s="282">
        <f>O175</f>
        <v>27</v>
      </c>
      <c r="P191" s="281"/>
    </row>
    <row r="192" spans="1:16" ht="45" x14ac:dyDescent="0.25">
      <c r="A192" s="105" t="s">
        <v>682</v>
      </c>
      <c r="B192" s="106" t="s">
        <v>1886</v>
      </c>
      <c r="C192" s="107"/>
      <c r="D192" s="95"/>
      <c r="E192" s="95"/>
      <c r="F192" s="107"/>
      <c r="G192" s="107"/>
      <c r="H192" s="107"/>
      <c r="I192" s="107"/>
      <c r="J192" s="107"/>
      <c r="K192" s="107"/>
      <c r="L192" s="107"/>
      <c r="M192" s="107"/>
      <c r="N192" s="107"/>
      <c r="O192" s="107"/>
    </row>
    <row r="193" spans="1:86" ht="30" x14ac:dyDescent="0.25">
      <c r="A193" s="95" t="s">
        <v>684</v>
      </c>
      <c r="B193" s="16" t="s">
        <v>1887</v>
      </c>
      <c r="C193" s="107"/>
      <c r="D193" s="95" t="s">
        <v>1111</v>
      </c>
      <c r="E193" s="95"/>
      <c r="F193" s="279">
        <f>F196/F198</f>
        <v>1.3109382251642687</v>
      </c>
      <c r="G193" s="279">
        <v>3.4</v>
      </c>
      <c r="H193" s="279">
        <f>(H196+H197)/H198</f>
        <v>4.0405409979218421</v>
      </c>
      <c r="I193" s="279">
        <f>(I196+I197)/I198</f>
        <v>4.1338554959077705</v>
      </c>
      <c r="J193" s="279"/>
      <c r="K193" s="279"/>
      <c r="L193" s="279"/>
      <c r="M193" s="279"/>
      <c r="N193" s="279"/>
      <c r="O193" s="279"/>
      <c r="P193" s="281" t="s">
        <v>23</v>
      </c>
    </row>
    <row r="194" spans="1:86" x14ac:dyDescent="0.25">
      <c r="A194" s="95"/>
      <c r="B194" s="16" t="s">
        <v>1182</v>
      </c>
      <c r="C194" s="16"/>
      <c r="D194" s="95"/>
      <c r="E194" s="95"/>
      <c r="F194" s="279"/>
      <c r="G194" s="279"/>
      <c r="H194" s="279"/>
      <c r="I194" s="279"/>
      <c r="J194" s="279">
        <f>(J196+J197)/J198</f>
        <v>3.4799560325876113</v>
      </c>
      <c r="K194" s="279">
        <f>(K196+K197)/K198</f>
        <v>2.8074988530675231</v>
      </c>
      <c r="L194" s="279">
        <f>(L196+L197)/(L198+L199)</f>
        <v>2.3430292738152998</v>
      </c>
      <c r="M194" s="279">
        <f>(M196+M197)/(M198+M199)</f>
        <v>0.43171883196362998</v>
      </c>
      <c r="N194" s="279">
        <f>(N196+N197)/(N198+N199)</f>
        <v>0.44915408404584317</v>
      </c>
      <c r="O194" s="279">
        <f>(O196+O197)/(O198+O199)</f>
        <v>0.51170984455958546</v>
      </c>
      <c r="P194" s="281"/>
      <c r="Q194" s="279">
        <f>(Q196+Q197)/(Q198+Q199)</f>
        <v>2.3430050137473719</v>
      </c>
      <c r="R194" s="279">
        <f>(R196+R197)/(R198+R199)</f>
        <v>1.7888838040634472</v>
      </c>
      <c r="S194" s="279">
        <f>(S196+S197)/(S198+S199)</f>
        <v>1.8343741515069236</v>
      </c>
      <c r="T194" s="279">
        <f>(T196+T197)/(T198+T199)</f>
        <v>1.9147982062780269</v>
      </c>
      <c r="V194" s="279">
        <f>(V196+V197)/(V198+V199)</f>
        <v>3.2261960055736183</v>
      </c>
      <c r="W194" s="279">
        <f>(W196+W197)/(W198+W199)</f>
        <v>2.6104672897196264</v>
      </c>
      <c r="Y194" s="279">
        <f>(Y196+Y197)/(Y198+Y199)</f>
        <v>6.2910447761194028</v>
      </c>
      <c r="Z194" s="279">
        <f>(Z196+Z197)/(Z198+Z199)</f>
        <v>4.821005081874647</v>
      </c>
      <c r="AB194" s="279">
        <f>(AB196+AB197)/(AB198+AB199)</f>
        <v>1.9298206278026906</v>
      </c>
      <c r="AC194" s="279">
        <f>(AC196+AC197)/(AC198+AC199)</f>
        <v>1.1464413722478239</v>
      </c>
      <c r="AE194" s="279">
        <f>(AE196+AE197)/(AE198+AE199)</f>
        <v>0.99529907602528778</v>
      </c>
      <c r="AF194" s="279">
        <f>(AF196+AF197)/(AF198+AF199)</f>
        <v>0.98444765111431776</v>
      </c>
      <c r="AH194" s="279">
        <f>(AH196+AH197)/(AH198+AH199)</f>
        <v>2.021324354657688</v>
      </c>
      <c r="AI194" s="279">
        <f>(AI196+AI197)/(AI198+AI199)</f>
        <v>0.89065121244471557</v>
      </c>
      <c r="AK194" s="279">
        <f>(AK196+AK197)/(AK198+AK199)</f>
        <v>1.8799495586380832</v>
      </c>
      <c r="AL194" s="279">
        <f>(AL196+AL197)/(AL198+AL199)</f>
        <v>1.9131870724227411</v>
      </c>
      <c r="AN194" s="279">
        <f>(AN196+AN197)/(AN198+AN199)</f>
        <v>0.61023271586622019</v>
      </c>
      <c r="AO194" s="279">
        <f>(AO196+AO197)/(AO198+AO199)</f>
        <v>0.66420493884144938</v>
      </c>
      <c r="AQ194" s="279">
        <f>(AQ196+AQ197)/(AQ198+AQ199)</f>
        <v>5.3582545010680498</v>
      </c>
      <c r="AR194" s="279">
        <f>(AR196+AR197)/(AR198+AR199)</f>
        <v>0.87919708029197086</v>
      </c>
      <c r="AT194" s="279">
        <f>(AT196+AT197)/(AT198+AT199)</f>
        <v>2.3476257973068746</v>
      </c>
      <c r="AU194" s="279">
        <f>(AU196+AU197)/(AU198+AU199)</f>
        <v>2.1488610277238211</v>
      </c>
      <c r="AW194" s="279">
        <f>(AW196+AW197)/(AW198+AW199)</f>
        <v>2.0603960396039604</v>
      </c>
      <c r="AX194" s="279">
        <f>(AX196+AX197)/(AX198+AX199)</f>
        <v>2.0112685125563425</v>
      </c>
      <c r="AZ194" s="279">
        <f>(AZ196+AZ197)/(AZ198+AZ199)</f>
        <v>4.3854916067146279</v>
      </c>
      <c r="BA194" s="279">
        <f>(BA196+BA197)/(BA198+BA199)</f>
        <v>3.1818845872899928</v>
      </c>
      <c r="BC194" s="279">
        <f>(BC196+BC197)/(BC198+BC199)</f>
        <v>1.8481294536817101</v>
      </c>
      <c r="BD194" s="279">
        <f>(BD196+BD197)/(BD198+BD199)</f>
        <v>2.0072557239600131</v>
      </c>
      <c r="BF194" s="279">
        <f>(BF196+BF197)/(BF198+BF199)</f>
        <v>1.4932719793627554</v>
      </c>
      <c r="BG194" s="279">
        <f>(BG196+BG197)/(BG198+BG199)</f>
        <v>1.7403869118700741</v>
      </c>
      <c r="BI194" s="279">
        <f>(BI196+BI197)/(BI198+BI199)</f>
        <v>2.7214046562329672</v>
      </c>
      <c r="BJ194" s="279">
        <f>(BJ196+BJ197)/(BJ198+BJ199)</f>
        <v>2.8465262648269185</v>
      </c>
      <c r="BL194" s="279">
        <f>(BL196+BL197)/(BL198+BL199)</f>
        <v>2.4028144239226035</v>
      </c>
      <c r="BM194" s="279">
        <f>(BM196+BM197)/(BM198+BM199)</f>
        <v>1.5857142857142856</v>
      </c>
      <c r="BO194" s="279">
        <f>(BO196+BO197)/(BO198+BO199)</f>
        <v>13.35724918130396</v>
      </c>
      <c r="BP194" s="279">
        <f>(BP196+BP197)/(BP198+BP199)</f>
        <v>5.9896265560165975</v>
      </c>
      <c r="BR194" s="279">
        <f>(BR196+BR197)/(BR198+BR199)</f>
        <v>2.1462559479088403</v>
      </c>
      <c r="BS194" s="279">
        <f>(BS196+BS197)/(BS198+BS199)</f>
        <v>2.6507887411073305</v>
      </c>
      <c r="BU194" s="279">
        <f>(BU196+BU197)/(BU198+BU199)</f>
        <v>2.1023554603854389</v>
      </c>
      <c r="BV194" s="279">
        <f>(BV196+BV197)/(BV198+BV199)</f>
        <v>2.6279443254817987</v>
      </c>
      <c r="BX194" s="279">
        <f>(BX196+BX197)/(BX198+BX199)</f>
        <v>5.0987654320987659</v>
      </c>
      <c r="BY194" s="279">
        <f>(BY196+BY197)/(BY198+BY199)</f>
        <v>3.8134810710987996</v>
      </c>
      <c r="CA194" s="279">
        <f>(CA196+CA197)/(CA198+CA199)</f>
        <v>1.4003290375651221</v>
      </c>
      <c r="CB194" s="279">
        <f>(CB196+CB197)/(CB198+CB199)</f>
        <v>1.3400682235633692</v>
      </c>
      <c r="CD194" s="279">
        <f>(CD196+CD197)/(CD198+CD199)</f>
        <v>1.6214826839826839</v>
      </c>
      <c r="CE194" s="279">
        <f>(CE196+CE197)/(CE198+CE199)</f>
        <v>2.0031195840554594</v>
      </c>
      <c r="CG194" s="279">
        <f>(CG196+CG197)/(CG198+CG199)</f>
        <v>0</v>
      </c>
      <c r="CH194" s="279">
        <f>(CH196+CH197)/(CH198+CH199)</f>
        <v>1.8830826075481657</v>
      </c>
    </row>
    <row r="195" spans="1:86" x14ac:dyDescent="0.25">
      <c r="A195" s="95"/>
      <c r="B195" s="16" t="s">
        <v>1184</v>
      </c>
      <c r="C195" s="107"/>
      <c r="D195" s="95"/>
      <c r="E195" s="95"/>
      <c r="F195" s="279"/>
      <c r="G195" s="279"/>
      <c r="H195" s="279"/>
      <c r="I195" s="279"/>
      <c r="J195" s="279">
        <f>J200/J201</f>
        <v>8.2935169793398238</v>
      </c>
      <c r="K195" s="279">
        <f>K200/K201</f>
        <v>1.2146701215866056</v>
      </c>
      <c r="L195" s="279">
        <f>L200/L201</f>
        <v>0.92330529440870857</v>
      </c>
      <c r="M195" s="279" t="e">
        <f>M200/M201</f>
        <v>#DIV/0!</v>
      </c>
      <c r="N195" s="279"/>
      <c r="O195" s="279"/>
      <c r="P195" s="281"/>
      <c r="Q195" s="279">
        <f>Q200/Q201</f>
        <v>0.92330529440870857</v>
      </c>
      <c r="R195" s="279">
        <f>R200/R201</f>
        <v>0.6518050541516246</v>
      </c>
      <c r="S195" s="279" t="e">
        <f>S200/S201</f>
        <v>#DIV/0!</v>
      </c>
      <c r="T195" s="279" t="e">
        <f>T200/T201</f>
        <v>#DIV/0!</v>
      </c>
      <c r="V195" s="279" t="e">
        <f>V200/V201</f>
        <v>#DIV/0!</v>
      </c>
      <c r="W195" s="279" t="e">
        <f>W200/W201</f>
        <v>#DIV/0!</v>
      </c>
      <c r="Y195" s="279" t="e">
        <f>Y200/Y201</f>
        <v>#DIV/0!</v>
      </c>
      <c r="Z195" s="279" t="e">
        <f>Z200/Z201</f>
        <v>#DIV/0!</v>
      </c>
      <c r="AB195" s="279" t="e">
        <f>AB200/AB201</f>
        <v>#DIV/0!</v>
      </c>
      <c r="AC195" s="279" t="e">
        <f>AC200/AC201</f>
        <v>#DIV/0!</v>
      </c>
      <c r="AE195" s="279" t="e">
        <f>AE200/AE201</f>
        <v>#DIV/0!</v>
      </c>
      <c r="AF195" s="279" t="e">
        <f>AF200/AF201</f>
        <v>#DIV/0!</v>
      </c>
      <c r="AH195" s="279" t="e">
        <f>AH200/AH201</f>
        <v>#DIV/0!</v>
      </c>
      <c r="AI195" s="279" t="e">
        <f>AI200/AI201</f>
        <v>#DIV/0!</v>
      </c>
      <c r="AK195" s="279" t="e">
        <f>AK200/AK201</f>
        <v>#DIV/0!</v>
      </c>
      <c r="AL195" s="279" t="e">
        <f>AL200/AL201</f>
        <v>#DIV/0!</v>
      </c>
      <c r="AN195" s="279">
        <f>AN200/AN201</f>
        <v>1.2403100775193798</v>
      </c>
      <c r="AO195" s="279">
        <f>AO200/AO201</f>
        <v>1.038139534883721</v>
      </c>
      <c r="AQ195" s="279" t="e">
        <f>AQ200/AQ201</f>
        <v>#DIV/0!</v>
      </c>
      <c r="AR195" s="279" t="e">
        <f>AR200/AR201</f>
        <v>#DIV/0!</v>
      </c>
      <c r="AT195" s="279">
        <f>AT200/AT201</f>
        <v>0.37436548223350252</v>
      </c>
      <c r="AU195" s="279">
        <f>AU200/AU201</f>
        <v>0.53328757721345232</v>
      </c>
      <c r="AW195" s="279" t="e">
        <f>AW200/AW201</f>
        <v>#DIV/0!</v>
      </c>
      <c r="AX195" s="279" t="e">
        <f>AX200/AX201</f>
        <v>#DIV/0!</v>
      </c>
      <c r="AZ195" s="279" t="e">
        <f>AZ200/AZ201</f>
        <v>#DIV/0!</v>
      </c>
      <c r="BA195" s="279" t="e">
        <f>BA200/BA201</f>
        <v>#DIV/0!</v>
      </c>
      <c r="BC195" s="279" t="e">
        <f>BC200/BC201</f>
        <v>#DIV/0!</v>
      </c>
      <c r="BD195" s="279" t="e">
        <f>BD200/BD201</f>
        <v>#DIV/0!</v>
      </c>
      <c r="BF195" s="279" t="e">
        <f>BF200/BF201</f>
        <v>#DIV/0!</v>
      </c>
      <c r="BG195" s="279" t="e">
        <f>BG200/BG201</f>
        <v>#DIV/0!</v>
      </c>
      <c r="BI195" s="279">
        <f>BI200/BI201</f>
        <v>0.86601027397260277</v>
      </c>
      <c r="BJ195" s="279">
        <f>BJ200/BJ201</f>
        <v>0.452755905511811</v>
      </c>
      <c r="BL195" s="279">
        <f>BL200/BL201</f>
        <v>2.3009708737864076</v>
      </c>
      <c r="BM195" s="279">
        <f>BM200/BM201</f>
        <v>2.37</v>
      </c>
      <c r="BO195" s="279" t="e">
        <f>BO200/BO201</f>
        <v>#DIV/0!</v>
      </c>
      <c r="BP195" s="279" t="e">
        <f>BP200/BP201</f>
        <v>#DIV/0!</v>
      </c>
      <c r="BR195" s="279" t="e">
        <f>BR200/BR201</f>
        <v>#DIV/0!</v>
      </c>
      <c r="BS195" s="279" t="e">
        <f>BS200/BS201</f>
        <v>#DIV/0!</v>
      </c>
      <c r="BU195" s="279">
        <f>BU200/BU201</f>
        <v>2.2176470588235295</v>
      </c>
      <c r="BV195" s="279">
        <f>BV200/BV201</f>
        <v>1.8947368421052631</v>
      </c>
      <c r="BX195" s="279" t="e">
        <f>BX200/BX201</f>
        <v>#DIV/0!</v>
      </c>
      <c r="BY195" s="279" t="e">
        <f>BY200/BY201</f>
        <v>#DIV/0!</v>
      </c>
      <c r="CA195" s="279" t="e">
        <f>CA200/CA201</f>
        <v>#DIV/0!</v>
      </c>
      <c r="CB195" s="279" t="e">
        <f>CB200/CB201</f>
        <v>#DIV/0!</v>
      </c>
      <c r="CD195" s="279" t="e">
        <f>CD200/CD201</f>
        <v>#DIV/0!</v>
      </c>
      <c r="CE195" s="279" t="e">
        <f>CE200/CE201</f>
        <v>#DIV/0!</v>
      </c>
      <c r="CG195" s="279" t="e">
        <f>CG200/CG201</f>
        <v>#DIV/0!</v>
      </c>
      <c r="CH195" s="279" t="e">
        <f>CH200/CH201</f>
        <v>#DIV/0!</v>
      </c>
    </row>
    <row r="196" spans="1:86" ht="45" x14ac:dyDescent="0.25">
      <c r="A196" s="95"/>
      <c r="B196" s="16" t="s">
        <v>826</v>
      </c>
      <c r="C196" s="95" t="s">
        <v>1177</v>
      </c>
      <c r="D196" s="95" t="s">
        <v>1111</v>
      </c>
      <c r="E196" s="95"/>
      <c r="F196" s="282">
        <v>107337</v>
      </c>
      <c r="G196" s="282">
        <f>109197+381385</f>
        <v>490582</v>
      </c>
      <c r="H196" s="282">
        <v>113401</v>
      </c>
      <c r="I196" s="282">
        <v>113436</v>
      </c>
      <c r="J196" s="282">
        <v>107202</v>
      </c>
      <c r="K196" s="282">
        <v>106989</v>
      </c>
      <c r="L196" s="282">
        <v>104320</v>
      </c>
      <c r="M196" s="282">
        <v>2469</v>
      </c>
      <c r="N196" s="282">
        <v>2469</v>
      </c>
      <c r="O196" s="282">
        <v>2469</v>
      </c>
      <c r="P196" s="283"/>
      <c r="Q196" s="286">
        <f t="shared" ref="Q196:R200" si="82">S196+V196+Y196+AB196+AE196+AH196+AK196+AN196+AQ196+AT196+AW196+AZ196+BC196+BF196+BI196+BL196+BO196+BR196+BU196+BX196+CA196+CD196+CG196+CJ189</f>
        <v>104317</v>
      </c>
      <c r="R196" s="286">
        <f t="shared" si="82"/>
        <v>111244</v>
      </c>
      <c r="S196" s="286">
        <v>3207</v>
      </c>
      <c r="T196" s="286">
        <v>3207</v>
      </c>
      <c r="U196" s="286"/>
      <c r="V196" s="286">
        <v>2653</v>
      </c>
      <c r="W196" s="286">
        <v>2599</v>
      </c>
      <c r="X196" s="286"/>
      <c r="Y196" s="286">
        <v>5120</v>
      </c>
      <c r="Z196" s="286">
        <v>5120</v>
      </c>
      <c r="AA196" s="286"/>
      <c r="AB196" s="286">
        <v>2572</v>
      </c>
      <c r="AC196" s="286">
        <v>2792</v>
      </c>
      <c r="AD196" s="286"/>
      <c r="AE196" s="286">
        <v>1808</v>
      </c>
      <c r="AF196" s="286">
        <v>1808</v>
      </c>
      <c r="AG196" s="286"/>
      <c r="AH196" s="286">
        <v>2469</v>
      </c>
      <c r="AI196" s="286">
        <v>2469</v>
      </c>
      <c r="AJ196" s="286"/>
      <c r="AK196" s="286">
        <v>2843</v>
      </c>
      <c r="AL196" s="286">
        <v>3221</v>
      </c>
      <c r="AM196" s="286"/>
      <c r="AN196" s="286">
        <v>7535</v>
      </c>
      <c r="AO196" s="286">
        <v>7535</v>
      </c>
      <c r="AP196" s="286"/>
      <c r="AQ196" s="286">
        <v>2121</v>
      </c>
      <c r="AR196" s="286">
        <v>2121</v>
      </c>
      <c r="AS196" s="286"/>
      <c r="AT196" s="286">
        <v>13250</v>
      </c>
      <c r="AU196" s="286">
        <v>12169</v>
      </c>
      <c r="AV196" s="286"/>
      <c r="AW196" s="286">
        <v>6243</v>
      </c>
      <c r="AX196" s="286">
        <v>6247</v>
      </c>
      <c r="AY196" s="286"/>
      <c r="AZ196" s="286">
        <v>0</v>
      </c>
      <c r="BA196" s="286">
        <v>0</v>
      </c>
      <c r="BB196" s="286"/>
      <c r="BC196" s="286">
        <v>6726</v>
      </c>
      <c r="BD196" s="286">
        <v>6726</v>
      </c>
      <c r="BE196" s="286"/>
      <c r="BF196" s="286">
        <v>9647</v>
      </c>
      <c r="BG196" s="286">
        <v>9647</v>
      </c>
      <c r="BH196" s="286"/>
      <c r="BI196" s="286">
        <v>14237</v>
      </c>
      <c r="BJ196" s="286">
        <v>14563</v>
      </c>
      <c r="BK196" s="286"/>
      <c r="BL196" s="286">
        <v>2396</v>
      </c>
      <c r="BM196" s="286">
        <v>2396</v>
      </c>
      <c r="BN196" s="286"/>
      <c r="BO196" s="286">
        <v>7341</v>
      </c>
      <c r="BP196" s="286">
        <v>7341</v>
      </c>
      <c r="BQ196" s="286"/>
      <c r="BR196" s="286">
        <v>4208</v>
      </c>
      <c r="BS196" s="286">
        <v>4208</v>
      </c>
      <c r="BT196" s="286"/>
      <c r="BU196" s="286">
        <v>4909</v>
      </c>
      <c r="BV196" s="286">
        <v>4909</v>
      </c>
      <c r="BW196" s="286"/>
      <c r="BX196" s="286">
        <v>0</v>
      </c>
      <c r="BY196" s="286">
        <v>0</v>
      </c>
      <c r="BZ196" s="286"/>
      <c r="CA196" s="286">
        <v>3388</v>
      </c>
      <c r="CB196" s="286">
        <v>3388</v>
      </c>
      <c r="CC196" s="286"/>
      <c r="CD196" s="286">
        <v>1644</v>
      </c>
      <c r="CE196" s="286">
        <v>1643</v>
      </c>
      <c r="CF196" s="286"/>
      <c r="CG196" s="286">
        <v>0</v>
      </c>
      <c r="CH196" s="286">
        <v>7135</v>
      </c>
    </row>
    <row r="197" spans="1:86" x14ac:dyDescent="0.25">
      <c r="A197" s="95"/>
      <c r="B197" s="16"/>
      <c r="C197" s="95"/>
      <c r="D197" s="95"/>
      <c r="E197" s="95"/>
      <c r="F197" s="282"/>
      <c r="G197" s="282"/>
      <c r="H197" s="282">
        <v>483496</v>
      </c>
      <c r="I197" s="282">
        <v>497213</v>
      </c>
      <c r="J197" s="282">
        <v>323366</v>
      </c>
      <c r="K197" s="282">
        <v>229588</v>
      </c>
      <c r="L197" s="282">
        <v>185419</v>
      </c>
      <c r="M197" s="282"/>
      <c r="N197" s="282"/>
      <c r="O197" s="282"/>
      <c r="P197" s="283"/>
      <c r="Q197" s="286">
        <f t="shared" si="82"/>
        <v>185419</v>
      </c>
      <c r="R197" s="286">
        <f t="shared" si="82"/>
        <v>95932</v>
      </c>
      <c r="S197" s="286">
        <v>3549</v>
      </c>
      <c r="T197" s="286">
        <v>2771</v>
      </c>
      <c r="U197" s="286"/>
      <c r="V197" s="286">
        <v>4293</v>
      </c>
      <c r="W197" s="286">
        <v>4384</v>
      </c>
      <c r="X197" s="286"/>
      <c r="Y197" s="286">
        <v>19327</v>
      </c>
      <c r="Z197" s="286">
        <v>3418</v>
      </c>
      <c r="AA197" s="286"/>
      <c r="AB197" s="286">
        <v>6035</v>
      </c>
      <c r="AC197" s="286">
        <v>1686</v>
      </c>
      <c r="AD197" s="286"/>
      <c r="AE197" s="286">
        <v>4332</v>
      </c>
      <c r="AF197" s="286">
        <v>4332</v>
      </c>
      <c r="AG197" s="286"/>
      <c r="AH197" s="286">
        <v>2934</v>
      </c>
      <c r="AI197" s="286">
        <v>3371</v>
      </c>
      <c r="AJ197" s="286"/>
      <c r="AK197" s="286">
        <v>4611</v>
      </c>
      <c r="AL197" s="286">
        <v>4889</v>
      </c>
      <c r="AM197" s="286"/>
      <c r="AN197" s="286">
        <v>6861</v>
      </c>
      <c r="AO197" s="286">
        <v>6855</v>
      </c>
      <c r="AP197" s="286"/>
      <c r="AQ197" s="286">
        <v>15438</v>
      </c>
      <c r="AR197" s="286">
        <v>288</v>
      </c>
      <c r="AS197" s="286"/>
      <c r="AT197" s="286">
        <v>0</v>
      </c>
      <c r="AU197" s="286">
        <v>0</v>
      </c>
      <c r="AV197" s="286"/>
      <c r="AW197" s="286">
        <v>0</v>
      </c>
      <c r="AX197" s="286">
        <v>0</v>
      </c>
      <c r="AY197" s="286"/>
      <c r="AZ197" s="286">
        <v>21945</v>
      </c>
      <c r="BA197" s="286">
        <v>4356</v>
      </c>
      <c r="BB197" s="286"/>
      <c r="BC197" s="286">
        <v>5723</v>
      </c>
      <c r="BD197" s="286">
        <v>5723</v>
      </c>
      <c r="BE197" s="286"/>
      <c r="BF197" s="286">
        <v>11771</v>
      </c>
      <c r="BG197" s="286">
        <v>12214</v>
      </c>
      <c r="BH197" s="286"/>
      <c r="BI197" s="286">
        <v>20714</v>
      </c>
      <c r="BJ197" s="286">
        <v>20714</v>
      </c>
      <c r="BK197" s="286"/>
      <c r="BL197" s="286">
        <v>5800</v>
      </c>
      <c r="BM197" s="286">
        <v>2377</v>
      </c>
      <c r="BN197" s="286"/>
      <c r="BO197" s="286">
        <v>37526</v>
      </c>
      <c r="BP197" s="286">
        <v>4207</v>
      </c>
      <c r="BQ197" s="286"/>
      <c r="BR197" s="286">
        <v>4362</v>
      </c>
      <c r="BS197" s="286">
        <v>4362</v>
      </c>
      <c r="BT197" s="286"/>
      <c r="BU197" s="286">
        <v>0</v>
      </c>
      <c r="BV197" s="286">
        <v>0</v>
      </c>
      <c r="BW197" s="286"/>
      <c r="BX197" s="286">
        <v>4130</v>
      </c>
      <c r="BY197" s="286">
        <v>4130</v>
      </c>
      <c r="BZ197" s="286"/>
      <c r="CA197" s="286">
        <v>1719</v>
      </c>
      <c r="CB197" s="286">
        <v>1719</v>
      </c>
      <c r="CC197" s="286"/>
      <c r="CD197" s="286">
        <v>4349</v>
      </c>
      <c r="CE197" s="286">
        <v>4136</v>
      </c>
      <c r="CF197" s="286"/>
      <c r="CG197" s="286">
        <v>0</v>
      </c>
      <c r="CH197" s="286">
        <v>0</v>
      </c>
    </row>
    <row r="198" spans="1:86" ht="45" x14ac:dyDescent="0.25">
      <c r="A198" s="95"/>
      <c r="B198" s="16" t="s">
        <v>827</v>
      </c>
      <c r="C198" s="95" t="s">
        <v>1408</v>
      </c>
      <c r="D198" s="95" t="s">
        <v>950</v>
      </c>
      <c r="E198" s="95"/>
      <c r="F198" s="282">
        <v>81878</v>
      </c>
      <c r="G198" s="282">
        <f>78487+66417</f>
        <v>144904</v>
      </c>
      <c r="H198" s="282">
        <f>79397+68330</f>
        <v>147727</v>
      </c>
      <c r="I198" s="282">
        <f>79266+68453</f>
        <v>147719</v>
      </c>
      <c r="J198" s="282">
        <v>123728</v>
      </c>
      <c r="K198" s="282">
        <v>119885</v>
      </c>
      <c r="L198" s="282">
        <v>89636</v>
      </c>
      <c r="M198" s="282">
        <v>5719</v>
      </c>
      <c r="N198" s="282">
        <v>5497</v>
      </c>
      <c r="O198" s="282">
        <v>4825</v>
      </c>
      <c r="P198" s="283"/>
      <c r="Q198" s="286">
        <f t="shared" si="82"/>
        <v>123660</v>
      </c>
      <c r="R198" s="286">
        <f t="shared" si="82"/>
        <v>91560</v>
      </c>
      <c r="S198" s="286">
        <v>3683</v>
      </c>
      <c r="T198" s="286">
        <v>2690</v>
      </c>
      <c r="U198" s="286"/>
      <c r="V198" s="286">
        <v>2153</v>
      </c>
      <c r="W198" s="286">
        <v>1892</v>
      </c>
      <c r="X198" s="286"/>
      <c r="Y198" s="286">
        <v>3886</v>
      </c>
      <c r="Z198" s="286">
        <v>1032</v>
      </c>
      <c r="AA198" s="286"/>
      <c r="AB198" s="286">
        <v>4460</v>
      </c>
      <c r="AC198" s="286">
        <v>3456</v>
      </c>
      <c r="AD198" s="286"/>
      <c r="AE198" s="286">
        <v>6169</v>
      </c>
      <c r="AF198" s="286">
        <v>5140</v>
      </c>
      <c r="AG198" s="286"/>
      <c r="AH198" s="286">
        <v>2673</v>
      </c>
      <c r="AI198" s="286">
        <v>5719</v>
      </c>
      <c r="AJ198" s="286"/>
      <c r="AK198" s="286">
        <v>3965</v>
      </c>
      <c r="AL198" s="286">
        <v>3493</v>
      </c>
      <c r="AM198" s="286"/>
      <c r="AN198" s="286">
        <v>23591</v>
      </c>
      <c r="AO198" s="286">
        <v>19011</v>
      </c>
      <c r="AP198" s="286"/>
      <c r="AQ198" s="286">
        <v>3277</v>
      </c>
      <c r="AR198" s="286">
        <v>2583</v>
      </c>
      <c r="AS198" s="286"/>
      <c r="AT198" s="286">
        <v>5644</v>
      </c>
      <c r="AU198" s="286">
        <v>5663</v>
      </c>
      <c r="AV198" s="286"/>
      <c r="AW198" s="286">
        <v>3030</v>
      </c>
      <c r="AX198" s="286">
        <v>3106</v>
      </c>
      <c r="AY198" s="286"/>
      <c r="AZ198" s="286">
        <v>5004</v>
      </c>
      <c r="BA198" s="286">
        <v>0</v>
      </c>
      <c r="BB198" s="286"/>
      <c r="BC198" s="286">
        <v>6736</v>
      </c>
      <c r="BD198" s="286">
        <v>4564</v>
      </c>
      <c r="BE198" s="286"/>
      <c r="BF198" s="286">
        <v>14343</v>
      </c>
      <c r="BG198" s="286">
        <v>8808</v>
      </c>
      <c r="BH198" s="286"/>
      <c r="BI198" s="286">
        <v>12843</v>
      </c>
      <c r="BJ198" s="286">
        <v>8834</v>
      </c>
      <c r="BK198" s="286"/>
      <c r="BL198" s="286">
        <v>3411</v>
      </c>
      <c r="BM198" s="286">
        <v>1996</v>
      </c>
      <c r="BN198" s="286"/>
      <c r="BO198" s="286">
        <v>3359</v>
      </c>
      <c r="BP198" s="286">
        <v>1072</v>
      </c>
      <c r="BQ198" s="286"/>
      <c r="BR198" s="286">
        <v>3993</v>
      </c>
      <c r="BS198" s="286">
        <v>2250</v>
      </c>
      <c r="BT198" s="286"/>
      <c r="BU198" s="286">
        <v>2335</v>
      </c>
      <c r="BV198" s="286">
        <v>1868</v>
      </c>
      <c r="BW198" s="286"/>
      <c r="BX198" s="286">
        <v>810</v>
      </c>
      <c r="BY198" s="286">
        <v>0</v>
      </c>
      <c r="BZ198" s="286"/>
      <c r="CA198" s="286">
        <v>3647</v>
      </c>
      <c r="CB198" s="286">
        <v>2897</v>
      </c>
      <c r="CC198" s="286"/>
      <c r="CD198" s="286">
        <v>3696</v>
      </c>
      <c r="CE198" s="286">
        <v>1697</v>
      </c>
      <c r="CF198" s="286"/>
      <c r="CG198" s="286">
        <v>952</v>
      </c>
      <c r="CH198" s="286">
        <v>3789</v>
      </c>
    </row>
    <row r="199" spans="1:86" x14ac:dyDescent="0.25">
      <c r="A199" s="95"/>
      <c r="B199" s="16"/>
      <c r="C199" s="95"/>
      <c r="D199" s="95"/>
      <c r="E199" s="95"/>
      <c r="F199" s="282"/>
      <c r="G199" s="282"/>
      <c r="H199" s="282"/>
      <c r="I199" s="282"/>
      <c r="J199" s="282"/>
      <c r="K199" s="282"/>
      <c r="L199" s="282">
        <v>34024</v>
      </c>
      <c r="M199" s="282"/>
      <c r="N199" s="282"/>
      <c r="O199" s="282"/>
      <c r="P199" s="283"/>
      <c r="Q199" s="286">
        <f t="shared" si="82"/>
        <v>0</v>
      </c>
      <c r="R199" s="286">
        <f t="shared" si="82"/>
        <v>24253</v>
      </c>
      <c r="S199" s="286"/>
      <c r="T199" s="286">
        <v>432</v>
      </c>
      <c r="U199" s="286"/>
      <c r="V199" s="286"/>
      <c r="W199" s="286">
        <v>783</v>
      </c>
      <c r="X199" s="286"/>
      <c r="Y199" s="286"/>
      <c r="Z199" s="286">
        <v>739</v>
      </c>
      <c r="AA199" s="286"/>
      <c r="AB199" s="286"/>
      <c r="AC199" s="286">
        <v>450</v>
      </c>
      <c r="AD199" s="286"/>
      <c r="AE199" s="286"/>
      <c r="AF199" s="286">
        <v>1097</v>
      </c>
      <c r="AG199" s="286"/>
      <c r="AH199" s="286"/>
      <c r="AI199" s="286">
        <v>838</v>
      </c>
      <c r="AJ199" s="286"/>
      <c r="AK199" s="286"/>
      <c r="AL199" s="286">
        <v>746</v>
      </c>
      <c r="AM199" s="286"/>
      <c r="AN199" s="286"/>
      <c r="AO199" s="286">
        <v>2654</v>
      </c>
      <c r="AP199" s="286"/>
      <c r="AQ199" s="286"/>
      <c r="AR199" s="286">
        <v>157</v>
      </c>
      <c r="AS199" s="286"/>
      <c r="AT199" s="286"/>
      <c r="AU199" s="286">
        <v>0</v>
      </c>
      <c r="AV199" s="286"/>
      <c r="AW199" s="286"/>
      <c r="AX199" s="286">
        <v>0</v>
      </c>
      <c r="AY199" s="286"/>
      <c r="AZ199" s="286"/>
      <c r="BA199" s="286">
        <v>1369</v>
      </c>
      <c r="BB199" s="286"/>
      <c r="BC199" s="286"/>
      <c r="BD199" s="286">
        <v>1638</v>
      </c>
      <c r="BE199" s="286"/>
      <c r="BF199" s="286"/>
      <c r="BG199" s="286">
        <v>3753</v>
      </c>
      <c r="BH199" s="286"/>
      <c r="BI199" s="286"/>
      <c r="BJ199" s="286">
        <v>3559</v>
      </c>
      <c r="BK199" s="286"/>
      <c r="BL199" s="286"/>
      <c r="BM199" s="286">
        <v>1014</v>
      </c>
      <c r="BN199" s="286"/>
      <c r="BO199" s="286"/>
      <c r="BP199" s="286">
        <v>856</v>
      </c>
      <c r="BQ199" s="286"/>
      <c r="BR199" s="286"/>
      <c r="BS199" s="286">
        <v>983</v>
      </c>
      <c r="BT199" s="286"/>
      <c r="BU199" s="286"/>
      <c r="BV199" s="286">
        <v>0</v>
      </c>
      <c r="BW199" s="286"/>
      <c r="BX199" s="286"/>
      <c r="BY199" s="286">
        <v>1083</v>
      </c>
      <c r="BZ199" s="286"/>
      <c r="CA199" s="286"/>
      <c r="CB199" s="286">
        <v>914</v>
      </c>
      <c r="CC199" s="286"/>
      <c r="CD199" s="286"/>
      <c r="CE199" s="286">
        <v>1188</v>
      </c>
      <c r="CF199" s="286"/>
      <c r="CG199" s="286"/>
      <c r="CH199" s="286">
        <v>0</v>
      </c>
    </row>
    <row r="200" spans="1:86" ht="45" x14ac:dyDescent="0.25">
      <c r="A200" s="95"/>
      <c r="B200" s="16" t="s">
        <v>826</v>
      </c>
      <c r="C200" s="95" t="s">
        <v>1177</v>
      </c>
      <c r="D200" s="95"/>
      <c r="E200" s="95"/>
      <c r="F200" s="282"/>
      <c r="G200" s="282"/>
      <c r="H200" s="282"/>
      <c r="I200" s="282"/>
      <c r="J200" s="282">
        <v>34924</v>
      </c>
      <c r="K200" s="282">
        <v>6094</v>
      </c>
      <c r="L200" s="282">
        <v>3732</v>
      </c>
      <c r="M200" s="282"/>
      <c r="N200" s="282">
        <v>2469</v>
      </c>
      <c r="O200" s="282">
        <v>2469</v>
      </c>
      <c r="P200" s="283"/>
      <c r="Q200" s="286">
        <f t="shared" si="82"/>
        <v>3732</v>
      </c>
      <c r="R200" s="286">
        <f t="shared" si="82"/>
        <v>3611</v>
      </c>
      <c r="S200" s="286">
        <v>0</v>
      </c>
      <c r="T200" s="286">
        <v>0</v>
      </c>
      <c r="U200" s="286"/>
      <c r="V200" s="286">
        <v>0</v>
      </c>
      <c r="W200" s="286">
        <v>0</v>
      </c>
      <c r="X200" s="286"/>
      <c r="Y200" s="286">
        <v>0</v>
      </c>
      <c r="Z200" s="286">
        <v>0</v>
      </c>
      <c r="AA200" s="286"/>
      <c r="AB200" s="286">
        <v>0</v>
      </c>
      <c r="AC200" s="286">
        <v>0</v>
      </c>
      <c r="AD200" s="286"/>
      <c r="AE200" s="286">
        <v>0</v>
      </c>
      <c r="AF200" s="286">
        <v>0</v>
      </c>
      <c r="AG200" s="286"/>
      <c r="AH200" s="286">
        <v>0</v>
      </c>
      <c r="AI200" s="286">
        <v>0</v>
      </c>
      <c r="AJ200" s="286"/>
      <c r="AK200" s="286">
        <v>0</v>
      </c>
      <c r="AL200" s="286">
        <v>0</v>
      </c>
      <c r="AM200" s="286"/>
      <c r="AN200" s="286">
        <v>800</v>
      </c>
      <c r="AO200" s="286">
        <v>1116</v>
      </c>
      <c r="AP200" s="286"/>
      <c r="AQ200" s="286">
        <v>0</v>
      </c>
      <c r="AR200" s="286">
        <v>0</v>
      </c>
      <c r="AS200" s="286"/>
      <c r="AT200" s="286">
        <v>295</v>
      </c>
      <c r="AU200" s="286">
        <v>777</v>
      </c>
      <c r="AV200" s="286"/>
      <c r="AW200" s="286">
        <v>0</v>
      </c>
      <c r="AX200" s="286">
        <v>0</v>
      </c>
      <c r="AY200" s="286"/>
      <c r="AZ200" s="286">
        <v>0</v>
      </c>
      <c r="BA200" s="286">
        <v>0</v>
      </c>
      <c r="BB200" s="286"/>
      <c r="BC200" s="286">
        <v>0</v>
      </c>
      <c r="BD200" s="286">
        <v>0</v>
      </c>
      <c r="BE200" s="286"/>
      <c r="BF200" s="286">
        <v>0</v>
      </c>
      <c r="BG200" s="286">
        <v>0</v>
      </c>
      <c r="BH200" s="286"/>
      <c r="BI200" s="286">
        <v>2023</v>
      </c>
      <c r="BJ200" s="286">
        <v>1265</v>
      </c>
      <c r="BK200" s="286"/>
      <c r="BL200" s="286">
        <v>237</v>
      </c>
      <c r="BM200" s="286">
        <v>237</v>
      </c>
      <c r="BN200" s="286"/>
      <c r="BO200" s="286">
        <v>0</v>
      </c>
      <c r="BP200" s="286">
        <v>0</v>
      </c>
      <c r="BQ200" s="286"/>
      <c r="BR200" s="286">
        <v>0</v>
      </c>
      <c r="BS200" s="286">
        <v>0</v>
      </c>
      <c r="BT200" s="286"/>
      <c r="BU200" s="286">
        <v>377</v>
      </c>
      <c r="BV200" s="286">
        <v>216</v>
      </c>
      <c r="BW200" s="286"/>
      <c r="BX200" s="286">
        <v>0</v>
      </c>
      <c r="BY200" s="286">
        <v>0</v>
      </c>
      <c r="BZ200" s="286"/>
      <c r="CA200" s="286">
        <v>0</v>
      </c>
      <c r="CB200" s="286">
        <v>0</v>
      </c>
      <c r="CC200" s="286"/>
      <c r="CD200" s="286">
        <v>0</v>
      </c>
      <c r="CE200" s="286">
        <v>0</v>
      </c>
      <c r="CF200" s="286"/>
      <c r="CG200" s="286">
        <v>0</v>
      </c>
      <c r="CH200" s="286">
        <v>0</v>
      </c>
    </row>
    <row r="201" spans="1:86" ht="45" x14ac:dyDescent="0.25">
      <c r="A201" s="95"/>
      <c r="B201" s="16" t="s">
        <v>827</v>
      </c>
      <c r="C201" s="95" t="s">
        <v>1408</v>
      </c>
      <c r="D201" s="95"/>
      <c r="E201" s="95"/>
      <c r="F201" s="282"/>
      <c r="G201" s="282"/>
      <c r="H201" s="282"/>
      <c r="I201" s="282"/>
      <c r="J201" s="282">
        <f>J135</f>
        <v>4211</v>
      </c>
      <c r="K201" s="282">
        <f>K135</f>
        <v>5017</v>
      </c>
      <c r="L201" s="282">
        <f>L135</f>
        <v>4042</v>
      </c>
      <c r="M201" s="282"/>
      <c r="N201" s="282">
        <v>5497</v>
      </c>
      <c r="O201" s="282">
        <v>4825</v>
      </c>
      <c r="Q201" s="282">
        <f>Q135</f>
        <v>4042</v>
      </c>
      <c r="R201" s="282">
        <f>R135</f>
        <v>5540</v>
      </c>
      <c r="S201" s="282">
        <f>S135</f>
        <v>0</v>
      </c>
      <c r="T201" s="282">
        <f>T135</f>
        <v>0</v>
      </c>
      <c r="V201" s="282">
        <f>V135</f>
        <v>0</v>
      </c>
      <c r="W201" s="282">
        <f>W135</f>
        <v>0</v>
      </c>
      <c r="Y201" s="282">
        <f>Y135</f>
        <v>0</v>
      </c>
      <c r="Z201" s="282">
        <f>Z135</f>
        <v>0</v>
      </c>
      <c r="AB201" s="282">
        <f>AB135</f>
        <v>0</v>
      </c>
      <c r="AC201" s="282">
        <f>AC135</f>
        <v>0</v>
      </c>
      <c r="AE201" s="282">
        <f>AE135</f>
        <v>0</v>
      </c>
      <c r="AF201" s="282">
        <f>AF135</f>
        <v>0</v>
      </c>
      <c r="AH201" s="282">
        <f>AH135</f>
        <v>0</v>
      </c>
      <c r="AI201" s="282">
        <f>AI135</f>
        <v>0</v>
      </c>
      <c r="AK201" s="282">
        <f>AK135</f>
        <v>0</v>
      </c>
      <c r="AL201" s="282">
        <f>AL135</f>
        <v>0</v>
      </c>
      <c r="AN201" s="282">
        <f>AN135</f>
        <v>645</v>
      </c>
      <c r="AO201" s="282">
        <f>AO135</f>
        <v>1075</v>
      </c>
      <c r="AQ201" s="282">
        <f>AQ135</f>
        <v>0</v>
      </c>
      <c r="AR201" s="282">
        <f>AR135</f>
        <v>0</v>
      </c>
      <c r="AT201" s="282">
        <f>AT135</f>
        <v>788</v>
      </c>
      <c r="AU201" s="282">
        <f>AU135</f>
        <v>1457</v>
      </c>
      <c r="AW201" s="282">
        <f>AW135</f>
        <v>0</v>
      </c>
      <c r="AX201" s="282">
        <f>AX135</f>
        <v>0</v>
      </c>
      <c r="AZ201" s="282">
        <f>AZ135</f>
        <v>0</v>
      </c>
      <c r="BA201" s="282">
        <f>BA135</f>
        <v>0</v>
      </c>
      <c r="BC201" s="282">
        <f>BC135</f>
        <v>0</v>
      </c>
      <c r="BD201" s="282">
        <f>BD135</f>
        <v>0</v>
      </c>
      <c r="BF201" s="282">
        <f>BF135</f>
        <v>0</v>
      </c>
      <c r="BG201" s="282">
        <f>BG135</f>
        <v>0</v>
      </c>
      <c r="BI201" s="282">
        <f>BI135</f>
        <v>2336</v>
      </c>
      <c r="BJ201" s="282">
        <f>BJ135</f>
        <v>2794</v>
      </c>
      <c r="BL201" s="282">
        <f>BL135</f>
        <v>103</v>
      </c>
      <c r="BM201" s="282">
        <f>BM135</f>
        <v>100</v>
      </c>
      <c r="BO201" s="282">
        <f>BO135</f>
        <v>0</v>
      </c>
      <c r="BP201" s="282">
        <f>BP135</f>
        <v>0</v>
      </c>
      <c r="BR201" s="282">
        <f>BR135</f>
        <v>0</v>
      </c>
      <c r="BS201" s="282">
        <f>BS135</f>
        <v>0</v>
      </c>
      <c r="BU201" s="282">
        <f>BU135</f>
        <v>170</v>
      </c>
      <c r="BV201" s="282">
        <f>BV135</f>
        <v>114</v>
      </c>
      <c r="BX201" s="282">
        <f>BX135</f>
        <v>0</v>
      </c>
      <c r="BY201" s="282">
        <f>BY135</f>
        <v>0</v>
      </c>
      <c r="CA201" s="282">
        <f>CA135</f>
        <v>0</v>
      </c>
      <c r="CB201" s="282">
        <f>CB135</f>
        <v>0</v>
      </c>
      <c r="CD201" s="282">
        <f>CD135</f>
        <v>0</v>
      </c>
      <c r="CE201" s="282">
        <f>CE135</f>
        <v>0</v>
      </c>
      <c r="CG201" s="282">
        <f>CG135</f>
        <v>0</v>
      </c>
      <c r="CH201" s="282">
        <f>CH135</f>
        <v>0</v>
      </c>
    </row>
    <row r="202" spans="1:86" ht="30" x14ac:dyDescent="0.25">
      <c r="A202" s="95" t="s">
        <v>687</v>
      </c>
      <c r="B202" s="96" t="s">
        <v>1888</v>
      </c>
      <c r="C202" s="107"/>
      <c r="D202" s="95"/>
      <c r="E202" s="95"/>
      <c r="F202" s="280"/>
      <c r="G202" s="280"/>
      <c r="H202" s="280"/>
      <c r="I202" s="280"/>
      <c r="J202" s="280"/>
      <c r="K202" s="280"/>
      <c r="L202" s="280"/>
      <c r="M202" s="280"/>
      <c r="N202" s="280"/>
      <c r="O202" s="280"/>
      <c r="P202" s="281" t="s">
        <v>23</v>
      </c>
    </row>
    <row r="203" spans="1:86" x14ac:dyDescent="0.25">
      <c r="A203" s="95"/>
      <c r="B203" s="16" t="s">
        <v>1182</v>
      </c>
      <c r="C203" s="107"/>
      <c r="D203" s="95"/>
      <c r="E203" s="95"/>
      <c r="F203" s="280"/>
      <c r="G203" s="280"/>
      <c r="H203" s="280"/>
      <c r="I203" s="280"/>
      <c r="J203" s="280"/>
      <c r="K203" s="280"/>
      <c r="L203" s="280"/>
      <c r="M203" s="280"/>
      <c r="N203" s="280"/>
      <c r="O203" s="280"/>
      <c r="P203" s="281"/>
    </row>
    <row r="204" spans="1:86" x14ac:dyDescent="0.25">
      <c r="A204" s="95"/>
      <c r="B204" s="16" t="s">
        <v>197</v>
      </c>
      <c r="C204" s="107"/>
      <c r="D204" s="95" t="s">
        <v>8</v>
      </c>
      <c r="E204" s="95"/>
      <c r="F204" s="279">
        <f>F222/$F$230*100</f>
        <v>95.238095238095227</v>
      </c>
      <c r="G204" s="279">
        <f>G222/$G$230*100</f>
        <v>100</v>
      </c>
      <c r="H204" s="279">
        <f>H222/$H$230*100</f>
        <v>100</v>
      </c>
      <c r="I204" s="279">
        <f>I222/$I$230*100</f>
        <v>100</v>
      </c>
      <c r="J204" s="279">
        <f t="shared" ref="J204:J211" si="83">J222/$J$230*100</f>
        <v>100</v>
      </c>
      <c r="K204" s="279">
        <f t="shared" ref="K204:K211" si="84">K222/$K$230*100</f>
        <v>100</v>
      </c>
      <c r="L204" s="279">
        <f t="shared" ref="L204:L211" si="85">L222/$L$230*100</f>
        <v>100</v>
      </c>
      <c r="M204" s="279" t="e">
        <f>M222/$M$230*100</f>
        <v>#DIV/0!</v>
      </c>
      <c r="N204" s="279">
        <v>100</v>
      </c>
      <c r="O204" s="279">
        <v>100</v>
      </c>
      <c r="P204" s="281"/>
      <c r="Q204" s="279">
        <f>Q222/Q230*100</f>
        <v>100</v>
      </c>
      <c r="R204" s="279">
        <f>R222/R230*100</f>
        <v>100</v>
      </c>
      <c r="S204" s="279">
        <f>S222/S230*100</f>
        <v>100</v>
      </c>
      <c r="T204" s="279">
        <f>T222/T230*100</f>
        <v>100</v>
      </c>
      <c r="V204" s="279">
        <f>V222/V230*100</f>
        <v>100</v>
      </c>
      <c r="W204" s="279">
        <f>W222/W230*100</f>
        <v>100</v>
      </c>
      <c r="Y204" s="279">
        <f>Y222/Y230*100</f>
        <v>100</v>
      </c>
      <c r="Z204" s="279">
        <f>Z222/Z230*100</f>
        <v>100</v>
      </c>
      <c r="AB204" s="279">
        <f>AB222/AB230*100</f>
        <v>100</v>
      </c>
      <c r="AC204" s="279">
        <f>AC222/AC230*100</f>
        <v>100</v>
      </c>
      <c r="AE204" s="279">
        <f>AE222/AE230*100</f>
        <v>100</v>
      </c>
      <c r="AF204" s="279">
        <f>AF222/AF230*100</f>
        <v>100</v>
      </c>
      <c r="AH204" s="279">
        <f>AH222/AH230*100</f>
        <v>100</v>
      </c>
      <c r="AI204" s="279">
        <f>AI222/AI230*100</f>
        <v>100</v>
      </c>
      <c r="AK204" s="279">
        <f>AK222/AK230*100</f>
        <v>100</v>
      </c>
      <c r="AL204" s="279">
        <f>AL222/AL230*100</f>
        <v>100</v>
      </c>
      <c r="AN204" s="279">
        <f>AN222/AN230*100</f>
        <v>100</v>
      </c>
      <c r="AO204" s="279">
        <f>AO222/AO230*100</f>
        <v>100</v>
      </c>
      <c r="AQ204" s="279">
        <f>AQ222/AQ230*100</f>
        <v>100</v>
      </c>
      <c r="AR204" s="279">
        <f>AR222/AR230*100</f>
        <v>100</v>
      </c>
      <c r="AT204" s="279">
        <f>AT222/AT230*100</f>
        <v>100</v>
      </c>
      <c r="AU204" s="279">
        <f>AU222/AU230*100</f>
        <v>100</v>
      </c>
      <c r="AW204" s="279">
        <f>AW222/AW230*100</f>
        <v>100</v>
      </c>
      <c r="AX204" s="279">
        <f>AX222/AX230*100</f>
        <v>100</v>
      </c>
      <c r="AZ204" s="279">
        <f>AZ222/AZ230*100</f>
        <v>100</v>
      </c>
      <c r="BA204" s="279">
        <f>BA222/BA230*100</f>
        <v>100</v>
      </c>
      <c r="BC204" s="279">
        <f>BC222/BC230*100</f>
        <v>100</v>
      </c>
      <c r="BD204" s="279">
        <f>BD222/BD230*100</f>
        <v>100</v>
      </c>
      <c r="BF204" s="279">
        <f>BF222/BF230*100</f>
        <v>100</v>
      </c>
      <c r="BG204" s="279">
        <f>BG222/BG230*100</f>
        <v>100</v>
      </c>
      <c r="BI204" s="279">
        <f>BI222/BI230*100</f>
        <v>100</v>
      </c>
      <c r="BJ204" s="279">
        <f>BJ222/BJ230*100</f>
        <v>100</v>
      </c>
      <c r="BL204" s="279">
        <f>BL222/BL230*100</f>
        <v>100</v>
      </c>
      <c r="BM204" s="279">
        <f>BM222/BM230*100</f>
        <v>100</v>
      </c>
      <c r="BO204" s="279">
        <f>BO222/BO230*100</f>
        <v>100</v>
      </c>
      <c r="BP204" s="279">
        <f>BP222/BP230*100</f>
        <v>100</v>
      </c>
      <c r="BR204" s="279">
        <f>BR222/BR230*100</f>
        <v>100</v>
      </c>
      <c r="BS204" s="279">
        <f>BS222/BS230*100</f>
        <v>100</v>
      </c>
      <c r="BU204" s="279">
        <f>BU222/BU230*100</f>
        <v>100</v>
      </c>
      <c r="BV204" s="279">
        <f>BV222/BV230*100</f>
        <v>100</v>
      </c>
      <c r="BX204" s="279">
        <f>BX222/BX230*100</f>
        <v>100</v>
      </c>
      <c r="BY204" s="279">
        <f>BY222/BY230*100</f>
        <v>100</v>
      </c>
      <c r="CA204" s="279">
        <f>CA222/CA230*100</f>
        <v>100</v>
      </c>
      <c r="CB204" s="279">
        <f>CB222/CB230*100</f>
        <v>100</v>
      </c>
      <c r="CD204" s="279">
        <f>CD222/CD230*100</f>
        <v>100</v>
      </c>
      <c r="CE204" s="279">
        <f>CE222/CE230*100</f>
        <v>100</v>
      </c>
      <c r="CG204" s="279">
        <f>CG222/CG230*100</f>
        <v>100</v>
      </c>
      <c r="CH204" s="279">
        <f>CH222/CH230*100</f>
        <v>100</v>
      </c>
    </row>
    <row r="205" spans="1:86" x14ac:dyDescent="0.25">
      <c r="A205" s="95"/>
      <c r="B205" s="16" t="s">
        <v>64</v>
      </c>
      <c r="C205" s="107"/>
      <c r="D205" s="95" t="s">
        <v>8</v>
      </c>
      <c r="E205" s="95"/>
      <c r="F205" s="279">
        <f>F223/$F$230*100</f>
        <v>95.238095238095227</v>
      </c>
      <c r="G205" s="279">
        <f>G223/$G$230*100</f>
        <v>100</v>
      </c>
      <c r="H205" s="279">
        <f>H223/$H$230*100</f>
        <v>100</v>
      </c>
      <c r="I205" s="279">
        <f>I223/$I$230*100</f>
        <v>100</v>
      </c>
      <c r="J205" s="279">
        <f t="shared" si="83"/>
        <v>100</v>
      </c>
      <c r="K205" s="279">
        <f t="shared" si="84"/>
        <v>100</v>
      </c>
      <c r="L205" s="279">
        <f t="shared" si="85"/>
        <v>100</v>
      </c>
      <c r="M205" s="279" t="e">
        <f t="shared" ref="M205:M211" si="86">M223/$M$230*100</f>
        <v>#DIV/0!</v>
      </c>
      <c r="N205" s="279">
        <v>100</v>
      </c>
      <c r="O205" s="279">
        <v>100</v>
      </c>
      <c r="P205" s="281"/>
      <c r="Q205" s="279">
        <f>Q223/Q230*100</f>
        <v>100</v>
      </c>
      <c r="R205" s="279">
        <f>R223/R230*100</f>
        <v>100</v>
      </c>
      <c r="S205" s="279">
        <f>S223/S230*100</f>
        <v>100</v>
      </c>
      <c r="T205" s="279">
        <f>T223/T230*100</f>
        <v>100</v>
      </c>
      <c r="V205" s="279">
        <f>V223/V230*100</f>
        <v>100</v>
      </c>
      <c r="W205" s="279">
        <f>W223/W230*100</f>
        <v>100</v>
      </c>
      <c r="Y205" s="279">
        <f>Y223/Y230*100</f>
        <v>100</v>
      </c>
      <c r="Z205" s="279">
        <f>Z223/Z230*100</f>
        <v>100</v>
      </c>
      <c r="AB205" s="279">
        <f>AB223/AB230*100</f>
        <v>100</v>
      </c>
      <c r="AC205" s="279">
        <f>AC223/AC230*100</f>
        <v>100</v>
      </c>
      <c r="AE205" s="279">
        <f>AE223/AE230*100</f>
        <v>100</v>
      </c>
      <c r="AF205" s="279">
        <f>AF223/AF230*100</f>
        <v>100</v>
      </c>
      <c r="AH205" s="279">
        <f>AH223/AH230*100</f>
        <v>100</v>
      </c>
      <c r="AI205" s="279">
        <f>AI223/AI230*100</f>
        <v>100</v>
      </c>
      <c r="AK205" s="279">
        <f>AK223/AK230*100</f>
        <v>100</v>
      </c>
      <c r="AL205" s="279">
        <f>AL223/AL230*100</f>
        <v>100</v>
      </c>
      <c r="AN205" s="279">
        <f>AN223/AN230*100</f>
        <v>100</v>
      </c>
      <c r="AO205" s="279">
        <f>AO223/AO230*100</f>
        <v>100</v>
      </c>
      <c r="AQ205" s="279">
        <f>AQ223/AQ230*100</f>
        <v>100</v>
      </c>
      <c r="AR205" s="279">
        <f>AR223/AR230*100</f>
        <v>100</v>
      </c>
      <c r="AT205" s="279">
        <f>AT223/AT230*100</f>
        <v>100</v>
      </c>
      <c r="AU205" s="279">
        <f>AU223/AU230*100</f>
        <v>100</v>
      </c>
      <c r="AW205" s="279">
        <f>AW223/AW230*100</f>
        <v>100</v>
      </c>
      <c r="AX205" s="279">
        <f>AX223/AX230*100</f>
        <v>100</v>
      </c>
      <c r="AZ205" s="279">
        <f>AZ223/AZ230*100</f>
        <v>100</v>
      </c>
      <c r="BA205" s="279">
        <f>BA223/BA230*100</f>
        <v>100</v>
      </c>
      <c r="BC205" s="279">
        <f>BC223/BC230*100</f>
        <v>100</v>
      </c>
      <c r="BD205" s="279">
        <f>BD223/BD230*100</f>
        <v>100</v>
      </c>
      <c r="BF205" s="279">
        <f>BF223/BF230*100</f>
        <v>100</v>
      </c>
      <c r="BG205" s="279">
        <f>BG223/BG230*100</f>
        <v>100</v>
      </c>
      <c r="BI205" s="279">
        <f>BI223/BI230*100</f>
        <v>100</v>
      </c>
      <c r="BJ205" s="279">
        <f>BJ223/BJ230*100</f>
        <v>100</v>
      </c>
      <c r="BL205" s="279">
        <f>BL223/BL230*100</f>
        <v>100</v>
      </c>
      <c r="BM205" s="279">
        <f>BM223/BM230*100</f>
        <v>100</v>
      </c>
      <c r="BO205" s="279">
        <f>BO223/BO230*100</f>
        <v>100</v>
      </c>
      <c r="BP205" s="279">
        <f>BP223/BP230*100</f>
        <v>100</v>
      </c>
      <c r="BR205" s="279">
        <f>BR223/BR230*100</f>
        <v>100</v>
      </c>
      <c r="BS205" s="279">
        <f>BS223/BS230*100</f>
        <v>100</v>
      </c>
      <c r="BU205" s="279">
        <f>BU223/BU230*100</f>
        <v>100</v>
      </c>
      <c r="BV205" s="279">
        <f>BV223/BV230*100</f>
        <v>100</v>
      </c>
      <c r="BX205" s="279">
        <f>BX223/BX230*100</f>
        <v>100</v>
      </c>
      <c r="BY205" s="279">
        <f>BY223/BY230*100</f>
        <v>100</v>
      </c>
      <c r="CA205" s="279">
        <f>CA223/CA230*100</f>
        <v>100</v>
      </c>
      <c r="CB205" s="279">
        <f>CB223/CB230*100</f>
        <v>100</v>
      </c>
      <c r="CD205" s="279">
        <f>CD223/CD230*100</f>
        <v>100</v>
      </c>
      <c r="CE205" s="279">
        <f>CE223/CE230*100</f>
        <v>100</v>
      </c>
      <c r="CG205" s="279">
        <f>CG223/CG230*100</f>
        <v>100</v>
      </c>
      <c r="CH205" s="279">
        <f>CH223/CH230*100</f>
        <v>100</v>
      </c>
    </row>
    <row r="206" spans="1:86" x14ac:dyDescent="0.25">
      <c r="A206" s="95"/>
      <c r="B206" s="16" t="s">
        <v>65</v>
      </c>
      <c r="C206" s="107"/>
      <c r="D206" s="95" t="s">
        <v>8</v>
      </c>
      <c r="E206" s="95"/>
      <c r="F206" s="279">
        <f>F224/$F$230*100</f>
        <v>95.238095238095227</v>
      </c>
      <c r="G206" s="279">
        <f>G224/$G$230*100</f>
        <v>100</v>
      </c>
      <c r="H206" s="279">
        <f>H224/$H$230*100</f>
        <v>100</v>
      </c>
      <c r="I206" s="279">
        <f>I224/$I$230*100</f>
        <v>100</v>
      </c>
      <c r="J206" s="279">
        <f t="shared" si="83"/>
        <v>100</v>
      </c>
      <c r="K206" s="279">
        <f t="shared" si="84"/>
        <v>100</v>
      </c>
      <c r="L206" s="279">
        <f t="shared" si="85"/>
        <v>100</v>
      </c>
      <c r="M206" s="279" t="e">
        <f t="shared" si="86"/>
        <v>#DIV/0!</v>
      </c>
      <c r="N206" s="279">
        <v>100</v>
      </c>
      <c r="O206" s="279">
        <v>100</v>
      </c>
      <c r="P206" s="281"/>
      <c r="Q206" s="279">
        <f>Q224/Q230*100</f>
        <v>100</v>
      </c>
      <c r="R206" s="279">
        <f>R224/R230*100</f>
        <v>100</v>
      </c>
      <c r="S206" s="279">
        <f>S224/S230*100</f>
        <v>100</v>
      </c>
      <c r="T206" s="279">
        <f>T224/T230*100</f>
        <v>100</v>
      </c>
      <c r="V206" s="279">
        <f>V224/V230*100</f>
        <v>100</v>
      </c>
      <c r="W206" s="279">
        <f>W224/W230*100</f>
        <v>100</v>
      </c>
      <c r="Y206" s="279">
        <f>Y224/Y230*100</f>
        <v>100</v>
      </c>
      <c r="Z206" s="279">
        <f>Z224/Z230*100</f>
        <v>100</v>
      </c>
      <c r="AB206" s="279">
        <f>AB224/AB230*100</f>
        <v>100</v>
      </c>
      <c r="AC206" s="279">
        <f>AC224/AC230*100</f>
        <v>100</v>
      </c>
      <c r="AE206" s="279">
        <f>AE224/AE230*100</f>
        <v>100</v>
      </c>
      <c r="AF206" s="279">
        <f>AF224/AF230*100</f>
        <v>100</v>
      </c>
      <c r="AH206" s="279">
        <f>AH224/AH230*100</f>
        <v>100</v>
      </c>
      <c r="AI206" s="279">
        <f>AI224/AI230*100</f>
        <v>100</v>
      </c>
      <c r="AK206" s="279">
        <f>AK224/AK230*100</f>
        <v>100</v>
      </c>
      <c r="AL206" s="279">
        <f>AL224/AL230*100</f>
        <v>100</v>
      </c>
      <c r="AN206" s="279">
        <f>AN224/AN230*100</f>
        <v>100</v>
      </c>
      <c r="AO206" s="279">
        <f>AO224/AO230*100</f>
        <v>100</v>
      </c>
      <c r="AQ206" s="279">
        <f>AQ224/AQ230*100</f>
        <v>100</v>
      </c>
      <c r="AR206" s="279">
        <f>AR224/AR230*100</f>
        <v>100</v>
      </c>
      <c r="AT206" s="279">
        <f>AT224/AT230*100</f>
        <v>100</v>
      </c>
      <c r="AU206" s="279">
        <f>AU224/AU230*100</f>
        <v>100</v>
      </c>
      <c r="AW206" s="279">
        <f>AW224/AW230*100</f>
        <v>100</v>
      </c>
      <c r="AX206" s="279">
        <f>AX224/AX230*100</f>
        <v>100</v>
      </c>
      <c r="AZ206" s="279">
        <f>AZ224/AZ230*100</f>
        <v>100</v>
      </c>
      <c r="BA206" s="279">
        <f>BA224/BA230*100</f>
        <v>100</v>
      </c>
      <c r="BC206" s="279">
        <f>BC224/BC230*100</f>
        <v>100</v>
      </c>
      <c r="BD206" s="279">
        <f>BD224/BD230*100</f>
        <v>100</v>
      </c>
      <c r="BF206" s="279">
        <f>BF224/BF230*100</f>
        <v>100</v>
      </c>
      <c r="BG206" s="279">
        <f>BG224/BG230*100</f>
        <v>100</v>
      </c>
      <c r="BI206" s="279">
        <f>BI224/BI230*100</f>
        <v>100</v>
      </c>
      <c r="BJ206" s="279">
        <f>BJ224/BJ230*100</f>
        <v>100</v>
      </c>
      <c r="BL206" s="279">
        <f>BL224/BL230*100</f>
        <v>100</v>
      </c>
      <c r="BM206" s="279">
        <f>BM224/BM230*100</f>
        <v>100</v>
      </c>
      <c r="BO206" s="279">
        <f>BO224/BO230*100</f>
        <v>100</v>
      </c>
      <c r="BP206" s="279">
        <f>BP224/BP230*100</f>
        <v>100</v>
      </c>
      <c r="BR206" s="279">
        <f>BR224/BR230*100</f>
        <v>100</v>
      </c>
      <c r="BS206" s="279">
        <f>BS224/BS230*100</f>
        <v>100</v>
      </c>
      <c r="BU206" s="279">
        <f>BU224/BU230*100</f>
        <v>100</v>
      </c>
      <c r="BV206" s="279">
        <f>BV224/BV230*100</f>
        <v>100</v>
      </c>
      <c r="BX206" s="279">
        <f>BX224/BX230*100</f>
        <v>100</v>
      </c>
      <c r="BY206" s="279">
        <f>BY224/BY230*100</f>
        <v>100</v>
      </c>
      <c r="CA206" s="279">
        <f>CA224/CA230*100</f>
        <v>100</v>
      </c>
      <c r="CB206" s="279">
        <f>CB224/CB230*100</f>
        <v>100</v>
      </c>
      <c r="CD206" s="279">
        <f>CD224/CD230*100</f>
        <v>100</v>
      </c>
      <c r="CE206" s="279">
        <f>CE224/CE230*100</f>
        <v>100</v>
      </c>
      <c r="CG206" s="279">
        <f>CG224/CG230*100</f>
        <v>100</v>
      </c>
      <c r="CH206" s="279">
        <f>CH224/CH230*100</f>
        <v>100</v>
      </c>
    </row>
    <row r="207" spans="1:86" x14ac:dyDescent="0.25">
      <c r="A207" s="95"/>
      <c r="B207" s="96" t="s">
        <v>1923</v>
      </c>
      <c r="C207" s="107"/>
      <c r="D207" s="95"/>
      <c r="E207" s="95"/>
      <c r="F207" s="279"/>
      <c r="G207" s="279"/>
      <c r="H207" s="279"/>
      <c r="I207" s="279"/>
      <c r="J207" s="279">
        <f t="shared" si="83"/>
        <v>98.507462686567166</v>
      </c>
      <c r="K207" s="279">
        <f t="shared" si="84"/>
        <v>97.47899159663865</v>
      </c>
      <c r="L207" s="279">
        <f t="shared" si="85"/>
        <v>94.392523364485982</v>
      </c>
      <c r="M207" s="279" t="e">
        <f t="shared" si="86"/>
        <v>#DIV/0!</v>
      </c>
      <c r="N207" s="279">
        <v>100</v>
      </c>
      <c r="O207" s="279">
        <v>100</v>
      </c>
      <c r="P207" s="281"/>
      <c r="Q207" s="279">
        <f>Q225/Q230*100</f>
        <v>94.392523364485982</v>
      </c>
      <c r="R207" s="279">
        <f>R225/R230*100</f>
        <v>96.739130434782609</v>
      </c>
      <c r="S207" s="279">
        <f>S225/S230*100</f>
        <v>100</v>
      </c>
      <c r="T207" s="279">
        <f>T225/T230*100</f>
        <v>100</v>
      </c>
      <c r="V207" s="279">
        <f>V225/V230*100</f>
        <v>85.714285714285708</v>
      </c>
      <c r="W207" s="279">
        <f>W225/W230*100</f>
        <v>100</v>
      </c>
      <c r="Y207" s="279">
        <f>Y225/Y230*100</f>
        <v>100</v>
      </c>
      <c r="Z207" s="279">
        <f>Z225/Z230*100</f>
        <v>100</v>
      </c>
      <c r="AB207" s="279">
        <f>AB225/AB230*100</f>
        <v>83.333333333333343</v>
      </c>
      <c r="AC207" s="279">
        <f>AC225/AC230*100</f>
        <v>80</v>
      </c>
      <c r="AE207" s="279">
        <f>AE225/AE230*100</f>
        <v>83.333333333333343</v>
      </c>
      <c r="AF207" s="279">
        <f>AF225/AF230*100</f>
        <v>83.333333333333343</v>
      </c>
      <c r="AH207" s="279">
        <f>AH225/AH230*100</f>
        <v>100</v>
      </c>
      <c r="AI207" s="279">
        <f>AI225/AI230*100</f>
        <v>100</v>
      </c>
      <c r="AK207" s="279">
        <f>AK225/AK230*100</f>
        <v>100</v>
      </c>
      <c r="AL207" s="279">
        <f>AL225/AL230*100</f>
        <v>100</v>
      </c>
      <c r="AN207" s="279">
        <f>AN225/AN230*100</f>
        <v>100</v>
      </c>
      <c r="AO207" s="279">
        <f>AO225/AO230*100</f>
        <v>100</v>
      </c>
      <c r="AQ207" s="279">
        <f>AQ225/AQ230*100</f>
        <v>66.666666666666657</v>
      </c>
      <c r="AR207" s="279">
        <f>AR225/AR230*100</f>
        <v>50</v>
      </c>
      <c r="AT207" s="279">
        <f>AT225/AT230*100</f>
        <v>100</v>
      </c>
      <c r="AU207" s="279">
        <f>AU225/AU230*100</f>
        <v>100</v>
      </c>
      <c r="AW207" s="279">
        <f>AW225/AW230*100</f>
        <v>100</v>
      </c>
      <c r="AX207" s="279">
        <f>AX225/AX230*100</f>
        <v>100</v>
      </c>
      <c r="AZ207" s="279">
        <f>AZ225/AZ230*100</f>
        <v>100</v>
      </c>
      <c r="BA207" s="279">
        <f>BA225/BA230*100</f>
        <v>100</v>
      </c>
      <c r="BC207" s="279">
        <f>BC225/BC230*100</f>
        <v>100</v>
      </c>
      <c r="BD207" s="279">
        <f>BD225/BD230*100</f>
        <v>100</v>
      </c>
      <c r="BF207" s="279">
        <f>BF225/BF230*100</f>
        <v>100</v>
      </c>
      <c r="BG207" s="279">
        <f>BG225/BG230*100</f>
        <v>100</v>
      </c>
      <c r="BI207" s="279">
        <f>BI225/BI230*100</f>
        <v>100</v>
      </c>
      <c r="BJ207" s="279">
        <f>BJ225/BJ230*100</f>
        <v>100</v>
      </c>
      <c r="BL207" s="279">
        <f>BL225/BL230*100</f>
        <v>100</v>
      </c>
      <c r="BM207" s="279">
        <f>BM225/BM230*100</f>
        <v>100</v>
      </c>
      <c r="BO207" s="279">
        <f>BO225/BO230*100</f>
        <v>100</v>
      </c>
      <c r="BP207" s="279">
        <f>BP225/BP230*100</f>
        <v>100</v>
      </c>
      <c r="BR207" s="279">
        <f>BR225/BR230*100</f>
        <v>100</v>
      </c>
      <c r="BS207" s="279">
        <f>BS225/BS230*100</f>
        <v>100</v>
      </c>
      <c r="BU207" s="279">
        <f>BU225/BU230*100</f>
        <v>100</v>
      </c>
      <c r="BV207" s="279">
        <f>BV225/BV230*100</f>
        <v>100</v>
      </c>
      <c r="BX207" s="279">
        <f>BX225/BX230*100</f>
        <v>100</v>
      </c>
      <c r="BY207" s="279">
        <f>BY225/BY230*100</f>
        <v>100</v>
      </c>
      <c r="CA207" s="279">
        <f>CA225/CA230*100</f>
        <v>50</v>
      </c>
      <c r="CB207" s="279">
        <f>CB225/CB230*100</f>
        <v>100</v>
      </c>
      <c r="CD207" s="279">
        <f>CD225/CD230*100</f>
        <v>100</v>
      </c>
      <c r="CE207" s="279">
        <f>CE225/CE230*100</f>
        <v>100</v>
      </c>
      <c r="CG207" s="279">
        <f>CG225/CG230*100</f>
        <v>0</v>
      </c>
      <c r="CH207" s="279">
        <f>CH225/CH230*100</f>
        <v>100</v>
      </c>
    </row>
    <row r="208" spans="1:86" x14ac:dyDescent="0.25">
      <c r="A208" s="95"/>
      <c r="B208" s="96" t="s">
        <v>1924</v>
      </c>
      <c r="C208" s="107"/>
      <c r="D208" s="95"/>
      <c r="E208" s="95"/>
      <c r="F208" s="279">
        <f>F226/$F$230*100</f>
        <v>95.238095238095227</v>
      </c>
      <c r="G208" s="279">
        <f>G226/$G$230*100</f>
        <v>91.803278688524586</v>
      </c>
      <c r="H208" s="279">
        <f>H226/$H$230*100</f>
        <v>91.228070175438589</v>
      </c>
      <c r="I208" s="279">
        <f>I226/$I$230*100</f>
        <v>94.545454545454547</v>
      </c>
      <c r="J208" s="279">
        <f t="shared" si="83"/>
        <v>91.044776119402982</v>
      </c>
      <c r="K208" s="279">
        <f t="shared" si="84"/>
        <v>89.075630252100851</v>
      </c>
      <c r="L208" s="279">
        <f t="shared" si="85"/>
        <v>89.719626168224295</v>
      </c>
      <c r="M208" s="279" t="e">
        <f t="shared" si="86"/>
        <v>#DIV/0!</v>
      </c>
      <c r="N208" s="279">
        <v>100</v>
      </c>
      <c r="O208" s="279">
        <v>100</v>
      </c>
      <c r="P208" s="281"/>
      <c r="Q208" s="279">
        <f>Q226/Q230*100</f>
        <v>89.719626168224295</v>
      </c>
      <c r="R208" s="279">
        <f>R226/R230*100</f>
        <v>91.304347826086953</v>
      </c>
      <c r="S208" s="279">
        <f>S226/S230*100</f>
        <v>66.666666666666657</v>
      </c>
      <c r="T208" s="279">
        <f>T226/T230*100</f>
        <v>50</v>
      </c>
      <c r="V208" s="279">
        <f>V226/V230*100</f>
        <v>100</v>
      </c>
      <c r="W208" s="279">
        <f>W226/W230*100</f>
        <v>100</v>
      </c>
      <c r="Y208" s="279">
        <f>Y226/Y230*100</f>
        <v>100</v>
      </c>
      <c r="Z208" s="279">
        <f>Z226/Z230*100</f>
        <v>100</v>
      </c>
      <c r="AB208" s="279">
        <f>AB226/AB230*100</f>
        <v>83.333333333333343</v>
      </c>
      <c r="AC208" s="279">
        <f>AC226/AC230*100</f>
        <v>80</v>
      </c>
      <c r="AE208" s="279">
        <f>AE226/AE230*100</f>
        <v>66.666666666666657</v>
      </c>
      <c r="AF208" s="279">
        <f>AF226/AF230*100</f>
        <v>83.333333333333343</v>
      </c>
      <c r="AH208" s="279">
        <f>AH226/AH230*100</f>
        <v>87.5</v>
      </c>
      <c r="AI208" s="279">
        <f>AI226/AI230*100</f>
        <v>87.5</v>
      </c>
      <c r="AK208" s="279">
        <f>AK226/AK230*100</f>
        <v>100</v>
      </c>
      <c r="AL208" s="279">
        <f>AL226/AL230*100</f>
        <v>100</v>
      </c>
      <c r="AN208" s="279">
        <f>AN226/AN230*100</f>
        <v>100</v>
      </c>
      <c r="AO208" s="279">
        <f>AO226/AO230*100</f>
        <v>100</v>
      </c>
      <c r="AQ208" s="279">
        <f>AQ226/AQ230*100</f>
        <v>66.666666666666657</v>
      </c>
      <c r="AR208" s="279">
        <f>AR226/AR230*100</f>
        <v>50</v>
      </c>
      <c r="AT208" s="279">
        <f>AT226/AT230*100</f>
        <v>87.5</v>
      </c>
      <c r="AU208" s="279">
        <f>AU226/AU230*100</f>
        <v>100</v>
      </c>
      <c r="AW208" s="279">
        <f>AW226/AW230*100</f>
        <v>100</v>
      </c>
      <c r="AX208" s="279">
        <f>AX226/AX230*100</f>
        <v>100</v>
      </c>
      <c r="AZ208" s="279">
        <f>AZ226/AZ230*100</f>
        <v>100</v>
      </c>
      <c r="BA208" s="279">
        <f>BA226/BA230*100</f>
        <v>100</v>
      </c>
      <c r="BC208" s="279">
        <f>BC226/BC230*100</f>
        <v>75</v>
      </c>
      <c r="BD208" s="279">
        <f>BD226/BD230*100</f>
        <v>100</v>
      </c>
      <c r="BF208" s="279">
        <f>BF226/BF230*100</f>
        <v>100</v>
      </c>
      <c r="BG208" s="279">
        <f>BG226/BG230*100</f>
        <v>83.333333333333343</v>
      </c>
      <c r="BI208" s="279">
        <f>BI226/BI230*100</f>
        <v>90</v>
      </c>
      <c r="BJ208" s="279">
        <f>BJ226/BJ230*100</f>
        <v>90</v>
      </c>
      <c r="BL208" s="279">
        <f>BL226/BL230*100</f>
        <v>100</v>
      </c>
      <c r="BM208" s="279">
        <f>BM226/BM230*100</f>
        <v>100</v>
      </c>
      <c r="BO208" s="279">
        <f>BO226/BO230*100</f>
        <v>100</v>
      </c>
      <c r="BP208" s="279">
        <f>BP226/BP230*100</f>
        <v>100</v>
      </c>
      <c r="BR208" s="279">
        <f>BR226/BR230*100</f>
        <v>100</v>
      </c>
      <c r="BS208" s="279">
        <f>BS226/BS230*100</f>
        <v>100</v>
      </c>
      <c r="BU208" s="279">
        <f>BU226/BU230*100</f>
        <v>100</v>
      </c>
      <c r="BV208" s="279">
        <f>BV226/BV230*100</f>
        <v>100</v>
      </c>
      <c r="BX208" s="279">
        <f>BX226/BX230*100</f>
        <v>100</v>
      </c>
      <c r="BY208" s="279">
        <f>BY226/BY230*100</f>
        <v>100</v>
      </c>
      <c r="CA208" s="279">
        <f>CA226/CA230*100</f>
        <v>50</v>
      </c>
      <c r="CB208" s="279">
        <f>CB226/CB230*100</f>
        <v>50</v>
      </c>
      <c r="CD208" s="279">
        <f>CD226/CD230*100</f>
        <v>100</v>
      </c>
      <c r="CE208" s="279">
        <f>CE226/CE230*100</f>
        <v>100</v>
      </c>
      <c r="CG208" s="279">
        <f>CG226/CG230*100</f>
        <v>0</v>
      </c>
      <c r="CH208" s="279">
        <f>CH226/CH230*100</f>
        <v>100</v>
      </c>
    </row>
    <row r="209" spans="1:86" x14ac:dyDescent="0.25">
      <c r="A209" s="95"/>
      <c r="B209" s="96" t="s">
        <v>1925</v>
      </c>
      <c r="C209" s="107"/>
      <c r="D209" s="95"/>
      <c r="E209" s="95"/>
      <c r="F209" s="279">
        <f>F227/$F$230*100</f>
        <v>82.539682539682531</v>
      </c>
      <c r="G209" s="279">
        <f>G227/$G$230*100</f>
        <v>81.967213114754102</v>
      </c>
      <c r="H209" s="279">
        <f>H227/$H$230*100</f>
        <v>71.929824561403507</v>
      </c>
      <c r="I209" s="279">
        <f>I227/$I$230*100</f>
        <v>69.090909090909093</v>
      </c>
      <c r="J209" s="279">
        <f t="shared" si="83"/>
        <v>76.865671641791039</v>
      </c>
      <c r="K209" s="279">
        <f t="shared" si="84"/>
        <v>77.310924369747909</v>
      </c>
      <c r="L209" s="279">
        <f t="shared" si="85"/>
        <v>79.43925233644859</v>
      </c>
      <c r="M209" s="279" t="e">
        <f t="shared" si="86"/>
        <v>#DIV/0!</v>
      </c>
      <c r="N209" s="279">
        <v>100</v>
      </c>
      <c r="O209" s="279">
        <v>100</v>
      </c>
      <c r="P209" s="281"/>
      <c r="Q209" s="279">
        <f>Q227/Q230*100</f>
        <v>79.43925233644859</v>
      </c>
      <c r="R209" s="279">
        <f>R227/R230*100</f>
        <v>78.260869565217391</v>
      </c>
      <c r="S209" s="279">
        <f>S227/S230*100</f>
        <v>100</v>
      </c>
      <c r="T209" s="279">
        <f>T227/T230*100</f>
        <v>100</v>
      </c>
      <c r="V209" s="279">
        <f>V227/V230*100</f>
        <v>28.571428571428569</v>
      </c>
      <c r="W209" s="279">
        <f>W227/W230*100</f>
        <v>28.571428571428569</v>
      </c>
      <c r="Y209" s="279">
        <f>Y227/Y230*100</f>
        <v>77.777777777777786</v>
      </c>
      <c r="Z209" s="279">
        <f>Z227/Z230*100</f>
        <v>60</v>
      </c>
      <c r="AB209" s="279">
        <f>AB227/AB230*100</f>
        <v>66.666666666666657</v>
      </c>
      <c r="AC209" s="279">
        <f>AC227/AC230*100</f>
        <v>40</v>
      </c>
      <c r="AE209" s="279">
        <f>AE227/AE230*100</f>
        <v>66.666666666666657</v>
      </c>
      <c r="AF209" s="279">
        <f>AF227/AF230*100</f>
        <v>66.666666666666657</v>
      </c>
      <c r="AH209" s="279">
        <f>AH227/AH230*100</f>
        <v>62.5</v>
      </c>
      <c r="AI209" s="279">
        <f>AI227/AI230*100</f>
        <v>62.5</v>
      </c>
      <c r="AK209" s="279">
        <f>AK227/AK230*100</f>
        <v>33.333333333333329</v>
      </c>
      <c r="AL209" s="279">
        <f>AL227/AL230*100</f>
        <v>33.333333333333329</v>
      </c>
      <c r="AN209" s="279">
        <f>AN227/AN230*100</f>
        <v>100</v>
      </c>
      <c r="AO209" s="279">
        <f>AO227/AO230*100</f>
        <v>100</v>
      </c>
      <c r="AQ209" s="279">
        <f>AQ227/AQ230*100</f>
        <v>33.333333333333329</v>
      </c>
      <c r="AR209" s="279">
        <f>AR227/AR230*100</f>
        <v>50</v>
      </c>
      <c r="AT209" s="279">
        <f>AT227/AT230*100</f>
        <v>87.5</v>
      </c>
      <c r="AU209" s="279">
        <f>AU227/AU230*100</f>
        <v>83.333333333333343</v>
      </c>
      <c r="AW209" s="279">
        <f>AW227/AW230*100</f>
        <v>100</v>
      </c>
      <c r="AX209" s="279">
        <f>AX227/AX230*100</f>
        <v>100</v>
      </c>
      <c r="AZ209" s="279">
        <f>AZ227/AZ230*100</f>
        <v>100</v>
      </c>
      <c r="BA209" s="279">
        <f>BA227/BA230*100</f>
        <v>100</v>
      </c>
      <c r="BC209" s="279">
        <f>BC227/BC230*100</f>
        <v>75</v>
      </c>
      <c r="BD209" s="279">
        <f>BD227/BD230*100</f>
        <v>100</v>
      </c>
      <c r="BF209" s="279">
        <f>BF227/BF230*100</f>
        <v>100</v>
      </c>
      <c r="BG209" s="279">
        <f>BG227/BG230*100</f>
        <v>100</v>
      </c>
      <c r="BI209" s="279">
        <f>BI227/BI230*100</f>
        <v>100</v>
      </c>
      <c r="BJ209" s="279">
        <f>BJ227/BJ230*100</f>
        <v>100</v>
      </c>
      <c r="BL209" s="279">
        <f>BL227/BL230*100</f>
        <v>80</v>
      </c>
      <c r="BM209" s="279">
        <f>BM227/BM230*100</f>
        <v>75</v>
      </c>
      <c r="BO209" s="279">
        <f>BO227/BO230*100</f>
        <v>100</v>
      </c>
      <c r="BP209" s="279">
        <f>BP227/BP230*100</f>
        <v>100</v>
      </c>
      <c r="BR209" s="279">
        <f>BR227/BR230*100</f>
        <v>100</v>
      </c>
      <c r="BS209" s="279">
        <f>BS227/BS230*100</f>
        <v>100</v>
      </c>
      <c r="BU209" s="279">
        <f>BU227/BU230*100</f>
        <v>100</v>
      </c>
      <c r="BV209" s="279">
        <f>BV227/BV230*100</f>
        <v>100</v>
      </c>
      <c r="BX209" s="279">
        <f>BX227/BX230*100</f>
        <v>100</v>
      </c>
      <c r="BY209" s="279">
        <f>BY227/BY230*100</f>
        <v>100</v>
      </c>
      <c r="CA209" s="279">
        <f>CA227/CA230*100</f>
        <v>100</v>
      </c>
      <c r="CB209" s="279">
        <f>CB227/CB230*100</f>
        <v>100</v>
      </c>
      <c r="CD209" s="279">
        <f>CD227/CD230*100</f>
        <v>100</v>
      </c>
      <c r="CE209" s="279">
        <f>CE227/CE230*100</f>
        <v>100</v>
      </c>
      <c r="CG209" s="279">
        <f>CG227/CG230*100</f>
        <v>0</v>
      </c>
      <c r="CH209" s="279">
        <f>CH227/CH230*100</f>
        <v>100</v>
      </c>
    </row>
    <row r="210" spans="1:86" x14ac:dyDescent="0.25">
      <c r="A210" s="95"/>
      <c r="B210" s="96" t="s">
        <v>1926</v>
      </c>
      <c r="C210" s="107"/>
      <c r="D210" s="95"/>
      <c r="E210" s="95"/>
      <c r="F210" s="279"/>
      <c r="G210" s="279"/>
      <c r="H210" s="279"/>
      <c r="I210" s="279"/>
      <c r="J210" s="279">
        <f t="shared" si="83"/>
        <v>90.298507462686572</v>
      </c>
      <c r="K210" s="279">
        <f t="shared" si="84"/>
        <v>89.075630252100851</v>
      </c>
      <c r="L210" s="279">
        <f t="shared" si="85"/>
        <v>94.392523364485982</v>
      </c>
      <c r="M210" s="279" t="e">
        <f t="shared" si="86"/>
        <v>#DIV/0!</v>
      </c>
      <c r="N210" s="279">
        <v>100</v>
      </c>
      <c r="O210" s="279">
        <v>100</v>
      </c>
      <c r="P210" s="281"/>
      <c r="Q210" s="279">
        <f>Q228/Q230*100</f>
        <v>94.392523364485982</v>
      </c>
      <c r="R210" s="279">
        <f>R228/R230*100</f>
        <v>95.652173913043484</v>
      </c>
      <c r="S210" s="279">
        <f>S228/S230*100</f>
        <v>66.666666666666657</v>
      </c>
      <c r="T210" s="279">
        <f>T228/T230*100</f>
        <v>100</v>
      </c>
      <c r="V210" s="279">
        <f>V228/V230*100</f>
        <v>85.714285714285708</v>
      </c>
      <c r="W210" s="279">
        <f>W228/W230*100</f>
        <v>85.714285714285708</v>
      </c>
      <c r="Y210" s="279">
        <f>Y228/Y230*100</f>
        <v>88.888888888888886</v>
      </c>
      <c r="Z210" s="279">
        <f>Z228/Z230*100</f>
        <v>80</v>
      </c>
      <c r="AB210" s="279">
        <f>AB228/AB230*100</f>
        <v>100</v>
      </c>
      <c r="AC210" s="279">
        <f>AC228/AC230*100</f>
        <v>100</v>
      </c>
      <c r="AE210" s="279">
        <f>AE228/AE230*100</f>
        <v>100</v>
      </c>
      <c r="AF210" s="279">
        <f>AF228/AF230*100</f>
        <v>100</v>
      </c>
      <c r="AH210" s="279">
        <f>AH228/AH230*100</f>
        <v>87.5</v>
      </c>
      <c r="AI210" s="279">
        <f>AI228/AI230*100</f>
        <v>87.5</v>
      </c>
      <c r="AK210" s="279">
        <f>AK228/AK230*100</f>
        <v>66.666666666666657</v>
      </c>
      <c r="AL210" s="279">
        <f>AL228/AL230*100</f>
        <v>66.666666666666657</v>
      </c>
      <c r="AN210" s="279">
        <f>AN228/AN230*100</f>
        <v>100</v>
      </c>
      <c r="AO210" s="279">
        <f>AO228/AO230*100</f>
        <v>100</v>
      </c>
      <c r="AQ210" s="279">
        <f>AQ228/AQ230*100</f>
        <v>100</v>
      </c>
      <c r="AR210" s="279">
        <f>AR228/AR230*100</f>
        <v>100</v>
      </c>
      <c r="AT210" s="279">
        <f>AT228/AT230*100</f>
        <v>100</v>
      </c>
      <c r="AU210" s="279">
        <f>AU228/AU230*100</f>
        <v>100</v>
      </c>
      <c r="AW210" s="279">
        <f>AW228/AW230*100</f>
        <v>100</v>
      </c>
      <c r="AX210" s="279">
        <f>AX228/AX230*100</f>
        <v>100</v>
      </c>
      <c r="AZ210" s="279">
        <f>AZ228/AZ230*100</f>
        <v>100</v>
      </c>
      <c r="BA210" s="279">
        <f>BA228/BA230*100</f>
        <v>100</v>
      </c>
      <c r="BC210" s="279">
        <f>BC228/BC230*100</f>
        <v>100</v>
      </c>
      <c r="BD210" s="279">
        <f>BD228/BD230*100</f>
        <v>100</v>
      </c>
      <c r="BF210" s="279">
        <f>BF228/BF230*100</f>
        <v>100</v>
      </c>
      <c r="BG210" s="279">
        <f>BG228/BG230*100</f>
        <v>100</v>
      </c>
      <c r="BI210" s="279">
        <f>BI228/BI230*100</f>
        <v>100</v>
      </c>
      <c r="BJ210" s="279">
        <f>BJ228/BJ230*100</f>
        <v>100</v>
      </c>
      <c r="BL210" s="279">
        <f>BL228/BL230*100</f>
        <v>100</v>
      </c>
      <c r="BM210" s="279">
        <f>BM228/BM230*100</f>
        <v>100</v>
      </c>
      <c r="BO210" s="279">
        <f>BO228/BO230*100</f>
        <v>100</v>
      </c>
      <c r="BP210" s="279">
        <f>BP228/BP230*100</f>
        <v>100</v>
      </c>
      <c r="BR210" s="279">
        <f>BR228/BR230*100</f>
        <v>100</v>
      </c>
      <c r="BS210" s="279">
        <f>BS228/BS230*100</f>
        <v>100</v>
      </c>
      <c r="BU210" s="279">
        <f>BU228/BU230*100</f>
        <v>100</v>
      </c>
      <c r="BV210" s="279">
        <f>BV228/BV230*100</f>
        <v>100</v>
      </c>
      <c r="BX210" s="279">
        <f>BX228/BX230*100</f>
        <v>100</v>
      </c>
      <c r="BY210" s="279">
        <f>BY228/BY230*100</f>
        <v>100</v>
      </c>
      <c r="CA210" s="279">
        <f>CA228/CA230*100</f>
        <v>100</v>
      </c>
      <c r="CB210" s="279">
        <f>CB228/CB230*100</f>
        <v>100</v>
      </c>
      <c r="CD210" s="279">
        <f>CD228/CD230*100</f>
        <v>100</v>
      </c>
      <c r="CE210" s="279">
        <f>CE228/CE230*100</f>
        <v>100</v>
      </c>
      <c r="CG210" s="279">
        <f>CG228/CG230*100</f>
        <v>0</v>
      </c>
      <c r="CH210" s="279">
        <f>CH228/CH230*100</f>
        <v>100</v>
      </c>
    </row>
    <row r="211" spans="1:86" x14ac:dyDescent="0.25">
      <c r="A211" s="95"/>
      <c r="B211" s="96" t="s">
        <v>1927</v>
      </c>
      <c r="C211" s="107"/>
      <c r="D211" s="95"/>
      <c r="E211" s="95"/>
      <c r="F211" s="279"/>
      <c r="G211" s="279"/>
      <c r="H211" s="279"/>
      <c r="I211" s="279"/>
      <c r="J211" s="279">
        <f t="shared" si="83"/>
        <v>91.791044776119406</v>
      </c>
      <c r="K211" s="279">
        <f t="shared" si="84"/>
        <v>86.554621848739501</v>
      </c>
      <c r="L211" s="279">
        <f t="shared" si="85"/>
        <v>89.719626168224295</v>
      </c>
      <c r="M211" s="279" t="e">
        <f t="shared" si="86"/>
        <v>#DIV/0!</v>
      </c>
      <c r="N211" s="279">
        <v>100</v>
      </c>
      <c r="O211" s="279">
        <v>100</v>
      </c>
      <c r="P211" s="281"/>
      <c r="Q211" s="279">
        <f>Q229/Q230*100</f>
        <v>89.719626168224295</v>
      </c>
      <c r="R211" s="279">
        <f>R229/R230*100</f>
        <v>92.391304347826093</v>
      </c>
      <c r="S211" s="279">
        <f>S229/S230*100</f>
        <v>100</v>
      </c>
      <c r="T211" s="279">
        <f>T229/T230*100</f>
        <v>100</v>
      </c>
      <c r="V211" s="279">
        <f>V229/V230*100</f>
        <v>57.142857142857139</v>
      </c>
      <c r="W211" s="279">
        <f>W229/W230*100</f>
        <v>71.428571428571431</v>
      </c>
      <c r="Y211" s="279">
        <f>Y229/Y230*100</f>
        <v>66.666666666666657</v>
      </c>
      <c r="Z211" s="279">
        <f>Z229/Z230*100</f>
        <v>60</v>
      </c>
      <c r="AB211" s="279">
        <f>AB229/AB230*100</f>
        <v>100</v>
      </c>
      <c r="AC211" s="279">
        <f>AC229/AC230*100</f>
        <v>100</v>
      </c>
      <c r="AE211" s="279">
        <f>AE229/AE230*100</f>
        <v>100</v>
      </c>
      <c r="AF211" s="279">
        <f>AF229/AF230*100</f>
        <v>100</v>
      </c>
      <c r="AH211" s="279">
        <f>AH229/AH230*100</f>
        <v>62.5</v>
      </c>
      <c r="AI211" s="279">
        <f>AI229/AI230*100</f>
        <v>62.5</v>
      </c>
      <c r="AK211" s="279">
        <f>AK229/AK230*100</f>
        <v>100</v>
      </c>
      <c r="AL211" s="279">
        <f>AL229/AL230*100</f>
        <v>100</v>
      </c>
      <c r="AN211" s="279">
        <f>AN229/AN230*100</f>
        <v>85.714285714285708</v>
      </c>
      <c r="AO211" s="279">
        <f>AO229/AO230*100</f>
        <v>100</v>
      </c>
      <c r="AQ211" s="279">
        <f>AQ229/AQ230*100</f>
        <v>100</v>
      </c>
      <c r="AR211" s="279">
        <f>AR229/AR230*100</f>
        <v>100</v>
      </c>
      <c r="AT211" s="279">
        <f>AT229/AT230*100</f>
        <v>100</v>
      </c>
      <c r="AU211" s="279">
        <f>AU229/AU230*100</f>
        <v>100</v>
      </c>
      <c r="AW211" s="279">
        <f>AW229/AW230*100</f>
        <v>100</v>
      </c>
      <c r="AX211" s="279">
        <f>AX229/AX230*100</f>
        <v>100</v>
      </c>
      <c r="AZ211" s="279">
        <f>AZ229/AZ230*100</f>
        <v>100</v>
      </c>
      <c r="BA211" s="279">
        <f>BA229/BA230*100</f>
        <v>100</v>
      </c>
      <c r="BC211" s="279">
        <f>BC229/BC230*100</f>
        <v>100</v>
      </c>
      <c r="BD211" s="279">
        <f>BD229/BD230*100</f>
        <v>100</v>
      </c>
      <c r="BF211" s="279">
        <f>BF229/BF230*100</f>
        <v>100</v>
      </c>
      <c r="BG211" s="279">
        <f>BG229/BG230*100</f>
        <v>100</v>
      </c>
      <c r="BI211" s="279">
        <f>BI229/BI230*100</f>
        <v>100</v>
      </c>
      <c r="BJ211" s="279">
        <f>BJ229/BJ230*100</f>
        <v>100</v>
      </c>
      <c r="BL211" s="279">
        <f>BL229/BL230*100</f>
        <v>100</v>
      </c>
      <c r="BM211" s="279">
        <f>BM229/BM230*100</f>
        <v>100</v>
      </c>
      <c r="BO211" s="279">
        <f>BO229/BO230*100</f>
        <v>100</v>
      </c>
      <c r="BP211" s="279">
        <f>BP229/BP230*100</f>
        <v>100</v>
      </c>
      <c r="BR211" s="279">
        <f>BR229/BR230*100</f>
        <v>100</v>
      </c>
      <c r="BS211" s="279">
        <f>BS229/BS230*100</f>
        <v>100</v>
      </c>
      <c r="BU211" s="279">
        <f>BU229/BU230*100</f>
        <v>100</v>
      </c>
      <c r="BV211" s="279">
        <f>BV229/BV230*100</f>
        <v>100</v>
      </c>
      <c r="BX211" s="279">
        <f>BX229/BX230*100</f>
        <v>100</v>
      </c>
      <c r="BY211" s="279">
        <f>BY229/BY230*100</f>
        <v>100</v>
      </c>
      <c r="CA211" s="279">
        <f>CA229/CA230*100</f>
        <v>100</v>
      </c>
      <c r="CB211" s="279">
        <f>CB229/CB230*100</f>
        <v>100</v>
      </c>
      <c r="CD211" s="279">
        <f>CD229/CD230*100</f>
        <v>100</v>
      </c>
      <c r="CE211" s="279">
        <f>CE229/CE230*100</f>
        <v>100</v>
      </c>
      <c r="CG211" s="279">
        <f>CG229/CG230*100</f>
        <v>0</v>
      </c>
      <c r="CH211" s="279">
        <f>CH229/CH230*100</f>
        <v>100</v>
      </c>
    </row>
    <row r="212" spans="1:86" x14ac:dyDescent="0.25">
      <c r="A212" s="95"/>
      <c r="B212" s="16" t="s">
        <v>1184</v>
      </c>
      <c r="C212" s="107"/>
      <c r="D212" s="95"/>
      <c r="E212" s="95"/>
      <c r="F212" s="280"/>
      <c r="G212" s="280"/>
      <c r="H212" s="280"/>
      <c r="I212" s="280"/>
      <c r="J212" s="280"/>
      <c r="K212" s="280"/>
      <c r="L212" s="280"/>
      <c r="M212" s="280"/>
      <c r="N212" s="280"/>
      <c r="O212" s="280"/>
      <c r="P212" s="281"/>
      <c r="Q212" s="280"/>
      <c r="R212" s="280"/>
      <c r="S212" s="280"/>
      <c r="T212" s="280"/>
      <c r="V212" s="280"/>
      <c r="W212" s="280"/>
      <c r="Y212" s="280"/>
      <c r="Z212" s="280"/>
      <c r="AB212" s="280"/>
      <c r="AC212" s="280"/>
      <c r="AE212" s="280"/>
      <c r="AF212" s="280"/>
      <c r="AH212" s="280"/>
      <c r="AI212" s="280"/>
      <c r="AK212" s="280"/>
      <c r="AL212" s="280"/>
      <c r="AN212" s="280"/>
      <c r="AO212" s="280"/>
      <c r="AQ212" s="280"/>
      <c r="AR212" s="280"/>
      <c r="AT212" s="280"/>
      <c r="AU212" s="280"/>
      <c r="AW212" s="280"/>
      <c r="AX212" s="280"/>
      <c r="AZ212" s="280"/>
      <c r="BA212" s="280"/>
      <c r="BC212" s="280"/>
      <c r="BD212" s="280"/>
      <c r="BF212" s="280"/>
      <c r="BG212" s="280"/>
      <c r="BI212" s="280"/>
      <c r="BJ212" s="280"/>
      <c r="BL212" s="280"/>
      <c r="BM212" s="280"/>
      <c r="BO212" s="280"/>
      <c r="BP212" s="280"/>
      <c r="BR212" s="280"/>
      <c r="BS212" s="280"/>
      <c r="BU212" s="280"/>
      <c r="BV212" s="280"/>
      <c r="BX212" s="280"/>
      <c r="BY212" s="280"/>
      <c r="CA212" s="280"/>
      <c r="CB212" s="280"/>
      <c r="CD212" s="280"/>
      <c r="CE212" s="280"/>
      <c r="CG212" s="280"/>
      <c r="CH212" s="280"/>
    </row>
    <row r="213" spans="1:86" x14ac:dyDescent="0.25">
      <c r="A213" s="95"/>
      <c r="B213" s="16" t="s">
        <v>197</v>
      </c>
      <c r="C213" s="107"/>
      <c r="D213" s="95" t="s">
        <v>8</v>
      </c>
      <c r="E213" s="95"/>
      <c r="F213" s="279">
        <f>F241/$F$230*100</f>
        <v>0</v>
      </c>
      <c r="G213" s="279">
        <f>G241/$G$230*100</f>
        <v>0</v>
      </c>
      <c r="H213" s="279">
        <f>H241/$H$230*100</f>
        <v>0</v>
      </c>
      <c r="I213" s="279">
        <f>I241/$I$230*100</f>
        <v>0</v>
      </c>
      <c r="J213" s="279">
        <f t="shared" ref="J213:J220" si="87">J232/$J$240*100</f>
        <v>100</v>
      </c>
      <c r="K213" s="279">
        <f t="shared" ref="K213:K220" si="88">K232/$K$240*100</f>
        <v>100</v>
      </c>
      <c r="L213" s="279">
        <f t="shared" ref="L213:L220" si="89">L232/$L$240*100</f>
        <v>100</v>
      </c>
      <c r="M213" s="279" t="e">
        <f>M232/$M$240*100</f>
        <v>#DIV/0!</v>
      </c>
      <c r="N213" s="279">
        <v>0</v>
      </c>
      <c r="O213" s="279">
        <v>0</v>
      </c>
      <c r="P213" s="281"/>
      <c r="Q213" s="279">
        <f>Q232/Q240*100</f>
        <v>100</v>
      </c>
      <c r="R213" s="279">
        <f>R232/R240*100</f>
        <v>100</v>
      </c>
      <c r="S213" s="279" t="e">
        <f>S232/S240*100</f>
        <v>#DIV/0!</v>
      </c>
      <c r="T213" s="279" t="e">
        <f>T232/T240*100</f>
        <v>#DIV/0!</v>
      </c>
      <c r="V213" s="279" t="e">
        <f>V232/V240*100</f>
        <v>#DIV/0!</v>
      </c>
      <c r="W213" s="279" t="e">
        <f>W232/W240*100</f>
        <v>#DIV/0!</v>
      </c>
      <c r="Y213" s="279" t="e">
        <f>Y232/Y240*100</f>
        <v>#DIV/0!</v>
      </c>
      <c r="Z213" s="279" t="e">
        <f>Z232/Z240*100</f>
        <v>#DIV/0!</v>
      </c>
      <c r="AB213" s="279" t="e">
        <f>AB232/AB240*100</f>
        <v>#DIV/0!</v>
      </c>
      <c r="AC213" s="279" t="e">
        <f>AC232/AC240*100</f>
        <v>#DIV/0!</v>
      </c>
      <c r="AE213" s="279" t="e">
        <f>AE232/AE240*100</f>
        <v>#DIV/0!</v>
      </c>
      <c r="AF213" s="279" t="e">
        <f>AF232/AF240*100</f>
        <v>#DIV/0!</v>
      </c>
      <c r="AH213" s="279" t="e">
        <f>AH232/AH240*100</f>
        <v>#DIV/0!</v>
      </c>
      <c r="AI213" s="279" t="e">
        <f>AI232/AI240*100</f>
        <v>#DIV/0!</v>
      </c>
      <c r="AK213" s="279" t="e">
        <f>AK232/AK240*100</f>
        <v>#DIV/0!</v>
      </c>
      <c r="AL213" s="279" t="e">
        <f>AL232/AL240*100</f>
        <v>#DIV/0!</v>
      </c>
      <c r="AN213" s="279">
        <f>AN232/AN240*100</f>
        <v>100</v>
      </c>
      <c r="AO213" s="279">
        <f>AO232/AO240*100</f>
        <v>100</v>
      </c>
      <c r="AQ213" s="279" t="e">
        <f>AQ232/AQ240*100</f>
        <v>#DIV/0!</v>
      </c>
      <c r="AR213" s="279" t="e">
        <f>AR232/AR240*100</f>
        <v>#DIV/0!</v>
      </c>
      <c r="AT213" s="279">
        <f>AT232/AT240*100</f>
        <v>100</v>
      </c>
      <c r="AU213" s="279">
        <f>AU232/AU240*100</f>
        <v>100</v>
      </c>
      <c r="AW213" s="279" t="e">
        <f>AW232/AW240*100</f>
        <v>#DIV/0!</v>
      </c>
      <c r="AX213" s="279" t="e">
        <f>AX232/AX240*100</f>
        <v>#DIV/0!</v>
      </c>
      <c r="AZ213" s="279" t="e">
        <f>AZ232/AZ240*100</f>
        <v>#DIV/0!</v>
      </c>
      <c r="BA213" s="279" t="e">
        <f>BA232/BA240*100</f>
        <v>#DIV/0!</v>
      </c>
      <c r="BC213" s="279" t="e">
        <f>BC232/BC240*100</f>
        <v>#DIV/0!</v>
      </c>
      <c r="BD213" s="279" t="e">
        <f>BD232/BD240*100</f>
        <v>#DIV/0!</v>
      </c>
      <c r="BF213" s="279" t="e">
        <f>BF232/BF240*100</f>
        <v>#DIV/0!</v>
      </c>
      <c r="BG213" s="279" t="e">
        <f>BG232/BG240*100</f>
        <v>#DIV/0!</v>
      </c>
      <c r="BI213" s="279">
        <f>BI232/BI240*100</f>
        <v>100</v>
      </c>
      <c r="BJ213" s="279">
        <f>BJ232/BJ240*100</f>
        <v>100</v>
      </c>
      <c r="BL213" s="279">
        <f>BL232/BL240*100</f>
        <v>100</v>
      </c>
      <c r="BM213" s="279">
        <f>BM232/BM240*100</f>
        <v>100</v>
      </c>
      <c r="BO213" s="279" t="e">
        <f>BO232/BO240*100</f>
        <v>#DIV/0!</v>
      </c>
      <c r="BP213" s="279" t="e">
        <f>BP232/BP240*100</f>
        <v>#DIV/0!</v>
      </c>
      <c r="BR213" s="279" t="e">
        <f>BR232/BR240*100</f>
        <v>#DIV/0!</v>
      </c>
      <c r="BS213" s="279" t="e">
        <f>BS232/BS240*100</f>
        <v>#DIV/0!</v>
      </c>
      <c r="BU213" s="279">
        <f>BU232/BU240*100</f>
        <v>100</v>
      </c>
      <c r="BV213" s="279">
        <f>BV232/BV240*100</f>
        <v>100</v>
      </c>
      <c r="BX213" s="279" t="e">
        <f>BX232/BX240*100</f>
        <v>#DIV/0!</v>
      </c>
      <c r="BY213" s="279" t="e">
        <f>BY232/BY240*100</f>
        <v>#DIV/0!</v>
      </c>
      <c r="CA213" s="279" t="e">
        <f>CA232/CA240*100</f>
        <v>#DIV/0!</v>
      </c>
      <c r="CB213" s="279" t="e">
        <f>CB232/CB240*100</f>
        <v>#DIV/0!</v>
      </c>
      <c r="CD213" s="279" t="e">
        <f>CD232/CD240*100</f>
        <v>#DIV/0!</v>
      </c>
      <c r="CE213" s="279" t="e">
        <f>CE232/CE240*100</f>
        <v>#DIV/0!</v>
      </c>
      <c r="CG213" s="279" t="e">
        <f>CG232/CG240*100</f>
        <v>#DIV/0!</v>
      </c>
      <c r="CH213" s="279" t="e">
        <f>CH232/CH240*100</f>
        <v>#DIV/0!</v>
      </c>
    </row>
    <row r="214" spans="1:86" x14ac:dyDescent="0.25">
      <c r="A214" s="95"/>
      <c r="B214" s="16" t="s">
        <v>64</v>
      </c>
      <c r="C214" s="107"/>
      <c r="D214" s="95" t="s">
        <v>8</v>
      </c>
      <c r="E214" s="95"/>
      <c r="F214" s="279">
        <f>F243/$F$230*100</f>
        <v>1.8571959752740914</v>
      </c>
      <c r="G214" s="279">
        <f>G243/$G$230*100</f>
        <v>1.7049180327868854</v>
      </c>
      <c r="H214" s="279">
        <f>H243/$H$230*100</f>
        <v>1.8835122491832075</v>
      </c>
      <c r="I214" s="279">
        <f>I243/$I$230*100</f>
        <v>2.2204320365017365</v>
      </c>
      <c r="J214" s="279">
        <f t="shared" si="87"/>
        <v>100</v>
      </c>
      <c r="K214" s="279">
        <f t="shared" si="88"/>
        <v>100</v>
      </c>
      <c r="L214" s="279">
        <f t="shared" si="89"/>
        <v>100</v>
      </c>
      <c r="M214" s="279" t="e">
        <f t="shared" ref="M214:M220" si="90">M233/$M$240*100</f>
        <v>#DIV/0!</v>
      </c>
      <c r="N214" s="279">
        <v>0</v>
      </c>
      <c r="O214" s="279">
        <v>0</v>
      </c>
      <c r="P214" s="281"/>
      <c r="Q214" s="279">
        <f>Q233/Q240*100</f>
        <v>100</v>
      </c>
      <c r="R214" s="279">
        <f>R233/R240*100</f>
        <v>100</v>
      </c>
      <c r="S214" s="279" t="e">
        <f>S233/S240*100</f>
        <v>#DIV/0!</v>
      </c>
      <c r="T214" s="279" t="e">
        <f>T233/T240*100</f>
        <v>#DIV/0!</v>
      </c>
      <c r="V214" s="279" t="e">
        <f>V233/V240*100</f>
        <v>#DIV/0!</v>
      </c>
      <c r="W214" s="279" t="e">
        <f>W233/W240*100</f>
        <v>#DIV/0!</v>
      </c>
      <c r="Y214" s="279" t="e">
        <f>Y233/Y240*100</f>
        <v>#DIV/0!</v>
      </c>
      <c r="Z214" s="279" t="e">
        <f>Z233/Z240*100</f>
        <v>#DIV/0!</v>
      </c>
      <c r="AB214" s="279" t="e">
        <f>AB233/AB240*100</f>
        <v>#DIV/0!</v>
      </c>
      <c r="AC214" s="279" t="e">
        <f>AC233/AC240*100</f>
        <v>#DIV/0!</v>
      </c>
      <c r="AE214" s="279" t="e">
        <f>AE233/AE240*100</f>
        <v>#DIV/0!</v>
      </c>
      <c r="AF214" s="279" t="e">
        <f>AF233/AF240*100</f>
        <v>#DIV/0!</v>
      </c>
      <c r="AH214" s="279" t="e">
        <f>AH233/AH240*100</f>
        <v>#DIV/0!</v>
      </c>
      <c r="AI214" s="279" t="e">
        <f>AI233/AI240*100</f>
        <v>#DIV/0!</v>
      </c>
      <c r="AK214" s="279" t="e">
        <f>AK233/AK240*100</f>
        <v>#DIV/0!</v>
      </c>
      <c r="AL214" s="279" t="e">
        <f>AL233/AL240*100</f>
        <v>#DIV/0!</v>
      </c>
      <c r="AN214" s="279">
        <f>AN233/AN240*100</f>
        <v>100</v>
      </c>
      <c r="AO214" s="279">
        <f>AO233/AO240*100</f>
        <v>100</v>
      </c>
      <c r="AQ214" s="279" t="e">
        <f>AQ233/AQ240*100</f>
        <v>#DIV/0!</v>
      </c>
      <c r="AR214" s="279" t="e">
        <f>AR233/AR240*100</f>
        <v>#DIV/0!</v>
      </c>
      <c r="AT214" s="279">
        <f>AT233/AT240*100</f>
        <v>100</v>
      </c>
      <c r="AU214" s="279">
        <f>AU233/AU240*100</f>
        <v>100</v>
      </c>
      <c r="AW214" s="279" t="e">
        <f>AW233/AW240*100</f>
        <v>#DIV/0!</v>
      </c>
      <c r="AX214" s="279" t="e">
        <f>AX233/AX240*100</f>
        <v>#DIV/0!</v>
      </c>
      <c r="AZ214" s="279" t="e">
        <f>AZ233/AZ240*100</f>
        <v>#DIV/0!</v>
      </c>
      <c r="BA214" s="279" t="e">
        <f>BA233/BA240*100</f>
        <v>#DIV/0!</v>
      </c>
      <c r="BC214" s="279" t="e">
        <f>BC233/BC240*100</f>
        <v>#DIV/0!</v>
      </c>
      <c r="BD214" s="279" t="e">
        <f>BD233/BD240*100</f>
        <v>#DIV/0!</v>
      </c>
      <c r="BF214" s="279" t="e">
        <f>BF233/BF240*100</f>
        <v>#DIV/0!</v>
      </c>
      <c r="BG214" s="279" t="e">
        <f>BG233/BG240*100</f>
        <v>#DIV/0!</v>
      </c>
      <c r="BI214" s="279">
        <f>BI233/BI240*100</f>
        <v>100</v>
      </c>
      <c r="BJ214" s="279">
        <f>BJ233/BJ240*100</f>
        <v>100</v>
      </c>
      <c r="BL214" s="279">
        <f>BL233/BL240*100</f>
        <v>100</v>
      </c>
      <c r="BM214" s="279">
        <f>BM233/BM240*100</f>
        <v>100</v>
      </c>
      <c r="BO214" s="279" t="e">
        <f>BO233/BO240*100</f>
        <v>#DIV/0!</v>
      </c>
      <c r="BP214" s="279" t="e">
        <f>BP233/BP240*100</f>
        <v>#DIV/0!</v>
      </c>
      <c r="BR214" s="279" t="e">
        <f>BR233/BR240*100</f>
        <v>#DIV/0!</v>
      </c>
      <c r="BS214" s="279" t="e">
        <f>BS233/BS240*100</f>
        <v>#DIV/0!</v>
      </c>
      <c r="BU214" s="279">
        <f>BU233/BU240*100</f>
        <v>100</v>
      </c>
      <c r="BV214" s="279">
        <f>BV233/BV240*100</f>
        <v>100</v>
      </c>
      <c r="BX214" s="279" t="e">
        <f>BX233/BX240*100</f>
        <v>#DIV/0!</v>
      </c>
      <c r="BY214" s="279" t="e">
        <f>BY233/BY240*100</f>
        <v>#DIV/0!</v>
      </c>
      <c r="CA214" s="279" t="e">
        <f>CA233/CA240*100</f>
        <v>#DIV/0!</v>
      </c>
      <c r="CB214" s="279" t="e">
        <f>CB233/CB240*100</f>
        <v>#DIV/0!</v>
      </c>
      <c r="CD214" s="279" t="e">
        <f>CD233/CD240*100</f>
        <v>#DIV/0!</v>
      </c>
      <c r="CE214" s="279" t="e">
        <f>CE233/CE240*100</f>
        <v>#DIV/0!</v>
      </c>
      <c r="CG214" s="279" t="e">
        <f>CG233/CG240*100</f>
        <v>#DIV/0!</v>
      </c>
      <c r="CH214" s="279" t="e">
        <f>CH233/CH240*100</f>
        <v>#DIV/0!</v>
      </c>
    </row>
    <row r="215" spans="1:86" x14ac:dyDescent="0.25">
      <c r="A215" s="95"/>
      <c r="B215" s="16" t="s">
        <v>65</v>
      </c>
      <c r="C215" s="107"/>
      <c r="D215" s="95" t="s">
        <v>8</v>
      </c>
      <c r="E215" s="95"/>
      <c r="F215" s="279">
        <f>F244/$F$230*100</f>
        <v>1.0972577473957574</v>
      </c>
      <c r="G215" s="279">
        <f>G244/$G$230*100</f>
        <v>1.1087046437980872</v>
      </c>
      <c r="H215" s="279">
        <f>H244/$H$230*100</f>
        <v>1.172147912953232</v>
      </c>
      <c r="I215" s="279">
        <f>I244/$I$230*100</f>
        <v>1.363768678738317</v>
      </c>
      <c r="J215" s="279">
        <f t="shared" si="87"/>
        <v>100</v>
      </c>
      <c r="K215" s="279">
        <f t="shared" si="88"/>
        <v>100</v>
      </c>
      <c r="L215" s="279">
        <f t="shared" si="89"/>
        <v>100</v>
      </c>
      <c r="M215" s="279" t="e">
        <f t="shared" si="90"/>
        <v>#DIV/0!</v>
      </c>
      <c r="N215" s="279">
        <v>0</v>
      </c>
      <c r="O215" s="279">
        <v>0</v>
      </c>
      <c r="P215" s="281"/>
      <c r="Q215" s="279">
        <f>Q234/Q240*100</f>
        <v>100</v>
      </c>
      <c r="R215" s="279">
        <f>R234/R240*100</f>
        <v>100</v>
      </c>
      <c r="S215" s="279" t="e">
        <f>S234/S240*100</f>
        <v>#DIV/0!</v>
      </c>
      <c r="T215" s="279" t="e">
        <f>T234/T240*100</f>
        <v>#DIV/0!</v>
      </c>
      <c r="V215" s="279" t="e">
        <f>V234/V240*100</f>
        <v>#DIV/0!</v>
      </c>
      <c r="W215" s="279" t="e">
        <f>W234/W240*100</f>
        <v>#DIV/0!</v>
      </c>
      <c r="Y215" s="279" t="e">
        <f>Y234/Y240*100</f>
        <v>#DIV/0!</v>
      </c>
      <c r="Z215" s="279" t="e">
        <f>Z234/Z240*100</f>
        <v>#DIV/0!</v>
      </c>
      <c r="AB215" s="279" t="e">
        <f>AB234/AB240*100</f>
        <v>#DIV/0!</v>
      </c>
      <c r="AC215" s="279" t="e">
        <f>AC234/AC240*100</f>
        <v>#DIV/0!</v>
      </c>
      <c r="AE215" s="279" t="e">
        <f>AE234/AE240*100</f>
        <v>#DIV/0!</v>
      </c>
      <c r="AF215" s="279" t="e">
        <f>AF234/AF240*100</f>
        <v>#DIV/0!</v>
      </c>
      <c r="AH215" s="279" t="e">
        <f>AH234/AH240*100</f>
        <v>#DIV/0!</v>
      </c>
      <c r="AI215" s="279" t="e">
        <f>AI234/AI240*100</f>
        <v>#DIV/0!</v>
      </c>
      <c r="AK215" s="279" t="e">
        <f>AK234/AK240*100</f>
        <v>#DIV/0!</v>
      </c>
      <c r="AL215" s="279" t="e">
        <f>AL234/AL240*100</f>
        <v>#DIV/0!</v>
      </c>
      <c r="AN215" s="279">
        <f>AN234/AN240*100</f>
        <v>100</v>
      </c>
      <c r="AO215" s="279">
        <f>AO234/AO240*100</f>
        <v>100</v>
      </c>
      <c r="AQ215" s="279" t="e">
        <f>AQ234/AQ240*100</f>
        <v>#DIV/0!</v>
      </c>
      <c r="AR215" s="279" t="e">
        <f>AR234/AR240*100</f>
        <v>#DIV/0!</v>
      </c>
      <c r="AT215" s="279">
        <f>AT234/AT240*100</f>
        <v>100</v>
      </c>
      <c r="AU215" s="279">
        <f>AU234/AU240*100</f>
        <v>100</v>
      </c>
      <c r="AW215" s="279" t="e">
        <f>AW234/AW240*100</f>
        <v>#DIV/0!</v>
      </c>
      <c r="AX215" s="279" t="e">
        <f>AX234/AX240*100</f>
        <v>#DIV/0!</v>
      </c>
      <c r="AZ215" s="279" t="e">
        <f>AZ234/AZ240*100</f>
        <v>#DIV/0!</v>
      </c>
      <c r="BA215" s="279" t="e">
        <f>BA234/BA240*100</f>
        <v>#DIV/0!</v>
      </c>
      <c r="BC215" s="279" t="e">
        <f>BC234/BC240*100</f>
        <v>#DIV/0!</v>
      </c>
      <c r="BD215" s="279" t="e">
        <f>BD234/BD240*100</f>
        <v>#DIV/0!</v>
      </c>
      <c r="BF215" s="279" t="e">
        <f>BF234/BF240*100</f>
        <v>#DIV/0!</v>
      </c>
      <c r="BG215" s="279" t="e">
        <f>BG234/BG240*100</f>
        <v>#DIV/0!</v>
      </c>
      <c r="BI215" s="279">
        <f>BI234/BI240*100</f>
        <v>100</v>
      </c>
      <c r="BJ215" s="279">
        <f>BJ234/BJ240*100</f>
        <v>100</v>
      </c>
      <c r="BL215" s="279">
        <f>BL234/BL240*100</f>
        <v>100</v>
      </c>
      <c r="BM215" s="279">
        <f>BM234/BM240*100</f>
        <v>100</v>
      </c>
      <c r="BO215" s="279" t="e">
        <f>BO234/BO240*100</f>
        <v>#DIV/0!</v>
      </c>
      <c r="BP215" s="279" t="e">
        <f>BP234/BP240*100</f>
        <v>#DIV/0!</v>
      </c>
      <c r="BR215" s="279" t="e">
        <f>BR234/BR240*100</f>
        <v>#DIV/0!</v>
      </c>
      <c r="BS215" s="279" t="e">
        <f>BS234/BS240*100</f>
        <v>#DIV/0!</v>
      </c>
      <c r="BU215" s="279">
        <f>BU234/BU240*100</f>
        <v>100</v>
      </c>
      <c r="BV215" s="279">
        <f>BV234/BV240*100</f>
        <v>100</v>
      </c>
      <c r="BX215" s="279" t="e">
        <f>BX234/BX240*100</f>
        <v>#DIV/0!</v>
      </c>
      <c r="BY215" s="279" t="e">
        <f>BY234/BY240*100</f>
        <v>#DIV/0!</v>
      </c>
      <c r="CA215" s="279" t="e">
        <f>CA234/CA240*100</f>
        <v>#DIV/0!</v>
      </c>
      <c r="CB215" s="279" t="e">
        <f>CB234/CB240*100</f>
        <v>#DIV/0!</v>
      </c>
      <c r="CD215" s="279" t="e">
        <f>CD234/CD240*100</f>
        <v>#DIV/0!</v>
      </c>
      <c r="CE215" s="279" t="e">
        <f>CE234/CE240*100</f>
        <v>#DIV/0!</v>
      </c>
      <c r="CG215" s="279" t="e">
        <f>CG234/CG240*100</f>
        <v>#DIV/0!</v>
      </c>
      <c r="CH215" s="279" t="e">
        <f>CH234/CH240*100</f>
        <v>#DIV/0!</v>
      </c>
    </row>
    <row r="216" spans="1:86" x14ac:dyDescent="0.25">
      <c r="A216" s="95"/>
      <c r="B216" s="96" t="s">
        <v>1923</v>
      </c>
      <c r="C216" s="107"/>
      <c r="D216" s="95"/>
      <c r="E216" s="95"/>
      <c r="F216" s="279"/>
      <c r="G216" s="279"/>
      <c r="H216" s="279"/>
      <c r="I216" s="279"/>
      <c r="J216" s="279">
        <f t="shared" si="87"/>
        <v>87.5</v>
      </c>
      <c r="K216" s="279">
        <f t="shared" si="88"/>
        <v>91.666666666666657</v>
      </c>
      <c r="L216" s="279">
        <f t="shared" si="89"/>
        <v>100</v>
      </c>
      <c r="M216" s="279" t="e">
        <f t="shared" si="90"/>
        <v>#DIV/0!</v>
      </c>
      <c r="N216" s="279">
        <v>0</v>
      </c>
      <c r="O216" s="279">
        <v>0</v>
      </c>
      <c r="P216" s="281"/>
      <c r="Q216" s="279">
        <f>Q235/Q240*100</f>
        <v>100</v>
      </c>
      <c r="R216" s="279">
        <f>R235/R240*100</f>
        <v>88.888888888888886</v>
      </c>
      <c r="S216" s="279" t="e">
        <f>S235/S240*100</f>
        <v>#DIV/0!</v>
      </c>
      <c r="T216" s="279" t="e">
        <f>T235/T240*100</f>
        <v>#DIV/0!</v>
      </c>
      <c r="V216" s="279" t="e">
        <f>V235/V240*100</f>
        <v>#DIV/0!</v>
      </c>
      <c r="W216" s="279" t="e">
        <f>W235/W240*100</f>
        <v>#DIV/0!</v>
      </c>
      <c r="Y216" s="279" t="e">
        <f>Y235/Y240*100</f>
        <v>#DIV/0!</v>
      </c>
      <c r="Z216" s="279" t="e">
        <f>Z235/Z240*100</f>
        <v>#DIV/0!</v>
      </c>
      <c r="AB216" s="279" t="e">
        <f>AB235/AB240*100</f>
        <v>#DIV/0!</v>
      </c>
      <c r="AC216" s="279" t="e">
        <f>AC235/AC240*100</f>
        <v>#DIV/0!</v>
      </c>
      <c r="AE216" s="279" t="e">
        <f>AE235/AE240*100</f>
        <v>#DIV/0!</v>
      </c>
      <c r="AF216" s="279" t="e">
        <f>AF235/AF240*100</f>
        <v>#DIV/0!</v>
      </c>
      <c r="AH216" s="279" t="e">
        <f>AH235/AH240*100</f>
        <v>#DIV/0!</v>
      </c>
      <c r="AI216" s="279" t="e">
        <f>AI235/AI240*100</f>
        <v>#DIV/0!</v>
      </c>
      <c r="AK216" s="279" t="e">
        <f>AK235/AK240*100</f>
        <v>#DIV/0!</v>
      </c>
      <c r="AL216" s="279" t="e">
        <f>AL235/AL240*100</f>
        <v>#DIV/0!</v>
      </c>
      <c r="AN216" s="279">
        <f>AN235/AN240*100</f>
        <v>100</v>
      </c>
      <c r="AO216" s="279">
        <f>AO235/AO240*100</f>
        <v>85.714285714285708</v>
      </c>
      <c r="AQ216" s="279" t="e">
        <f>AQ235/AQ240*100</f>
        <v>#DIV/0!</v>
      </c>
      <c r="AR216" s="279" t="e">
        <f>AR235/AR240*100</f>
        <v>#DIV/0!</v>
      </c>
      <c r="AT216" s="279">
        <f>AT235/AT240*100</f>
        <v>100</v>
      </c>
      <c r="AU216" s="279">
        <f>AU235/AU240*100</f>
        <v>100</v>
      </c>
      <c r="AW216" s="279" t="e">
        <f>AW235/AW240*100</f>
        <v>#DIV/0!</v>
      </c>
      <c r="AX216" s="279" t="e">
        <f>AX235/AX240*100</f>
        <v>#DIV/0!</v>
      </c>
      <c r="AZ216" s="279" t="e">
        <f>AZ235/AZ240*100</f>
        <v>#DIV/0!</v>
      </c>
      <c r="BA216" s="279" t="e">
        <f>BA235/BA240*100</f>
        <v>#DIV/0!</v>
      </c>
      <c r="BC216" s="279" t="e">
        <f>BC235/BC240*100</f>
        <v>#DIV/0!</v>
      </c>
      <c r="BD216" s="279" t="e">
        <f>BD235/BD240*100</f>
        <v>#DIV/0!</v>
      </c>
      <c r="BF216" s="279" t="e">
        <f>BF235/BF240*100</f>
        <v>#DIV/0!</v>
      </c>
      <c r="BG216" s="279" t="e">
        <f>BG235/BG240*100</f>
        <v>#DIV/0!</v>
      </c>
      <c r="BI216" s="279">
        <f>BI235/BI240*100</f>
        <v>100</v>
      </c>
      <c r="BJ216" s="279">
        <f>BJ235/BJ240*100</f>
        <v>75</v>
      </c>
      <c r="BL216" s="279">
        <f>BL235/BL240*100</f>
        <v>100</v>
      </c>
      <c r="BM216" s="279">
        <f>BM235/BM240*100</f>
        <v>100</v>
      </c>
      <c r="BO216" s="279" t="e">
        <f>BO235/BO240*100</f>
        <v>#DIV/0!</v>
      </c>
      <c r="BP216" s="279" t="e">
        <f>BP235/BP240*100</f>
        <v>#DIV/0!</v>
      </c>
      <c r="BR216" s="279" t="e">
        <f>BR235/BR240*100</f>
        <v>#DIV/0!</v>
      </c>
      <c r="BS216" s="279" t="e">
        <f>BS235/BS240*100</f>
        <v>#DIV/0!</v>
      </c>
      <c r="BU216" s="279">
        <f>BU235/BU240*100</f>
        <v>100</v>
      </c>
      <c r="BV216" s="279">
        <f>BV235/BV240*100</f>
        <v>100</v>
      </c>
      <c r="BX216" s="279" t="e">
        <f>BX235/BX240*100</f>
        <v>#DIV/0!</v>
      </c>
      <c r="BY216" s="279" t="e">
        <f>BY235/BY240*100</f>
        <v>#DIV/0!</v>
      </c>
      <c r="CA216" s="279" t="e">
        <f>CA235/CA240*100</f>
        <v>#DIV/0!</v>
      </c>
      <c r="CB216" s="279" t="e">
        <f>CB235/CB240*100</f>
        <v>#DIV/0!</v>
      </c>
      <c r="CD216" s="279" t="e">
        <f>CD235/CD240*100</f>
        <v>#DIV/0!</v>
      </c>
      <c r="CE216" s="279" t="e">
        <f>CE235/CE240*100</f>
        <v>#DIV/0!</v>
      </c>
      <c r="CG216" s="279" t="e">
        <f>CG235/CG240*100</f>
        <v>#DIV/0!</v>
      </c>
      <c r="CH216" s="279" t="e">
        <f>CH235/CH240*100</f>
        <v>#DIV/0!</v>
      </c>
    </row>
    <row r="217" spans="1:86" x14ac:dyDescent="0.25">
      <c r="A217" s="95"/>
      <c r="B217" s="96" t="s">
        <v>1924</v>
      </c>
      <c r="C217" s="107"/>
      <c r="D217" s="95"/>
      <c r="E217" s="95"/>
      <c r="F217" s="279">
        <f>F250/$F$230*100</f>
        <v>898.41269841269843</v>
      </c>
      <c r="G217" s="279">
        <f>G250/$G$230*100</f>
        <v>1606.5573770491803</v>
      </c>
      <c r="H217" s="279">
        <f>H250/$H$230*100</f>
        <v>1731.5789473684208</v>
      </c>
      <c r="I217" s="279">
        <f>I250/$I$230*100</f>
        <v>2014.5454545454545</v>
      </c>
      <c r="J217" s="279">
        <f t="shared" si="87"/>
        <v>87.5</v>
      </c>
      <c r="K217" s="279">
        <f t="shared" si="88"/>
        <v>87.5</v>
      </c>
      <c r="L217" s="279">
        <f t="shared" si="89"/>
        <v>100</v>
      </c>
      <c r="M217" s="279" t="e">
        <f t="shared" si="90"/>
        <v>#DIV/0!</v>
      </c>
      <c r="N217" s="279">
        <v>0</v>
      </c>
      <c r="O217" s="279">
        <v>0</v>
      </c>
      <c r="P217" s="281"/>
      <c r="Q217" s="279">
        <f>Q236/Q240*100</f>
        <v>100</v>
      </c>
      <c r="R217" s="279">
        <f>R236/R240*100</f>
        <v>88.888888888888886</v>
      </c>
      <c r="S217" s="279" t="e">
        <f>S236/S240*100</f>
        <v>#DIV/0!</v>
      </c>
      <c r="T217" s="279" t="e">
        <f>T236/T240*100</f>
        <v>#DIV/0!</v>
      </c>
      <c r="V217" s="279" t="e">
        <f>V236/V240*100</f>
        <v>#DIV/0!</v>
      </c>
      <c r="W217" s="279" t="e">
        <f>W236/W240*100</f>
        <v>#DIV/0!</v>
      </c>
      <c r="Y217" s="279" t="e">
        <f>Y236/Y240*100</f>
        <v>#DIV/0!</v>
      </c>
      <c r="Z217" s="279" t="e">
        <f>Z236/Z240*100</f>
        <v>#DIV/0!</v>
      </c>
      <c r="AB217" s="279" t="e">
        <f>AB236/AB240*100</f>
        <v>#DIV/0!</v>
      </c>
      <c r="AC217" s="279" t="e">
        <f>AC236/AC240*100</f>
        <v>#DIV/0!</v>
      </c>
      <c r="AE217" s="279" t="e">
        <f>AE236/AE240*100</f>
        <v>#DIV/0!</v>
      </c>
      <c r="AF217" s="279" t="e">
        <f>AF236/AF240*100</f>
        <v>#DIV/0!</v>
      </c>
      <c r="AH217" s="279" t="e">
        <f>AH236/AH240*100</f>
        <v>#DIV/0!</v>
      </c>
      <c r="AI217" s="279" t="e">
        <f>AI236/AI240*100</f>
        <v>#DIV/0!</v>
      </c>
      <c r="AK217" s="279" t="e">
        <f>AK236/AK240*100</f>
        <v>#DIV/0!</v>
      </c>
      <c r="AL217" s="279" t="e">
        <f>AL236/AL240*100</f>
        <v>#DIV/0!</v>
      </c>
      <c r="AN217" s="279">
        <f>AN236/AN240*100</f>
        <v>100</v>
      </c>
      <c r="AO217" s="279">
        <f>AO236/AO240*100</f>
        <v>85.714285714285708</v>
      </c>
      <c r="AQ217" s="279" t="e">
        <f>AQ236/AQ240*100</f>
        <v>#DIV/0!</v>
      </c>
      <c r="AR217" s="279" t="e">
        <f>AR236/AR240*100</f>
        <v>#DIV/0!</v>
      </c>
      <c r="AT217" s="279">
        <f>AT236/AT240*100</f>
        <v>100</v>
      </c>
      <c r="AU217" s="279">
        <f>AU236/AU240*100</f>
        <v>100</v>
      </c>
      <c r="AW217" s="279" t="e">
        <f>AW236/AW240*100</f>
        <v>#DIV/0!</v>
      </c>
      <c r="AX217" s="279" t="e">
        <f>AX236/AX240*100</f>
        <v>#DIV/0!</v>
      </c>
      <c r="AZ217" s="279" t="e">
        <f>AZ236/AZ240*100</f>
        <v>#DIV/0!</v>
      </c>
      <c r="BA217" s="279" t="e">
        <f>BA236/BA240*100</f>
        <v>#DIV/0!</v>
      </c>
      <c r="BC217" s="279" t="e">
        <f>BC236/BC240*100</f>
        <v>#DIV/0!</v>
      </c>
      <c r="BD217" s="279" t="e">
        <f>BD236/BD240*100</f>
        <v>#DIV/0!</v>
      </c>
      <c r="BF217" s="279" t="e">
        <f>BF236/BF240*100</f>
        <v>#DIV/0!</v>
      </c>
      <c r="BG217" s="279" t="e">
        <f>BG236/BG240*100</f>
        <v>#DIV/0!</v>
      </c>
      <c r="BI217" s="279">
        <f>BI236/BI240*100</f>
        <v>100</v>
      </c>
      <c r="BJ217" s="279">
        <f>BJ236/BJ240*100</f>
        <v>75</v>
      </c>
      <c r="BL217" s="279">
        <f>BL236/BL240*100</f>
        <v>100</v>
      </c>
      <c r="BM217" s="279">
        <f>BM236/BM240*100</f>
        <v>100</v>
      </c>
      <c r="BO217" s="279" t="e">
        <f>BO236/BO240*100</f>
        <v>#DIV/0!</v>
      </c>
      <c r="BP217" s="279" t="e">
        <f>BP236/BP240*100</f>
        <v>#DIV/0!</v>
      </c>
      <c r="BR217" s="279" t="e">
        <f>BR236/BR240*100</f>
        <v>#DIV/0!</v>
      </c>
      <c r="BS217" s="279" t="e">
        <f>BS236/BS240*100</f>
        <v>#DIV/0!</v>
      </c>
      <c r="BU217" s="279">
        <f>BU236/BU240*100</f>
        <v>100</v>
      </c>
      <c r="BV217" s="279">
        <f>BV236/BV240*100</f>
        <v>100</v>
      </c>
      <c r="BX217" s="279" t="e">
        <f>BX236/BX240*100</f>
        <v>#DIV/0!</v>
      </c>
      <c r="BY217" s="279" t="e">
        <f>BY236/BY240*100</f>
        <v>#DIV/0!</v>
      </c>
      <c r="CA217" s="279" t="e">
        <f>CA236/CA240*100</f>
        <v>#DIV/0!</v>
      </c>
      <c r="CB217" s="279" t="e">
        <f>CB236/CB240*100</f>
        <v>#DIV/0!</v>
      </c>
      <c r="CD217" s="279" t="e">
        <f>CD236/CD240*100</f>
        <v>#DIV/0!</v>
      </c>
      <c r="CE217" s="279" t="e">
        <f>CE236/CE240*100</f>
        <v>#DIV/0!</v>
      </c>
      <c r="CG217" s="279" t="e">
        <f>CG236/CG240*100</f>
        <v>#DIV/0!</v>
      </c>
      <c r="CH217" s="279" t="e">
        <f>CH236/CH240*100</f>
        <v>#DIV/0!</v>
      </c>
    </row>
    <row r="218" spans="1:86" x14ac:dyDescent="0.25">
      <c r="A218" s="95"/>
      <c r="B218" s="96" t="s">
        <v>1925</v>
      </c>
      <c r="C218" s="107"/>
      <c r="D218" s="95"/>
      <c r="E218" s="95"/>
      <c r="F218" s="279">
        <f>F251/$F$230*100</f>
        <v>129965.07936507938</v>
      </c>
      <c r="G218" s="279">
        <f>G251/$G$230*100</f>
        <v>237547.54098360654</v>
      </c>
      <c r="H218" s="279">
        <f>H251/$H$230*100</f>
        <v>259170.17543859646</v>
      </c>
      <c r="I218" s="279">
        <f>I251/$I$230*100</f>
        <v>268580</v>
      </c>
      <c r="J218" s="279">
        <f t="shared" si="87"/>
        <v>56.25</v>
      </c>
      <c r="K218" s="279">
        <f t="shared" si="88"/>
        <v>66.666666666666657</v>
      </c>
      <c r="L218" s="279">
        <f t="shared" si="89"/>
        <v>52.631578947368418</v>
      </c>
      <c r="M218" s="279" t="e">
        <f t="shared" si="90"/>
        <v>#DIV/0!</v>
      </c>
      <c r="N218" s="279">
        <v>0</v>
      </c>
      <c r="O218" s="279">
        <v>0</v>
      </c>
      <c r="P218" s="281"/>
      <c r="Q218" s="279">
        <f>Q237/Q240*100</f>
        <v>52.631578947368418</v>
      </c>
      <c r="R218" s="279">
        <f>R237/R240*100</f>
        <v>50</v>
      </c>
      <c r="S218" s="279" t="e">
        <f>S237/S240*100</f>
        <v>#DIV/0!</v>
      </c>
      <c r="T218" s="279" t="e">
        <f>T237/T240*100</f>
        <v>#DIV/0!</v>
      </c>
      <c r="V218" s="279" t="e">
        <f>V237/V240*100</f>
        <v>#DIV/0!</v>
      </c>
      <c r="W218" s="279" t="e">
        <f>W237/W240*100</f>
        <v>#DIV/0!</v>
      </c>
      <c r="Y218" s="279" t="e">
        <f>Y237/Y240*100</f>
        <v>#DIV/0!</v>
      </c>
      <c r="Z218" s="279" t="e">
        <f>Z237/Z240*100</f>
        <v>#DIV/0!</v>
      </c>
      <c r="AB218" s="279" t="e">
        <f>AB237/AB240*100</f>
        <v>#DIV/0!</v>
      </c>
      <c r="AC218" s="279" t="e">
        <f>AC237/AC240*100</f>
        <v>#DIV/0!</v>
      </c>
      <c r="AE218" s="279" t="e">
        <f>AE237/AE240*100</f>
        <v>#DIV/0!</v>
      </c>
      <c r="AF218" s="279" t="e">
        <f>AF237/AF240*100</f>
        <v>#DIV/0!</v>
      </c>
      <c r="AH218" s="279" t="e">
        <f>AH237/AH240*100</f>
        <v>#DIV/0!</v>
      </c>
      <c r="AI218" s="279" t="e">
        <f>AI237/AI240*100</f>
        <v>#DIV/0!</v>
      </c>
      <c r="AK218" s="279" t="e">
        <f>AK237/AK240*100</f>
        <v>#DIV/0!</v>
      </c>
      <c r="AL218" s="279" t="e">
        <f>AL237/AL240*100</f>
        <v>#DIV/0!</v>
      </c>
      <c r="AN218" s="279">
        <f>AN237/AN240*100</f>
        <v>50</v>
      </c>
      <c r="AO218" s="279">
        <f>AO237/AO240*100</f>
        <v>71.428571428571431</v>
      </c>
      <c r="AQ218" s="279" t="e">
        <f>AQ237/AQ240*100</f>
        <v>#DIV/0!</v>
      </c>
      <c r="AR218" s="279" t="e">
        <f>AR237/AR240*100</f>
        <v>#DIV/0!</v>
      </c>
      <c r="AT218" s="279">
        <f>AT237/AT240*100</f>
        <v>0</v>
      </c>
      <c r="AU218" s="279">
        <f>AU237/AU240*100</f>
        <v>25</v>
      </c>
      <c r="AW218" s="279" t="e">
        <f>AW237/AW240*100</f>
        <v>#DIV/0!</v>
      </c>
      <c r="AX218" s="279" t="e">
        <f>AX237/AX240*100</f>
        <v>#DIV/0!</v>
      </c>
      <c r="AZ218" s="279" t="e">
        <f>AZ237/AZ240*100</f>
        <v>#DIV/0!</v>
      </c>
      <c r="BA218" s="279" t="e">
        <f>BA237/BA240*100</f>
        <v>#DIV/0!</v>
      </c>
      <c r="BC218" s="279" t="e">
        <f>BC237/BC240*100</f>
        <v>#DIV/0!</v>
      </c>
      <c r="BD218" s="279" t="e">
        <f>BD237/BD240*100</f>
        <v>#DIV/0!</v>
      </c>
      <c r="BF218" s="279" t="e">
        <f>BF237/BF240*100</f>
        <v>#DIV/0!</v>
      </c>
      <c r="BG218" s="279" t="e">
        <f>BG237/BG240*100</f>
        <v>#DIV/0!</v>
      </c>
      <c r="BI218" s="279">
        <f>BI237/BI240*100</f>
        <v>57.142857142857139</v>
      </c>
      <c r="BJ218" s="279">
        <f>BJ237/BJ240*100</f>
        <v>25</v>
      </c>
      <c r="BL218" s="279">
        <f>BL237/BL240*100</f>
        <v>100</v>
      </c>
      <c r="BM218" s="279">
        <f>BM237/BM240*100</f>
        <v>50</v>
      </c>
      <c r="BO218" s="279" t="e">
        <f>BO237/BO240*100</f>
        <v>#DIV/0!</v>
      </c>
      <c r="BP218" s="279" t="e">
        <f>BP237/BP240*100</f>
        <v>#DIV/0!</v>
      </c>
      <c r="BR218" s="279" t="e">
        <f>BR237/BR240*100</f>
        <v>#DIV/0!</v>
      </c>
      <c r="BS218" s="279" t="e">
        <f>BS237/BS240*100</f>
        <v>#DIV/0!</v>
      </c>
      <c r="BU218" s="279">
        <f>BU237/BU240*100</f>
        <v>100</v>
      </c>
      <c r="BV218" s="279">
        <f>BV237/BV240*100</f>
        <v>100</v>
      </c>
      <c r="BX218" s="279" t="e">
        <f>BX237/BX240*100</f>
        <v>#DIV/0!</v>
      </c>
      <c r="BY218" s="279" t="e">
        <f>BY237/BY240*100</f>
        <v>#DIV/0!</v>
      </c>
      <c r="CA218" s="279" t="e">
        <f>CA237/CA240*100</f>
        <v>#DIV/0!</v>
      </c>
      <c r="CB218" s="279" t="e">
        <f>CB237/CB240*100</f>
        <v>#DIV/0!</v>
      </c>
      <c r="CD218" s="279" t="e">
        <f>CD237/CD240*100</f>
        <v>#DIV/0!</v>
      </c>
      <c r="CE218" s="279" t="e">
        <f>CE237/CE240*100</f>
        <v>#DIV/0!</v>
      </c>
      <c r="CG218" s="279" t="e">
        <f>CG237/CG240*100</f>
        <v>#DIV/0!</v>
      </c>
      <c r="CH218" s="279" t="e">
        <f>CH237/CH240*100</f>
        <v>#DIV/0!</v>
      </c>
    </row>
    <row r="219" spans="1:86" x14ac:dyDescent="0.25">
      <c r="A219" s="95"/>
      <c r="B219" s="96" t="s">
        <v>1926</v>
      </c>
      <c r="C219" s="107"/>
      <c r="D219" s="95"/>
      <c r="E219" s="95"/>
      <c r="F219" s="279"/>
      <c r="G219" s="279"/>
      <c r="H219" s="279"/>
      <c r="I219" s="279"/>
      <c r="J219" s="279">
        <f t="shared" si="87"/>
        <v>37.5</v>
      </c>
      <c r="K219" s="279">
        <f t="shared" si="88"/>
        <v>75</v>
      </c>
      <c r="L219" s="279">
        <f t="shared" si="89"/>
        <v>84.210526315789465</v>
      </c>
      <c r="M219" s="279" t="e">
        <f t="shared" si="90"/>
        <v>#DIV/0!</v>
      </c>
      <c r="N219" s="279">
        <v>0</v>
      </c>
      <c r="O219" s="279">
        <v>0</v>
      </c>
      <c r="P219" s="281"/>
      <c r="Q219" s="279">
        <f>Q238/Q240*100</f>
        <v>84.210526315789465</v>
      </c>
      <c r="R219" s="279">
        <f>R238/R240*100</f>
        <v>77.777777777777786</v>
      </c>
      <c r="S219" s="279" t="e">
        <f>S238/S240*100</f>
        <v>#DIV/0!</v>
      </c>
      <c r="T219" s="279" t="e">
        <f>T238/T240*100</f>
        <v>#DIV/0!</v>
      </c>
      <c r="V219" s="279" t="e">
        <f>V238/V240*100</f>
        <v>#DIV/0!</v>
      </c>
      <c r="W219" s="279" t="e">
        <f>W238/W240*100</f>
        <v>#DIV/0!</v>
      </c>
      <c r="Y219" s="279" t="e">
        <f>Y238/Y240*100</f>
        <v>#DIV/0!</v>
      </c>
      <c r="Z219" s="279" t="e">
        <f>Z238/Z240*100</f>
        <v>#DIV/0!</v>
      </c>
      <c r="AB219" s="279" t="e">
        <f>AB238/AB240*100</f>
        <v>#DIV/0!</v>
      </c>
      <c r="AC219" s="279" t="e">
        <f>AC238/AC240*100</f>
        <v>#DIV/0!</v>
      </c>
      <c r="AE219" s="279" t="e">
        <f>AE238/AE240*100</f>
        <v>#DIV/0!</v>
      </c>
      <c r="AF219" s="279" t="e">
        <f>AF238/AF240*100</f>
        <v>#DIV/0!</v>
      </c>
      <c r="AH219" s="279" t="e">
        <f>AH238/AH240*100</f>
        <v>#DIV/0!</v>
      </c>
      <c r="AI219" s="279" t="e">
        <f>AI238/AI240*100</f>
        <v>#DIV/0!</v>
      </c>
      <c r="AK219" s="279" t="e">
        <f>AK238/AK240*100</f>
        <v>#DIV/0!</v>
      </c>
      <c r="AL219" s="279" t="e">
        <f>AL238/AL240*100</f>
        <v>#DIV/0!</v>
      </c>
      <c r="AN219" s="279">
        <f>AN238/AN240*100</f>
        <v>100</v>
      </c>
      <c r="AO219" s="279">
        <f>AO238/AO240*100</f>
        <v>85.714285714285708</v>
      </c>
      <c r="AQ219" s="279" t="e">
        <f>AQ238/AQ240*100</f>
        <v>#DIV/0!</v>
      </c>
      <c r="AR219" s="279" t="e">
        <f>AR238/AR240*100</f>
        <v>#DIV/0!</v>
      </c>
      <c r="AT219" s="279">
        <f>AT238/AT240*100</f>
        <v>75</v>
      </c>
      <c r="AU219" s="279">
        <f>AU238/AU240*100</f>
        <v>75</v>
      </c>
      <c r="AW219" s="279" t="e">
        <f>AW238/AW240*100</f>
        <v>#DIV/0!</v>
      </c>
      <c r="AX219" s="279" t="e">
        <f>AX238/AX240*100</f>
        <v>#DIV/0!</v>
      </c>
      <c r="AZ219" s="279" t="e">
        <f>AZ238/AZ240*100</f>
        <v>#DIV/0!</v>
      </c>
      <c r="BA219" s="279" t="e">
        <f>BA238/BA240*100</f>
        <v>#DIV/0!</v>
      </c>
      <c r="BC219" s="279" t="e">
        <f>BC238/BC240*100</f>
        <v>#DIV/0!</v>
      </c>
      <c r="BD219" s="279" t="e">
        <f>BD238/BD240*100</f>
        <v>#DIV/0!</v>
      </c>
      <c r="BF219" s="279" t="e">
        <f>BF238/BF240*100</f>
        <v>#DIV/0!</v>
      </c>
      <c r="BG219" s="279" t="e">
        <f>BG238/BG240*100</f>
        <v>#DIV/0!</v>
      </c>
      <c r="BI219" s="279">
        <f>BI238/BI240*100</f>
        <v>100</v>
      </c>
      <c r="BJ219" s="279">
        <f>BJ238/BJ240*100</f>
        <v>100</v>
      </c>
      <c r="BL219" s="279">
        <f>BL238/BL240*100</f>
        <v>50</v>
      </c>
      <c r="BM219" s="279">
        <f>BM238/BM240*100</f>
        <v>50</v>
      </c>
      <c r="BO219" s="279" t="e">
        <f>BO238/BO240*100</f>
        <v>#DIV/0!</v>
      </c>
      <c r="BP219" s="279" t="e">
        <f>BP238/BP240*100</f>
        <v>#DIV/0!</v>
      </c>
      <c r="BR219" s="279" t="e">
        <f>BR238/BR240*100</f>
        <v>#DIV/0!</v>
      </c>
      <c r="BS219" s="279" t="e">
        <f>BS238/BS240*100</f>
        <v>#DIV/0!</v>
      </c>
      <c r="BU219" s="279">
        <f>BU238/BU240*100</f>
        <v>50</v>
      </c>
      <c r="BV219" s="279">
        <f>BV238/BV240*100</f>
        <v>0</v>
      </c>
      <c r="BX219" s="279" t="e">
        <f>BX238/BX240*100</f>
        <v>#DIV/0!</v>
      </c>
      <c r="BY219" s="279" t="e">
        <f>BY238/BY240*100</f>
        <v>#DIV/0!</v>
      </c>
      <c r="CA219" s="279" t="e">
        <f>CA238/CA240*100</f>
        <v>#DIV/0!</v>
      </c>
      <c r="CB219" s="279" t="e">
        <f>CB238/CB240*100</f>
        <v>#DIV/0!</v>
      </c>
      <c r="CD219" s="279" t="e">
        <f>CD238/CD240*100</f>
        <v>#DIV/0!</v>
      </c>
      <c r="CE219" s="279" t="e">
        <f>CE238/CE240*100</f>
        <v>#DIV/0!</v>
      </c>
      <c r="CG219" s="279" t="e">
        <f>CG238/CG240*100</f>
        <v>#DIV/0!</v>
      </c>
      <c r="CH219" s="279" t="e">
        <f>CH238/CH240*100</f>
        <v>#DIV/0!</v>
      </c>
    </row>
    <row r="220" spans="1:86" x14ac:dyDescent="0.25">
      <c r="A220" s="95"/>
      <c r="B220" s="96" t="s">
        <v>1927</v>
      </c>
      <c r="C220" s="107"/>
      <c r="D220" s="95"/>
      <c r="E220" s="95"/>
      <c r="F220" s="279"/>
      <c r="G220" s="279"/>
      <c r="H220" s="279"/>
      <c r="I220" s="279"/>
      <c r="J220" s="279">
        <f t="shared" si="87"/>
        <v>37.5</v>
      </c>
      <c r="K220" s="279">
        <f t="shared" si="88"/>
        <v>58.333333333333336</v>
      </c>
      <c r="L220" s="279">
        <f t="shared" si="89"/>
        <v>68.421052631578945</v>
      </c>
      <c r="M220" s="279" t="e">
        <f t="shared" si="90"/>
        <v>#DIV/0!</v>
      </c>
      <c r="N220" s="279">
        <v>0</v>
      </c>
      <c r="O220" s="279">
        <v>0</v>
      </c>
      <c r="P220" s="281"/>
      <c r="Q220" s="279">
        <f>Q239/Q240*100</f>
        <v>68.421052631578945</v>
      </c>
      <c r="R220" s="279">
        <f>R239/R240*100</f>
        <v>72.222222222222214</v>
      </c>
      <c r="S220" s="279" t="e">
        <f>S239/S240*100</f>
        <v>#DIV/0!</v>
      </c>
      <c r="T220" s="279" t="e">
        <f>T239/T240*100</f>
        <v>#DIV/0!</v>
      </c>
      <c r="V220" s="279" t="e">
        <f>V239/V240*100</f>
        <v>#DIV/0!</v>
      </c>
      <c r="W220" s="279" t="e">
        <f>W239/W240*100</f>
        <v>#DIV/0!</v>
      </c>
      <c r="Y220" s="279" t="e">
        <f>Y239/Y240*100</f>
        <v>#DIV/0!</v>
      </c>
      <c r="Z220" s="279" t="e">
        <f>Z239/Z240*100</f>
        <v>#DIV/0!</v>
      </c>
      <c r="AB220" s="279" t="e">
        <f>AB239/AB240*100</f>
        <v>#DIV/0!</v>
      </c>
      <c r="AC220" s="279" t="e">
        <f>AC239/AC240*100</f>
        <v>#DIV/0!</v>
      </c>
      <c r="AE220" s="279" t="e">
        <f>AE239/AE240*100</f>
        <v>#DIV/0!</v>
      </c>
      <c r="AF220" s="279" t="e">
        <f>AF239/AF240*100</f>
        <v>#DIV/0!</v>
      </c>
      <c r="AH220" s="279" t="e">
        <f>AH239/AH240*100</f>
        <v>#DIV/0!</v>
      </c>
      <c r="AI220" s="279" t="e">
        <f>AI239/AI240*100</f>
        <v>#DIV/0!</v>
      </c>
      <c r="AK220" s="279" t="e">
        <f>AK239/AK240*100</f>
        <v>#DIV/0!</v>
      </c>
      <c r="AL220" s="279" t="e">
        <f>AL239/AL240*100</f>
        <v>#DIV/0!</v>
      </c>
      <c r="AN220" s="279">
        <f>AN239/AN240*100</f>
        <v>50</v>
      </c>
      <c r="AO220" s="279">
        <f>AO239/AO240*100</f>
        <v>71.428571428571431</v>
      </c>
      <c r="AQ220" s="279" t="e">
        <f>AQ239/AQ240*100</f>
        <v>#DIV/0!</v>
      </c>
      <c r="AR220" s="279" t="e">
        <f>AR239/AR240*100</f>
        <v>#DIV/0!</v>
      </c>
      <c r="AT220" s="279">
        <f>AT239/AT240*100</f>
        <v>100</v>
      </c>
      <c r="AU220" s="279">
        <f>AU239/AU240*100</f>
        <v>100</v>
      </c>
      <c r="AW220" s="279" t="e">
        <f>AW239/AW240*100</f>
        <v>#DIV/0!</v>
      </c>
      <c r="AX220" s="279" t="e">
        <f>AX239/AX240*100</f>
        <v>#DIV/0!</v>
      </c>
      <c r="AZ220" s="279" t="e">
        <f>AZ239/AZ240*100</f>
        <v>#DIV/0!</v>
      </c>
      <c r="BA220" s="279" t="e">
        <f>BA239/BA240*100</f>
        <v>#DIV/0!</v>
      </c>
      <c r="BC220" s="279" t="e">
        <f>BC239/BC240*100</f>
        <v>#DIV/0!</v>
      </c>
      <c r="BD220" s="279" t="e">
        <f>BD239/BD240*100</f>
        <v>#DIV/0!</v>
      </c>
      <c r="BF220" s="279" t="e">
        <f>BF239/BF240*100</f>
        <v>#DIV/0!</v>
      </c>
      <c r="BG220" s="279" t="e">
        <f>BG239/BG240*100</f>
        <v>#DIV/0!</v>
      </c>
      <c r="BI220" s="279">
        <f>BI239/BI240*100</f>
        <v>85.714285714285708</v>
      </c>
      <c r="BJ220" s="279">
        <f>BJ239/BJ240*100</f>
        <v>100</v>
      </c>
      <c r="BL220" s="279">
        <f>BL239/BL240*100</f>
        <v>0</v>
      </c>
      <c r="BM220" s="279">
        <f>BM239/BM240*100</f>
        <v>0</v>
      </c>
      <c r="BO220" s="279" t="e">
        <f>BO239/BO240*100</f>
        <v>#DIV/0!</v>
      </c>
      <c r="BP220" s="279" t="e">
        <f>BP239/BP240*100</f>
        <v>#DIV/0!</v>
      </c>
      <c r="BR220" s="279" t="e">
        <f>BR239/BR240*100</f>
        <v>#DIV/0!</v>
      </c>
      <c r="BS220" s="279" t="e">
        <f>BS239/BS240*100</f>
        <v>#DIV/0!</v>
      </c>
      <c r="BU220" s="279">
        <f>BU239/BU240*100</f>
        <v>50</v>
      </c>
      <c r="BV220" s="279">
        <f>BV239/BV240*100</f>
        <v>0</v>
      </c>
      <c r="BX220" s="279" t="e">
        <f>BX239/BX240*100</f>
        <v>#DIV/0!</v>
      </c>
      <c r="BY220" s="279" t="e">
        <f>BY239/BY240*100</f>
        <v>#DIV/0!</v>
      </c>
      <c r="CA220" s="279" t="e">
        <f>CA239/CA240*100</f>
        <v>#DIV/0!</v>
      </c>
      <c r="CB220" s="279" t="e">
        <f>CB239/CB240*100</f>
        <v>#DIV/0!</v>
      </c>
      <c r="CD220" s="279" t="e">
        <f>CD239/CD240*100</f>
        <v>#DIV/0!</v>
      </c>
      <c r="CE220" s="279" t="e">
        <f>CE239/CE240*100</f>
        <v>#DIV/0!</v>
      </c>
      <c r="CG220" s="279" t="e">
        <f>CG239/CG240*100</f>
        <v>#DIV/0!</v>
      </c>
      <c r="CH220" s="279" t="e">
        <f>CH239/CH240*100</f>
        <v>#DIV/0!</v>
      </c>
    </row>
    <row r="221" spans="1:86" x14ac:dyDescent="0.25">
      <c r="A221" s="95"/>
      <c r="B221" s="16" t="s">
        <v>1182</v>
      </c>
      <c r="C221" s="95"/>
      <c r="D221" s="95"/>
      <c r="E221" s="95"/>
      <c r="F221" s="291"/>
      <c r="G221" s="291"/>
      <c r="H221" s="291"/>
      <c r="I221" s="291"/>
      <c r="J221" s="291"/>
      <c r="K221" s="291"/>
      <c r="L221" s="291"/>
      <c r="M221" s="291"/>
      <c r="N221" s="291"/>
      <c r="O221" s="291"/>
      <c r="P221" s="281"/>
    </row>
    <row r="222" spans="1:86" ht="45" x14ac:dyDescent="0.25">
      <c r="A222" s="95"/>
      <c r="B222" s="16" t="s">
        <v>197</v>
      </c>
      <c r="C222" s="95" t="s">
        <v>1174</v>
      </c>
      <c r="D222" s="95" t="s">
        <v>1112</v>
      </c>
      <c r="E222" s="95"/>
      <c r="F222" s="291">
        <v>60</v>
      </c>
      <c r="G222" s="291">
        <v>61</v>
      </c>
      <c r="H222" s="291">
        <v>57</v>
      </c>
      <c r="I222" s="291">
        <v>55</v>
      </c>
      <c r="J222" s="291">
        <f>53+81</f>
        <v>134</v>
      </c>
      <c r="K222" s="291">
        <f>46+73</f>
        <v>119</v>
      </c>
      <c r="L222" s="291">
        <f>46+61</f>
        <v>107</v>
      </c>
      <c r="M222" s="291">
        <v>3</v>
      </c>
      <c r="N222" s="291">
        <v>3</v>
      </c>
      <c r="O222" s="291">
        <v>3</v>
      </c>
      <c r="P222" s="303"/>
      <c r="Q222" s="283">
        <f t="shared" ref="Q222:R230" si="91">S222+V222+Y222+AB222+AE222+AH222+AK222+AN222+AQ222+AT222+AW222+AZ222+BC222+BF222+BI222+BL222+BO222+BR222+BU222+BX222+CA222+CD222+CG222+CJ215</f>
        <v>107</v>
      </c>
      <c r="R222" s="283">
        <f t="shared" si="91"/>
        <v>92</v>
      </c>
      <c r="S222" s="267">
        <v>3</v>
      </c>
      <c r="T222" s="267">
        <v>2</v>
      </c>
      <c r="V222" s="267">
        <v>7</v>
      </c>
      <c r="W222" s="267">
        <v>7</v>
      </c>
      <c r="Y222" s="267">
        <v>9</v>
      </c>
      <c r="Z222" s="267">
        <v>5</v>
      </c>
      <c r="AB222" s="267">
        <v>6</v>
      </c>
      <c r="AC222" s="267">
        <v>5</v>
      </c>
      <c r="AE222" s="267">
        <v>6</v>
      </c>
      <c r="AF222" s="267">
        <v>6</v>
      </c>
      <c r="AH222" s="267">
        <v>8</v>
      </c>
      <c r="AI222" s="267">
        <v>8</v>
      </c>
      <c r="AK222" s="267">
        <v>3</v>
      </c>
      <c r="AL222" s="267">
        <v>3</v>
      </c>
      <c r="AN222" s="267">
        <v>7</v>
      </c>
      <c r="AO222" s="267">
        <v>7</v>
      </c>
      <c r="AQ222" s="267">
        <v>3</v>
      </c>
      <c r="AR222" s="267">
        <v>2</v>
      </c>
      <c r="AT222" s="267">
        <v>8</v>
      </c>
      <c r="AU222" s="267">
        <v>6</v>
      </c>
      <c r="AW222" s="267">
        <v>2</v>
      </c>
      <c r="AX222" s="267">
        <v>2</v>
      </c>
      <c r="AZ222" s="267">
        <v>5</v>
      </c>
      <c r="BA222" s="267">
        <v>2</v>
      </c>
      <c r="BC222" s="267">
        <v>4</v>
      </c>
      <c r="BD222" s="267">
        <v>4</v>
      </c>
      <c r="BF222" s="267">
        <v>6</v>
      </c>
      <c r="BG222" s="267">
        <v>6</v>
      </c>
      <c r="BI222" s="267">
        <v>10</v>
      </c>
      <c r="BJ222" s="267">
        <v>10</v>
      </c>
      <c r="BL222" s="267">
        <v>5</v>
      </c>
      <c r="BM222" s="267">
        <v>4</v>
      </c>
      <c r="BO222" s="267">
        <v>4</v>
      </c>
      <c r="BP222" s="267">
        <v>2</v>
      </c>
      <c r="BR222" s="267">
        <v>3</v>
      </c>
      <c r="BS222" s="267">
        <v>3</v>
      </c>
      <c r="BU222" s="267">
        <v>2</v>
      </c>
      <c r="BV222" s="267">
        <v>2</v>
      </c>
      <c r="BX222" s="267">
        <v>1</v>
      </c>
      <c r="BY222" s="267">
        <v>1</v>
      </c>
      <c r="CA222" s="267">
        <v>2</v>
      </c>
      <c r="CB222" s="267">
        <v>2</v>
      </c>
      <c r="CD222" s="267">
        <v>2</v>
      </c>
      <c r="CE222" s="267">
        <v>2</v>
      </c>
      <c r="CG222" s="267">
        <v>1</v>
      </c>
      <c r="CH222" s="267">
        <v>1</v>
      </c>
    </row>
    <row r="223" spans="1:86" ht="45" x14ac:dyDescent="0.25">
      <c r="A223" s="95"/>
      <c r="B223" s="16" t="s">
        <v>64</v>
      </c>
      <c r="C223" s="95" t="s">
        <v>1175</v>
      </c>
      <c r="D223" s="95" t="s">
        <v>1112</v>
      </c>
      <c r="E223" s="95"/>
      <c r="F223" s="291">
        <v>60</v>
      </c>
      <c r="G223" s="291">
        <v>61</v>
      </c>
      <c r="H223" s="291">
        <v>57</v>
      </c>
      <c r="I223" s="291">
        <v>55</v>
      </c>
      <c r="J223" s="291">
        <f>53+81</f>
        <v>134</v>
      </c>
      <c r="K223" s="291">
        <f>46+73</f>
        <v>119</v>
      </c>
      <c r="L223" s="291">
        <f>46+61</f>
        <v>107</v>
      </c>
      <c r="M223" s="291">
        <v>3</v>
      </c>
      <c r="N223" s="291">
        <v>3</v>
      </c>
      <c r="O223" s="291">
        <v>3</v>
      </c>
      <c r="P223" s="303"/>
      <c r="Q223" s="283">
        <f t="shared" si="91"/>
        <v>107</v>
      </c>
      <c r="R223" s="283">
        <f t="shared" si="91"/>
        <v>92</v>
      </c>
      <c r="S223" s="267">
        <v>3</v>
      </c>
      <c r="T223" s="267">
        <v>2</v>
      </c>
      <c r="V223" s="267">
        <v>7</v>
      </c>
      <c r="W223" s="267">
        <v>7</v>
      </c>
      <c r="Y223" s="267">
        <v>9</v>
      </c>
      <c r="Z223" s="267">
        <v>5</v>
      </c>
      <c r="AB223" s="267">
        <v>6</v>
      </c>
      <c r="AC223" s="267">
        <v>5</v>
      </c>
      <c r="AE223" s="267">
        <v>6</v>
      </c>
      <c r="AF223" s="267">
        <v>6</v>
      </c>
      <c r="AH223" s="267">
        <v>8</v>
      </c>
      <c r="AI223" s="267">
        <v>8</v>
      </c>
      <c r="AK223" s="267">
        <v>3</v>
      </c>
      <c r="AL223" s="267">
        <v>3</v>
      </c>
      <c r="AN223" s="267">
        <v>7</v>
      </c>
      <c r="AO223" s="267">
        <v>7</v>
      </c>
      <c r="AQ223" s="267">
        <v>3</v>
      </c>
      <c r="AR223" s="267">
        <v>2</v>
      </c>
      <c r="AT223" s="267">
        <v>8</v>
      </c>
      <c r="AU223" s="267">
        <v>6</v>
      </c>
      <c r="AW223" s="267">
        <v>2</v>
      </c>
      <c r="AX223" s="267">
        <v>2</v>
      </c>
      <c r="AZ223" s="267">
        <v>5</v>
      </c>
      <c r="BA223" s="267">
        <v>2</v>
      </c>
      <c r="BC223" s="267">
        <v>4</v>
      </c>
      <c r="BD223" s="267">
        <v>4</v>
      </c>
      <c r="BF223" s="267">
        <v>6</v>
      </c>
      <c r="BG223" s="267">
        <v>6</v>
      </c>
      <c r="BI223" s="267">
        <v>10</v>
      </c>
      <c r="BJ223" s="267">
        <v>10</v>
      </c>
      <c r="BL223" s="267">
        <v>5</v>
      </c>
      <c r="BM223" s="267">
        <v>4</v>
      </c>
      <c r="BO223" s="267">
        <v>4</v>
      </c>
      <c r="BP223" s="267">
        <v>2</v>
      </c>
      <c r="BR223" s="267">
        <v>3</v>
      </c>
      <c r="BS223" s="267">
        <v>3</v>
      </c>
      <c r="BU223" s="267">
        <v>2</v>
      </c>
      <c r="BV223" s="267">
        <v>2</v>
      </c>
      <c r="BX223" s="267">
        <v>1</v>
      </c>
      <c r="BY223" s="267">
        <v>1</v>
      </c>
      <c r="CA223" s="267">
        <v>2</v>
      </c>
      <c r="CB223" s="267">
        <v>2</v>
      </c>
      <c r="CD223" s="267">
        <v>2</v>
      </c>
      <c r="CE223" s="267">
        <v>2</v>
      </c>
      <c r="CG223" s="267">
        <v>1</v>
      </c>
      <c r="CH223" s="267">
        <v>1</v>
      </c>
    </row>
    <row r="224" spans="1:86" ht="45" x14ac:dyDescent="0.25">
      <c r="A224" s="95"/>
      <c r="B224" s="16" t="s">
        <v>198</v>
      </c>
      <c r="C224" s="95" t="s">
        <v>1176</v>
      </c>
      <c r="D224" s="95" t="s">
        <v>1112</v>
      </c>
      <c r="E224" s="95"/>
      <c r="F224" s="291">
        <v>60</v>
      </c>
      <c r="G224" s="291">
        <v>61</v>
      </c>
      <c r="H224" s="291">
        <v>57</v>
      </c>
      <c r="I224" s="291">
        <v>55</v>
      </c>
      <c r="J224" s="291">
        <f>53+81</f>
        <v>134</v>
      </c>
      <c r="K224" s="291">
        <f>46+73</f>
        <v>119</v>
      </c>
      <c r="L224" s="291">
        <f>46+61</f>
        <v>107</v>
      </c>
      <c r="M224" s="291">
        <v>3</v>
      </c>
      <c r="N224" s="291">
        <v>3</v>
      </c>
      <c r="O224" s="291">
        <v>3</v>
      </c>
      <c r="P224" s="303"/>
      <c r="Q224" s="283">
        <f t="shared" si="91"/>
        <v>107</v>
      </c>
      <c r="R224" s="283">
        <f t="shared" si="91"/>
        <v>92</v>
      </c>
      <c r="S224" s="267">
        <v>3</v>
      </c>
      <c r="T224" s="267">
        <v>2</v>
      </c>
      <c r="V224" s="267">
        <v>7</v>
      </c>
      <c r="W224" s="267">
        <v>7</v>
      </c>
      <c r="Y224" s="267">
        <v>9</v>
      </c>
      <c r="Z224" s="267">
        <v>5</v>
      </c>
      <c r="AB224" s="267">
        <v>6</v>
      </c>
      <c r="AC224" s="267">
        <v>5</v>
      </c>
      <c r="AE224" s="267">
        <v>6</v>
      </c>
      <c r="AF224" s="267">
        <v>6</v>
      </c>
      <c r="AH224" s="267">
        <v>8</v>
      </c>
      <c r="AI224" s="267">
        <v>8</v>
      </c>
      <c r="AK224" s="267">
        <v>3</v>
      </c>
      <c r="AL224" s="267">
        <v>3</v>
      </c>
      <c r="AN224" s="267">
        <v>7</v>
      </c>
      <c r="AO224" s="267">
        <v>7</v>
      </c>
      <c r="AQ224" s="267">
        <v>3</v>
      </c>
      <c r="AR224" s="267">
        <v>2</v>
      </c>
      <c r="AT224" s="267">
        <v>8</v>
      </c>
      <c r="AU224" s="267">
        <v>6</v>
      </c>
      <c r="AW224" s="267">
        <v>2</v>
      </c>
      <c r="AX224" s="267">
        <v>2</v>
      </c>
      <c r="AZ224" s="267">
        <v>5</v>
      </c>
      <c r="BA224" s="267">
        <v>2</v>
      </c>
      <c r="BC224" s="267">
        <v>4</v>
      </c>
      <c r="BD224" s="267">
        <v>4</v>
      </c>
      <c r="BF224" s="267">
        <v>6</v>
      </c>
      <c r="BG224" s="267">
        <v>6</v>
      </c>
      <c r="BI224" s="267">
        <v>10</v>
      </c>
      <c r="BJ224" s="267">
        <v>10</v>
      </c>
      <c r="BL224" s="267">
        <v>5</v>
      </c>
      <c r="BM224" s="267">
        <v>4</v>
      </c>
      <c r="BO224" s="267">
        <v>4</v>
      </c>
      <c r="BP224" s="267">
        <v>2</v>
      </c>
      <c r="BR224" s="267">
        <v>3</v>
      </c>
      <c r="BS224" s="267">
        <v>3</v>
      </c>
      <c r="BU224" s="267">
        <v>2</v>
      </c>
      <c r="BV224" s="267">
        <v>2</v>
      </c>
      <c r="BX224" s="267">
        <v>1</v>
      </c>
      <c r="BY224" s="267">
        <v>1</v>
      </c>
      <c r="CA224" s="267">
        <v>2</v>
      </c>
      <c r="CB224" s="267">
        <v>2</v>
      </c>
      <c r="CD224" s="267">
        <v>2</v>
      </c>
      <c r="CE224" s="267">
        <v>2</v>
      </c>
      <c r="CG224" s="267">
        <v>1</v>
      </c>
      <c r="CH224" s="267">
        <v>1</v>
      </c>
    </row>
    <row r="225" spans="1:86" ht="45" x14ac:dyDescent="0.25">
      <c r="A225" s="95"/>
      <c r="B225" s="96" t="s">
        <v>1923</v>
      </c>
      <c r="C225" s="95" t="s">
        <v>1921</v>
      </c>
      <c r="D225" s="95" t="s">
        <v>1112</v>
      </c>
      <c r="E225" s="95"/>
      <c r="F225" s="291"/>
      <c r="G225" s="291"/>
      <c r="H225" s="291"/>
      <c r="I225" s="291"/>
      <c r="J225" s="291">
        <f>52+80</f>
        <v>132</v>
      </c>
      <c r="K225" s="291">
        <f>44+72</f>
        <v>116</v>
      </c>
      <c r="L225" s="291">
        <f>43+58</f>
        <v>101</v>
      </c>
      <c r="M225" s="291">
        <v>3</v>
      </c>
      <c r="N225" s="291">
        <v>3</v>
      </c>
      <c r="O225" s="291">
        <v>3</v>
      </c>
      <c r="P225" s="303"/>
      <c r="Q225" s="283">
        <f t="shared" si="91"/>
        <v>101</v>
      </c>
      <c r="R225" s="283">
        <f t="shared" si="91"/>
        <v>89</v>
      </c>
      <c r="S225" s="267">
        <v>3</v>
      </c>
      <c r="T225" s="267">
        <v>2</v>
      </c>
      <c r="V225" s="267">
        <v>6</v>
      </c>
      <c r="W225" s="267">
        <v>7</v>
      </c>
      <c r="Y225" s="267">
        <v>9</v>
      </c>
      <c r="Z225" s="267">
        <v>5</v>
      </c>
      <c r="AB225" s="267">
        <v>5</v>
      </c>
      <c r="AC225" s="267">
        <v>4</v>
      </c>
      <c r="AE225" s="267">
        <v>5</v>
      </c>
      <c r="AF225" s="267">
        <v>5</v>
      </c>
      <c r="AH225" s="267">
        <v>8</v>
      </c>
      <c r="AI225" s="267">
        <v>8</v>
      </c>
      <c r="AK225" s="267">
        <v>3</v>
      </c>
      <c r="AL225" s="267">
        <v>3</v>
      </c>
      <c r="AN225" s="267">
        <v>7</v>
      </c>
      <c r="AO225" s="267">
        <v>7</v>
      </c>
      <c r="AQ225" s="267">
        <v>2</v>
      </c>
      <c r="AR225" s="267">
        <v>1</v>
      </c>
      <c r="AT225" s="267">
        <v>8</v>
      </c>
      <c r="AU225" s="267">
        <v>6</v>
      </c>
      <c r="AW225" s="267">
        <v>2</v>
      </c>
      <c r="AX225" s="267">
        <v>2</v>
      </c>
      <c r="AZ225" s="267">
        <v>5</v>
      </c>
      <c r="BA225" s="267">
        <v>2</v>
      </c>
      <c r="BC225" s="267">
        <v>4</v>
      </c>
      <c r="BD225" s="267">
        <v>4</v>
      </c>
      <c r="BF225" s="267">
        <v>6</v>
      </c>
      <c r="BG225" s="267">
        <v>6</v>
      </c>
      <c r="BI225" s="267">
        <v>10</v>
      </c>
      <c r="BJ225" s="267">
        <v>10</v>
      </c>
      <c r="BL225" s="267">
        <v>5</v>
      </c>
      <c r="BM225" s="267">
        <v>4</v>
      </c>
      <c r="BO225" s="267">
        <v>4</v>
      </c>
      <c r="BP225" s="267">
        <v>2</v>
      </c>
      <c r="BR225" s="267">
        <v>3</v>
      </c>
      <c r="BS225" s="267">
        <v>3</v>
      </c>
      <c r="BU225" s="267">
        <v>2</v>
      </c>
      <c r="BV225" s="267">
        <v>2</v>
      </c>
      <c r="BX225" s="267">
        <v>1</v>
      </c>
      <c r="BY225" s="267">
        <v>1</v>
      </c>
      <c r="CA225" s="267">
        <v>1</v>
      </c>
      <c r="CB225" s="267">
        <v>2</v>
      </c>
      <c r="CD225" s="267">
        <v>2</v>
      </c>
      <c r="CE225" s="267">
        <v>2</v>
      </c>
      <c r="CG225" s="267">
        <v>0</v>
      </c>
      <c r="CH225" s="267">
        <v>1</v>
      </c>
    </row>
    <row r="226" spans="1:86" ht="45" x14ac:dyDescent="0.25">
      <c r="A226" s="95"/>
      <c r="B226" s="96" t="s">
        <v>1924</v>
      </c>
      <c r="C226" s="95" t="s">
        <v>1922</v>
      </c>
      <c r="D226" s="95" t="s">
        <v>1112</v>
      </c>
      <c r="E226" s="95"/>
      <c r="F226" s="291">
        <v>60</v>
      </c>
      <c r="G226" s="291">
        <v>56</v>
      </c>
      <c r="H226" s="291">
        <v>52</v>
      </c>
      <c r="I226" s="291">
        <v>52</v>
      </c>
      <c r="J226" s="291">
        <f>48+74</f>
        <v>122</v>
      </c>
      <c r="K226" s="291">
        <f>39+67</f>
        <v>106</v>
      </c>
      <c r="L226" s="291">
        <f>41+55</f>
        <v>96</v>
      </c>
      <c r="M226" s="291">
        <v>3</v>
      </c>
      <c r="N226" s="291">
        <v>3</v>
      </c>
      <c r="O226" s="291">
        <v>3</v>
      </c>
      <c r="P226" s="303"/>
      <c r="Q226" s="283">
        <f t="shared" si="91"/>
        <v>96</v>
      </c>
      <c r="R226" s="283">
        <f t="shared" si="91"/>
        <v>84</v>
      </c>
      <c r="S226" s="267">
        <v>2</v>
      </c>
      <c r="T226" s="267">
        <v>1</v>
      </c>
      <c r="V226" s="267">
        <v>7</v>
      </c>
      <c r="W226" s="267">
        <v>7</v>
      </c>
      <c r="Y226" s="267">
        <v>9</v>
      </c>
      <c r="Z226" s="267">
        <v>5</v>
      </c>
      <c r="AB226" s="267">
        <v>5</v>
      </c>
      <c r="AC226" s="267">
        <v>4</v>
      </c>
      <c r="AE226" s="267">
        <v>4</v>
      </c>
      <c r="AF226" s="267">
        <v>5</v>
      </c>
      <c r="AH226" s="267">
        <v>7</v>
      </c>
      <c r="AI226" s="267">
        <v>7</v>
      </c>
      <c r="AK226" s="267">
        <v>3</v>
      </c>
      <c r="AL226" s="267">
        <v>3</v>
      </c>
      <c r="AN226" s="267">
        <v>7</v>
      </c>
      <c r="AO226" s="267">
        <v>7</v>
      </c>
      <c r="AQ226" s="267">
        <v>2</v>
      </c>
      <c r="AR226" s="267">
        <v>1</v>
      </c>
      <c r="AT226" s="267">
        <v>7</v>
      </c>
      <c r="AU226" s="267">
        <v>6</v>
      </c>
      <c r="AW226" s="267">
        <v>2</v>
      </c>
      <c r="AX226" s="267">
        <v>2</v>
      </c>
      <c r="AZ226" s="267">
        <v>5</v>
      </c>
      <c r="BA226" s="267">
        <v>2</v>
      </c>
      <c r="BC226" s="267">
        <v>3</v>
      </c>
      <c r="BD226" s="267">
        <v>4</v>
      </c>
      <c r="BF226" s="267">
        <v>6</v>
      </c>
      <c r="BG226" s="267">
        <v>5</v>
      </c>
      <c r="BI226" s="267">
        <v>9</v>
      </c>
      <c r="BJ226" s="267">
        <v>9</v>
      </c>
      <c r="BL226" s="267">
        <v>5</v>
      </c>
      <c r="BM226" s="267">
        <v>4</v>
      </c>
      <c r="BO226" s="267">
        <v>4</v>
      </c>
      <c r="BP226" s="267">
        <v>2</v>
      </c>
      <c r="BR226" s="267">
        <v>3</v>
      </c>
      <c r="BS226" s="267">
        <v>3</v>
      </c>
      <c r="BU226" s="267">
        <v>2</v>
      </c>
      <c r="BV226" s="267">
        <v>2</v>
      </c>
      <c r="BX226" s="267">
        <v>1</v>
      </c>
      <c r="BY226" s="267">
        <v>1</v>
      </c>
      <c r="CA226" s="267">
        <v>1</v>
      </c>
      <c r="CB226" s="267">
        <v>1</v>
      </c>
      <c r="CD226" s="267">
        <v>2</v>
      </c>
      <c r="CE226" s="267">
        <v>2</v>
      </c>
      <c r="CG226" s="267">
        <v>0</v>
      </c>
      <c r="CH226" s="267">
        <v>1</v>
      </c>
    </row>
    <row r="227" spans="1:86" ht="45" x14ac:dyDescent="0.25">
      <c r="A227" s="95"/>
      <c r="B227" s="96" t="s">
        <v>1925</v>
      </c>
      <c r="C227" s="95" t="s">
        <v>1928</v>
      </c>
      <c r="D227" s="95" t="s">
        <v>1112</v>
      </c>
      <c r="E227" s="95"/>
      <c r="F227" s="291">
        <v>52</v>
      </c>
      <c r="G227" s="291">
        <v>50</v>
      </c>
      <c r="H227" s="291">
        <v>41</v>
      </c>
      <c r="I227" s="291">
        <v>38</v>
      </c>
      <c r="J227" s="291">
        <f>37+66</f>
        <v>103</v>
      </c>
      <c r="K227" s="291">
        <f>34+58</f>
        <v>92</v>
      </c>
      <c r="L227" s="291">
        <f>35+50</f>
        <v>85</v>
      </c>
      <c r="M227" s="291">
        <v>3</v>
      </c>
      <c r="N227" s="291">
        <v>3</v>
      </c>
      <c r="O227" s="291">
        <v>3</v>
      </c>
      <c r="P227" s="303"/>
      <c r="Q227" s="283">
        <f t="shared" si="91"/>
        <v>85</v>
      </c>
      <c r="R227" s="283">
        <f t="shared" si="91"/>
        <v>72</v>
      </c>
      <c r="S227" s="267">
        <v>3</v>
      </c>
      <c r="T227" s="267">
        <v>2</v>
      </c>
      <c r="V227" s="267">
        <v>2</v>
      </c>
      <c r="W227" s="267">
        <v>2</v>
      </c>
      <c r="Y227" s="267">
        <v>7</v>
      </c>
      <c r="Z227" s="267">
        <v>3</v>
      </c>
      <c r="AB227" s="267">
        <v>4</v>
      </c>
      <c r="AC227" s="267">
        <v>2</v>
      </c>
      <c r="AE227" s="267">
        <v>4</v>
      </c>
      <c r="AF227" s="267">
        <v>4</v>
      </c>
      <c r="AH227" s="267">
        <v>5</v>
      </c>
      <c r="AI227" s="267">
        <v>5</v>
      </c>
      <c r="AK227" s="267">
        <v>1</v>
      </c>
      <c r="AL227" s="267">
        <v>1</v>
      </c>
      <c r="AN227" s="267">
        <v>7</v>
      </c>
      <c r="AO227" s="267">
        <v>7</v>
      </c>
      <c r="AQ227" s="267">
        <v>1</v>
      </c>
      <c r="AR227" s="267">
        <v>1</v>
      </c>
      <c r="AT227" s="267">
        <v>7</v>
      </c>
      <c r="AU227" s="267">
        <v>5</v>
      </c>
      <c r="AW227" s="267">
        <v>2</v>
      </c>
      <c r="AX227" s="267">
        <v>2</v>
      </c>
      <c r="AZ227" s="267">
        <v>5</v>
      </c>
      <c r="BA227" s="267">
        <v>2</v>
      </c>
      <c r="BC227" s="267">
        <v>3</v>
      </c>
      <c r="BD227" s="267">
        <v>4</v>
      </c>
      <c r="BF227" s="267">
        <v>6</v>
      </c>
      <c r="BG227" s="267">
        <v>6</v>
      </c>
      <c r="BI227" s="267">
        <v>10</v>
      </c>
      <c r="BJ227" s="267">
        <v>10</v>
      </c>
      <c r="BL227" s="267">
        <v>4</v>
      </c>
      <c r="BM227" s="267">
        <v>3</v>
      </c>
      <c r="BO227" s="267">
        <v>4</v>
      </c>
      <c r="BP227" s="267">
        <v>2</v>
      </c>
      <c r="BR227" s="267">
        <v>3</v>
      </c>
      <c r="BS227" s="267">
        <v>3</v>
      </c>
      <c r="BU227" s="267">
        <v>2</v>
      </c>
      <c r="BV227" s="267">
        <v>2</v>
      </c>
      <c r="BX227" s="267">
        <v>1</v>
      </c>
      <c r="BY227" s="267">
        <v>1</v>
      </c>
      <c r="CA227" s="267">
        <v>2</v>
      </c>
      <c r="CB227" s="267">
        <v>2</v>
      </c>
      <c r="CD227" s="267">
        <v>2</v>
      </c>
      <c r="CE227" s="267">
        <v>2</v>
      </c>
      <c r="CG227" s="267">
        <v>0</v>
      </c>
      <c r="CH227" s="267">
        <v>1</v>
      </c>
    </row>
    <row r="228" spans="1:86" ht="45" x14ac:dyDescent="0.25">
      <c r="A228" s="95"/>
      <c r="B228" s="96" t="s">
        <v>1926</v>
      </c>
      <c r="C228" s="95" t="s">
        <v>1929</v>
      </c>
      <c r="D228" s="95" t="s">
        <v>1112</v>
      </c>
      <c r="E228" s="95"/>
      <c r="F228" s="291"/>
      <c r="G228" s="291"/>
      <c r="H228" s="291"/>
      <c r="I228" s="291"/>
      <c r="J228" s="291">
        <f>48+73</f>
        <v>121</v>
      </c>
      <c r="K228" s="291">
        <f>41+65</f>
        <v>106</v>
      </c>
      <c r="L228" s="291">
        <f>44+57</f>
        <v>101</v>
      </c>
      <c r="M228" s="291">
        <v>3</v>
      </c>
      <c r="N228" s="291">
        <v>3</v>
      </c>
      <c r="O228" s="291">
        <v>3</v>
      </c>
      <c r="P228" s="303"/>
      <c r="Q228" s="283">
        <f t="shared" si="91"/>
        <v>101</v>
      </c>
      <c r="R228" s="283">
        <f t="shared" si="91"/>
        <v>88</v>
      </c>
      <c r="S228" s="267">
        <v>2</v>
      </c>
      <c r="T228" s="267">
        <v>2</v>
      </c>
      <c r="V228" s="267">
        <v>6</v>
      </c>
      <c r="W228" s="267">
        <v>6</v>
      </c>
      <c r="Y228" s="267">
        <v>8</v>
      </c>
      <c r="Z228" s="267">
        <v>4</v>
      </c>
      <c r="AB228" s="267">
        <v>6</v>
      </c>
      <c r="AC228" s="267">
        <v>5</v>
      </c>
      <c r="AE228" s="267">
        <v>6</v>
      </c>
      <c r="AF228" s="267">
        <v>6</v>
      </c>
      <c r="AH228" s="267">
        <v>7</v>
      </c>
      <c r="AI228" s="267">
        <v>7</v>
      </c>
      <c r="AK228" s="267">
        <v>2</v>
      </c>
      <c r="AL228" s="267">
        <v>2</v>
      </c>
      <c r="AN228" s="267">
        <v>7</v>
      </c>
      <c r="AO228" s="267">
        <v>7</v>
      </c>
      <c r="AQ228" s="267">
        <v>3</v>
      </c>
      <c r="AR228" s="267">
        <v>2</v>
      </c>
      <c r="AT228" s="267">
        <v>8</v>
      </c>
      <c r="AU228" s="267">
        <v>6</v>
      </c>
      <c r="AW228" s="267">
        <v>2</v>
      </c>
      <c r="AX228" s="267">
        <v>2</v>
      </c>
      <c r="AZ228" s="267">
        <v>5</v>
      </c>
      <c r="BA228" s="267">
        <v>2</v>
      </c>
      <c r="BC228" s="267">
        <v>4</v>
      </c>
      <c r="BD228" s="267">
        <v>4</v>
      </c>
      <c r="BF228" s="267">
        <v>6</v>
      </c>
      <c r="BG228" s="267">
        <v>6</v>
      </c>
      <c r="BI228" s="267">
        <v>10</v>
      </c>
      <c r="BJ228" s="267">
        <v>10</v>
      </c>
      <c r="BL228" s="267">
        <v>5</v>
      </c>
      <c r="BM228" s="267">
        <v>4</v>
      </c>
      <c r="BO228" s="267">
        <v>4</v>
      </c>
      <c r="BP228" s="267">
        <v>2</v>
      </c>
      <c r="BR228" s="267">
        <v>3</v>
      </c>
      <c r="BS228" s="267">
        <v>3</v>
      </c>
      <c r="BU228" s="267">
        <v>2</v>
      </c>
      <c r="BV228" s="267">
        <v>2</v>
      </c>
      <c r="BX228" s="267">
        <v>1</v>
      </c>
      <c r="BY228" s="267">
        <v>1</v>
      </c>
      <c r="CA228" s="267">
        <v>2</v>
      </c>
      <c r="CB228" s="267">
        <v>2</v>
      </c>
      <c r="CD228" s="267">
        <v>2</v>
      </c>
      <c r="CE228" s="267">
        <v>2</v>
      </c>
      <c r="CG228" s="267">
        <v>0</v>
      </c>
      <c r="CH228" s="267">
        <v>1</v>
      </c>
    </row>
    <row r="229" spans="1:86" ht="45" x14ac:dyDescent="0.25">
      <c r="A229" s="95"/>
      <c r="B229" s="96" t="s">
        <v>1927</v>
      </c>
      <c r="C229" s="95" t="s">
        <v>1930</v>
      </c>
      <c r="D229" s="95" t="s">
        <v>1112</v>
      </c>
      <c r="E229" s="95"/>
      <c r="F229" s="291"/>
      <c r="G229" s="291"/>
      <c r="H229" s="291"/>
      <c r="I229" s="291"/>
      <c r="J229" s="291">
        <f>50+73</f>
        <v>123</v>
      </c>
      <c r="K229" s="291">
        <f>42+61</f>
        <v>103</v>
      </c>
      <c r="L229" s="291">
        <f>43+53</f>
        <v>96</v>
      </c>
      <c r="M229" s="291">
        <v>3</v>
      </c>
      <c r="N229" s="291">
        <v>3</v>
      </c>
      <c r="O229" s="291">
        <v>3</v>
      </c>
      <c r="P229" s="303"/>
      <c r="Q229" s="283">
        <f t="shared" si="91"/>
        <v>96</v>
      </c>
      <c r="R229" s="283">
        <f t="shared" si="91"/>
        <v>85</v>
      </c>
      <c r="S229" s="267">
        <v>3</v>
      </c>
      <c r="T229" s="267">
        <v>2</v>
      </c>
      <c r="V229" s="267">
        <v>4</v>
      </c>
      <c r="W229" s="267">
        <v>5</v>
      </c>
      <c r="Y229" s="267">
        <v>6</v>
      </c>
      <c r="Z229" s="267">
        <v>3</v>
      </c>
      <c r="AB229" s="267">
        <v>6</v>
      </c>
      <c r="AC229" s="267">
        <v>5</v>
      </c>
      <c r="AE229" s="267">
        <v>6</v>
      </c>
      <c r="AF229" s="267">
        <v>6</v>
      </c>
      <c r="AH229" s="267">
        <v>5</v>
      </c>
      <c r="AI229" s="267">
        <v>5</v>
      </c>
      <c r="AK229" s="267">
        <v>3</v>
      </c>
      <c r="AL229" s="267">
        <v>3</v>
      </c>
      <c r="AN229" s="267">
        <v>6</v>
      </c>
      <c r="AO229" s="267">
        <v>7</v>
      </c>
      <c r="AQ229" s="267">
        <v>3</v>
      </c>
      <c r="AR229" s="267">
        <v>2</v>
      </c>
      <c r="AT229" s="267">
        <v>8</v>
      </c>
      <c r="AU229" s="267">
        <v>6</v>
      </c>
      <c r="AW229" s="267">
        <v>2</v>
      </c>
      <c r="AX229" s="267">
        <v>2</v>
      </c>
      <c r="AZ229" s="267">
        <v>5</v>
      </c>
      <c r="BA229" s="267">
        <v>2</v>
      </c>
      <c r="BC229" s="267">
        <v>4</v>
      </c>
      <c r="BD229" s="267">
        <v>4</v>
      </c>
      <c r="BF229" s="267">
        <v>6</v>
      </c>
      <c r="BG229" s="267">
        <v>6</v>
      </c>
      <c r="BI229" s="267">
        <v>10</v>
      </c>
      <c r="BJ229" s="267">
        <v>10</v>
      </c>
      <c r="BL229" s="267">
        <v>5</v>
      </c>
      <c r="BM229" s="267">
        <v>4</v>
      </c>
      <c r="BO229" s="267">
        <v>4</v>
      </c>
      <c r="BP229" s="267">
        <v>2</v>
      </c>
      <c r="BR229" s="267">
        <v>3</v>
      </c>
      <c r="BS229" s="267">
        <v>3</v>
      </c>
      <c r="BU229" s="267">
        <v>2</v>
      </c>
      <c r="BV229" s="267">
        <v>2</v>
      </c>
      <c r="BX229" s="267">
        <v>1</v>
      </c>
      <c r="BY229" s="267">
        <v>1</v>
      </c>
      <c r="CA229" s="267">
        <v>2</v>
      </c>
      <c r="CB229" s="267">
        <v>2</v>
      </c>
      <c r="CD229" s="267">
        <v>2</v>
      </c>
      <c r="CE229" s="267">
        <v>2</v>
      </c>
      <c r="CG229" s="267">
        <v>0</v>
      </c>
      <c r="CH229" s="267">
        <v>1</v>
      </c>
    </row>
    <row r="230" spans="1:86" ht="45" x14ac:dyDescent="0.25">
      <c r="A230" s="95"/>
      <c r="B230" s="16" t="s">
        <v>829</v>
      </c>
      <c r="C230" s="95" t="s">
        <v>1169</v>
      </c>
      <c r="D230" s="95" t="s">
        <v>1112</v>
      </c>
      <c r="E230" s="95"/>
      <c r="F230" s="291">
        <v>63</v>
      </c>
      <c r="G230" s="291">
        <v>61</v>
      </c>
      <c r="H230" s="291">
        <v>57</v>
      </c>
      <c r="I230" s="291">
        <v>55</v>
      </c>
      <c r="J230" s="291">
        <f>53+81</f>
        <v>134</v>
      </c>
      <c r="K230" s="291">
        <v>119</v>
      </c>
      <c r="L230" s="291">
        <v>107</v>
      </c>
      <c r="M230" s="291"/>
      <c r="N230" s="291">
        <v>2</v>
      </c>
      <c r="O230" s="291">
        <v>2</v>
      </c>
      <c r="P230" s="303"/>
      <c r="Q230" s="283">
        <f t="shared" si="91"/>
        <v>107</v>
      </c>
      <c r="R230" s="283">
        <f t="shared" si="91"/>
        <v>92</v>
      </c>
      <c r="S230" s="267">
        <v>3</v>
      </c>
      <c r="T230" s="267">
        <v>2</v>
      </c>
      <c r="V230" s="267">
        <v>7</v>
      </c>
      <c r="W230" s="267">
        <v>7</v>
      </c>
      <c r="Y230" s="267">
        <v>9</v>
      </c>
      <c r="Z230" s="267">
        <v>5</v>
      </c>
      <c r="AB230" s="267">
        <v>6</v>
      </c>
      <c r="AC230" s="267">
        <v>5</v>
      </c>
      <c r="AE230" s="267">
        <v>6</v>
      </c>
      <c r="AF230" s="267">
        <v>6</v>
      </c>
      <c r="AH230" s="267">
        <v>8</v>
      </c>
      <c r="AI230" s="267">
        <v>8</v>
      </c>
      <c r="AK230" s="267">
        <v>3</v>
      </c>
      <c r="AL230" s="267">
        <v>3</v>
      </c>
      <c r="AN230" s="267">
        <v>7</v>
      </c>
      <c r="AO230" s="267">
        <v>7</v>
      </c>
      <c r="AQ230" s="267">
        <v>3</v>
      </c>
      <c r="AR230" s="267">
        <v>2</v>
      </c>
      <c r="AT230" s="267">
        <v>8</v>
      </c>
      <c r="AU230" s="267">
        <v>6</v>
      </c>
      <c r="AW230" s="267">
        <v>2</v>
      </c>
      <c r="AX230" s="267">
        <v>2</v>
      </c>
      <c r="AZ230" s="267">
        <v>5</v>
      </c>
      <c r="BA230" s="267">
        <v>2</v>
      </c>
      <c r="BC230" s="267">
        <v>4</v>
      </c>
      <c r="BD230" s="267">
        <v>4</v>
      </c>
      <c r="BF230" s="267">
        <v>6</v>
      </c>
      <c r="BG230" s="267">
        <v>6</v>
      </c>
      <c r="BI230" s="267">
        <v>10</v>
      </c>
      <c r="BJ230" s="267">
        <v>10</v>
      </c>
      <c r="BL230" s="267">
        <v>5</v>
      </c>
      <c r="BM230" s="267">
        <v>4</v>
      </c>
      <c r="BO230" s="267">
        <v>4</v>
      </c>
      <c r="BP230" s="267">
        <v>2</v>
      </c>
      <c r="BR230" s="267">
        <v>3</v>
      </c>
      <c r="BS230" s="267">
        <v>3</v>
      </c>
      <c r="BU230" s="267">
        <v>2</v>
      </c>
      <c r="BV230" s="267">
        <v>2</v>
      </c>
      <c r="BX230" s="267">
        <v>1</v>
      </c>
      <c r="BY230" s="267">
        <v>1</v>
      </c>
      <c r="CA230" s="267">
        <v>2</v>
      </c>
      <c r="CB230" s="267">
        <v>2</v>
      </c>
      <c r="CD230" s="267">
        <v>2</v>
      </c>
      <c r="CE230" s="267">
        <v>2</v>
      </c>
      <c r="CG230" s="267">
        <v>1</v>
      </c>
      <c r="CH230" s="267">
        <v>1</v>
      </c>
    </row>
    <row r="231" spans="1:86" x14ac:dyDescent="0.25">
      <c r="A231" s="95"/>
      <c r="B231" s="16" t="s">
        <v>1184</v>
      </c>
      <c r="C231" s="95"/>
      <c r="D231" s="95"/>
      <c r="E231" s="95"/>
      <c r="F231" s="291"/>
      <c r="G231" s="291"/>
      <c r="H231" s="291"/>
      <c r="I231" s="291"/>
      <c r="J231" s="291"/>
      <c r="K231" s="291"/>
      <c r="L231" s="291"/>
      <c r="M231" s="291"/>
      <c r="N231" s="291"/>
      <c r="O231" s="291"/>
      <c r="P231" s="281"/>
    </row>
    <row r="232" spans="1:86" ht="45" x14ac:dyDescent="0.25">
      <c r="A232" s="95"/>
      <c r="B232" s="16" t="s">
        <v>197</v>
      </c>
      <c r="C232" s="95" t="s">
        <v>1174</v>
      </c>
      <c r="D232" s="95" t="s">
        <v>1112</v>
      </c>
      <c r="E232" s="95"/>
      <c r="F232" s="291">
        <v>60</v>
      </c>
      <c r="G232" s="291">
        <v>61</v>
      </c>
      <c r="H232" s="291">
        <v>57</v>
      </c>
      <c r="I232" s="291">
        <v>55</v>
      </c>
      <c r="J232" s="291">
        <v>16</v>
      </c>
      <c r="K232" s="291">
        <v>24</v>
      </c>
      <c r="L232" s="291">
        <v>19</v>
      </c>
      <c r="M232" s="291">
        <v>0</v>
      </c>
      <c r="N232" s="291">
        <v>0</v>
      </c>
      <c r="O232" s="291">
        <v>0</v>
      </c>
      <c r="P232" s="281"/>
      <c r="Q232" s="283">
        <f t="shared" ref="Q232:R240" si="92">S232+V232+Y232+AB232+AE232+AH232+AK232+AN232+AQ232+AT232+AW232+AZ232+BC232+BF232+BI232+BL232+BO232+BR232+BU232+BX232+CA232+CD232+CG232+CJ225</f>
        <v>19</v>
      </c>
      <c r="R232" s="283">
        <f t="shared" si="92"/>
        <v>18</v>
      </c>
      <c r="S232" s="267">
        <v>0</v>
      </c>
      <c r="T232" s="267">
        <v>0</v>
      </c>
      <c r="V232" s="267">
        <v>0</v>
      </c>
      <c r="W232" s="267">
        <v>0</v>
      </c>
      <c r="Y232" s="267">
        <v>0</v>
      </c>
      <c r="Z232" s="267">
        <v>0</v>
      </c>
      <c r="AB232" s="267">
        <v>0</v>
      </c>
      <c r="AC232" s="267">
        <v>0</v>
      </c>
      <c r="AE232" s="267">
        <v>0</v>
      </c>
      <c r="AF232" s="267">
        <v>0</v>
      </c>
      <c r="AH232" s="267">
        <v>0</v>
      </c>
      <c r="AI232" s="267">
        <v>0</v>
      </c>
      <c r="AK232" s="267">
        <v>0</v>
      </c>
      <c r="AL232" s="267">
        <v>0</v>
      </c>
      <c r="AN232" s="267">
        <v>4</v>
      </c>
      <c r="AO232" s="267">
        <v>7</v>
      </c>
      <c r="AQ232" s="267">
        <v>0</v>
      </c>
      <c r="AR232" s="267">
        <v>0</v>
      </c>
      <c r="AT232" s="267">
        <v>4</v>
      </c>
      <c r="AU232" s="267">
        <v>4</v>
      </c>
      <c r="AW232" s="267">
        <v>0</v>
      </c>
      <c r="AX232" s="267">
        <v>0</v>
      </c>
      <c r="AZ232" s="267">
        <v>0</v>
      </c>
      <c r="BA232" s="267">
        <v>0</v>
      </c>
      <c r="BC232" s="267">
        <v>0</v>
      </c>
      <c r="BD232" s="267">
        <v>0</v>
      </c>
      <c r="BF232" s="267">
        <v>0</v>
      </c>
      <c r="BG232" s="267">
        <v>0</v>
      </c>
      <c r="BI232" s="267">
        <v>7</v>
      </c>
      <c r="BJ232" s="267">
        <v>4</v>
      </c>
      <c r="BL232" s="267">
        <v>2</v>
      </c>
      <c r="BM232" s="267">
        <v>2</v>
      </c>
      <c r="BO232" s="267">
        <v>0</v>
      </c>
      <c r="BP232" s="267">
        <v>0</v>
      </c>
      <c r="BR232" s="267">
        <v>0</v>
      </c>
      <c r="BS232" s="267">
        <v>0</v>
      </c>
      <c r="BU232" s="267">
        <v>2</v>
      </c>
      <c r="BV232" s="267">
        <v>1</v>
      </c>
      <c r="BX232" s="267">
        <v>0</v>
      </c>
      <c r="BY232" s="267">
        <v>0</v>
      </c>
      <c r="CA232" s="267">
        <v>0</v>
      </c>
      <c r="CB232" s="267">
        <v>0</v>
      </c>
      <c r="CD232" s="267">
        <v>0</v>
      </c>
      <c r="CE232" s="267">
        <v>0</v>
      </c>
      <c r="CG232" s="267">
        <v>0</v>
      </c>
      <c r="CH232" s="267">
        <v>0</v>
      </c>
    </row>
    <row r="233" spans="1:86" ht="45" x14ac:dyDescent="0.25">
      <c r="A233" s="95"/>
      <c r="B233" s="16" t="s">
        <v>64</v>
      </c>
      <c r="C233" s="95" t="s">
        <v>1175</v>
      </c>
      <c r="D233" s="95" t="s">
        <v>1112</v>
      </c>
      <c r="E233" s="95"/>
      <c r="F233" s="291">
        <v>60</v>
      </c>
      <c r="G233" s="291">
        <v>61</v>
      </c>
      <c r="H233" s="291">
        <v>57</v>
      </c>
      <c r="I233" s="291">
        <v>55</v>
      </c>
      <c r="J233" s="291">
        <v>16</v>
      </c>
      <c r="K233" s="291">
        <v>24</v>
      </c>
      <c r="L233" s="291">
        <v>19</v>
      </c>
      <c r="M233" s="291">
        <v>0</v>
      </c>
      <c r="N233" s="291">
        <v>0</v>
      </c>
      <c r="O233" s="291">
        <v>0</v>
      </c>
      <c r="P233" s="281"/>
      <c r="Q233" s="283">
        <f t="shared" si="92"/>
        <v>19</v>
      </c>
      <c r="R233" s="283">
        <f t="shared" si="92"/>
        <v>18</v>
      </c>
      <c r="S233" s="267">
        <v>0</v>
      </c>
      <c r="T233" s="267">
        <v>0</v>
      </c>
      <c r="V233" s="267">
        <v>0</v>
      </c>
      <c r="W233" s="267">
        <v>0</v>
      </c>
      <c r="Y233" s="267">
        <v>0</v>
      </c>
      <c r="Z233" s="267">
        <v>0</v>
      </c>
      <c r="AB233" s="267">
        <v>0</v>
      </c>
      <c r="AC233" s="267">
        <v>0</v>
      </c>
      <c r="AE233" s="267">
        <v>0</v>
      </c>
      <c r="AF233" s="267">
        <v>0</v>
      </c>
      <c r="AH233" s="267">
        <v>0</v>
      </c>
      <c r="AI233" s="267">
        <v>0</v>
      </c>
      <c r="AK233" s="267">
        <v>0</v>
      </c>
      <c r="AL233" s="267">
        <v>0</v>
      </c>
      <c r="AN233" s="267">
        <v>4</v>
      </c>
      <c r="AO233" s="267">
        <v>7</v>
      </c>
      <c r="AQ233" s="267">
        <v>0</v>
      </c>
      <c r="AR233" s="267">
        <v>0</v>
      </c>
      <c r="AT233" s="267">
        <v>4</v>
      </c>
      <c r="AU233" s="267">
        <v>4</v>
      </c>
      <c r="AW233" s="267">
        <v>0</v>
      </c>
      <c r="AX233" s="267">
        <v>0</v>
      </c>
      <c r="AZ233" s="267">
        <v>0</v>
      </c>
      <c r="BA233" s="267">
        <v>0</v>
      </c>
      <c r="BC233" s="267">
        <v>0</v>
      </c>
      <c r="BD233" s="267">
        <v>0</v>
      </c>
      <c r="BF233" s="267">
        <v>0</v>
      </c>
      <c r="BG233" s="267">
        <v>0</v>
      </c>
      <c r="BI233" s="267">
        <v>7</v>
      </c>
      <c r="BJ233" s="267">
        <v>4</v>
      </c>
      <c r="BL233" s="267">
        <v>2</v>
      </c>
      <c r="BM233" s="267">
        <v>2</v>
      </c>
      <c r="BO233" s="267">
        <v>0</v>
      </c>
      <c r="BP233" s="267">
        <v>0</v>
      </c>
      <c r="BR233" s="267">
        <v>0</v>
      </c>
      <c r="BS233" s="267">
        <v>0</v>
      </c>
      <c r="BU233" s="267">
        <v>2</v>
      </c>
      <c r="BV233" s="267">
        <v>1</v>
      </c>
      <c r="BX233" s="267">
        <v>0</v>
      </c>
      <c r="BY233" s="267">
        <v>0</v>
      </c>
      <c r="CA233" s="267">
        <v>0</v>
      </c>
      <c r="CB233" s="267">
        <v>0</v>
      </c>
      <c r="CD233" s="267">
        <v>0</v>
      </c>
      <c r="CE233" s="267">
        <v>0</v>
      </c>
      <c r="CG233" s="267">
        <v>0</v>
      </c>
      <c r="CH233" s="267">
        <v>0</v>
      </c>
    </row>
    <row r="234" spans="1:86" ht="45" x14ac:dyDescent="0.25">
      <c r="A234" s="95"/>
      <c r="B234" s="16" t="s">
        <v>198</v>
      </c>
      <c r="C234" s="95" t="s">
        <v>1176</v>
      </c>
      <c r="D234" s="95" t="s">
        <v>1112</v>
      </c>
      <c r="E234" s="95"/>
      <c r="F234" s="291">
        <v>60</v>
      </c>
      <c r="G234" s="291">
        <v>61</v>
      </c>
      <c r="H234" s="291">
        <v>57</v>
      </c>
      <c r="I234" s="291">
        <v>55</v>
      </c>
      <c r="J234" s="291">
        <v>16</v>
      </c>
      <c r="K234" s="291">
        <v>24</v>
      </c>
      <c r="L234" s="291">
        <v>19</v>
      </c>
      <c r="M234" s="291">
        <v>0</v>
      </c>
      <c r="N234" s="291">
        <v>0</v>
      </c>
      <c r="O234" s="291">
        <v>0</v>
      </c>
      <c r="P234" s="281"/>
      <c r="Q234" s="283">
        <f t="shared" si="92"/>
        <v>19</v>
      </c>
      <c r="R234" s="283">
        <f t="shared" si="92"/>
        <v>18</v>
      </c>
      <c r="S234" s="267">
        <v>0</v>
      </c>
      <c r="T234" s="267">
        <v>0</v>
      </c>
      <c r="V234" s="267">
        <v>0</v>
      </c>
      <c r="W234" s="267">
        <v>0</v>
      </c>
      <c r="Y234" s="267">
        <v>0</v>
      </c>
      <c r="Z234" s="267">
        <v>0</v>
      </c>
      <c r="AB234" s="267">
        <v>0</v>
      </c>
      <c r="AC234" s="267">
        <v>0</v>
      </c>
      <c r="AE234" s="267">
        <v>0</v>
      </c>
      <c r="AF234" s="267">
        <v>0</v>
      </c>
      <c r="AH234" s="267">
        <v>0</v>
      </c>
      <c r="AI234" s="267">
        <v>0</v>
      </c>
      <c r="AK234" s="267">
        <v>0</v>
      </c>
      <c r="AL234" s="267">
        <v>0</v>
      </c>
      <c r="AN234" s="267">
        <v>4</v>
      </c>
      <c r="AO234" s="267">
        <v>7</v>
      </c>
      <c r="AQ234" s="267">
        <v>0</v>
      </c>
      <c r="AR234" s="267">
        <v>0</v>
      </c>
      <c r="AT234" s="267">
        <v>4</v>
      </c>
      <c r="AU234" s="267">
        <v>4</v>
      </c>
      <c r="AW234" s="267">
        <v>0</v>
      </c>
      <c r="AX234" s="267">
        <v>0</v>
      </c>
      <c r="AZ234" s="267">
        <v>0</v>
      </c>
      <c r="BA234" s="267">
        <v>0</v>
      </c>
      <c r="BC234" s="267">
        <v>0</v>
      </c>
      <c r="BD234" s="267">
        <v>0</v>
      </c>
      <c r="BF234" s="267">
        <v>0</v>
      </c>
      <c r="BG234" s="267">
        <v>0</v>
      </c>
      <c r="BI234" s="267">
        <v>7</v>
      </c>
      <c r="BJ234" s="267">
        <v>4</v>
      </c>
      <c r="BL234" s="267">
        <v>2</v>
      </c>
      <c r="BM234" s="267">
        <v>2</v>
      </c>
      <c r="BO234" s="267">
        <v>0</v>
      </c>
      <c r="BP234" s="267">
        <v>0</v>
      </c>
      <c r="BR234" s="267">
        <v>0</v>
      </c>
      <c r="BS234" s="267">
        <v>0</v>
      </c>
      <c r="BU234" s="267">
        <v>2</v>
      </c>
      <c r="BV234" s="267">
        <v>1</v>
      </c>
      <c r="BX234" s="267">
        <v>0</v>
      </c>
      <c r="BY234" s="267">
        <v>0</v>
      </c>
      <c r="CA234" s="267">
        <v>0</v>
      </c>
      <c r="CB234" s="267">
        <v>0</v>
      </c>
      <c r="CD234" s="267">
        <v>0</v>
      </c>
      <c r="CE234" s="267">
        <v>0</v>
      </c>
      <c r="CG234" s="267">
        <v>0</v>
      </c>
      <c r="CH234" s="267">
        <v>0</v>
      </c>
    </row>
    <row r="235" spans="1:86" ht="45" x14ac:dyDescent="0.25">
      <c r="A235" s="95"/>
      <c r="B235" s="96" t="s">
        <v>1923</v>
      </c>
      <c r="C235" s="95" t="s">
        <v>1921</v>
      </c>
      <c r="D235" s="95" t="s">
        <v>1112</v>
      </c>
      <c r="E235" s="95"/>
      <c r="F235" s="291"/>
      <c r="G235" s="291"/>
      <c r="H235" s="291"/>
      <c r="I235" s="291"/>
      <c r="J235" s="291">
        <v>14</v>
      </c>
      <c r="K235" s="291">
        <v>22</v>
      </c>
      <c r="L235" s="291">
        <v>19</v>
      </c>
      <c r="M235" s="291">
        <v>0</v>
      </c>
      <c r="N235" s="291">
        <v>0</v>
      </c>
      <c r="O235" s="291">
        <v>0</v>
      </c>
      <c r="P235" s="281"/>
      <c r="Q235" s="283">
        <f t="shared" si="92"/>
        <v>19</v>
      </c>
      <c r="R235" s="283">
        <f t="shared" si="92"/>
        <v>16</v>
      </c>
      <c r="S235" s="267">
        <v>0</v>
      </c>
      <c r="T235" s="267">
        <v>0</v>
      </c>
      <c r="V235" s="267">
        <v>0</v>
      </c>
      <c r="W235" s="267">
        <v>0</v>
      </c>
      <c r="Y235" s="267">
        <v>0</v>
      </c>
      <c r="Z235" s="267">
        <v>0</v>
      </c>
      <c r="AB235" s="267">
        <v>0</v>
      </c>
      <c r="AC235" s="267">
        <v>0</v>
      </c>
      <c r="AE235" s="267">
        <v>0</v>
      </c>
      <c r="AF235" s="267">
        <v>0</v>
      </c>
      <c r="AH235" s="267">
        <v>0</v>
      </c>
      <c r="AI235" s="267">
        <v>0</v>
      </c>
      <c r="AK235" s="267">
        <v>0</v>
      </c>
      <c r="AL235" s="267">
        <v>0</v>
      </c>
      <c r="AN235" s="267">
        <v>4</v>
      </c>
      <c r="AO235" s="267">
        <v>6</v>
      </c>
      <c r="AQ235" s="267">
        <v>0</v>
      </c>
      <c r="AR235" s="267">
        <v>0</v>
      </c>
      <c r="AT235" s="267">
        <v>4</v>
      </c>
      <c r="AU235" s="267">
        <v>4</v>
      </c>
      <c r="AW235" s="267">
        <v>0</v>
      </c>
      <c r="AX235" s="267">
        <v>0</v>
      </c>
      <c r="AZ235" s="267">
        <v>0</v>
      </c>
      <c r="BA235" s="267">
        <v>0</v>
      </c>
      <c r="BC235" s="267">
        <v>0</v>
      </c>
      <c r="BD235" s="267">
        <v>0</v>
      </c>
      <c r="BF235" s="267">
        <v>0</v>
      </c>
      <c r="BG235" s="267">
        <v>0</v>
      </c>
      <c r="BI235" s="267">
        <v>7</v>
      </c>
      <c r="BJ235" s="267">
        <v>3</v>
      </c>
      <c r="BL235" s="267">
        <v>2</v>
      </c>
      <c r="BM235" s="267">
        <v>2</v>
      </c>
      <c r="BO235" s="267">
        <v>0</v>
      </c>
      <c r="BP235" s="267">
        <v>0</v>
      </c>
      <c r="BR235" s="267">
        <v>0</v>
      </c>
      <c r="BS235" s="267">
        <v>0</v>
      </c>
      <c r="BU235" s="267">
        <v>2</v>
      </c>
      <c r="BV235" s="267">
        <v>1</v>
      </c>
      <c r="BX235" s="267">
        <v>0</v>
      </c>
      <c r="BY235" s="267">
        <v>0</v>
      </c>
      <c r="CA235" s="267">
        <v>0</v>
      </c>
      <c r="CB235" s="267">
        <v>0</v>
      </c>
      <c r="CD235" s="267">
        <v>0</v>
      </c>
      <c r="CE235" s="267">
        <v>0</v>
      </c>
      <c r="CG235" s="267">
        <v>0</v>
      </c>
      <c r="CH235" s="267">
        <v>0</v>
      </c>
    </row>
    <row r="236" spans="1:86" ht="45" x14ac:dyDescent="0.25">
      <c r="A236" s="95"/>
      <c r="B236" s="96" t="s">
        <v>1924</v>
      </c>
      <c r="C236" s="95" t="s">
        <v>1922</v>
      </c>
      <c r="D236" s="95" t="s">
        <v>1112</v>
      </c>
      <c r="E236" s="95"/>
      <c r="F236" s="291">
        <v>60</v>
      </c>
      <c r="G236" s="291">
        <v>56</v>
      </c>
      <c r="H236" s="291">
        <v>52</v>
      </c>
      <c r="I236" s="291">
        <v>52</v>
      </c>
      <c r="J236" s="291">
        <v>14</v>
      </c>
      <c r="K236" s="291">
        <v>21</v>
      </c>
      <c r="L236" s="291">
        <v>19</v>
      </c>
      <c r="M236" s="291">
        <v>0</v>
      </c>
      <c r="N236" s="291">
        <v>0</v>
      </c>
      <c r="O236" s="291">
        <v>0</v>
      </c>
      <c r="P236" s="281"/>
      <c r="Q236" s="283">
        <f t="shared" si="92"/>
        <v>19</v>
      </c>
      <c r="R236" s="283">
        <f t="shared" si="92"/>
        <v>16</v>
      </c>
      <c r="S236" s="267">
        <v>0</v>
      </c>
      <c r="T236" s="267">
        <v>0</v>
      </c>
      <c r="V236" s="267">
        <v>0</v>
      </c>
      <c r="W236" s="267">
        <v>0</v>
      </c>
      <c r="Y236" s="267">
        <v>0</v>
      </c>
      <c r="Z236" s="267">
        <v>0</v>
      </c>
      <c r="AB236" s="267">
        <v>0</v>
      </c>
      <c r="AC236" s="267">
        <v>0</v>
      </c>
      <c r="AE236" s="267">
        <v>0</v>
      </c>
      <c r="AF236" s="267">
        <v>0</v>
      </c>
      <c r="AH236" s="267">
        <v>0</v>
      </c>
      <c r="AI236" s="267">
        <v>0</v>
      </c>
      <c r="AK236" s="267">
        <v>0</v>
      </c>
      <c r="AL236" s="267">
        <v>0</v>
      </c>
      <c r="AN236" s="267">
        <v>4</v>
      </c>
      <c r="AO236" s="267">
        <v>6</v>
      </c>
      <c r="AQ236" s="267">
        <v>0</v>
      </c>
      <c r="AR236" s="267">
        <v>0</v>
      </c>
      <c r="AT236" s="267">
        <v>4</v>
      </c>
      <c r="AU236" s="267">
        <v>4</v>
      </c>
      <c r="AW236" s="267">
        <v>0</v>
      </c>
      <c r="AX236" s="267">
        <v>0</v>
      </c>
      <c r="AZ236" s="267">
        <v>0</v>
      </c>
      <c r="BA236" s="267">
        <v>0</v>
      </c>
      <c r="BC236" s="267">
        <v>0</v>
      </c>
      <c r="BD236" s="267">
        <v>0</v>
      </c>
      <c r="BF236" s="267">
        <v>0</v>
      </c>
      <c r="BG236" s="267">
        <v>0</v>
      </c>
      <c r="BI236" s="267">
        <v>7</v>
      </c>
      <c r="BJ236" s="267">
        <v>3</v>
      </c>
      <c r="BL236" s="267">
        <v>2</v>
      </c>
      <c r="BM236" s="267">
        <v>2</v>
      </c>
      <c r="BO236" s="267">
        <v>0</v>
      </c>
      <c r="BP236" s="267">
        <v>0</v>
      </c>
      <c r="BR236" s="267">
        <v>0</v>
      </c>
      <c r="BS236" s="267">
        <v>0</v>
      </c>
      <c r="BU236" s="267">
        <v>2</v>
      </c>
      <c r="BV236" s="267">
        <v>1</v>
      </c>
      <c r="BX236" s="267">
        <v>0</v>
      </c>
      <c r="BY236" s="267">
        <v>0</v>
      </c>
      <c r="CA236" s="267">
        <v>0</v>
      </c>
      <c r="CB236" s="267">
        <v>0</v>
      </c>
      <c r="CD236" s="267">
        <v>0</v>
      </c>
      <c r="CE236" s="267">
        <v>0</v>
      </c>
      <c r="CG236" s="267">
        <v>0</v>
      </c>
      <c r="CH236" s="267">
        <v>0</v>
      </c>
    </row>
    <row r="237" spans="1:86" ht="45" x14ac:dyDescent="0.25">
      <c r="A237" s="95"/>
      <c r="B237" s="96" t="s">
        <v>1925</v>
      </c>
      <c r="C237" s="95" t="s">
        <v>1928</v>
      </c>
      <c r="D237" s="95" t="s">
        <v>1112</v>
      </c>
      <c r="E237" s="95"/>
      <c r="F237" s="291">
        <v>52</v>
      </c>
      <c r="G237" s="291">
        <v>50</v>
      </c>
      <c r="H237" s="291">
        <v>41</v>
      </c>
      <c r="I237" s="291">
        <v>38</v>
      </c>
      <c r="J237" s="291">
        <v>9</v>
      </c>
      <c r="K237" s="291">
        <v>16</v>
      </c>
      <c r="L237" s="291">
        <v>10</v>
      </c>
      <c r="M237" s="291">
        <v>0</v>
      </c>
      <c r="N237" s="291">
        <v>0</v>
      </c>
      <c r="O237" s="291">
        <v>0</v>
      </c>
      <c r="P237" s="281"/>
      <c r="Q237" s="283">
        <f t="shared" si="92"/>
        <v>10</v>
      </c>
      <c r="R237" s="283">
        <f t="shared" si="92"/>
        <v>9</v>
      </c>
      <c r="S237" s="267">
        <v>0</v>
      </c>
      <c r="T237" s="267">
        <v>0</v>
      </c>
      <c r="V237" s="267">
        <v>0</v>
      </c>
      <c r="W237" s="267">
        <v>0</v>
      </c>
      <c r="Y237" s="267">
        <v>0</v>
      </c>
      <c r="Z237" s="267">
        <v>0</v>
      </c>
      <c r="AB237" s="267">
        <v>0</v>
      </c>
      <c r="AC237" s="267">
        <v>0</v>
      </c>
      <c r="AE237" s="267">
        <v>0</v>
      </c>
      <c r="AF237" s="267">
        <v>0</v>
      </c>
      <c r="AH237" s="267">
        <v>0</v>
      </c>
      <c r="AI237" s="267">
        <v>0</v>
      </c>
      <c r="AK237" s="267">
        <v>0</v>
      </c>
      <c r="AL237" s="267">
        <v>0</v>
      </c>
      <c r="AN237" s="267">
        <v>2</v>
      </c>
      <c r="AO237" s="267">
        <v>5</v>
      </c>
      <c r="AQ237" s="267">
        <v>0</v>
      </c>
      <c r="AR237" s="267">
        <v>0</v>
      </c>
      <c r="AT237" s="267">
        <v>0</v>
      </c>
      <c r="AU237" s="267">
        <v>1</v>
      </c>
      <c r="AW237" s="267">
        <v>0</v>
      </c>
      <c r="AX237" s="267">
        <v>0</v>
      </c>
      <c r="AZ237" s="267">
        <v>0</v>
      </c>
      <c r="BA237" s="267">
        <v>0</v>
      </c>
      <c r="BC237" s="267">
        <v>0</v>
      </c>
      <c r="BD237" s="267">
        <v>0</v>
      </c>
      <c r="BF237" s="267">
        <v>0</v>
      </c>
      <c r="BG237" s="267">
        <v>0</v>
      </c>
      <c r="BI237" s="267">
        <v>4</v>
      </c>
      <c r="BJ237" s="267">
        <v>1</v>
      </c>
      <c r="BL237" s="267">
        <v>2</v>
      </c>
      <c r="BM237" s="267">
        <v>1</v>
      </c>
      <c r="BO237" s="267">
        <v>0</v>
      </c>
      <c r="BP237" s="267">
        <v>0</v>
      </c>
      <c r="BR237" s="267">
        <v>0</v>
      </c>
      <c r="BS237" s="267">
        <v>0</v>
      </c>
      <c r="BU237" s="267">
        <v>2</v>
      </c>
      <c r="BV237" s="267">
        <v>1</v>
      </c>
      <c r="BX237" s="267">
        <v>0</v>
      </c>
      <c r="BY237" s="267">
        <v>0</v>
      </c>
      <c r="CA237" s="267">
        <v>0</v>
      </c>
      <c r="CB237" s="267">
        <v>0</v>
      </c>
      <c r="CD237" s="267">
        <v>0</v>
      </c>
      <c r="CE237" s="267">
        <v>0</v>
      </c>
      <c r="CG237" s="267">
        <v>0</v>
      </c>
      <c r="CH237" s="267">
        <v>0</v>
      </c>
    </row>
    <row r="238" spans="1:86" ht="45" x14ac:dyDescent="0.25">
      <c r="A238" s="95"/>
      <c r="B238" s="96" t="s">
        <v>1926</v>
      </c>
      <c r="C238" s="95" t="s">
        <v>1929</v>
      </c>
      <c r="D238" s="95" t="s">
        <v>1112</v>
      </c>
      <c r="E238" s="95"/>
      <c r="F238" s="291"/>
      <c r="G238" s="291"/>
      <c r="H238" s="291"/>
      <c r="I238" s="291"/>
      <c r="J238" s="291">
        <v>6</v>
      </c>
      <c r="K238" s="291">
        <v>18</v>
      </c>
      <c r="L238" s="291">
        <v>16</v>
      </c>
      <c r="M238" s="291">
        <v>0</v>
      </c>
      <c r="N238" s="291">
        <v>0</v>
      </c>
      <c r="O238" s="291">
        <v>0</v>
      </c>
      <c r="P238" s="281"/>
      <c r="Q238" s="283">
        <f t="shared" si="92"/>
        <v>16</v>
      </c>
      <c r="R238" s="283">
        <f t="shared" si="92"/>
        <v>14</v>
      </c>
      <c r="S238" s="267">
        <v>0</v>
      </c>
      <c r="T238" s="267">
        <v>0</v>
      </c>
      <c r="V238" s="267">
        <v>0</v>
      </c>
      <c r="W238" s="267">
        <v>0</v>
      </c>
      <c r="Y238" s="267">
        <v>0</v>
      </c>
      <c r="Z238" s="267">
        <v>0</v>
      </c>
      <c r="AB238" s="267">
        <v>0</v>
      </c>
      <c r="AC238" s="267">
        <v>0</v>
      </c>
      <c r="AE238" s="267">
        <v>0</v>
      </c>
      <c r="AF238" s="267">
        <v>0</v>
      </c>
      <c r="AH238" s="267">
        <v>0</v>
      </c>
      <c r="AI238" s="267">
        <v>0</v>
      </c>
      <c r="AK238" s="267">
        <v>0</v>
      </c>
      <c r="AL238" s="267">
        <v>0</v>
      </c>
      <c r="AN238" s="267">
        <v>4</v>
      </c>
      <c r="AO238" s="267">
        <v>6</v>
      </c>
      <c r="AQ238" s="267">
        <v>0</v>
      </c>
      <c r="AR238" s="267">
        <v>0</v>
      </c>
      <c r="AT238" s="267">
        <v>3</v>
      </c>
      <c r="AU238" s="267">
        <v>3</v>
      </c>
      <c r="AW238" s="267">
        <v>0</v>
      </c>
      <c r="AX238" s="267">
        <v>0</v>
      </c>
      <c r="AZ238" s="267">
        <v>0</v>
      </c>
      <c r="BA238" s="267">
        <v>0</v>
      </c>
      <c r="BC238" s="267">
        <v>0</v>
      </c>
      <c r="BD238" s="267">
        <v>0</v>
      </c>
      <c r="BF238" s="267">
        <v>0</v>
      </c>
      <c r="BG238" s="267">
        <v>0</v>
      </c>
      <c r="BI238" s="267">
        <v>7</v>
      </c>
      <c r="BJ238" s="267">
        <v>4</v>
      </c>
      <c r="BL238" s="267">
        <v>1</v>
      </c>
      <c r="BM238" s="267">
        <v>1</v>
      </c>
      <c r="BO238" s="267">
        <v>0</v>
      </c>
      <c r="BP238" s="267">
        <v>0</v>
      </c>
      <c r="BR238" s="267">
        <v>0</v>
      </c>
      <c r="BS238" s="267">
        <v>0</v>
      </c>
      <c r="BU238" s="267">
        <v>1</v>
      </c>
      <c r="BV238" s="267">
        <v>0</v>
      </c>
      <c r="BX238" s="267">
        <v>0</v>
      </c>
      <c r="BY238" s="267">
        <v>0</v>
      </c>
      <c r="CA238" s="267">
        <v>0</v>
      </c>
      <c r="CB238" s="267">
        <v>0</v>
      </c>
      <c r="CD238" s="267">
        <v>0</v>
      </c>
      <c r="CE238" s="267">
        <v>0</v>
      </c>
      <c r="CG238" s="267">
        <v>0</v>
      </c>
      <c r="CH238" s="267">
        <v>0</v>
      </c>
    </row>
    <row r="239" spans="1:86" ht="45" x14ac:dyDescent="0.25">
      <c r="A239" s="95"/>
      <c r="B239" s="96" t="s">
        <v>1927</v>
      </c>
      <c r="C239" s="95" t="s">
        <v>1930</v>
      </c>
      <c r="D239" s="95" t="s">
        <v>1112</v>
      </c>
      <c r="E239" s="95"/>
      <c r="F239" s="291"/>
      <c r="G239" s="291"/>
      <c r="H239" s="291"/>
      <c r="I239" s="291"/>
      <c r="J239" s="291">
        <v>6</v>
      </c>
      <c r="K239" s="291">
        <v>14</v>
      </c>
      <c r="L239" s="291">
        <v>13</v>
      </c>
      <c r="M239" s="291">
        <v>0</v>
      </c>
      <c r="N239" s="291">
        <v>0</v>
      </c>
      <c r="O239" s="291">
        <v>0</v>
      </c>
      <c r="P239" s="281"/>
      <c r="Q239" s="283">
        <f t="shared" si="92"/>
        <v>13</v>
      </c>
      <c r="R239" s="283">
        <f t="shared" si="92"/>
        <v>13</v>
      </c>
      <c r="S239" s="267">
        <v>0</v>
      </c>
      <c r="T239" s="267">
        <v>0</v>
      </c>
      <c r="V239" s="267">
        <v>0</v>
      </c>
      <c r="W239" s="267">
        <v>0</v>
      </c>
      <c r="Y239" s="267">
        <v>0</v>
      </c>
      <c r="Z239" s="267">
        <v>0</v>
      </c>
      <c r="AB239" s="267">
        <v>0</v>
      </c>
      <c r="AC239" s="267">
        <v>0</v>
      </c>
      <c r="AE239" s="267">
        <v>0</v>
      </c>
      <c r="AF239" s="267">
        <v>0</v>
      </c>
      <c r="AH239" s="267">
        <v>0</v>
      </c>
      <c r="AI239" s="267">
        <v>0</v>
      </c>
      <c r="AK239" s="267">
        <v>0</v>
      </c>
      <c r="AL239" s="267">
        <v>0</v>
      </c>
      <c r="AN239" s="267">
        <v>2</v>
      </c>
      <c r="AO239" s="267">
        <v>5</v>
      </c>
      <c r="AQ239" s="267">
        <v>0</v>
      </c>
      <c r="AR239" s="267">
        <v>0</v>
      </c>
      <c r="AT239" s="267">
        <v>4</v>
      </c>
      <c r="AU239" s="267">
        <v>4</v>
      </c>
      <c r="AW239" s="267">
        <v>0</v>
      </c>
      <c r="AX239" s="267">
        <v>0</v>
      </c>
      <c r="AZ239" s="267">
        <v>0</v>
      </c>
      <c r="BA239" s="267">
        <v>0</v>
      </c>
      <c r="BC239" s="267">
        <v>0</v>
      </c>
      <c r="BD239" s="267">
        <v>0</v>
      </c>
      <c r="BF239" s="267">
        <v>0</v>
      </c>
      <c r="BG239" s="267">
        <v>0</v>
      </c>
      <c r="BI239" s="267">
        <v>6</v>
      </c>
      <c r="BJ239" s="267">
        <v>4</v>
      </c>
      <c r="BL239" s="267">
        <v>0</v>
      </c>
      <c r="BM239" s="267">
        <v>0</v>
      </c>
      <c r="BO239" s="267">
        <v>0</v>
      </c>
      <c r="BP239" s="267">
        <v>0</v>
      </c>
      <c r="BR239" s="267">
        <v>0</v>
      </c>
      <c r="BS239" s="267">
        <v>0</v>
      </c>
      <c r="BU239" s="267">
        <v>1</v>
      </c>
      <c r="BV239" s="267">
        <v>0</v>
      </c>
      <c r="BX239" s="267">
        <v>0</v>
      </c>
      <c r="BY239" s="267">
        <v>0</v>
      </c>
      <c r="CA239" s="267">
        <v>0</v>
      </c>
      <c r="CB239" s="267">
        <v>0</v>
      </c>
      <c r="CD239" s="267">
        <v>0</v>
      </c>
      <c r="CE239" s="267">
        <v>0</v>
      </c>
      <c r="CG239" s="267">
        <v>0</v>
      </c>
      <c r="CH239" s="267">
        <v>0</v>
      </c>
    </row>
    <row r="240" spans="1:86" ht="45" x14ac:dyDescent="0.25">
      <c r="A240" s="95"/>
      <c r="B240" s="16" t="s">
        <v>829</v>
      </c>
      <c r="C240" s="95" t="s">
        <v>1169</v>
      </c>
      <c r="D240" s="95" t="s">
        <v>1112</v>
      </c>
      <c r="E240" s="95"/>
      <c r="F240" s="291">
        <v>63</v>
      </c>
      <c r="G240" s="291">
        <v>61</v>
      </c>
      <c r="H240" s="291">
        <v>57</v>
      </c>
      <c r="I240" s="291">
        <v>55</v>
      </c>
      <c r="J240" s="291">
        <v>16</v>
      </c>
      <c r="K240" s="291">
        <v>24</v>
      </c>
      <c r="L240" s="291">
        <v>19</v>
      </c>
      <c r="M240" s="291">
        <v>0</v>
      </c>
      <c r="N240" s="291">
        <v>0</v>
      </c>
      <c r="O240" s="291">
        <v>0</v>
      </c>
      <c r="P240" s="281"/>
      <c r="Q240" s="283">
        <f t="shared" si="92"/>
        <v>19</v>
      </c>
      <c r="R240" s="283">
        <f t="shared" si="92"/>
        <v>18</v>
      </c>
      <c r="S240" s="267">
        <v>0</v>
      </c>
      <c r="T240" s="267">
        <v>0</v>
      </c>
      <c r="V240" s="267">
        <v>0</v>
      </c>
      <c r="W240" s="267">
        <v>0</v>
      </c>
      <c r="Y240" s="267">
        <v>0</v>
      </c>
      <c r="Z240" s="267">
        <v>0</v>
      </c>
      <c r="AB240" s="267">
        <v>0</v>
      </c>
      <c r="AC240" s="267">
        <v>0</v>
      </c>
      <c r="AE240" s="267">
        <v>0</v>
      </c>
      <c r="AF240" s="267">
        <v>0</v>
      </c>
      <c r="AH240" s="267">
        <v>0</v>
      </c>
      <c r="AI240" s="267">
        <v>0</v>
      </c>
      <c r="AK240" s="267">
        <v>0</v>
      </c>
      <c r="AL240" s="267">
        <v>0</v>
      </c>
      <c r="AN240" s="267">
        <v>4</v>
      </c>
      <c r="AO240" s="267">
        <v>7</v>
      </c>
      <c r="AQ240" s="267">
        <v>0</v>
      </c>
      <c r="AR240" s="267">
        <v>0</v>
      </c>
      <c r="AT240" s="267">
        <v>4</v>
      </c>
      <c r="AU240" s="267">
        <v>4</v>
      </c>
      <c r="AW240" s="267">
        <v>0</v>
      </c>
      <c r="AX240" s="267">
        <v>0</v>
      </c>
      <c r="AZ240" s="267">
        <v>0</v>
      </c>
      <c r="BA240" s="267">
        <v>0</v>
      </c>
      <c r="BC240" s="267">
        <v>0</v>
      </c>
      <c r="BD240" s="267">
        <v>0</v>
      </c>
      <c r="BF240" s="267">
        <v>0</v>
      </c>
      <c r="BG240" s="267">
        <v>0</v>
      </c>
      <c r="BI240" s="267">
        <v>7</v>
      </c>
      <c r="BJ240" s="267">
        <v>4</v>
      </c>
      <c r="BL240" s="267">
        <v>2</v>
      </c>
      <c r="BM240" s="267">
        <v>2</v>
      </c>
      <c r="BO240" s="267">
        <v>0</v>
      </c>
      <c r="BP240" s="267">
        <v>0</v>
      </c>
      <c r="BR240" s="267">
        <v>0</v>
      </c>
      <c r="BS240" s="267">
        <v>0</v>
      </c>
      <c r="BU240" s="267">
        <v>2</v>
      </c>
      <c r="BV240" s="267">
        <v>1</v>
      </c>
      <c r="BX240" s="267">
        <v>0</v>
      </c>
      <c r="BY240" s="267">
        <v>0</v>
      </c>
      <c r="CA240" s="267">
        <v>0</v>
      </c>
      <c r="CB240" s="267">
        <v>0</v>
      </c>
      <c r="CD240" s="267">
        <v>0</v>
      </c>
      <c r="CE240" s="267">
        <v>0</v>
      </c>
      <c r="CG240" s="267">
        <v>0</v>
      </c>
      <c r="CH240" s="267">
        <v>0</v>
      </c>
    </row>
    <row r="241" spans="1:87" ht="30" x14ac:dyDescent="0.25">
      <c r="A241" s="95" t="s">
        <v>1134</v>
      </c>
      <c r="B241" s="16" t="s">
        <v>831</v>
      </c>
      <c r="C241" s="107"/>
      <c r="D241" s="95"/>
      <c r="E241" s="95"/>
      <c r="F241" s="280"/>
      <c r="G241" s="280"/>
      <c r="H241" s="280"/>
      <c r="I241" s="280"/>
      <c r="J241" s="280"/>
      <c r="K241" s="280"/>
      <c r="L241" s="280"/>
      <c r="M241" s="280"/>
      <c r="N241" s="280"/>
      <c r="O241" s="280"/>
      <c r="P241" s="281" t="s">
        <v>23</v>
      </c>
    </row>
    <row r="242" spans="1:87" x14ac:dyDescent="0.25">
      <c r="A242" s="388"/>
      <c r="B242" s="16" t="s">
        <v>1182</v>
      </c>
      <c r="C242" s="107"/>
      <c r="D242" s="95"/>
      <c r="E242" s="95"/>
      <c r="F242" s="280"/>
      <c r="G242" s="280"/>
      <c r="H242" s="280"/>
      <c r="I242" s="280"/>
      <c r="J242" s="280"/>
      <c r="K242" s="280"/>
      <c r="L242" s="280"/>
      <c r="M242" s="280"/>
      <c r="N242" s="280"/>
      <c r="O242" s="280"/>
      <c r="P242" s="281"/>
    </row>
    <row r="243" spans="1:87" x14ac:dyDescent="0.25">
      <c r="A243" s="388"/>
      <c r="B243" s="16" t="s">
        <v>180</v>
      </c>
      <c r="C243" s="107"/>
      <c r="D243" s="95" t="s">
        <v>1112</v>
      </c>
      <c r="E243" s="95"/>
      <c r="F243" s="279">
        <f>F249/F251*100</f>
        <v>1.1700334644226775</v>
      </c>
      <c r="G243" s="279">
        <v>1.04</v>
      </c>
      <c r="H243" s="279">
        <f t="shared" ref="H243:O243" si="93">H249/H251*100</f>
        <v>1.0736019820344282</v>
      </c>
      <c r="I243" s="279">
        <f t="shared" si="93"/>
        <v>1.2212376200759549</v>
      </c>
      <c r="J243" s="279">
        <f t="shared" si="93"/>
        <v>1.3553924738135266</v>
      </c>
      <c r="K243" s="279">
        <f t="shared" si="93"/>
        <v>1.4680735705050674</v>
      </c>
      <c r="L243" s="279">
        <f t="shared" si="93"/>
        <v>1.5186802523047065</v>
      </c>
      <c r="M243" s="279">
        <f t="shared" si="93"/>
        <v>0.36719706242350064</v>
      </c>
      <c r="N243" s="279">
        <f t="shared" si="93"/>
        <v>0.63671093323631067</v>
      </c>
      <c r="O243" s="279">
        <f t="shared" si="93"/>
        <v>0.72538860103626945</v>
      </c>
      <c r="P243" s="281"/>
      <c r="Q243" s="279">
        <f>Q249/Q251*100</f>
        <v>1.5186802523047065</v>
      </c>
      <c r="R243" s="279">
        <f>R249/R251*100</f>
        <v>1.5663181162736479</v>
      </c>
      <c r="S243" s="279">
        <f>S249/S251*100</f>
        <v>2.1178387184360576</v>
      </c>
      <c r="T243" s="279">
        <f>T249/T251*100</f>
        <v>2.498398462524023</v>
      </c>
      <c r="V243" s="279">
        <f>V249/V251*100</f>
        <v>1.6256386437529029</v>
      </c>
      <c r="W243" s="279">
        <f>W249/W251*100</f>
        <v>1.3831775700934579</v>
      </c>
      <c r="Y243" s="279">
        <f>Y249/Y251*100</f>
        <v>1.2609366958311889</v>
      </c>
      <c r="Z243" s="279">
        <f>Z249/Z251*100</f>
        <v>2.710333145115754</v>
      </c>
      <c r="AB243" s="279">
        <f>AB249/AB251*100</f>
        <v>1.7937219730941705</v>
      </c>
      <c r="AC243" s="279">
        <f>AC249/AC251*100</f>
        <v>1.4592933947772657</v>
      </c>
      <c r="AE243" s="279">
        <f>AE249/AE251*100</f>
        <v>0.63219322418544333</v>
      </c>
      <c r="AF243" s="279">
        <f>AF249/AF251*100</f>
        <v>0.54513387846721184</v>
      </c>
      <c r="AH243" s="279">
        <f>AH249/AH251*100</f>
        <v>1.2345679012345678</v>
      </c>
      <c r="AI243" s="279">
        <f>AI249/AI251*100</f>
        <v>0.47277718468811958</v>
      </c>
      <c r="AK243" s="279">
        <f>AK249/AK251*100</f>
        <v>0.88272383354350581</v>
      </c>
      <c r="AL243" s="279">
        <f>AL249/AL251*100</f>
        <v>0.68412361405991973</v>
      </c>
      <c r="AN243" s="279">
        <f>AN249/AN251*100</f>
        <v>0.80115298206943319</v>
      </c>
      <c r="AO243" s="279">
        <f>AO249/AO251*100</f>
        <v>0.56312024001846295</v>
      </c>
      <c r="AQ243" s="279">
        <f>AQ249/AQ251*100</f>
        <v>0.48825144949649069</v>
      </c>
      <c r="AR243" s="279">
        <f>AR249/AR251*100</f>
        <v>0.72992700729927007</v>
      </c>
      <c r="AT243" s="279">
        <f>AT249/AT251*100</f>
        <v>1.9489723600283486</v>
      </c>
      <c r="AU243" s="279">
        <f>AU249/AU251*100</f>
        <v>3.1255518276531875</v>
      </c>
      <c r="AW243" s="279">
        <f>AW249/AW251*100</f>
        <v>2.1452145214521452</v>
      </c>
      <c r="AX243" s="279">
        <f>AX249/AX251*100</f>
        <v>2.2215067611075336</v>
      </c>
      <c r="AZ243" s="279">
        <f>AZ249/AZ251*100</f>
        <v>0.87929656274980017</v>
      </c>
      <c r="BA243" s="279">
        <f>BA249/BA251*100</f>
        <v>2.6296566837107376</v>
      </c>
      <c r="BC243" s="279">
        <f>BC249/BC251*100</f>
        <v>1.0095011876484561</v>
      </c>
      <c r="BD243" s="279">
        <f>BD249/BD251*100</f>
        <v>1.1286681715575622</v>
      </c>
      <c r="BF243" s="279">
        <f>BF249/BF251*100</f>
        <v>1.3525761695600642</v>
      </c>
      <c r="BG243" s="279">
        <f>BG249/BG251*100</f>
        <v>1.5046572725101504</v>
      </c>
      <c r="BI243" s="279">
        <f>BI249/BI251*100</f>
        <v>3.74523086506268</v>
      </c>
      <c r="BJ243" s="279">
        <f>BJ249/BJ251*100</f>
        <v>3.7117727749536025</v>
      </c>
      <c r="BL243" s="279">
        <f>BL249/BL251*100</f>
        <v>1.4658457930225739</v>
      </c>
      <c r="BM243" s="279">
        <f>BM249/BM251*100</f>
        <v>1.9933554817275747</v>
      </c>
      <c r="BO243" s="279">
        <f>BO249/BO251*100</f>
        <v>1.9946412622804406</v>
      </c>
      <c r="BP243" s="279">
        <f>BP249/BP251*100</f>
        <v>2.6452282157676348</v>
      </c>
      <c r="BR243" s="279">
        <f>BR249/BR251*100</f>
        <v>0.87653393438517413</v>
      </c>
      <c r="BS243" s="279">
        <f>BS249/BS251*100</f>
        <v>1.0825858335910918</v>
      </c>
      <c r="BU243" s="279">
        <f>BU249/BU251*100</f>
        <v>1.8843683083511777</v>
      </c>
      <c r="BV243" s="279">
        <f>BV249/BV251*100</f>
        <v>2.3554603854389722</v>
      </c>
      <c r="BX243" s="279">
        <f>BX249/BX251*100</f>
        <v>2.4691358024691357</v>
      </c>
      <c r="BY243" s="279">
        <f>BY249/BY251*100</f>
        <v>1.8467220683287167</v>
      </c>
      <c r="CA243" s="279">
        <f>CA249/CA251*100</f>
        <v>0.63065533315053468</v>
      </c>
      <c r="CB243" s="279">
        <f>CB249/CB251*100</f>
        <v>0.6297559695617948</v>
      </c>
      <c r="CD243" s="279">
        <f>CD249/CD251*100</f>
        <v>3.3279220779220777</v>
      </c>
      <c r="CE243" s="279">
        <f>CE249/CE251*100</f>
        <v>4.2634315424610056</v>
      </c>
      <c r="CG243" s="279">
        <f>CG249/CG251*100</f>
        <v>0</v>
      </c>
      <c r="CH243" s="279">
        <f>CH249/CH251*100</f>
        <v>0</v>
      </c>
    </row>
    <row r="244" spans="1:87" x14ac:dyDescent="0.25">
      <c r="A244" s="388"/>
      <c r="B244" s="16" t="s">
        <v>218</v>
      </c>
      <c r="C244" s="107"/>
      <c r="D244" s="95" t="s">
        <v>1112</v>
      </c>
      <c r="E244" s="95"/>
      <c r="F244" s="279">
        <f t="shared" ref="F244:J244" si="94">F250/F251*100</f>
        <v>0.6912723808593273</v>
      </c>
      <c r="G244" s="279">
        <f t="shared" si="94"/>
        <v>0.6763098327168332</v>
      </c>
      <c r="H244" s="279">
        <f t="shared" si="94"/>
        <v>0.6681243103833423</v>
      </c>
      <c r="I244" s="279">
        <f t="shared" si="94"/>
        <v>0.75007277330607436</v>
      </c>
      <c r="J244" s="279">
        <f t="shared" si="94"/>
        <v>0.90440320703478605</v>
      </c>
      <c r="K244" s="279">
        <f>K250/K251*100</f>
        <v>1.3037494265337615</v>
      </c>
      <c r="L244" s="279">
        <f>L250/L251*100</f>
        <v>1.11353711790393</v>
      </c>
      <c r="M244" s="279">
        <f>M250/M251*100</f>
        <v>0.17485574401119075</v>
      </c>
      <c r="N244" s="279">
        <f>N250/N251*100</f>
        <v>0.20010915044569766</v>
      </c>
      <c r="O244" s="279">
        <f>O250/O251*100</f>
        <v>0.22797927461139897</v>
      </c>
      <c r="P244" s="281"/>
      <c r="Q244" s="279">
        <f>Q250/Q251*100</f>
        <v>1.11353711790393</v>
      </c>
      <c r="R244" s="279">
        <f>R250/R251*100</f>
        <v>1.1915760752247158</v>
      </c>
      <c r="S244" s="279">
        <f>S250/S251*100</f>
        <v>0.81455335324463751</v>
      </c>
      <c r="T244" s="279">
        <f>T250/T251*100</f>
        <v>1.2171684817424726</v>
      </c>
      <c r="V244" s="279">
        <f>V250/V251*100</f>
        <v>1.0218300046446818</v>
      </c>
      <c r="W244" s="279">
        <f>W250/W251*100</f>
        <v>0.89719626168224298</v>
      </c>
      <c r="Y244" s="279">
        <f>Y250/Y251*100</f>
        <v>0.23160061760164694</v>
      </c>
      <c r="Z244" s="279">
        <f>Z250/Z251*100</f>
        <v>0.33879164313946925</v>
      </c>
      <c r="AB244" s="279">
        <f>AB250/AB251*100</f>
        <v>1.2780269058295963</v>
      </c>
      <c r="AC244" s="279">
        <f>AC250/AC251*100</f>
        <v>1.4848950332821302</v>
      </c>
      <c r="AE244" s="279">
        <f>AE250/AE251*100</f>
        <v>0.72945372021397303</v>
      </c>
      <c r="AF244" s="279">
        <f>AF250/AF251*100</f>
        <v>0.65736732403399067</v>
      </c>
      <c r="AH244" s="279">
        <f>AH250/AH251*100</f>
        <v>0.3741114852225963</v>
      </c>
      <c r="AI244" s="279">
        <f>AI250/AI251*100</f>
        <v>0.24401403080677142</v>
      </c>
      <c r="AK244" s="279">
        <f>AK250/AK251*100</f>
        <v>0.17654476670870115</v>
      </c>
      <c r="AL244" s="279">
        <f>AL250/AL251*100</f>
        <v>0.51899032790752531</v>
      </c>
      <c r="AN244" s="279">
        <f>AN250/AN251*100</f>
        <v>0.36878470603196134</v>
      </c>
      <c r="AO244" s="279">
        <f>AO250/AO251*100</f>
        <v>0.33694899607662132</v>
      </c>
      <c r="AQ244" s="279">
        <f>AQ250/AQ251*100</f>
        <v>0.48825144949649069</v>
      </c>
      <c r="AR244" s="279">
        <f>AR250/AR251*100</f>
        <v>0.8029197080291971</v>
      </c>
      <c r="AT244" s="279">
        <f>AT250/AT251*100</f>
        <v>2.2324592487597448</v>
      </c>
      <c r="AU244" s="279">
        <f>AU250/AU251*100</f>
        <v>2.0660427335334628</v>
      </c>
      <c r="AW244" s="279">
        <f>AW250/AW251*100</f>
        <v>2.3762376237623761</v>
      </c>
      <c r="AX244" s="279">
        <f>AX250/AX251*100</f>
        <v>2.2215067611075336</v>
      </c>
      <c r="AZ244" s="279">
        <f>AZ250/AZ251*100</f>
        <v>0.47961630695443641</v>
      </c>
      <c r="BA244" s="279">
        <f>BA250/BA251*100</f>
        <v>1.6800584368151936</v>
      </c>
      <c r="BC244" s="279">
        <f>BC250/BC251*100</f>
        <v>1.2915676959619953</v>
      </c>
      <c r="BD244" s="279">
        <f>BD250/BD251*100</f>
        <v>1.3382779748468236</v>
      </c>
      <c r="BF244" s="279">
        <f>BF250/BF251*100</f>
        <v>0.61353970577982286</v>
      </c>
      <c r="BG244" s="279">
        <f>BG250/BG251*100</f>
        <v>0.74834806146007482</v>
      </c>
      <c r="BI244" s="279">
        <f>BI250/BI251*100</f>
        <v>3.1534688156972668</v>
      </c>
      <c r="BJ244" s="279">
        <f>BJ250/BJ251*100</f>
        <v>3.3970789962075365</v>
      </c>
      <c r="BL244" s="279">
        <f>BL250/BL251*100</f>
        <v>1.7883318674875404</v>
      </c>
      <c r="BM244" s="279">
        <f>BM250/BM251*100</f>
        <v>1.6943521594684385</v>
      </c>
      <c r="BO244" s="279">
        <f>BO250/BO251*100</f>
        <v>1.3694551949985114</v>
      </c>
      <c r="BP244" s="279">
        <f>BP250/BP251*100</f>
        <v>1.8153526970954359</v>
      </c>
      <c r="BR244" s="279">
        <f>BR250/BR251*100</f>
        <v>0.80140245429501622</v>
      </c>
      <c r="BS244" s="279">
        <f>BS250/BS251*100</f>
        <v>0.98979276214042688</v>
      </c>
      <c r="BU244" s="279">
        <f>BU250/BU251*100</f>
        <v>0.72805139186295509</v>
      </c>
      <c r="BV244" s="279">
        <f>BV250/BV251*100</f>
        <v>0.9635974304068522</v>
      </c>
      <c r="BX244" s="279">
        <f>BX250/BX251*100</f>
        <v>0.98765432098765427</v>
      </c>
      <c r="BY244" s="279">
        <f>BY250/BY251*100</f>
        <v>0.73868882733148655</v>
      </c>
      <c r="CA244" s="279">
        <f>CA250/CA251*100</f>
        <v>0.7129147244310392</v>
      </c>
      <c r="CB244" s="279">
        <f>CB250/CB251*100</f>
        <v>0.70847546575701914</v>
      </c>
      <c r="CD244" s="279">
        <f>CD250/CD251*100</f>
        <v>2.7597402597402598</v>
      </c>
      <c r="CE244" s="279">
        <f>CE250/CE251*100</f>
        <v>3.535528596187175</v>
      </c>
      <c r="CG244" s="279">
        <f>CG250/CG251*100</f>
        <v>0</v>
      </c>
      <c r="CH244" s="279">
        <f>CH250/CH251*100</f>
        <v>0</v>
      </c>
    </row>
    <row r="245" spans="1:87" x14ac:dyDescent="0.25">
      <c r="A245" s="388"/>
      <c r="B245" s="16" t="s">
        <v>1184</v>
      </c>
      <c r="C245" s="107"/>
      <c r="D245" s="95"/>
      <c r="E245" s="95"/>
      <c r="F245" s="280"/>
      <c r="G245" s="280"/>
      <c r="H245" s="280"/>
      <c r="I245" s="280"/>
      <c r="J245" s="280"/>
      <c r="K245" s="280"/>
      <c r="L245" s="280"/>
      <c r="M245" s="280"/>
      <c r="N245" s="280"/>
      <c r="O245" s="280"/>
      <c r="P245" s="281"/>
      <c r="Q245" s="280"/>
      <c r="R245" s="280"/>
      <c r="S245" s="280"/>
      <c r="T245" s="280"/>
      <c r="V245" s="280"/>
      <c r="W245" s="280"/>
      <c r="Y245" s="280"/>
      <c r="Z245" s="280"/>
      <c r="AB245" s="280"/>
      <c r="AC245" s="280"/>
      <c r="AE245" s="280"/>
      <c r="AF245" s="280"/>
      <c r="AH245" s="280"/>
      <c r="AI245" s="280"/>
      <c r="AK245" s="280"/>
      <c r="AL245" s="280"/>
      <c r="AN245" s="280"/>
      <c r="AO245" s="280"/>
      <c r="AQ245" s="280"/>
      <c r="AR245" s="280"/>
      <c r="AT245" s="280"/>
      <c r="AU245" s="280"/>
      <c r="AW245" s="280"/>
      <c r="AX245" s="280"/>
      <c r="AZ245" s="280"/>
      <c r="BA245" s="280"/>
      <c r="BC245" s="280"/>
      <c r="BD245" s="280"/>
      <c r="BF245" s="280"/>
      <c r="BG245" s="280"/>
      <c r="BI245" s="280"/>
      <c r="BJ245" s="280"/>
      <c r="BL245" s="280"/>
      <c r="BM245" s="280"/>
      <c r="BO245" s="280"/>
      <c r="BP245" s="280"/>
      <c r="BR245" s="280"/>
      <c r="BS245" s="280"/>
      <c r="BU245" s="280"/>
      <c r="BV245" s="280"/>
      <c r="BX245" s="280"/>
      <c r="BY245" s="280"/>
      <c r="CA245" s="280"/>
      <c r="CB245" s="280"/>
      <c r="CD245" s="280"/>
      <c r="CE245" s="280"/>
      <c r="CG245" s="280"/>
      <c r="CH245" s="280"/>
    </row>
    <row r="246" spans="1:87" x14ac:dyDescent="0.25">
      <c r="A246" s="388"/>
      <c r="B246" s="16" t="s">
        <v>180</v>
      </c>
      <c r="C246" s="107"/>
      <c r="D246" s="95" t="s">
        <v>1112</v>
      </c>
      <c r="E246" s="95"/>
      <c r="F246" s="279"/>
      <c r="G246" s="279"/>
      <c r="H246" s="279"/>
      <c r="I246" s="279"/>
      <c r="J246" s="279">
        <f>J253/$J$255*100</f>
        <v>4.8919496556637379</v>
      </c>
      <c r="K246" s="279">
        <f>K253/$K$255*100</f>
        <v>4.2256328483157271</v>
      </c>
      <c r="L246" s="279">
        <f>L253/$L$255*100</f>
        <v>2.9440870856011876</v>
      </c>
      <c r="M246" s="279" t="e">
        <f t="shared" ref="M246:O247" si="95">M253/$M$255*100</f>
        <v>#DIV/0!</v>
      </c>
      <c r="N246" s="279" t="e">
        <f t="shared" si="95"/>
        <v>#DIV/0!</v>
      </c>
      <c r="O246" s="279" t="e">
        <f t="shared" si="95"/>
        <v>#DIV/0!</v>
      </c>
      <c r="P246" s="281"/>
      <c r="Q246" s="279">
        <f>Q253/Q255*100</f>
        <v>2.9440870856011876</v>
      </c>
      <c r="R246" s="279">
        <f>R253/R255*100</f>
        <v>1.5884476534296028</v>
      </c>
      <c r="S246" s="279" t="e">
        <f>S253/S255*100</f>
        <v>#DIV/0!</v>
      </c>
      <c r="T246" s="279" t="e">
        <f>T253/T255*100</f>
        <v>#DIV/0!</v>
      </c>
      <c r="V246" s="279" t="e">
        <f>V253/V255*100</f>
        <v>#DIV/0!</v>
      </c>
      <c r="W246" s="279" t="e">
        <f>W253/W255*100</f>
        <v>#DIV/0!</v>
      </c>
      <c r="Y246" s="279" t="e">
        <f>Y253/Y255*100</f>
        <v>#DIV/0!</v>
      </c>
      <c r="Z246" s="279" t="e">
        <f>Z253/Z255*100</f>
        <v>#DIV/0!</v>
      </c>
      <c r="AB246" s="279" t="e">
        <f>AB253/AB255*100</f>
        <v>#DIV/0!</v>
      </c>
      <c r="AC246" s="279" t="e">
        <f>AC253/AC255*100</f>
        <v>#DIV/0!</v>
      </c>
      <c r="AE246" s="279" t="e">
        <f>AE253/AE255*100</f>
        <v>#DIV/0!</v>
      </c>
      <c r="AF246" s="279" t="e">
        <f>AF253/AF255*100</f>
        <v>#DIV/0!</v>
      </c>
      <c r="AH246" s="279" t="e">
        <f>AH253/AH255*100</f>
        <v>#DIV/0!</v>
      </c>
      <c r="AI246" s="279" t="e">
        <f>AI253/AI255*100</f>
        <v>#DIV/0!</v>
      </c>
      <c r="AK246" s="279" t="e">
        <f>AK253/AK255*100</f>
        <v>#DIV/0!</v>
      </c>
      <c r="AL246" s="279" t="e">
        <f>AL253/AL255*100</f>
        <v>#DIV/0!</v>
      </c>
      <c r="AN246" s="279">
        <f>AN253/AN255*100</f>
        <v>1.2403100775193798</v>
      </c>
      <c r="AO246" s="279">
        <f>AO253/AO255*100</f>
        <v>0.46511627906976744</v>
      </c>
      <c r="AQ246" s="279" t="e">
        <f>AQ253/AQ255*100</f>
        <v>#DIV/0!</v>
      </c>
      <c r="AR246" s="279" t="e">
        <f>AR253/AR255*100</f>
        <v>#DIV/0!</v>
      </c>
      <c r="AT246" s="279">
        <f>AT253/AT255*100</f>
        <v>1.7766497461928936</v>
      </c>
      <c r="AU246" s="279">
        <f>AU253/AU255*100</f>
        <v>1.6472203157172274</v>
      </c>
      <c r="AW246" s="279" t="e">
        <f>AW253/AW255*100</f>
        <v>#DIV/0!</v>
      </c>
      <c r="AX246" s="279" t="e">
        <f>AX253/AX255*100</f>
        <v>#DIV/0!</v>
      </c>
      <c r="AZ246" s="279" t="e">
        <f>AZ253/AZ255*100</f>
        <v>#DIV/0!</v>
      </c>
      <c r="BA246" s="279" t="e">
        <f>BA253/BA255*100</f>
        <v>#DIV/0!</v>
      </c>
      <c r="BC246" s="279" t="e">
        <f>BC253/BC255*100</f>
        <v>#DIV/0!</v>
      </c>
      <c r="BD246" s="279" t="e">
        <f>BD253/BD255*100</f>
        <v>#DIV/0!</v>
      </c>
      <c r="BF246" s="279" t="e">
        <f>BF253/BF255*100</f>
        <v>#DIV/0!</v>
      </c>
      <c r="BG246" s="279" t="e">
        <f>BG253/BG255*100</f>
        <v>#DIV/0!</v>
      </c>
      <c r="BI246" s="279">
        <f>BI253/BI255*100</f>
        <v>3.7671232876712328</v>
      </c>
      <c r="BJ246" s="279">
        <f>BJ253/BJ255*100</f>
        <v>2.040085898353615</v>
      </c>
      <c r="BL246" s="279">
        <f>BL253/BL255*100</f>
        <v>0.97087378640776689</v>
      </c>
      <c r="BM246" s="279">
        <f>BM253/BM255*100</f>
        <v>1</v>
      </c>
      <c r="BO246" s="279" t="e">
        <f>BO253/BO255*100</f>
        <v>#DIV/0!</v>
      </c>
      <c r="BP246" s="279" t="e">
        <f>BP253/BP255*100</f>
        <v>#DIV/0!</v>
      </c>
      <c r="BR246" s="279" t="e">
        <f>BR253/BR255*100</f>
        <v>#DIV/0!</v>
      </c>
      <c r="BS246" s="279" t="e">
        <f>BS253/BS255*100</f>
        <v>#DIV/0!</v>
      </c>
      <c r="BU246" s="279">
        <f>BU253/BU255*100</f>
        <v>4.7058823529411766</v>
      </c>
      <c r="BV246" s="279">
        <f>BV253/BV255*100</f>
        <v>0.8771929824561403</v>
      </c>
      <c r="BX246" s="279" t="e">
        <f>BX253/BX255*100</f>
        <v>#DIV/0!</v>
      </c>
      <c r="BY246" s="279" t="e">
        <f>BY253/BY255*100</f>
        <v>#DIV/0!</v>
      </c>
      <c r="CA246" s="279" t="e">
        <f>CA253/CA255*100</f>
        <v>#DIV/0!</v>
      </c>
      <c r="CB246" s="279" t="e">
        <f>CB253/CB255*100</f>
        <v>#DIV/0!</v>
      </c>
      <c r="CD246" s="279" t="e">
        <f>CD253/CD255*100</f>
        <v>#DIV/0!</v>
      </c>
      <c r="CE246" s="279" t="e">
        <f>CE253/CE255*100</f>
        <v>#DIV/0!</v>
      </c>
      <c r="CG246" s="279" t="e">
        <f>CG253/CG255*100</f>
        <v>#DIV/0!</v>
      </c>
      <c r="CH246" s="279" t="e">
        <f>CH253/CH255*100</f>
        <v>#DIV/0!</v>
      </c>
    </row>
    <row r="247" spans="1:87" x14ac:dyDescent="0.25">
      <c r="A247" s="388"/>
      <c r="B247" s="16" t="s">
        <v>218</v>
      </c>
      <c r="C247" s="107"/>
      <c r="D247" s="95" t="s">
        <v>1112</v>
      </c>
      <c r="E247" s="95"/>
      <c r="F247" s="279"/>
      <c r="G247" s="279"/>
      <c r="H247" s="279"/>
      <c r="I247" s="279"/>
      <c r="J247" s="279">
        <f>J254/$J$255*100</f>
        <v>2.4459748278318689</v>
      </c>
      <c r="K247" s="279">
        <f>K254/$K$255*100</f>
        <v>1.913494119992027</v>
      </c>
      <c r="L247" s="279">
        <f>L254/$L$255*100</f>
        <v>2.3750618505690251</v>
      </c>
      <c r="M247" s="279" t="e">
        <f t="shared" si="95"/>
        <v>#DIV/0!</v>
      </c>
      <c r="N247" s="279" t="e">
        <f t="shared" si="95"/>
        <v>#DIV/0!</v>
      </c>
      <c r="O247" s="279" t="e">
        <f t="shared" si="95"/>
        <v>#DIV/0!</v>
      </c>
      <c r="P247" s="281"/>
      <c r="Q247" s="279">
        <f>Q254/Q255*100</f>
        <v>2.3750618505690251</v>
      </c>
      <c r="R247" s="279">
        <f>R254/R255*100</f>
        <v>1.7328519855595668</v>
      </c>
      <c r="S247" s="279" t="e">
        <f>S254/S255*100</f>
        <v>#DIV/0!</v>
      </c>
      <c r="T247" s="279" t="e">
        <f>T254/T255*100</f>
        <v>#DIV/0!</v>
      </c>
      <c r="V247" s="279" t="e">
        <f>V254/V255*100</f>
        <v>#DIV/0!</v>
      </c>
      <c r="W247" s="279" t="e">
        <f>W254/W255*100</f>
        <v>#DIV/0!</v>
      </c>
      <c r="Y247" s="279" t="e">
        <f>Y254/Y255*100</f>
        <v>#DIV/0!</v>
      </c>
      <c r="Z247" s="279" t="e">
        <f>Z254/Z255*100</f>
        <v>#DIV/0!</v>
      </c>
      <c r="AB247" s="279" t="e">
        <f>AB254/AB255*100</f>
        <v>#DIV/0!</v>
      </c>
      <c r="AC247" s="279" t="e">
        <f>AC254/AC255*100</f>
        <v>#DIV/0!</v>
      </c>
      <c r="AE247" s="279" t="e">
        <f>AE254/AE255*100</f>
        <v>#DIV/0!</v>
      </c>
      <c r="AF247" s="279" t="e">
        <f>AF254/AF255*100</f>
        <v>#DIV/0!</v>
      </c>
      <c r="AH247" s="279" t="e">
        <f>AH254/AH255*100</f>
        <v>#DIV/0!</v>
      </c>
      <c r="AI247" s="279" t="e">
        <f>AI254/AI255*100</f>
        <v>#DIV/0!</v>
      </c>
      <c r="AK247" s="279" t="e">
        <f>AK254/AK255*100</f>
        <v>#DIV/0!</v>
      </c>
      <c r="AL247" s="279" t="e">
        <f>AL254/AL255*100</f>
        <v>#DIV/0!</v>
      </c>
      <c r="AN247" s="279">
        <f>AN254/AN255*100</f>
        <v>1.5503875968992249</v>
      </c>
      <c r="AO247" s="279">
        <f>AO254/AO255*100</f>
        <v>0.93023255813953487</v>
      </c>
      <c r="AQ247" s="279" t="e">
        <f>AQ254/AQ255*100</f>
        <v>#DIV/0!</v>
      </c>
      <c r="AR247" s="279" t="e">
        <f>AR254/AR255*100</f>
        <v>#DIV/0!</v>
      </c>
      <c r="AT247" s="279">
        <f>AT254/AT255*100</f>
        <v>1.6497461928934012</v>
      </c>
      <c r="AU247" s="279">
        <f>AU254/AU255*100</f>
        <v>1.5785861358956761</v>
      </c>
      <c r="AW247" s="279" t="e">
        <f>AW254/AW255*100</f>
        <v>#DIV/0!</v>
      </c>
      <c r="AX247" s="279" t="e">
        <f>AX254/AX255*100</f>
        <v>#DIV/0!</v>
      </c>
      <c r="AZ247" s="279" t="e">
        <f>AZ254/AZ255*100</f>
        <v>#DIV/0!</v>
      </c>
      <c r="BA247" s="279" t="e">
        <f>BA254/BA255*100</f>
        <v>#DIV/0!</v>
      </c>
      <c r="BC247" s="279" t="e">
        <f>BC254/BC255*100</f>
        <v>#DIV/0!</v>
      </c>
      <c r="BD247" s="279" t="e">
        <f>BD254/BD255*100</f>
        <v>#DIV/0!</v>
      </c>
      <c r="BF247" s="279" t="e">
        <f>BF254/BF255*100</f>
        <v>#DIV/0!</v>
      </c>
      <c r="BG247" s="279" t="e">
        <f>BG254/BG255*100</f>
        <v>#DIV/0!</v>
      </c>
      <c r="BI247" s="279">
        <f>BI254/BI255*100</f>
        <v>3.0821917808219177</v>
      </c>
      <c r="BJ247" s="279">
        <f>BJ254/BJ255*100</f>
        <v>2.2190408017179668</v>
      </c>
      <c r="BL247" s="279">
        <f>BL254/BL255*100</f>
        <v>0.97087378640776689</v>
      </c>
      <c r="BM247" s="279">
        <f>BM254/BM255*100</f>
        <v>1</v>
      </c>
      <c r="BO247" s="279" t="e">
        <f>BO254/BO255*100</f>
        <v>#DIV/0!</v>
      </c>
      <c r="BP247" s="279" t="e">
        <f>BP254/BP255*100</f>
        <v>#DIV/0!</v>
      </c>
      <c r="BR247" s="279" t="e">
        <f>BR254/BR255*100</f>
        <v>#DIV/0!</v>
      </c>
      <c r="BS247" s="279" t="e">
        <f>BS254/BS255*100</f>
        <v>#DIV/0!</v>
      </c>
      <c r="BU247" s="279">
        <f>BU254/BU255*100</f>
        <v>0</v>
      </c>
      <c r="BV247" s="279">
        <f>BV254/BV255*100</f>
        <v>0</v>
      </c>
      <c r="BX247" s="279" t="e">
        <f>BX254/BX255*100</f>
        <v>#DIV/0!</v>
      </c>
      <c r="BY247" s="279" t="e">
        <f>BY254/BY255*100</f>
        <v>#DIV/0!</v>
      </c>
      <c r="CA247" s="279" t="e">
        <f>CA254/CA255*100</f>
        <v>#DIV/0!</v>
      </c>
      <c r="CB247" s="279" t="e">
        <f>CB254/CB255*100</f>
        <v>#DIV/0!</v>
      </c>
      <c r="CD247" s="279" t="e">
        <f>CD254/CD255*100</f>
        <v>#DIV/0!</v>
      </c>
      <c r="CE247" s="279" t="e">
        <f>CE254/CE255*100</f>
        <v>#DIV/0!</v>
      </c>
      <c r="CG247" s="279" t="e">
        <f>CG254/CG255*100</f>
        <v>#DIV/0!</v>
      </c>
      <c r="CH247" s="279" t="e">
        <f>CH254/CH255*100</f>
        <v>#DIV/0!</v>
      </c>
    </row>
    <row r="248" spans="1:87" x14ac:dyDescent="0.25">
      <c r="A248" s="388"/>
      <c r="B248" s="16" t="s">
        <v>1182</v>
      </c>
      <c r="C248" s="95"/>
      <c r="D248" s="95"/>
      <c r="E248" s="95"/>
      <c r="F248" s="282"/>
      <c r="G248" s="282"/>
      <c r="H248" s="282"/>
      <c r="I248" s="282"/>
      <c r="J248" s="282"/>
      <c r="K248" s="282"/>
      <c r="L248" s="282"/>
      <c r="M248" s="282"/>
      <c r="N248" s="282"/>
      <c r="O248" s="282"/>
      <c r="P248" s="281"/>
    </row>
    <row r="249" spans="1:87" ht="60" x14ac:dyDescent="0.25">
      <c r="A249" s="388"/>
      <c r="B249" s="16" t="s">
        <v>832</v>
      </c>
      <c r="C249" s="95" t="s">
        <v>1162</v>
      </c>
      <c r="D249" s="95" t="s">
        <v>1112</v>
      </c>
      <c r="E249" s="95"/>
      <c r="F249" s="282">
        <v>958</v>
      </c>
      <c r="G249" s="282">
        <f>1049+445</f>
        <v>1494</v>
      </c>
      <c r="H249" s="282">
        <f>1065+521</f>
        <v>1586</v>
      </c>
      <c r="I249" s="282">
        <f>1118+686</f>
        <v>1804</v>
      </c>
      <c r="J249" s="282">
        <f>1060+617</f>
        <v>1677</v>
      </c>
      <c r="K249" s="282">
        <f>1175+585</f>
        <v>1760</v>
      </c>
      <c r="L249" s="282">
        <f>1167+711</f>
        <v>1878</v>
      </c>
      <c r="M249" s="282">
        <v>21</v>
      </c>
      <c r="N249" s="282">
        <v>35</v>
      </c>
      <c r="O249" s="282">
        <v>35</v>
      </c>
      <c r="P249" s="283"/>
      <c r="Q249" s="286">
        <f>S249+V249+Y249+AB249+AE249+AH249+AK249+AN249+AQ249+AT249+AW249+AZ249+BC249+BF249+BI249+BL249+BO249+BR249+BU249+BX249+CA249+CD249+CG249+CJ242</f>
        <v>1878</v>
      </c>
      <c r="R249" s="286">
        <f>T249+W249+Z249+AC249+AF249+AI249+AL249+AO249+AR249+AU249+AX249+BA249+BD249+BG249+BJ249+BM249+BP249+BS249+BV249+BY249+CB249+CE249+CH249+CK242</f>
        <v>1814</v>
      </c>
      <c r="S249" s="286">
        <v>78</v>
      </c>
      <c r="T249" s="286">
        <v>78</v>
      </c>
      <c r="U249" s="286"/>
      <c r="V249" s="286">
        <v>35</v>
      </c>
      <c r="W249" s="286">
        <v>37</v>
      </c>
      <c r="X249" s="286"/>
      <c r="Y249" s="286">
        <v>49</v>
      </c>
      <c r="Z249" s="286">
        <v>48</v>
      </c>
      <c r="AA249" s="286"/>
      <c r="AB249" s="286">
        <v>80</v>
      </c>
      <c r="AC249" s="286">
        <v>57</v>
      </c>
      <c r="AD249" s="286"/>
      <c r="AE249" s="286">
        <v>39</v>
      </c>
      <c r="AF249" s="286">
        <v>34</v>
      </c>
      <c r="AG249" s="286"/>
      <c r="AH249" s="286">
        <v>33</v>
      </c>
      <c r="AI249" s="286">
        <v>31</v>
      </c>
      <c r="AJ249" s="286"/>
      <c r="AK249" s="286">
        <v>35</v>
      </c>
      <c r="AL249" s="286">
        <v>29</v>
      </c>
      <c r="AM249" s="286"/>
      <c r="AN249" s="286">
        <v>189</v>
      </c>
      <c r="AO249" s="286">
        <v>122</v>
      </c>
      <c r="AP249" s="286"/>
      <c r="AQ249" s="286">
        <v>16</v>
      </c>
      <c r="AR249" s="286">
        <v>20</v>
      </c>
      <c r="AS249" s="286"/>
      <c r="AT249" s="286">
        <v>110</v>
      </c>
      <c r="AU249" s="286">
        <v>177</v>
      </c>
      <c r="AV249" s="286"/>
      <c r="AW249" s="286">
        <v>65</v>
      </c>
      <c r="AX249" s="286">
        <v>69</v>
      </c>
      <c r="AY249" s="286"/>
      <c r="AZ249" s="286">
        <v>44</v>
      </c>
      <c r="BA249" s="286">
        <v>36</v>
      </c>
      <c r="BB249" s="286"/>
      <c r="BC249" s="286">
        <v>68</v>
      </c>
      <c r="BD249" s="286">
        <v>70</v>
      </c>
      <c r="BE249" s="286"/>
      <c r="BF249" s="286">
        <v>194</v>
      </c>
      <c r="BG249" s="286">
        <v>189</v>
      </c>
      <c r="BH249" s="286"/>
      <c r="BI249" s="286">
        <v>481</v>
      </c>
      <c r="BJ249" s="286">
        <v>460</v>
      </c>
      <c r="BK249" s="286"/>
      <c r="BL249" s="286">
        <v>50</v>
      </c>
      <c r="BM249" s="286">
        <v>60</v>
      </c>
      <c r="BN249" s="286"/>
      <c r="BO249" s="286">
        <v>67</v>
      </c>
      <c r="BP249" s="286">
        <v>51</v>
      </c>
      <c r="BQ249" s="286"/>
      <c r="BR249" s="286">
        <v>35</v>
      </c>
      <c r="BS249" s="286">
        <v>35</v>
      </c>
      <c r="BT249" s="286"/>
      <c r="BU249" s="286">
        <v>44</v>
      </c>
      <c r="BV249" s="286">
        <v>44</v>
      </c>
      <c r="BW249" s="286"/>
      <c r="BX249" s="286">
        <v>20</v>
      </c>
      <c r="BY249" s="286">
        <v>20</v>
      </c>
      <c r="BZ249" s="286"/>
      <c r="CA249" s="286">
        <v>23</v>
      </c>
      <c r="CB249" s="286">
        <v>24</v>
      </c>
      <c r="CC249" s="286"/>
      <c r="CD249" s="286">
        <v>123</v>
      </c>
      <c r="CE249" s="286">
        <v>123</v>
      </c>
      <c r="CF249" s="286"/>
      <c r="CG249" s="286">
        <v>0</v>
      </c>
      <c r="CH249" s="286">
        <v>0</v>
      </c>
    </row>
    <row r="250" spans="1:87" ht="60" x14ac:dyDescent="0.25">
      <c r="A250" s="388"/>
      <c r="B250" s="16" t="s">
        <v>833</v>
      </c>
      <c r="C250" s="95" t="s">
        <v>1163</v>
      </c>
      <c r="D250" s="95" t="s">
        <v>1112</v>
      </c>
      <c r="E250" s="95"/>
      <c r="F250" s="282">
        <v>566</v>
      </c>
      <c r="G250" s="282">
        <f>745+235</f>
        <v>980</v>
      </c>
      <c r="H250" s="282">
        <f>703+284</f>
        <v>987</v>
      </c>
      <c r="I250" s="282">
        <f>752+356</f>
        <v>1108</v>
      </c>
      <c r="J250" s="282">
        <f>807+312</f>
        <v>1119</v>
      </c>
      <c r="K250" s="282">
        <f>1192+371</f>
        <v>1563</v>
      </c>
      <c r="L250" s="282">
        <f>1014+363</f>
        <v>1377</v>
      </c>
      <c r="M250" s="282">
        <v>10</v>
      </c>
      <c r="N250" s="282">
        <v>11</v>
      </c>
      <c r="O250" s="282">
        <v>11</v>
      </c>
      <c r="P250" s="283"/>
      <c r="Q250" s="286">
        <f>S250+V250+Y250+AB250+AE250+AH250+AK250+AN250+AQ250+AT250+AW250+AZ250+BC250+BF250+BI250+BL250+BO250+BR250+BU250+BX250+CA250+CD250+CG250+CJ243</f>
        <v>1377</v>
      </c>
      <c r="R250" s="286">
        <f>T250+W250+Z250+AC250+AF250+AI250+AL250+AO250+AR250+AU250+AX250+BA250+BD250+BG250+BJ250+BM250+BP250+BS250+BV250+BY250+CB250+CE250+CH250+CK243</f>
        <v>1380</v>
      </c>
      <c r="S250" s="286">
        <v>30</v>
      </c>
      <c r="T250" s="286">
        <v>38</v>
      </c>
      <c r="U250" s="286"/>
      <c r="V250" s="286">
        <v>22</v>
      </c>
      <c r="W250" s="286">
        <v>24</v>
      </c>
      <c r="X250" s="286"/>
      <c r="Y250" s="286">
        <v>9</v>
      </c>
      <c r="Z250" s="286">
        <v>6</v>
      </c>
      <c r="AA250" s="286"/>
      <c r="AB250" s="286">
        <v>57</v>
      </c>
      <c r="AC250" s="286">
        <v>58</v>
      </c>
      <c r="AD250" s="286"/>
      <c r="AE250" s="286">
        <v>45</v>
      </c>
      <c r="AF250" s="286">
        <v>41</v>
      </c>
      <c r="AG250" s="286"/>
      <c r="AH250" s="286">
        <v>10</v>
      </c>
      <c r="AI250" s="286">
        <v>16</v>
      </c>
      <c r="AJ250" s="286"/>
      <c r="AK250" s="286">
        <v>7</v>
      </c>
      <c r="AL250" s="286">
        <v>22</v>
      </c>
      <c r="AM250" s="286"/>
      <c r="AN250" s="286">
        <v>87</v>
      </c>
      <c r="AO250" s="286">
        <v>73</v>
      </c>
      <c r="AP250" s="286"/>
      <c r="AQ250" s="286">
        <v>16</v>
      </c>
      <c r="AR250" s="286">
        <v>22</v>
      </c>
      <c r="AS250" s="286"/>
      <c r="AT250" s="286">
        <v>126</v>
      </c>
      <c r="AU250" s="286">
        <v>117</v>
      </c>
      <c r="AV250" s="286"/>
      <c r="AW250" s="286">
        <v>72</v>
      </c>
      <c r="AX250" s="286">
        <v>69</v>
      </c>
      <c r="AY250" s="286"/>
      <c r="AZ250" s="286">
        <v>24</v>
      </c>
      <c r="BA250" s="286">
        <v>23</v>
      </c>
      <c r="BB250" s="286"/>
      <c r="BC250" s="286">
        <v>87</v>
      </c>
      <c r="BD250" s="286">
        <v>83</v>
      </c>
      <c r="BE250" s="286"/>
      <c r="BF250" s="286">
        <v>88</v>
      </c>
      <c r="BG250" s="286">
        <v>94</v>
      </c>
      <c r="BH250" s="286"/>
      <c r="BI250" s="286">
        <v>405</v>
      </c>
      <c r="BJ250" s="286">
        <v>421</v>
      </c>
      <c r="BK250" s="286"/>
      <c r="BL250" s="286">
        <v>61</v>
      </c>
      <c r="BM250" s="286">
        <v>51</v>
      </c>
      <c r="BN250" s="286"/>
      <c r="BO250" s="286">
        <v>46</v>
      </c>
      <c r="BP250" s="286">
        <v>35</v>
      </c>
      <c r="BQ250" s="286"/>
      <c r="BR250" s="286">
        <v>32</v>
      </c>
      <c r="BS250" s="286">
        <v>32</v>
      </c>
      <c r="BT250" s="286"/>
      <c r="BU250" s="286">
        <v>17</v>
      </c>
      <c r="BV250" s="286">
        <v>18</v>
      </c>
      <c r="BW250" s="286"/>
      <c r="BX250" s="286">
        <v>8</v>
      </c>
      <c r="BY250" s="286">
        <v>8</v>
      </c>
      <c r="BZ250" s="286"/>
      <c r="CA250" s="286">
        <v>26</v>
      </c>
      <c r="CB250" s="286">
        <v>27</v>
      </c>
      <c r="CC250" s="286"/>
      <c r="CD250" s="286">
        <v>102</v>
      </c>
      <c r="CE250" s="286">
        <v>102</v>
      </c>
      <c r="CF250" s="286"/>
      <c r="CG250" s="286">
        <v>0</v>
      </c>
      <c r="CH250" s="286">
        <v>0</v>
      </c>
    </row>
    <row r="251" spans="1:87" ht="45" x14ac:dyDescent="0.25">
      <c r="A251" s="388"/>
      <c r="B251" s="16" t="s">
        <v>827</v>
      </c>
      <c r="C251" s="95" t="s">
        <v>1164</v>
      </c>
      <c r="D251" s="95" t="s">
        <v>950</v>
      </c>
      <c r="E251" s="95"/>
      <c r="F251" s="282">
        <f t="shared" ref="F251:K251" si="96">F198</f>
        <v>81878</v>
      </c>
      <c r="G251" s="282">
        <f t="shared" si="96"/>
        <v>144904</v>
      </c>
      <c r="H251" s="282">
        <f t="shared" si="96"/>
        <v>147727</v>
      </c>
      <c r="I251" s="282">
        <f t="shared" si="96"/>
        <v>147719</v>
      </c>
      <c r="J251" s="282">
        <f>J198</f>
        <v>123728</v>
      </c>
      <c r="K251" s="282">
        <f t="shared" si="96"/>
        <v>119885</v>
      </c>
      <c r="L251" s="282">
        <f>L198+L199</f>
        <v>123660</v>
      </c>
      <c r="M251" s="282">
        <f>M198+M199</f>
        <v>5719</v>
      </c>
      <c r="N251" s="282">
        <v>5497</v>
      </c>
      <c r="O251" s="282">
        <v>4825</v>
      </c>
      <c r="P251" s="283"/>
      <c r="Q251" s="282">
        <f>Q198+Q199</f>
        <v>123660</v>
      </c>
      <c r="R251" s="282">
        <f>R198+R199</f>
        <v>115813</v>
      </c>
      <c r="S251" s="282">
        <f>S198+S199</f>
        <v>3683</v>
      </c>
      <c r="T251" s="282">
        <f>T198+T199</f>
        <v>3122</v>
      </c>
      <c r="U251" s="286"/>
      <c r="V251" s="282">
        <f>V198+V199</f>
        <v>2153</v>
      </c>
      <c r="W251" s="282">
        <f>W198+W199</f>
        <v>2675</v>
      </c>
      <c r="X251" s="286"/>
      <c r="Y251" s="282">
        <f>Y198+Y199</f>
        <v>3886</v>
      </c>
      <c r="Z251" s="282">
        <f>Z198+Z199</f>
        <v>1771</v>
      </c>
      <c r="AA251" s="286"/>
      <c r="AB251" s="282">
        <f>AB198+AB199</f>
        <v>4460</v>
      </c>
      <c r="AC251" s="282">
        <f>AC198+AC199</f>
        <v>3906</v>
      </c>
      <c r="AD251" s="286"/>
      <c r="AE251" s="282">
        <f>AE198+AE199</f>
        <v>6169</v>
      </c>
      <c r="AF251" s="282">
        <f>AF198+AF199</f>
        <v>6237</v>
      </c>
      <c r="AG251" s="286"/>
      <c r="AH251" s="282">
        <f>AH198+AH199</f>
        <v>2673</v>
      </c>
      <c r="AI251" s="282">
        <f>AI198+AI199</f>
        <v>6557</v>
      </c>
      <c r="AJ251" s="286"/>
      <c r="AK251" s="282">
        <f>AK198+AK199</f>
        <v>3965</v>
      </c>
      <c r="AL251" s="282">
        <f>AL198+AL199</f>
        <v>4239</v>
      </c>
      <c r="AM251" s="286"/>
      <c r="AN251" s="282">
        <f>AN198+AN199</f>
        <v>23591</v>
      </c>
      <c r="AO251" s="282">
        <f>AO198+AO199</f>
        <v>21665</v>
      </c>
      <c r="AP251" s="286"/>
      <c r="AQ251" s="282">
        <f>AQ198+AQ199</f>
        <v>3277</v>
      </c>
      <c r="AR251" s="282">
        <f>AR198+AR199</f>
        <v>2740</v>
      </c>
      <c r="AS251" s="286"/>
      <c r="AT251" s="282">
        <f>AT198+AT199</f>
        <v>5644</v>
      </c>
      <c r="AU251" s="282">
        <f>AU198+AU199</f>
        <v>5663</v>
      </c>
      <c r="AV251" s="286"/>
      <c r="AW251" s="282">
        <f>AW198+AW199</f>
        <v>3030</v>
      </c>
      <c r="AX251" s="282">
        <f>AX198+AX199</f>
        <v>3106</v>
      </c>
      <c r="AY251" s="286"/>
      <c r="AZ251" s="282">
        <f>AZ198+AZ199</f>
        <v>5004</v>
      </c>
      <c r="BA251" s="282">
        <f>BA198+BA199</f>
        <v>1369</v>
      </c>
      <c r="BB251" s="286"/>
      <c r="BC251" s="282">
        <f>BC198+BC199</f>
        <v>6736</v>
      </c>
      <c r="BD251" s="282">
        <f>BD198+BD199</f>
        <v>6202</v>
      </c>
      <c r="BE251" s="286"/>
      <c r="BF251" s="282">
        <f>BF198+BF199</f>
        <v>14343</v>
      </c>
      <c r="BG251" s="282">
        <f>BG198+BG199</f>
        <v>12561</v>
      </c>
      <c r="BH251" s="286"/>
      <c r="BI251" s="282">
        <f>BI198+BI199</f>
        <v>12843</v>
      </c>
      <c r="BJ251" s="282">
        <f>BJ198+BJ199</f>
        <v>12393</v>
      </c>
      <c r="BK251" s="286"/>
      <c r="BL251" s="282">
        <f>BL198+BL199</f>
        <v>3411</v>
      </c>
      <c r="BM251" s="282">
        <f>BM198+BM199</f>
        <v>3010</v>
      </c>
      <c r="BN251" s="286"/>
      <c r="BO251" s="282">
        <f>BO198+BO199</f>
        <v>3359</v>
      </c>
      <c r="BP251" s="282">
        <f>BP198+BP199</f>
        <v>1928</v>
      </c>
      <c r="BQ251" s="286"/>
      <c r="BR251" s="282">
        <f>BR198+BR199</f>
        <v>3993</v>
      </c>
      <c r="BS251" s="282">
        <f>BS198+BS199</f>
        <v>3233</v>
      </c>
      <c r="BT251" s="286"/>
      <c r="BU251" s="282">
        <f>BU198+BU199</f>
        <v>2335</v>
      </c>
      <c r="BV251" s="282">
        <f>BV198+BV199</f>
        <v>1868</v>
      </c>
      <c r="BW251" s="286"/>
      <c r="BX251" s="282">
        <f>BX198+BX199</f>
        <v>810</v>
      </c>
      <c r="BY251" s="282">
        <f>BY198+BY199</f>
        <v>1083</v>
      </c>
      <c r="BZ251" s="286"/>
      <c r="CA251" s="282">
        <f>CA198+CA199</f>
        <v>3647</v>
      </c>
      <c r="CB251" s="282">
        <f>CB198+CB199</f>
        <v>3811</v>
      </c>
      <c r="CC251" s="286"/>
      <c r="CD251" s="282">
        <f>CD198+CD199</f>
        <v>3696</v>
      </c>
      <c r="CE251" s="282">
        <f>CE198+CE199</f>
        <v>2885</v>
      </c>
      <c r="CF251" s="286"/>
      <c r="CG251" s="282">
        <f>CG198+CG199</f>
        <v>952</v>
      </c>
      <c r="CH251" s="282">
        <f>CH198+CH199</f>
        <v>3789</v>
      </c>
      <c r="CI251" s="286"/>
    </row>
    <row r="252" spans="1:87" x14ac:dyDescent="0.25">
      <c r="A252" s="388"/>
      <c r="B252" s="16" t="s">
        <v>1184</v>
      </c>
      <c r="C252" s="95"/>
      <c r="D252" s="95"/>
      <c r="E252" s="95"/>
      <c r="F252" s="282"/>
      <c r="G252" s="282"/>
      <c r="H252" s="282"/>
      <c r="I252" s="282"/>
      <c r="J252" s="282"/>
      <c r="K252" s="282"/>
      <c r="L252" s="282"/>
      <c r="M252" s="282"/>
      <c r="N252" s="282"/>
      <c r="O252" s="282"/>
      <c r="P252" s="283"/>
      <c r="Q252" s="301"/>
      <c r="R252" s="301"/>
      <c r="S252" s="301"/>
      <c r="T252" s="301"/>
      <c r="U252" s="286"/>
      <c r="V252" s="301"/>
      <c r="W252" s="301"/>
      <c r="X252" s="286"/>
      <c r="Y252" s="301"/>
      <c r="Z252" s="301"/>
      <c r="AA252" s="286"/>
      <c r="AB252" s="301"/>
      <c r="AC252" s="301"/>
      <c r="AD252" s="286"/>
      <c r="AE252" s="301"/>
      <c r="AF252" s="301"/>
      <c r="AG252" s="286"/>
      <c r="AH252" s="301"/>
      <c r="AI252" s="301"/>
      <c r="AJ252" s="286"/>
      <c r="AK252" s="301"/>
      <c r="AL252" s="301"/>
      <c r="AM252" s="286"/>
      <c r="AN252" s="301"/>
      <c r="AO252" s="301"/>
      <c r="AP252" s="286"/>
      <c r="AQ252" s="301"/>
      <c r="AR252" s="301"/>
      <c r="AS252" s="286"/>
      <c r="AT252" s="301"/>
      <c r="AU252" s="301"/>
      <c r="AV252" s="286"/>
      <c r="AW252" s="301"/>
      <c r="AX252" s="301"/>
      <c r="AY252" s="286"/>
      <c r="AZ252" s="301"/>
      <c r="BA252" s="301"/>
      <c r="BB252" s="286"/>
      <c r="BC252" s="301"/>
      <c r="BD252" s="301"/>
      <c r="BE252" s="286"/>
      <c r="BF252" s="301"/>
      <c r="BG252" s="301"/>
      <c r="BH252" s="286"/>
      <c r="BI252" s="301"/>
      <c r="BJ252" s="301"/>
      <c r="BK252" s="286"/>
      <c r="BL252" s="301"/>
      <c r="BM252" s="301"/>
      <c r="BN252" s="286"/>
      <c r="BO252" s="301"/>
      <c r="BP252" s="301"/>
      <c r="BQ252" s="286"/>
      <c r="BR252" s="301"/>
      <c r="BS252" s="301"/>
      <c r="BT252" s="286"/>
      <c r="BU252" s="301"/>
      <c r="BV252" s="301"/>
      <c r="BW252" s="286"/>
      <c r="BX252" s="301"/>
      <c r="BY252" s="301"/>
      <c r="BZ252" s="286"/>
      <c r="CA252" s="301"/>
      <c r="CB252" s="301"/>
      <c r="CC252" s="286"/>
      <c r="CD252" s="301"/>
      <c r="CE252" s="301"/>
      <c r="CF252" s="286"/>
      <c r="CG252" s="301"/>
      <c r="CH252" s="301"/>
    </row>
    <row r="253" spans="1:87" ht="60" x14ac:dyDescent="0.25">
      <c r="A253" s="388"/>
      <c r="B253" s="16" t="s">
        <v>832</v>
      </c>
      <c r="C253" s="95" t="s">
        <v>1162</v>
      </c>
      <c r="D253" s="95" t="s">
        <v>950</v>
      </c>
      <c r="E253" s="95"/>
      <c r="F253" s="282"/>
      <c r="G253" s="282"/>
      <c r="H253" s="282"/>
      <c r="I253" s="282"/>
      <c r="J253" s="282">
        <v>206</v>
      </c>
      <c r="K253" s="282">
        <v>212</v>
      </c>
      <c r="L253" s="282">
        <v>119</v>
      </c>
      <c r="M253" s="282">
        <v>0</v>
      </c>
      <c r="N253" s="282">
        <v>0</v>
      </c>
      <c r="O253" s="282">
        <v>0</v>
      </c>
      <c r="P253" s="283"/>
      <c r="Q253" s="286">
        <f>S253+V253+Y253+AB253+AE253+AH253+AK253+AN253+AQ253+AT253+AW253+AZ253+BC253+BF253+BI253+BL253+BO253+BR253+BU253+BX253+CA253+CD253+CG253+CJ246</f>
        <v>119</v>
      </c>
      <c r="R253" s="286">
        <f>T253+W253+Z253+AC253+AF253+AI253+AL253+AO253+AR253+AU253+AX253+BA253+BD253+BG253+BJ253+BM253+BP253+BS253+BV253+BY253+CB253+CE253+CH253+CK246</f>
        <v>88</v>
      </c>
      <c r="S253" s="286">
        <v>0</v>
      </c>
      <c r="T253" s="286">
        <v>0</v>
      </c>
      <c r="U253" s="286"/>
      <c r="V253" s="286">
        <v>0</v>
      </c>
      <c r="W253" s="286">
        <v>0</v>
      </c>
      <c r="X253" s="286"/>
      <c r="Y253" s="286">
        <v>0</v>
      </c>
      <c r="Z253" s="286">
        <v>0</v>
      </c>
      <c r="AA253" s="286"/>
      <c r="AB253" s="286">
        <v>0</v>
      </c>
      <c r="AC253" s="286">
        <v>0</v>
      </c>
      <c r="AD253" s="286"/>
      <c r="AE253" s="286">
        <v>0</v>
      </c>
      <c r="AF253" s="286">
        <v>0</v>
      </c>
      <c r="AG253" s="286"/>
      <c r="AH253" s="286">
        <v>0</v>
      </c>
      <c r="AI253" s="286">
        <v>0</v>
      </c>
      <c r="AJ253" s="286"/>
      <c r="AK253" s="286">
        <v>0</v>
      </c>
      <c r="AL253" s="286">
        <v>0</v>
      </c>
      <c r="AM253" s="286"/>
      <c r="AN253" s="286">
        <v>8</v>
      </c>
      <c r="AO253" s="286">
        <v>5</v>
      </c>
      <c r="AP253" s="286"/>
      <c r="AQ253" s="286">
        <v>0</v>
      </c>
      <c r="AR253" s="286">
        <v>0</v>
      </c>
      <c r="AS253" s="286"/>
      <c r="AT253" s="286">
        <v>14</v>
      </c>
      <c r="AU253" s="286">
        <v>24</v>
      </c>
      <c r="AV253" s="286"/>
      <c r="AW253" s="286">
        <v>0</v>
      </c>
      <c r="AX253" s="286">
        <v>0</v>
      </c>
      <c r="AY253" s="286"/>
      <c r="AZ253" s="286">
        <v>0</v>
      </c>
      <c r="BA253" s="286">
        <v>0</v>
      </c>
      <c r="BB253" s="286"/>
      <c r="BC253" s="286">
        <v>0</v>
      </c>
      <c r="BD253" s="286">
        <v>0</v>
      </c>
      <c r="BE253" s="286"/>
      <c r="BF253" s="286">
        <v>0</v>
      </c>
      <c r="BG253" s="286">
        <v>0</v>
      </c>
      <c r="BH253" s="286"/>
      <c r="BI253" s="286">
        <v>88</v>
      </c>
      <c r="BJ253" s="286">
        <v>57</v>
      </c>
      <c r="BK253" s="286"/>
      <c r="BL253" s="286">
        <v>1</v>
      </c>
      <c r="BM253" s="286">
        <v>1</v>
      </c>
      <c r="BN253" s="286"/>
      <c r="BO253" s="286">
        <v>0</v>
      </c>
      <c r="BP253" s="286">
        <v>0</v>
      </c>
      <c r="BQ253" s="286"/>
      <c r="BR253" s="286">
        <v>0</v>
      </c>
      <c r="BS253" s="286">
        <v>0</v>
      </c>
      <c r="BT253" s="286"/>
      <c r="BU253" s="286">
        <v>8</v>
      </c>
      <c r="BV253" s="286">
        <v>1</v>
      </c>
      <c r="BW253" s="286"/>
      <c r="BX253" s="286">
        <v>0</v>
      </c>
      <c r="BY253" s="286">
        <v>0</v>
      </c>
      <c r="BZ253" s="286"/>
      <c r="CA253" s="286">
        <v>0</v>
      </c>
      <c r="CB253" s="286">
        <v>0</v>
      </c>
      <c r="CC253" s="286"/>
      <c r="CD253" s="286">
        <v>0</v>
      </c>
      <c r="CE253" s="286">
        <v>0</v>
      </c>
      <c r="CF253" s="286"/>
      <c r="CG253" s="286">
        <v>0</v>
      </c>
      <c r="CH253" s="286">
        <v>0</v>
      </c>
    </row>
    <row r="254" spans="1:87" ht="60" x14ac:dyDescent="0.25">
      <c r="A254" s="388"/>
      <c r="B254" s="16" t="s">
        <v>833</v>
      </c>
      <c r="C254" s="95" t="s">
        <v>1163</v>
      </c>
      <c r="D254" s="95" t="s">
        <v>950</v>
      </c>
      <c r="E254" s="95"/>
      <c r="F254" s="282"/>
      <c r="G254" s="282"/>
      <c r="H254" s="282"/>
      <c r="I254" s="282"/>
      <c r="J254" s="282">
        <v>103</v>
      </c>
      <c r="K254" s="282">
        <v>96</v>
      </c>
      <c r="L254" s="282">
        <v>96</v>
      </c>
      <c r="M254" s="282">
        <v>0</v>
      </c>
      <c r="N254" s="282">
        <v>0</v>
      </c>
      <c r="O254" s="282">
        <v>0</v>
      </c>
      <c r="P254" s="283"/>
      <c r="Q254" s="286">
        <f>S254+V254+Y254+AB254+AE254+AH254+AK254+AN254+AQ254+AT254+AW254+AZ254+BC254+BF254+BI254+BL254+BO254+BR254+BU254+BX254+CA254+CD254+CG254+CJ247</f>
        <v>96</v>
      </c>
      <c r="R254" s="286">
        <f>T254+W254+Z254+AC254+AF254+AI254+AL254+AO254+AR254+AU254+AX254+BA254+BD254+BG254+BJ254+BM254+BP254+BS254+BV254+BY254+CB254+CE254+CH254+CK247</f>
        <v>96</v>
      </c>
      <c r="S254" s="286">
        <v>0</v>
      </c>
      <c r="T254" s="286">
        <v>0</v>
      </c>
      <c r="U254" s="286"/>
      <c r="V254" s="286">
        <v>0</v>
      </c>
      <c r="W254" s="286">
        <v>0</v>
      </c>
      <c r="X254" s="286"/>
      <c r="Y254" s="286">
        <v>0</v>
      </c>
      <c r="Z254" s="286">
        <v>0</v>
      </c>
      <c r="AA254" s="286"/>
      <c r="AB254" s="286">
        <v>0</v>
      </c>
      <c r="AC254" s="286">
        <v>0</v>
      </c>
      <c r="AD254" s="286"/>
      <c r="AE254" s="286">
        <v>0</v>
      </c>
      <c r="AF254" s="286">
        <v>0</v>
      </c>
      <c r="AG254" s="286"/>
      <c r="AH254" s="286">
        <v>0</v>
      </c>
      <c r="AI254" s="286">
        <v>0</v>
      </c>
      <c r="AJ254" s="286"/>
      <c r="AK254" s="286">
        <v>0</v>
      </c>
      <c r="AL254" s="286">
        <v>0</v>
      </c>
      <c r="AM254" s="286"/>
      <c r="AN254" s="286">
        <v>10</v>
      </c>
      <c r="AO254" s="286">
        <v>10</v>
      </c>
      <c r="AP254" s="286"/>
      <c r="AQ254" s="286">
        <v>0</v>
      </c>
      <c r="AR254" s="286">
        <v>0</v>
      </c>
      <c r="AS254" s="286"/>
      <c r="AT254" s="286">
        <v>13</v>
      </c>
      <c r="AU254" s="286">
        <v>23</v>
      </c>
      <c r="AV254" s="286"/>
      <c r="AW254" s="286">
        <v>0</v>
      </c>
      <c r="AX254" s="286">
        <v>0</v>
      </c>
      <c r="AY254" s="286"/>
      <c r="AZ254" s="286">
        <v>0</v>
      </c>
      <c r="BA254" s="286">
        <v>0</v>
      </c>
      <c r="BB254" s="286"/>
      <c r="BC254" s="286">
        <v>0</v>
      </c>
      <c r="BD254" s="286">
        <v>0</v>
      </c>
      <c r="BE254" s="286"/>
      <c r="BF254" s="286">
        <v>0</v>
      </c>
      <c r="BG254" s="286">
        <v>0</v>
      </c>
      <c r="BH254" s="286"/>
      <c r="BI254" s="286">
        <v>72</v>
      </c>
      <c r="BJ254" s="286">
        <v>62</v>
      </c>
      <c r="BK254" s="286"/>
      <c r="BL254" s="286">
        <v>1</v>
      </c>
      <c r="BM254" s="286">
        <v>1</v>
      </c>
      <c r="BN254" s="286"/>
      <c r="BO254" s="286">
        <v>0</v>
      </c>
      <c r="BP254" s="286">
        <v>0</v>
      </c>
      <c r="BQ254" s="286"/>
      <c r="BR254" s="286">
        <v>0</v>
      </c>
      <c r="BS254" s="286">
        <v>0</v>
      </c>
      <c r="BT254" s="286"/>
      <c r="BU254" s="286">
        <v>0</v>
      </c>
      <c r="BV254" s="286">
        <v>0</v>
      </c>
      <c r="BW254" s="286"/>
      <c r="BX254" s="286">
        <v>0</v>
      </c>
      <c r="BY254" s="286">
        <v>0</v>
      </c>
      <c r="BZ254" s="286"/>
      <c r="CA254" s="286">
        <v>0</v>
      </c>
      <c r="CB254" s="286">
        <v>0</v>
      </c>
      <c r="CC254" s="286"/>
      <c r="CD254" s="286">
        <v>0</v>
      </c>
      <c r="CE254" s="286">
        <v>0</v>
      </c>
      <c r="CF254" s="286"/>
      <c r="CG254" s="286">
        <v>0</v>
      </c>
      <c r="CH254" s="286">
        <v>0</v>
      </c>
    </row>
    <row r="255" spans="1:87" ht="45" x14ac:dyDescent="0.25">
      <c r="A255" s="388"/>
      <c r="B255" s="16" t="s">
        <v>827</v>
      </c>
      <c r="C255" s="95" t="s">
        <v>1164</v>
      </c>
      <c r="D255" s="95" t="s">
        <v>950</v>
      </c>
      <c r="E255" s="95"/>
      <c r="F255" s="282"/>
      <c r="G255" s="282"/>
      <c r="H255" s="282"/>
      <c r="I255" s="282"/>
      <c r="J255" s="282">
        <f>J201</f>
        <v>4211</v>
      </c>
      <c r="K255" s="282">
        <f>K201</f>
        <v>5017</v>
      </c>
      <c r="L255" s="282">
        <f>L201</f>
        <v>4042</v>
      </c>
      <c r="M255" s="282">
        <f>M201</f>
        <v>0</v>
      </c>
      <c r="N255" s="282">
        <v>0</v>
      </c>
      <c r="O255" s="282">
        <v>0</v>
      </c>
      <c r="P255" s="283"/>
      <c r="Q255" s="282">
        <f>Q201</f>
        <v>4042</v>
      </c>
      <c r="R255" s="282">
        <f>R201</f>
        <v>5540</v>
      </c>
      <c r="S255" s="282">
        <f>S201</f>
        <v>0</v>
      </c>
      <c r="T255" s="282">
        <f>T201</f>
        <v>0</v>
      </c>
      <c r="V255" s="282">
        <f>V201</f>
        <v>0</v>
      </c>
      <c r="W255" s="282">
        <f>W201</f>
        <v>0</v>
      </c>
      <c r="Y255" s="282">
        <f>Y201</f>
        <v>0</v>
      </c>
      <c r="Z255" s="282">
        <f>Z201</f>
        <v>0</v>
      </c>
      <c r="AB255" s="282">
        <f>AB201</f>
        <v>0</v>
      </c>
      <c r="AC255" s="282">
        <f>AC201</f>
        <v>0</v>
      </c>
      <c r="AE255" s="282">
        <f>AE201</f>
        <v>0</v>
      </c>
      <c r="AF255" s="282">
        <f>AF201</f>
        <v>0</v>
      </c>
      <c r="AH255" s="282">
        <f>AH201</f>
        <v>0</v>
      </c>
      <c r="AI255" s="282">
        <f>AI201</f>
        <v>0</v>
      </c>
      <c r="AK255" s="282">
        <f>AK201</f>
        <v>0</v>
      </c>
      <c r="AL255" s="282">
        <f>AL201</f>
        <v>0</v>
      </c>
      <c r="AN255" s="282">
        <f>AN201</f>
        <v>645</v>
      </c>
      <c r="AO255" s="282">
        <f>AO201</f>
        <v>1075</v>
      </c>
      <c r="AQ255" s="282">
        <f>AQ201</f>
        <v>0</v>
      </c>
      <c r="AR255" s="282">
        <f>AR201</f>
        <v>0</v>
      </c>
      <c r="AT255" s="282">
        <f>AT201</f>
        <v>788</v>
      </c>
      <c r="AU255" s="282">
        <f>AU201</f>
        <v>1457</v>
      </c>
      <c r="AW255" s="282">
        <f>AW201</f>
        <v>0</v>
      </c>
      <c r="AX255" s="282">
        <f>AX201</f>
        <v>0</v>
      </c>
      <c r="AZ255" s="282">
        <f>AZ201</f>
        <v>0</v>
      </c>
      <c r="BA255" s="282">
        <f>BA201</f>
        <v>0</v>
      </c>
      <c r="BC255" s="282">
        <f>BC201</f>
        <v>0</v>
      </c>
      <c r="BD255" s="282">
        <f>BD201</f>
        <v>0</v>
      </c>
      <c r="BF255" s="282">
        <f>BF201</f>
        <v>0</v>
      </c>
      <c r="BG255" s="282">
        <f>BG201</f>
        <v>0</v>
      </c>
      <c r="BI255" s="282">
        <f>BI201</f>
        <v>2336</v>
      </c>
      <c r="BJ255" s="282">
        <f>BJ201</f>
        <v>2794</v>
      </c>
      <c r="BL255" s="282">
        <f>BL201</f>
        <v>103</v>
      </c>
      <c r="BM255" s="282">
        <f>BM201</f>
        <v>100</v>
      </c>
      <c r="BO255" s="282">
        <f>BO201</f>
        <v>0</v>
      </c>
      <c r="BP255" s="282">
        <f>BP201</f>
        <v>0</v>
      </c>
      <c r="BR255" s="282">
        <f>BR201</f>
        <v>0</v>
      </c>
      <c r="BS255" s="282">
        <f>BS201</f>
        <v>0</v>
      </c>
      <c r="BU255" s="282">
        <f>BU201</f>
        <v>170</v>
      </c>
      <c r="BV255" s="282">
        <f>BV201</f>
        <v>114</v>
      </c>
      <c r="BX255" s="282">
        <f>BX201</f>
        <v>0</v>
      </c>
      <c r="BY255" s="282">
        <f>BY201</f>
        <v>0</v>
      </c>
      <c r="CA255" s="282">
        <f>CA201</f>
        <v>0</v>
      </c>
      <c r="CB255" s="282">
        <f>CB201</f>
        <v>0</v>
      </c>
      <c r="CD255" s="282">
        <f>CD201</f>
        <v>0</v>
      </c>
      <c r="CE255" s="282">
        <f>CE201</f>
        <v>0</v>
      </c>
      <c r="CG255" s="282">
        <f>CG201</f>
        <v>0</v>
      </c>
      <c r="CH255" s="282">
        <f>CH201</f>
        <v>0</v>
      </c>
    </row>
    <row r="256" spans="1:87" x14ac:dyDescent="0.25">
      <c r="A256" s="388"/>
      <c r="B256" s="16"/>
      <c r="C256" s="95"/>
      <c r="D256" s="95"/>
      <c r="E256" s="95"/>
      <c r="F256" s="282"/>
      <c r="G256" s="282"/>
      <c r="H256" s="282"/>
      <c r="I256" s="282"/>
      <c r="J256" s="282"/>
      <c r="K256" s="282"/>
      <c r="L256" s="282"/>
      <c r="M256" s="282"/>
      <c r="N256" s="282"/>
      <c r="O256" s="282"/>
      <c r="P256" s="283"/>
      <c r="Q256" s="283"/>
    </row>
    <row r="257" spans="1:89" ht="49.5" customHeight="1" x14ac:dyDescent="0.25">
      <c r="A257" s="105" t="s">
        <v>704</v>
      </c>
      <c r="B257" s="290" t="s">
        <v>834</v>
      </c>
      <c r="C257" s="107"/>
      <c r="D257" s="107"/>
      <c r="E257" s="107"/>
      <c r="F257" s="107"/>
      <c r="G257" s="107"/>
      <c r="H257" s="107"/>
      <c r="I257" s="107"/>
      <c r="J257" s="279">
        <f>(J264)/(J267)*100</f>
        <v>85.882352941176464</v>
      </c>
      <c r="K257" s="279">
        <f>(K264)/(K267)*100</f>
        <v>89.041095890410958</v>
      </c>
      <c r="L257" s="279">
        <f>(L264)/(L267)*100</f>
        <v>92.307692307692307</v>
      </c>
      <c r="M257" s="279">
        <f>(M264)/(M267)*100</f>
        <v>100</v>
      </c>
      <c r="N257" s="279">
        <f t="shared" ref="N257:O257" si="97">(N264)/(N267)*100</f>
        <v>66.666666666666657</v>
      </c>
      <c r="O257" s="279">
        <f t="shared" si="97"/>
        <v>66.666666666666657</v>
      </c>
    </row>
    <row r="258" spans="1:89" ht="45" hidden="1" x14ac:dyDescent="0.25">
      <c r="A258" s="95" t="s">
        <v>836</v>
      </c>
      <c r="B258" s="96" t="s">
        <v>1889</v>
      </c>
      <c r="C258" s="107"/>
      <c r="D258" s="95" t="s">
        <v>8</v>
      </c>
      <c r="E258" s="95"/>
      <c r="F258" s="279">
        <f t="shared" ref="F258:K258" si="98">(F264)/(F267)*100</f>
        <v>91.304347826086953</v>
      </c>
      <c r="G258" s="279">
        <f t="shared" si="98"/>
        <v>265.07936507936506</v>
      </c>
      <c r="H258" s="279">
        <f t="shared" si="98"/>
        <v>94.011976047904184</v>
      </c>
      <c r="I258" s="279">
        <f t="shared" si="98"/>
        <v>96.815286624203821</v>
      </c>
      <c r="J258" s="279">
        <f t="shared" si="98"/>
        <v>85.882352941176464</v>
      </c>
      <c r="K258" s="279">
        <f t="shared" si="98"/>
        <v>89.041095890410958</v>
      </c>
      <c r="L258" s="279">
        <f>(L264)/(L267)*100</f>
        <v>92.307692307692307</v>
      </c>
      <c r="M258" s="279">
        <f>(M264)/(M267)*100</f>
        <v>100</v>
      </c>
      <c r="N258" s="279"/>
      <c r="O258" s="279"/>
      <c r="P258" s="281" t="s">
        <v>839</v>
      </c>
      <c r="Q258" s="279">
        <f>(Q264)/(Q267)*100</f>
        <v>89.041095890410958</v>
      </c>
      <c r="R258" s="279">
        <f>(R264)/(R267)*100</f>
        <v>92.307692307692307</v>
      </c>
      <c r="S258" s="279">
        <f>(S264)/(S267)*100</f>
        <v>100</v>
      </c>
      <c r="T258" s="279">
        <f>(T264)/(T267)*100</f>
        <v>100</v>
      </c>
      <c r="V258" s="279">
        <f>(V264)/(V267)*100</f>
        <v>88.888888888888886</v>
      </c>
      <c r="W258" s="279">
        <f>(W264)/(W267)*100</f>
        <v>87.5</v>
      </c>
      <c r="Y258" s="279">
        <f>(Y264)/(Y267)*100</f>
        <v>100</v>
      </c>
      <c r="Z258" s="279">
        <f>(Z264)/(Z267)*100</f>
        <v>92.857142857142861</v>
      </c>
      <c r="AB258" s="279">
        <f>(AB264)/(AB267)*100</f>
        <v>100</v>
      </c>
      <c r="AC258" s="279">
        <f>(AC264)/(AC267)*100</f>
        <v>100</v>
      </c>
      <c r="AE258" s="279">
        <f>(AE264)/(AE267)*100</f>
        <v>100</v>
      </c>
      <c r="AF258" s="279">
        <f>(AF264)/(AF267)*100</f>
        <v>75</v>
      </c>
      <c r="AH258" s="279">
        <f>(AH264)/(AH267)*100</f>
        <v>80</v>
      </c>
      <c r="AI258" s="279">
        <f>(AI264)/(AI267)*100</f>
        <v>100</v>
      </c>
      <c r="AK258" s="279">
        <f>(AK264)/(AK267)*100</f>
        <v>100</v>
      </c>
      <c r="AL258" s="279">
        <f>(AL264)/(AL267)*100</f>
        <v>100</v>
      </c>
      <c r="AN258" s="279">
        <f>(AN264)/(AN267)*100</f>
        <v>70.588235294117652</v>
      </c>
      <c r="AO258" s="279">
        <f>(AO264)/(AO267)*100</f>
        <v>100</v>
      </c>
      <c r="AQ258" s="279">
        <f>(AQ264)/(AQ267)*100</f>
        <v>100</v>
      </c>
      <c r="AR258" s="279">
        <f>(AR264)/(AR267)*100</f>
        <v>100</v>
      </c>
      <c r="AT258" s="279">
        <f>(AT264)/(AT267)*100</f>
        <v>100</v>
      </c>
      <c r="AU258" s="279">
        <f>(AU264)/(AU267)*100</f>
        <v>100</v>
      </c>
      <c r="AW258" s="279">
        <f>(AW264)/(AW267)*100</f>
        <v>100</v>
      </c>
      <c r="AX258" s="279">
        <f>(AX264)/(AX267)*100</f>
        <v>100</v>
      </c>
      <c r="AZ258" s="279">
        <f>(AZ264)/(AZ267)*100</f>
        <v>100</v>
      </c>
      <c r="BA258" s="279">
        <f>(BA264)/(BA267)*100</f>
        <v>100</v>
      </c>
      <c r="BC258" s="279">
        <f>(BC264)/(BC267)*100</f>
        <v>100</v>
      </c>
      <c r="BD258" s="279">
        <f>(BD264)/(BD267)*100</f>
        <v>50</v>
      </c>
      <c r="BF258" s="279">
        <f>(BF264)/(BF267)*100</f>
        <v>60</v>
      </c>
      <c r="BG258" s="279">
        <f>(BG264)/(BG267)*100</f>
        <v>100</v>
      </c>
      <c r="BI258" s="279">
        <f>(BI264)/(BI267)*100</f>
        <v>83.333333333333343</v>
      </c>
      <c r="BJ258" s="279">
        <f>(BJ264)/(BJ267)*100</f>
        <v>100</v>
      </c>
      <c r="BL258" s="279">
        <f>(BL264)/(BL267)*100</f>
        <v>100</v>
      </c>
      <c r="BM258" s="279">
        <f>(BM264)/(BM267)*100</f>
        <v>83.333333333333343</v>
      </c>
      <c r="BO258" s="279">
        <f>(BO264)/(BO267)*100</f>
        <v>100</v>
      </c>
      <c r="BP258" s="279">
        <f>(BP264)/(BP267)*100</f>
        <v>80</v>
      </c>
      <c r="BR258" s="279">
        <f>(BR264)/(BR267)*100</f>
        <v>100</v>
      </c>
      <c r="BS258" s="279">
        <f>(BS264)/(BS267)*100</f>
        <v>100</v>
      </c>
      <c r="BU258" s="279">
        <f>(BU264)/(BU267)*100</f>
        <v>100</v>
      </c>
      <c r="BV258" s="279">
        <f>(BV264)/(BV267)*100</f>
        <v>100</v>
      </c>
      <c r="BX258" s="279">
        <f>(BX264)/(BX267)*100</f>
        <v>100</v>
      </c>
      <c r="BY258" s="279">
        <f>(BY264)/(BY267)*100</f>
        <v>100</v>
      </c>
      <c r="CA258" s="279">
        <f>(CA264)/(CA267)*100</f>
        <v>50</v>
      </c>
      <c r="CB258" s="279">
        <f>(CB264)/(CB267)*100</f>
        <v>100</v>
      </c>
      <c r="CD258" s="279">
        <f>(CD264)/(CD267)*100</f>
        <v>66.666666666666657</v>
      </c>
      <c r="CE258" s="279">
        <f>(CE264)/(CE267)*100</f>
        <v>100</v>
      </c>
      <c r="CG258" s="279" t="e">
        <f>(CG264)/(CG267)*100</f>
        <v>#DIV/0!</v>
      </c>
      <c r="CH258" s="279">
        <f>(CH264)/(CH267)*100</f>
        <v>100</v>
      </c>
    </row>
    <row r="259" spans="1:89" hidden="1" x14ac:dyDescent="0.25">
      <c r="A259" s="95"/>
      <c r="B259" s="16" t="s">
        <v>1182</v>
      </c>
      <c r="C259" s="107"/>
      <c r="D259" s="95"/>
      <c r="E259" s="95"/>
      <c r="F259" s="279"/>
      <c r="G259" s="279"/>
      <c r="H259" s="279"/>
      <c r="I259" s="279"/>
      <c r="J259" s="279">
        <f>J264/J267*100</f>
        <v>85.882352941176464</v>
      </c>
      <c r="K259" s="279">
        <f>K264/K267*100</f>
        <v>89.041095890410958</v>
      </c>
      <c r="L259" s="279">
        <f>L264/L267*100</f>
        <v>92.307692307692307</v>
      </c>
      <c r="M259" s="279">
        <f>M264/M267*100</f>
        <v>100</v>
      </c>
      <c r="N259" s="279"/>
      <c r="O259" s="279"/>
      <c r="P259" s="281"/>
      <c r="Q259" s="279">
        <f>Q264/Q267*100</f>
        <v>89.041095890410958</v>
      </c>
      <c r="R259" s="279">
        <f>R264/R267*100</f>
        <v>92.307692307692307</v>
      </c>
      <c r="S259" s="279">
        <f>S264/S267*100</f>
        <v>100</v>
      </c>
      <c r="T259" s="279">
        <f>T264/T267*100</f>
        <v>100</v>
      </c>
      <c r="V259" s="279">
        <f>V264/V267*100</f>
        <v>88.888888888888886</v>
      </c>
      <c r="W259" s="279">
        <f>W264/W267*100</f>
        <v>87.5</v>
      </c>
      <c r="Y259" s="279">
        <f>Y264/Y267*100</f>
        <v>100</v>
      </c>
      <c r="Z259" s="279">
        <f>Z264/Z267*100</f>
        <v>92.857142857142861</v>
      </c>
      <c r="AB259" s="279">
        <f>AB264/AB267*100</f>
        <v>100</v>
      </c>
      <c r="AC259" s="279">
        <f>AC264/AC267*100</f>
        <v>100</v>
      </c>
      <c r="AE259" s="279">
        <f>AE264/AE267*100</f>
        <v>100</v>
      </c>
      <c r="AF259" s="279">
        <f>AF264/AF267*100</f>
        <v>75</v>
      </c>
      <c r="AH259" s="279">
        <f>AH264/AH267*100</f>
        <v>80</v>
      </c>
      <c r="AI259" s="279">
        <f>AI264/AI267*100</f>
        <v>100</v>
      </c>
      <c r="AK259" s="279">
        <f>AK264/AK267*100</f>
        <v>100</v>
      </c>
      <c r="AL259" s="279">
        <f>AL264/AL267*100</f>
        <v>100</v>
      </c>
      <c r="AN259" s="279">
        <f>AN264/AN267*100</f>
        <v>70.588235294117652</v>
      </c>
      <c r="AO259" s="279">
        <f>AO264/AO267*100</f>
        <v>100</v>
      </c>
      <c r="AQ259" s="279">
        <f>AQ264/AQ267*100</f>
        <v>100</v>
      </c>
      <c r="AR259" s="279">
        <f>AR264/AR267*100</f>
        <v>100</v>
      </c>
      <c r="AT259" s="279">
        <f>AT264/AT267*100</f>
        <v>100</v>
      </c>
      <c r="AU259" s="279">
        <f>AU264/AU267*100</f>
        <v>100</v>
      </c>
      <c r="AW259" s="279">
        <f>AW264/AW267*100</f>
        <v>100</v>
      </c>
      <c r="AX259" s="279">
        <f>AX264/AX267*100</f>
        <v>100</v>
      </c>
      <c r="AZ259" s="279">
        <f>AZ264/AZ267*100</f>
        <v>100</v>
      </c>
      <c r="BA259" s="279">
        <f>BA264/BA267*100</f>
        <v>100</v>
      </c>
      <c r="BC259" s="279">
        <f>BC264/BC267*100</f>
        <v>100</v>
      </c>
      <c r="BD259" s="279">
        <f>BD264/BD267*100</f>
        <v>50</v>
      </c>
      <c r="BF259" s="279">
        <f>BF264/BF267*100</f>
        <v>60</v>
      </c>
      <c r="BG259" s="279">
        <f>BG264/BG267*100</f>
        <v>100</v>
      </c>
      <c r="BI259" s="279">
        <f>BI264/BI267*100</f>
        <v>83.333333333333343</v>
      </c>
      <c r="BJ259" s="279">
        <f>BJ264/BJ267*100</f>
        <v>100</v>
      </c>
      <c r="BL259" s="279">
        <f>BL264/BL267*100</f>
        <v>100</v>
      </c>
      <c r="BM259" s="279">
        <f>BM264/BM267*100</f>
        <v>83.333333333333343</v>
      </c>
      <c r="BO259" s="279">
        <f>BO264/BO267*100</f>
        <v>100</v>
      </c>
      <c r="BP259" s="279">
        <f>BP264/BP267*100</f>
        <v>80</v>
      </c>
      <c r="BR259" s="279">
        <f>BR264/BR267*100</f>
        <v>100</v>
      </c>
      <c r="BS259" s="279">
        <f>BS264/BS267*100</f>
        <v>100</v>
      </c>
      <c r="BU259" s="279">
        <f>BU264/BU267*100</f>
        <v>100</v>
      </c>
      <c r="BV259" s="279">
        <f>BV264/BV267*100</f>
        <v>100</v>
      </c>
      <c r="BX259" s="279">
        <f>BX264/BX267*100</f>
        <v>100</v>
      </c>
      <c r="BY259" s="279">
        <f>BY264/BY267*100</f>
        <v>100</v>
      </c>
      <c r="CA259" s="279">
        <f>CA264/CA267*100</f>
        <v>50</v>
      </c>
      <c r="CB259" s="279">
        <f>CB264/CB267*100</f>
        <v>100</v>
      </c>
      <c r="CD259" s="279">
        <f>CD264/CD267*100</f>
        <v>66.666666666666657</v>
      </c>
      <c r="CE259" s="279">
        <f>CE264/CE267*100</f>
        <v>100</v>
      </c>
      <c r="CG259" s="279" t="e">
        <f>CG264/CG267*100</f>
        <v>#DIV/0!</v>
      </c>
      <c r="CH259" s="279">
        <f>CH264/CH267*100</f>
        <v>100</v>
      </c>
    </row>
    <row r="260" spans="1:89" x14ac:dyDescent="0.25">
      <c r="A260" s="95"/>
      <c r="B260" s="16" t="s">
        <v>1183</v>
      </c>
      <c r="C260" s="107"/>
      <c r="D260" s="95"/>
      <c r="E260" s="95"/>
      <c r="F260" s="279">
        <f>(F265)/(F268)*100</f>
        <v>93.442622950819683</v>
      </c>
      <c r="G260" s="279">
        <f t="shared" ref="G260:L261" si="99">(G265)/(G268)*100</f>
        <v>233.33333333333334</v>
      </c>
      <c r="H260" s="279">
        <f t="shared" si="99"/>
        <v>102.25563909774435</v>
      </c>
      <c r="I260" s="279">
        <f t="shared" si="99"/>
        <v>95.588235294117652</v>
      </c>
      <c r="J260" s="279">
        <f t="shared" si="99"/>
        <v>86.15384615384616</v>
      </c>
      <c r="K260" s="279">
        <f>(K265)/(K268)*100</f>
        <v>0</v>
      </c>
      <c r="L260" s="279" t="e">
        <f t="shared" si="99"/>
        <v>#DIV/0!</v>
      </c>
      <c r="M260" s="279">
        <f t="shared" ref="M260:O261" si="100">(M265)/(M268)*100</f>
        <v>100</v>
      </c>
      <c r="N260" s="279">
        <f t="shared" si="100"/>
        <v>100</v>
      </c>
      <c r="O260" s="279">
        <f t="shared" si="100"/>
        <v>100</v>
      </c>
      <c r="P260" s="281"/>
      <c r="Q260" s="279" t="e">
        <f t="shared" ref="Q260:T261" si="101">(Q265)/(Q268)*100</f>
        <v>#DIV/0!</v>
      </c>
      <c r="R260" s="279" t="e">
        <f t="shared" si="101"/>
        <v>#DIV/0!</v>
      </c>
      <c r="S260" s="279" t="e">
        <f t="shared" si="101"/>
        <v>#DIV/0!</v>
      </c>
      <c r="T260" s="279" t="e">
        <f t="shared" si="101"/>
        <v>#DIV/0!</v>
      </c>
      <c r="V260" s="279" t="e">
        <f>(V265)/(V268)*100</f>
        <v>#DIV/0!</v>
      </c>
      <c r="W260" s="279" t="e">
        <f>(W265)/(W268)*100</f>
        <v>#DIV/0!</v>
      </c>
      <c r="Y260" s="279" t="e">
        <f>(Y265)/(Y268)*100</f>
        <v>#DIV/0!</v>
      </c>
      <c r="Z260" s="279" t="e">
        <f>(Z265)/(Z268)*100</f>
        <v>#DIV/0!</v>
      </c>
      <c r="AB260" s="279" t="e">
        <f>(AB265)/(AB268)*100</f>
        <v>#DIV/0!</v>
      </c>
      <c r="AC260" s="279" t="e">
        <f>(AC265)/(AC268)*100</f>
        <v>#DIV/0!</v>
      </c>
      <c r="AE260" s="279" t="e">
        <f>(AE265)/(AE268)*100</f>
        <v>#DIV/0!</v>
      </c>
      <c r="AF260" s="279" t="e">
        <f>(AF265)/(AF268)*100</f>
        <v>#DIV/0!</v>
      </c>
      <c r="AH260" s="279" t="e">
        <f>(AH265)/(AH268)*100</f>
        <v>#DIV/0!</v>
      </c>
      <c r="AI260" s="279" t="e">
        <f>(AI265)/(AI268)*100</f>
        <v>#DIV/0!</v>
      </c>
      <c r="AK260" s="279" t="e">
        <f>(AK265)/(AK268)*100</f>
        <v>#DIV/0!</v>
      </c>
      <c r="AL260" s="279" t="e">
        <f>(AL265)/(AL268)*100</f>
        <v>#DIV/0!</v>
      </c>
      <c r="AN260" s="279" t="e">
        <f>(AN265)/(AN268)*100</f>
        <v>#DIV/0!</v>
      </c>
      <c r="AO260" s="279" t="e">
        <f>(AO265)/(AO268)*100</f>
        <v>#DIV/0!</v>
      </c>
      <c r="AQ260" s="279" t="e">
        <f>(AQ265)/(AQ268)*100</f>
        <v>#DIV/0!</v>
      </c>
      <c r="AR260" s="279" t="e">
        <f>(AR265)/(AR268)*100</f>
        <v>#DIV/0!</v>
      </c>
      <c r="AT260" s="279" t="e">
        <f>(AT265)/(AT268)*100</f>
        <v>#DIV/0!</v>
      </c>
      <c r="AU260" s="279" t="e">
        <f>(AU265)/(AU268)*100</f>
        <v>#DIV/0!</v>
      </c>
      <c r="AW260" s="279" t="e">
        <f>(AW265)/(AW268)*100</f>
        <v>#DIV/0!</v>
      </c>
      <c r="AX260" s="279" t="e">
        <f>(AX265)/(AX268)*100</f>
        <v>#DIV/0!</v>
      </c>
      <c r="AZ260" s="279" t="e">
        <f>(AZ265)/(AZ268)*100</f>
        <v>#DIV/0!</v>
      </c>
      <c r="BA260" s="279" t="e">
        <f>(BA265)/(BA268)*100</f>
        <v>#DIV/0!</v>
      </c>
      <c r="BC260" s="279" t="e">
        <f>(BC265)/(BC268)*100</f>
        <v>#DIV/0!</v>
      </c>
      <c r="BD260" s="279" t="e">
        <f>(BD265)/(BD268)*100</f>
        <v>#DIV/0!</v>
      </c>
      <c r="BF260" s="279" t="e">
        <f>(BF265)/(BF268)*100</f>
        <v>#DIV/0!</v>
      </c>
      <c r="BG260" s="279" t="e">
        <f>(BG265)/(BG268)*100</f>
        <v>#DIV/0!</v>
      </c>
      <c r="BI260" s="279" t="e">
        <f>(BI265)/(BI268)*100</f>
        <v>#DIV/0!</v>
      </c>
      <c r="BJ260" s="279" t="e">
        <f>(BJ265)/(BJ268)*100</f>
        <v>#DIV/0!</v>
      </c>
      <c r="BL260" s="279" t="e">
        <f>(BL265)/(BL268)*100</f>
        <v>#DIV/0!</v>
      </c>
      <c r="BM260" s="279" t="e">
        <f>(BM265)/(BM268)*100</f>
        <v>#DIV/0!</v>
      </c>
      <c r="BO260" s="279" t="e">
        <f>(BO265)/(BO268)*100</f>
        <v>#DIV/0!</v>
      </c>
      <c r="BP260" s="279" t="e">
        <f>(BP265)/(BP268)*100</f>
        <v>#DIV/0!</v>
      </c>
      <c r="BR260" s="279" t="e">
        <f>(BR265)/(BR268)*100</f>
        <v>#DIV/0!</v>
      </c>
      <c r="BS260" s="279" t="e">
        <f>(BS265)/(BS268)*100</f>
        <v>#DIV/0!</v>
      </c>
      <c r="BU260" s="279" t="e">
        <f>(BU265)/(BU268)*100</f>
        <v>#DIV/0!</v>
      </c>
      <c r="BV260" s="279" t="e">
        <f>(BV265)/(BV268)*100</f>
        <v>#DIV/0!</v>
      </c>
      <c r="BX260" s="279" t="e">
        <f>(BX265)/(BX268)*100</f>
        <v>#DIV/0!</v>
      </c>
      <c r="BY260" s="279" t="e">
        <f>(BY265)/(BY268)*100</f>
        <v>#DIV/0!</v>
      </c>
      <c r="CA260" s="279" t="e">
        <f>(CA265)/(CA268)*100</f>
        <v>#DIV/0!</v>
      </c>
      <c r="CB260" s="279" t="e">
        <f>(CB265)/(CB268)*100</f>
        <v>#DIV/0!</v>
      </c>
      <c r="CD260" s="279" t="e">
        <f>(CD265)/(CD268)*100</f>
        <v>#DIV/0!</v>
      </c>
      <c r="CE260" s="279" t="e">
        <f>(CE265)/(CE268)*100</f>
        <v>#DIV/0!</v>
      </c>
      <c r="CG260" s="279" t="e">
        <f>(CG265)/(CG268)*100</f>
        <v>#DIV/0!</v>
      </c>
      <c r="CH260" s="279" t="e">
        <f>(CH265)/(CH268)*100</f>
        <v>#DIV/0!</v>
      </c>
    </row>
    <row r="261" spans="1:89" x14ac:dyDescent="0.25">
      <c r="A261" s="95"/>
      <c r="B261" s="16" t="s">
        <v>1185</v>
      </c>
      <c r="C261" s="107"/>
      <c r="D261" s="95"/>
      <c r="E261" s="95"/>
      <c r="F261" s="279">
        <f>(F266)/(F269)*100</f>
        <v>75</v>
      </c>
      <c r="G261" s="279">
        <f t="shared" si="99"/>
        <v>566.66666666666674</v>
      </c>
      <c r="H261" s="279">
        <f t="shared" si="99"/>
        <v>61.764705882352942</v>
      </c>
      <c r="I261" s="279">
        <f t="shared" si="99"/>
        <v>104.76190476190477</v>
      </c>
      <c r="J261" s="279">
        <f t="shared" si="99"/>
        <v>100</v>
      </c>
      <c r="K261" s="279">
        <f>(K266)/(K269)*100</f>
        <v>0</v>
      </c>
      <c r="L261" s="279" t="e">
        <f t="shared" si="99"/>
        <v>#DIV/0!</v>
      </c>
      <c r="M261" s="279">
        <f t="shared" si="100"/>
        <v>100</v>
      </c>
      <c r="N261" s="279">
        <f t="shared" si="100"/>
        <v>50</v>
      </c>
      <c r="O261" s="279">
        <f t="shared" si="100"/>
        <v>50</v>
      </c>
      <c r="P261" s="281"/>
      <c r="Q261" s="279" t="e">
        <f t="shared" si="101"/>
        <v>#DIV/0!</v>
      </c>
      <c r="R261" s="279" t="e">
        <f t="shared" si="101"/>
        <v>#DIV/0!</v>
      </c>
      <c r="S261" s="279" t="e">
        <f t="shared" si="101"/>
        <v>#DIV/0!</v>
      </c>
      <c r="T261" s="279" t="e">
        <f t="shared" si="101"/>
        <v>#DIV/0!</v>
      </c>
      <c r="V261" s="279" t="e">
        <f>(V266)/(V269)*100</f>
        <v>#DIV/0!</v>
      </c>
      <c r="W261" s="279" t="e">
        <f>(W266)/(W269)*100</f>
        <v>#DIV/0!</v>
      </c>
      <c r="Y261" s="279" t="e">
        <f>(Y266)/(Y269)*100</f>
        <v>#DIV/0!</v>
      </c>
      <c r="Z261" s="279" t="e">
        <f>(Z266)/(Z269)*100</f>
        <v>#DIV/0!</v>
      </c>
      <c r="AB261" s="279" t="e">
        <f>(AB266)/(AB269)*100</f>
        <v>#DIV/0!</v>
      </c>
      <c r="AC261" s="279" t="e">
        <f>(AC266)/(AC269)*100</f>
        <v>#DIV/0!</v>
      </c>
      <c r="AE261" s="279" t="e">
        <f>(AE266)/(AE269)*100</f>
        <v>#DIV/0!</v>
      </c>
      <c r="AF261" s="279" t="e">
        <f>(AF266)/(AF269)*100</f>
        <v>#DIV/0!</v>
      </c>
      <c r="AH261" s="279" t="e">
        <f>(AH266)/(AH269)*100</f>
        <v>#DIV/0!</v>
      </c>
      <c r="AI261" s="279" t="e">
        <f>(AI266)/(AI269)*100</f>
        <v>#DIV/0!</v>
      </c>
      <c r="AK261" s="279" t="e">
        <f>(AK266)/(AK269)*100</f>
        <v>#DIV/0!</v>
      </c>
      <c r="AL261" s="279" t="e">
        <f>(AL266)/(AL269)*100</f>
        <v>#DIV/0!</v>
      </c>
      <c r="AN261" s="279" t="e">
        <f>(AN266)/(AN269)*100</f>
        <v>#DIV/0!</v>
      </c>
      <c r="AO261" s="279" t="e">
        <f>(AO266)/(AO269)*100</f>
        <v>#DIV/0!</v>
      </c>
      <c r="AQ261" s="279" t="e">
        <f>(AQ266)/(AQ269)*100</f>
        <v>#DIV/0!</v>
      </c>
      <c r="AR261" s="279" t="e">
        <f>(AR266)/(AR269)*100</f>
        <v>#DIV/0!</v>
      </c>
      <c r="AT261" s="279" t="e">
        <f>(AT266)/(AT269)*100</f>
        <v>#DIV/0!</v>
      </c>
      <c r="AU261" s="279" t="e">
        <f>(AU266)/(AU269)*100</f>
        <v>#DIV/0!</v>
      </c>
      <c r="AW261" s="279" t="e">
        <f>(AW266)/(AW269)*100</f>
        <v>#DIV/0!</v>
      </c>
      <c r="AX261" s="279" t="e">
        <f>(AX266)/(AX269)*100</f>
        <v>#DIV/0!</v>
      </c>
      <c r="AZ261" s="279" t="e">
        <f>(AZ266)/(AZ269)*100</f>
        <v>#DIV/0!</v>
      </c>
      <c r="BA261" s="279" t="e">
        <f>(BA266)/(BA269)*100</f>
        <v>#DIV/0!</v>
      </c>
      <c r="BC261" s="279" t="e">
        <f>(BC266)/(BC269)*100</f>
        <v>#DIV/0!</v>
      </c>
      <c r="BD261" s="279" t="e">
        <f>(BD266)/(BD269)*100</f>
        <v>#DIV/0!</v>
      </c>
      <c r="BF261" s="279" t="e">
        <f>(BF266)/(BF269)*100</f>
        <v>#DIV/0!</v>
      </c>
      <c r="BG261" s="279" t="e">
        <f>(BG266)/(BG269)*100</f>
        <v>#DIV/0!</v>
      </c>
      <c r="BI261" s="279" t="e">
        <f>(BI266)/(BI269)*100</f>
        <v>#DIV/0!</v>
      </c>
      <c r="BJ261" s="279" t="e">
        <f>(BJ266)/(BJ269)*100</f>
        <v>#DIV/0!</v>
      </c>
      <c r="BL261" s="279" t="e">
        <f>(BL266)/(BL269)*100</f>
        <v>#DIV/0!</v>
      </c>
      <c r="BM261" s="279" t="e">
        <f>(BM266)/(BM269)*100</f>
        <v>#DIV/0!</v>
      </c>
      <c r="BO261" s="279" t="e">
        <f>(BO266)/(BO269)*100</f>
        <v>#DIV/0!</v>
      </c>
      <c r="BP261" s="279" t="e">
        <f>(BP266)/(BP269)*100</f>
        <v>#DIV/0!</v>
      </c>
      <c r="BR261" s="279" t="e">
        <f>(BR266)/(BR269)*100</f>
        <v>#DIV/0!</v>
      </c>
      <c r="BS261" s="279" t="e">
        <f>(BS266)/(BS269)*100</f>
        <v>#DIV/0!</v>
      </c>
      <c r="BU261" s="279" t="e">
        <f>(BU266)/(BU269)*100</f>
        <v>#DIV/0!</v>
      </c>
      <c r="BV261" s="279" t="e">
        <f>(BV266)/(BV269)*100</f>
        <v>#DIV/0!</v>
      </c>
      <c r="BX261" s="279" t="e">
        <f>(BX266)/(BX269)*100</f>
        <v>#DIV/0!</v>
      </c>
      <c r="BY261" s="279" t="e">
        <f>(BY266)/(BY269)*100</f>
        <v>#DIV/0!</v>
      </c>
      <c r="CA261" s="279" t="e">
        <f>(CA266)/(CA269)*100</f>
        <v>#DIV/0!</v>
      </c>
      <c r="CB261" s="279" t="e">
        <f>(CB266)/(CB269)*100</f>
        <v>#DIV/0!</v>
      </c>
      <c r="CD261" s="279" t="e">
        <f>(CD266)/(CD269)*100</f>
        <v>#DIV/0!</v>
      </c>
      <c r="CE261" s="279" t="e">
        <f>(CE266)/(CE269)*100</f>
        <v>#DIV/0!</v>
      </c>
      <c r="CG261" s="279" t="e">
        <f>(CG266)/(CG269)*100</f>
        <v>#DIV/0!</v>
      </c>
      <c r="CH261" s="279" t="e">
        <f>(CH266)/(CH269)*100</f>
        <v>#DIV/0!</v>
      </c>
    </row>
    <row r="262" spans="1:89" x14ac:dyDescent="0.25">
      <c r="A262" s="95"/>
      <c r="B262" s="16" t="s">
        <v>1184</v>
      </c>
      <c r="C262" s="107"/>
      <c r="D262" s="95"/>
      <c r="E262" s="95"/>
      <c r="F262" s="279"/>
      <c r="G262" s="279"/>
      <c r="H262" s="279"/>
      <c r="I262" s="279"/>
      <c r="J262" s="279">
        <f>J271/J272*100</f>
        <v>111.11111111111111</v>
      </c>
      <c r="K262" s="279">
        <f>K271/K272*100</f>
        <v>175</v>
      </c>
      <c r="L262" s="279">
        <f>L271/L272*100</f>
        <v>82.857142857142861</v>
      </c>
      <c r="M262" s="279" t="e">
        <f>M271/M272*100</f>
        <v>#DIV/0!</v>
      </c>
      <c r="N262" s="279">
        <v>0</v>
      </c>
      <c r="O262" s="279">
        <v>0</v>
      </c>
      <c r="P262" s="281"/>
      <c r="Q262" s="279">
        <f>Q271/Q272*100</f>
        <v>175</v>
      </c>
      <c r="R262" s="279">
        <f>R271/R272*100</f>
        <v>82.857142857142861</v>
      </c>
      <c r="S262" s="279">
        <f>S271/S272*100</f>
        <v>100</v>
      </c>
      <c r="T262" s="279">
        <f>T271/T272*100</f>
        <v>0</v>
      </c>
      <c r="V262" s="279" t="e">
        <f>V271/V272*100</f>
        <v>#DIV/0!</v>
      </c>
      <c r="W262" s="279" t="e">
        <f>W271/W272*100</f>
        <v>#DIV/0!</v>
      </c>
      <c r="Y262" s="279" t="e">
        <f>Y271/Y272*100</f>
        <v>#DIV/0!</v>
      </c>
      <c r="Z262" s="279" t="e">
        <f>Z271/Z272*100</f>
        <v>#DIV/0!</v>
      </c>
      <c r="AB262" s="279" t="e">
        <f>AB271/AB272*100</f>
        <v>#DIV/0!</v>
      </c>
      <c r="AC262" s="279" t="e">
        <f>AC271/AC272*100</f>
        <v>#DIV/0!</v>
      </c>
      <c r="AE262" s="279" t="e">
        <f>AE271/AE272*100</f>
        <v>#DIV/0!</v>
      </c>
      <c r="AF262" s="279" t="e">
        <f>AF271/AF272*100</f>
        <v>#DIV/0!</v>
      </c>
      <c r="AH262" s="279" t="e">
        <f>AH271/AH272*100</f>
        <v>#DIV/0!</v>
      </c>
      <c r="AI262" s="279" t="e">
        <f>AI271/AI272*100</f>
        <v>#DIV/0!</v>
      </c>
      <c r="AK262" s="279" t="e">
        <f>AK271/AK272*100</f>
        <v>#DIV/0!</v>
      </c>
      <c r="AL262" s="279" t="e">
        <f>AL271/AL272*100</f>
        <v>#DIV/0!</v>
      </c>
      <c r="AN262" s="279">
        <f>AN271/AN272*100</f>
        <v>140</v>
      </c>
      <c r="AO262" s="279">
        <f>AO271/AO272*100</f>
        <v>85.714285714285708</v>
      </c>
      <c r="AQ262" s="279" t="e">
        <f>AQ271/AQ272*100</f>
        <v>#DIV/0!</v>
      </c>
      <c r="AR262" s="279" t="e">
        <f>AR271/AR272*100</f>
        <v>#DIV/0!</v>
      </c>
      <c r="AT262" s="279">
        <f>AT271/AT272*100</f>
        <v>150</v>
      </c>
      <c r="AU262" s="279">
        <f>AU271/AU272*100</f>
        <v>166.66666666666669</v>
      </c>
      <c r="AW262" s="279" t="e">
        <f>AW271/AW272*100</f>
        <v>#DIV/0!</v>
      </c>
      <c r="AX262" s="279" t="e">
        <f>AX271/AX272*100</f>
        <v>#DIV/0!</v>
      </c>
      <c r="AZ262" s="279" t="e">
        <f>AZ271/AZ272*100</f>
        <v>#DIV/0!</v>
      </c>
      <c r="BA262" s="279" t="e">
        <f>BA271/BA272*100</f>
        <v>#DIV/0!</v>
      </c>
      <c r="BC262" s="279" t="e">
        <f>BC271/BC272*100</f>
        <v>#DIV/0!</v>
      </c>
      <c r="BD262" s="279" t="e">
        <f>BD271/BD272*100</f>
        <v>#DIV/0!</v>
      </c>
      <c r="BF262" s="279" t="e">
        <f>BF271/BF272*100</f>
        <v>#DIV/0!</v>
      </c>
      <c r="BG262" s="279" t="e">
        <f>BG271/BG272*100</f>
        <v>#DIV/0!</v>
      </c>
      <c r="BI262" s="279">
        <f>BI271/BI272*100</f>
        <v>216.66666666666666</v>
      </c>
      <c r="BJ262" s="279">
        <f>BJ271/BJ272*100</f>
        <v>107.69230769230769</v>
      </c>
      <c r="BL262" s="279">
        <f>BL271/BL272*100</f>
        <v>100</v>
      </c>
      <c r="BM262" s="279">
        <f>BM271/BM272*100</f>
        <v>200</v>
      </c>
      <c r="BO262" s="279">
        <f>BO271/BO272*100</f>
        <v>100</v>
      </c>
      <c r="BP262" s="279">
        <f>BP271/BP272*100</f>
        <v>0</v>
      </c>
      <c r="BR262" s="279">
        <f>BR271/BR272*100</f>
        <v>350</v>
      </c>
      <c r="BS262" s="279">
        <f>BS271/BS272*100</f>
        <v>0</v>
      </c>
      <c r="BU262" s="279">
        <f>BU271/BU272*100</f>
        <v>100</v>
      </c>
      <c r="BV262" s="279">
        <f>BV271/BV272*100</f>
        <v>100</v>
      </c>
      <c r="BX262" s="279" t="e">
        <f>BX271/BX272*100</f>
        <v>#DIV/0!</v>
      </c>
      <c r="BY262" s="279" t="e">
        <f>BY271/BY272*100</f>
        <v>#DIV/0!</v>
      </c>
      <c r="CA262" s="279" t="e">
        <f>CA271/CA272*100</f>
        <v>#DIV/0!</v>
      </c>
      <c r="CB262" s="279" t="e">
        <f>CB271/CB272*100</f>
        <v>#DIV/0!</v>
      </c>
      <c r="CD262" s="279" t="e">
        <f>CD271/CD272*100</f>
        <v>#DIV/0!</v>
      </c>
      <c r="CE262" s="279" t="e">
        <f>CE271/CE272*100</f>
        <v>#DIV/0!</v>
      </c>
      <c r="CG262" s="279" t="e">
        <f>CG271/CG272*100</f>
        <v>#DIV/0!</v>
      </c>
      <c r="CH262" s="279" t="e">
        <f>CH271/CH272*100</f>
        <v>#DIV/0!</v>
      </c>
    </row>
    <row r="263" spans="1:89" x14ac:dyDescent="0.25">
      <c r="A263" s="95"/>
      <c r="B263" s="16" t="s">
        <v>1182</v>
      </c>
      <c r="C263" s="95"/>
      <c r="D263" s="95"/>
      <c r="E263" s="95"/>
      <c r="F263" s="291"/>
      <c r="G263" s="291"/>
      <c r="H263" s="291"/>
      <c r="I263" s="291"/>
      <c r="J263" s="291"/>
      <c r="K263" s="291"/>
      <c r="L263" s="291"/>
      <c r="M263" s="291"/>
      <c r="N263" s="291"/>
      <c r="O263" s="291"/>
      <c r="P263" s="281"/>
    </row>
    <row r="264" spans="1:89" ht="60" x14ac:dyDescent="0.25">
      <c r="A264" s="95"/>
      <c r="B264" s="16" t="s">
        <v>837</v>
      </c>
      <c r="C264" s="95" t="s">
        <v>2449</v>
      </c>
      <c r="D264" s="95" t="s">
        <v>1112</v>
      </c>
      <c r="E264" s="95"/>
      <c r="F264" s="291">
        <f>F265+F266</f>
        <v>63</v>
      </c>
      <c r="G264" s="291">
        <f>G265+G266</f>
        <v>167</v>
      </c>
      <c r="H264" s="291">
        <f>H265+H266</f>
        <v>157</v>
      </c>
      <c r="I264" s="291">
        <f>I265+I266</f>
        <v>152</v>
      </c>
      <c r="J264" s="291">
        <f>53+1+81+11</f>
        <v>146</v>
      </c>
      <c r="K264" s="291">
        <f>46+73+11</f>
        <v>130</v>
      </c>
      <c r="L264" s="291">
        <f>46+61+13</f>
        <v>120</v>
      </c>
      <c r="M264" s="291">
        <v>3</v>
      </c>
      <c r="N264" s="291">
        <v>2</v>
      </c>
      <c r="O264" s="291">
        <v>2</v>
      </c>
      <c r="P264" s="283"/>
      <c r="Q264" s="283">
        <f>S264+V264+Y264+AB264+AE264+AH264+AK264+AN264+AQ264+AT264+AW264+AZ264+BC264+BF264+BI264+BL264+BO264+BR264+BU264+BX264+CA264+CD264+CG264+CJ257</f>
        <v>130</v>
      </c>
      <c r="R264" s="283">
        <f>T264+W264+Z264+AC264+AF264+AI264+AL264+AO264+AR264+AU264+AX264+BA264+BD264+BG264+BJ264+BM264+BP264+BS264+BV264+BY264+CB264+CE264+CH264+CK257</f>
        <v>120</v>
      </c>
      <c r="S264" s="267">
        <v>3</v>
      </c>
      <c r="T264" s="267">
        <v>3</v>
      </c>
      <c r="V264" s="267">
        <v>8</v>
      </c>
      <c r="W264" s="267">
        <v>7</v>
      </c>
      <c r="Y264" s="267">
        <v>14</v>
      </c>
      <c r="Z264" s="267">
        <v>13</v>
      </c>
      <c r="AB264" s="267">
        <v>6</v>
      </c>
      <c r="AC264" s="267">
        <v>6</v>
      </c>
      <c r="AE264" s="267">
        <v>8</v>
      </c>
      <c r="AF264" s="267">
        <v>6</v>
      </c>
      <c r="AH264" s="267">
        <v>8</v>
      </c>
      <c r="AI264" s="267">
        <v>8</v>
      </c>
      <c r="AK264" s="267">
        <v>7</v>
      </c>
      <c r="AL264" s="267">
        <v>7</v>
      </c>
      <c r="AN264" s="267">
        <v>12</v>
      </c>
      <c r="AO264" s="267">
        <v>12</v>
      </c>
      <c r="AQ264" s="267">
        <v>3</v>
      </c>
      <c r="AR264" s="267">
        <v>3</v>
      </c>
      <c r="AT264" s="267">
        <v>8</v>
      </c>
      <c r="AU264" s="267">
        <v>8</v>
      </c>
      <c r="AW264" s="267">
        <v>2</v>
      </c>
      <c r="AX264" s="267">
        <v>2</v>
      </c>
      <c r="AZ264" s="267">
        <v>5</v>
      </c>
      <c r="BA264" s="267">
        <v>5</v>
      </c>
      <c r="BC264" s="267">
        <v>8</v>
      </c>
      <c r="BD264" s="267">
        <v>4</v>
      </c>
      <c r="BF264" s="267">
        <v>6</v>
      </c>
      <c r="BG264" s="267">
        <v>6</v>
      </c>
      <c r="BI264" s="267">
        <v>10</v>
      </c>
      <c r="BJ264" s="267">
        <v>10</v>
      </c>
      <c r="BL264" s="267">
        <v>6</v>
      </c>
      <c r="BM264" s="267">
        <v>5</v>
      </c>
      <c r="BO264" s="267">
        <v>5</v>
      </c>
      <c r="BP264" s="267">
        <v>4</v>
      </c>
      <c r="BR264" s="267">
        <v>3</v>
      </c>
      <c r="BS264" s="267">
        <v>3</v>
      </c>
      <c r="BU264" s="267">
        <v>2</v>
      </c>
      <c r="BV264" s="267">
        <v>2</v>
      </c>
      <c r="BX264" s="267">
        <v>1</v>
      </c>
      <c r="BY264" s="267">
        <v>1</v>
      </c>
      <c r="CA264" s="267">
        <v>2</v>
      </c>
      <c r="CB264" s="267">
        <v>2</v>
      </c>
      <c r="CD264" s="267">
        <v>2</v>
      </c>
      <c r="CE264" s="267">
        <v>2</v>
      </c>
      <c r="CG264" s="267">
        <v>1</v>
      </c>
      <c r="CH264" s="267">
        <v>1</v>
      </c>
    </row>
    <row r="265" spans="1:89" x14ac:dyDescent="0.25">
      <c r="A265" s="95"/>
      <c r="B265" s="16" t="s">
        <v>1183</v>
      </c>
      <c r="C265" s="95"/>
      <c r="D265" s="95" t="s">
        <v>1112</v>
      </c>
      <c r="E265" s="95"/>
      <c r="F265" s="291">
        <v>57</v>
      </c>
      <c r="G265" s="291">
        <f>55+78</f>
        <v>133</v>
      </c>
      <c r="H265" s="291">
        <f>52+84</f>
        <v>136</v>
      </c>
      <c r="I265" s="291">
        <f>50+80</f>
        <v>130</v>
      </c>
      <c r="J265" s="291">
        <v>112</v>
      </c>
      <c r="K265" s="291"/>
      <c r="L265" s="291"/>
      <c r="M265" s="291">
        <v>1</v>
      </c>
      <c r="N265" s="291">
        <v>1</v>
      </c>
      <c r="O265" s="291">
        <v>1</v>
      </c>
      <c r="P265" s="283"/>
      <c r="Q265" s="283"/>
      <c r="R265" s="283"/>
      <c r="CJ265" s="283"/>
      <c r="CK265" s="283"/>
    </row>
    <row r="266" spans="1:89" x14ac:dyDescent="0.25">
      <c r="A266" s="95"/>
      <c r="B266" s="16" t="s">
        <v>1185</v>
      </c>
      <c r="C266" s="95"/>
      <c r="D266" s="95" t="s">
        <v>1112</v>
      </c>
      <c r="E266" s="95"/>
      <c r="F266" s="291">
        <v>6</v>
      </c>
      <c r="G266" s="291">
        <f>6+28</f>
        <v>34</v>
      </c>
      <c r="H266" s="291">
        <f>5+16</f>
        <v>21</v>
      </c>
      <c r="I266" s="291">
        <f>5+17</f>
        <v>22</v>
      </c>
      <c r="J266" s="291">
        <v>22</v>
      </c>
      <c r="K266" s="291"/>
      <c r="L266" s="291"/>
      <c r="M266" s="291">
        <v>2</v>
      </c>
      <c r="N266" s="291">
        <v>1</v>
      </c>
      <c r="O266" s="291">
        <v>1</v>
      </c>
      <c r="P266" s="283"/>
      <c r="Q266" s="283"/>
      <c r="R266" s="283"/>
    </row>
    <row r="267" spans="1:89" ht="60" x14ac:dyDescent="0.25">
      <c r="A267" s="95"/>
      <c r="B267" s="16" t="s">
        <v>838</v>
      </c>
      <c r="C267" s="95" t="s">
        <v>2450</v>
      </c>
      <c r="D267" s="95" t="s">
        <v>1112</v>
      </c>
      <c r="E267" s="95"/>
      <c r="F267" s="291">
        <f>F268+F269</f>
        <v>69</v>
      </c>
      <c r="G267" s="291">
        <f>G268+G269</f>
        <v>63</v>
      </c>
      <c r="H267" s="291">
        <f>H268+H269</f>
        <v>167</v>
      </c>
      <c r="I267" s="291">
        <f>I268+I269</f>
        <v>157</v>
      </c>
      <c r="J267" s="291">
        <f>55+1+97+17</f>
        <v>170</v>
      </c>
      <c r="K267" s="291">
        <f>J264</f>
        <v>146</v>
      </c>
      <c r="L267" s="291">
        <f>K264</f>
        <v>130</v>
      </c>
      <c r="M267" s="291">
        <v>3</v>
      </c>
      <c r="N267" s="291">
        <v>3</v>
      </c>
      <c r="O267" s="291">
        <v>3</v>
      </c>
      <c r="Q267" s="283">
        <f>S267+V267+Y267+AB267+AE267+AH267+AK267+AN267+AQ267+AT267+AW267+AZ267+BC267+BF267+BI267+BL267+BO267+BR267+BU267+BX267+CA267+CD267+CG267+CJ260</f>
        <v>146</v>
      </c>
      <c r="R267" s="283">
        <f>T267+W267+Z267+AC267+AF267+AI267+AL267+AO267+AR267+AU267+AX267+BA267+BD267+BG267+BJ267+BM267+BP267+BS267+BV267+BY267+CB267+CE267+CH267+CK260</f>
        <v>130</v>
      </c>
      <c r="S267" s="267">
        <v>3</v>
      </c>
      <c r="T267" s="267">
        <f>S264</f>
        <v>3</v>
      </c>
      <c r="V267" s="267">
        <v>9</v>
      </c>
      <c r="W267" s="267">
        <f>V264</f>
        <v>8</v>
      </c>
      <c r="Y267" s="267">
        <v>14</v>
      </c>
      <c r="Z267" s="267">
        <f>Y264</f>
        <v>14</v>
      </c>
      <c r="AB267" s="267">
        <v>6</v>
      </c>
      <c r="AC267" s="267">
        <f>AB264</f>
        <v>6</v>
      </c>
      <c r="AE267" s="267">
        <v>8</v>
      </c>
      <c r="AF267" s="267">
        <f>AE264</f>
        <v>8</v>
      </c>
      <c r="AH267" s="267">
        <v>10</v>
      </c>
      <c r="AI267" s="267">
        <f>AH264</f>
        <v>8</v>
      </c>
      <c r="AK267" s="267">
        <v>7</v>
      </c>
      <c r="AL267" s="267">
        <f>AK264</f>
        <v>7</v>
      </c>
      <c r="AN267" s="267">
        <v>17</v>
      </c>
      <c r="AO267" s="267">
        <f>AN264</f>
        <v>12</v>
      </c>
      <c r="AQ267" s="267">
        <v>3</v>
      </c>
      <c r="AR267" s="267">
        <f>AQ264</f>
        <v>3</v>
      </c>
      <c r="AT267" s="267">
        <v>8</v>
      </c>
      <c r="AU267" s="267">
        <f>AT264</f>
        <v>8</v>
      </c>
      <c r="AW267" s="267">
        <v>2</v>
      </c>
      <c r="AX267" s="267">
        <f>AW264</f>
        <v>2</v>
      </c>
      <c r="AZ267" s="267">
        <v>5</v>
      </c>
      <c r="BA267" s="267">
        <f>AZ264</f>
        <v>5</v>
      </c>
      <c r="BC267" s="267">
        <v>8</v>
      </c>
      <c r="BD267" s="267">
        <f>BC264</f>
        <v>8</v>
      </c>
      <c r="BF267" s="267">
        <v>10</v>
      </c>
      <c r="BG267" s="267">
        <f>BF264</f>
        <v>6</v>
      </c>
      <c r="BI267" s="267">
        <v>12</v>
      </c>
      <c r="BJ267" s="267">
        <f>BI264</f>
        <v>10</v>
      </c>
      <c r="BL267" s="267">
        <v>6</v>
      </c>
      <c r="BM267" s="267">
        <f>BL264</f>
        <v>6</v>
      </c>
      <c r="BO267" s="267">
        <v>5</v>
      </c>
      <c r="BP267" s="267">
        <f>BO264</f>
        <v>5</v>
      </c>
      <c r="BR267" s="267">
        <v>3</v>
      </c>
      <c r="BS267" s="267">
        <f>BR264</f>
        <v>3</v>
      </c>
      <c r="BU267" s="267">
        <v>2</v>
      </c>
      <c r="BV267" s="267">
        <f>BU264</f>
        <v>2</v>
      </c>
      <c r="BX267" s="267">
        <v>1</v>
      </c>
      <c r="BY267" s="267">
        <f>BX264</f>
        <v>1</v>
      </c>
      <c r="CA267" s="267">
        <v>4</v>
      </c>
      <c r="CB267" s="267">
        <f>CA264</f>
        <v>2</v>
      </c>
      <c r="CD267" s="267">
        <v>3</v>
      </c>
      <c r="CE267" s="267">
        <f>CD264</f>
        <v>2</v>
      </c>
      <c r="CG267" s="267">
        <v>0</v>
      </c>
      <c r="CH267" s="267">
        <f>CG264</f>
        <v>1</v>
      </c>
    </row>
    <row r="268" spans="1:89" x14ac:dyDescent="0.25">
      <c r="A268" s="95"/>
      <c r="B268" s="16" t="s">
        <v>1183</v>
      </c>
      <c r="C268" s="95"/>
      <c r="D268" s="95" t="s">
        <v>1112</v>
      </c>
      <c r="E268" s="95"/>
      <c r="F268" s="291">
        <v>61</v>
      </c>
      <c r="G268" s="291">
        <f t="shared" ref="G268:L269" si="102">F265</f>
        <v>57</v>
      </c>
      <c r="H268" s="291">
        <f t="shared" si="102"/>
        <v>133</v>
      </c>
      <c r="I268" s="291">
        <f t="shared" si="102"/>
        <v>136</v>
      </c>
      <c r="J268" s="291">
        <f t="shared" si="102"/>
        <v>130</v>
      </c>
      <c r="K268" s="291">
        <f t="shared" si="102"/>
        <v>112</v>
      </c>
      <c r="L268" s="291">
        <f t="shared" si="102"/>
        <v>0</v>
      </c>
      <c r="M268" s="291">
        <v>1</v>
      </c>
      <c r="N268" s="291">
        <v>1</v>
      </c>
      <c r="O268" s="291">
        <v>1</v>
      </c>
    </row>
    <row r="269" spans="1:89" x14ac:dyDescent="0.25">
      <c r="A269" s="95"/>
      <c r="B269" s="16" t="s">
        <v>1185</v>
      </c>
      <c r="C269" s="95"/>
      <c r="D269" s="95" t="s">
        <v>1112</v>
      </c>
      <c r="E269" s="95"/>
      <c r="F269" s="291">
        <v>8</v>
      </c>
      <c r="G269" s="291">
        <f t="shared" si="102"/>
        <v>6</v>
      </c>
      <c r="H269" s="291">
        <f t="shared" si="102"/>
        <v>34</v>
      </c>
      <c r="I269" s="291">
        <f t="shared" si="102"/>
        <v>21</v>
      </c>
      <c r="J269" s="291">
        <f t="shared" si="102"/>
        <v>22</v>
      </c>
      <c r="K269" s="291">
        <f t="shared" si="102"/>
        <v>22</v>
      </c>
      <c r="L269" s="291">
        <f t="shared" si="102"/>
        <v>0</v>
      </c>
      <c r="M269" s="291">
        <v>2</v>
      </c>
      <c r="N269" s="291">
        <v>2</v>
      </c>
      <c r="O269" s="291">
        <v>2</v>
      </c>
    </row>
    <row r="270" spans="1:89" x14ac:dyDescent="0.25">
      <c r="A270" s="95"/>
      <c r="B270" s="16" t="s">
        <v>1184</v>
      </c>
      <c r="C270" s="95"/>
      <c r="D270" s="95"/>
      <c r="E270" s="95"/>
      <c r="F270" s="291"/>
      <c r="G270" s="291"/>
      <c r="H270" s="291"/>
      <c r="I270" s="291"/>
      <c r="J270" s="291"/>
      <c r="K270" s="291"/>
      <c r="L270" s="291"/>
      <c r="M270" s="291"/>
      <c r="N270" s="291">
        <v>0</v>
      </c>
      <c r="O270" s="291">
        <v>0</v>
      </c>
    </row>
    <row r="271" spans="1:89" ht="60" x14ac:dyDescent="0.25">
      <c r="A271" s="95"/>
      <c r="B271" s="16" t="s">
        <v>837</v>
      </c>
      <c r="C271" s="95" t="s">
        <v>2449</v>
      </c>
      <c r="D271" s="95"/>
      <c r="E271" s="95"/>
      <c r="F271" s="291"/>
      <c r="G271" s="291"/>
      <c r="H271" s="291"/>
      <c r="I271" s="291"/>
      <c r="J271" s="291">
        <v>20</v>
      </c>
      <c r="K271" s="291">
        <f>24+11</f>
        <v>35</v>
      </c>
      <c r="L271" s="291">
        <f>19+10</f>
        <v>29</v>
      </c>
      <c r="M271" s="291"/>
      <c r="N271" s="291">
        <v>2</v>
      </c>
      <c r="O271" s="291">
        <v>2</v>
      </c>
      <c r="Q271" s="283">
        <f>S271+V271+Y271+AB271+AE271+AH271+AK271+AN271+AQ271+AT271+AW271+AZ271+BC271+BF271+BI271+BL271+BO271+BR271+BU271+BX271+CA271+CD271+CG271+CJ264</f>
        <v>35</v>
      </c>
      <c r="R271" s="283">
        <f>T271+W271+Z271+AC271+AF271+AI271+AL271+AO271+AR271+AU271+AX271+BA271+BD271+BG271+BJ271+BM271+BP271+BS271+BV271+BY271+CB271+CE271+CH271+CK264</f>
        <v>29</v>
      </c>
      <c r="S271" s="267">
        <v>1</v>
      </c>
      <c r="T271" s="267">
        <v>0</v>
      </c>
      <c r="V271" s="267">
        <v>0</v>
      </c>
      <c r="W271" s="267">
        <v>0</v>
      </c>
      <c r="Y271" s="267">
        <v>0</v>
      </c>
      <c r="Z271" s="267">
        <v>0</v>
      </c>
      <c r="AB271" s="267">
        <v>0</v>
      </c>
      <c r="AC271" s="267">
        <v>0</v>
      </c>
      <c r="AE271" s="267">
        <v>0</v>
      </c>
      <c r="AF271" s="267">
        <v>0</v>
      </c>
      <c r="AH271" s="267">
        <v>0</v>
      </c>
      <c r="AI271" s="267">
        <v>0</v>
      </c>
      <c r="AK271" s="267">
        <v>0</v>
      </c>
      <c r="AL271" s="267">
        <v>0</v>
      </c>
      <c r="AN271" s="267">
        <f>3+4</f>
        <v>7</v>
      </c>
      <c r="AO271" s="267">
        <v>6</v>
      </c>
      <c r="AQ271" s="267">
        <v>0</v>
      </c>
      <c r="AR271" s="267">
        <v>0</v>
      </c>
      <c r="AT271" s="267">
        <v>3</v>
      </c>
      <c r="AU271" s="267">
        <v>5</v>
      </c>
      <c r="AW271" s="267">
        <v>0</v>
      </c>
      <c r="AX271" s="267">
        <v>0</v>
      </c>
      <c r="AZ271" s="267">
        <v>0</v>
      </c>
      <c r="BA271" s="267">
        <v>0</v>
      </c>
      <c r="BC271" s="267">
        <v>0</v>
      </c>
      <c r="BD271" s="267">
        <v>0</v>
      </c>
      <c r="BF271" s="267">
        <v>0</v>
      </c>
      <c r="BG271" s="267">
        <v>0</v>
      </c>
      <c r="BI271" s="267">
        <f>6+7</f>
        <v>13</v>
      </c>
      <c r="BJ271" s="267">
        <v>14</v>
      </c>
      <c r="BL271" s="267">
        <v>1</v>
      </c>
      <c r="BM271" s="267">
        <v>2</v>
      </c>
      <c r="BO271" s="267">
        <v>1</v>
      </c>
      <c r="BP271" s="267">
        <v>0</v>
      </c>
      <c r="BR271" s="267">
        <v>7</v>
      </c>
      <c r="BS271" s="267">
        <v>0</v>
      </c>
      <c r="BU271" s="267">
        <v>2</v>
      </c>
      <c r="BV271" s="267">
        <v>2</v>
      </c>
      <c r="BX271" s="267">
        <v>0</v>
      </c>
      <c r="BY271" s="267">
        <v>0</v>
      </c>
      <c r="CA271" s="267">
        <v>0</v>
      </c>
      <c r="CB271" s="267">
        <v>0</v>
      </c>
      <c r="CD271" s="267">
        <v>0</v>
      </c>
      <c r="CE271" s="267">
        <v>0</v>
      </c>
      <c r="CG271" s="267">
        <v>0</v>
      </c>
      <c r="CH271" s="267">
        <v>0</v>
      </c>
    </row>
    <row r="272" spans="1:89" ht="60" x14ac:dyDescent="0.25">
      <c r="A272" s="95"/>
      <c r="B272" s="16" t="s">
        <v>838</v>
      </c>
      <c r="C272" s="95" t="s">
        <v>2450</v>
      </c>
      <c r="D272" s="95"/>
      <c r="E272" s="95"/>
      <c r="F272" s="291"/>
      <c r="G272" s="291"/>
      <c r="H272" s="291"/>
      <c r="I272" s="291"/>
      <c r="J272" s="291">
        <v>18</v>
      </c>
      <c r="K272" s="291">
        <f>J271</f>
        <v>20</v>
      </c>
      <c r="L272" s="291">
        <f>K271</f>
        <v>35</v>
      </c>
      <c r="M272" s="291"/>
      <c r="N272" s="291">
        <v>3</v>
      </c>
      <c r="O272" s="291">
        <v>3</v>
      </c>
      <c r="Q272" s="283">
        <f>S272+V272+Y272+AB272+AE272+AH272+AK272+AN272+AQ272+AT272+AW272+AZ272+BC272+BF272+BI272+BL272+BO272+BR272+BU272+BX272+CA272+CD272+CG272+CJ265</f>
        <v>20</v>
      </c>
      <c r="R272" s="283">
        <f>T272+W272+Z272+AC272+AF272+AI272+AL272+AO272+AR272+AU272+AX272+BA272+BD272+BG272+BJ272+BM272+BP272+BS272+BV272+BY272+CB272+CE272+CH272+CK265</f>
        <v>35</v>
      </c>
      <c r="S272" s="283">
        <v>1</v>
      </c>
      <c r="T272" s="283">
        <f>S271</f>
        <v>1</v>
      </c>
      <c r="V272" s="283">
        <v>0</v>
      </c>
      <c r="W272" s="283">
        <f>V271</f>
        <v>0</v>
      </c>
      <c r="Y272" s="283">
        <v>0</v>
      </c>
      <c r="Z272" s="283">
        <f>Y271</f>
        <v>0</v>
      </c>
      <c r="AB272" s="283">
        <v>0</v>
      </c>
      <c r="AC272" s="283">
        <f>AB271</f>
        <v>0</v>
      </c>
      <c r="AE272" s="283">
        <v>0</v>
      </c>
      <c r="AF272" s="283">
        <f>AE271</f>
        <v>0</v>
      </c>
      <c r="AH272" s="283">
        <v>0</v>
      </c>
      <c r="AI272" s="283">
        <f>AH271</f>
        <v>0</v>
      </c>
      <c r="AK272" s="283">
        <v>0</v>
      </c>
      <c r="AL272" s="283">
        <f>AK271</f>
        <v>0</v>
      </c>
      <c r="AN272" s="283">
        <v>5</v>
      </c>
      <c r="AO272" s="283">
        <f>AN271</f>
        <v>7</v>
      </c>
      <c r="AQ272" s="283">
        <v>0</v>
      </c>
      <c r="AR272" s="283">
        <f>AQ271</f>
        <v>0</v>
      </c>
      <c r="AT272" s="283">
        <v>2</v>
      </c>
      <c r="AU272" s="283">
        <f>AT271</f>
        <v>3</v>
      </c>
      <c r="AW272" s="283">
        <v>0</v>
      </c>
      <c r="AX272" s="283">
        <f>AW271</f>
        <v>0</v>
      </c>
      <c r="AZ272" s="283">
        <v>0</v>
      </c>
      <c r="BA272" s="283">
        <f>AZ271</f>
        <v>0</v>
      </c>
      <c r="BC272" s="283">
        <v>0</v>
      </c>
      <c r="BD272" s="283">
        <f>BC271</f>
        <v>0</v>
      </c>
      <c r="BF272" s="283">
        <v>0</v>
      </c>
      <c r="BG272" s="283">
        <f>BF271</f>
        <v>0</v>
      </c>
      <c r="BI272" s="283">
        <v>6</v>
      </c>
      <c r="BJ272" s="283">
        <f>BI271</f>
        <v>13</v>
      </c>
      <c r="BL272" s="283">
        <v>1</v>
      </c>
      <c r="BM272" s="283">
        <f>BL271</f>
        <v>1</v>
      </c>
      <c r="BO272" s="283">
        <v>1</v>
      </c>
      <c r="BP272" s="283">
        <f>BO271</f>
        <v>1</v>
      </c>
      <c r="BR272" s="283">
        <v>2</v>
      </c>
      <c r="BS272" s="283">
        <f>BR271</f>
        <v>7</v>
      </c>
      <c r="BU272" s="283">
        <v>2</v>
      </c>
      <c r="BV272" s="283">
        <f>BU271</f>
        <v>2</v>
      </c>
      <c r="BX272" s="283">
        <v>0</v>
      </c>
      <c r="BY272" s="283">
        <f>BX271</f>
        <v>0</v>
      </c>
      <c r="CA272" s="283">
        <v>0</v>
      </c>
      <c r="CB272" s="283">
        <f>CA271</f>
        <v>0</v>
      </c>
      <c r="CD272" s="283">
        <v>0</v>
      </c>
      <c r="CE272" s="283">
        <f>CD271</f>
        <v>0</v>
      </c>
      <c r="CG272" s="283">
        <v>0</v>
      </c>
      <c r="CH272" s="283">
        <f>CG271</f>
        <v>0</v>
      </c>
    </row>
    <row r="273" spans="1:87" ht="45" x14ac:dyDescent="0.25">
      <c r="A273" s="95" t="s">
        <v>707</v>
      </c>
      <c r="B273" s="16" t="s">
        <v>3006</v>
      </c>
      <c r="C273" s="95"/>
      <c r="D273" s="95"/>
      <c r="E273" s="95"/>
      <c r="F273" s="291"/>
      <c r="G273" s="291"/>
      <c r="H273" s="291"/>
      <c r="I273" s="291"/>
      <c r="J273" s="291"/>
      <c r="K273" s="291"/>
      <c r="L273" s="291"/>
      <c r="M273" s="291">
        <v>100</v>
      </c>
      <c r="N273" s="291">
        <v>66.7</v>
      </c>
      <c r="O273" s="291">
        <v>66.7</v>
      </c>
      <c r="Q273" s="283"/>
      <c r="R273" s="283"/>
      <c r="S273" s="283"/>
      <c r="T273" s="283"/>
      <c r="V273" s="283"/>
      <c r="W273" s="283"/>
      <c r="Y273" s="283"/>
      <c r="Z273" s="283"/>
      <c r="AB273" s="283"/>
      <c r="AC273" s="283"/>
      <c r="AE273" s="283"/>
      <c r="AF273" s="283"/>
      <c r="AH273" s="283"/>
      <c r="AI273" s="283"/>
      <c r="AK273" s="283"/>
      <c r="AL273" s="283"/>
      <c r="AN273" s="283"/>
      <c r="AO273" s="283"/>
      <c r="AQ273" s="283"/>
      <c r="AR273" s="283"/>
      <c r="AT273" s="283"/>
      <c r="AU273" s="283"/>
      <c r="AW273" s="283"/>
      <c r="AX273" s="283"/>
      <c r="AZ273" s="283"/>
      <c r="BA273" s="283"/>
      <c r="BC273" s="283"/>
      <c r="BD273" s="283"/>
      <c r="BF273" s="283"/>
      <c r="BG273" s="283"/>
      <c r="BI273" s="283"/>
      <c r="BJ273" s="283"/>
      <c r="BL273" s="283"/>
      <c r="BM273" s="283"/>
      <c r="BO273" s="283"/>
      <c r="BP273" s="283"/>
      <c r="BR273" s="283"/>
      <c r="BS273" s="283"/>
      <c r="BU273" s="283"/>
      <c r="BV273" s="283"/>
      <c r="BX273" s="283"/>
      <c r="BY273" s="283"/>
      <c r="CA273" s="283"/>
      <c r="CB273" s="283"/>
      <c r="CD273" s="283"/>
      <c r="CE273" s="283"/>
      <c r="CG273" s="283"/>
      <c r="CH273" s="283"/>
    </row>
    <row r="274" spans="1:87" ht="45" x14ac:dyDescent="0.25">
      <c r="A274" s="105" t="s">
        <v>715</v>
      </c>
      <c r="B274" s="106" t="s">
        <v>1890</v>
      </c>
      <c r="C274" s="107"/>
      <c r="D274" s="107"/>
      <c r="E274" s="107"/>
      <c r="F274" s="107"/>
      <c r="G274" s="107"/>
      <c r="H274" s="107"/>
      <c r="I274" s="107"/>
      <c r="J274" s="107"/>
      <c r="K274" s="107"/>
      <c r="L274" s="107"/>
      <c r="M274" s="107"/>
      <c r="N274" s="107"/>
      <c r="O274" s="107"/>
    </row>
    <row r="275" spans="1:87" ht="45" x14ac:dyDescent="0.25">
      <c r="A275" s="95" t="s">
        <v>717</v>
      </c>
      <c r="B275" s="16" t="s">
        <v>841</v>
      </c>
      <c r="C275" s="95"/>
      <c r="D275" s="95" t="s">
        <v>1114</v>
      </c>
      <c r="E275" s="95"/>
      <c r="F275" s="293">
        <f>F279/F280</f>
        <v>24.346438969490862</v>
      </c>
      <c r="G275" s="293">
        <f>G279/G280</f>
        <v>26.907468479667166</v>
      </c>
      <c r="H275" s="293">
        <f>H279/H280</f>
        <v>27.167200680868106</v>
      </c>
      <c r="I275" s="293">
        <f>I279/I280</f>
        <v>28.502641376534513</v>
      </c>
      <c r="J275" s="293">
        <f t="shared" ref="J275:O275" si="103">J279/J280</f>
        <v>52.381223328591751</v>
      </c>
      <c r="K275" s="293">
        <f t="shared" si="103"/>
        <v>53.727730741961047</v>
      </c>
      <c r="L275" s="293">
        <f t="shared" si="103"/>
        <v>48.866690926734591</v>
      </c>
      <c r="M275" s="293">
        <f t="shared" si="103"/>
        <v>10.840356705717783</v>
      </c>
      <c r="N275" s="293">
        <f t="shared" si="103"/>
        <v>14.942373712604217</v>
      </c>
      <c r="O275" s="293">
        <f t="shared" si="103"/>
        <v>14.533264248704663</v>
      </c>
      <c r="P275" s="281" t="s">
        <v>46</v>
      </c>
    </row>
    <row r="276" spans="1:87" x14ac:dyDescent="0.25">
      <c r="A276" s="95"/>
      <c r="B276" s="16" t="s">
        <v>1182</v>
      </c>
      <c r="C276" s="95"/>
      <c r="D276" s="95"/>
      <c r="E276" s="95"/>
      <c r="F276" s="293"/>
      <c r="G276" s="293"/>
      <c r="H276" s="293"/>
      <c r="I276" s="293"/>
      <c r="J276" s="293">
        <f t="shared" ref="J276:O276" si="104">J279/J280</f>
        <v>52.381223328591751</v>
      </c>
      <c r="K276" s="293">
        <f t="shared" si="104"/>
        <v>53.727730741961047</v>
      </c>
      <c r="L276" s="293">
        <f t="shared" si="104"/>
        <v>48.866690926734591</v>
      </c>
      <c r="M276" s="293">
        <f t="shared" si="104"/>
        <v>10.840356705717783</v>
      </c>
      <c r="N276" s="293">
        <f t="shared" si="104"/>
        <v>14.942373712604217</v>
      </c>
      <c r="O276" s="293">
        <f t="shared" si="104"/>
        <v>14.533264248704663</v>
      </c>
      <c r="P276" s="281"/>
      <c r="Q276" s="293">
        <f>Q279/Q280</f>
        <v>48.866690926734591</v>
      </c>
      <c r="R276" s="293">
        <f>R279/R280</f>
        <v>47.934756892576829</v>
      </c>
      <c r="S276" s="293">
        <f>S279/S280</f>
        <v>37.402660874287264</v>
      </c>
      <c r="T276" s="293">
        <f>T279/T280</f>
        <v>37.067264573991032</v>
      </c>
      <c r="V276" s="293">
        <f>V279/V280</f>
        <v>82.540176497909897</v>
      </c>
      <c r="W276" s="293">
        <f>W279/W280</f>
        <v>71.94953271028038</v>
      </c>
      <c r="Y276" s="293">
        <f>Y279/Y280</f>
        <v>65.816263510036023</v>
      </c>
      <c r="Z276" s="293">
        <f>Z279/Z280</f>
        <v>80.547713156408804</v>
      </c>
      <c r="AB276" s="293">
        <f>AB279/AB280</f>
        <v>53.821076233183859</v>
      </c>
      <c r="AC276" s="293">
        <f>AC279/AC280</f>
        <v>43.187660010240656</v>
      </c>
      <c r="AE276" s="293">
        <f>AE279/AE280</f>
        <v>30.570270708380612</v>
      </c>
      <c r="AF276" s="293">
        <f>AF279/AF280</f>
        <v>33.699214365881033</v>
      </c>
      <c r="AH276" s="293">
        <f>AH279/AH280</f>
        <v>63.900860456416012</v>
      </c>
      <c r="AI276" s="293">
        <f>AI279/AI280</f>
        <v>23.79716333689187</v>
      </c>
      <c r="AK276" s="293">
        <f>AK279/AK280</f>
        <v>51.122824716267338</v>
      </c>
      <c r="AL276" s="293">
        <f>AL279/AL280</f>
        <v>46.399858457183299</v>
      </c>
      <c r="AN276" s="293">
        <f>AN279/AN280</f>
        <v>19.672375058284938</v>
      </c>
      <c r="AO276" s="293">
        <f>AO279/AO280</f>
        <v>21.680544657281331</v>
      </c>
      <c r="AQ276" s="293">
        <f>AQ279/AQ280</f>
        <v>66.954836740921579</v>
      </c>
      <c r="AR276" s="293">
        <f>AR279/AR280</f>
        <v>43.963503649635037</v>
      </c>
      <c r="AT276" s="293">
        <f>AT279/AT280</f>
        <v>65.111268603827071</v>
      </c>
      <c r="AU276" s="293">
        <f>AU279/AU280</f>
        <v>63.526046265230441</v>
      </c>
      <c r="AW276" s="293">
        <f>AW279/AW280</f>
        <v>49.109900990099007</v>
      </c>
      <c r="AX276" s="293">
        <f>AX279/AX280</f>
        <v>45.666773985833871</v>
      </c>
      <c r="AZ276" s="293">
        <f>AZ279/AZ280</f>
        <v>51.279176658673059</v>
      </c>
      <c r="BA276" s="293">
        <f>BA279/BA280</f>
        <v>128.48283418553689</v>
      </c>
      <c r="BC276" s="293">
        <f>BC279/BC280</f>
        <v>47.43037410926366</v>
      </c>
      <c r="BD276" s="293">
        <f>BD279/BD280</f>
        <v>56.252821670428894</v>
      </c>
      <c r="BF276" s="293">
        <f>BF279/BF280</f>
        <v>52.014292686327828</v>
      </c>
      <c r="BG276" s="293">
        <f>BG279/BG280</f>
        <v>52.905978823342089</v>
      </c>
      <c r="BI276" s="293">
        <f>BI279/BI280</f>
        <v>66.511640582418437</v>
      </c>
      <c r="BJ276" s="293">
        <f>BJ279/BJ280</f>
        <v>69.648349874929394</v>
      </c>
      <c r="BL276" s="293">
        <f>BL279/BL280</f>
        <v>53.149516270888306</v>
      </c>
      <c r="BM276" s="293">
        <f>BM279/BM280</f>
        <v>42.834551495016612</v>
      </c>
      <c r="BO276" s="293">
        <f>BO279/BO280</f>
        <v>138.05507591545103</v>
      </c>
      <c r="BP276" s="293">
        <f>BP279/BP280</f>
        <v>77.212136929460584</v>
      </c>
      <c r="BR276" s="293">
        <f>BR279/BR280</f>
        <v>55.572501878286999</v>
      </c>
      <c r="BS276" s="293">
        <f>BS279/BS280</f>
        <v>66.111970306217131</v>
      </c>
      <c r="BU276" s="293">
        <f>BU279/BU280</f>
        <v>52.405995717344751</v>
      </c>
      <c r="BV276" s="293">
        <f>BV279/BV280</f>
        <v>60.563169164882225</v>
      </c>
      <c r="BX276" s="293">
        <f>BX279/BX280</f>
        <v>73.565432098765427</v>
      </c>
      <c r="BY276" s="293">
        <f>BY279/BY280</f>
        <v>61.409048938134809</v>
      </c>
      <c r="CA276" s="293">
        <f>CA279/CA280</f>
        <v>31.627090759528379</v>
      </c>
      <c r="CB276" s="293">
        <f>CB279/CB280</f>
        <v>31.78220939385988</v>
      </c>
      <c r="CD276" s="293">
        <f>CD279/CD280</f>
        <v>34.939123376623378</v>
      </c>
      <c r="CE276" s="293">
        <f>CE279/CE280</f>
        <v>43.059618717504335</v>
      </c>
      <c r="CG276" s="293">
        <f>CG279/CG280</f>
        <v>0</v>
      </c>
      <c r="CH276" s="293">
        <f>CH279/CH280</f>
        <v>81.359197677487458</v>
      </c>
    </row>
    <row r="277" spans="1:87" x14ac:dyDescent="0.25">
      <c r="A277" s="95"/>
      <c r="B277" s="16" t="s">
        <v>1184</v>
      </c>
      <c r="C277" s="95"/>
      <c r="D277" s="95"/>
      <c r="E277" s="95"/>
      <c r="F277" s="293"/>
      <c r="G277" s="293"/>
      <c r="H277" s="293"/>
      <c r="I277" s="293"/>
      <c r="J277" s="293">
        <f t="shared" ref="J277:O277" si="105">J281/J282</f>
        <v>47.220137734504867</v>
      </c>
      <c r="K277" s="293">
        <f t="shared" si="105"/>
        <v>47.005780346820806</v>
      </c>
      <c r="L277" s="293">
        <f t="shared" si="105"/>
        <v>17.864670954972787</v>
      </c>
      <c r="M277" s="293" t="e">
        <f t="shared" si="105"/>
        <v>#DIV/0!</v>
      </c>
      <c r="N277" s="293" t="e">
        <f t="shared" si="105"/>
        <v>#DIV/0!</v>
      </c>
      <c r="O277" s="293" t="e">
        <f t="shared" si="105"/>
        <v>#DIV/0!</v>
      </c>
      <c r="P277" s="281"/>
      <c r="Q277" s="293">
        <f>Q281/Q282</f>
        <v>17.864670954972787</v>
      </c>
      <c r="R277" s="293">
        <f>R281/R282</f>
        <v>13.234115523465704</v>
      </c>
      <c r="S277" s="293" t="e">
        <f>S281/S282</f>
        <v>#DIV/0!</v>
      </c>
      <c r="T277" s="293" t="e">
        <f>T281/T282</f>
        <v>#DIV/0!</v>
      </c>
      <c r="V277" s="293" t="e">
        <f>V281/V282</f>
        <v>#DIV/0!</v>
      </c>
      <c r="W277" s="293" t="e">
        <f>W281/W282</f>
        <v>#DIV/0!</v>
      </c>
      <c r="Y277" s="293" t="e">
        <f>Y281/Y282</f>
        <v>#DIV/0!</v>
      </c>
      <c r="Z277" s="293" t="e">
        <f>Z281/Z282</f>
        <v>#DIV/0!</v>
      </c>
      <c r="AB277" s="293" t="e">
        <f>AB281/AB282</f>
        <v>#DIV/0!</v>
      </c>
      <c r="AC277" s="293" t="e">
        <f>AC281/AC282</f>
        <v>#DIV/0!</v>
      </c>
      <c r="AE277" s="293" t="e">
        <f>AE281/AE282</f>
        <v>#DIV/0!</v>
      </c>
      <c r="AF277" s="293" t="e">
        <f>AF281/AF282</f>
        <v>#DIV/0!</v>
      </c>
      <c r="AH277" s="293" t="e">
        <f>AH281/AH282</f>
        <v>#DIV/0!</v>
      </c>
      <c r="AI277" s="293" t="e">
        <f>AI281/AI282</f>
        <v>#DIV/0!</v>
      </c>
      <c r="AK277" s="293" t="e">
        <f>AK281/AK282</f>
        <v>#DIV/0!</v>
      </c>
      <c r="AL277" s="293" t="e">
        <f>AL281/AL282</f>
        <v>#DIV/0!</v>
      </c>
      <c r="AN277" s="293">
        <f>AN281/AN282</f>
        <v>21.049612403100774</v>
      </c>
      <c r="AO277" s="293">
        <f>AO281/AO282</f>
        <v>21.570232558139534</v>
      </c>
      <c r="AQ277" s="293" t="e">
        <f>AQ281/AQ282</f>
        <v>#DIV/0!</v>
      </c>
      <c r="AR277" s="293" t="e">
        <f>AR281/AR282</f>
        <v>#DIV/0!</v>
      </c>
      <c r="AT277" s="293">
        <f>AT281/AT282</f>
        <v>66.067258883248726</v>
      </c>
      <c r="AU277" s="293">
        <f>AU281/AU282</f>
        <v>26.576527110501029</v>
      </c>
      <c r="AW277" s="293" t="e">
        <f>AW281/AW282</f>
        <v>#DIV/0!</v>
      </c>
      <c r="AX277" s="293" t="e">
        <f>AX281/AX282</f>
        <v>#DIV/0!</v>
      </c>
      <c r="AZ277" s="293" t="e">
        <f>AZ281/AZ282</f>
        <v>#DIV/0!</v>
      </c>
      <c r="BA277" s="293" t="e">
        <f>BA281/BA282</f>
        <v>#DIV/0!</v>
      </c>
      <c r="BC277" s="293" t="e">
        <f>BC281/BC282</f>
        <v>#DIV/0!</v>
      </c>
      <c r="BD277" s="293" t="e">
        <f>BD281/BD282</f>
        <v>#DIV/0!</v>
      </c>
      <c r="BF277" s="293" t="e">
        <f>BF281/BF282</f>
        <v>#DIV/0!</v>
      </c>
      <c r="BG277" s="293" t="e">
        <f>BG281/BG282</f>
        <v>#DIV/0!</v>
      </c>
      <c r="BI277" s="293">
        <f>BI281/BI282</f>
        <v>0.1836472602739726</v>
      </c>
      <c r="BJ277" s="293">
        <f>BJ281/BJ282</f>
        <v>3.6349319971367215</v>
      </c>
      <c r="BL277" s="293">
        <f>BL281/BL282</f>
        <v>4.6116504854368934</v>
      </c>
      <c r="BM277" s="293">
        <f>BM281/BM282</f>
        <v>4.47</v>
      </c>
      <c r="BO277" s="293" t="e">
        <f>BO281/BO282</f>
        <v>#DIV/0!</v>
      </c>
      <c r="BP277" s="293" t="e">
        <f>BP281/BP282</f>
        <v>#DIV/0!</v>
      </c>
      <c r="BR277" s="293" t="e">
        <f>BR281/BR282</f>
        <v>#DIV/0!</v>
      </c>
      <c r="BS277" s="293" t="e">
        <f>BS281/BS282</f>
        <v>#DIV/0!</v>
      </c>
      <c r="BU277" s="293">
        <f>BU281/BU282</f>
        <v>33.335294117647059</v>
      </c>
      <c r="BV277" s="293">
        <f>BV281/BV282</f>
        <v>7.0526315789473681</v>
      </c>
      <c r="BX277" s="293" t="e">
        <f>BX281/BX282</f>
        <v>#DIV/0!</v>
      </c>
      <c r="BY277" s="293" t="e">
        <f>BY281/BY282</f>
        <v>#DIV/0!</v>
      </c>
      <c r="CA277" s="293" t="e">
        <f>CA281/CA282</f>
        <v>#DIV/0!</v>
      </c>
      <c r="CB277" s="293" t="e">
        <f>CB281/CB282</f>
        <v>#DIV/0!</v>
      </c>
      <c r="CD277" s="293" t="e">
        <f>CD281/CD282</f>
        <v>#DIV/0!</v>
      </c>
      <c r="CE277" s="293" t="e">
        <f>CE281/CE282</f>
        <v>#DIV/0!</v>
      </c>
      <c r="CG277" s="293" t="e">
        <f>CG281/CG282</f>
        <v>#DIV/0!</v>
      </c>
      <c r="CH277" s="293" t="e">
        <f>CH281/CH282</f>
        <v>#DIV/0!</v>
      </c>
    </row>
    <row r="278" spans="1:87" x14ac:dyDescent="0.25">
      <c r="A278" s="107"/>
      <c r="B278" s="16" t="s">
        <v>1182</v>
      </c>
      <c r="C278" s="95"/>
      <c r="D278" s="95"/>
      <c r="E278" s="95"/>
      <c r="F278" s="282"/>
      <c r="G278" s="282"/>
      <c r="H278" s="282"/>
      <c r="I278" s="282"/>
      <c r="J278" s="282"/>
      <c r="K278" s="282"/>
      <c r="L278" s="282"/>
      <c r="M278" s="282"/>
      <c r="N278" s="282"/>
      <c r="O278" s="282"/>
      <c r="P278" s="281"/>
    </row>
    <row r="279" spans="1:87" ht="45" x14ac:dyDescent="0.25">
      <c r="A279" s="107"/>
      <c r="B279" s="16" t="s">
        <v>843</v>
      </c>
      <c r="C279" s="95" t="s">
        <v>1165</v>
      </c>
      <c r="D279" s="95" t="s">
        <v>1114</v>
      </c>
      <c r="E279" s="95"/>
      <c r="F279" s="282">
        <v>1990224</v>
      </c>
      <c r="G279" s="282">
        <v>2121331</v>
      </c>
      <c r="H279" s="282">
        <v>2170605</v>
      </c>
      <c r="I279" s="282">
        <v>2266074</v>
      </c>
      <c r="J279" s="282">
        <f>2421804+4059220</f>
        <v>6481024</v>
      </c>
      <c r="K279" s="282">
        <f>2608496+3832653</f>
        <v>6441149</v>
      </c>
      <c r="L279" s="282">
        <f>2578955+3463900</f>
        <v>6042855</v>
      </c>
      <c r="M279" s="282">
        <v>61996</v>
      </c>
      <c r="N279" s="282">
        <v>60935</v>
      </c>
      <c r="O279" s="282">
        <v>70123</v>
      </c>
      <c r="P279" s="286"/>
      <c r="Q279" s="286">
        <f>S279+V279+Y279+AB279+AE279+AH279+AK279+AN279+AQ279+AT279+AW279+AZ279+BC279+BF279+BI279+BL279+BO279+BR279+BU279+BX279+CA279+CD279+CG279+CJ271</f>
        <v>6042855</v>
      </c>
      <c r="R279" s="286">
        <f>T279+W279+Z279+AC279+AF279+AI279+AL279+AO279+AR279+AU279+AX279+BA279+BD279+BG279+BJ279+BM279+BP279+BS279+BV279+BY279+CB279+CE279+CH279+CK271</f>
        <v>5551468</v>
      </c>
      <c r="S279" s="286">
        <v>137754</v>
      </c>
      <c r="T279" s="286">
        <v>115724</v>
      </c>
      <c r="U279" s="286"/>
      <c r="V279" s="286">
        <v>177709</v>
      </c>
      <c r="W279" s="286">
        <v>192465</v>
      </c>
      <c r="X279" s="286"/>
      <c r="Y279" s="286">
        <v>255762</v>
      </c>
      <c r="Z279" s="286">
        <v>142650</v>
      </c>
      <c r="AA279" s="286"/>
      <c r="AB279" s="286">
        <v>240042</v>
      </c>
      <c r="AC279" s="286">
        <v>168691</v>
      </c>
      <c r="AD279" s="286"/>
      <c r="AE279" s="286">
        <v>188588</v>
      </c>
      <c r="AF279" s="286">
        <v>210182</v>
      </c>
      <c r="AG279" s="286"/>
      <c r="AH279" s="286">
        <v>170807</v>
      </c>
      <c r="AI279" s="286">
        <v>156038</v>
      </c>
      <c r="AJ279" s="286"/>
      <c r="AK279" s="286">
        <v>202702</v>
      </c>
      <c r="AL279" s="286">
        <v>196689</v>
      </c>
      <c r="AM279" s="286"/>
      <c r="AN279" s="286">
        <v>464091</v>
      </c>
      <c r="AO279" s="286">
        <v>469709</v>
      </c>
      <c r="AP279" s="286"/>
      <c r="AQ279" s="286">
        <v>219411</v>
      </c>
      <c r="AR279" s="286">
        <v>120460</v>
      </c>
      <c r="AS279" s="286"/>
      <c r="AT279" s="286">
        <v>367488</v>
      </c>
      <c r="AU279" s="286">
        <v>359748</v>
      </c>
      <c r="AV279" s="286"/>
      <c r="AW279" s="286">
        <v>148803</v>
      </c>
      <c r="AX279" s="286">
        <v>141841</v>
      </c>
      <c r="AY279" s="286"/>
      <c r="AZ279" s="286">
        <v>256601</v>
      </c>
      <c r="BA279" s="286">
        <v>175893</v>
      </c>
      <c r="BB279" s="286"/>
      <c r="BC279" s="286">
        <v>319491</v>
      </c>
      <c r="BD279" s="286">
        <v>348880</v>
      </c>
      <c r="BE279" s="286"/>
      <c r="BF279" s="286">
        <v>746041</v>
      </c>
      <c r="BG279" s="286">
        <v>664552</v>
      </c>
      <c r="BH279" s="286"/>
      <c r="BI279" s="286">
        <v>854209</v>
      </c>
      <c r="BJ279" s="286">
        <v>863152</v>
      </c>
      <c r="BK279" s="286"/>
      <c r="BL279" s="286">
        <v>181293</v>
      </c>
      <c r="BM279" s="286">
        <v>128932</v>
      </c>
      <c r="BN279" s="286"/>
      <c r="BO279" s="286">
        <v>463727</v>
      </c>
      <c r="BP279" s="286">
        <v>148865</v>
      </c>
      <c r="BQ279" s="286"/>
      <c r="BR279" s="286">
        <v>221901</v>
      </c>
      <c r="BS279" s="286">
        <v>213740</v>
      </c>
      <c r="BT279" s="286"/>
      <c r="BU279" s="286">
        <v>122368</v>
      </c>
      <c r="BV279" s="286">
        <v>113132</v>
      </c>
      <c r="BW279" s="286"/>
      <c r="BX279" s="286">
        <v>59588</v>
      </c>
      <c r="BY279" s="286">
        <v>66506</v>
      </c>
      <c r="BZ279" s="286"/>
      <c r="CA279" s="286">
        <v>115344</v>
      </c>
      <c r="CB279" s="286">
        <v>121122</v>
      </c>
      <c r="CC279" s="286"/>
      <c r="CD279" s="286">
        <v>129135</v>
      </c>
      <c r="CE279" s="286">
        <v>124227</v>
      </c>
      <c r="CF279" s="286"/>
      <c r="CG279" s="286">
        <v>0</v>
      </c>
      <c r="CH279" s="286">
        <v>308270</v>
      </c>
    </row>
    <row r="280" spans="1:87" ht="45" x14ac:dyDescent="0.25">
      <c r="A280" s="107"/>
      <c r="B280" s="16" t="s">
        <v>827</v>
      </c>
      <c r="C280" s="95" t="s">
        <v>1408</v>
      </c>
      <c r="D280" s="95" t="s">
        <v>950</v>
      </c>
      <c r="E280" s="95"/>
      <c r="F280" s="282">
        <v>81746</v>
      </c>
      <c r="G280" s="282">
        <v>78838</v>
      </c>
      <c r="H280" s="282">
        <v>79898</v>
      </c>
      <c r="I280" s="282">
        <f>I114+I115</f>
        <v>79504</v>
      </c>
      <c r="J280" s="282">
        <f>74713+49015</f>
        <v>123728</v>
      </c>
      <c r="K280" s="282">
        <f>K198</f>
        <v>119885</v>
      </c>
      <c r="L280" s="282">
        <f>L198+L199</f>
        <v>123660</v>
      </c>
      <c r="M280" s="282">
        <f>M198+M199</f>
        <v>5719</v>
      </c>
      <c r="N280" s="282">
        <v>4078</v>
      </c>
      <c r="O280" s="282">
        <v>4825</v>
      </c>
      <c r="Q280" s="282">
        <f>Q198+Q199</f>
        <v>123660</v>
      </c>
      <c r="R280" s="282">
        <f>R198+R199</f>
        <v>115813</v>
      </c>
      <c r="S280" s="282">
        <f>S198+S199</f>
        <v>3683</v>
      </c>
      <c r="T280" s="282">
        <f>T198+T199</f>
        <v>3122</v>
      </c>
      <c r="U280" s="286"/>
      <c r="V280" s="282">
        <f>V198+V199</f>
        <v>2153</v>
      </c>
      <c r="W280" s="282">
        <f>W198+W199</f>
        <v>2675</v>
      </c>
      <c r="X280" s="286"/>
      <c r="Y280" s="282">
        <f>Y198+Y199</f>
        <v>3886</v>
      </c>
      <c r="Z280" s="282">
        <f>Z198+Z199</f>
        <v>1771</v>
      </c>
      <c r="AA280" s="286"/>
      <c r="AB280" s="282">
        <f>AB198+AB199</f>
        <v>4460</v>
      </c>
      <c r="AC280" s="282">
        <f>AC198+AC199</f>
        <v>3906</v>
      </c>
      <c r="AD280" s="286"/>
      <c r="AE280" s="282">
        <f>AE198+AE199</f>
        <v>6169</v>
      </c>
      <c r="AF280" s="282">
        <f>AF198+AF199</f>
        <v>6237</v>
      </c>
      <c r="AG280" s="286"/>
      <c r="AH280" s="282">
        <f>AH198+AH199</f>
        <v>2673</v>
      </c>
      <c r="AI280" s="282">
        <f>AI198+AI199</f>
        <v>6557</v>
      </c>
      <c r="AJ280" s="286"/>
      <c r="AK280" s="282">
        <f>AK198+AK199</f>
        <v>3965</v>
      </c>
      <c r="AL280" s="282">
        <f>AL198+AL199</f>
        <v>4239</v>
      </c>
      <c r="AM280" s="286"/>
      <c r="AN280" s="282">
        <f>AN198+AN199</f>
        <v>23591</v>
      </c>
      <c r="AO280" s="282">
        <f>AO198+AO199</f>
        <v>21665</v>
      </c>
      <c r="AP280" s="286"/>
      <c r="AQ280" s="282">
        <f>AQ198+AQ199</f>
        <v>3277</v>
      </c>
      <c r="AR280" s="282">
        <f>AR198+AR199</f>
        <v>2740</v>
      </c>
      <c r="AS280" s="286"/>
      <c r="AT280" s="282">
        <f>AT198+AT199</f>
        <v>5644</v>
      </c>
      <c r="AU280" s="282">
        <f>AU198+AU199</f>
        <v>5663</v>
      </c>
      <c r="AV280" s="286"/>
      <c r="AW280" s="282">
        <f>AW198+AW199</f>
        <v>3030</v>
      </c>
      <c r="AX280" s="282">
        <f>AX198+AX199</f>
        <v>3106</v>
      </c>
      <c r="AY280" s="286"/>
      <c r="AZ280" s="282">
        <f>AZ198+AZ199</f>
        <v>5004</v>
      </c>
      <c r="BA280" s="282">
        <f>BA198+BA199</f>
        <v>1369</v>
      </c>
      <c r="BB280" s="286"/>
      <c r="BC280" s="282">
        <f>BC198+BC199</f>
        <v>6736</v>
      </c>
      <c r="BD280" s="282">
        <f>BD198+BD199</f>
        <v>6202</v>
      </c>
      <c r="BE280" s="286"/>
      <c r="BF280" s="282">
        <f>BF198+BF199</f>
        <v>14343</v>
      </c>
      <c r="BG280" s="282">
        <f>BG198+BG199</f>
        <v>12561</v>
      </c>
      <c r="BH280" s="286"/>
      <c r="BI280" s="282">
        <f>BI198+BI199</f>
        <v>12843</v>
      </c>
      <c r="BJ280" s="282">
        <f>BJ198+BJ199</f>
        <v>12393</v>
      </c>
      <c r="BK280" s="286"/>
      <c r="BL280" s="282">
        <f>BL198+BL199</f>
        <v>3411</v>
      </c>
      <c r="BM280" s="282">
        <f>BM198+BM199</f>
        <v>3010</v>
      </c>
      <c r="BN280" s="286"/>
      <c r="BO280" s="282">
        <f>BO198+BO199</f>
        <v>3359</v>
      </c>
      <c r="BP280" s="282">
        <f>BP198+BP199</f>
        <v>1928</v>
      </c>
      <c r="BQ280" s="286"/>
      <c r="BR280" s="282">
        <f>BR198+BR199</f>
        <v>3993</v>
      </c>
      <c r="BS280" s="282">
        <f>BS198+BS199</f>
        <v>3233</v>
      </c>
      <c r="BT280" s="286"/>
      <c r="BU280" s="282">
        <f>BU198+BU199</f>
        <v>2335</v>
      </c>
      <c r="BV280" s="282">
        <f>BV198+BV199</f>
        <v>1868</v>
      </c>
      <c r="BW280" s="286"/>
      <c r="BX280" s="282">
        <f>BX198+BX199</f>
        <v>810</v>
      </c>
      <c r="BY280" s="282">
        <f>BY198+BY199</f>
        <v>1083</v>
      </c>
      <c r="BZ280" s="286"/>
      <c r="CA280" s="282">
        <f>CA198+CA199</f>
        <v>3647</v>
      </c>
      <c r="CB280" s="282">
        <f>CB198+CB199</f>
        <v>3811</v>
      </c>
      <c r="CC280" s="286"/>
      <c r="CD280" s="282">
        <f>CD198+CD199</f>
        <v>3696</v>
      </c>
      <c r="CE280" s="282">
        <f>CE198+CE199</f>
        <v>2885</v>
      </c>
      <c r="CF280" s="286"/>
      <c r="CG280" s="282">
        <f>CG198+CG199</f>
        <v>952</v>
      </c>
      <c r="CH280" s="282">
        <f>CH198+CH199</f>
        <v>3789</v>
      </c>
      <c r="CI280" s="286"/>
    </row>
    <row r="281" spans="1:87" ht="45" x14ac:dyDescent="0.25">
      <c r="A281" s="107"/>
      <c r="B281" s="16" t="s">
        <v>1184</v>
      </c>
      <c r="C281" s="95" t="s">
        <v>1165</v>
      </c>
      <c r="D281" s="95" t="s">
        <v>1114</v>
      </c>
      <c r="E281" s="95"/>
      <c r="F281" s="282"/>
      <c r="G281" s="282"/>
      <c r="H281" s="282"/>
      <c r="I281" s="282"/>
      <c r="J281" s="282">
        <v>198844</v>
      </c>
      <c r="K281" s="282">
        <v>235828</v>
      </c>
      <c r="L281" s="282">
        <v>72209</v>
      </c>
      <c r="M281" s="282">
        <v>0</v>
      </c>
      <c r="N281" s="293">
        <v>0</v>
      </c>
      <c r="O281" s="293">
        <v>0</v>
      </c>
      <c r="P281" s="286"/>
      <c r="Q281" s="286">
        <f>S281+V281+Y281+AB281+AE281+AH281+AK281+AN281+AQ281+AT281+AW281+AZ281+BC281+BF281+BI281+BL281+BO281+BR281+BU281+BX281+CA281+CD281+CG281+CJ274</f>
        <v>72209</v>
      </c>
      <c r="R281" s="286">
        <f>T281+W281+Z281+AC281+AF281+AI281+AL281+AO281+AR281+AU281+AX281+BA281+BD281+BG281+BJ281+BM281+BP281+BS281+BV281+BY281+CB281+CE281+CH281+CK274</f>
        <v>73317</v>
      </c>
      <c r="S281" s="286">
        <v>0</v>
      </c>
      <c r="T281" s="286">
        <v>0</v>
      </c>
      <c r="U281" s="286"/>
      <c r="V281" s="286">
        <v>0</v>
      </c>
      <c r="W281" s="286">
        <v>0</v>
      </c>
      <c r="X281" s="286"/>
      <c r="Y281" s="286">
        <v>0</v>
      </c>
      <c r="Z281" s="286">
        <v>0</v>
      </c>
      <c r="AA281" s="286"/>
      <c r="AB281" s="286">
        <v>0</v>
      </c>
      <c r="AC281" s="286">
        <v>0</v>
      </c>
      <c r="AD281" s="286"/>
      <c r="AE281" s="286">
        <v>0</v>
      </c>
      <c r="AF281" s="286">
        <v>0</v>
      </c>
      <c r="AG281" s="286"/>
      <c r="AH281" s="286">
        <v>0</v>
      </c>
      <c r="AI281" s="286">
        <v>0</v>
      </c>
      <c r="AJ281" s="286"/>
      <c r="AK281" s="286">
        <v>0</v>
      </c>
      <c r="AL281" s="286">
        <v>0</v>
      </c>
      <c r="AM281" s="286"/>
      <c r="AN281" s="286">
        <v>13577</v>
      </c>
      <c r="AO281" s="286">
        <v>23188</v>
      </c>
      <c r="AP281" s="286"/>
      <c r="AQ281" s="286">
        <v>0</v>
      </c>
      <c r="AR281" s="286">
        <v>0</v>
      </c>
      <c r="AS281" s="286"/>
      <c r="AT281" s="286">
        <v>52061</v>
      </c>
      <c r="AU281" s="286">
        <v>38722</v>
      </c>
      <c r="AV281" s="286"/>
      <c r="AW281" s="286">
        <v>0</v>
      </c>
      <c r="AX281" s="286">
        <v>0</v>
      </c>
      <c r="AY281" s="286"/>
      <c r="AZ281" s="286">
        <v>0</v>
      </c>
      <c r="BA281" s="286">
        <v>0</v>
      </c>
      <c r="BB281" s="286"/>
      <c r="BC281" s="286">
        <v>0</v>
      </c>
      <c r="BD281" s="286">
        <v>0</v>
      </c>
      <c r="BE281" s="286"/>
      <c r="BF281" s="286">
        <v>0</v>
      </c>
      <c r="BG281" s="286">
        <v>0</v>
      </c>
      <c r="BH281" s="286"/>
      <c r="BI281" s="286">
        <v>429</v>
      </c>
      <c r="BJ281" s="286">
        <v>10156</v>
      </c>
      <c r="BK281" s="286"/>
      <c r="BL281" s="286">
        <v>475</v>
      </c>
      <c r="BM281" s="286">
        <v>447</v>
      </c>
      <c r="BN281" s="286"/>
      <c r="BO281" s="286">
        <v>0</v>
      </c>
      <c r="BP281" s="286">
        <v>0</v>
      </c>
      <c r="BQ281" s="286"/>
      <c r="BR281" s="286">
        <v>0</v>
      </c>
      <c r="BS281" s="286">
        <v>0</v>
      </c>
      <c r="BT281" s="286"/>
      <c r="BU281" s="286">
        <v>5667</v>
      </c>
      <c r="BV281" s="286">
        <v>804</v>
      </c>
      <c r="BW281" s="286"/>
      <c r="BX281" s="286">
        <v>0</v>
      </c>
      <c r="BY281" s="286">
        <v>0</v>
      </c>
      <c r="BZ281" s="286"/>
      <c r="CA281" s="286">
        <v>0</v>
      </c>
      <c r="CB281" s="286">
        <v>0</v>
      </c>
      <c r="CC281" s="286"/>
      <c r="CD281" s="286">
        <v>0</v>
      </c>
      <c r="CE281" s="286">
        <v>0</v>
      </c>
      <c r="CF281" s="286"/>
      <c r="CG281" s="286">
        <v>0</v>
      </c>
      <c r="CH281" s="286">
        <v>0</v>
      </c>
    </row>
    <row r="282" spans="1:87" ht="45" x14ac:dyDescent="0.25">
      <c r="A282" s="107"/>
      <c r="B282" s="16"/>
      <c r="C282" s="95" t="s">
        <v>1408</v>
      </c>
      <c r="D282" s="95" t="s">
        <v>950</v>
      </c>
      <c r="E282" s="95"/>
      <c r="F282" s="282"/>
      <c r="G282" s="282"/>
      <c r="H282" s="282"/>
      <c r="I282" s="282"/>
      <c r="J282" s="282">
        <f t="shared" ref="J282:O282" si="106">J255</f>
        <v>4211</v>
      </c>
      <c r="K282" s="282">
        <f t="shared" si="106"/>
        <v>5017</v>
      </c>
      <c r="L282" s="282">
        <f t="shared" si="106"/>
        <v>4042</v>
      </c>
      <c r="M282" s="282">
        <f t="shared" si="106"/>
        <v>0</v>
      </c>
      <c r="N282" s="282">
        <f t="shared" si="106"/>
        <v>0</v>
      </c>
      <c r="O282" s="282">
        <f t="shared" si="106"/>
        <v>0</v>
      </c>
      <c r="Q282" s="282">
        <f>Q255</f>
        <v>4042</v>
      </c>
      <c r="R282" s="282">
        <f>R255</f>
        <v>5540</v>
      </c>
      <c r="S282" s="282">
        <f>S255</f>
        <v>0</v>
      </c>
      <c r="T282" s="282">
        <f>T255</f>
        <v>0</v>
      </c>
      <c r="V282" s="282">
        <f>V255</f>
        <v>0</v>
      </c>
      <c r="W282" s="282">
        <f>W255</f>
        <v>0</v>
      </c>
      <c r="Y282" s="282">
        <f>Y255</f>
        <v>0</v>
      </c>
      <c r="Z282" s="282">
        <f>Z255</f>
        <v>0</v>
      </c>
      <c r="AB282" s="282">
        <f>AB255</f>
        <v>0</v>
      </c>
      <c r="AC282" s="282">
        <f>AC255</f>
        <v>0</v>
      </c>
      <c r="AE282" s="282">
        <f>AE255</f>
        <v>0</v>
      </c>
      <c r="AF282" s="282">
        <f>AF255</f>
        <v>0</v>
      </c>
      <c r="AH282" s="282">
        <f>AH255</f>
        <v>0</v>
      </c>
      <c r="AI282" s="282">
        <f>AI255</f>
        <v>0</v>
      </c>
      <c r="AK282" s="282">
        <f>AK255</f>
        <v>0</v>
      </c>
      <c r="AL282" s="282">
        <f>AL255</f>
        <v>0</v>
      </c>
      <c r="AN282" s="282">
        <f>AN255</f>
        <v>645</v>
      </c>
      <c r="AO282" s="282">
        <f>AO255</f>
        <v>1075</v>
      </c>
      <c r="AQ282" s="282">
        <f>AQ255</f>
        <v>0</v>
      </c>
      <c r="AR282" s="282">
        <f>AR255</f>
        <v>0</v>
      </c>
      <c r="AT282" s="282">
        <f>AT255</f>
        <v>788</v>
      </c>
      <c r="AU282" s="282">
        <f>AU255</f>
        <v>1457</v>
      </c>
      <c r="AW282" s="282">
        <f>AW255</f>
        <v>0</v>
      </c>
      <c r="AX282" s="282">
        <f>AX255</f>
        <v>0</v>
      </c>
      <c r="AZ282" s="282">
        <f>AZ255</f>
        <v>0</v>
      </c>
      <c r="BA282" s="282">
        <f>BA255</f>
        <v>0</v>
      </c>
      <c r="BC282" s="282">
        <f>BC255</f>
        <v>0</v>
      </c>
      <c r="BD282" s="282">
        <f>BD255</f>
        <v>0</v>
      </c>
      <c r="BF282" s="282">
        <f>BF255</f>
        <v>0</v>
      </c>
      <c r="BG282" s="282">
        <f>BG255</f>
        <v>0</v>
      </c>
      <c r="BI282" s="282">
        <f>BI255</f>
        <v>2336</v>
      </c>
      <c r="BJ282" s="282">
        <f>BJ255</f>
        <v>2794</v>
      </c>
      <c r="BL282" s="282">
        <f>BL255</f>
        <v>103</v>
      </c>
      <c r="BM282" s="282">
        <f>BM255</f>
        <v>100</v>
      </c>
      <c r="BO282" s="282">
        <f>BO255</f>
        <v>0</v>
      </c>
      <c r="BP282" s="282">
        <f>BP255</f>
        <v>0</v>
      </c>
      <c r="BR282" s="282">
        <f>BR255</f>
        <v>0</v>
      </c>
      <c r="BS282" s="282">
        <f>BS255</f>
        <v>0</v>
      </c>
      <c r="BU282" s="282">
        <f>BU255</f>
        <v>170</v>
      </c>
      <c r="BV282" s="282">
        <f>BV255</f>
        <v>114</v>
      </c>
      <c r="BX282" s="282">
        <f>BX255</f>
        <v>0</v>
      </c>
      <c r="BY282" s="282">
        <f>BY255</f>
        <v>0</v>
      </c>
      <c r="CA282" s="282">
        <f>CA255</f>
        <v>0</v>
      </c>
      <c r="CB282" s="282">
        <f>CB255</f>
        <v>0</v>
      </c>
      <c r="CD282" s="282">
        <f>CD255</f>
        <v>0</v>
      </c>
      <c r="CE282" s="282">
        <f>CE255</f>
        <v>0</v>
      </c>
      <c r="CG282" s="282">
        <f>CG255</f>
        <v>0</v>
      </c>
      <c r="CH282" s="282">
        <f>CH255</f>
        <v>0</v>
      </c>
    </row>
    <row r="283" spans="1:87" ht="45" x14ac:dyDescent="0.25">
      <c r="A283" s="95" t="s">
        <v>721</v>
      </c>
      <c r="B283" s="16" t="s">
        <v>844</v>
      </c>
      <c r="C283" s="95"/>
      <c r="D283" s="95" t="s">
        <v>8</v>
      </c>
      <c r="E283" s="95"/>
      <c r="F283" s="279">
        <f>F287/F288*100</f>
        <v>4.024722845267668</v>
      </c>
      <c r="G283" s="279">
        <f>G287/G288*100</f>
        <v>3.4003180078922148</v>
      </c>
      <c r="H283" s="279">
        <f>H287/H288*100</f>
        <v>4.068082400989586</v>
      </c>
      <c r="I283" s="279">
        <f>I287/I288*100</f>
        <v>5.7887341719643759</v>
      </c>
      <c r="J283" s="279"/>
      <c r="K283" s="279"/>
      <c r="L283" s="279"/>
      <c r="M283" s="279"/>
      <c r="N283" s="279"/>
      <c r="O283" s="279"/>
      <c r="P283" s="281" t="s">
        <v>46</v>
      </c>
    </row>
    <row r="284" spans="1:87" x14ac:dyDescent="0.25">
      <c r="A284" s="95"/>
      <c r="B284" s="16" t="s">
        <v>1182</v>
      </c>
      <c r="C284" s="95"/>
      <c r="D284" s="95"/>
      <c r="E284" s="95"/>
      <c r="F284" s="279"/>
      <c r="G284" s="279"/>
      <c r="H284" s="279"/>
      <c r="I284" s="279"/>
      <c r="J284" s="279">
        <f t="shared" ref="J284:O284" si="107">J287/J288*100</f>
        <v>8.2738931378745093</v>
      </c>
      <c r="K284" s="279">
        <f t="shared" si="107"/>
        <v>16.408143950714383</v>
      </c>
      <c r="L284" s="279">
        <f t="shared" si="107"/>
        <v>17.559315919379166</v>
      </c>
      <c r="M284" s="279">
        <f t="shared" si="107"/>
        <v>22.743402800180657</v>
      </c>
      <c r="N284" s="279">
        <f t="shared" si="107"/>
        <v>27.102650365143184</v>
      </c>
      <c r="O284" s="279">
        <f t="shared" si="107"/>
        <v>23.261982516435406</v>
      </c>
      <c r="P284" s="281"/>
      <c r="Q284" s="279">
        <f>Q287/Q288*100</f>
        <v>17.559315919379166</v>
      </c>
      <c r="R284" s="279">
        <f>R287/R288*100</f>
        <v>13.621406085741643</v>
      </c>
      <c r="S284" s="279">
        <f>S287/S288*100</f>
        <v>30.71271977583228</v>
      </c>
      <c r="T284" s="279">
        <f>T287/T288*100</f>
        <v>41.724274999135872</v>
      </c>
      <c r="V284" s="279">
        <f>V287/V288*100</f>
        <v>1.2396670962078453</v>
      </c>
      <c r="W284" s="279">
        <f>W287/W288*100</f>
        <v>0.67336918400748191</v>
      </c>
      <c r="Y284" s="279">
        <f>Y287/Y288*100</f>
        <v>10.177430579992338</v>
      </c>
      <c r="Z284" s="279">
        <f>Z287/Z288*100</f>
        <v>21.903259726603576</v>
      </c>
      <c r="AB284" s="279">
        <f>AB287/AB288*100</f>
        <v>12.464068787962107</v>
      </c>
      <c r="AC284" s="279">
        <f>AC287/AC288*100</f>
        <v>12.148840187087634</v>
      </c>
      <c r="AE284" s="279">
        <f>AE287/AE288*100</f>
        <v>3.4026555242115086</v>
      </c>
      <c r="AF284" s="279">
        <f>AF287/AF288*100</f>
        <v>3.9794083223111398</v>
      </c>
      <c r="AH284" s="279">
        <f>AH287/AH288*100</f>
        <v>11.621303576551313</v>
      </c>
      <c r="AI284" s="279">
        <f>AI287/AI288*100</f>
        <v>13.707558415257823</v>
      </c>
      <c r="AK284" s="279">
        <f>AK287/AK288*100</f>
        <v>9.6067133032727838</v>
      </c>
      <c r="AL284" s="279">
        <f>AL287/AL288*100</f>
        <v>15.357747510028522</v>
      </c>
      <c r="AN284" s="279">
        <f>AN287/AN288*100</f>
        <v>37.989747700343251</v>
      </c>
      <c r="AO284" s="279">
        <f>AO287/AO288*100</f>
        <v>38.401222884807403</v>
      </c>
      <c r="AQ284" s="279">
        <f>AQ287/AQ288*100</f>
        <v>9.9680508269867971</v>
      </c>
      <c r="AR284" s="279">
        <f>AR287/AR288*100</f>
        <v>17.604183961480992</v>
      </c>
      <c r="AT284" s="279">
        <f>AT287/AT288*100</f>
        <v>12.470611285266457</v>
      </c>
      <c r="AU284" s="279">
        <f>AU287/AU288*100</f>
        <v>7.2245015955613372</v>
      </c>
      <c r="AW284" s="279">
        <f>AW287/AW288*100</f>
        <v>9.2068036262709754</v>
      </c>
      <c r="AX284" s="279">
        <f>AX287/AX288*100</f>
        <v>9.7496492551518958</v>
      </c>
      <c r="AZ284" s="279">
        <f>AZ287/AZ288*100</f>
        <v>7.78718711150775</v>
      </c>
      <c r="BA284" s="279">
        <f>BA287/BA288*100</f>
        <v>5.5692949691005325</v>
      </c>
      <c r="BC284" s="279">
        <f>BC287/BC288*100</f>
        <v>37.711547430131056</v>
      </c>
      <c r="BD284" s="279">
        <f>BD287/BD288*100</f>
        <v>35.216406787434074</v>
      </c>
      <c r="BF284" s="279">
        <f>BF287/BF288*100</f>
        <v>18.498581177173907</v>
      </c>
      <c r="BG284" s="279">
        <f>BG287/BG288*100</f>
        <v>5.4280176720557609</v>
      </c>
      <c r="BI284" s="279">
        <f>BI287/BI288*100</f>
        <v>7.4665567794298591</v>
      </c>
      <c r="BJ284" s="279">
        <f>BJ287/BJ288*100</f>
        <v>5.0300526442619606</v>
      </c>
      <c r="BL284" s="279">
        <f>BL287/BL288*100</f>
        <v>9.9022025119557853</v>
      </c>
      <c r="BM284" s="279">
        <f>BM287/BM288*100</f>
        <v>10.873173455775136</v>
      </c>
      <c r="BO284" s="279">
        <f>BO287/BO288*100</f>
        <v>44.840391005915123</v>
      </c>
      <c r="BP284" s="279">
        <f>BP287/BP288*100</f>
        <v>25.4586370201189</v>
      </c>
      <c r="BR284" s="279">
        <f>BR287/BR288*100</f>
        <v>8.4947792033384264</v>
      </c>
      <c r="BS284" s="279">
        <f>BS287/BS288*100</f>
        <v>4.8816318892111905</v>
      </c>
      <c r="BU284" s="279">
        <f>BU287/BU288*100</f>
        <v>33.723685930962347</v>
      </c>
      <c r="BV284" s="279">
        <f>BV287/BV288*100</f>
        <v>30.576671498780183</v>
      </c>
      <c r="BX284" s="279">
        <f>BX287/BX288*100</f>
        <v>10.451768812512586</v>
      </c>
      <c r="BY284" s="279">
        <f>BY287/BY288*100</f>
        <v>8.0639340811355353</v>
      </c>
      <c r="CA284" s="279">
        <f>CA287/CA288*100</f>
        <v>5.4151061173533082</v>
      </c>
      <c r="CB284" s="279">
        <f>CB287/CB288*100</f>
        <v>5.9881772097554533</v>
      </c>
      <c r="CD284" s="279">
        <f>CD287/CD288*100</f>
        <v>12.733960583885082</v>
      </c>
      <c r="CE284" s="279">
        <f>CE287/CE288*100</f>
        <v>9.9616025501702516</v>
      </c>
      <c r="CG284" s="279" t="e">
        <f>CG287/CG288*100</f>
        <v>#DIV/0!</v>
      </c>
      <c r="CH284" s="279">
        <f>CH287/CH288*100</f>
        <v>6.3016187108703408</v>
      </c>
    </row>
    <row r="285" spans="1:87" x14ac:dyDescent="0.25">
      <c r="A285" s="95"/>
      <c r="B285" s="16" t="s">
        <v>1184</v>
      </c>
      <c r="C285" s="95"/>
      <c r="D285" s="95"/>
      <c r="E285" s="95"/>
      <c r="F285" s="279"/>
      <c r="G285" s="279"/>
      <c r="H285" s="279"/>
      <c r="I285" s="279"/>
      <c r="J285" s="279">
        <f t="shared" ref="J285:O285" si="108">J289/J290*100</f>
        <v>93.62213594576653</v>
      </c>
      <c r="K285" s="279">
        <f t="shared" si="108"/>
        <v>95.96739996946927</v>
      </c>
      <c r="L285" s="279">
        <f t="shared" si="108"/>
        <v>74.741375728787276</v>
      </c>
      <c r="M285" s="279" t="e">
        <f t="shared" si="108"/>
        <v>#DIV/0!</v>
      </c>
      <c r="N285" s="279" t="e">
        <f t="shared" si="108"/>
        <v>#DIV/0!</v>
      </c>
      <c r="O285" s="279" t="e">
        <f t="shared" si="108"/>
        <v>#DIV/0!</v>
      </c>
      <c r="P285" s="281"/>
      <c r="Q285" s="279">
        <f>Q289/Q290*100</f>
        <v>74.741375728787276</v>
      </c>
      <c r="R285" s="279">
        <f>R289/R290*100</f>
        <v>73.666407518038113</v>
      </c>
      <c r="S285" s="279" t="e">
        <f>S289/S290*100</f>
        <v>#DIV/0!</v>
      </c>
      <c r="T285" s="279" t="e">
        <f>T289/T290*100</f>
        <v>#DIV/0!</v>
      </c>
      <c r="V285" s="279" t="e">
        <f>V289/V290*100</f>
        <v>#DIV/0!</v>
      </c>
      <c r="W285" s="279" t="e">
        <f>W289/W290*100</f>
        <v>#DIV/0!</v>
      </c>
      <c r="Y285" s="279" t="e">
        <f>Y289/Y290*100</f>
        <v>#DIV/0!</v>
      </c>
      <c r="Z285" s="279" t="e">
        <f>Z289/Z290*100</f>
        <v>#DIV/0!</v>
      </c>
      <c r="AB285" s="279" t="e">
        <f>AB289/AB290*100</f>
        <v>#DIV/0!</v>
      </c>
      <c r="AC285" s="279" t="e">
        <f>AC289/AC290*100</f>
        <v>#DIV/0!</v>
      </c>
      <c r="AE285" s="279" t="e">
        <f>AE289/AE290*100</f>
        <v>#DIV/0!</v>
      </c>
      <c r="AF285" s="279" t="e">
        <f>AF289/AF290*100</f>
        <v>#DIV/0!</v>
      </c>
      <c r="AH285" s="279" t="e">
        <f>AH289/AH290*100</f>
        <v>#DIV/0!</v>
      </c>
      <c r="AI285" s="279" t="e">
        <f>AI289/AI290*100</f>
        <v>#DIV/0!</v>
      </c>
      <c r="AK285" s="279" t="e">
        <f>AK289/AK290*100</f>
        <v>#DIV/0!</v>
      </c>
      <c r="AL285" s="279" t="e">
        <f>AL289/AL290*100</f>
        <v>#DIV/0!</v>
      </c>
      <c r="AN285" s="279">
        <f>AN289/AN290*100</f>
        <v>66.43588421595345</v>
      </c>
      <c r="AO285" s="279">
        <f>AO289/AO290*100</f>
        <v>65.232016560289807</v>
      </c>
      <c r="AQ285" s="279" t="e">
        <f>AQ289/AQ290*100</f>
        <v>#DIV/0!</v>
      </c>
      <c r="AR285" s="279" t="e">
        <f>AR289/AR290*100</f>
        <v>#DIV/0!</v>
      </c>
      <c r="AT285" s="279">
        <f>AT289/AT290*100</f>
        <v>74.116901327289142</v>
      </c>
      <c r="AU285" s="279">
        <f>AU289/AU290*100</f>
        <v>77.077630287691761</v>
      </c>
      <c r="AW285" s="279" t="e">
        <f>AW289/AW290*100</f>
        <v>#DIV/0!</v>
      </c>
      <c r="AX285" s="279" t="e">
        <f>AX289/AX290*100</f>
        <v>#DIV/0!</v>
      </c>
      <c r="AZ285" s="279" t="e">
        <f>AZ289/AZ290*100</f>
        <v>#DIV/0!</v>
      </c>
      <c r="BA285" s="279" t="e">
        <f>BA289/BA290*100</f>
        <v>#DIV/0!</v>
      </c>
      <c r="BC285" s="279" t="e">
        <f>BC289/BC290*100</f>
        <v>#DIV/0!</v>
      </c>
      <c r="BD285" s="279" t="e">
        <f>BD289/BD290*100</f>
        <v>#DIV/0!</v>
      </c>
      <c r="BF285" s="279" t="e">
        <f>BF289/BF290*100</f>
        <v>#DIV/0!</v>
      </c>
      <c r="BG285" s="279" t="e">
        <f>BG289/BG290*100</f>
        <v>#DIV/0!</v>
      </c>
      <c r="BI285" s="279">
        <f>BI289/BI290*100</f>
        <v>65.034965034965026</v>
      </c>
      <c r="BJ285" s="279">
        <f>BJ289/BJ290*100</f>
        <v>78.958251280031504</v>
      </c>
      <c r="BL285" s="279">
        <f>BL289/BL290*100</f>
        <v>88</v>
      </c>
      <c r="BM285" s="279">
        <f>BM289/BM290*100</f>
        <v>48.098434004474271</v>
      </c>
      <c r="BO285" s="279" t="e">
        <f>BO289/BO290*100</f>
        <v>#DIV/0!</v>
      </c>
      <c r="BP285" s="279" t="e">
        <f>BP289/BP290*100</f>
        <v>#DIV/0!</v>
      </c>
      <c r="BR285" s="279" t="e">
        <f>BR289/BR290*100</f>
        <v>#DIV/0!</v>
      </c>
      <c r="BS285" s="279" t="e">
        <f>BS289/BS290*100</f>
        <v>#DIV/0!</v>
      </c>
      <c r="BU285" s="279">
        <f>BU289/BU290*100</f>
        <v>0</v>
      </c>
      <c r="BV285" s="279">
        <f>BV289/BV290*100</f>
        <v>100</v>
      </c>
      <c r="BX285" s="279" t="e">
        <f>BX289/BX290*100</f>
        <v>#DIV/0!</v>
      </c>
      <c r="BY285" s="279" t="e">
        <f>BY289/BY290*100</f>
        <v>#DIV/0!</v>
      </c>
      <c r="CA285" s="279" t="e">
        <f>CA289/CA290*100</f>
        <v>#DIV/0!</v>
      </c>
      <c r="CB285" s="279" t="e">
        <f>CB289/CB290*100</f>
        <v>#DIV/0!</v>
      </c>
      <c r="CD285" s="279" t="e">
        <f>CD289/CD290*100</f>
        <v>#DIV/0!</v>
      </c>
      <c r="CE285" s="279" t="e">
        <f>CE289/CE290*100</f>
        <v>#DIV/0!</v>
      </c>
      <c r="CG285" s="279" t="e">
        <f>CG289/CG290*100</f>
        <v>#DIV/0!</v>
      </c>
      <c r="CH285" s="279" t="e">
        <f>CH289/CH290*100</f>
        <v>#DIV/0!</v>
      </c>
    </row>
    <row r="286" spans="1:87" x14ac:dyDescent="0.25">
      <c r="A286" s="107"/>
      <c r="B286" s="16" t="s">
        <v>1182</v>
      </c>
      <c r="C286" s="95"/>
      <c r="D286" s="95"/>
      <c r="E286" s="95"/>
      <c r="F286" s="282"/>
      <c r="G286" s="282"/>
      <c r="H286" s="282"/>
      <c r="I286" s="282"/>
      <c r="J286" s="282"/>
      <c r="K286" s="282"/>
      <c r="L286" s="282"/>
      <c r="M286" s="282"/>
      <c r="N286" s="282"/>
      <c r="O286" s="282"/>
      <c r="P286" s="281"/>
    </row>
    <row r="287" spans="1:87" ht="60" x14ac:dyDescent="0.25">
      <c r="A287" s="107"/>
      <c r="B287" s="16" t="s">
        <v>845</v>
      </c>
      <c r="C287" s="95" t="s">
        <v>1488</v>
      </c>
      <c r="D287" s="95" t="s">
        <v>1114</v>
      </c>
      <c r="E287" s="95"/>
      <c r="F287" s="282">
        <v>80101</v>
      </c>
      <c r="G287" s="282">
        <v>72132</v>
      </c>
      <c r="H287" s="282">
        <v>88302</v>
      </c>
      <c r="I287" s="282">
        <v>131177</v>
      </c>
      <c r="J287" s="282">
        <f>316189+220044</f>
        <v>536233</v>
      </c>
      <c r="K287" s="282">
        <f>764378+292495</f>
        <v>1056873</v>
      </c>
      <c r="L287" s="282">
        <f>730757+330327</f>
        <v>1061084</v>
      </c>
      <c r="M287" s="282">
        <v>14100</v>
      </c>
      <c r="N287" s="282">
        <v>16515</v>
      </c>
      <c r="O287" s="282">
        <v>16312</v>
      </c>
      <c r="P287" s="303"/>
      <c r="Q287" s="286">
        <f>S287+V287+Y287+AB287+AE287+AH287+AK287+AN287+AQ287+AT287+AW287+AZ287+BC287+BF287+BI287+BL287+BO287+BR287+BU287+BX287+CA287+CD287+CG287+CJ280</f>
        <v>1061084</v>
      </c>
      <c r="R287" s="286">
        <f>T287+W287+Z287+AC287+AF287+AI287+AL287+AO287+AR287+AU287+AX287+BA287+BD287+BG287+BJ287+BM287+BP287+BS287+BV287+BY287+CB287+CE287+CH287+CK280</f>
        <v>756188</v>
      </c>
      <c r="S287" s="286">
        <v>42308</v>
      </c>
      <c r="T287" s="286">
        <v>48285</v>
      </c>
      <c r="U287" s="286"/>
      <c r="V287" s="286">
        <v>2203</v>
      </c>
      <c r="W287" s="286">
        <v>1296</v>
      </c>
      <c r="X287" s="286"/>
      <c r="Y287" s="286">
        <v>26030</v>
      </c>
      <c r="Z287" s="286">
        <v>31245</v>
      </c>
      <c r="AA287" s="286"/>
      <c r="AB287" s="286">
        <v>29919</v>
      </c>
      <c r="AC287" s="286">
        <v>20494</v>
      </c>
      <c r="AD287" s="286"/>
      <c r="AE287" s="286">
        <v>6417</v>
      </c>
      <c r="AF287" s="286">
        <v>8364</v>
      </c>
      <c r="AG287" s="286"/>
      <c r="AH287" s="286">
        <v>19850</v>
      </c>
      <c r="AI287" s="286">
        <v>21389</v>
      </c>
      <c r="AJ287" s="286"/>
      <c r="AK287" s="286">
        <v>19473</v>
      </c>
      <c r="AL287" s="286">
        <v>30207</v>
      </c>
      <c r="AM287" s="286"/>
      <c r="AN287" s="286">
        <v>176307</v>
      </c>
      <c r="AO287" s="286">
        <v>180374</v>
      </c>
      <c r="AP287" s="286"/>
      <c r="AQ287" s="286">
        <v>21871</v>
      </c>
      <c r="AR287" s="286">
        <v>21206</v>
      </c>
      <c r="AS287" s="286"/>
      <c r="AT287" s="286">
        <v>45828</v>
      </c>
      <c r="AU287" s="286">
        <v>25990</v>
      </c>
      <c r="AV287" s="286"/>
      <c r="AW287" s="286">
        <v>13700</v>
      </c>
      <c r="AX287" s="286">
        <v>13829</v>
      </c>
      <c r="AY287" s="286"/>
      <c r="AZ287" s="286">
        <v>19982</v>
      </c>
      <c r="BA287" s="286">
        <v>9796</v>
      </c>
      <c r="BB287" s="286"/>
      <c r="BC287" s="286">
        <v>120485</v>
      </c>
      <c r="BD287" s="286">
        <v>122863</v>
      </c>
      <c r="BE287" s="286"/>
      <c r="BF287" s="286">
        <v>138007</v>
      </c>
      <c r="BG287" s="286">
        <v>36072</v>
      </c>
      <c r="BH287" s="286"/>
      <c r="BI287" s="286">
        <v>63780</v>
      </c>
      <c r="BJ287" s="286">
        <v>43417</v>
      </c>
      <c r="BK287" s="286"/>
      <c r="BL287" s="286">
        <v>17952</v>
      </c>
      <c r="BM287" s="286">
        <v>14019</v>
      </c>
      <c r="BN287" s="286"/>
      <c r="BO287" s="286">
        <v>207937</v>
      </c>
      <c r="BP287" s="286">
        <v>37899</v>
      </c>
      <c r="BQ287" s="286"/>
      <c r="BR287" s="286">
        <v>18850</v>
      </c>
      <c r="BS287" s="286">
        <v>10434</v>
      </c>
      <c r="BT287" s="286"/>
      <c r="BU287" s="286">
        <v>41267</v>
      </c>
      <c r="BV287" s="286">
        <v>34592</v>
      </c>
      <c r="BW287" s="286"/>
      <c r="BX287" s="286">
        <v>6228</v>
      </c>
      <c r="BY287" s="286">
        <v>5363</v>
      </c>
      <c r="BZ287" s="286"/>
      <c r="CA287" s="286">
        <v>6246</v>
      </c>
      <c r="CB287" s="286">
        <v>7253</v>
      </c>
      <c r="CC287" s="286"/>
      <c r="CD287" s="286">
        <v>16444</v>
      </c>
      <c r="CE287" s="286">
        <v>12375</v>
      </c>
      <c r="CF287" s="286"/>
      <c r="CG287" s="286">
        <v>0</v>
      </c>
      <c r="CH287" s="286">
        <v>19426</v>
      </c>
    </row>
    <row r="288" spans="1:87" ht="45" x14ac:dyDescent="0.25">
      <c r="A288" s="107"/>
      <c r="B288" s="16" t="s">
        <v>843</v>
      </c>
      <c r="C288" s="95" t="s">
        <v>1487</v>
      </c>
      <c r="D288" s="95" t="s">
        <v>1114</v>
      </c>
      <c r="E288" s="95"/>
      <c r="F288" s="282">
        <f t="shared" ref="F288:O288" si="109">F279</f>
        <v>1990224</v>
      </c>
      <c r="G288" s="282">
        <f t="shared" si="109"/>
        <v>2121331</v>
      </c>
      <c r="H288" s="282">
        <f t="shared" si="109"/>
        <v>2170605</v>
      </c>
      <c r="I288" s="282">
        <f t="shared" si="109"/>
        <v>2266074</v>
      </c>
      <c r="J288" s="282">
        <f t="shared" si="109"/>
        <v>6481024</v>
      </c>
      <c r="K288" s="282">
        <f t="shared" si="109"/>
        <v>6441149</v>
      </c>
      <c r="L288" s="282">
        <f t="shared" si="109"/>
        <v>6042855</v>
      </c>
      <c r="M288" s="282">
        <f t="shared" si="109"/>
        <v>61996</v>
      </c>
      <c r="N288" s="282">
        <f t="shared" si="109"/>
        <v>60935</v>
      </c>
      <c r="O288" s="282">
        <f t="shared" si="109"/>
        <v>70123</v>
      </c>
      <c r="P288" s="281"/>
      <c r="Q288" s="282">
        <f>Q279</f>
        <v>6042855</v>
      </c>
      <c r="R288" s="282">
        <f>R279</f>
        <v>5551468</v>
      </c>
      <c r="S288" s="282">
        <f>S279</f>
        <v>137754</v>
      </c>
      <c r="T288" s="282">
        <f>T279</f>
        <v>115724</v>
      </c>
      <c r="U288" s="286"/>
      <c r="V288" s="282">
        <f>V279</f>
        <v>177709</v>
      </c>
      <c r="W288" s="282">
        <f>W279</f>
        <v>192465</v>
      </c>
      <c r="X288" s="286"/>
      <c r="Y288" s="282">
        <f>Y279</f>
        <v>255762</v>
      </c>
      <c r="Z288" s="282">
        <f>Z279</f>
        <v>142650</v>
      </c>
      <c r="AA288" s="286"/>
      <c r="AB288" s="282">
        <f>AB279</f>
        <v>240042</v>
      </c>
      <c r="AC288" s="282">
        <f>AC279</f>
        <v>168691</v>
      </c>
      <c r="AD288" s="286"/>
      <c r="AE288" s="282">
        <f>AE279</f>
        <v>188588</v>
      </c>
      <c r="AF288" s="282">
        <f>AF279</f>
        <v>210182</v>
      </c>
      <c r="AG288" s="286"/>
      <c r="AH288" s="282">
        <f>AH279</f>
        <v>170807</v>
      </c>
      <c r="AI288" s="282">
        <f>AI279</f>
        <v>156038</v>
      </c>
      <c r="AJ288" s="286"/>
      <c r="AK288" s="282">
        <f>AK279</f>
        <v>202702</v>
      </c>
      <c r="AL288" s="282">
        <f>AL279</f>
        <v>196689</v>
      </c>
      <c r="AM288" s="286"/>
      <c r="AN288" s="282">
        <f>AN279</f>
        <v>464091</v>
      </c>
      <c r="AO288" s="282">
        <f>AO279</f>
        <v>469709</v>
      </c>
      <c r="AP288" s="286"/>
      <c r="AQ288" s="282">
        <f>AQ279</f>
        <v>219411</v>
      </c>
      <c r="AR288" s="282">
        <f>AR279</f>
        <v>120460</v>
      </c>
      <c r="AS288" s="286"/>
      <c r="AT288" s="282">
        <f>AT279</f>
        <v>367488</v>
      </c>
      <c r="AU288" s="282">
        <f>AU279</f>
        <v>359748</v>
      </c>
      <c r="AV288" s="286"/>
      <c r="AW288" s="282">
        <f>AW279</f>
        <v>148803</v>
      </c>
      <c r="AX288" s="282">
        <f>AX279</f>
        <v>141841</v>
      </c>
      <c r="AY288" s="286"/>
      <c r="AZ288" s="282">
        <f>AZ279</f>
        <v>256601</v>
      </c>
      <c r="BA288" s="282">
        <f>BA279</f>
        <v>175893</v>
      </c>
      <c r="BB288" s="286"/>
      <c r="BC288" s="282">
        <f>BC279</f>
        <v>319491</v>
      </c>
      <c r="BD288" s="282">
        <f>BD279</f>
        <v>348880</v>
      </c>
      <c r="BE288" s="286"/>
      <c r="BF288" s="282">
        <f>BF279</f>
        <v>746041</v>
      </c>
      <c r="BG288" s="282">
        <f>BG279</f>
        <v>664552</v>
      </c>
      <c r="BH288" s="286"/>
      <c r="BI288" s="282">
        <f>BI279</f>
        <v>854209</v>
      </c>
      <c r="BJ288" s="282">
        <f>BJ279</f>
        <v>863152</v>
      </c>
      <c r="BK288" s="286"/>
      <c r="BL288" s="282">
        <f>BL279</f>
        <v>181293</v>
      </c>
      <c r="BM288" s="282">
        <f>BM279</f>
        <v>128932</v>
      </c>
      <c r="BN288" s="286"/>
      <c r="BO288" s="282">
        <f>BO279</f>
        <v>463727</v>
      </c>
      <c r="BP288" s="282">
        <f>BP279</f>
        <v>148865</v>
      </c>
      <c r="BQ288" s="286"/>
      <c r="BR288" s="282">
        <f>BR279</f>
        <v>221901</v>
      </c>
      <c r="BS288" s="282">
        <f>BS279</f>
        <v>213740</v>
      </c>
      <c r="BT288" s="286"/>
      <c r="BU288" s="282">
        <f>BU279</f>
        <v>122368</v>
      </c>
      <c r="BV288" s="282">
        <f>BV279</f>
        <v>113132</v>
      </c>
      <c r="BW288" s="286"/>
      <c r="BX288" s="282">
        <f>BX279</f>
        <v>59588</v>
      </c>
      <c r="BY288" s="282">
        <f>BY279</f>
        <v>66506</v>
      </c>
      <c r="BZ288" s="286"/>
      <c r="CA288" s="282">
        <f>CA279</f>
        <v>115344</v>
      </c>
      <c r="CB288" s="282">
        <f>CB279</f>
        <v>121122</v>
      </c>
      <c r="CC288" s="286"/>
      <c r="CD288" s="282">
        <f>CD279</f>
        <v>129135</v>
      </c>
      <c r="CE288" s="282">
        <f>CE279</f>
        <v>124227</v>
      </c>
      <c r="CF288" s="286"/>
      <c r="CG288" s="282">
        <f>CG279</f>
        <v>0</v>
      </c>
      <c r="CH288" s="282">
        <f>CH279</f>
        <v>308270</v>
      </c>
    </row>
    <row r="289" spans="1:86" ht="45" x14ac:dyDescent="0.25">
      <c r="A289" s="107"/>
      <c r="B289" s="16" t="s">
        <v>1184</v>
      </c>
      <c r="C289" s="95" t="s">
        <v>1488</v>
      </c>
      <c r="D289" s="95" t="s">
        <v>1114</v>
      </c>
      <c r="E289" s="95"/>
      <c r="F289" s="282"/>
      <c r="G289" s="282"/>
      <c r="H289" s="282"/>
      <c r="I289" s="282"/>
      <c r="J289" s="282">
        <v>186162</v>
      </c>
      <c r="K289" s="282">
        <v>226318</v>
      </c>
      <c r="L289" s="282">
        <v>53970</v>
      </c>
      <c r="M289" s="282">
        <v>0</v>
      </c>
      <c r="N289" s="282">
        <v>0</v>
      </c>
      <c r="O289" s="282">
        <v>0</v>
      </c>
      <c r="P289" s="303"/>
      <c r="Q289" s="286">
        <f>S289+V289+Y289+AB289+AE289+AH289+AK289+AN289+AQ289+AT289+AW289+AZ289+BC289+BF289+BI289+BL289+BO289+BR289+BU289+BX289+CA289+CD289+CG289+CJ282</f>
        <v>53970</v>
      </c>
      <c r="R289" s="286">
        <f>T289+W289+Z289+AC289+AF289+AI289+AL289+AO289+AR289+AU289+AX289+BA289+BD289+BG289+BJ289+BM289+BP289+BS289+BV289+BY289+CB289+CE289+CH289+CK282</f>
        <v>54010</v>
      </c>
      <c r="S289" s="286">
        <v>0</v>
      </c>
      <c r="T289" s="286">
        <v>0</v>
      </c>
      <c r="U289" s="286"/>
      <c r="V289" s="286">
        <v>0</v>
      </c>
      <c r="W289" s="286">
        <v>0</v>
      </c>
      <c r="X289" s="286"/>
      <c r="Y289" s="286">
        <v>0</v>
      </c>
      <c r="Z289" s="286">
        <v>0</v>
      </c>
      <c r="AA289" s="286"/>
      <c r="AB289" s="286">
        <v>0</v>
      </c>
      <c r="AC289" s="286">
        <v>0</v>
      </c>
      <c r="AD289" s="286"/>
      <c r="AE289" s="286">
        <v>0</v>
      </c>
      <c r="AF289" s="286">
        <v>0</v>
      </c>
      <c r="AG289" s="286"/>
      <c r="AH289" s="286">
        <v>0</v>
      </c>
      <c r="AI289" s="286">
        <v>0</v>
      </c>
      <c r="AJ289" s="286"/>
      <c r="AK289" s="286">
        <v>0</v>
      </c>
      <c r="AL289" s="286">
        <v>0</v>
      </c>
      <c r="AM289" s="286"/>
      <c r="AN289" s="286">
        <v>9020</v>
      </c>
      <c r="AO289" s="286">
        <v>15126</v>
      </c>
      <c r="AP289" s="286"/>
      <c r="AQ289" s="286">
        <v>0</v>
      </c>
      <c r="AR289" s="286">
        <v>0</v>
      </c>
      <c r="AS289" s="286"/>
      <c r="AT289" s="286">
        <v>38586</v>
      </c>
      <c r="AU289" s="286">
        <v>29846</v>
      </c>
      <c r="AV289" s="286"/>
      <c r="AW289" s="286">
        <v>0</v>
      </c>
      <c r="AX289" s="286">
        <v>0</v>
      </c>
      <c r="AY289" s="286"/>
      <c r="AZ289" s="286">
        <v>0</v>
      </c>
      <c r="BA289" s="286">
        <v>0</v>
      </c>
      <c r="BB289" s="286"/>
      <c r="BC289" s="286">
        <v>0</v>
      </c>
      <c r="BD289" s="286">
        <v>0</v>
      </c>
      <c r="BE289" s="286"/>
      <c r="BF289" s="286">
        <v>0</v>
      </c>
      <c r="BG289" s="286">
        <v>0</v>
      </c>
      <c r="BH289" s="286"/>
      <c r="BI289" s="286">
        <v>279</v>
      </c>
      <c r="BJ289" s="286">
        <v>8019</v>
      </c>
      <c r="BK289" s="286"/>
      <c r="BL289" s="286">
        <v>418</v>
      </c>
      <c r="BM289" s="286">
        <v>215</v>
      </c>
      <c r="BN289" s="286"/>
      <c r="BO289" s="286">
        <v>0</v>
      </c>
      <c r="BP289" s="286">
        <v>0</v>
      </c>
      <c r="BQ289" s="286"/>
      <c r="BR289" s="286">
        <v>5667</v>
      </c>
      <c r="BS289" s="286">
        <v>0</v>
      </c>
      <c r="BT289" s="286"/>
      <c r="BU289" s="286">
        <v>0</v>
      </c>
      <c r="BV289" s="286">
        <v>804</v>
      </c>
      <c r="BW289" s="286"/>
      <c r="BX289" s="286">
        <v>0</v>
      </c>
      <c r="BY289" s="286">
        <v>0</v>
      </c>
      <c r="BZ289" s="286"/>
      <c r="CA289" s="286">
        <v>0</v>
      </c>
      <c r="CB289" s="286">
        <v>0</v>
      </c>
      <c r="CC289" s="286"/>
      <c r="CD289" s="286">
        <v>0</v>
      </c>
      <c r="CE289" s="286">
        <v>0</v>
      </c>
      <c r="CF289" s="286"/>
      <c r="CG289" s="286">
        <v>0</v>
      </c>
      <c r="CH289" s="286">
        <v>0</v>
      </c>
    </row>
    <row r="290" spans="1:86" ht="45" x14ac:dyDescent="0.25">
      <c r="A290" s="107"/>
      <c r="B290" s="16"/>
      <c r="C290" s="95" t="s">
        <v>1487</v>
      </c>
      <c r="D290" s="95" t="s">
        <v>1114</v>
      </c>
      <c r="E290" s="95"/>
      <c r="F290" s="282"/>
      <c r="G290" s="282"/>
      <c r="H290" s="282"/>
      <c r="I290" s="282"/>
      <c r="J290" s="282">
        <f>J281</f>
        <v>198844</v>
      </c>
      <c r="K290" s="282">
        <f>K281</f>
        <v>235828</v>
      </c>
      <c r="L290" s="282">
        <f>L281</f>
        <v>72209</v>
      </c>
      <c r="M290" s="282">
        <f>M281</f>
        <v>0</v>
      </c>
      <c r="N290" s="282">
        <v>0</v>
      </c>
      <c r="O290" s="282">
        <v>0</v>
      </c>
      <c r="P290" s="281"/>
      <c r="Q290" s="282">
        <f>Q281</f>
        <v>72209</v>
      </c>
      <c r="R290" s="282">
        <f>R281</f>
        <v>73317</v>
      </c>
      <c r="S290" s="282">
        <f>S281</f>
        <v>0</v>
      </c>
      <c r="T290" s="282">
        <f>T281</f>
        <v>0</v>
      </c>
      <c r="V290" s="282">
        <f>V281</f>
        <v>0</v>
      </c>
      <c r="W290" s="282">
        <f>W281</f>
        <v>0</v>
      </c>
      <c r="Y290" s="282">
        <f>Y281</f>
        <v>0</v>
      </c>
      <c r="Z290" s="282">
        <f>Z281</f>
        <v>0</v>
      </c>
      <c r="AB290" s="282">
        <f>AB281</f>
        <v>0</v>
      </c>
      <c r="AC290" s="282">
        <f>AC281</f>
        <v>0</v>
      </c>
      <c r="AE290" s="282">
        <f>AE281</f>
        <v>0</v>
      </c>
      <c r="AF290" s="282">
        <f>AF281</f>
        <v>0</v>
      </c>
      <c r="AH290" s="282">
        <f>AH281</f>
        <v>0</v>
      </c>
      <c r="AI290" s="282">
        <f>AI281</f>
        <v>0</v>
      </c>
      <c r="AK290" s="282">
        <f>AK281</f>
        <v>0</v>
      </c>
      <c r="AL290" s="282">
        <f>AL281</f>
        <v>0</v>
      </c>
      <c r="AN290" s="282">
        <f>AN281</f>
        <v>13577</v>
      </c>
      <c r="AO290" s="282">
        <f>AO281</f>
        <v>23188</v>
      </c>
      <c r="AQ290" s="282">
        <f>AQ281</f>
        <v>0</v>
      </c>
      <c r="AR290" s="282">
        <f>AR281</f>
        <v>0</v>
      </c>
      <c r="AT290" s="282">
        <f>AT281</f>
        <v>52061</v>
      </c>
      <c r="AU290" s="282">
        <f>AU281</f>
        <v>38722</v>
      </c>
      <c r="AW290" s="282">
        <f>AW281</f>
        <v>0</v>
      </c>
      <c r="AX290" s="282">
        <f>AX281</f>
        <v>0</v>
      </c>
      <c r="AZ290" s="282">
        <f>AZ281</f>
        <v>0</v>
      </c>
      <c r="BA290" s="282">
        <f>BA281</f>
        <v>0</v>
      </c>
      <c r="BC290" s="282">
        <f>BC281</f>
        <v>0</v>
      </c>
      <c r="BD290" s="282">
        <f>BD281</f>
        <v>0</v>
      </c>
      <c r="BF290" s="282">
        <f>BF281</f>
        <v>0</v>
      </c>
      <c r="BG290" s="282">
        <f>BG281</f>
        <v>0</v>
      </c>
      <c r="BI290" s="282">
        <f>BI281</f>
        <v>429</v>
      </c>
      <c r="BJ290" s="282">
        <f>BJ281</f>
        <v>10156</v>
      </c>
      <c r="BL290" s="282">
        <f>BL281</f>
        <v>475</v>
      </c>
      <c r="BM290" s="282">
        <f>BM281</f>
        <v>447</v>
      </c>
      <c r="BO290" s="282">
        <f>BO281</f>
        <v>0</v>
      </c>
      <c r="BP290" s="282">
        <f>BP281</f>
        <v>0</v>
      </c>
      <c r="BR290" s="282">
        <f>BR281</f>
        <v>0</v>
      </c>
      <c r="BS290" s="282">
        <f>BS281</f>
        <v>0</v>
      </c>
      <c r="BU290" s="282">
        <f>BU281</f>
        <v>5667</v>
      </c>
      <c r="BV290" s="282">
        <f>BV281</f>
        <v>804</v>
      </c>
      <c r="BX290" s="282">
        <f>BX281</f>
        <v>0</v>
      </c>
      <c r="BY290" s="282">
        <f>BY281</f>
        <v>0</v>
      </c>
      <c r="CA290" s="282">
        <f>CA281</f>
        <v>0</v>
      </c>
      <c r="CB290" s="282">
        <f>CB281</f>
        <v>0</v>
      </c>
      <c r="CD290" s="282">
        <f>CD281</f>
        <v>0</v>
      </c>
      <c r="CE290" s="282">
        <f>CE281</f>
        <v>0</v>
      </c>
      <c r="CG290" s="282">
        <f>CG281</f>
        <v>0</v>
      </c>
      <c r="CH290" s="282">
        <f>CH281</f>
        <v>0</v>
      </c>
    </row>
    <row r="291" spans="1:86" ht="30" x14ac:dyDescent="0.25">
      <c r="A291" s="107" t="s">
        <v>3007</v>
      </c>
      <c r="B291" s="16" t="s">
        <v>3008</v>
      </c>
      <c r="C291" s="95"/>
      <c r="D291" s="95"/>
      <c r="E291" s="95"/>
      <c r="F291" s="282"/>
      <c r="G291" s="282"/>
      <c r="H291" s="282"/>
      <c r="I291" s="282"/>
      <c r="J291" s="282"/>
      <c r="K291" s="282"/>
      <c r="L291" s="282"/>
      <c r="M291" s="282"/>
      <c r="N291" s="282"/>
      <c r="O291" s="282"/>
      <c r="P291" s="281"/>
      <c r="Q291" s="301"/>
      <c r="R291" s="301"/>
      <c r="S291" s="301"/>
      <c r="T291" s="301"/>
      <c r="V291" s="301"/>
      <c r="W291" s="301"/>
      <c r="Y291" s="301"/>
      <c r="Z291" s="301"/>
      <c r="AB291" s="301"/>
      <c r="AC291" s="301"/>
      <c r="AE291" s="301"/>
      <c r="AF291" s="301"/>
      <c r="AH291" s="301"/>
      <c r="AI291" s="301"/>
      <c r="AK291" s="301"/>
      <c r="AL291" s="301"/>
      <c r="AN291" s="301"/>
      <c r="AO291" s="301"/>
      <c r="AQ291" s="301"/>
      <c r="AR291" s="301"/>
      <c r="AT291" s="301"/>
      <c r="AU291" s="301"/>
      <c r="AW291" s="301"/>
      <c r="AX291" s="301"/>
      <c r="AZ291" s="301"/>
      <c r="BA291" s="301"/>
      <c r="BC291" s="301"/>
      <c r="BD291" s="301"/>
      <c r="BF291" s="301"/>
      <c r="BG291" s="301"/>
      <c r="BI291" s="301"/>
      <c r="BJ291" s="301"/>
      <c r="BL291" s="301"/>
      <c r="BM291" s="301"/>
      <c r="BO291" s="301"/>
      <c r="BP291" s="301"/>
      <c r="BR291" s="301"/>
      <c r="BS291" s="301"/>
      <c r="BU291" s="301"/>
      <c r="BV291" s="301"/>
      <c r="BX291" s="301"/>
      <c r="BY291" s="301"/>
      <c r="CA291" s="301"/>
      <c r="CB291" s="301"/>
      <c r="CD291" s="301"/>
      <c r="CE291" s="301"/>
      <c r="CG291" s="301"/>
      <c r="CH291" s="301"/>
    </row>
    <row r="292" spans="1:86" ht="30" x14ac:dyDescent="0.25">
      <c r="A292" s="107"/>
      <c r="B292" s="16" t="s">
        <v>3009</v>
      </c>
      <c r="C292" s="95"/>
      <c r="D292" s="95" t="s">
        <v>8</v>
      </c>
      <c r="E292" s="95"/>
      <c r="F292" s="282"/>
      <c r="G292" s="282"/>
      <c r="H292" s="282"/>
      <c r="I292" s="282"/>
      <c r="J292" s="384">
        <v>92</v>
      </c>
      <c r="K292" s="384">
        <v>84</v>
      </c>
      <c r="L292" s="384">
        <v>82</v>
      </c>
      <c r="M292" s="384">
        <v>77</v>
      </c>
      <c r="N292" s="384">
        <v>73</v>
      </c>
      <c r="O292" s="384">
        <v>73</v>
      </c>
      <c r="P292" s="281"/>
      <c r="Q292" s="301"/>
      <c r="R292" s="301"/>
      <c r="S292" s="301"/>
      <c r="T292" s="301"/>
      <c r="V292" s="301"/>
      <c r="W292" s="301"/>
      <c r="Y292" s="301"/>
      <c r="Z292" s="301"/>
      <c r="AB292" s="301"/>
      <c r="AC292" s="301"/>
      <c r="AE292" s="301"/>
      <c r="AF292" s="301"/>
      <c r="AH292" s="301"/>
      <c r="AI292" s="301"/>
      <c r="AK292" s="301"/>
      <c r="AL292" s="301"/>
      <c r="AN292" s="301"/>
      <c r="AO292" s="301"/>
      <c r="AQ292" s="301"/>
      <c r="AR292" s="301"/>
      <c r="AT292" s="301"/>
      <c r="AU292" s="301"/>
      <c r="AW292" s="301"/>
      <c r="AX292" s="301"/>
      <c r="AZ292" s="301"/>
      <c r="BA292" s="301"/>
      <c r="BC292" s="301"/>
      <c r="BD292" s="301"/>
      <c r="BF292" s="301"/>
      <c r="BG292" s="301"/>
      <c r="BI292" s="301"/>
      <c r="BJ292" s="301"/>
      <c r="BL292" s="301"/>
      <c r="BM292" s="301"/>
      <c r="BO292" s="301"/>
      <c r="BP292" s="301"/>
      <c r="BR292" s="301"/>
      <c r="BS292" s="301"/>
      <c r="BU292" s="301"/>
      <c r="BV292" s="301"/>
      <c r="BX292" s="301"/>
      <c r="BY292" s="301"/>
      <c r="CA292" s="301"/>
      <c r="CB292" s="301"/>
      <c r="CD292" s="301"/>
      <c r="CE292" s="301"/>
      <c r="CG292" s="301"/>
      <c r="CH292" s="301"/>
    </row>
    <row r="293" spans="1:86" x14ac:dyDescent="0.25">
      <c r="A293" s="107"/>
      <c r="B293" s="16" t="s">
        <v>3010</v>
      </c>
      <c r="C293" s="95"/>
      <c r="D293" s="95" t="s">
        <v>8</v>
      </c>
      <c r="E293" s="95"/>
      <c r="F293" s="282"/>
      <c r="G293" s="282"/>
      <c r="H293" s="282"/>
      <c r="I293" s="282"/>
      <c r="J293" s="287">
        <f t="shared" ref="J293:M293" si="110">J287/J288*100</f>
        <v>8.2738931378745093</v>
      </c>
      <c r="K293" s="287">
        <f t="shared" si="110"/>
        <v>16.408143950714383</v>
      </c>
      <c r="L293" s="287">
        <f t="shared" si="110"/>
        <v>17.559315919379166</v>
      </c>
      <c r="M293" s="287">
        <f t="shared" si="110"/>
        <v>22.743402800180657</v>
      </c>
      <c r="N293" s="287">
        <f>N287/N288*100</f>
        <v>27.102650365143184</v>
      </c>
      <c r="O293" s="287">
        <f>O287/O288*100</f>
        <v>23.261982516435406</v>
      </c>
      <c r="P293" s="281"/>
      <c r="Q293" s="301"/>
      <c r="R293" s="301"/>
      <c r="S293" s="301"/>
      <c r="T293" s="301"/>
      <c r="V293" s="301"/>
      <c r="W293" s="301"/>
      <c r="Y293" s="301"/>
      <c r="Z293" s="301"/>
      <c r="AB293" s="301"/>
      <c r="AC293" s="301"/>
      <c r="AE293" s="301"/>
      <c r="AF293" s="301"/>
      <c r="AH293" s="301"/>
      <c r="AI293" s="301"/>
      <c r="AK293" s="301"/>
      <c r="AL293" s="301"/>
      <c r="AN293" s="301"/>
      <c r="AO293" s="301"/>
      <c r="AQ293" s="301"/>
      <c r="AR293" s="301"/>
      <c r="AT293" s="301"/>
      <c r="AU293" s="301"/>
      <c r="AW293" s="301"/>
      <c r="AX293" s="301"/>
      <c r="AZ293" s="301"/>
      <c r="BA293" s="301"/>
      <c r="BC293" s="301"/>
      <c r="BD293" s="301"/>
      <c r="BF293" s="301"/>
      <c r="BG293" s="301"/>
      <c r="BI293" s="301"/>
      <c r="BJ293" s="301"/>
      <c r="BL293" s="301"/>
      <c r="BM293" s="301"/>
      <c r="BO293" s="301"/>
      <c r="BP293" s="301"/>
      <c r="BR293" s="301"/>
      <c r="BS293" s="301"/>
      <c r="BU293" s="301"/>
      <c r="BV293" s="301"/>
      <c r="BX293" s="301"/>
      <c r="BY293" s="301"/>
      <c r="CA293" s="301"/>
      <c r="CB293" s="301"/>
      <c r="CD293" s="301"/>
      <c r="CE293" s="301"/>
      <c r="CG293" s="301"/>
      <c r="CH293" s="301"/>
    </row>
    <row r="294" spans="1:86" ht="45" x14ac:dyDescent="0.25">
      <c r="A294" s="105" t="s">
        <v>724</v>
      </c>
      <c r="B294" s="290" t="s">
        <v>846</v>
      </c>
      <c r="C294" s="107"/>
      <c r="D294" s="107"/>
      <c r="E294" s="107"/>
      <c r="F294" s="107"/>
      <c r="G294" s="107"/>
      <c r="H294" s="107"/>
      <c r="I294" s="107"/>
      <c r="J294" s="107"/>
      <c r="K294" s="107"/>
      <c r="L294" s="107"/>
      <c r="M294" s="107"/>
      <c r="N294" s="107"/>
      <c r="O294" s="107"/>
    </row>
    <row r="295" spans="1:86" ht="30" x14ac:dyDescent="0.25">
      <c r="A295" s="95" t="s">
        <v>727</v>
      </c>
      <c r="B295" s="16" t="s">
        <v>849</v>
      </c>
      <c r="C295" s="107"/>
      <c r="D295" s="95" t="s">
        <v>8</v>
      </c>
      <c r="E295" s="95"/>
      <c r="F295" s="279" t="e">
        <f>F299/F300*100</f>
        <v>#DIV/0!</v>
      </c>
      <c r="G295" s="279">
        <f>G299/G300*100</f>
        <v>1.639344262295082</v>
      </c>
      <c r="H295" s="279">
        <f>H299/H300*100</f>
        <v>1.7543859649122806</v>
      </c>
      <c r="I295" s="279">
        <f>I299/I300*100</f>
        <v>1.8181818181818181</v>
      </c>
      <c r="J295" s="279"/>
      <c r="K295" s="279"/>
      <c r="L295" s="279"/>
      <c r="M295" s="279"/>
      <c r="N295" s="279"/>
      <c r="O295" s="279"/>
      <c r="P295" s="281" t="s">
        <v>46</v>
      </c>
    </row>
    <row r="296" spans="1:86" x14ac:dyDescent="0.25">
      <c r="A296" s="95"/>
      <c r="B296" s="16" t="s">
        <v>1182</v>
      </c>
      <c r="C296" s="107"/>
      <c r="D296" s="95"/>
      <c r="E296" s="95"/>
      <c r="F296" s="279"/>
      <c r="G296" s="279"/>
      <c r="H296" s="279"/>
      <c r="I296" s="279"/>
      <c r="J296" s="279">
        <f t="shared" ref="J296:O296" si="111">J299/J300*100</f>
        <v>3.7313432835820892</v>
      </c>
      <c r="K296" s="279">
        <f t="shared" si="111"/>
        <v>3.3613445378151261</v>
      </c>
      <c r="L296" s="279">
        <f t="shared" si="111"/>
        <v>5.6074766355140184</v>
      </c>
      <c r="M296" s="279">
        <f t="shared" si="111"/>
        <v>0</v>
      </c>
      <c r="N296" s="279">
        <f t="shared" si="111"/>
        <v>0</v>
      </c>
      <c r="O296" s="279">
        <f t="shared" si="111"/>
        <v>0</v>
      </c>
      <c r="P296" s="281"/>
      <c r="Q296" s="279">
        <f>Q299/Q300*100</f>
        <v>5.6074766355140184</v>
      </c>
      <c r="R296" s="279">
        <f>R299/R300*100</f>
        <v>6.5217391304347823</v>
      </c>
      <c r="S296" s="279">
        <f>S299/S300*100</f>
        <v>0</v>
      </c>
      <c r="T296" s="279">
        <f>T299/T300*100</f>
        <v>0</v>
      </c>
      <c r="V296" s="279">
        <f>V299/V300*100</f>
        <v>0</v>
      </c>
      <c r="W296" s="279">
        <f>W299/W300*100</f>
        <v>0</v>
      </c>
      <c r="Y296" s="279">
        <f>Y299/Y300*100</f>
        <v>22.222222222222221</v>
      </c>
      <c r="Z296" s="279">
        <f>Z299/Z300*100</f>
        <v>20</v>
      </c>
      <c r="AB296" s="279">
        <f>AB299/AB300*100</f>
        <v>0</v>
      </c>
      <c r="AC296" s="279">
        <f>AC299/AC300*100</f>
        <v>0</v>
      </c>
      <c r="AE296" s="279">
        <f>AE299/AE300*100</f>
        <v>0</v>
      </c>
      <c r="AF296" s="279">
        <f>AF299/AF300*100</f>
        <v>0</v>
      </c>
      <c r="AH296" s="279">
        <f>AH299/AH300*100</f>
        <v>0</v>
      </c>
      <c r="AI296" s="279">
        <f>AI299/AI300*100</f>
        <v>0</v>
      </c>
      <c r="AK296" s="279">
        <f>AK299/AK300*100</f>
        <v>33.333333333333329</v>
      </c>
      <c r="AL296" s="279">
        <f>AL299/AL300*100</f>
        <v>33.333333333333329</v>
      </c>
      <c r="AN296" s="279">
        <f>AN299/AN300*100</f>
        <v>42.857142857142854</v>
      </c>
      <c r="AO296" s="279">
        <f>AO299/AO300*100</f>
        <v>42.857142857142854</v>
      </c>
      <c r="AQ296" s="279">
        <f>AQ299/AQ300*100</f>
        <v>0</v>
      </c>
      <c r="AR296" s="279">
        <f>AR299/AR300*100</f>
        <v>0</v>
      </c>
      <c r="AT296" s="279">
        <f>AT299/AT300*100</f>
        <v>0</v>
      </c>
      <c r="AU296" s="279">
        <f>AU299/AU300*100</f>
        <v>0</v>
      </c>
      <c r="AW296" s="279">
        <f>AW299/AW300*100</f>
        <v>0</v>
      </c>
      <c r="AX296" s="279">
        <f>AX299/AX300*100</f>
        <v>0</v>
      </c>
      <c r="AZ296" s="279">
        <f>AZ299/AZ300*100</f>
        <v>0</v>
      </c>
      <c r="BA296" s="279">
        <f>BA299/BA300*100</f>
        <v>50</v>
      </c>
      <c r="BC296" s="279">
        <f>BC299/BC300*100</f>
        <v>0</v>
      </c>
      <c r="BD296" s="279">
        <f>BD299/BD300*100</f>
        <v>0</v>
      </c>
      <c r="BF296" s="279">
        <f>BF299/BF300*100</f>
        <v>0</v>
      </c>
      <c r="BG296" s="279">
        <f>BG299/BG300*100</f>
        <v>0</v>
      </c>
      <c r="BI296" s="279">
        <f>BI299/BI300*100</f>
        <v>0</v>
      </c>
      <c r="BJ296" s="279">
        <f>BJ299/BJ300*100</f>
        <v>0</v>
      </c>
      <c r="BL296" s="279">
        <f>BL299/BL300*100</f>
        <v>0</v>
      </c>
      <c r="BM296" s="279">
        <f>BM299/BM300*100</f>
        <v>0</v>
      </c>
      <c r="BO296" s="279">
        <f>BO299/BO300*100</f>
        <v>0</v>
      </c>
      <c r="BP296" s="279">
        <f>BP299/BP300*100</f>
        <v>0</v>
      </c>
      <c r="BR296" s="279">
        <f>BR299/BR300*100</f>
        <v>0</v>
      </c>
      <c r="BS296" s="279">
        <f>BS299/BS300*100</f>
        <v>0</v>
      </c>
      <c r="BU296" s="279">
        <f>BU299/BU300*100</f>
        <v>0</v>
      </c>
      <c r="BV296" s="279">
        <f>BV299/BV300*100</f>
        <v>0</v>
      </c>
      <c r="BX296" s="279">
        <f>BX299/BX300*100</f>
        <v>0</v>
      </c>
      <c r="BY296" s="279">
        <f>BY299/BY300*100</f>
        <v>0</v>
      </c>
      <c r="CA296" s="279">
        <f>CA299/CA300*100</f>
        <v>0</v>
      </c>
      <c r="CB296" s="279">
        <f>CB299/CB300*100</f>
        <v>0</v>
      </c>
      <c r="CD296" s="279">
        <f>CD299/CD300*100</f>
        <v>0</v>
      </c>
      <c r="CE296" s="279">
        <f>CE299/CE300*100</f>
        <v>0</v>
      </c>
      <c r="CG296" s="279">
        <f>CG299/CG300*100</f>
        <v>0</v>
      </c>
      <c r="CH296" s="279">
        <f>CH299/CH300*100</f>
        <v>0</v>
      </c>
    </row>
    <row r="297" spans="1:86" x14ac:dyDescent="0.25">
      <c r="A297" s="95"/>
      <c r="B297" s="16" t="s">
        <v>1184</v>
      </c>
      <c r="C297" s="107"/>
      <c r="D297" s="95"/>
      <c r="E297" s="95"/>
      <c r="F297" s="279"/>
      <c r="G297" s="279"/>
      <c r="H297" s="279"/>
      <c r="I297" s="279"/>
      <c r="J297" s="279">
        <f t="shared" ref="J297:O297" si="112">J301/J302*100</f>
        <v>12.5</v>
      </c>
      <c r="K297" s="279">
        <f t="shared" si="112"/>
        <v>12.5</v>
      </c>
      <c r="L297" s="279">
        <f t="shared" si="112"/>
        <v>26.315789473684209</v>
      </c>
      <c r="M297" s="279" t="e">
        <f t="shared" si="112"/>
        <v>#DIV/0!</v>
      </c>
      <c r="N297" s="279" t="e">
        <f t="shared" si="112"/>
        <v>#DIV/0!</v>
      </c>
      <c r="O297" s="279" t="e">
        <f t="shared" si="112"/>
        <v>#DIV/0!</v>
      </c>
      <c r="P297" s="281"/>
      <c r="Q297" s="279">
        <f>Q301/Q302*100</f>
        <v>26.315789473684209</v>
      </c>
      <c r="R297" s="279">
        <f>R301/R302*100</f>
        <v>33.333333333333329</v>
      </c>
      <c r="S297" s="279" t="e">
        <f>S301/S302*100</f>
        <v>#DIV/0!</v>
      </c>
      <c r="T297" s="279" t="e">
        <f>T301/T302*100</f>
        <v>#DIV/0!</v>
      </c>
      <c r="V297" s="279" t="e">
        <f>V301/V302*100</f>
        <v>#DIV/0!</v>
      </c>
      <c r="W297" s="279" t="e">
        <f>W301/W302*100</f>
        <v>#DIV/0!</v>
      </c>
      <c r="Y297" s="279" t="e">
        <f>Y301/Y302*100</f>
        <v>#DIV/0!</v>
      </c>
      <c r="Z297" s="279" t="e">
        <f>Z301/Z302*100</f>
        <v>#DIV/0!</v>
      </c>
      <c r="AB297" s="279" t="e">
        <f>AB301/AB302*100</f>
        <v>#DIV/0!</v>
      </c>
      <c r="AC297" s="279" t="e">
        <f>AC301/AC302*100</f>
        <v>#DIV/0!</v>
      </c>
      <c r="AE297" s="279" t="e">
        <f>AE301/AE302*100</f>
        <v>#DIV/0!</v>
      </c>
      <c r="AF297" s="279" t="e">
        <f>AF301/AF302*100</f>
        <v>#DIV/0!</v>
      </c>
      <c r="AH297" s="279" t="e">
        <f>AH301/AH302*100</f>
        <v>#DIV/0!</v>
      </c>
      <c r="AI297" s="279" t="e">
        <f>AI301/AI302*100</f>
        <v>#DIV/0!</v>
      </c>
      <c r="AK297" s="279" t="e">
        <f>AK301/AK302*100</f>
        <v>#DIV/0!</v>
      </c>
      <c r="AL297" s="279" t="e">
        <f>AL301/AL302*100</f>
        <v>#DIV/0!</v>
      </c>
      <c r="AN297" s="279">
        <f>AN301/AN302*100</f>
        <v>50</v>
      </c>
      <c r="AO297" s="279">
        <f>AO301/AO302*100</f>
        <v>57.142857142857139</v>
      </c>
      <c r="AQ297" s="279" t="e">
        <f>AQ301/AQ302*100</f>
        <v>#DIV/0!</v>
      </c>
      <c r="AR297" s="279" t="e">
        <f>AR301/AR302*100</f>
        <v>#DIV/0!</v>
      </c>
      <c r="AT297" s="279">
        <f>AT301/AT302*100</f>
        <v>25</v>
      </c>
      <c r="AU297" s="279">
        <f>AU301/AU302*100</f>
        <v>50</v>
      </c>
      <c r="AW297" s="279" t="e">
        <f>AW301/AW302*100</f>
        <v>#DIV/0!</v>
      </c>
      <c r="AX297" s="279" t="e">
        <f>AX301/AX302*100</f>
        <v>#DIV/0!</v>
      </c>
      <c r="AZ297" s="279" t="e">
        <f>AZ301/AZ302*100</f>
        <v>#DIV/0!</v>
      </c>
      <c r="BA297" s="279" t="e">
        <f>BA301/BA302*100</f>
        <v>#DIV/0!</v>
      </c>
      <c r="BC297" s="279" t="e">
        <f>BC301/BC302*100</f>
        <v>#DIV/0!</v>
      </c>
      <c r="BD297" s="279" t="e">
        <f>BD301/BD302*100</f>
        <v>#DIV/0!</v>
      </c>
      <c r="BF297" s="279" t="e">
        <f>BF301/BF302*100</f>
        <v>#DIV/0!</v>
      </c>
      <c r="BG297" s="279" t="e">
        <f>BG301/BG302*100</f>
        <v>#DIV/0!</v>
      </c>
      <c r="BI297" s="279">
        <f>BI301/BI302*100</f>
        <v>28.571428571428569</v>
      </c>
      <c r="BJ297" s="279">
        <f>BJ301/BJ302*100</f>
        <v>0</v>
      </c>
      <c r="BL297" s="279">
        <f>BL301/BL302*100</f>
        <v>0</v>
      </c>
      <c r="BM297" s="279">
        <f>BM301/BM302*100</f>
        <v>0</v>
      </c>
      <c r="BO297" s="279" t="e">
        <f>BO301/BO302*100</f>
        <v>#DIV/0!</v>
      </c>
      <c r="BP297" s="279" t="e">
        <f>BP301/BP302*100</f>
        <v>#DIV/0!</v>
      </c>
      <c r="BR297" s="279" t="e">
        <f>BR301/BR302*100</f>
        <v>#DIV/0!</v>
      </c>
      <c r="BS297" s="279" t="e">
        <f>BS301/BS302*100</f>
        <v>#DIV/0!</v>
      </c>
      <c r="BU297" s="279">
        <f>BU301/BU302*100</f>
        <v>0</v>
      </c>
      <c r="BV297" s="279">
        <f>BV301/BV302*100</f>
        <v>0</v>
      </c>
      <c r="BX297" s="279" t="e">
        <f>BX301/BX302*100</f>
        <v>#DIV/0!</v>
      </c>
      <c r="BY297" s="279" t="e">
        <f>BY301/BY302*100</f>
        <v>#DIV/0!</v>
      </c>
      <c r="CA297" s="279" t="e">
        <f>CA301/CA302*100</f>
        <v>#DIV/0!</v>
      </c>
      <c r="CB297" s="279" t="e">
        <f>CB301/CB302*100</f>
        <v>#DIV/0!</v>
      </c>
      <c r="CD297" s="279" t="e">
        <f>CD301/CD302*100</f>
        <v>#DIV/0!</v>
      </c>
      <c r="CE297" s="279" t="e">
        <f>CE301/CE302*100</f>
        <v>#DIV/0!</v>
      </c>
      <c r="CG297" s="279" t="e">
        <f>CG301/CG302*100</f>
        <v>#DIV/0!</v>
      </c>
      <c r="CH297" s="279" t="e">
        <f>CH301/CH302*100</f>
        <v>#DIV/0!</v>
      </c>
    </row>
    <row r="298" spans="1:86" x14ac:dyDescent="0.25">
      <c r="A298" s="95"/>
      <c r="B298" s="16" t="s">
        <v>1182</v>
      </c>
      <c r="C298" s="95"/>
      <c r="D298" s="95"/>
      <c r="E298" s="95"/>
      <c r="F298" s="291"/>
      <c r="G298" s="291"/>
      <c r="H298" s="291"/>
      <c r="I298" s="291"/>
      <c r="J298" s="291"/>
      <c r="K298" s="291"/>
      <c r="L298" s="291"/>
      <c r="M298" s="291"/>
      <c r="N298" s="291"/>
      <c r="O298" s="291"/>
      <c r="P298" s="281"/>
    </row>
    <row r="299" spans="1:86" ht="45" x14ac:dyDescent="0.25">
      <c r="A299" s="95"/>
      <c r="B299" s="16" t="s">
        <v>850</v>
      </c>
      <c r="C299" s="95" t="s">
        <v>1166</v>
      </c>
      <c r="D299" s="95" t="s">
        <v>1112</v>
      </c>
      <c r="E299" s="95"/>
      <c r="F299" s="291">
        <v>0</v>
      </c>
      <c r="G299" s="291">
        <v>1</v>
      </c>
      <c r="H299" s="291">
        <v>1</v>
      </c>
      <c r="I299" s="291">
        <v>1</v>
      </c>
      <c r="J299" s="291">
        <v>5</v>
      </c>
      <c r="K299" s="291">
        <v>4</v>
      </c>
      <c r="L299" s="291">
        <v>6</v>
      </c>
      <c r="M299" s="291">
        <v>0</v>
      </c>
      <c r="N299" s="291">
        <v>0</v>
      </c>
      <c r="O299" s="291">
        <v>0</v>
      </c>
      <c r="P299" s="281"/>
      <c r="Q299" s="283">
        <f>S299+V299+Y299+AB299+AE299+AH299+AK299+AN299+AQ299+AT299+AW299+AZ299+BC299+BF299+BI299+BL299+BO299+BR299+BU299+BX299+CA299+CD299+CG299+CJ289</f>
        <v>6</v>
      </c>
      <c r="R299" s="283">
        <f>T299+W299+Z299+AC299+AF299+AI299+AL299+AO299+AR299+AU299+AX299+BA299+BD299+BG299+BJ299+BM299+BP299+BS299+BV299+BY299+CB299+CE299+CH299+CK289</f>
        <v>6</v>
      </c>
      <c r="S299" s="267">
        <v>0</v>
      </c>
      <c r="T299" s="267">
        <v>0</v>
      </c>
      <c r="V299" s="267">
        <v>0</v>
      </c>
      <c r="W299" s="267">
        <v>0</v>
      </c>
      <c r="Y299" s="267">
        <v>2</v>
      </c>
      <c r="Z299" s="267">
        <v>1</v>
      </c>
      <c r="AB299" s="267">
        <v>0</v>
      </c>
      <c r="AC299" s="267">
        <v>0</v>
      </c>
      <c r="AE299" s="267">
        <v>0</v>
      </c>
      <c r="AF299" s="267">
        <v>0</v>
      </c>
      <c r="AH299" s="267">
        <v>0</v>
      </c>
      <c r="AI299" s="267">
        <v>0</v>
      </c>
      <c r="AK299" s="267">
        <v>1</v>
      </c>
      <c r="AL299" s="267">
        <v>1</v>
      </c>
      <c r="AN299" s="267">
        <v>3</v>
      </c>
      <c r="AO299" s="267">
        <v>3</v>
      </c>
      <c r="AQ299" s="267">
        <v>0</v>
      </c>
      <c r="AR299" s="267">
        <v>0</v>
      </c>
      <c r="AT299" s="267">
        <v>0</v>
      </c>
      <c r="AU299" s="267">
        <v>0</v>
      </c>
      <c r="AW299" s="267">
        <v>0</v>
      </c>
      <c r="AX299" s="267">
        <v>0</v>
      </c>
      <c r="AZ299" s="267">
        <v>0</v>
      </c>
      <c r="BA299" s="267">
        <v>1</v>
      </c>
      <c r="BC299" s="267">
        <v>0</v>
      </c>
      <c r="BD299" s="267">
        <v>0</v>
      </c>
      <c r="BF299" s="267">
        <v>0</v>
      </c>
      <c r="BG299" s="267">
        <v>0</v>
      </c>
      <c r="BI299" s="267">
        <v>0</v>
      </c>
      <c r="BJ299" s="267">
        <v>0</v>
      </c>
      <c r="BL299" s="267">
        <v>0</v>
      </c>
      <c r="BM299" s="267">
        <v>0</v>
      </c>
      <c r="BO299" s="267">
        <v>0</v>
      </c>
      <c r="BP299" s="267">
        <v>0</v>
      </c>
      <c r="BR299" s="267">
        <v>0</v>
      </c>
      <c r="BS299" s="267">
        <v>0</v>
      </c>
      <c r="BU299" s="267">
        <v>0</v>
      </c>
      <c r="BV299" s="267">
        <v>0</v>
      </c>
      <c r="BX299" s="267">
        <v>0</v>
      </c>
      <c r="BY299" s="267">
        <v>0</v>
      </c>
      <c r="CA299" s="267">
        <v>0</v>
      </c>
      <c r="CB299" s="267">
        <v>0</v>
      </c>
      <c r="CD299" s="267">
        <v>0</v>
      </c>
      <c r="CE299" s="267">
        <v>0</v>
      </c>
      <c r="CG299" s="267">
        <v>0</v>
      </c>
      <c r="CH299" s="267">
        <v>0</v>
      </c>
    </row>
    <row r="300" spans="1:86" ht="45" x14ac:dyDescent="0.25">
      <c r="A300" s="95"/>
      <c r="B300" s="16" t="s">
        <v>851</v>
      </c>
      <c r="C300" s="95" t="s">
        <v>1167</v>
      </c>
      <c r="D300" s="95" t="s">
        <v>1112</v>
      </c>
      <c r="E300" s="95"/>
      <c r="F300" s="291">
        <v>0</v>
      </c>
      <c r="G300" s="291">
        <f t="shared" ref="G300:L300" si="113">G230</f>
        <v>61</v>
      </c>
      <c r="H300" s="291">
        <f t="shared" si="113"/>
        <v>57</v>
      </c>
      <c r="I300" s="291">
        <f t="shared" si="113"/>
        <v>55</v>
      </c>
      <c r="J300" s="291">
        <f t="shared" si="113"/>
        <v>134</v>
      </c>
      <c r="K300" s="291">
        <f t="shared" si="113"/>
        <v>119</v>
      </c>
      <c r="L300" s="291">
        <f t="shared" si="113"/>
        <v>107</v>
      </c>
      <c r="M300" s="291">
        <v>3</v>
      </c>
      <c r="N300" s="291">
        <v>2</v>
      </c>
      <c r="O300" s="291">
        <v>2</v>
      </c>
      <c r="P300" s="281"/>
      <c r="Q300" s="291">
        <f>Q230</f>
        <v>107</v>
      </c>
      <c r="R300" s="291">
        <f>R230</f>
        <v>92</v>
      </c>
      <c r="S300" s="291">
        <f>S230</f>
        <v>3</v>
      </c>
      <c r="T300" s="291">
        <f>T230</f>
        <v>2</v>
      </c>
      <c r="V300" s="291">
        <f>V230</f>
        <v>7</v>
      </c>
      <c r="W300" s="291">
        <f>W230</f>
        <v>7</v>
      </c>
      <c r="Y300" s="291">
        <f>Y230</f>
        <v>9</v>
      </c>
      <c r="Z300" s="291">
        <f>Z230</f>
        <v>5</v>
      </c>
      <c r="AB300" s="291">
        <f>AB230</f>
        <v>6</v>
      </c>
      <c r="AC300" s="291">
        <f>AC230</f>
        <v>5</v>
      </c>
      <c r="AE300" s="291">
        <f>AE230</f>
        <v>6</v>
      </c>
      <c r="AF300" s="291">
        <f>AF230</f>
        <v>6</v>
      </c>
      <c r="AH300" s="291">
        <f>AH230</f>
        <v>8</v>
      </c>
      <c r="AI300" s="291">
        <f>AI230</f>
        <v>8</v>
      </c>
      <c r="AK300" s="291">
        <f>AK230</f>
        <v>3</v>
      </c>
      <c r="AL300" s="291">
        <f>AL230</f>
        <v>3</v>
      </c>
      <c r="AN300" s="291">
        <f>AN230</f>
        <v>7</v>
      </c>
      <c r="AO300" s="291">
        <f>AO230</f>
        <v>7</v>
      </c>
      <c r="AQ300" s="291">
        <f>AQ230</f>
        <v>3</v>
      </c>
      <c r="AR300" s="291">
        <f>AR230</f>
        <v>2</v>
      </c>
      <c r="AT300" s="291">
        <f>AT230</f>
        <v>8</v>
      </c>
      <c r="AU300" s="291">
        <f>AU230</f>
        <v>6</v>
      </c>
      <c r="AW300" s="291">
        <f>AW230</f>
        <v>2</v>
      </c>
      <c r="AX300" s="291">
        <f>AX230</f>
        <v>2</v>
      </c>
      <c r="AZ300" s="291">
        <f>AZ230</f>
        <v>5</v>
      </c>
      <c r="BA300" s="291">
        <f>BA230</f>
        <v>2</v>
      </c>
      <c r="BC300" s="291">
        <f>BC230</f>
        <v>4</v>
      </c>
      <c r="BD300" s="291">
        <f>BD230</f>
        <v>4</v>
      </c>
      <c r="BF300" s="291">
        <f>BF230</f>
        <v>6</v>
      </c>
      <c r="BG300" s="291">
        <f>BG230</f>
        <v>6</v>
      </c>
      <c r="BI300" s="291">
        <f>BI230</f>
        <v>10</v>
      </c>
      <c r="BJ300" s="291">
        <f>BJ230</f>
        <v>10</v>
      </c>
      <c r="BL300" s="291">
        <f>BL230</f>
        <v>5</v>
      </c>
      <c r="BM300" s="291">
        <f>BM230</f>
        <v>4</v>
      </c>
      <c r="BO300" s="291">
        <f>BO230</f>
        <v>4</v>
      </c>
      <c r="BP300" s="291">
        <f>BP230</f>
        <v>2</v>
      </c>
      <c r="BR300" s="291">
        <f>BR230</f>
        <v>3</v>
      </c>
      <c r="BS300" s="291">
        <f>BS230</f>
        <v>3</v>
      </c>
      <c r="BU300" s="291">
        <f>BU230</f>
        <v>2</v>
      </c>
      <c r="BV300" s="291">
        <f>BV230</f>
        <v>2</v>
      </c>
      <c r="BX300" s="291">
        <f>BX230</f>
        <v>1</v>
      </c>
      <c r="BY300" s="291">
        <f>BY230</f>
        <v>1</v>
      </c>
      <c r="CA300" s="291">
        <f>CA230</f>
        <v>2</v>
      </c>
      <c r="CB300" s="291">
        <f>CB230</f>
        <v>2</v>
      </c>
      <c r="CD300" s="291">
        <f>CD230</f>
        <v>2</v>
      </c>
      <c r="CE300" s="291">
        <f>CE230</f>
        <v>2</v>
      </c>
      <c r="CG300" s="291">
        <f>CG230</f>
        <v>1</v>
      </c>
      <c r="CH300" s="291">
        <f>CH230</f>
        <v>1</v>
      </c>
    </row>
    <row r="301" spans="1:86" x14ac:dyDescent="0.25">
      <c r="A301" s="95"/>
      <c r="B301" s="16" t="s">
        <v>1184</v>
      </c>
      <c r="C301" s="95"/>
      <c r="D301" s="95"/>
      <c r="E301" s="95"/>
      <c r="F301" s="291"/>
      <c r="G301" s="291"/>
      <c r="H301" s="291"/>
      <c r="I301" s="291"/>
      <c r="J301" s="291">
        <v>2</v>
      </c>
      <c r="K301" s="291">
        <v>3</v>
      </c>
      <c r="L301" s="291">
        <v>5</v>
      </c>
      <c r="M301" s="291">
        <v>0</v>
      </c>
      <c r="N301" s="291">
        <v>0</v>
      </c>
      <c r="O301" s="291">
        <v>0</v>
      </c>
      <c r="P301" s="281"/>
      <c r="Q301" s="283">
        <f>S301+V301+Y301+AB301+AE301+AH301+AK301+AN301+AQ301+AT301+AW301+AZ301+BC301+BF301+BI301+BL301+BO301+BR301+BU301+BX301+CA301+CD301+CG301+CJ294</f>
        <v>5</v>
      </c>
      <c r="R301" s="283">
        <f>T301+W301+Z301+AC301+AF301+AI301+AL301+AO301+AR301+AU301+AX301+BA301+BD301+BG301+BJ301+BM301+BP301+BS301+BV301+BY301+CB301+CE301+CH301+CK294</f>
        <v>6</v>
      </c>
      <c r="S301" s="267">
        <v>0</v>
      </c>
      <c r="T301" s="267">
        <v>0</v>
      </c>
      <c r="V301" s="267">
        <v>0</v>
      </c>
      <c r="W301" s="267">
        <v>0</v>
      </c>
      <c r="Y301" s="267">
        <v>0</v>
      </c>
      <c r="Z301" s="267">
        <v>0</v>
      </c>
      <c r="AB301" s="267">
        <v>0</v>
      </c>
      <c r="AC301" s="267">
        <v>0</v>
      </c>
      <c r="AE301" s="267">
        <v>0</v>
      </c>
      <c r="AF301" s="267">
        <v>0</v>
      </c>
      <c r="AH301" s="267">
        <v>0</v>
      </c>
      <c r="AI301" s="267">
        <v>0</v>
      </c>
      <c r="AK301" s="267">
        <v>0</v>
      </c>
      <c r="AL301" s="267">
        <v>0</v>
      </c>
      <c r="AN301" s="267">
        <v>2</v>
      </c>
      <c r="AO301" s="267">
        <v>4</v>
      </c>
      <c r="AQ301" s="267">
        <v>0</v>
      </c>
      <c r="AR301" s="267">
        <v>0</v>
      </c>
      <c r="AT301" s="267">
        <v>1</v>
      </c>
      <c r="AU301" s="267">
        <v>2</v>
      </c>
      <c r="AW301" s="267">
        <v>0</v>
      </c>
      <c r="AX301" s="267">
        <v>0</v>
      </c>
      <c r="AZ301" s="267">
        <v>0</v>
      </c>
      <c r="BA301" s="267">
        <v>0</v>
      </c>
      <c r="BC301" s="267">
        <v>0</v>
      </c>
      <c r="BD301" s="267">
        <v>0</v>
      </c>
      <c r="BF301" s="267">
        <v>0</v>
      </c>
      <c r="BG301" s="267">
        <v>0</v>
      </c>
      <c r="BI301" s="267">
        <v>2</v>
      </c>
      <c r="BJ301" s="267">
        <v>0</v>
      </c>
      <c r="BL301" s="267">
        <v>0</v>
      </c>
      <c r="BM301" s="267">
        <v>0</v>
      </c>
      <c r="BO301" s="267">
        <v>0</v>
      </c>
      <c r="BP301" s="267">
        <v>0</v>
      </c>
      <c r="BR301" s="267">
        <v>0</v>
      </c>
      <c r="BS301" s="267">
        <v>0</v>
      </c>
      <c r="BU301" s="267">
        <v>0</v>
      </c>
      <c r="BV301" s="267">
        <v>0</v>
      </c>
      <c r="BX301" s="267">
        <v>0</v>
      </c>
      <c r="BY301" s="267">
        <v>0</v>
      </c>
      <c r="CA301" s="267">
        <v>0</v>
      </c>
      <c r="CB301" s="267">
        <v>0</v>
      </c>
      <c r="CD301" s="267">
        <v>0</v>
      </c>
      <c r="CE301" s="267">
        <v>0</v>
      </c>
      <c r="CG301" s="267">
        <v>0</v>
      </c>
      <c r="CH301" s="267">
        <v>0</v>
      </c>
    </row>
    <row r="302" spans="1:86" ht="45" x14ac:dyDescent="0.25">
      <c r="A302" s="107" t="s">
        <v>732</v>
      </c>
      <c r="B302" s="16" t="s">
        <v>852</v>
      </c>
      <c r="C302" s="95"/>
      <c r="D302" s="95"/>
      <c r="E302" s="95"/>
      <c r="F302" s="291"/>
      <c r="G302" s="291"/>
      <c r="H302" s="291"/>
      <c r="I302" s="291"/>
      <c r="J302" s="291">
        <f>J240</f>
        <v>16</v>
      </c>
      <c r="K302" s="291">
        <f>K240</f>
        <v>24</v>
      </c>
      <c r="L302" s="291">
        <f>L240</f>
        <v>19</v>
      </c>
      <c r="M302" s="291">
        <f>M240</f>
        <v>0</v>
      </c>
      <c r="N302" s="291"/>
      <c r="O302" s="291"/>
      <c r="P302" s="281"/>
      <c r="Q302" s="291">
        <f>Q240</f>
        <v>19</v>
      </c>
      <c r="R302" s="291">
        <f>R240</f>
        <v>18</v>
      </c>
      <c r="S302" s="291">
        <f>S240</f>
        <v>0</v>
      </c>
      <c r="T302" s="291">
        <f>T240</f>
        <v>0</v>
      </c>
      <c r="V302" s="291">
        <f>V240</f>
        <v>0</v>
      </c>
      <c r="W302" s="291">
        <f>W240</f>
        <v>0</v>
      </c>
      <c r="Y302" s="291">
        <f>Y240</f>
        <v>0</v>
      </c>
      <c r="Z302" s="291">
        <f>Z240</f>
        <v>0</v>
      </c>
      <c r="AB302" s="291">
        <f>AB240</f>
        <v>0</v>
      </c>
      <c r="AC302" s="291">
        <f>AC240</f>
        <v>0</v>
      </c>
      <c r="AE302" s="291">
        <f>AE240</f>
        <v>0</v>
      </c>
      <c r="AF302" s="291">
        <f>AF240</f>
        <v>0</v>
      </c>
      <c r="AH302" s="291">
        <f>AH240</f>
        <v>0</v>
      </c>
      <c r="AI302" s="291">
        <f>AI240</f>
        <v>0</v>
      </c>
      <c r="AK302" s="291">
        <f>AK240</f>
        <v>0</v>
      </c>
      <c r="AL302" s="291">
        <f>AL240</f>
        <v>0</v>
      </c>
      <c r="AN302" s="291">
        <f>AN240</f>
        <v>4</v>
      </c>
      <c r="AO302" s="291">
        <f>AO240</f>
        <v>7</v>
      </c>
      <c r="AQ302" s="291">
        <f>AQ240</f>
        <v>0</v>
      </c>
      <c r="AR302" s="291">
        <f>AR240</f>
        <v>0</v>
      </c>
      <c r="AT302" s="291">
        <f>AT240</f>
        <v>4</v>
      </c>
      <c r="AU302" s="291">
        <f>AU240</f>
        <v>4</v>
      </c>
      <c r="AW302" s="291">
        <f>AW240</f>
        <v>0</v>
      </c>
      <c r="AX302" s="291">
        <f>AX240</f>
        <v>0</v>
      </c>
      <c r="AZ302" s="291">
        <f>AZ240</f>
        <v>0</v>
      </c>
      <c r="BA302" s="291">
        <f>BA240</f>
        <v>0</v>
      </c>
      <c r="BC302" s="291">
        <f>BC240</f>
        <v>0</v>
      </c>
      <c r="BD302" s="291">
        <f>BD240</f>
        <v>0</v>
      </c>
      <c r="BF302" s="291">
        <f>BF240</f>
        <v>0</v>
      </c>
      <c r="BG302" s="291">
        <f>BG240</f>
        <v>0</v>
      </c>
      <c r="BI302" s="291">
        <f>BI240</f>
        <v>7</v>
      </c>
      <c r="BJ302" s="291">
        <f>BJ240</f>
        <v>4</v>
      </c>
      <c r="BL302" s="291">
        <f>BL240</f>
        <v>2</v>
      </c>
      <c r="BM302" s="291">
        <f>BM240</f>
        <v>2</v>
      </c>
      <c r="BO302" s="291">
        <f>BO240</f>
        <v>0</v>
      </c>
      <c r="BP302" s="291">
        <f>BP240</f>
        <v>0</v>
      </c>
      <c r="BR302" s="291">
        <f>BR240</f>
        <v>0</v>
      </c>
      <c r="BS302" s="291">
        <f>BS240</f>
        <v>0</v>
      </c>
      <c r="BU302" s="291">
        <f>BU240</f>
        <v>2</v>
      </c>
      <c r="BV302" s="291">
        <f>BV240</f>
        <v>1</v>
      </c>
      <c r="BX302" s="291">
        <f>BX240</f>
        <v>0</v>
      </c>
      <c r="BY302" s="291">
        <f>BY240</f>
        <v>0</v>
      </c>
      <c r="CA302" s="291">
        <f>CA240</f>
        <v>0</v>
      </c>
      <c r="CB302" s="291">
        <f>CB240</f>
        <v>0</v>
      </c>
      <c r="CD302" s="291">
        <f>CD240</f>
        <v>0</v>
      </c>
      <c r="CE302" s="291">
        <f>CE240</f>
        <v>0</v>
      </c>
      <c r="CG302" s="291">
        <f>CG240</f>
        <v>0</v>
      </c>
      <c r="CH302" s="291">
        <f>CH240</f>
        <v>0</v>
      </c>
    </row>
    <row r="303" spans="1:86" ht="45" hidden="1" x14ac:dyDescent="0.25">
      <c r="A303" s="105" t="s">
        <v>853</v>
      </c>
      <c r="B303" s="290" t="s">
        <v>852</v>
      </c>
      <c r="C303" s="107"/>
      <c r="D303" s="107"/>
      <c r="E303" s="107"/>
      <c r="F303" s="107"/>
      <c r="G303" s="107"/>
      <c r="H303" s="107"/>
      <c r="I303" s="107"/>
      <c r="J303" s="107"/>
      <c r="K303" s="107"/>
      <c r="L303" s="107"/>
      <c r="M303" s="107"/>
      <c r="N303" s="107"/>
      <c r="O303" s="107"/>
    </row>
    <row r="304" spans="1:86" ht="45" hidden="1" x14ac:dyDescent="0.25">
      <c r="A304" s="95" t="s">
        <v>855</v>
      </c>
      <c r="B304" s="16" t="s">
        <v>854</v>
      </c>
      <c r="C304" s="107"/>
      <c r="D304" s="95" t="s">
        <v>8</v>
      </c>
      <c r="E304" s="95"/>
      <c r="F304" s="279">
        <f t="shared" ref="F304:K304" si="114">F305/F306*100</f>
        <v>82.539682539682531</v>
      </c>
      <c r="G304" s="279">
        <f t="shared" si="114"/>
        <v>81.967213114754102</v>
      </c>
      <c r="H304" s="279">
        <f t="shared" si="114"/>
        <v>71.929824561403507</v>
      </c>
      <c r="I304" s="279">
        <f t="shared" si="114"/>
        <v>69.090909090909093</v>
      </c>
      <c r="J304" s="279" t="e">
        <f t="shared" si="114"/>
        <v>#DIV/0!</v>
      </c>
      <c r="K304" s="279" t="e">
        <f t="shared" si="114"/>
        <v>#DIV/0!</v>
      </c>
      <c r="L304" s="279" t="e">
        <f>L305/L306*100</f>
        <v>#DIV/0!</v>
      </c>
      <c r="M304" s="279" t="e">
        <f>M305/M306*100</f>
        <v>#DIV/0!</v>
      </c>
      <c r="N304" s="279"/>
      <c r="O304" s="279"/>
      <c r="P304" s="281" t="s">
        <v>839</v>
      </c>
    </row>
    <row r="305" spans="1:86" ht="45" hidden="1" x14ac:dyDescent="0.25">
      <c r="A305" s="107"/>
      <c r="B305" s="16" t="s">
        <v>856</v>
      </c>
      <c r="C305" s="95" t="s">
        <v>1168</v>
      </c>
      <c r="D305" s="95" t="s">
        <v>1112</v>
      </c>
      <c r="E305" s="95"/>
      <c r="F305" s="291">
        <v>52</v>
      </c>
      <c r="G305" s="291">
        <v>50</v>
      </c>
      <c r="H305" s="291">
        <v>41</v>
      </c>
      <c r="I305" s="291">
        <v>38</v>
      </c>
      <c r="J305" s="291"/>
      <c r="K305" s="291"/>
      <c r="L305" s="291"/>
      <c r="M305" s="291"/>
      <c r="N305" s="291"/>
      <c r="O305" s="291"/>
    </row>
    <row r="306" spans="1:86" ht="45" hidden="1" x14ac:dyDescent="0.25">
      <c r="A306" s="107"/>
      <c r="B306" s="16" t="s">
        <v>829</v>
      </c>
      <c r="C306" s="95" t="s">
        <v>1169</v>
      </c>
      <c r="D306" s="95" t="s">
        <v>1112</v>
      </c>
      <c r="E306" s="95"/>
      <c r="F306" s="291">
        <v>63</v>
      </c>
      <c r="G306" s="291">
        <v>61</v>
      </c>
      <c r="H306" s="291">
        <v>57</v>
      </c>
      <c r="I306" s="291">
        <v>55</v>
      </c>
      <c r="J306" s="291"/>
      <c r="K306" s="291"/>
      <c r="L306" s="291"/>
      <c r="M306" s="291"/>
      <c r="N306" s="291"/>
      <c r="O306" s="291"/>
    </row>
    <row r="307" spans="1:86" ht="45" hidden="1" x14ac:dyDescent="0.25">
      <c r="A307" s="95" t="s">
        <v>857</v>
      </c>
      <c r="B307" s="16" t="s">
        <v>858</v>
      </c>
      <c r="C307" s="95"/>
      <c r="D307" s="95" t="s">
        <v>8</v>
      </c>
      <c r="E307" s="95"/>
      <c r="F307" s="279">
        <f t="shared" ref="F307:K307" si="115">F308/F309*100</f>
        <v>95.238095238095227</v>
      </c>
      <c r="G307" s="279">
        <f t="shared" si="115"/>
        <v>91.803278688524586</v>
      </c>
      <c r="H307" s="279">
        <f t="shared" si="115"/>
        <v>91.228070175438589</v>
      </c>
      <c r="I307" s="279">
        <f t="shared" si="115"/>
        <v>94.545454545454547</v>
      </c>
      <c r="J307" s="279" t="e">
        <f t="shared" si="115"/>
        <v>#DIV/0!</v>
      </c>
      <c r="K307" s="279" t="e">
        <f t="shared" si="115"/>
        <v>#DIV/0!</v>
      </c>
      <c r="L307" s="279" t="e">
        <f>L308/L309*100</f>
        <v>#DIV/0!</v>
      </c>
      <c r="M307" s="279" t="e">
        <f>M308/M309*100</f>
        <v>#DIV/0!</v>
      </c>
      <c r="N307" s="279"/>
      <c r="O307" s="279"/>
      <c r="P307" s="281" t="s">
        <v>839</v>
      </c>
    </row>
    <row r="308" spans="1:86" ht="45" hidden="1" x14ac:dyDescent="0.25">
      <c r="A308" s="107"/>
      <c r="B308" s="16" t="s">
        <v>859</v>
      </c>
      <c r="C308" s="95" t="s">
        <v>1170</v>
      </c>
      <c r="D308" s="95" t="s">
        <v>1112</v>
      </c>
      <c r="E308" s="95"/>
      <c r="F308" s="291">
        <v>60</v>
      </c>
      <c r="G308" s="291">
        <v>56</v>
      </c>
      <c r="H308" s="291">
        <v>52</v>
      </c>
      <c r="I308" s="291">
        <v>52</v>
      </c>
      <c r="J308" s="291"/>
      <c r="K308" s="291"/>
      <c r="L308" s="291"/>
      <c r="M308" s="291"/>
      <c r="N308" s="291"/>
      <c r="O308" s="291"/>
    </row>
    <row r="309" spans="1:86" ht="45" hidden="1" x14ac:dyDescent="0.25">
      <c r="A309" s="107"/>
      <c r="B309" s="16" t="s">
        <v>829</v>
      </c>
      <c r="C309" s="95" t="s">
        <v>1167</v>
      </c>
      <c r="D309" s="95" t="s">
        <v>1112</v>
      </c>
      <c r="E309" s="95"/>
      <c r="F309" s="291">
        <v>63</v>
      </c>
      <c r="G309" s="291">
        <v>61</v>
      </c>
      <c r="H309" s="291">
        <v>57</v>
      </c>
      <c r="I309" s="291">
        <v>55</v>
      </c>
      <c r="J309" s="291"/>
      <c r="K309" s="291"/>
      <c r="L309" s="291"/>
      <c r="M309" s="291"/>
      <c r="N309" s="291"/>
      <c r="O309" s="291"/>
    </row>
    <row r="310" spans="1:86" ht="60" x14ac:dyDescent="0.25">
      <c r="A310" s="95" t="s">
        <v>734</v>
      </c>
      <c r="B310" s="96" t="s">
        <v>1891</v>
      </c>
      <c r="C310" s="95"/>
      <c r="D310" s="95" t="s">
        <v>8</v>
      </c>
      <c r="E310" s="95"/>
      <c r="F310" s="279">
        <f>F314/F315*100</f>
        <v>0</v>
      </c>
      <c r="G310" s="279">
        <f>G314/G315*100</f>
        <v>0</v>
      </c>
      <c r="H310" s="279">
        <f>H314/H315*100</f>
        <v>0</v>
      </c>
      <c r="I310" s="279">
        <f>I314/I315*100</f>
        <v>0</v>
      </c>
      <c r="J310" s="279"/>
      <c r="K310" s="279"/>
      <c r="L310" s="279"/>
      <c r="M310" s="279"/>
      <c r="N310" s="279"/>
      <c r="O310" s="279"/>
      <c r="P310" s="281" t="s">
        <v>839</v>
      </c>
    </row>
    <row r="311" spans="1:86" x14ac:dyDescent="0.25">
      <c r="A311" s="95"/>
      <c r="B311" s="16" t="s">
        <v>1182</v>
      </c>
      <c r="C311" s="95"/>
      <c r="D311" s="95"/>
      <c r="E311" s="95"/>
      <c r="F311" s="279"/>
      <c r="G311" s="279"/>
      <c r="H311" s="279"/>
      <c r="I311" s="279"/>
      <c r="J311" s="279">
        <f>J314/J315*100</f>
        <v>0</v>
      </c>
      <c r="K311" s="279">
        <f>K314/K315*100</f>
        <v>0</v>
      </c>
      <c r="L311" s="279">
        <f>L314/L315*100</f>
        <v>0</v>
      </c>
      <c r="M311" s="279">
        <f>M314/M315*100</f>
        <v>0</v>
      </c>
      <c r="N311" s="279">
        <v>0</v>
      </c>
      <c r="O311" s="279">
        <v>0</v>
      </c>
      <c r="P311" s="281"/>
      <c r="Q311" s="279">
        <f>Q314/Q315*100</f>
        <v>0</v>
      </c>
      <c r="R311" s="279">
        <f>R314/R315*100</f>
        <v>0</v>
      </c>
      <c r="S311" s="279">
        <f>S314/S315*100</f>
        <v>0</v>
      </c>
      <c r="T311" s="279">
        <f>T314/T315*100</f>
        <v>0</v>
      </c>
      <c r="V311" s="279">
        <f>V314/V315*100</f>
        <v>0</v>
      </c>
      <c r="W311" s="279">
        <f>W314/W315*100</f>
        <v>0</v>
      </c>
      <c r="Y311" s="279">
        <f>Y314/Y315*100</f>
        <v>0</v>
      </c>
      <c r="Z311" s="279">
        <f>Z314/Z315*100</f>
        <v>0</v>
      </c>
      <c r="AB311" s="279">
        <f>AB314/AB315*100</f>
        <v>0</v>
      </c>
      <c r="AC311" s="279">
        <f>AC314/AC315*100</f>
        <v>0</v>
      </c>
      <c r="AE311" s="279">
        <f>AE314/AE315*100</f>
        <v>0</v>
      </c>
      <c r="AF311" s="279">
        <f>AF314/AF315*100</f>
        <v>0</v>
      </c>
      <c r="AH311" s="279">
        <f>AH314/AH315*100</f>
        <v>0</v>
      </c>
      <c r="AI311" s="279">
        <f>AI314/AI315*100</f>
        <v>0</v>
      </c>
      <c r="AK311" s="279">
        <f>AK314/AK315*100</f>
        <v>0</v>
      </c>
      <c r="AL311" s="279">
        <f>AL314/AL315*100</f>
        <v>0</v>
      </c>
      <c r="AN311" s="279">
        <f>AN314/AN315*100</f>
        <v>0</v>
      </c>
      <c r="AO311" s="279">
        <f>AO314/AO315*100</f>
        <v>0</v>
      </c>
      <c r="AQ311" s="279">
        <f>AQ314/AQ315*100</f>
        <v>0</v>
      </c>
      <c r="AR311" s="279">
        <f>AR314/AR315*100</f>
        <v>0</v>
      </c>
      <c r="AT311" s="279">
        <f>AT314/AT315*100</f>
        <v>0</v>
      </c>
      <c r="AU311" s="279">
        <f>AU314/AU315*100</f>
        <v>0</v>
      </c>
      <c r="AW311" s="279">
        <f>AW314/AW315*100</f>
        <v>0</v>
      </c>
      <c r="AX311" s="279">
        <f>AX314/AX315*100</f>
        <v>0</v>
      </c>
      <c r="AZ311" s="279">
        <f>AZ314/AZ315*100</f>
        <v>0</v>
      </c>
      <c r="BA311" s="279">
        <f>BA314/BA315*100</f>
        <v>0</v>
      </c>
      <c r="BC311" s="279">
        <f>BC314/BC315*100</f>
        <v>0</v>
      </c>
      <c r="BD311" s="279">
        <f>BD314/BD315*100</f>
        <v>0</v>
      </c>
      <c r="BF311" s="279">
        <f>BF314/BF315*100</f>
        <v>0</v>
      </c>
      <c r="BG311" s="279">
        <f>BG314/BG315*100</f>
        <v>0</v>
      </c>
      <c r="BI311" s="279">
        <f>BI314/BI315*100</f>
        <v>0</v>
      </c>
      <c r="BJ311" s="279">
        <f>BJ314/BJ315*100</f>
        <v>0</v>
      </c>
      <c r="BL311" s="279">
        <f>BL314/BL315*100</f>
        <v>0</v>
      </c>
      <c r="BM311" s="279">
        <f>BM314/BM315*100</f>
        <v>0</v>
      </c>
      <c r="BO311" s="279">
        <f>BO314/BO315*100</f>
        <v>0</v>
      </c>
      <c r="BP311" s="279">
        <f>BP314/BP315*100</f>
        <v>0</v>
      </c>
      <c r="BR311" s="279">
        <f>BR314/BR315*100</f>
        <v>0</v>
      </c>
      <c r="BS311" s="279">
        <f>BS314/BS315*100</f>
        <v>0</v>
      </c>
      <c r="BU311" s="279">
        <f>BU314/BU315*100</f>
        <v>0</v>
      </c>
      <c r="BV311" s="279">
        <f>BV314/BV315*100</f>
        <v>0</v>
      </c>
      <c r="BX311" s="279">
        <f>BX314/BX315*100</f>
        <v>0</v>
      </c>
      <c r="BY311" s="279">
        <f>BY314/BY315*100</f>
        <v>0</v>
      </c>
      <c r="CA311" s="279">
        <f>CA314/CA315*100</f>
        <v>0</v>
      </c>
      <c r="CB311" s="279">
        <f>CB314/CB315*100</f>
        <v>0</v>
      </c>
      <c r="CD311" s="279">
        <f>CD314/CD315*100</f>
        <v>0</v>
      </c>
      <c r="CE311" s="279">
        <f>CE314/CE315*100</f>
        <v>0</v>
      </c>
      <c r="CG311" s="279">
        <f>CG314/CG315*100</f>
        <v>0</v>
      </c>
      <c r="CH311" s="279">
        <f>CH314/CH315*100</f>
        <v>0</v>
      </c>
    </row>
    <row r="312" spans="1:86" x14ac:dyDescent="0.25">
      <c r="A312" s="95"/>
      <c r="B312" s="16" t="s">
        <v>1184</v>
      </c>
      <c r="C312" s="95"/>
      <c r="D312" s="95"/>
      <c r="E312" s="95"/>
      <c r="F312" s="279"/>
      <c r="G312" s="279"/>
      <c r="H312" s="279"/>
      <c r="I312" s="279"/>
      <c r="J312" s="279" t="e">
        <f>J316/#REF!*100</f>
        <v>#REF!</v>
      </c>
      <c r="K312" s="279" t="e">
        <f>K316/#REF!*100</f>
        <v>#REF!</v>
      </c>
      <c r="L312" s="279" t="e">
        <f>L316/#REF!*100</f>
        <v>#REF!</v>
      </c>
      <c r="M312" s="279" t="e">
        <f>M316/#REF!*100</f>
        <v>#REF!</v>
      </c>
      <c r="N312" s="279">
        <v>0</v>
      </c>
      <c r="O312" s="279">
        <v>0</v>
      </c>
      <c r="P312" s="281"/>
      <c r="Q312" s="279" t="e">
        <f>Q316/#REF!*100</f>
        <v>#REF!</v>
      </c>
      <c r="R312" s="279" t="e">
        <f>R316/#REF!*100</f>
        <v>#REF!</v>
      </c>
      <c r="S312" s="279" t="e">
        <f>S316/#REF!*100</f>
        <v>#REF!</v>
      </c>
      <c r="T312" s="279" t="e">
        <f>T316/#REF!*100</f>
        <v>#REF!</v>
      </c>
      <c r="V312" s="279" t="e">
        <f>V316/#REF!*100</f>
        <v>#REF!</v>
      </c>
      <c r="W312" s="279" t="e">
        <f>W316/#REF!*100</f>
        <v>#REF!</v>
      </c>
      <c r="Y312" s="279" t="e">
        <f>Y316/#REF!*100</f>
        <v>#REF!</v>
      </c>
      <c r="Z312" s="279" t="e">
        <f>Z316/#REF!*100</f>
        <v>#REF!</v>
      </c>
      <c r="AB312" s="279" t="e">
        <f>AB316/#REF!*100</f>
        <v>#REF!</v>
      </c>
      <c r="AC312" s="279" t="e">
        <f>AC316/#REF!*100</f>
        <v>#REF!</v>
      </c>
      <c r="AE312" s="279" t="e">
        <f>AE316/#REF!*100</f>
        <v>#REF!</v>
      </c>
      <c r="AF312" s="279" t="e">
        <f>AF316/#REF!*100</f>
        <v>#REF!</v>
      </c>
      <c r="AH312" s="279" t="e">
        <f>AH316/#REF!*100</f>
        <v>#REF!</v>
      </c>
      <c r="AI312" s="279" t="e">
        <f>AI316/#REF!*100</f>
        <v>#REF!</v>
      </c>
      <c r="AK312" s="279" t="e">
        <f>AK316/#REF!*100</f>
        <v>#REF!</v>
      </c>
      <c r="AL312" s="279" t="e">
        <f>AL316/#REF!*100</f>
        <v>#REF!</v>
      </c>
      <c r="AN312" s="279" t="e">
        <f>AN316/#REF!*100</f>
        <v>#REF!</v>
      </c>
      <c r="AO312" s="279" t="e">
        <f>AO316/#REF!*100</f>
        <v>#REF!</v>
      </c>
      <c r="AQ312" s="279" t="e">
        <f>AQ316/#REF!*100</f>
        <v>#REF!</v>
      </c>
      <c r="AR312" s="279" t="e">
        <f>AR316/#REF!*100</f>
        <v>#REF!</v>
      </c>
      <c r="AT312" s="279" t="e">
        <f>AT316/#REF!*100</f>
        <v>#REF!</v>
      </c>
      <c r="AU312" s="279" t="e">
        <f>AU316/#REF!*100</f>
        <v>#REF!</v>
      </c>
      <c r="AW312" s="279" t="e">
        <f>AW316/#REF!*100</f>
        <v>#REF!</v>
      </c>
      <c r="AX312" s="279" t="e">
        <f>AX316/#REF!*100</f>
        <v>#REF!</v>
      </c>
      <c r="AZ312" s="279" t="e">
        <f>AZ316/#REF!*100</f>
        <v>#REF!</v>
      </c>
      <c r="BA312" s="279" t="e">
        <f>BA316/#REF!*100</f>
        <v>#REF!</v>
      </c>
      <c r="BC312" s="279" t="e">
        <f>BC316/#REF!*100</f>
        <v>#REF!</v>
      </c>
      <c r="BD312" s="279" t="e">
        <f>BD316/#REF!*100</f>
        <v>#REF!</v>
      </c>
      <c r="BF312" s="279" t="e">
        <f>BF316/#REF!*100</f>
        <v>#REF!</v>
      </c>
      <c r="BG312" s="279" t="e">
        <f>BG316/#REF!*100</f>
        <v>#REF!</v>
      </c>
      <c r="BI312" s="279" t="e">
        <f>BI316/#REF!*100</f>
        <v>#REF!</v>
      </c>
      <c r="BJ312" s="279" t="e">
        <f>BJ316/#REF!*100</f>
        <v>#REF!</v>
      </c>
      <c r="BL312" s="279" t="e">
        <f>BL316/#REF!*100</f>
        <v>#REF!</v>
      </c>
      <c r="BM312" s="279" t="e">
        <f>BM316/#REF!*100</f>
        <v>#REF!</v>
      </c>
      <c r="BO312" s="279" t="e">
        <f>BO316/#REF!*100</f>
        <v>#REF!</v>
      </c>
      <c r="BP312" s="279" t="e">
        <f>BP316/#REF!*100</f>
        <v>#REF!</v>
      </c>
      <c r="BR312" s="279" t="e">
        <f>BR316/#REF!*100</f>
        <v>#REF!</v>
      </c>
      <c r="BS312" s="279" t="e">
        <f>BS316/#REF!*100</f>
        <v>#REF!</v>
      </c>
      <c r="BU312" s="279" t="e">
        <f>BU316/#REF!*100</f>
        <v>#REF!</v>
      </c>
      <c r="BV312" s="279" t="e">
        <f>BV316/#REF!*100</f>
        <v>#REF!</v>
      </c>
      <c r="BX312" s="279" t="e">
        <f>BX316/#REF!*100</f>
        <v>#REF!</v>
      </c>
      <c r="BY312" s="279" t="e">
        <f>BY316/#REF!*100</f>
        <v>#REF!</v>
      </c>
      <c r="CA312" s="279" t="e">
        <f>CA316/#REF!*100</f>
        <v>#REF!</v>
      </c>
      <c r="CB312" s="279" t="e">
        <f>CB316/#REF!*100</f>
        <v>#REF!</v>
      </c>
      <c r="CD312" s="279" t="e">
        <f>CD316/#REF!*100</f>
        <v>#REF!</v>
      </c>
      <c r="CE312" s="279" t="e">
        <f>CE316/#REF!*100</f>
        <v>#REF!</v>
      </c>
      <c r="CG312" s="279" t="e">
        <f>CG316/#REF!*100</f>
        <v>#REF!</v>
      </c>
      <c r="CH312" s="279" t="e">
        <f>CH316/#REF!*100</f>
        <v>#REF!</v>
      </c>
    </row>
    <row r="313" spans="1:86" x14ac:dyDescent="0.25">
      <c r="A313" s="107"/>
      <c r="B313" s="16" t="s">
        <v>1182</v>
      </c>
      <c r="C313" s="95"/>
      <c r="D313" s="95"/>
      <c r="E313" s="95"/>
      <c r="F313" s="291"/>
      <c r="G313" s="291"/>
      <c r="H313" s="291"/>
      <c r="I313" s="291"/>
      <c r="J313" s="291"/>
      <c r="K313" s="291"/>
      <c r="L313" s="291"/>
      <c r="M313" s="291"/>
      <c r="N313" s="291">
        <v>0</v>
      </c>
      <c r="O313" s="291">
        <v>0</v>
      </c>
    </row>
    <row r="314" spans="1:86" ht="45" x14ac:dyDescent="0.25">
      <c r="A314" s="107"/>
      <c r="B314" s="16" t="s">
        <v>860</v>
      </c>
      <c r="C314" s="95" t="s">
        <v>1171</v>
      </c>
      <c r="D314" s="95" t="s">
        <v>1112</v>
      </c>
      <c r="E314" s="95"/>
      <c r="F314" s="291">
        <v>0</v>
      </c>
      <c r="G314" s="291">
        <v>0</v>
      </c>
      <c r="H314" s="291">
        <v>0</v>
      </c>
      <c r="I314" s="291">
        <v>0</v>
      </c>
      <c r="J314" s="291">
        <v>0</v>
      </c>
      <c r="K314" s="291">
        <v>0</v>
      </c>
      <c r="L314" s="291">
        <v>0</v>
      </c>
      <c r="M314" s="291">
        <v>0</v>
      </c>
      <c r="N314" s="291">
        <v>0</v>
      </c>
      <c r="O314" s="291">
        <v>0</v>
      </c>
      <c r="Q314" s="283">
        <f>S314+V314+Y314+AB314+AE314+AH314+AK314+AN314+AQ314+AT314+AW314+AZ314+BC314+BF314+BI314+BL314+BO314+BR314+BU314+BX314+CA314+CD314+CG314+CJ307</f>
        <v>0</v>
      </c>
      <c r="R314" s="283">
        <f>T314+W314+Z314+AC314+AF314+AI314+AL314+AO314+AR314+AU314+AX314+BA314+BD314+BG314+BJ314+BM314+BP314+BS314+BV314+BY314+CB314+CE314+CH314+CK307</f>
        <v>0</v>
      </c>
      <c r="S314" s="267">
        <v>0</v>
      </c>
      <c r="T314" s="267">
        <v>0</v>
      </c>
      <c r="V314" s="267">
        <v>0</v>
      </c>
      <c r="W314" s="267">
        <v>0</v>
      </c>
      <c r="Y314" s="267">
        <v>0</v>
      </c>
      <c r="Z314" s="267">
        <v>0</v>
      </c>
      <c r="AB314" s="267">
        <v>0</v>
      </c>
      <c r="AC314" s="267">
        <v>0</v>
      </c>
      <c r="AE314" s="267">
        <v>0</v>
      </c>
      <c r="AF314" s="267">
        <v>0</v>
      </c>
      <c r="AH314" s="267">
        <v>0</v>
      </c>
      <c r="AI314" s="267">
        <v>0</v>
      </c>
      <c r="AK314" s="267">
        <v>0</v>
      </c>
      <c r="AL314" s="267">
        <v>0</v>
      </c>
      <c r="AN314" s="267">
        <v>0</v>
      </c>
      <c r="AO314" s="267">
        <v>0</v>
      </c>
      <c r="AQ314" s="267">
        <v>0</v>
      </c>
      <c r="AR314" s="267">
        <v>0</v>
      </c>
      <c r="AT314" s="267">
        <v>0</v>
      </c>
      <c r="AU314" s="267">
        <v>0</v>
      </c>
      <c r="AW314" s="267">
        <v>0</v>
      </c>
      <c r="AX314" s="267">
        <v>0</v>
      </c>
      <c r="AZ314" s="267">
        <v>0</v>
      </c>
      <c r="BA314" s="267">
        <v>0</v>
      </c>
      <c r="BC314" s="267">
        <v>0</v>
      </c>
      <c r="BD314" s="267">
        <v>0</v>
      </c>
      <c r="BF314" s="267">
        <v>0</v>
      </c>
      <c r="BG314" s="267">
        <v>0</v>
      </c>
      <c r="BI314" s="267">
        <v>0</v>
      </c>
      <c r="BJ314" s="267">
        <v>0</v>
      </c>
      <c r="BL314" s="267">
        <v>0</v>
      </c>
      <c r="BM314" s="267">
        <v>0</v>
      </c>
      <c r="BO314" s="267">
        <v>0</v>
      </c>
      <c r="BP314" s="267">
        <v>0</v>
      </c>
      <c r="BR314" s="267">
        <v>0</v>
      </c>
      <c r="BS314" s="267">
        <v>0</v>
      </c>
      <c r="BU314" s="267">
        <v>0</v>
      </c>
      <c r="BV314" s="267">
        <v>0</v>
      </c>
      <c r="BX314" s="267">
        <v>0</v>
      </c>
      <c r="BY314" s="267">
        <v>0</v>
      </c>
      <c r="CA314" s="267">
        <v>0</v>
      </c>
      <c r="CB314" s="267">
        <v>0</v>
      </c>
      <c r="CD314" s="267">
        <v>0</v>
      </c>
      <c r="CE314" s="267">
        <v>0</v>
      </c>
      <c r="CG314" s="267">
        <v>0</v>
      </c>
      <c r="CH314" s="267">
        <v>0</v>
      </c>
    </row>
    <row r="315" spans="1:86" ht="45" x14ac:dyDescent="0.25">
      <c r="A315" s="107"/>
      <c r="B315" s="16" t="s">
        <v>829</v>
      </c>
      <c r="C315" s="95" t="s">
        <v>1169</v>
      </c>
      <c r="D315" s="95" t="s">
        <v>1112</v>
      </c>
      <c r="E315" s="95"/>
      <c r="F315" s="291">
        <v>63</v>
      </c>
      <c r="G315" s="291">
        <v>61</v>
      </c>
      <c r="H315" s="291">
        <v>57</v>
      </c>
      <c r="I315" s="291">
        <v>55</v>
      </c>
      <c r="J315" s="291">
        <f>J300</f>
        <v>134</v>
      </c>
      <c r="K315" s="291">
        <f>K300</f>
        <v>119</v>
      </c>
      <c r="L315" s="291">
        <f>L300</f>
        <v>107</v>
      </c>
      <c r="M315" s="291">
        <f>M300</f>
        <v>3</v>
      </c>
      <c r="N315" s="291">
        <v>2</v>
      </c>
      <c r="O315" s="291">
        <v>2</v>
      </c>
      <c r="Q315" s="291">
        <f>Q300</f>
        <v>107</v>
      </c>
      <c r="R315" s="291">
        <f>R300</f>
        <v>92</v>
      </c>
      <c r="S315" s="291">
        <f>S300</f>
        <v>3</v>
      </c>
      <c r="T315" s="291">
        <f>T300</f>
        <v>2</v>
      </c>
      <c r="V315" s="291">
        <f>V300</f>
        <v>7</v>
      </c>
      <c r="W315" s="291">
        <f>W300</f>
        <v>7</v>
      </c>
      <c r="Y315" s="291">
        <f>Y300</f>
        <v>9</v>
      </c>
      <c r="Z315" s="291">
        <f>Z300</f>
        <v>5</v>
      </c>
      <c r="AB315" s="291">
        <f>AB300</f>
        <v>6</v>
      </c>
      <c r="AC315" s="291">
        <f>AC300</f>
        <v>5</v>
      </c>
      <c r="AE315" s="291">
        <f>AE300</f>
        <v>6</v>
      </c>
      <c r="AF315" s="291">
        <f>AF300</f>
        <v>6</v>
      </c>
      <c r="AH315" s="291">
        <f>AH300</f>
        <v>8</v>
      </c>
      <c r="AI315" s="291">
        <f>AI300</f>
        <v>8</v>
      </c>
      <c r="AK315" s="291">
        <f>AK300</f>
        <v>3</v>
      </c>
      <c r="AL315" s="291">
        <f>AL300</f>
        <v>3</v>
      </c>
      <c r="AN315" s="291">
        <f>AN300</f>
        <v>7</v>
      </c>
      <c r="AO315" s="291">
        <f>AO300</f>
        <v>7</v>
      </c>
      <c r="AQ315" s="291">
        <f>AQ300</f>
        <v>3</v>
      </c>
      <c r="AR315" s="291">
        <f>AR300</f>
        <v>2</v>
      </c>
      <c r="AT315" s="291">
        <f>AT300</f>
        <v>8</v>
      </c>
      <c r="AU315" s="291">
        <f>AU300</f>
        <v>6</v>
      </c>
      <c r="AW315" s="291">
        <f>AW300</f>
        <v>2</v>
      </c>
      <c r="AX315" s="291">
        <f>AX300</f>
        <v>2</v>
      </c>
      <c r="AZ315" s="291">
        <f>AZ300</f>
        <v>5</v>
      </c>
      <c r="BA315" s="291">
        <f>BA300</f>
        <v>2</v>
      </c>
      <c r="BC315" s="291">
        <f>BC300</f>
        <v>4</v>
      </c>
      <c r="BD315" s="291">
        <f>BD300</f>
        <v>4</v>
      </c>
      <c r="BF315" s="291">
        <f>BF300</f>
        <v>6</v>
      </c>
      <c r="BG315" s="291">
        <f>BG300</f>
        <v>6</v>
      </c>
      <c r="BI315" s="291">
        <f>BI300</f>
        <v>10</v>
      </c>
      <c r="BJ315" s="291">
        <f>BJ300</f>
        <v>10</v>
      </c>
      <c r="BL315" s="291">
        <f>BL300</f>
        <v>5</v>
      </c>
      <c r="BM315" s="291">
        <f>BM300</f>
        <v>4</v>
      </c>
      <c r="BO315" s="291">
        <f>BO300</f>
        <v>4</v>
      </c>
      <c r="BP315" s="291">
        <f>BP300</f>
        <v>2</v>
      </c>
      <c r="BR315" s="291">
        <f>BR300</f>
        <v>3</v>
      </c>
      <c r="BS315" s="291">
        <f>BS300</f>
        <v>3</v>
      </c>
      <c r="BU315" s="291">
        <f>BU300</f>
        <v>2</v>
      </c>
      <c r="BV315" s="291">
        <f>BV300</f>
        <v>2</v>
      </c>
      <c r="BX315" s="291">
        <f>BX300</f>
        <v>1</v>
      </c>
      <c r="BY315" s="291">
        <f>BY300</f>
        <v>1</v>
      </c>
      <c r="CA315" s="291">
        <f>CA300</f>
        <v>2</v>
      </c>
      <c r="CB315" s="291">
        <f>CB300</f>
        <v>2</v>
      </c>
      <c r="CD315" s="291">
        <f>CD300</f>
        <v>2</v>
      </c>
      <c r="CE315" s="291">
        <f>CE300</f>
        <v>2</v>
      </c>
      <c r="CG315" s="291">
        <f>CG300</f>
        <v>1</v>
      </c>
      <c r="CH315" s="291">
        <f>CH300</f>
        <v>1</v>
      </c>
    </row>
    <row r="316" spans="1:86" x14ac:dyDescent="0.25">
      <c r="A316" s="107"/>
      <c r="B316" s="16" t="s">
        <v>1184</v>
      </c>
      <c r="C316" s="95"/>
      <c r="D316" s="95"/>
      <c r="E316" s="95"/>
      <c r="F316" s="291"/>
      <c r="G316" s="291"/>
      <c r="H316" s="291"/>
      <c r="I316" s="291"/>
      <c r="J316" s="291">
        <v>0</v>
      </c>
      <c r="K316" s="291">
        <v>0</v>
      </c>
      <c r="L316" s="291">
        <v>0</v>
      </c>
      <c r="M316" s="291">
        <v>0</v>
      </c>
      <c r="N316" s="291">
        <v>0</v>
      </c>
      <c r="O316" s="291">
        <v>0</v>
      </c>
      <c r="Q316" s="283">
        <f>S316+V316+Y316+AB316+AE316+AH316+AK316+AN316+AQ316+AT316+AW316+AZ316+BC316+BF316+BI316+BL316+BO316+BR316+BU316+BX316+CA316+CD316+CG316+CJ309</f>
        <v>0</v>
      </c>
      <c r="R316" s="283">
        <f>T316+W316+Z316+AC316+AF316+AI316+AL316+AO316+AR316+AU316+AX316+BA316+BD316+BG316+BJ316+BM316+BP316+BS316+BV316+BY316+CB316+CE316+CH316+CK309</f>
        <v>0</v>
      </c>
      <c r="S316" s="267">
        <v>0</v>
      </c>
      <c r="T316" s="267">
        <v>0</v>
      </c>
      <c r="V316" s="267">
        <v>0</v>
      </c>
      <c r="W316" s="267">
        <v>0</v>
      </c>
      <c r="Y316" s="267">
        <v>0</v>
      </c>
      <c r="Z316" s="267">
        <v>0</v>
      </c>
      <c r="AB316" s="267">
        <v>0</v>
      </c>
      <c r="AC316" s="267">
        <v>0</v>
      </c>
      <c r="AE316" s="267">
        <v>0</v>
      </c>
      <c r="AF316" s="267">
        <v>0</v>
      </c>
      <c r="AH316" s="267">
        <v>0</v>
      </c>
      <c r="AI316" s="267">
        <v>0</v>
      </c>
      <c r="AK316" s="267">
        <v>0</v>
      </c>
      <c r="AL316" s="267">
        <v>0</v>
      </c>
      <c r="AN316" s="267">
        <v>0</v>
      </c>
      <c r="AO316" s="267">
        <v>0</v>
      </c>
      <c r="AQ316" s="267">
        <v>0</v>
      </c>
      <c r="AR316" s="267">
        <v>0</v>
      </c>
      <c r="AT316" s="267">
        <v>0</v>
      </c>
      <c r="AU316" s="267">
        <v>0</v>
      </c>
      <c r="AW316" s="267">
        <v>0</v>
      </c>
      <c r="AX316" s="267">
        <v>0</v>
      </c>
      <c r="AZ316" s="267">
        <v>0</v>
      </c>
      <c r="BA316" s="267">
        <v>0</v>
      </c>
      <c r="BC316" s="267">
        <v>0</v>
      </c>
      <c r="BD316" s="267">
        <v>0</v>
      </c>
      <c r="BF316" s="267">
        <v>0</v>
      </c>
      <c r="BG316" s="267">
        <v>0</v>
      </c>
      <c r="BI316" s="267">
        <v>0</v>
      </c>
      <c r="BJ316" s="267">
        <v>0</v>
      </c>
      <c r="BL316" s="267">
        <v>0</v>
      </c>
      <c r="BM316" s="267">
        <v>0</v>
      </c>
      <c r="BO316" s="267">
        <v>0</v>
      </c>
      <c r="BP316" s="267">
        <v>0</v>
      </c>
      <c r="BR316" s="267">
        <v>0</v>
      </c>
      <c r="BS316" s="267">
        <v>0</v>
      </c>
      <c r="BU316" s="267">
        <v>0</v>
      </c>
      <c r="BV316" s="267">
        <v>0</v>
      </c>
      <c r="BX316" s="267">
        <v>0</v>
      </c>
      <c r="BY316" s="267">
        <v>0</v>
      </c>
      <c r="CA316" s="267">
        <v>0</v>
      </c>
      <c r="CB316" s="267">
        <v>0</v>
      </c>
      <c r="CD316" s="267">
        <v>0</v>
      </c>
      <c r="CE316" s="267">
        <v>0</v>
      </c>
      <c r="CG316" s="267">
        <v>0</v>
      </c>
      <c r="CH316" s="267">
        <v>0</v>
      </c>
    </row>
    <row r="317" spans="1:86" ht="60" x14ac:dyDescent="0.25">
      <c r="A317" s="95" t="s">
        <v>3011</v>
      </c>
      <c r="B317" s="96" t="s">
        <v>1892</v>
      </c>
      <c r="C317" s="95"/>
      <c r="D317" s="95" t="s">
        <v>8</v>
      </c>
      <c r="E317" s="95"/>
      <c r="F317" s="279">
        <f>F321/F322*100</f>
        <v>22.222222222222221</v>
      </c>
      <c r="G317" s="279">
        <f>G321/G322*100</f>
        <v>16.393442622950818</v>
      </c>
      <c r="H317" s="279">
        <f>H321/H322*100</f>
        <v>14.035087719298245</v>
      </c>
      <c r="I317" s="279">
        <f>I321/I322*100</f>
        <v>12.727272727272727</v>
      </c>
      <c r="J317" s="279"/>
      <c r="K317" s="279"/>
      <c r="L317" s="279"/>
      <c r="M317" s="279">
        <v>0</v>
      </c>
      <c r="N317" s="279">
        <v>0</v>
      </c>
      <c r="O317" s="279">
        <v>0</v>
      </c>
      <c r="P317" s="281" t="s">
        <v>839</v>
      </c>
    </row>
    <row r="318" spans="1:86" x14ac:dyDescent="0.25">
      <c r="A318" s="95"/>
      <c r="B318" s="16" t="s">
        <v>1182</v>
      </c>
      <c r="C318" s="95"/>
      <c r="D318" s="95"/>
      <c r="E318" s="95"/>
      <c r="F318" s="279"/>
      <c r="G318" s="279"/>
      <c r="H318" s="279"/>
      <c r="I318" s="279"/>
      <c r="J318" s="279">
        <f>J321/J322*100</f>
        <v>22.388059701492537</v>
      </c>
      <c r="K318" s="279">
        <f>K321/K322*100</f>
        <v>21.008403361344538</v>
      </c>
      <c r="L318" s="279">
        <f>L321/L322*100</f>
        <v>25.233644859813083</v>
      </c>
      <c r="M318" s="279">
        <f>M321/M322*100</f>
        <v>0</v>
      </c>
      <c r="N318" s="279">
        <v>0</v>
      </c>
      <c r="O318" s="279">
        <v>0</v>
      </c>
      <c r="P318" s="281"/>
      <c r="Q318" s="279">
        <f>Q321/Q322*100</f>
        <v>25.233644859813083</v>
      </c>
      <c r="R318" s="279">
        <f>R321/R322*100</f>
        <v>15.217391304347828</v>
      </c>
      <c r="S318" s="279">
        <f>S321/S322*100</f>
        <v>0</v>
      </c>
      <c r="T318" s="279">
        <f>T321/T322*100</f>
        <v>0</v>
      </c>
      <c r="V318" s="279">
        <f>V321/V322*100</f>
        <v>42.857142857142854</v>
      </c>
      <c r="W318" s="279">
        <f>W321/W322*100</f>
        <v>0</v>
      </c>
      <c r="Y318" s="279">
        <f>Y321/Y322*100</f>
        <v>44.444444444444443</v>
      </c>
      <c r="Z318" s="279">
        <f>Z321/Z322*100</f>
        <v>40</v>
      </c>
      <c r="AB318" s="279">
        <f>AB321/AB322*100</f>
        <v>16.666666666666664</v>
      </c>
      <c r="AC318" s="279">
        <f>AC321/AC322*100</f>
        <v>0</v>
      </c>
      <c r="AE318" s="279">
        <f>AE321/AE322*100</f>
        <v>0</v>
      </c>
      <c r="AF318" s="279">
        <f>AF321/AF322*100</f>
        <v>0</v>
      </c>
      <c r="AH318" s="279">
        <f>AH321/AH322*100</f>
        <v>50</v>
      </c>
      <c r="AI318" s="279">
        <f>AI321/AI322*100</f>
        <v>25</v>
      </c>
      <c r="AK318" s="279">
        <f>AK321/AK322*100</f>
        <v>66.666666666666657</v>
      </c>
      <c r="AL318" s="279">
        <f>AL321/AL322*100</f>
        <v>33.333333333333329</v>
      </c>
      <c r="AN318" s="279">
        <f>AN321/AN322*100</f>
        <v>57.142857142857139</v>
      </c>
      <c r="AO318" s="279">
        <f>AO321/AO322*100</f>
        <v>14.285714285714285</v>
      </c>
      <c r="AQ318" s="279">
        <f>AQ321/AQ322*100</f>
        <v>33.333333333333329</v>
      </c>
      <c r="AR318" s="279">
        <f>AR321/AR322*100</f>
        <v>0</v>
      </c>
      <c r="AT318" s="279">
        <f>AT321/AT322*100</f>
        <v>0</v>
      </c>
      <c r="AU318" s="279">
        <f>AU321/AU322*100</f>
        <v>0</v>
      </c>
      <c r="AW318" s="279">
        <f>AW321/AW322*100</f>
        <v>0</v>
      </c>
      <c r="AX318" s="279">
        <f>AX321/AX322*100</f>
        <v>0</v>
      </c>
      <c r="AZ318" s="279">
        <f>AZ321/AZ322*100</f>
        <v>60</v>
      </c>
      <c r="BA318" s="279">
        <f>BA321/BA322*100</f>
        <v>50</v>
      </c>
      <c r="BC318" s="279">
        <f>BC321/BC322*100</f>
        <v>0</v>
      </c>
      <c r="BD318" s="279">
        <f>BD321/BD322*100</f>
        <v>25</v>
      </c>
      <c r="BF318" s="279">
        <f>BF321/BF322*100</f>
        <v>0</v>
      </c>
      <c r="BG318" s="279">
        <f>BG321/BG322*100</f>
        <v>0</v>
      </c>
      <c r="BI318" s="279">
        <f>BI321/BI322*100</f>
        <v>10</v>
      </c>
      <c r="BJ318" s="279">
        <f>BJ321/BJ322*100</f>
        <v>20</v>
      </c>
      <c r="BL318" s="279">
        <f>BL321/BL322*100</f>
        <v>20</v>
      </c>
      <c r="BM318" s="279">
        <f>BM321/BM322*100</f>
        <v>50</v>
      </c>
      <c r="BO318" s="279">
        <f>BO321/BO322*100</f>
        <v>50</v>
      </c>
      <c r="BP318" s="279">
        <f>BP321/BP322*100</f>
        <v>0</v>
      </c>
      <c r="BR318" s="279">
        <f>BR321/BR322*100</f>
        <v>33.333333333333329</v>
      </c>
      <c r="BS318" s="279">
        <f>BS321/BS322*100</f>
        <v>33.333333333333329</v>
      </c>
      <c r="BU318" s="279">
        <f>BU321/BU322*100</f>
        <v>0</v>
      </c>
      <c r="BV318" s="279">
        <f>BV321/BV322*100</f>
        <v>0</v>
      </c>
      <c r="BX318" s="279">
        <f>BX321/BX322*100</f>
        <v>0</v>
      </c>
      <c r="BY318" s="279">
        <f>BY321/BY322*100</f>
        <v>0</v>
      </c>
      <c r="CA318" s="279">
        <f>CA321/CA322*100</f>
        <v>0</v>
      </c>
      <c r="CB318" s="279">
        <f>CB321/CB322*100</f>
        <v>0</v>
      </c>
      <c r="CD318" s="279">
        <f>CD321/CD322*100</f>
        <v>0</v>
      </c>
      <c r="CE318" s="279">
        <f>CE321/CE322*100</f>
        <v>50</v>
      </c>
      <c r="CG318" s="279">
        <f>CG321/CG322*100</f>
        <v>0</v>
      </c>
      <c r="CH318" s="279">
        <f>CH321/CH322*100</f>
        <v>0</v>
      </c>
    </row>
    <row r="319" spans="1:86" x14ac:dyDescent="0.25">
      <c r="A319" s="95"/>
      <c r="B319" s="16" t="s">
        <v>1184</v>
      </c>
      <c r="C319" s="95"/>
      <c r="D319" s="95"/>
      <c r="E319" s="95"/>
      <c r="F319" s="279"/>
      <c r="G319" s="279"/>
      <c r="H319" s="279"/>
      <c r="I319" s="279"/>
      <c r="J319" s="279">
        <f>J323/J324*100</f>
        <v>0</v>
      </c>
      <c r="K319" s="279">
        <f>K323/K324*100</f>
        <v>0</v>
      </c>
      <c r="L319" s="279">
        <f>L323/L324*100</f>
        <v>0</v>
      </c>
      <c r="M319" s="279" t="e">
        <f>M323/M324*100</f>
        <v>#DIV/0!</v>
      </c>
      <c r="N319" s="279">
        <v>0</v>
      </c>
      <c r="O319" s="279">
        <v>0</v>
      </c>
      <c r="P319" s="281"/>
      <c r="Q319" s="279" t="e">
        <f>Q323/Q324*100</f>
        <v>#REF!</v>
      </c>
      <c r="R319" s="279" t="e">
        <f>R323/R324*100</f>
        <v>#REF!</v>
      </c>
      <c r="S319" s="279" t="e">
        <f>S323/S324*100</f>
        <v>#DIV/0!</v>
      </c>
      <c r="T319" s="279" t="e">
        <f>T323/T324*100</f>
        <v>#DIV/0!</v>
      </c>
      <c r="V319" s="279" t="e">
        <f>V323/V324*100</f>
        <v>#DIV/0!</v>
      </c>
      <c r="W319" s="279" t="e">
        <f>W323/W324*100</f>
        <v>#DIV/0!</v>
      </c>
      <c r="Y319" s="279" t="e">
        <f>Y323/Y324*100</f>
        <v>#DIV/0!</v>
      </c>
      <c r="Z319" s="279" t="e">
        <f>Z323/Z324*100</f>
        <v>#DIV/0!</v>
      </c>
      <c r="AB319" s="279" t="e">
        <f>AB323/AB324*100</f>
        <v>#DIV/0!</v>
      </c>
      <c r="AC319" s="279" t="e">
        <f>AC323/AC324*100</f>
        <v>#DIV/0!</v>
      </c>
      <c r="AE319" s="279" t="e">
        <f>AE323/AE324*100</f>
        <v>#DIV/0!</v>
      </c>
      <c r="AF319" s="279" t="e">
        <f>AF323/AF324*100</f>
        <v>#DIV/0!</v>
      </c>
      <c r="AH319" s="279" t="e">
        <f>AH323/AH324*100</f>
        <v>#DIV/0!</v>
      </c>
      <c r="AI319" s="279" t="e">
        <f>AI323/AI324*100</f>
        <v>#DIV/0!</v>
      </c>
      <c r="AK319" s="279" t="e">
        <f>AK323/AK324*100</f>
        <v>#DIV/0!</v>
      </c>
      <c r="AL319" s="279" t="e">
        <f>AL323/AL324*100</f>
        <v>#DIV/0!</v>
      </c>
      <c r="AN319" s="279">
        <f>AN323/AN324*100</f>
        <v>0</v>
      </c>
      <c r="AO319" s="279">
        <f>AO323/AO324*100</f>
        <v>0</v>
      </c>
      <c r="AQ319" s="279" t="e">
        <f>AQ323/AQ324*100</f>
        <v>#DIV/0!</v>
      </c>
      <c r="AR319" s="279" t="e">
        <f>AR323/AR324*100</f>
        <v>#DIV/0!</v>
      </c>
      <c r="AT319" s="279">
        <f>AT323/AT324*100</f>
        <v>0</v>
      </c>
      <c r="AU319" s="279">
        <f>AU323/AU324*100</f>
        <v>0</v>
      </c>
      <c r="AW319" s="279" t="e">
        <f>AW323/AW324*100</f>
        <v>#DIV/0!</v>
      </c>
      <c r="AX319" s="279" t="e">
        <f>AX323/AX324*100</f>
        <v>#DIV/0!</v>
      </c>
      <c r="AZ319" s="279" t="e">
        <f>AZ323/AZ324*100</f>
        <v>#DIV/0!</v>
      </c>
      <c r="BA319" s="279" t="e">
        <f>BA323/BA324*100</f>
        <v>#DIV/0!</v>
      </c>
      <c r="BC319" s="279" t="e">
        <f>BC323/BC324*100</f>
        <v>#DIV/0!</v>
      </c>
      <c r="BD319" s="279" t="e">
        <f>BD323/BD324*100</f>
        <v>#DIV/0!</v>
      </c>
      <c r="BF319" s="279" t="e">
        <f>BF323/BF324*100</f>
        <v>#DIV/0!</v>
      </c>
      <c r="BG319" s="279" t="e">
        <f>BG323/BG324*100</f>
        <v>#DIV/0!</v>
      </c>
      <c r="BI319" s="279">
        <f>BI323/BI324*100</f>
        <v>0</v>
      </c>
      <c r="BJ319" s="279">
        <f>BJ323/BJ324*100</f>
        <v>0</v>
      </c>
      <c r="BL319" s="279">
        <f>BL323/BL324*100</f>
        <v>0</v>
      </c>
      <c r="BM319" s="279">
        <f>BM323/BM324*100</f>
        <v>0</v>
      </c>
      <c r="BO319" s="279" t="e">
        <f>BO323/BO324*100</f>
        <v>#DIV/0!</v>
      </c>
      <c r="BP319" s="279" t="e">
        <f>BP323/BP324*100</f>
        <v>#DIV/0!</v>
      </c>
      <c r="BR319" s="279" t="e">
        <f>BR323/BR324*100</f>
        <v>#DIV/0!</v>
      </c>
      <c r="BS319" s="279" t="e">
        <f>BS323/BS324*100</f>
        <v>#DIV/0!</v>
      </c>
      <c r="BU319" s="279">
        <f>BU323/BU324*100</f>
        <v>0</v>
      </c>
      <c r="BV319" s="279">
        <f>BV323/BV324*100</f>
        <v>0</v>
      </c>
      <c r="BX319" s="279" t="e">
        <f>BX323/BX324*100</f>
        <v>#DIV/0!</v>
      </c>
      <c r="BY319" s="279" t="e">
        <f>BY323/BY324*100</f>
        <v>#DIV/0!</v>
      </c>
      <c r="CA319" s="279" t="e">
        <f>CA323/CA324*100</f>
        <v>#DIV/0!</v>
      </c>
      <c r="CB319" s="279" t="e">
        <f>CB323/CB324*100</f>
        <v>#DIV/0!</v>
      </c>
      <c r="CD319" s="279" t="e">
        <f>CD323/CD324*100</f>
        <v>#DIV/0!</v>
      </c>
      <c r="CE319" s="279" t="e">
        <f>CE323/CE324*100</f>
        <v>#DIV/0!</v>
      </c>
      <c r="CG319" s="279" t="e">
        <f>CG323/CG324*100</f>
        <v>#DIV/0!</v>
      </c>
      <c r="CH319" s="279" t="e">
        <f>CH323/CH324*100</f>
        <v>#DIV/0!</v>
      </c>
    </row>
    <row r="320" spans="1:86" x14ac:dyDescent="0.25">
      <c r="A320" s="107"/>
      <c r="B320" s="16" t="s">
        <v>1182</v>
      </c>
      <c r="C320" s="95"/>
      <c r="D320" s="95"/>
      <c r="E320" s="95"/>
      <c r="F320" s="291"/>
      <c r="G320" s="291"/>
      <c r="H320" s="291"/>
      <c r="I320" s="291"/>
      <c r="J320" s="291"/>
      <c r="K320" s="291"/>
      <c r="L320" s="291"/>
      <c r="M320" s="291"/>
      <c r="N320" s="291"/>
      <c r="O320" s="291"/>
    </row>
    <row r="321" spans="1:86" ht="45" x14ac:dyDescent="0.25">
      <c r="A321" s="107"/>
      <c r="B321" s="16" t="s">
        <v>861</v>
      </c>
      <c r="C321" s="95" t="s">
        <v>1172</v>
      </c>
      <c r="D321" s="95" t="s">
        <v>1112</v>
      </c>
      <c r="E321" s="95"/>
      <c r="F321" s="291">
        <v>14</v>
      </c>
      <c r="G321" s="291">
        <v>10</v>
      </c>
      <c r="H321" s="291">
        <v>8</v>
      </c>
      <c r="I321" s="291">
        <v>7</v>
      </c>
      <c r="J321" s="291">
        <f>7+23</f>
        <v>30</v>
      </c>
      <c r="K321" s="291">
        <v>25</v>
      </c>
      <c r="L321" s="291">
        <v>27</v>
      </c>
      <c r="M321" s="291">
        <v>0</v>
      </c>
      <c r="N321" s="291">
        <v>0</v>
      </c>
      <c r="O321" s="291">
        <v>0</v>
      </c>
      <c r="Q321" s="283">
        <f>S321+V321+Y321+AB321+AE321+AH321+AK321+AN321+AQ321+AT321+AW321+AZ321+BC321+BF321+BI321+BL321+BO321+BR321+BU321+BX321+CA321+CD321+CG321+CJ315</f>
        <v>27</v>
      </c>
      <c r="R321" s="283">
        <f>T321+W321+Z321+AC321+AF321+AI321+AL321+AO321+AR321+AU321+AX321+BA321+BD321+BG321+BJ321+BM321+BP321+BS321+BV321+BY321+CB321+CE321+CH321+CK315</f>
        <v>14</v>
      </c>
      <c r="S321" s="267">
        <v>0</v>
      </c>
      <c r="T321" s="267">
        <v>0</v>
      </c>
      <c r="V321" s="267">
        <v>3</v>
      </c>
      <c r="W321" s="267">
        <v>0</v>
      </c>
      <c r="Y321" s="267">
        <v>4</v>
      </c>
      <c r="Z321" s="267">
        <v>2</v>
      </c>
      <c r="AB321" s="267">
        <v>1</v>
      </c>
      <c r="AC321" s="267">
        <v>0</v>
      </c>
      <c r="AE321" s="267">
        <v>0</v>
      </c>
      <c r="AF321" s="267">
        <v>0</v>
      </c>
      <c r="AH321" s="267">
        <v>4</v>
      </c>
      <c r="AI321" s="267">
        <v>2</v>
      </c>
      <c r="AK321" s="267">
        <v>2</v>
      </c>
      <c r="AL321" s="267">
        <v>1</v>
      </c>
      <c r="AN321" s="267">
        <v>4</v>
      </c>
      <c r="AO321" s="267">
        <v>1</v>
      </c>
      <c r="AQ321" s="267">
        <v>1</v>
      </c>
      <c r="AR321" s="267">
        <v>0</v>
      </c>
      <c r="AT321" s="267">
        <v>0</v>
      </c>
      <c r="AU321" s="267">
        <v>0</v>
      </c>
      <c r="AW321" s="267">
        <v>0</v>
      </c>
      <c r="AX321" s="267">
        <v>0</v>
      </c>
      <c r="AZ321" s="267">
        <v>3</v>
      </c>
      <c r="BA321" s="267">
        <v>1</v>
      </c>
      <c r="BC321" s="267">
        <v>0</v>
      </c>
      <c r="BD321" s="267">
        <v>1</v>
      </c>
      <c r="BF321" s="267">
        <v>0</v>
      </c>
      <c r="BG321" s="267">
        <v>0</v>
      </c>
      <c r="BI321" s="267">
        <v>1</v>
      </c>
      <c r="BJ321" s="267">
        <v>2</v>
      </c>
      <c r="BL321" s="267">
        <v>1</v>
      </c>
      <c r="BM321" s="267">
        <v>2</v>
      </c>
      <c r="BO321" s="267">
        <v>2</v>
      </c>
      <c r="BP321" s="267">
        <v>0</v>
      </c>
      <c r="BR321" s="267">
        <v>1</v>
      </c>
      <c r="BS321" s="267">
        <v>1</v>
      </c>
      <c r="BU321" s="267">
        <v>0</v>
      </c>
      <c r="BV321" s="267">
        <v>0</v>
      </c>
      <c r="BX321" s="267">
        <v>0</v>
      </c>
      <c r="BY321" s="267">
        <v>0</v>
      </c>
      <c r="CA321" s="267">
        <v>0</v>
      </c>
      <c r="CB321" s="267">
        <v>0</v>
      </c>
      <c r="CD321" s="267">
        <v>0</v>
      </c>
      <c r="CE321" s="267">
        <v>1</v>
      </c>
      <c r="CG321" s="267">
        <v>0</v>
      </c>
      <c r="CH321" s="267">
        <v>0</v>
      </c>
    </row>
    <row r="322" spans="1:86" ht="45" x14ac:dyDescent="0.25">
      <c r="A322" s="107"/>
      <c r="B322" s="16" t="s">
        <v>829</v>
      </c>
      <c r="C322" s="95" t="s">
        <v>1169</v>
      </c>
      <c r="D322" s="95" t="s">
        <v>1112</v>
      </c>
      <c r="E322" s="95"/>
      <c r="F322" s="291">
        <v>63</v>
      </c>
      <c r="G322" s="291">
        <v>61</v>
      </c>
      <c r="H322" s="291">
        <v>57</v>
      </c>
      <c r="I322" s="291">
        <v>55</v>
      </c>
      <c r="J322" s="291">
        <f>J315</f>
        <v>134</v>
      </c>
      <c r="K322" s="291">
        <f>K315</f>
        <v>119</v>
      </c>
      <c r="L322" s="291">
        <f>L315</f>
        <v>107</v>
      </c>
      <c r="M322" s="291">
        <f>M315</f>
        <v>3</v>
      </c>
      <c r="N322" s="291">
        <v>2</v>
      </c>
      <c r="O322" s="291">
        <v>2</v>
      </c>
      <c r="Q322" s="291">
        <f>Q315</f>
        <v>107</v>
      </c>
      <c r="R322" s="291">
        <f>R315</f>
        <v>92</v>
      </c>
      <c r="S322" s="291">
        <f>S315</f>
        <v>3</v>
      </c>
      <c r="T322" s="291">
        <f>T315</f>
        <v>2</v>
      </c>
      <c r="V322" s="291">
        <f>V315</f>
        <v>7</v>
      </c>
      <c r="W322" s="291">
        <f>W315</f>
        <v>7</v>
      </c>
      <c r="Y322" s="291">
        <f>Y315</f>
        <v>9</v>
      </c>
      <c r="Z322" s="291">
        <f>Z315</f>
        <v>5</v>
      </c>
      <c r="AB322" s="291">
        <f>AB315</f>
        <v>6</v>
      </c>
      <c r="AC322" s="291">
        <f>AC315</f>
        <v>5</v>
      </c>
      <c r="AE322" s="291">
        <f>AE315</f>
        <v>6</v>
      </c>
      <c r="AF322" s="291">
        <f>AF315</f>
        <v>6</v>
      </c>
      <c r="AH322" s="291">
        <f>AH315</f>
        <v>8</v>
      </c>
      <c r="AI322" s="291">
        <f>AI315</f>
        <v>8</v>
      </c>
      <c r="AK322" s="291">
        <f>AK315</f>
        <v>3</v>
      </c>
      <c r="AL322" s="291">
        <f>AL315</f>
        <v>3</v>
      </c>
      <c r="AN322" s="291">
        <f>AN315</f>
        <v>7</v>
      </c>
      <c r="AO322" s="291">
        <f>AO315</f>
        <v>7</v>
      </c>
      <c r="AQ322" s="291">
        <f>AQ315</f>
        <v>3</v>
      </c>
      <c r="AR322" s="291">
        <f>AR315</f>
        <v>2</v>
      </c>
      <c r="AT322" s="291">
        <f>AT315</f>
        <v>8</v>
      </c>
      <c r="AU322" s="291">
        <f>AU315</f>
        <v>6</v>
      </c>
      <c r="AW322" s="291">
        <f>AW315</f>
        <v>2</v>
      </c>
      <c r="AX322" s="291">
        <f>AX315</f>
        <v>2</v>
      </c>
      <c r="AZ322" s="291">
        <f>AZ315</f>
        <v>5</v>
      </c>
      <c r="BA322" s="291">
        <f>BA315</f>
        <v>2</v>
      </c>
      <c r="BC322" s="291">
        <f>BC315</f>
        <v>4</v>
      </c>
      <c r="BD322" s="291">
        <f>BD315</f>
        <v>4</v>
      </c>
      <c r="BF322" s="291">
        <f>BF315</f>
        <v>6</v>
      </c>
      <c r="BG322" s="291">
        <f>BG315</f>
        <v>6</v>
      </c>
      <c r="BI322" s="291">
        <f>BI315</f>
        <v>10</v>
      </c>
      <c r="BJ322" s="291">
        <f>BJ315</f>
        <v>10</v>
      </c>
      <c r="BL322" s="291">
        <f>BL315</f>
        <v>5</v>
      </c>
      <c r="BM322" s="291">
        <f>BM315</f>
        <v>4</v>
      </c>
      <c r="BO322" s="291">
        <f>BO315</f>
        <v>4</v>
      </c>
      <c r="BP322" s="291">
        <f>BP315</f>
        <v>2</v>
      </c>
      <c r="BR322" s="291">
        <f>BR315</f>
        <v>3</v>
      </c>
      <c r="BS322" s="291">
        <f>BS315</f>
        <v>3</v>
      </c>
      <c r="BU322" s="291">
        <f>BU315</f>
        <v>2</v>
      </c>
      <c r="BV322" s="291">
        <f>BV315</f>
        <v>2</v>
      </c>
      <c r="BX322" s="291">
        <f>BX315</f>
        <v>1</v>
      </c>
      <c r="BY322" s="291">
        <f>BY315</f>
        <v>1</v>
      </c>
      <c r="CA322" s="291">
        <f>CA315</f>
        <v>2</v>
      </c>
      <c r="CB322" s="291">
        <f>CB315</f>
        <v>2</v>
      </c>
      <c r="CD322" s="291">
        <f>CD315</f>
        <v>2</v>
      </c>
      <c r="CE322" s="291">
        <f>CE315</f>
        <v>2</v>
      </c>
      <c r="CG322" s="291">
        <f>CG315</f>
        <v>1</v>
      </c>
      <c r="CH322" s="291">
        <f>CH315</f>
        <v>1</v>
      </c>
    </row>
    <row r="323" spans="1:86" x14ac:dyDescent="0.25">
      <c r="A323" s="107"/>
      <c r="B323" s="16" t="s">
        <v>1184</v>
      </c>
      <c r="C323" s="95"/>
      <c r="D323" s="95"/>
      <c r="E323" s="95"/>
      <c r="F323" s="291"/>
      <c r="G323" s="291"/>
      <c r="H323" s="291"/>
      <c r="I323" s="291"/>
      <c r="J323" s="291">
        <v>0</v>
      </c>
      <c r="K323" s="291">
        <v>0</v>
      </c>
      <c r="L323" s="291">
        <v>0</v>
      </c>
      <c r="M323" s="291">
        <v>0</v>
      </c>
      <c r="N323" s="291">
        <v>0</v>
      </c>
      <c r="O323" s="291">
        <v>0</v>
      </c>
      <c r="Q323" s="283" t="e">
        <f>S323+V323+Y323+AB323+AE323+AH323+AK323+AN323+AQ323+AT323+AW323+AZ323+BC323+BF323+BI323+BL323+BO323+BR323+BU323+BX323+CA323+CD323+CG323+#REF!</f>
        <v>#REF!</v>
      </c>
      <c r="R323" s="283" t="e">
        <f>T323+W323+Z323+AC323+AF323+AI323+AL323+AO323+AR323+AU323+AX323+BA323+BD323+BG323+BJ323+BM323+BP323+BS323+BV323+BY323+CB323+CE323+CH323+#REF!</f>
        <v>#REF!</v>
      </c>
      <c r="S323" s="267">
        <v>0</v>
      </c>
      <c r="T323" s="267">
        <v>0</v>
      </c>
      <c r="V323" s="267">
        <v>0</v>
      </c>
      <c r="W323" s="267">
        <v>0</v>
      </c>
      <c r="Y323" s="267">
        <v>0</v>
      </c>
      <c r="Z323" s="267">
        <v>0</v>
      </c>
      <c r="AB323" s="267">
        <v>0</v>
      </c>
      <c r="AC323" s="267">
        <v>0</v>
      </c>
      <c r="AE323" s="267">
        <v>0</v>
      </c>
      <c r="AF323" s="267">
        <v>0</v>
      </c>
      <c r="AH323" s="267">
        <v>0</v>
      </c>
      <c r="AI323" s="267">
        <v>0</v>
      </c>
      <c r="AK323" s="267">
        <v>0</v>
      </c>
      <c r="AL323" s="267">
        <v>0</v>
      </c>
      <c r="AN323" s="267">
        <v>0</v>
      </c>
      <c r="AO323" s="267">
        <v>0</v>
      </c>
      <c r="AQ323" s="267">
        <v>0</v>
      </c>
      <c r="AR323" s="267">
        <v>0</v>
      </c>
      <c r="AT323" s="267">
        <v>0</v>
      </c>
      <c r="AU323" s="267">
        <v>0</v>
      </c>
      <c r="AW323" s="267">
        <v>0</v>
      </c>
      <c r="AX323" s="267">
        <v>0</v>
      </c>
      <c r="AZ323" s="267">
        <v>0</v>
      </c>
      <c r="BA323" s="267">
        <v>0</v>
      </c>
      <c r="BC323" s="267">
        <v>0</v>
      </c>
      <c r="BD323" s="267">
        <v>0</v>
      </c>
      <c r="BF323" s="267">
        <v>0</v>
      </c>
      <c r="BG323" s="267">
        <v>0</v>
      </c>
      <c r="BI323" s="267">
        <v>0</v>
      </c>
      <c r="BJ323" s="267">
        <v>0</v>
      </c>
      <c r="BL323" s="267">
        <v>0</v>
      </c>
      <c r="BM323" s="267">
        <v>0</v>
      </c>
      <c r="BO323" s="267">
        <v>0</v>
      </c>
      <c r="BP323" s="267">
        <v>0</v>
      </c>
      <c r="BR323" s="267">
        <v>0</v>
      </c>
      <c r="BS323" s="267">
        <v>0</v>
      </c>
      <c r="BU323" s="267">
        <v>0</v>
      </c>
      <c r="BV323" s="267">
        <v>0</v>
      </c>
      <c r="BX323" s="267">
        <v>0</v>
      </c>
      <c r="BY323" s="267">
        <v>0</v>
      </c>
      <c r="CA323" s="267">
        <v>0</v>
      </c>
      <c r="CB323" s="267">
        <v>0</v>
      </c>
      <c r="CD323" s="267">
        <v>0</v>
      </c>
      <c r="CE323" s="267">
        <v>0</v>
      </c>
      <c r="CG323" s="267">
        <v>0</v>
      </c>
      <c r="CH323" s="267">
        <v>0</v>
      </c>
    </row>
    <row r="324" spans="1:86" x14ac:dyDescent="0.25">
      <c r="A324" s="107"/>
      <c r="B324" s="16"/>
      <c r="C324" s="95"/>
      <c r="D324" s="95"/>
      <c r="E324" s="95"/>
      <c r="F324" s="291"/>
      <c r="G324" s="291"/>
      <c r="H324" s="291"/>
      <c r="I324" s="291"/>
      <c r="J324" s="291">
        <f t="shared" ref="J324:O324" si="116">J240</f>
        <v>16</v>
      </c>
      <c r="K324" s="291">
        <f t="shared" si="116"/>
        <v>24</v>
      </c>
      <c r="L324" s="291">
        <f t="shared" si="116"/>
        <v>19</v>
      </c>
      <c r="M324" s="291">
        <f t="shared" si="116"/>
        <v>0</v>
      </c>
      <c r="N324" s="291">
        <f t="shared" si="116"/>
        <v>0</v>
      </c>
      <c r="O324" s="291">
        <f t="shared" si="116"/>
        <v>0</v>
      </c>
      <c r="Q324" s="291">
        <f>Q240</f>
        <v>19</v>
      </c>
      <c r="R324" s="291">
        <f>R240</f>
        <v>18</v>
      </c>
      <c r="S324" s="291">
        <f>S240</f>
        <v>0</v>
      </c>
      <c r="T324" s="291">
        <f>T240</f>
        <v>0</v>
      </c>
      <c r="V324" s="291">
        <f>V240</f>
        <v>0</v>
      </c>
      <c r="W324" s="291">
        <f>W240</f>
        <v>0</v>
      </c>
      <c r="Y324" s="291">
        <f>Y240</f>
        <v>0</v>
      </c>
      <c r="Z324" s="291">
        <f>Z240</f>
        <v>0</v>
      </c>
      <c r="AB324" s="291">
        <f>AB240</f>
        <v>0</v>
      </c>
      <c r="AC324" s="291">
        <f>AC240</f>
        <v>0</v>
      </c>
      <c r="AE324" s="291">
        <f>AE240</f>
        <v>0</v>
      </c>
      <c r="AF324" s="291">
        <f>AF240</f>
        <v>0</v>
      </c>
      <c r="AH324" s="291">
        <f>AH240</f>
        <v>0</v>
      </c>
      <c r="AI324" s="291">
        <f>AI240</f>
        <v>0</v>
      </c>
      <c r="AK324" s="291">
        <f>AK240</f>
        <v>0</v>
      </c>
      <c r="AL324" s="291">
        <f>AL240</f>
        <v>0</v>
      </c>
      <c r="AN324" s="291">
        <f>AN240</f>
        <v>4</v>
      </c>
      <c r="AO324" s="291">
        <f>AO240</f>
        <v>7</v>
      </c>
      <c r="AQ324" s="291">
        <f>AQ240</f>
        <v>0</v>
      </c>
      <c r="AR324" s="291">
        <f>AR240</f>
        <v>0</v>
      </c>
      <c r="AT324" s="291">
        <f>AT240</f>
        <v>4</v>
      </c>
      <c r="AU324" s="291">
        <f>AU240</f>
        <v>4</v>
      </c>
      <c r="AW324" s="291">
        <f>AW240</f>
        <v>0</v>
      </c>
      <c r="AX324" s="291">
        <f>AX240</f>
        <v>0</v>
      </c>
      <c r="AZ324" s="291">
        <f>AZ240</f>
        <v>0</v>
      </c>
      <c r="BA324" s="291">
        <f>BA240</f>
        <v>0</v>
      </c>
      <c r="BC324" s="291">
        <f>BC240</f>
        <v>0</v>
      </c>
      <c r="BD324" s="291">
        <f>BD240</f>
        <v>0</v>
      </c>
      <c r="BF324" s="291">
        <f>BF240</f>
        <v>0</v>
      </c>
      <c r="BG324" s="291">
        <f>BG240</f>
        <v>0</v>
      </c>
      <c r="BI324" s="291">
        <f>BI240</f>
        <v>7</v>
      </c>
      <c r="BJ324" s="291">
        <f>BJ240</f>
        <v>4</v>
      </c>
      <c r="BL324" s="291">
        <f>BL240</f>
        <v>2</v>
      </c>
      <c r="BM324" s="291">
        <f>BM240</f>
        <v>2</v>
      </c>
      <c r="BO324" s="291">
        <f>BO240</f>
        <v>0</v>
      </c>
      <c r="BP324" s="291">
        <f>BP240</f>
        <v>0</v>
      </c>
      <c r="BR324" s="291">
        <f>BR240</f>
        <v>0</v>
      </c>
      <c r="BS324" s="291">
        <f>BS240</f>
        <v>0</v>
      </c>
      <c r="BU324" s="291">
        <f>BU240</f>
        <v>2</v>
      </c>
      <c r="BV324" s="291">
        <f>BV240</f>
        <v>1</v>
      </c>
      <c r="BX324" s="291">
        <f>BX240</f>
        <v>0</v>
      </c>
      <c r="BY324" s="291">
        <f>BY240</f>
        <v>0</v>
      </c>
      <c r="CA324" s="291">
        <f>CA240</f>
        <v>0</v>
      </c>
      <c r="CB324" s="291">
        <f>CB240</f>
        <v>0</v>
      </c>
      <c r="CD324" s="291">
        <f>CD240</f>
        <v>0</v>
      </c>
      <c r="CE324" s="291">
        <f>CE240</f>
        <v>0</v>
      </c>
      <c r="CG324" s="291">
        <f>CG240</f>
        <v>0</v>
      </c>
      <c r="CH324" s="291">
        <f>CH240</f>
        <v>0</v>
      </c>
    </row>
    <row r="325" spans="1:86" ht="30" x14ac:dyDescent="0.25">
      <c r="A325" s="306" t="s">
        <v>739</v>
      </c>
      <c r="B325" s="307" t="s">
        <v>862</v>
      </c>
      <c r="C325" s="308"/>
      <c r="D325" s="308"/>
      <c r="E325" s="308"/>
      <c r="F325" s="308"/>
      <c r="G325" s="308"/>
      <c r="H325" s="308"/>
      <c r="I325" s="308"/>
      <c r="J325" s="308"/>
      <c r="K325" s="308"/>
      <c r="L325" s="308"/>
      <c r="M325" s="308"/>
      <c r="N325" s="308"/>
      <c r="O325" s="308"/>
    </row>
    <row r="326" spans="1:86" ht="75" x14ac:dyDescent="0.25">
      <c r="A326" s="285" t="s">
        <v>742</v>
      </c>
      <c r="B326" s="298" t="s">
        <v>1893</v>
      </c>
      <c r="C326" s="308"/>
      <c r="D326" s="285"/>
      <c r="E326" s="285"/>
      <c r="F326" s="309"/>
      <c r="G326" s="309"/>
      <c r="H326" s="309"/>
      <c r="I326" s="309"/>
      <c r="J326" s="309"/>
      <c r="K326" s="309"/>
      <c r="L326" s="309"/>
      <c r="M326" s="309"/>
      <c r="N326" s="309"/>
      <c r="O326" s="309"/>
      <c r="P326" s="281" t="s">
        <v>94</v>
      </c>
    </row>
    <row r="327" spans="1:86" ht="90" x14ac:dyDescent="0.25">
      <c r="A327" s="285"/>
      <c r="B327" s="298" t="s">
        <v>1136</v>
      </c>
      <c r="C327" s="285" t="s">
        <v>1173</v>
      </c>
      <c r="D327" s="285" t="s">
        <v>8</v>
      </c>
      <c r="E327" s="285"/>
      <c r="F327" s="309" t="e">
        <f>F331/$F$335*100</f>
        <v>#DIV/0!</v>
      </c>
      <c r="G327" s="309"/>
      <c r="H327" s="309"/>
      <c r="I327" s="309"/>
      <c r="J327" s="309"/>
      <c r="K327" s="309"/>
      <c r="L327" s="309"/>
      <c r="M327" s="309"/>
      <c r="N327" s="309"/>
      <c r="O327" s="309"/>
      <c r="P327" s="281"/>
    </row>
    <row r="328" spans="1:86" ht="90" x14ac:dyDescent="0.25">
      <c r="A328" s="285"/>
      <c r="B328" s="298" t="s">
        <v>1137</v>
      </c>
      <c r="C328" s="285" t="s">
        <v>1173</v>
      </c>
      <c r="D328" s="285" t="s">
        <v>8</v>
      </c>
      <c r="E328" s="285"/>
      <c r="F328" s="309" t="e">
        <f>F332/$F$335*100</f>
        <v>#DIV/0!</v>
      </c>
      <c r="G328" s="309"/>
      <c r="H328" s="309"/>
      <c r="I328" s="309"/>
      <c r="J328" s="309"/>
      <c r="K328" s="309"/>
      <c r="L328" s="309"/>
      <c r="M328" s="309"/>
      <c r="N328" s="309"/>
      <c r="O328" s="309"/>
      <c r="P328" s="281"/>
    </row>
    <row r="329" spans="1:86" ht="90" x14ac:dyDescent="0.25">
      <c r="A329" s="285"/>
      <c r="B329" s="298" t="s">
        <v>1138</v>
      </c>
      <c r="C329" s="285" t="s">
        <v>1173</v>
      </c>
      <c r="D329" s="285" t="s">
        <v>8</v>
      </c>
      <c r="E329" s="285"/>
      <c r="F329" s="309" t="e">
        <f>F333/$F$335*100</f>
        <v>#DIV/0!</v>
      </c>
      <c r="G329" s="309"/>
      <c r="H329" s="309"/>
      <c r="I329" s="309"/>
      <c r="J329" s="309"/>
      <c r="K329" s="309"/>
      <c r="L329" s="309"/>
      <c r="M329" s="309"/>
      <c r="N329" s="309"/>
      <c r="O329" s="309"/>
      <c r="P329" s="281"/>
    </row>
    <row r="330" spans="1:86" ht="90" x14ac:dyDescent="0.25">
      <c r="A330" s="285"/>
      <c r="B330" s="298" t="s">
        <v>1894</v>
      </c>
      <c r="C330" s="285" t="s">
        <v>1173</v>
      </c>
      <c r="D330" s="285" t="s">
        <v>8</v>
      </c>
      <c r="E330" s="285"/>
      <c r="F330" s="309" t="e">
        <f>F334/$F$335*100</f>
        <v>#DIV/0!</v>
      </c>
      <c r="G330" s="309"/>
      <c r="H330" s="309"/>
      <c r="I330" s="309"/>
      <c r="J330" s="309"/>
      <c r="K330" s="309"/>
      <c r="L330" s="309"/>
      <c r="M330" s="309"/>
      <c r="N330" s="309"/>
      <c r="O330" s="309"/>
      <c r="P330" s="281"/>
    </row>
    <row r="331" spans="1:86" ht="90" x14ac:dyDescent="0.25">
      <c r="A331" s="285"/>
      <c r="B331" s="298" t="s">
        <v>1136</v>
      </c>
      <c r="C331" s="285" t="s">
        <v>1173</v>
      </c>
      <c r="D331" s="285" t="s">
        <v>950</v>
      </c>
      <c r="E331" s="285"/>
      <c r="F331" s="310"/>
      <c r="G331" s="310"/>
      <c r="H331" s="310"/>
      <c r="I331" s="310"/>
      <c r="J331" s="310"/>
      <c r="K331" s="310"/>
      <c r="L331" s="310"/>
      <c r="M331" s="310"/>
      <c r="N331" s="310"/>
      <c r="O331" s="310"/>
      <c r="P331" s="281"/>
    </row>
    <row r="332" spans="1:86" ht="90" x14ac:dyDescent="0.25">
      <c r="A332" s="285"/>
      <c r="B332" s="298" t="s">
        <v>1137</v>
      </c>
      <c r="C332" s="285" t="s">
        <v>1173</v>
      </c>
      <c r="D332" s="285" t="s">
        <v>950</v>
      </c>
      <c r="E332" s="285"/>
      <c r="F332" s="310"/>
      <c r="G332" s="310"/>
      <c r="H332" s="310"/>
      <c r="I332" s="310"/>
      <c r="J332" s="310"/>
      <c r="K332" s="310"/>
      <c r="L332" s="310"/>
      <c r="M332" s="310"/>
      <c r="N332" s="310"/>
      <c r="O332" s="310"/>
      <c r="P332" s="281"/>
    </row>
    <row r="333" spans="1:86" ht="90" x14ac:dyDescent="0.25">
      <c r="A333" s="285"/>
      <c r="B333" s="298" t="s">
        <v>1138</v>
      </c>
      <c r="C333" s="285" t="s">
        <v>1173</v>
      </c>
      <c r="D333" s="285" t="s">
        <v>950</v>
      </c>
      <c r="E333" s="285"/>
      <c r="F333" s="310"/>
      <c r="G333" s="310"/>
      <c r="H333" s="310"/>
      <c r="I333" s="310"/>
      <c r="J333" s="310"/>
      <c r="K333" s="310"/>
      <c r="L333" s="310"/>
      <c r="M333" s="310"/>
      <c r="N333" s="310"/>
      <c r="O333" s="310"/>
      <c r="P333" s="281"/>
    </row>
    <row r="334" spans="1:86" ht="90" x14ac:dyDescent="0.25">
      <c r="A334" s="285"/>
      <c r="B334" s="298" t="s">
        <v>1894</v>
      </c>
      <c r="C334" s="285" t="s">
        <v>1173</v>
      </c>
      <c r="D334" s="285" t="s">
        <v>950</v>
      </c>
      <c r="E334" s="285"/>
      <c r="F334" s="310"/>
      <c r="G334" s="310"/>
      <c r="H334" s="310"/>
      <c r="I334" s="310"/>
      <c r="J334" s="310"/>
      <c r="K334" s="310"/>
      <c r="L334" s="310"/>
      <c r="M334" s="310"/>
      <c r="N334" s="310"/>
      <c r="O334" s="310"/>
      <c r="P334" s="281"/>
    </row>
    <row r="335" spans="1:86" ht="90" x14ac:dyDescent="0.25">
      <c r="A335" s="285"/>
      <c r="B335" s="284" t="s">
        <v>1159</v>
      </c>
      <c r="C335" s="285" t="s">
        <v>1173</v>
      </c>
      <c r="D335" s="285" t="s">
        <v>950</v>
      </c>
      <c r="E335" s="285"/>
      <c r="F335" s="310"/>
      <c r="G335" s="310"/>
      <c r="H335" s="310"/>
      <c r="I335" s="310"/>
      <c r="J335" s="310"/>
      <c r="K335" s="310"/>
      <c r="L335" s="310"/>
      <c r="M335" s="310"/>
      <c r="N335" s="310"/>
      <c r="O335" s="310"/>
      <c r="P335" s="281"/>
    </row>
  </sheetData>
  <mergeCells count="31">
    <mergeCell ref="CA8:CB8"/>
    <mergeCell ref="CD8:CE8"/>
    <mergeCell ref="CG8:CH8"/>
    <mergeCell ref="A11:A13"/>
    <mergeCell ref="B11:B13"/>
    <mergeCell ref="BR8:BS8"/>
    <mergeCell ref="BU8:BV8"/>
    <mergeCell ref="BX8:BY8"/>
    <mergeCell ref="AN8:AO8"/>
    <mergeCell ref="V8:W8"/>
    <mergeCell ref="A102:A103"/>
    <mergeCell ref="B102:B103"/>
    <mergeCell ref="BI8:BJ8"/>
    <mergeCell ref="BL8:BM8"/>
    <mergeCell ref="BO8:BP8"/>
    <mergeCell ref="AQ8:AR8"/>
    <mergeCell ref="AT8:AU8"/>
    <mergeCell ref="AW8:AX8"/>
    <mergeCell ref="AZ8:BA8"/>
    <mergeCell ref="BC8:BD8"/>
    <mergeCell ref="BF8:BG8"/>
    <mergeCell ref="Y8:Z8"/>
    <mergeCell ref="AB8:AC8"/>
    <mergeCell ref="AE8:AF8"/>
    <mergeCell ref="AH8:AI8"/>
    <mergeCell ref="AK8:AL8"/>
    <mergeCell ref="A3:M3"/>
    <mergeCell ref="A4:M4"/>
    <mergeCell ref="A7:N7"/>
    <mergeCell ref="A8:N8"/>
    <mergeCell ref="S8:T8"/>
  </mergeCells>
  <dataValidations count="1">
    <dataValidation type="whole" allowBlank="1" showInputMessage="1" showErrorMessage="1" errorTitle="Ошибка ввода" error="Попытка ввсети данные отличные от числовых или целочисленных" sqref="F96:F104 I96:O105 N200:O200 G96:H106 CG255:CH255 F249:O256 CD251:CE252 H14:O14 P14:P15 F227:I227 F237:I237 F196:I201 CD280:CE280 F279:O282 J196:O197 Q251:T252 V251:W252 AE251:AF252 AH251:AI252 Y251:Z252 AN251:AO252 AQ251:AR252 AB251:AC252 AW251:AX252 AZ251:BA252 AK251:AL252 BF251:BG252 BI251:BJ252 AT251:AU252 BO251:BP252 BR251:BS252 BC251:BD252 BX251:BY252 CA251:CB252 BL251:BM252 BU251:BV252 Q255:T255 V255:W255 Y255:Z255 AB255:AC255 AE255:AF255 AH255:AI255 AK255:AL255 AN255:AO255 AQ255:AR255 AT255:AU255 AW255:AX255 AZ255:BA255 BC255:BD255 BF255:BG255 BI255:BJ255 BL255:BM255 BO255:BP255 BR255:BS255 BU255:BV255 BX255:BY255 CA255:CB255 CD255:CE255 CG290:CH293 Q282:T282 V282:W282 Y282:Z282 AB282:AC282 AE282:AF282 AH282:AI282 AK282:AL282 AN282:AO282 AQ282:AR282 AT282:AU282 AW282:AX282 AZ282:BA282 BC282:BD282 BF282:BG282 BI282:BJ282 BL282:BM282 BO282:BP282 BR282:BS282 BU282:BV282 BX282:BY282 CA282:CB282 CD282:CE282 CG282:CH282 Q288:T288 V288:W288 Y288:Z288 Q290:T293 V290:W293 Y290:Z293 AB288:AC288 AE288:AF288 AH288:AI288 AB290:AC293 AE290:AF293 AH290:AI293 AK288:AL288 AN288:AO288 AQ288:AR288 AK290:AL293 AN290:AO293 AQ290:AR293 AT288:AU288 AW288:AX288 AZ288:BA288 AT290:AU293 AW290:AX293 AZ290:BA293 BC288:BD288 BF288:BG288 BI288:BJ288 BC290:BD293 BF290:BG293 BI290:BJ293 BL288:BM288 BO288:BP288 BR288:BS288 BL290:BM293 BO290:BP293 BR290:BS293 BU288:BV288 BX288:BY288 CA288:CB288 BU290:BV293 BX290:BY293 CA290:CB293 CD288:CE288 CG288:CH288 CD290:CE293 CJ272:CK273 Q280:T280 V280:W280 BX280:BY280 CJ251:CK251 Y280:Z280 AB280:AC280 AE280:AF280 AH280:AI280 AK280:AL280 AN280:AO280 AQ280:AR280 AT280:AU280 AW280:AX280 AZ280:BA280 BC280:BD280 BF280:BG280 BI280:BJ280 BL280:BM280 BO280:BP280 BR280:BS280 CA280:CB280 BU280:BV280 CG280:CH280 CJ280:CK280 CG251:CH252 F305:O305 F138:O138 F11:P13 F287:O293">
      <formula1>0</formula1>
      <formula2>999999999999</formula2>
    </dataValidation>
  </dataValidations>
  <pageMargins left="0.7" right="0.7" top="0.75" bottom="0.75" header="0.3" footer="0.3"/>
  <pageSetup paperSize="9" scale="3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92D050"/>
  </sheetPr>
  <dimension ref="A3:M212"/>
  <sheetViews>
    <sheetView zoomScaleNormal="100" workbookViewId="0">
      <pane xSplit="3" ySplit="9" topLeftCell="D10" activePane="bottomRight" state="frozen"/>
      <selection activeCell="I9" sqref="I9"/>
      <selection pane="topRight" activeCell="I9" sqref="I9"/>
      <selection pane="bottomLeft" activeCell="I9" sqref="I9"/>
      <selection pane="bottomRight" activeCell="D10" sqref="D10"/>
    </sheetView>
  </sheetViews>
  <sheetFormatPr defaultRowHeight="15" x14ac:dyDescent="0.25"/>
  <cols>
    <col min="2" max="2" width="75.140625" customWidth="1"/>
    <col min="3" max="3" width="20.140625" customWidth="1"/>
    <col min="4" max="4" width="16.140625" customWidth="1"/>
    <col min="5" max="10" width="12.42578125" customWidth="1"/>
    <col min="11" max="12" width="12.42578125" style="241" customWidth="1"/>
    <col min="13" max="13" width="41.85546875" customWidth="1"/>
  </cols>
  <sheetData>
    <row r="3" spans="1:13" ht="18.75" x14ac:dyDescent="0.3">
      <c r="A3" s="401" t="s">
        <v>0</v>
      </c>
      <c r="B3" s="401"/>
      <c r="C3" s="401"/>
      <c r="D3" s="401"/>
      <c r="E3" s="401"/>
      <c r="F3" s="401"/>
      <c r="G3" s="401"/>
      <c r="H3" s="401"/>
      <c r="I3" s="401"/>
      <c r="J3" s="401"/>
      <c r="K3" s="401"/>
      <c r="L3" s="401"/>
      <c r="M3" s="14"/>
    </row>
    <row r="4" spans="1:13" ht="18.75" x14ac:dyDescent="0.3">
      <c r="A4" s="401" t="s">
        <v>1</v>
      </c>
      <c r="B4" s="401"/>
      <c r="C4" s="401"/>
      <c r="D4" s="401"/>
      <c r="E4" s="401"/>
      <c r="F4" s="401"/>
      <c r="G4" s="401"/>
      <c r="H4" s="401"/>
      <c r="I4" s="401"/>
      <c r="J4" s="401"/>
      <c r="K4" s="401"/>
      <c r="L4" s="401"/>
      <c r="M4" s="24"/>
    </row>
    <row r="5" spans="1:13" x14ac:dyDescent="0.25">
      <c r="A5" s="1"/>
      <c r="B5" s="1"/>
      <c r="C5" s="1"/>
      <c r="D5" s="1"/>
      <c r="E5" s="1"/>
      <c r="F5" s="1"/>
      <c r="G5" s="1"/>
      <c r="H5" s="1"/>
      <c r="I5" s="1"/>
      <c r="J5" s="1"/>
      <c r="K5" s="1"/>
      <c r="L5" s="1"/>
      <c r="M5" s="1"/>
    </row>
    <row r="6" spans="1:13"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13" x14ac:dyDescent="0.25">
      <c r="A7" s="398" t="s">
        <v>947</v>
      </c>
      <c r="B7" s="398"/>
      <c r="C7" s="398"/>
      <c r="D7" s="398"/>
      <c r="E7" s="398"/>
      <c r="F7" s="398"/>
      <c r="G7" s="398"/>
      <c r="H7" s="398"/>
      <c r="I7" s="398"/>
      <c r="J7" s="398"/>
      <c r="K7" s="398"/>
      <c r="L7" s="398"/>
    </row>
    <row r="8" spans="1:13" x14ac:dyDescent="0.25">
      <c r="A8" s="398" t="s">
        <v>2588</v>
      </c>
      <c r="B8" s="398"/>
      <c r="C8" s="398"/>
      <c r="D8" s="398"/>
      <c r="E8" s="398"/>
      <c r="F8" s="398"/>
      <c r="G8" s="398"/>
      <c r="H8" s="398"/>
      <c r="I8" s="398"/>
      <c r="J8" s="398"/>
      <c r="K8" s="398"/>
      <c r="L8" s="398"/>
    </row>
    <row r="9" spans="1:13" ht="30" x14ac:dyDescent="0.25">
      <c r="A9" s="47" t="s">
        <v>776</v>
      </c>
      <c r="B9" s="48" t="s">
        <v>1017</v>
      </c>
      <c r="C9" s="43"/>
      <c r="D9" s="44"/>
      <c r="E9" s="44"/>
      <c r="F9" s="44"/>
      <c r="G9" s="44"/>
      <c r="H9" s="44"/>
      <c r="I9" s="44"/>
      <c r="J9" s="44"/>
      <c r="K9" s="44"/>
      <c r="L9" s="44"/>
    </row>
    <row r="10" spans="1:13" ht="30" x14ac:dyDescent="0.25">
      <c r="A10" s="42" t="s">
        <v>777</v>
      </c>
      <c r="B10" s="43" t="s">
        <v>2138</v>
      </c>
      <c r="C10" s="43"/>
      <c r="D10" s="42"/>
      <c r="E10" s="45">
        <f>E11</f>
        <v>7.5650000000000004</v>
      </c>
      <c r="F10" s="45">
        <f>F11</f>
        <v>10.718</v>
      </c>
      <c r="G10" s="45">
        <f>G11</f>
        <v>12.629</v>
      </c>
      <c r="H10" s="45">
        <f>H11</f>
        <v>0</v>
      </c>
      <c r="I10" s="45"/>
      <c r="J10" s="45"/>
      <c r="K10" s="45"/>
      <c r="L10" s="45"/>
      <c r="M10" s="3" t="s">
        <v>135</v>
      </c>
    </row>
    <row r="11" spans="1:13" ht="30" x14ac:dyDescent="0.25">
      <c r="A11" s="42"/>
      <c r="B11" s="43" t="s">
        <v>2135</v>
      </c>
      <c r="C11" s="42" t="s">
        <v>949</v>
      </c>
      <c r="D11" s="42" t="s">
        <v>8</v>
      </c>
      <c r="E11" s="45">
        <f>0.112+7.453</f>
        <v>7.5650000000000004</v>
      </c>
      <c r="F11" s="45">
        <v>10.718</v>
      </c>
      <c r="G11" s="45">
        <v>12.629</v>
      </c>
      <c r="H11" s="45">
        <v>0</v>
      </c>
      <c r="I11" s="45">
        <f>I14/$I$17*100</f>
        <v>67.58783728703024</v>
      </c>
      <c r="J11" s="45">
        <v>37.020000000000003</v>
      </c>
      <c r="K11" s="45">
        <f>K14/$K$17*100</f>
        <v>63.49238038197911</v>
      </c>
      <c r="L11" s="45">
        <f>L14/$L$17*100</f>
        <v>52.403684151409635</v>
      </c>
    </row>
    <row r="12" spans="1:13" x14ac:dyDescent="0.25">
      <c r="A12" s="42"/>
      <c r="B12" s="43" t="s">
        <v>2136</v>
      </c>
      <c r="C12" s="42"/>
      <c r="D12" s="42" t="s">
        <v>8</v>
      </c>
      <c r="E12" s="45"/>
      <c r="F12" s="45"/>
      <c r="G12" s="45"/>
      <c r="H12" s="45"/>
      <c r="I12" s="45">
        <f>I15/$I$17*100</f>
        <v>16.556615309366592</v>
      </c>
      <c r="J12" s="45">
        <v>19.61</v>
      </c>
      <c r="K12" s="45">
        <f>K15/$K$17*100</f>
        <v>8.2917415319092296</v>
      </c>
      <c r="L12" s="45">
        <f>L15/$L$17*100</f>
        <v>13.315736268673481</v>
      </c>
    </row>
    <row r="13" spans="1:13" x14ac:dyDescent="0.25">
      <c r="A13" s="42"/>
      <c r="B13" s="43" t="s">
        <v>2137</v>
      </c>
      <c r="C13" s="42"/>
      <c r="D13" s="42" t="s">
        <v>8</v>
      </c>
      <c r="E13" s="45"/>
      <c r="F13" s="45"/>
      <c r="G13" s="45"/>
      <c r="H13" s="45"/>
      <c r="I13" s="45">
        <f>I16/$I$17*100</f>
        <v>15.855547403603163</v>
      </c>
      <c r="J13" s="45">
        <v>43.37</v>
      </c>
      <c r="K13" s="45">
        <f>K16/$K$17*100</f>
        <v>28.215878086111669</v>
      </c>
      <c r="L13" s="45">
        <f>L16/$L$17*100</f>
        <v>34.280579579916882</v>
      </c>
    </row>
    <row r="14" spans="1:13" s="89" customFormat="1" ht="30" x14ac:dyDescent="0.25">
      <c r="A14" s="13"/>
      <c r="B14" s="21" t="s">
        <v>2135</v>
      </c>
      <c r="C14" s="6" t="s">
        <v>2880</v>
      </c>
      <c r="D14" s="13" t="s">
        <v>950</v>
      </c>
      <c r="E14" s="122"/>
      <c r="F14" s="122"/>
      <c r="G14" s="122"/>
      <c r="H14" s="122"/>
      <c r="I14" s="140">
        <v>8291</v>
      </c>
      <c r="J14" s="140"/>
      <c r="K14" s="140">
        <v>9541</v>
      </c>
      <c r="L14" s="140">
        <v>9331</v>
      </c>
    </row>
    <row r="15" spans="1:13" s="89" customFormat="1" ht="30" x14ac:dyDescent="0.25">
      <c r="A15" s="13"/>
      <c r="B15" s="21" t="s">
        <v>2136</v>
      </c>
      <c r="C15" s="6" t="s">
        <v>2881</v>
      </c>
      <c r="D15" s="13" t="s">
        <v>950</v>
      </c>
      <c r="E15" s="122"/>
      <c r="F15" s="122"/>
      <c r="G15" s="122"/>
      <c r="H15" s="122"/>
      <c r="I15" s="140">
        <v>2031</v>
      </c>
      <c r="J15" s="140"/>
      <c r="K15" s="140">
        <v>1246</v>
      </c>
      <c r="L15" s="140">
        <v>2371</v>
      </c>
    </row>
    <row r="16" spans="1:13" s="89" customFormat="1" ht="30" x14ac:dyDescent="0.25">
      <c r="A16" s="13"/>
      <c r="B16" s="21" t="s">
        <v>2137</v>
      </c>
      <c r="C16" s="6" t="s">
        <v>2882</v>
      </c>
      <c r="D16" s="13" t="s">
        <v>950</v>
      </c>
      <c r="E16" s="122"/>
      <c r="F16" s="122"/>
      <c r="G16" s="122"/>
      <c r="H16" s="122"/>
      <c r="I16" s="140">
        <v>1945</v>
      </c>
      <c r="J16" s="140"/>
      <c r="K16" s="140">
        <v>4240</v>
      </c>
      <c r="L16" s="140">
        <v>6104</v>
      </c>
    </row>
    <row r="17" spans="1:13" s="89" customFormat="1" ht="30" x14ac:dyDescent="0.25">
      <c r="A17" s="13"/>
      <c r="B17" s="21" t="s">
        <v>2139</v>
      </c>
      <c r="C17" s="6" t="s">
        <v>2637</v>
      </c>
      <c r="D17" s="13" t="s">
        <v>950</v>
      </c>
      <c r="E17" s="122"/>
      <c r="F17" s="122"/>
      <c r="G17" s="122"/>
      <c r="H17" s="122"/>
      <c r="I17" s="140">
        <f>I14+I15+I16</f>
        <v>12267</v>
      </c>
      <c r="J17" s="140"/>
      <c r="K17" s="140">
        <f>K14+K15+K16</f>
        <v>15027</v>
      </c>
      <c r="L17" s="140">
        <f>L14+L15+L16</f>
        <v>17806</v>
      </c>
    </row>
    <row r="18" spans="1:13" s="89" customFormat="1" ht="60" x14ac:dyDescent="0.25">
      <c r="A18" s="42" t="s">
        <v>1861</v>
      </c>
      <c r="B18" s="43" t="s">
        <v>2140</v>
      </c>
      <c r="C18" s="42"/>
      <c r="D18" s="42"/>
      <c r="E18" s="45"/>
      <c r="F18" s="45"/>
      <c r="G18" s="45"/>
      <c r="H18" s="45"/>
      <c r="I18" s="49"/>
      <c r="J18" s="49"/>
      <c r="K18" s="49"/>
      <c r="L18" s="49"/>
      <c r="M18" s="3" t="s">
        <v>135</v>
      </c>
    </row>
    <row r="19" spans="1:13" s="89" customFormat="1" x14ac:dyDescent="0.25">
      <c r="A19" s="42"/>
      <c r="B19" s="43" t="s">
        <v>2141</v>
      </c>
      <c r="C19" s="42"/>
      <c r="D19" s="42" t="s">
        <v>8</v>
      </c>
      <c r="E19" s="45"/>
      <c r="F19" s="45"/>
      <c r="G19" s="45"/>
      <c r="H19" s="45"/>
      <c r="I19" s="45">
        <f>I22/I26*100</f>
        <v>1.3699993601456024</v>
      </c>
      <c r="J19" s="45">
        <v>10.96</v>
      </c>
      <c r="K19" s="45">
        <f t="shared" ref="K19:L21" si="0">K22/K26*100</f>
        <v>1.2603785306973752</v>
      </c>
      <c r="L19" s="45">
        <f t="shared" si="0"/>
        <v>1.5499789212097006</v>
      </c>
    </row>
    <row r="20" spans="1:13" s="89" customFormat="1" x14ac:dyDescent="0.25">
      <c r="A20" s="42"/>
      <c r="B20" s="43" t="s">
        <v>2142</v>
      </c>
      <c r="C20" s="42"/>
      <c r="D20" s="42" t="s">
        <v>8</v>
      </c>
      <c r="E20" s="45"/>
      <c r="F20" s="45"/>
      <c r="G20" s="45"/>
      <c r="H20" s="45"/>
      <c r="I20" s="45">
        <f>I23/I27*100</f>
        <v>1.1399991659269233</v>
      </c>
      <c r="J20" s="45">
        <v>7.4</v>
      </c>
      <c r="K20" s="45">
        <f t="shared" si="0"/>
        <v>2.493407176511683</v>
      </c>
      <c r="L20" s="45">
        <f t="shared" si="0"/>
        <v>2.4976735132483086</v>
      </c>
    </row>
    <row r="21" spans="1:13" s="89" customFormat="1" x14ac:dyDescent="0.25">
      <c r="A21" s="42"/>
      <c r="B21" s="43" t="s">
        <v>2143</v>
      </c>
      <c r="C21" s="42"/>
      <c r="D21" s="42" t="s">
        <v>8</v>
      </c>
      <c r="E21" s="45"/>
      <c r="F21" s="45"/>
      <c r="G21" s="45"/>
      <c r="H21" s="45"/>
      <c r="I21" s="45">
        <f>I24/I28*100</f>
        <v>0.46000011770729726</v>
      </c>
      <c r="J21" s="45">
        <v>12.81</v>
      </c>
      <c r="K21" s="45">
        <f t="shared" si="0"/>
        <v>0.64520763712990359</v>
      </c>
      <c r="L21" s="45">
        <f t="shared" si="0"/>
        <v>1.0771641727506864</v>
      </c>
    </row>
    <row r="22" spans="1:13" s="89" customFormat="1" ht="45" x14ac:dyDescent="0.25">
      <c r="A22" s="13"/>
      <c r="B22" s="21" t="s">
        <v>2141</v>
      </c>
      <c r="C22" s="6" t="s">
        <v>2657</v>
      </c>
      <c r="D22" s="13" t="s">
        <v>950</v>
      </c>
      <c r="E22" s="122"/>
      <c r="F22" s="122"/>
      <c r="G22" s="122"/>
      <c r="H22" s="122"/>
      <c r="I22" s="140">
        <f>I23+I24</f>
        <v>11562</v>
      </c>
      <c r="J22" s="140"/>
      <c r="K22" s="140">
        <f>K23+K24</f>
        <v>14201</v>
      </c>
      <c r="L22" s="140">
        <f>L23+L24</f>
        <v>17464</v>
      </c>
    </row>
    <row r="23" spans="1:13" s="89" customFormat="1" ht="45" x14ac:dyDescent="0.25">
      <c r="A23" s="13"/>
      <c r="B23" s="21" t="s">
        <v>2142</v>
      </c>
      <c r="C23" s="6" t="s">
        <v>2658</v>
      </c>
      <c r="D23" s="13" t="s">
        <v>950</v>
      </c>
      <c r="E23" s="122"/>
      <c r="F23" s="122"/>
      <c r="G23" s="122"/>
      <c r="H23" s="122"/>
      <c r="I23" s="140">
        <v>7654</v>
      </c>
      <c r="J23" s="140"/>
      <c r="K23" s="140">
        <v>9351</v>
      </c>
      <c r="L23" s="140">
        <v>9367</v>
      </c>
    </row>
    <row r="24" spans="1:13" s="89" customFormat="1" ht="45" x14ac:dyDescent="0.25">
      <c r="A24" s="13"/>
      <c r="B24" s="21" t="s">
        <v>2143</v>
      </c>
      <c r="C24" s="6" t="s">
        <v>2659</v>
      </c>
      <c r="D24" s="13" t="s">
        <v>950</v>
      </c>
      <c r="E24" s="122"/>
      <c r="F24" s="122"/>
      <c r="G24" s="122"/>
      <c r="H24" s="122"/>
      <c r="I24" s="140">
        <v>3908</v>
      </c>
      <c r="J24" s="140"/>
      <c r="K24" s="140">
        <v>4850</v>
      </c>
      <c r="L24" s="140">
        <v>8097</v>
      </c>
    </row>
    <row r="25" spans="1:13" s="89" customFormat="1" x14ac:dyDescent="0.25">
      <c r="A25" s="13"/>
      <c r="B25" s="21" t="s">
        <v>2298</v>
      </c>
      <c r="C25" s="13"/>
      <c r="D25" s="13"/>
      <c r="E25" s="122"/>
      <c r="F25" s="122"/>
      <c r="G25" s="122"/>
      <c r="H25" s="122"/>
      <c r="I25" s="140"/>
      <c r="J25" s="140"/>
      <c r="K25" s="140"/>
      <c r="L25" s="140"/>
    </row>
    <row r="26" spans="1:13" s="89" customFormat="1" x14ac:dyDescent="0.25">
      <c r="A26" s="13"/>
      <c r="B26" s="21" t="s">
        <v>2141</v>
      </c>
      <c r="C26" s="13" t="s">
        <v>2641</v>
      </c>
      <c r="D26" s="13" t="s">
        <v>950</v>
      </c>
      <c r="E26" s="122"/>
      <c r="F26" s="122"/>
      <c r="G26" s="122"/>
      <c r="H26" s="122"/>
      <c r="I26" s="140">
        <v>843942</v>
      </c>
      <c r="J26" s="140"/>
      <c r="K26" s="140">
        <v>1126725</v>
      </c>
      <c r="L26" s="140">
        <v>1126725</v>
      </c>
    </row>
    <row r="27" spans="1:13" s="89" customFormat="1" x14ac:dyDescent="0.25">
      <c r="A27" s="13"/>
      <c r="B27" s="21" t="s">
        <v>2142</v>
      </c>
      <c r="C27" s="13" t="s">
        <v>2641</v>
      </c>
      <c r="D27" s="13" t="s">
        <v>950</v>
      </c>
      <c r="E27" s="122"/>
      <c r="F27" s="122"/>
      <c r="G27" s="122"/>
      <c r="H27" s="122"/>
      <c r="I27" s="140">
        <v>671404</v>
      </c>
      <c r="J27" s="140"/>
      <c r="K27" s="140">
        <v>375029</v>
      </c>
      <c r="L27" s="140">
        <v>375029</v>
      </c>
    </row>
    <row r="28" spans="1:13" s="89" customFormat="1" x14ac:dyDescent="0.25">
      <c r="A28" s="13"/>
      <c r="B28" s="21" t="s">
        <v>2143</v>
      </c>
      <c r="C28" s="13" t="s">
        <v>2641</v>
      </c>
      <c r="D28" s="13" t="s">
        <v>950</v>
      </c>
      <c r="E28" s="122"/>
      <c r="F28" s="122"/>
      <c r="G28" s="122"/>
      <c r="H28" s="122"/>
      <c r="I28" s="140">
        <v>849565</v>
      </c>
      <c r="J28" s="140"/>
      <c r="K28" s="140">
        <v>751696</v>
      </c>
      <c r="L28" s="140">
        <v>751696</v>
      </c>
    </row>
    <row r="29" spans="1:13" s="188" customFormat="1" ht="60" hidden="1" x14ac:dyDescent="0.25">
      <c r="A29" s="193" t="s">
        <v>953</v>
      </c>
      <c r="B29" s="194" t="s">
        <v>951</v>
      </c>
      <c r="C29" s="193"/>
      <c r="D29" s="193"/>
      <c r="E29" s="195"/>
      <c r="F29" s="195"/>
      <c r="G29" s="195"/>
      <c r="H29" s="195"/>
      <c r="I29" s="195"/>
      <c r="J29" s="195"/>
      <c r="K29" s="195"/>
      <c r="L29" s="195"/>
      <c r="M29" s="192"/>
    </row>
    <row r="30" spans="1:13" s="188" customFormat="1" ht="30" hidden="1" x14ac:dyDescent="0.25">
      <c r="A30" s="193"/>
      <c r="B30" s="194" t="s">
        <v>180</v>
      </c>
      <c r="C30" s="193" t="s">
        <v>954</v>
      </c>
      <c r="D30" s="193" t="s">
        <v>1140</v>
      </c>
      <c r="E30" s="193">
        <v>62.401000000000003</v>
      </c>
      <c r="F30" s="193">
        <v>62.401000000000003</v>
      </c>
      <c r="G30" s="193">
        <v>62.401000000000003</v>
      </c>
      <c r="H30" s="193">
        <v>57.966999999999999</v>
      </c>
      <c r="I30" s="193"/>
      <c r="J30" s="193"/>
      <c r="K30" s="193"/>
      <c r="L30" s="193"/>
    </row>
    <row r="31" spans="1:13" s="188" customFormat="1" ht="30" hidden="1" x14ac:dyDescent="0.25">
      <c r="A31" s="193"/>
      <c r="B31" s="194" t="s">
        <v>1141</v>
      </c>
      <c r="C31" s="193" t="s">
        <v>955</v>
      </c>
      <c r="D31" s="193" t="s">
        <v>1140</v>
      </c>
      <c r="E31" s="193">
        <v>15.874000000000001</v>
      </c>
      <c r="F31" s="193">
        <v>15.874000000000001</v>
      </c>
      <c r="G31" s="193">
        <v>15.874000000000001</v>
      </c>
      <c r="H31" s="193">
        <v>17.225000000000001</v>
      </c>
      <c r="I31" s="193"/>
      <c r="J31" s="193"/>
      <c r="K31" s="193"/>
      <c r="L31" s="193"/>
    </row>
    <row r="32" spans="1:13" s="188" customFormat="1" ht="30" hidden="1" x14ac:dyDescent="0.25">
      <c r="A32" s="194"/>
      <c r="B32" s="194" t="s">
        <v>1142</v>
      </c>
      <c r="C32" s="193" t="s">
        <v>956</v>
      </c>
      <c r="D32" s="193" t="s">
        <v>1140</v>
      </c>
      <c r="E32" s="193">
        <v>10.478999999999999</v>
      </c>
      <c r="F32" s="193">
        <v>10.478999999999999</v>
      </c>
      <c r="G32" s="193">
        <v>10.478999999999999</v>
      </c>
      <c r="H32" s="193">
        <v>5.859</v>
      </c>
      <c r="I32" s="193"/>
      <c r="J32" s="193"/>
      <c r="K32" s="193"/>
      <c r="L32" s="193"/>
    </row>
    <row r="33" spans="1:13" s="188" customFormat="1" ht="30" hidden="1" x14ac:dyDescent="0.25">
      <c r="A33" s="194"/>
      <c r="B33" s="194" t="s">
        <v>1143</v>
      </c>
      <c r="C33" s="193" t="s">
        <v>957</v>
      </c>
      <c r="D33" s="193" t="s">
        <v>1140</v>
      </c>
      <c r="E33" s="193">
        <v>37.991</v>
      </c>
      <c r="F33" s="193">
        <v>37.991</v>
      </c>
      <c r="G33" s="193">
        <v>37.991</v>
      </c>
      <c r="H33" s="193">
        <v>37.276000000000003</v>
      </c>
      <c r="I33" s="193"/>
      <c r="J33" s="193"/>
      <c r="K33" s="193"/>
      <c r="L33" s="193"/>
    </row>
    <row r="34" spans="1:13" ht="45" hidden="1" x14ac:dyDescent="0.25">
      <c r="A34" s="150" t="s">
        <v>961</v>
      </c>
      <c r="B34" s="51" t="s">
        <v>958</v>
      </c>
      <c r="C34" s="150"/>
      <c r="D34" s="150" t="s">
        <v>8</v>
      </c>
      <c r="E34" s="164">
        <f t="shared" ref="E34:J34" si="1">E35/E36*100</f>
        <v>9.7452683888237299</v>
      </c>
      <c r="F34" s="164">
        <f t="shared" si="1"/>
        <v>9.7452683888237299</v>
      </c>
      <c r="G34" s="164">
        <f t="shared" si="1"/>
        <v>9.7452683888237299</v>
      </c>
      <c r="H34" s="164">
        <f t="shared" si="1"/>
        <v>9.1866457894870308</v>
      </c>
      <c r="I34" s="164" t="e">
        <f t="shared" si="1"/>
        <v>#DIV/0!</v>
      </c>
      <c r="J34" s="164" t="e">
        <f t="shared" si="1"/>
        <v>#DIV/0!</v>
      </c>
      <c r="K34" s="164" t="e">
        <f>K35/K36*100</f>
        <v>#DIV/0!</v>
      </c>
      <c r="L34" s="164" t="e">
        <f>L35/L36*100</f>
        <v>#DIV/0!</v>
      </c>
      <c r="M34" s="3"/>
    </row>
    <row r="35" spans="1:13" ht="45" hidden="1" x14ac:dyDescent="0.25">
      <c r="A35" s="194"/>
      <c r="B35" s="51" t="s">
        <v>959</v>
      </c>
      <c r="C35" s="150" t="s">
        <v>954</v>
      </c>
      <c r="D35" s="150" t="s">
        <v>950</v>
      </c>
      <c r="E35" s="150">
        <v>62401</v>
      </c>
      <c r="F35" s="150">
        <v>62401</v>
      </c>
      <c r="G35" s="150">
        <v>62401</v>
      </c>
      <c r="H35" s="150">
        <v>57967</v>
      </c>
      <c r="I35" s="150"/>
      <c r="J35" s="150"/>
      <c r="K35" s="150"/>
      <c r="L35" s="150"/>
    </row>
    <row r="36" spans="1:13" ht="30" hidden="1" x14ac:dyDescent="0.25">
      <c r="A36" s="194"/>
      <c r="B36" s="51" t="s">
        <v>960</v>
      </c>
      <c r="C36" s="150" t="s">
        <v>885</v>
      </c>
      <c r="D36" s="150" t="s">
        <v>950</v>
      </c>
      <c r="E36" s="150">
        <v>640321</v>
      </c>
      <c r="F36" s="150">
        <v>640321</v>
      </c>
      <c r="G36" s="150">
        <v>640321</v>
      </c>
      <c r="H36" s="150">
        <v>630992</v>
      </c>
      <c r="I36" s="150"/>
      <c r="J36" s="150"/>
      <c r="K36" s="150"/>
      <c r="L36" s="150"/>
    </row>
    <row r="37" spans="1:13" ht="30" x14ac:dyDescent="0.25">
      <c r="A37" s="47" t="s">
        <v>787</v>
      </c>
      <c r="B37" s="48" t="s">
        <v>963</v>
      </c>
      <c r="C37" s="44"/>
      <c r="D37" s="42"/>
      <c r="E37" s="49"/>
      <c r="F37" s="49"/>
      <c r="G37" s="49"/>
      <c r="H37" s="49"/>
      <c r="I37" s="49"/>
      <c r="J37" s="49"/>
      <c r="K37" s="49"/>
      <c r="L37" s="49"/>
    </row>
    <row r="38" spans="1:13" ht="75" x14ac:dyDescent="0.25">
      <c r="A38" s="131" t="s">
        <v>790</v>
      </c>
      <c r="B38" s="56" t="s">
        <v>2589</v>
      </c>
      <c r="C38" s="44"/>
      <c r="D38" s="42"/>
      <c r="E38" s="49"/>
      <c r="F38" s="49"/>
      <c r="G38" s="49"/>
      <c r="H38" s="49"/>
      <c r="I38" s="49"/>
      <c r="J38" s="49"/>
      <c r="K38" s="49"/>
      <c r="L38" s="49"/>
      <c r="M38" s="3" t="s">
        <v>135</v>
      </c>
    </row>
    <row r="39" spans="1:13" x14ac:dyDescent="0.25">
      <c r="A39" s="131"/>
      <c r="B39" s="56" t="s">
        <v>2144</v>
      </c>
      <c r="C39" s="44"/>
      <c r="D39" s="42" t="s">
        <v>8</v>
      </c>
      <c r="E39" s="49"/>
      <c r="F39" s="49"/>
      <c r="G39" s="49"/>
      <c r="H39" s="49"/>
      <c r="I39" s="45">
        <f>I43/$I$46*100</f>
        <v>0.7744354772968125</v>
      </c>
      <c r="J39" s="45">
        <v>0.27</v>
      </c>
      <c r="K39" s="45">
        <f>K43/$K$46*100</f>
        <v>7.0406601450722031</v>
      </c>
      <c r="L39" s="45">
        <f>L43/$L$46*100</f>
        <v>0.74693923396607886</v>
      </c>
    </row>
    <row r="40" spans="1:13" x14ac:dyDescent="0.25">
      <c r="A40" s="131"/>
      <c r="B40" s="56" t="s">
        <v>2145</v>
      </c>
      <c r="C40" s="44"/>
      <c r="D40" s="42" t="s">
        <v>8</v>
      </c>
      <c r="E40" s="49"/>
      <c r="F40" s="49"/>
      <c r="G40" s="49"/>
      <c r="H40" s="49"/>
      <c r="I40" s="45">
        <f>I44/$I$46*100</f>
        <v>16.295752832803455</v>
      </c>
      <c r="J40" s="45">
        <v>1.59</v>
      </c>
      <c r="K40" s="45">
        <f t="shared" ref="K40:K41" si="2">K44/$K$46*100</f>
        <v>5.4368802821587803</v>
      </c>
      <c r="L40" s="45">
        <f>L44/$L$46*100</f>
        <v>13.607772660900819</v>
      </c>
    </row>
    <row r="41" spans="1:13" x14ac:dyDescent="0.25">
      <c r="A41" s="213"/>
      <c r="B41" s="211" t="s">
        <v>2592</v>
      </c>
      <c r="C41" s="216"/>
      <c r="D41" s="212"/>
      <c r="E41" s="214"/>
      <c r="F41" s="214"/>
      <c r="G41" s="214"/>
      <c r="H41" s="214"/>
      <c r="I41" s="217">
        <f>I45/$I$46*100</f>
        <v>0</v>
      </c>
      <c r="J41" s="217">
        <v>0.16</v>
      </c>
      <c r="K41" s="217">
        <f t="shared" si="2"/>
        <v>2.016370533040527</v>
      </c>
      <c r="L41" s="217">
        <f>L45/$L$46*100</f>
        <v>4.7905200494215432</v>
      </c>
    </row>
    <row r="42" spans="1:13" s="89" customFormat="1" x14ac:dyDescent="0.25">
      <c r="A42" s="124"/>
      <c r="B42" s="31" t="s">
        <v>2146</v>
      </c>
      <c r="C42" s="87"/>
      <c r="D42" s="13"/>
      <c r="E42" s="111"/>
      <c r="F42" s="111"/>
      <c r="G42" s="111"/>
      <c r="H42" s="111"/>
      <c r="I42" s="111"/>
      <c r="J42" s="111"/>
      <c r="K42" s="111"/>
      <c r="L42" s="111"/>
    </row>
    <row r="43" spans="1:13" s="89" customFormat="1" ht="45" x14ac:dyDescent="0.25">
      <c r="A43" s="124"/>
      <c r="B43" s="31" t="s">
        <v>2144</v>
      </c>
      <c r="C43" s="6" t="s">
        <v>2638</v>
      </c>
      <c r="D43" s="13" t="s">
        <v>950</v>
      </c>
      <c r="E43" s="111"/>
      <c r="F43" s="111"/>
      <c r="G43" s="111"/>
      <c r="H43" s="111"/>
      <c r="I43" s="140">
        <v>95</v>
      </c>
      <c r="J43" s="140"/>
      <c r="K43" s="140">
        <v>1058</v>
      </c>
      <c r="L43" s="140">
        <v>133</v>
      </c>
    </row>
    <row r="44" spans="1:13" s="89" customFormat="1" ht="45" x14ac:dyDescent="0.25">
      <c r="A44" s="124"/>
      <c r="B44" s="31" t="s">
        <v>2145</v>
      </c>
      <c r="C44" s="6" t="s">
        <v>2639</v>
      </c>
      <c r="D44" s="13" t="s">
        <v>950</v>
      </c>
      <c r="E44" s="111"/>
      <c r="F44" s="111"/>
      <c r="G44" s="111"/>
      <c r="H44" s="111"/>
      <c r="I44" s="140">
        <v>1999</v>
      </c>
      <c r="J44" s="140"/>
      <c r="K44" s="140">
        <v>817</v>
      </c>
      <c r="L44" s="140">
        <v>2423</v>
      </c>
    </row>
    <row r="45" spans="1:13" s="89" customFormat="1" ht="30" x14ac:dyDescent="0.25">
      <c r="A45" s="124"/>
      <c r="B45" s="31" t="s">
        <v>2592</v>
      </c>
      <c r="C45" s="6" t="s">
        <v>2640</v>
      </c>
      <c r="D45" s="13" t="s">
        <v>950</v>
      </c>
      <c r="E45" s="111"/>
      <c r="F45" s="111"/>
      <c r="G45" s="111"/>
      <c r="H45" s="111"/>
      <c r="I45" s="140">
        <v>0</v>
      </c>
      <c r="J45" s="140"/>
      <c r="K45" s="140">
        <v>303</v>
      </c>
      <c r="L45" s="140">
        <v>853</v>
      </c>
    </row>
    <row r="46" spans="1:13" s="89" customFormat="1" ht="30" x14ac:dyDescent="0.25">
      <c r="A46" s="124"/>
      <c r="B46" s="21" t="s">
        <v>2139</v>
      </c>
      <c r="C46" s="6" t="s">
        <v>2637</v>
      </c>
      <c r="D46" s="13" t="s">
        <v>950</v>
      </c>
      <c r="E46" s="111"/>
      <c r="F46" s="111"/>
      <c r="G46" s="111"/>
      <c r="H46" s="111"/>
      <c r="I46" s="140">
        <f>I17</f>
        <v>12267</v>
      </c>
      <c r="J46" s="140"/>
      <c r="K46" s="140">
        <f>K17</f>
        <v>15027</v>
      </c>
      <c r="L46" s="140">
        <f>L17</f>
        <v>17806</v>
      </c>
    </row>
    <row r="47" spans="1:13" s="89" customFormat="1" ht="30" x14ac:dyDescent="0.25">
      <c r="A47" s="131" t="s">
        <v>1394</v>
      </c>
      <c r="B47" s="56" t="s">
        <v>2147</v>
      </c>
      <c r="C47" s="44"/>
      <c r="D47" s="42"/>
      <c r="E47" s="49"/>
      <c r="F47" s="49"/>
      <c r="G47" s="49"/>
      <c r="H47" s="49"/>
      <c r="I47" s="49"/>
      <c r="J47" s="49"/>
      <c r="K47" s="49"/>
      <c r="L47" s="49"/>
      <c r="M47" s="3" t="s">
        <v>135</v>
      </c>
    </row>
    <row r="48" spans="1:13" s="89" customFormat="1" ht="30" x14ac:dyDescent="0.25">
      <c r="A48" s="131"/>
      <c r="B48" s="56" t="s">
        <v>2148</v>
      </c>
      <c r="C48" s="44"/>
      <c r="D48" s="42"/>
      <c r="E48" s="49"/>
      <c r="F48" s="49"/>
      <c r="G48" s="49"/>
      <c r="H48" s="49"/>
      <c r="I48" s="49"/>
      <c r="J48" s="49"/>
      <c r="K48" s="49"/>
      <c r="L48" s="49"/>
    </row>
    <row r="49" spans="1:12" s="89" customFormat="1" x14ac:dyDescent="0.25">
      <c r="A49" s="131"/>
      <c r="B49" s="56" t="s">
        <v>2149</v>
      </c>
      <c r="C49" s="44"/>
      <c r="D49" s="42" t="s">
        <v>8</v>
      </c>
      <c r="E49" s="49"/>
      <c r="F49" s="49"/>
      <c r="G49" s="49"/>
      <c r="H49" s="49"/>
      <c r="I49" s="45">
        <f>I62/$I$74*100</f>
        <v>24.219032686045107</v>
      </c>
      <c r="J49" s="45">
        <v>4.03</v>
      </c>
      <c r="K49" s="45">
        <f>K62/$K$74*100</f>
        <v>9.8941410753589771</v>
      </c>
      <c r="L49" s="45">
        <f>L62/$L$74*100</f>
        <v>19.1726503054335</v>
      </c>
    </row>
    <row r="50" spans="1:12" s="89" customFormat="1" ht="30" x14ac:dyDescent="0.25">
      <c r="A50" s="131"/>
      <c r="B50" s="56" t="s">
        <v>2150</v>
      </c>
      <c r="C50" s="44"/>
      <c r="D50" s="42" t="s">
        <v>8</v>
      </c>
      <c r="E50" s="49"/>
      <c r="F50" s="49"/>
      <c r="G50" s="49"/>
      <c r="H50" s="49"/>
      <c r="I50" s="45">
        <f>I63/$I$74*100</f>
        <v>66.578217344108069</v>
      </c>
      <c r="J50" s="45">
        <v>94.4</v>
      </c>
      <c r="K50" s="45">
        <f t="shared" ref="K50:K51" si="3">K63/$K$74*100</f>
        <v>82.695734199769419</v>
      </c>
      <c r="L50" s="45">
        <f>L63/$L$74*100</f>
        <v>71.96441967634766</v>
      </c>
    </row>
    <row r="51" spans="1:12" s="89" customFormat="1" ht="30" x14ac:dyDescent="0.25">
      <c r="A51" s="131"/>
      <c r="B51" s="56" t="s">
        <v>2151</v>
      </c>
      <c r="C51" s="44"/>
      <c r="D51" s="42" t="s">
        <v>8</v>
      </c>
      <c r="E51" s="49"/>
      <c r="F51" s="49"/>
      <c r="G51" s="49"/>
      <c r="H51" s="49"/>
      <c r="I51" s="45">
        <f>I64/$I$74*100</f>
        <v>9.2027499698468205</v>
      </c>
      <c r="J51" s="45">
        <v>1.57</v>
      </c>
      <c r="K51" s="45">
        <f t="shared" si="3"/>
        <v>7.4101247248716069</v>
      </c>
      <c r="L51" s="45">
        <f>L64/$L$74*100</f>
        <v>8.8629300182188402</v>
      </c>
    </row>
    <row r="52" spans="1:12" s="89" customFormat="1" x14ac:dyDescent="0.25">
      <c r="A52" s="131"/>
      <c r="B52" s="56" t="s">
        <v>2152</v>
      </c>
      <c r="C52" s="44"/>
      <c r="D52" s="42"/>
      <c r="E52" s="49"/>
      <c r="F52" s="49"/>
      <c r="G52" s="49"/>
      <c r="H52" s="49"/>
      <c r="I52" s="49"/>
      <c r="J52" s="49"/>
      <c r="K52" s="49"/>
      <c r="L52" s="49"/>
    </row>
    <row r="53" spans="1:12" s="89" customFormat="1" x14ac:dyDescent="0.25">
      <c r="A53" s="131"/>
      <c r="B53" s="56" t="s">
        <v>2149</v>
      </c>
      <c r="C53" s="44"/>
      <c r="D53" s="42" t="s">
        <v>8</v>
      </c>
      <c r="E53" s="49"/>
      <c r="F53" s="49"/>
      <c r="G53" s="49"/>
      <c r="H53" s="49"/>
      <c r="I53" s="45">
        <f>I66/$I$75*100</f>
        <v>45.937961595273265</v>
      </c>
      <c r="J53" s="45">
        <v>1.73</v>
      </c>
      <c r="K53" s="45">
        <f>K66/$K$75*100</f>
        <v>5.2969502407704656</v>
      </c>
      <c r="L53" s="45">
        <f>L66/$L$75*100</f>
        <v>1.1387600168705188</v>
      </c>
    </row>
    <row r="54" spans="1:12" s="89" customFormat="1" ht="30" x14ac:dyDescent="0.25">
      <c r="A54" s="131"/>
      <c r="B54" s="56" t="s">
        <v>2150</v>
      </c>
      <c r="C54" s="44"/>
      <c r="D54" s="42" t="s">
        <v>8</v>
      </c>
      <c r="E54" s="49"/>
      <c r="F54" s="49"/>
      <c r="G54" s="49"/>
      <c r="H54" s="49"/>
      <c r="I54" s="45">
        <f>I67/$I$75*100</f>
        <v>20.187099950763169</v>
      </c>
      <c r="J54" s="45">
        <v>97.51</v>
      </c>
      <c r="K54" s="45">
        <f t="shared" ref="K54:K55" si="4">K67/$K$75*100</f>
        <v>39.727126805778489</v>
      </c>
      <c r="L54" s="45">
        <f t="shared" ref="L54:L55" si="5">L67/$L$75*100</f>
        <v>48.629270350063265</v>
      </c>
    </row>
    <row r="55" spans="1:12" s="89" customFormat="1" ht="30" x14ac:dyDescent="0.25">
      <c r="A55" s="131"/>
      <c r="B55" s="56" t="s">
        <v>2151</v>
      </c>
      <c r="C55" s="44"/>
      <c r="D55" s="42" t="s">
        <v>8</v>
      </c>
      <c r="E55" s="49"/>
      <c r="F55" s="49"/>
      <c r="G55" s="49"/>
      <c r="H55" s="49"/>
      <c r="I55" s="45">
        <f>(I68/$I$75*100)+0.01</f>
        <v>33.884938453963564</v>
      </c>
      <c r="J55" s="45">
        <v>0.76</v>
      </c>
      <c r="K55" s="45">
        <f t="shared" si="4"/>
        <v>54.97592295345104</v>
      </c>
      <c r="L55" s="45">
        <f t="shared" si="5"/>
        <v>50.231969633066221</v>
      </c>
    </row>
    <row r="56" spans="1:12" s="89" customFormat="1" x14ac:dyDescent="0.25">
      <c r="A56" s="131"/>
      <c r="B56" s="56" t="s">
        <v>2153</v>
      </c>
      <c r="C56" s="44"/>
      <c r="D56" s="42"/>
      <c r="E56" s="49"/>
      <c r="F56" s="49"/>
      <c r="G56" s="49"/>
      <c r="H56" s="49"/>
      <c r="I56" s="49"/>
      <c r="J56" s="49"/>
      <c r="K56" s="49"/>
      <c r="L56" s="49"/>
    </row>
    <row r="57" spans="1:12" s="89" customFormat="1" x14ac:dyDescent="0.25">
      <c r="A57" s="131"/>
      <c r="B57" s="56" t="s">
        <v>2149</v>
      </c>
      <c r="C57" s="44"/>
      <c r="D57" s="42" t="s">
        <v>8</v>
      </c>
      <c r="E57" s="49"/>
      <c r="F57" s="49"/>
      <c r="G57" s="49"/>
      <c r="H57" s="49"/>
      <c r="I57" s="45">
        <f>I70/$I$76*100</f>
        <v>38.560411311053983</v>
      </c>
      <c r="J57" s="45">
        <v>3.16</v>
      </c>
      <c r="K57" s="45">
        <f>K70/$K$76*100</f>
        <v>0.23584905660377359</v>
      </c>
      <c r="L57" s="45">
        <f>L70/$L$76*100</f>
        <v>19.57732634338139</v>
      </c>
    </row>
    <row r="58" spans="1:12" s="89" customFormat="1" ht="30" x14ac:dyDescent="0.25">
      <c r="A58" s="131"/>
      <c r="B58" s="56" t="s">
        <v>2150</v>
      </c>
      <c r="C58" s="44"/>
      <c r="D58" s="42" t="s">
        <v>8</v>
      </c>
      <c r="E58" s="49"/>
      <c r="F58" s="49"/>
      <c r="G58" s="49"/>
      <c r="H58" s="49"/>
      <c r="I58" s="45">
        <f>I71/$I$76*100</f>
        <v>34.447300771208226</v>
      </c>
      <c r="J58" s="45">
        <v>91.65</v>
      </c>
      <c r="K58" s="45">
        <f t="shared" ref="K58:K59" si="6">K71/$K$76*100</f>
        <v>19.150943396226417</v>
      </c>
      <c r="L58" s="45">
        <f t="shared" ref="L58:L59" si="7">L71/$L$76*100</f>
        <v>13.466579292267367</v>
      </c>
    </row>
    <row r="59" spans="1:12" s="89" customFormat="1" ht="30" x14ac:dyDescent="0.25">
      <c r="A59" s="131"/>
      <c r="B59" s="56" t="s">
        <v>2151</v>
      </c>
      <c r="C59" s="44"/>
      <c r="D59" s="42" t="s">
        <v>8</v>
      </c>
      <c r="E59" s="49"/>
      <c r="F59" s="49"/>
      <c r="G59" s="49"/>
      <c r="H59" s="49"/>
      <c r="I59" s="45">
        <f>I72/$I$76*100</f>
        <v>26.992287917737791</v>
      </c>
      <c r="J59" s="45">
        <v>5.19</v>
      </c>
      <c r="K59" s="45">
        <f t="shared" si="6"/>
        <v>80.613207547169807</v>
      </c>
      <c r="L59" s="45">
        <f t="shared" si="7"/>
        <v>66.956094364351245</v>
      </c>
    </row>
    <row r="60" spans="1:12" s="89" customFormat="1" ht="30" x14ac:dyDescent="0.25">
      <c r="A60" s="124"/>
      <c r="B60" s="31" t="s">
        <v>2147</v>
      </c>
      <c r="C60" s="87"/>
      <c r="D60" s="13"/>
      <c r="E60" s="111"/>
      <c r="F60" s="111"/>
      <c r="G60" s="111"/>
      <c r="H60" s="111"/>
      <c r="I60" s="111"/>
      <c r="J60" s="111"/>
      <c r="K60" s="111"/>
      <c r="L60" s="111"/>
    </row>
    <row r="61" spans="1:12" s="89" customFormat="1" ht="30" x14ac:dyDescent="0.25">
      <c r="A61" s="124"/>
      <c r="B61" s="31" t="s">
        <v>2148</v>
      </c>
      <c r="C61" s="87"/>
      <c r="D61" s="13"/>
      <c r="E61" s="111"/>
      <c r="F61" s="111"/>
      <c r="G61" s="111"/>
      <c r="H61" s="111"/>
      <c r="I61" s="111"/>
      <c r="J61" s="111"/>
      <c r="K61" s="111"/>
      <c r="L61" s="111"/>
    </row>
    <row r="62" spans="1:12" s="89" customFormat="1" ht="30" x14ac:dyDescent="0.25">
      <c r="A62" s="124"/>
      <c r="B62" s="31" t="s">
        <v>2149</v>
      </c>
      <c r="C62" s="6" t="s">
        <v>2884</v>
      </c>
      <c r="D62" s="13" t="s">
        <v>950</v>
      </c>
      <c r="E62" s="111"/>
      <c r="F62" s="111"/>
      <c r="G62" s="111"/>
      <c r="H62" s="111"/>
      <c r="I62" s="140">
        <f>734+1132+142</f>
        <v>2008</v>
      </c>
      <c r="J62" s="140"/>
      <c r="K62" s="140">
        <v>944</v>
      </c>
      <c r="L62" s="140">
        <v>1789</v>
      </c>
    </row>
    <row r="63" spans="1:12" s="89" customFormat="1" ht="45" x14ac:dyDescent="0.25">
      <c r="A63" s="124"/>
      <c r="B63" s="31" t="s">
        <v>2150</v>
      </c>
      <c r="C63" s="6" t="s">
        <v>2885</v>
      </c>
      <c r="D63" s="13" t="s">
        <v>950</v>
      </c>
      <c r="E63" s="111"/>
      <c r="F63" s="111"/>
      <c r="G63" s="111"/>
      <c r="H63" s="111"/>
      <c r="I63" s="140">
        <f>1202+4318</f>
        <v>5520</v>
      </c>
      <c r="J63" s="140"/>
      <c r="K63" s="140">
        <v>7890</v>
      </c>
      <c r="L63" s="140">
        <v>6715</v>
      </c>
    </row>
    <row r="64" spans="1:12" s="89" customFormat="1" ht="30" x14ac:dyDescent="0.25">
      <c r="A64" s="124"/>
      <c r="B64" s="31" t="s">
        <v>2151</v>
      </c>
      <c r="C64" s="6" t="s">
        <v>2883</v>
      </c>
      <c r="D64" s="13" t="s">
        <v>950</v>
      </c>
      <c r="E64" s="111"/>
      <c r="F64" s="111"/>
      <c r="G64" s="111"/>
      <c r="H64" s="111"/>
      <c r="I64" s="140">
        <v>763</v>
      </c>
      <c r="J64" s="140"/>
      <c r="K64" s="140">
        <v>707</v>
      </c>
      <c r="L64" s="140">
        <v>827</v>
      </c>
    </row>
    <row r="65" spans="1:13" s="89" customFormat="1" x14ac:dyDescent="0.25">
      <c r="A65" s="124"/>
      <c r="B65" s="31" t="s">
        <v>2152</v>
      </c>
      <c r="C65" s="87"/>
      <c r="D65" s="13"/>
      <c r="E65" s="111"/>
      <c r="F65" s="111"/>
      <c r="G65" s="111"/>
      <c r="H65" s="111"/>
      <c r="I65" s="140"/>
      <c r="J65" s="140"/>
      <c r="K65" s="140"/>
      <c r="L65" s="140"/>
    </row>
    <row r="66" spans="1:13" s="89" customFormat="1" ht="30" x14ac:dyDescent="0.25">
      <c r="A66" s="124"/>
      <c r="B66" s="31" t="s">
        <v>2149</v>
      </c>
      <c r="C66" s="6" t="s">
        <v>2886</v>
      </c>
      <c r="D66" s="13" t="s">
        <v>950</v>
      </c>
      <c r="E66" s="111"/>
      <c r="F66" s="111"/>
      <c r="G66" s="111"/>
      <c r="H66" s="111"/>
      <c r="I66" s="140">
        <v>933</v>
      </c>
      <c r="J66" s="140"/>
      <c r="K66" s="140">
        <v>66</v>
      </c>
      <c r="L66" s="140">
        <v>27</v>
      </c>
    </row>
    <row r="67" spans="1:13" s="89" customFormat="1" ht="45" x14ac:dyDescent="0.25">
      <c r="A67" s="124"/>
      <c r="B67" s="31" t="s">
        <v>2150</v>
      </c>
      <c r="C67" s="6" t="s">
        <v>2887</v>
      </c>
      <c r="D67" s="13" t="s">
        <v>950</v>
      </c>
      <c r="E67" s="111"/>
      <c r="F67" s="111"/>
      <c r="G67" s="111"/>
      <c r="H67" s="111"/>
      <c r="I67" s="140">
        <f>15+395</f>
        <v>410</v>
      </c>
      <c r="J67" s="140"/>
      <c r="K67" s="140">
        <v>495</v>
      </c>
      <c r="L67" s="140">
        <v>1153</v>
      </c>
    </row>
    <row r="68" spans="1:13" s="89" customFormat="1" ht="30" x14ac:dyDescent="0.25">
      <c r="A68" s="124"/>
      <c r="B68" s="31" t="s">
        <v>2151</v>
      </c>
      <c r="C68" s="6" t="s">
        <v>2888</v>
      </c>
      <c r="D68" s="13" t="s">
        <v>950</v>
      </c>
      <c r="E68" s="111"/>
      <c r="F68" s="111"/>
      <c r="G68" s="111"/>
      <c r="H68" s="111"/>
      <c r="I68" s="140">
        <v>688</v>
      </c>
      <c r="J68" s="140"/>
      <c r="K68" s="140">
        <v>685</v>
      </c>
      <c r="L68" s="140">
        <v>1191</v>
      </c>
    </row>
    <row r="69" spans="1:13" s="89" customFormat="1" x14ac:dyDescent="0.25">
      <c r="A69" s="124"/>
      <c r="B69" s="31" t="s">
        <v>2153</v>
      </c>
      <c r="C69" s="87"/>
      <c r="D69" s="13"/>
      <c r="E69" s="111"/>
      <c r="F69" s="111"/>
      <c r="G69" s="111"/>
      <c r="H69" s="111"/>
      <c r="I69" s="140"/>
      <c r="J69" s="140"/>
      <c r="K69" s="140"/>
      <c r="L69" s="140"/>
    </row>
    <row r="70" spans="1:13" s="89" customFormat="1" ht="30" x14ac:dyDescent="0.25">
      <c r="A70" s="124"/>
      <c r="B70" s="31" t="s">
        <v>2149</v>
      </c>
      <c r="C70" s="6" t="s">
        <v>2889</v>
      </c>
      <c r="D70" s="13" t="s">
        <v>950</v>
      </c>
      <c r="E70" s="111"/>
      <c r="F70" s="111"/>
      <c r="G70" s="111"/>
      <c r="H70" s="111"/>
      <c r="I70" s="140">
        <f>738+12</f>
        <v>750</v>
      </c>
      <c r="J70" s="140"/>
      <c r="K70" s="140">
        <v>10</v>
      </c>
      <c r="L70" s="140">
        <v>1195</v>
      </c>
    </row>
    <row r="71" spans="1:13" s="89" customFormat="1" ht="45" x14ac:dyDescent="0.25">
      <c r="A71" s="124"/>
      <c r="B71" s="31" t="s">
        <v>2150</v>
      </c>
      <c r="C71" s="6" t="s">
        <v>2890</v>
      </c>
      <c r="D71" s="13" t="s">
        <v>950</v>
      </c>
      <c r="E71" s="111"/>
      <c r="F71" s="111"/>
      <c r="G71" s="111"/>
      <c r="H71" s="111"/>
      <c r="I71" s="140">
        <f>307+363</f>
        <v>670</v>
      </c>
      <c r="J71" s="140"/>
      <c r="K71" s="140">
        <v>812</v>
      </c>
      <c r="L71" s="140">
        <v>822</v>
      </c>
    </row>
    <row r="72" spans="1:13" s="89" customFormat="1" ht="30" x14ac:dyDescent="0.25">
      <c r="A72" s="124"/>
      <c r="B72" s="31" t="s">
        <v>2151</v>
      </c>
      <c r="C72" s="6" t="s">
        <v>2891</v>
      </c>
      <c r="D72" s="13" t="s">
        <v>950</v>
      </c>
      <c r="E72" s="111"/>
      <c r="F72" s="111"/>
      <c r="G72" s="111"/>
      <c r="H72" s="111"/>
      <c r="I72" s="140">
        <v>525</v>
      </c>
      <c r="J72" s="140"/>
      <c r="K72" s="140">
        <v>3418</v>
      </c>
      <c r="L72" s="140">
        <v>4087</v>
      </c>
    </row>
    <row r="73" spans="1:13" s="89" customFormat="1" x14ac:dyDescent="0.25">
      <c r="A73" s="124"/>
      <c r="B73" s="21" t="s">
        <v>2139</v>
      </c>
      <c r="C73" s="87"/>
      <c r="D73" s="13"/>
      <c r="E73" s="111"/>
      <c r="F73" s="111"/>
      <c r="G73" s="111"/>
      <c r="H73" s="111"/>
      <c r="I73" s="140"/>
      <c r="J73" s="140"/>
      <c r="K73" s="140"/>
      <c r="L73" s="140"/>
    </row>
    <row r="74" spans="1:13" s="89" customFormat="1" ht="30" x14ac:dyDescent="0.25">
      <c r="A74" s="124"/>
      <c r="B74" s="31" t="s">
        <v>2148</v>
      </c>
      <c r="C74" s="6" t="s">
        <v>2880</v>
      </c>
      <c r="D74" s="13" t="s">
        <v>950</v>
      </c>
      <c r="E74" s="111"/>
      <c r="F74" s="111"/>
      <c r="G74" s="111"/>
      <c r="H74" s="111"/>
      <c r="I74" s="140">
        <f>I62+I63+I64</f>
        <v>8291</v>
      </c>
      <c r="J74" s="140"/>
      <c r="K74" s="140">
        <f>K62+K63+K64</f>
        <v>9541</v>
      </c>
      <c r="L74" s="140">
        <f>L62+L63+L64</f>
        <v>9331</v>
      </c>
    </row>
    <row r="75" spans="1:13" s="89" customFormat="1" ht="30" x14ac:dyDescent="0.25">
      <c r="A75" s="124"/>
      <c r="B75" s="31" t="s">
        <v>2152</v>
      </c>
      <c r="C75" s="6" t="s">
        <v>2892</v>
      </c>
      <c r="D75" s="13" t="s">
        <v>950</v>
      </c>
      <c r="E75" s="111"/>
      <c r="F75" s="111"/>
      <c r="G75" s="111"/>
      <c r="H75" s="111"/>
      <c r="I75" s="140">
        <f>I66+I67+I68</f>
        <v>2031</v>
      </c>
      <c r="J75" s="140"/>
      <c r="K75" s="140">
        <f>K66+K67+K68</f>
        <v>1246</v>
      </c>
      <c r="L75" s="140">
        <f>L66+L67+L68</f>
        <v>2371</v>
      </c>
    </row>
    <row r="76" spans="1:13" s="89" customFormat="1" ht="30" x14ac:dyDescent="0.25">
      <c r="A76" s="124"/>
      <c r="B76" s="31" t="s">
        <v>2153</v>
      </c>
      <c r="C76" s="6" t="s">
        <v>2882</v>
      </c>
      <c r="D76" s="13" t="s">
        <v>950</v>
      </c>
      <c r="E76" s="111"/>
      <c r="F76" s="111"/>
      <c r="G76" s="111"/>
      <c r="H76" s="111"/>
      <c r="I76" s="140">
        <f>I70+I71+I72</f>
        <v>1945</v>
      </c>
      <c r="J76" s="140"/>
      <c r="K76" s="140">
        <f>K70+K71+K72</f>
        <v>4240</v>
      </c>
      <c r="L76" s="140">
        <f>L70+L71+L72</f>
        <v>6104</v>
      </c>
    </row>
    <row r="77" spans="1:13" s="89" customFormat="1" ht="45" x14ac:dyDescent="0.25">
      <c r="A77" s="131" t="s">
        <v>1395</v>
      </c>
      <c r="B77" s="56" t="s">
        <v>2346</v>
      </c>
      <c r="C77" s="43"/>
      <c r="D77" s="44"/>
      <c r="E77" s="44"/>
      <c r="F77" s="44"/>
      <c r="G77" s="44"/>
      <c r="H77" s="44"/>
      <c r="I77" s="44"/>
      <c r="J77" s="44"/>
      <c r="K77" s="44"/>
      <c r="L77" s="44"/>
      <c r="M77" s="3" t="s">
        <v>135</v>
      </c>
    </row>
    <row r="78" spans="1:13" s="89" customFormat="1" ht="30" x14ac:dyDescent="0.25">
      <c r="A78" s="131"/>
      <c r="B78" s="56" t="s">
        <v>2148</v>
      </c>
      <c r="C78" s="44"/>
      <c r="D78" s="42"/>
      <c r="E78" s="49"/>
      <c r="F78" s="49"/>
      <c r="G78" s="49"/>
      <c r="H78" s="49"/>
      <c r="I78" s="45">
        <f>I82/I86*100</f>
        <v>4.8543689320388346</v>
      </c>
      <c r="J78" s="45">
        <v>4.45</v>
      </c>
      <c r="K78" s="45">
        <f t="shared" ref="K78:L80" si="8">K82/K86*100</f>
        <v>8.0459770114942533</v>
      </c>
      <c r="L78" s="45">
        <f t="shared" si="8"/>
        <v>2.7700831024930745</v>
      </c>
    </row>
    <row r="79" spans="1:13" s="89" customFormat="1" x14ac:dyDescent="0.25">
      <c r="A79" s="131"/>
      <c r="B79" s="56" t="s">
        <v>2152</v>
      </c>
      <c r="C79" s="44"/>
      <c r="D79" s="42"/>
      <c r="E79" s="49"/>
      <c r="F79" s="49"/>
      <c r="G79" s="49"/>
      <c r="H79" s="49"/>
      <c r="I79" s="45">
        <f>I83/I87*100</f>
        <v>0</v>
      </c>
      <c r="J79" s="45">
        <v>1.1399999999999999</v>
      </c>
      <c r="K79" s="45">
        <f t="shared" si="8"/>
        <v>4.6728971962616823</v>
      </c>
      <c r="L79" s="45">
        <f t="shared" si="8"/>
        <v>1.3274336283185841</v>
      </c>
    </row>
    <row r="80" spans="1:13" s="89" customFormat="1" x14ac:dyDescent="0.25">
      <c r="A80" s="131"/>
      <c r="B80" s="56" t="s">
        <v>2153</v>
      </c>
      <c r="C80" s="44"/>
      <c r="D80" s="42"/>
      <c r="E80" s="49"/>
      <c r="F80" s="49"/>
      <c r="G80" s="49"/>
      <c r="H80" s="49"/>
      <c r="I80" s="45">
        <f>I84/I88*100</f>
        <v>0</v>
      </c>
      <c r="J80" s="45">
        <v>6.01</v>
      </c>
      <c r="K80" s="45">
        <f t="shared" si="8"/>
        <v>4.1044776119402986</v>
      </c>
      <c r="L80" s="45">
        <f t="shared" si="8"/>
        <v>0.79051383399209485</v>
      </c>
    </row>
    <row r="81" spans="1:13" s="89" customFormat="1" ht="30" x14ac:dyDescent="0.25">
      <c r="A81" s="124"/>
      <c r="B81" s="31" t="s">
        <v>2347</v>
      </c>
      <c r="C81" s="87"/>
      <c r="D81" s="13"/>
      <c r="E81" s="111"/>
      <c r="F81" s="111"/>
      <c r="G81" s="111"/>
      <c r="H81" s="111"/>
      <c r="I81" s="111"/>
      <c r="J81" s="111"/>
      <c r="K81" s="111"/>
      <c r="L81" s="111"/>
    </row>
    <row r="82" spans="1:13" s="89" customFormat="1" ht="30" x14ac:dyDescent="0.25">
      <c r="A82" s="124"/>
      <c r="B82" s="31" t="s">
        <v>2148</v>
      </c>
      <c r="C82" s="6" t="s">
        <v>2654</v>
      </c>
      <c r="D82" s="13" t="s">
        <v>950</v>
      </c>
      <c r="E82" s="111"/>
      <c r="F82" s="111"/>
      <c r="G82" s="111"/>
      <c r="H82" s="111"/>
      <c r="I82" s="111">
        <v>10</v>
      </c>
      <c r="J82" s="111"/>
      <c r="K82" s="111">
        <v>28</v>
      </c>
      <c r="L82" s="111">
        <v>10</v>
      </c>
    </row>
    <row r="83" spans="1:13" s="89" customFormat="1" ht="30" x14ac:dyDescent="0.25">
      <c r="A83" s="124"/>
      <c r="B83" s="31" t="s">
        <v>2152</v>
      </c>
      <c r="C83" s="6" t="s">
        <v>2655</v>
      </c>
      <c r="D83" s="13" t="s">
        <v>950</v>
      </c>
      <c r="E83" s="111"/>
      <c r="F83" s="111"/>
      <c r="G83" s="111"/>
      <c r="H83" s="111"/>
      <c r="I83" s="111">
        <v>0</v>
      </c>
      <c r="J83" s="111"/>
      <c r="K83" s="111">
        <v>10</v>
      </c>
      <c r="L83" s="111">
        <v>3</v>
      </c>
    </row>
    <row r="84" spans="1:13" s="89" customFormat="1" ht="30" x14ac:dyDescent="0.25">
      <c r="A84" s="124"/>
      <c r="B84" s="31" t="s">
        <v>2153</v>
      </c>
      <c r="C84" s="6" t="s">
        <v>2656</v>
      </c>
      <c r="D84" s="13" t="s">
        <v>950</v>
      </c>
      <c r="E84" s="111"/>
      <c r="F84" s="111"/>
      <c r="G84" s="111"/>
      <c r="H84" s="111"/>
      <c r="I84" s="111">
        <v>0</v>
      </c>
      <c r="J84" s="111"/>
      <c r="K84" s="111">
        <v>11</v>
      </c>
      <c r="L84" s="111">
        <v>2</v>
      </c>
    </row>
    <row r="85" spans="1:13" s="89" customFormat="1" x14ac:dyDescent="0.25">
      <c r="A85" s="124"/>
      <c r="B85" s="31" t="s">
        <v>2348</v>
      </c>
      <c r="C85" s="87"/>
      <c r="D85" s="13"/>
      <c r="E85" s="111"/>
      <c r="F85" s="111"/>
      <c r="G85" s="111"/>
      <c r="H85" s="111"/>
      <c r="I85" s="111"/>
      <c r="J85" s="111"/>
      <c r="K85" s="111"/>
      <c r="L85" s="111"/>
    </row>
    <row r="86" spans="1:13" s="89" customFormat="1" ht="30" x14ac:dyDescent="0.25">
      <c r="A86" s="124"/>
      <c r="B86" s="31" t="s">
        <v>2148</v>
      </c>
      <c r="C86" s="6" t="s">
        <v>2651</v>
      </c>
      <c r="D86" s="13" t="s">
        <v>950</v>
      </c>
      <c r="E86" s="111"/>
      <c r="F86" s="111"/>
      <c r="G86" s="111"/>
      <c r="H86" s="111"/>
      <c r="I86" s="111">
        <v>206</v>
      </c>
      <c r="J86" s="111"/>
      <c r="K86" s="111">
        <v>348</v>
      </c>
      <c r="L86" s="111">
        <v>361</v>
      </c>
    </row>
    <row r="87" spans="1:13" s="89" customFormat="1" ht="30" x14ac:dyDescent="0.25">
      <c r="A87" s="124"/>
      <c r="B87" s="31" t="s">
        <v>2152</v>
      </c>
      <c r="C87" s="6" t="s">
        <v>2652</v>
      </c>
      <c r="D87" s="13" t="s">
        <v>950</v>
      </c>
      <c r="E87" s="111"/>
      <c r="F87" s="111"/>
      <c r="G87" s="111"/>
      <c r="H87" s="111"/>
      <c r="I87" s="111">
        <v>69</v>
      </c>
      <c r="J87" s="111"/>
      <c r="K87" s="111">
        <v>214</v>
      </c>
      <c r="L87" s="111">
        <v>226</v>
      </c>
    </row>
    <row r="88" spans="1:13" s="89" customFormat="1" ht="30" x14ac:dyDescent="0.25">
      <c r="A88" s="124"/>
      <c r="B88" s="31" t="s">
        <v>2153</v>
      </c>
      <c r="C88" s="6" t="s">
        <v>2653</v>
      </c>
      <c r="D88" s="13" t="s">
        <v>950</v>
      </c>
      <c r="E88" s="111"/>
      <c r="F88" s="111"/>
      <c r="G88" s="111"/>
      <c r="H88" s="111"/>
      <c r="I88" s="111">
        <v>70</v>
      </c>
      <c r="J88" s="111"/>
      <c r="K88" s="111">
        <v>268</v>
      </c>
      <c r="L88" s="111">
        <v>253</v>
      </c>
    </row>
    <row r="89" spans="1:13" ht="60" hidden="1" x14ac:dyDescent="0.25">
      <c r="A89" s="150" t="s">
        <v>965</v>
      </c>
      <c r="B89" s="51" t="s">
        <v>964</v>
      </c>
      <c r="C89" s="158"/>
      <c r="D89" s="150" t="s">
        <v>8</v>
      </c>
      <c r="E89" s="164">
        <f t="shared" ref="E89:J89" si="9">E90/E91*100</f>
        <v>40.691553101989207</v>
      </c>
      <c r="F89" s="164">
        <f t="shared" si="9"/>
        <v>40.691553101989207</v>
      </c>
      <c r="G89" s="164">
        <f t="shared" si="9"/>
        <v>40.691553101989207</v>
      </c>
      <c r="H89" s="164">
        <f t="shared" si="9"/>
        <v>6.9304087836361701</v>
      </c>
      <c r="I89" s="164" t="e">
        <f t="shared" si="9"/>
        <v>#DIV/0!</v>
      </c>
      <c r="J89" s="164" t="e">
        <f t="shared" si="9"/>
        <v>#DIV/0!</v>
      </c>
      <c r="K89" s="164" t="e">
        <f>K90/K91*100</f>
        <v>#DIV/0!</v>
      </c>
      <c r="L89" s="164" t="e">
        <f>L90/L91*100</f>
        <v>#DIV/0!</v>
      </c>
      <c r="M89" s="3" t="s">
        <v>23</v>
      </c>
    </row>
    <row r="90" spans="1:13" ht="60" hidden="1" x14ac:dyDescent="0.25">
      <c r="A90" s="150"/>
      <c r="B90" s="51" t="s">
        <v>966</v>
      </c>
      <c r="C90" s="150" t="s">
        <v>967</v>
      </c>
      <c r="D90" s="150" t="s">
        <v>950</v>
      </c>
      <c r="E90" s="198">
        <v>49238</v>
      </c>
      <c r="F90" s="198">
        <v>49238</v>
      </c>
      <c r="G90" s="198">
        <v>49238</v>
      </c>
      <c r="H90" s="198">
        <v>11103</v>
      </c>
      <c r="I90" s="198"/>
      <c r="J90" s="198"/>
      <c r="K90" s="198"/>
      <c r="L90" s="198"/>
      <c r="M90" s="3"/>
    </row>
    <row r="91" spans="1:13" ht="60" hidden="1" x14ac:dyDescent="0.25">
      <c r="A91" s="150"/>
      <c r="B91" s="51" t="s">
        <v>968</v>
      </c>
      <c r="C91" s="150" t="s">
        <v>891</v>
      </c>
      <c r="D91" s="150" t="s">
        <v>950</v>
      </c>
      <c r="E91" s="198">
        <v>121003</v>
      </c>
      <c r="F91" s="198">
        <v>121003</v>
      </c>
      <c r="G91" s="198">
        <v>121003</v>
      </c>
      <c r="H91" s="150">
        <v>160207</v>
      </c>
      <c r="I91" s="150"/>
      <c r="J91" s="150"/>
      <c r="K91" s="150"/>
      <c r="L91" s="150"/>
      <c r="M91" s="3"/>
    </row>
    <row r="92" spans="1:13" ht="45" x14ac:dyDescent="0.25">
      <c r="A92" s="115" t="s">
        <v>815</v>
      </c>
      <c r="B92" s="116" t="s">
        <v>970</v>
      </c>
      <c r="C92" s="113"/>
      <c r="D92" s="113"/>
      <c r="E92" s="113"/>
      <c r="F92" s="113"/>
      <c r="G92" s="113"/>
      <c r="H92" s="113"/>
      <c r="I92" s="113"/>
      <c r="J92" s="113"/>
      <c r="K92" s="113"/>
      <c r="L92" s="113"/>
    </row>
    <row r="93" spans="1:13" ht="75" x14ac:dyDescent="0.25">
      <c r="A93" s="79" t="s">
        <v>818</v>
      </c>
      <c r="B93" s="97" t="s">
        <v>971</v>
      </c>
      <c r="C93" s="113"/>
      <c r="D93" s="79" t="s">
        <v>8</v>
      </c>
      <c r="E93" s="114" t="e">
        <f>E98/E103*100</f>
        <v>#DIV/0!</v>
      </c>
      <c r="F93" s="114" t="e">
        <f>F98/F103*100</f>
        <v>#DIV/0!</v>
      </c>
      <c r="G93" s="114" t="e">
        <f>G98/G103*100</f>
        <v>#DIV/0!</v>
      </c>
      <c r="H93" s="78"/>
      <c r="I93" s="78"/>
      <c r="J93" s="78"/>
      <c r="K93" s="78"/>
      <c r="L93" s="78"/>
      <c r="M93" s="3" t="s">
        <v>135</v>
      </c>
    </row>
    <row r="94" spans="1:13" x14ac:dyDescent="0.25">
      <c r="A94" s="79"/>
      <c r="B94" s="97" t="s">
        <v>2154</v>
      </c>
      <c r="C94" s="113"/>
      <c r="D94" s="79"/>
      <c r="E94" s="114"/>
      <c r="F94" s="114"/>
      <c r="G94" s="114"/>
      <c r="H94" s="78">
        <v>94.37</v>
      </c>
      <c r="I94" s="78">
        <f>I99/$I$103*100</f>
        <v>74.915254237288138</v>
      </c>
      <c r="J94" s="78">
        <v>72.400000000000006</v>
      </c>
      <c r="K94" s="78">
        <f>K99/$K$103*100</f>
        <v>69.230769230769226</v>
      </c>
      <c r="L94" s="78">
        <f>L99/$L$103*100</f>
        <v>70.278637770897831</v>
      </c>
      <c r="M94" s="3"/>
    </row>
    <row r="95" spans="1:13" x14ac:dyDescent="0.25">
      <c r="A95" s="79"/>
      <c r="B95" s="97" t="s">
        <v>2155</v>
      </c>
      <c r="C95" s="113"/>
      <c r="D95" s="79"/>
      <c r="E95" s="114"/>
      <c r="F95" s="114"/>
      <c r="G95" s="114"/>
      <c r="H95" s="78"/>
      <c r="I95" s="78">
        <f>I100/$I$103*100</f>
        <v>57.288135593220332</v>
      </c>
      <c r="J95" s="78">
        <v>42.53</v>
      </c>
      <c r="K95" s="78">
        <f t="shared" ref="K95:K97" si="10">K100/$K$103*100</f>
        <v>35.384615384615387</v>
      </c>
      <c r="L95" s="78">
        <f>L100/$L$103*100</f>
        <v>28.792569659442723</v>
      </c>
      <c r="M95" s="3"/>
    </row>
    <row r="96" spans="1:13" ht="30" x14ac:dyDescent="0.25">
      <c r="A96" s="79"/>
      <c r="B96" s="97" t="s">
        <v>2156</v>
      </c>
      <c r="C96" s="113"/>
      <c r="D96" s="79"/>
      <c r="E96" s="114"/>
      <c r="F96" s="114"/>
      <c r="G96" s="114"/>
      <c r="H96" s="78"/>
      <c r="I96" s="78">
        <f>I101/$I$103*100</f>
        <v>16.271186440677965</v>
      </c>
      <c r="J96" s="78">
        <v>19.809999999999999</v>
      </c>
      <c r="K96" s="78">
        <f t="shared" si="10"/>
        <v>23.46153846153846</v>
      </c>
      <c r="L96" s="78">
        <f>L101/$L$103*100</f>
        <v>19.195046439628484</v>
      </c>
      <c r="M96" s="3"/>
    </row>
    <row r="97" spans="1:13" x14ac:dyDescent="0.25">
      <c r="A97" s="79"/>
      <c r="B97" s="97" t="s">
        <v>2155</v>
      </c>
      <c r="C97" s="113"/>
      <c r="D97" s="79"/>
      <c r="E97" s="114"/>
      <c r="F97" s="114"/>
      <c r="G97" s="114"/>
      <c r="H97" s="78"/>
      <c r="I97" s="78">
        <f>I102/$I$103*100</f>
        <v>18.983050847457626</v>
      </c>
      <c r="J97" s="78">
        <v>11.69</v>
      </c>
      <c r="K97" s="78">
        <f t="shared" si="10"/>
        <v>11.923076923076923</v>
      </c>
      <c r="L97" s="78">
        <f>L102/$L$103*100</f>
        <v>10.216718266253871</v>
      </c>
      <c r="M97" s="3"/>
    </row>
    <row r="98" spans="1:13" ht="75" x14ac:dyDescent="0.25">
      <c r="A98" s="76"/>
      <c r="B98" s="80" t="s">
        <v>973</v>
      </c>
      <c r="C98" s="76"/>
      <c r="D98" s="76"/>
      <c r="E98" s="39"/>
      <c r="F98" s="39"/>
      <c r="G98" s="39"/>
      <c r="H98" s="39"/>
      <c r="I98" s="39"/>
      <c r="J98" s="39"/>
      <c r="K98" s="39"/>
      <c r="L98" s="39"/>
      <c r="M98" s="3"/>
    </row>
    <row r="99" spans="1:13" ht="45" x14ac:dyDescent="0.25">
      <c r="A99" s="76"/>
      <c r="B99" s="80" t="s">
        <v>2154</v>
      </c>
      <c r="C99" s="6" t="s">
        <v>2649</v>
      </c>
      <c r="D99" s="76" t="s">
        <v>950</v>
      </c>
      <c r="E99" s="39"/>
      <c r="F99" s="39"/>
      <c r="G99" s="39"/>
      <c r="H99" s="39"/>
      <c r="I99" s="199">
        <f>99+122</f>
        <v>221</v>
      </c>
      <c r="J99" s="199"/>
      <c r="K99" s="199">
        <v>180</v>
      </c>
      <c r="L99" s="199">
        <v>227</v>
      </c>
      <c r="M99" s="3"/>
    </row>
    <row r="100" spans="1:13" ht="45" x14ac:dyDescent="0.25">
      <c r="A100" s="76"/>
      <c r="B100" s="80" t="s">
        <v>2155</v>
      </c>
      <c r="C100" s="6" t="s">
        <v>2646</v>
      </c>
      <c r="D100" s="76" t="s">
        <v>950</v>
      </c>
      <c r="E100" s="39"/>
      <c r="F100" s="39"/>
      <c r="G100" s="39"/>
      <c r="H100" s="39"/>
      <c r="I100" s="199">
        <f>79+90</f>
        <v>169</v>
      </c>
      <c r="J100" s="199"/>
      <c r="K100" s="199">
        <v>92</v>
      </c>
      <c r="L100" s="199">
        <v>93</v>
      </c>
      <c r="M100" s="3"/>
    </row>
    <row r="101" spans="1:13" ht="45" x14ac:dyDescent="0.25">
      <c r="A101" s="76"/>
      <c r="B101" s="80" t="s">
        <v>2156</v>
      </c>
      <c r="C101" s="6" t="s">
        <v>2648</v>
      </c>
      <c r="D101" s="76" t="s">
        <v>950</v>
      </c>
      <c r="E101" s="39"/>
      <c r="F101" s="39"/>
      <c r="G101" s="39"/>
      <c r="H101" s="39"/>
      <c r="I101" s="199">
        <f>4+44</f>
        <v>48</v>
      </c>
      <c r="J101" s="199"/>
      <c r="K101" s="199">
        <v>61</v>
      </c>
      <c r="L101" s="199">
        <v>62</v>
      </c>
      <c r="M101" s="3"/>
    </row>
    <row r="102" spans="1:13" ht="45" x14ac:dyDescent="0.25">
      <c r="A102" s="76"/>
      <c r="B102" s="80" t="s">
        <v>2155</v>
      </c>
      <c r="C102" s="6" t="s">
        <v>2645</v>
      </c>
      <c r="D102" s="76" t="s">
        <v>950</v>
      </c>
      <c r="E102" s="39"/>
      <c r="F102" s="39"/>
      <c r="G102" s="39"/>
      <c r="H102" s="39"/>
      <c r="I102" s="199">
        <f>7+49</f>
        <v>56</v>
      </c>
      <c r="J102" s="199"/>
      <c r="K102" s="199">
        <v>31</v>
      </c>
      <c r="L102" s="199">
        <v>33</v>
      </c>
      <c r="M102" s="3"/>
    </row>
    <row r="103" spans="1:13" ht="60" x14ac:dyDescent="0.25">
      <c r="A103" s="76"/>
      <c r="B103" s="80" t="s">
        <v>974</v>
      </c>
      <c r="C103" s="6" t="s">
        <v>2647</v>
      </c>
      <c r="D103" s="76" t="s">
        <v>950</v>
      </c>
      <c r="E103" s="39"/>
      <c r="F103" s="39"/>
      <c r="G103" s="39"/>
      <c r="H103" s="39"/>
      <c r="I103" s="199">
        <f>113+182</f>
        <v>295</v>
      </c>
      <c r="J103" s="199"/>
      <c r="K103" s="199">
        <v>260</v>
      </c>
      <c r="L103" s="199">
        <v>323</v>
      </c>
      <c r="M103" s="3"/>
    </row>
    <row r="104" spans="1:13" ht="105" x14ac:dyDescent="0.25">
      <c r="A104" s="79" t="s">
        <v>1872</v>
      </c>
      <c r="B104" s="97" t="s">
        <v>2157</v>
      </c>
      <c r="C104" s="79"/>
      <c r="D104" s="79"/>
      <c r="E104" s="129"/>
      <c r="F104" s="129"/>
      <c r="G104" s="129"/>
      <c r="H104" s="129"/>
      <c r="I104" s="129"/>
      <c r="J104" s="129"/>
      <c r="K104" s="129"/>
      <c r="L104" s="129"/>
      <c r="M104" s="3" t="s">
        <v>135</v>
      </c>
    </row>
    <row r="105" spans="1:13" x14ac:dyDescent="0.25">
      <c r="A105" s="79"/>
      <c r="B105" s="97" t="s">
        <v>2158</v>
      </c>
      <c r="C105" s="79"/>
      <c r="D105" s="79"/>
      <c r="E105" s="129"/>
      <c r="F105" s="129"/>
      <c r="G105" s="129"/>
      <c r="H105" s="129"/>
      <c r="I105" s="78">
        <f>I108/I111*100</f>
        <v>7.0796460176991154</v>
      </c>
      <c r="J105" s="78">
        <v>5.79</v>
      </c>
      <c r="K105" s="78">
        <f>K108/K111*100</f>
        <v>5.9880239520958085</v>
      </c>
      <c r="L105" s="78">
        <f>L108/L111*100</f>
        <v>2.9069767441860463</v>
      </c>
      <c r="M105" s="3"/>
    </row>
    <row r="106" spans="1:13" x14ac:dyDescent="0.25">
      <c r="A106" s="79"/>
      <c r="B106" s="97" t="s">
        <v>2159</v>
      </c>
      <c r="C106" s="79"/>
      <c r="D106" s="79"/>
      <c r="E106" s="129"/>
      <c r="F106" s="129"/>
      <c r="G106" s="129"/>
      <c r="H106" s="129"/>
      <c r="I106" s="78">
        <f>I109/I112*100</f>
        <v>13.736263736263737</v>
      </c>
      <c r="J106" s="78">
        <v>3.38</v>
      </c>
      <c r="K106" s="78">
        <f>K109/K112*100</f>
        <v>9.4117647058823533</v>
      </c>
      <c r="L106" s="78">
        <f>L109/L112*100</f>
        <v>3.3112582781456954</v>
      </c>
      <c r="M106" s="3"/>
    </row>
    <row r="107" spans="1:13" ht="45" x14ac:dyDescent="0.25">
      <c r="A107" s="76"/>
      <c r="B107" s="80" t="s">
        <v>2160</v>
      </c>
      <c r="C107" s="76"/>
      <c r="D107" s="76"/>
      <c r="E107" s="39"/>
      <c r="F107" s="39"/>
      <c r="G107" s="39"/>
      <c r="H107" s="39"/>
      <c r="I107" s="39"/>
      <c r="J107" s="39"/>
      <c r="K107" s="39"/>
      <c r="L107" s="39"/>
      <c r="M107" s="3"/>
    </row>
    <row r="108" spans="1:13" ht="30" x14ac:dyDescent="0.25">
      <c r="A108" s="76"/>
      <c r="B108" s="80" t="s">
        <v>2158</v>
      </c>
      <c r="C108" s="6" t="s">
        <v>2994</v>
      </c>
      <c r="D108" s="76" t="s">
        <v>950</v>
      </c>
      <c r="E108" s="39"/>
      <c r="F108" s="39"/>
      <c r="G108" s="39"/>
      <c r="H108" s="39"/>
      <c r="I108" s="199">
        <v>8</v>
      </c>
      <c r="J108" s="199"/>
      <c r="K108" s="199">
        <v>10</v>
      </c>
      <c r="L108" s="199">
        <v>5</v>
      </c>
      <c r="M108" s="3"/>
    </row>
    <row r="109" spans="1:13" ht="30" x14ac:dyDescent="0.25">
      <c r="A109" s="76"/>
      <c r="B109" s="80" t="s">
        <v>2159</v>
      </c>
      <c r="C109" s="6" t="s">
        <v>2996</v>
      </c>
      <c r="D109" s="76" t="s">
        <v>950</v>
      </c>
      <c r="E109" s="39"/>
      <c r="F109" s="39"/>
      <c r="G109" s="39"/>
      <c r="H109" s="39"/>
      <c r="I109" s="199">
        <v>25</v>
      </c>
      <c r="J109" s="199"/>
      <c r="K109" s="199">
        <v>16</v>
      </c>
      <c r="L109" s="199">
        <v>5</v>
      </c>
      <c r="M109" s="3"/>
    </row>
    <row r="110" spans="1:13" x14ac:dyDescent="0.25">
      <c r="A110" s="76"/>
      <c r="B110" s="80" t="s">
        <v>2139</v>
      </c>
      <c r="C110" s="76"/>
      <c r="D110" s="76"/>
      <c r="E110" s="39"/>
      <c r="F110" s="39"/>
      <c r="G110" s="39"/>
      <c r="H110" s="39"/>
      <c r="I110" s="199"/>
      <c r="J110" s="199"/>
      <c r="K110" s="199"/>
      <c r="L110" s="199"/>
      <c r="M110" s="3"/>
    </row>
    <row r="111" spans="1:13" ht="30" x14ac:dyDescent="0.25">
      <c r="A111" s="76"/>
      <c r="B111" s="80" t="s">
        <v>2158</v>
      </c>
      <c r="C111" s="6" t="s">
        <v>2995</v>
      </c>
      <c r="D111" s="76" t="s">
        <v>950</v>
      </c>
      <c r="E111" s="39"/>
      <c r="F111" s="39"/>
      <c r="G111" s="39"/>
      <c r="H111" s="39"/>
      <c r="I111" s="199">
        <v>113</v>
      </c>
      <c r="J111" s="199"/>
      <c r="K111" s="199">
        <v>167</v>
      </c>
      <c r="L111" s="199">
        <v>172</v>
      </c>
      <c r="M111" s="3"/>
    </row>
    <row r="112" spans="1:13" ht="30" x14ac:dyDescent="0.25">
      <c r="A112" s="76"/>
      <c r="B112" s="80" t="s">
        <v>2159</v>
      </c>
      <c r="C112" s="6" t="s">
        <v>2997</v>
      </c>
      <c r="D112" s="76" t="s">
        <v>950</v>
      </c>
      <c r="E112" s="39"/>
      <c r="F112" s="39"/>
      <c r="G112" s="39"/>
      <c r="H112" s="39"/>
      <c r="I112" s="199">
        <v>182</v>
      </c>
      <c r="J112" s="199"/>
      <c r="K112" s="199">
        <v>170</v>
      </c>
      <c r="L112" s="199">
        <v>151</v>
      </c>
      <c r="M112" s="3"/>
    </row>
    <row r="113" spans="1:13" ht="45" hidden="1" x14ac:dyDescent="0.25">
      <c r="A113" s="115" t="s">
        <v>975</v>
      </c>
      <c r="B113" s="221" t="s">
        <v>976</v>
      </c>
      <c r="C113" s="113"/>
      <c r="D113" s="79"/>
      <c r="E113" s="113"/>
      <c r="F113" s="113"/>
      <c r="G113" s="113"/>
      <c r="H113" s="113"/>
      <c r="I113" s="113"/>
      <c r="J113" s="113"/>
      <c r="K113" s="113"/>
      <c r="L113" s="113"/>
    </row>
    <row r="114" spans="1:13" ht="60" hidden="1" x14ac:dyDescent="0.25">
      <c r="A114" s="79" t="s">
        <v>978</v>
      </c>
      <c r="B114" s="171" t="s">
        <v>977</v>
      </c>
      <c r="C114" s="113"/>
      <c r="D114" s="79" t="s">
        <v>8</v>
      </c>
      <c r="E114" s="114" t="e">
        <f t="shared" ref="E114:J114" si="11">E115/E116*100</f>
        <v>#DIV/0!</v>
      </c>
      <c r="F114" s="114" t="e">
        <f t="shared" si="11"/>
        <v>#DIV/0!</v>
      </c>
      <c r="G114" s="114" t="e">
        <f t="shared" si="11"/>
        <v>#DIV/0!</v>
      </c>
      <c r="H114" s="78">
        <f t="shared" si="11"/>
        <v>9.1537335138234463E-2</v>
      </c>
      <c r="I114" s="78">
        <f t="shared" si="11"/>
        <v>7.6668905766581199</v>
      </c>
      <c r="J114" s="78" t="e">
        <f t="shared" si="11"/>
        <v>#DIV/0!</v>
      </c>
      <c r="K114" s="78" t="e">
        <f>K115/K116*100</f>
        <v>#DIV/0!</v>
      </c>
      <c r="L114" s="78" t="e">
        <f>L115/L116*100</f>
        <v>#DIV/0!</v>
      </c>
      <c r="M114" s="3" t="s">
        <v>281</v>
      </c>
    </row>
    <row r="115" spans="1:13" ht="60" hidden="1" x14ac:dyDescent="0.25">
      <c r="A115" s="76"/>
      <c r="B115" s="80" t="s">
        <v>979</v>
      </c>
      <c r="C115" s="76" t="s">
        <v>138</v>
      </c>
      <c r="D115" s="76" t="s">
        <v>1114</v>
      </c>
      <c r="E115" s="39"/>
      <c r="F115" s="39"/>
      <c r="G115" s="39"/>
      <c r="H115" s="39">
        <v>44370</v>
      </c>
      <c r="I115" s="125">
        <v>15636.7</v>
      </c>
      <c r="J115" s="125"/>
      <c r="K115" s="125"/>
      <c r="L115" s="125"/>
      <c r="M115" s="20"/>
    </row>
    <row r="116" spans="1:13" ht="45" hidden="1" x14ac:dyDescent="0.25">
      <c r="A116" s="76"/>
      <c r="B116" s="80" t="s">
        <v>980</v>
      </c>
      <c r="C116" s="76" t="s">
        <v>138</v>
      </c>
      <c r="D116" s="76" t="s">
        <v>1114</v>
      </c>
      <c r="E116" s="39"/>
      <c r="F116" s="39"/>
      <c r="G116" s="39"/>
      <c r="H116" s="39">
        <v>48472025.030000001</v>
      </c>
      <c r="I116" s="199">
        <v>203951</v>
      </c>
      <c r="J116" s="199"/>
      <c r="K116" s="199"/>
      <c r="L116" s="199"/>
    </row>
    <row r="117" spans="1:13" ht="60" hidden="1" x14ac:dyDescent="0.25">
      <c r="A117" s="79" t="s">
        <v>2161</v>
      </c>
      <c r="B117" s="171" t="s">
        <v>2162</v>
      </c>
      <c r="C117" s="79"/>
      <c r="D117" s="79"/>
      <c r="E117" s="129"/>
      <c r="F117" s="129"/>
      <c r="G117" s="129"/>
      <c r="H117" s="129"/>
      <c r="I117" s="129"/>
      <c r="J117" s="129"/>
      <c r="K117" s="129"/>
      <c r="L117" s="129"/>
    </row>
    <row r="118" spans="1:13" hidden="1" x14ac:dyDescent="0.25">
      <c r="A118" s="79"/>
      <c r="B118" s="171" t="s">
        <v>1675</v>
      </c>
      <c r="C118" s="79"/>
      <c r="D118" s="79"/>
      <c r="E118" s="129"/>
      <c r="F118" s="129"/>
      <c r="G118" s="129"/>
      <c r="H118" s="129"/>
      <c r="I118" s="78">
        <f t="shared" ref="I118:K119" si="12">I120/$I$122*100</f>
        <v>193.6628044454954</v>
      </c>
      <c r="J118" s="78">
        <f t="shared" si="12"/>
        <v>0</v>
      </c>
      <c r="K118" s="78">
        <f t="shared" si="12"/>
        <v>0</v>
      </c>
      <c r="L118" s="78">
        <f t="shared" ref="L118" si="13">L120/$I$122*100</f>
        <v>0</v>
      </c>
    </row>
    <row r="119" spans="1:13" hidden="1" x14ac:dyDescent="0.25">
      <c r="A119" s="79"/>
      <c r="B119" s="171" t="s">
        <v>2163</v>
      </c>
      <c r="C119" s="79"/>
      <c r="D119" s="79"/>
      <c r="E119" s="129"/>
      <c r="F119" s="129"/>
      <c r="G119" s="129"/>
      <c r="H119" s="129"/>
      <c r="I119" s="78">
        <f t="shared" si="12"/>
        <v>96.003783400331059</v>
      </c>
      <c r="J119" s="78">
        <f t="shared" si="12"/>
        <v>0</v>
      </c>
      <c r="K119" s="78">
        <f t="shared" si="12"/>
        <v>0</v>
      </c>
      <c r="L119" s="78">
        <f t="shared" ref="L119" si="14">L121/$I$122*100</f>
        <v>0</v>
      </c>
    </row>
    <row r="120" spans="1:13" s="89" customFormat="1" hidden="1" x14ac:dyDescent="0.25">
      <c r="A120" s="77"/>
      <c r="B120" s="80" t="s">
        <v>1675</v>
      </c>
      <c r="C120" s="77"/>
      <c r="D120" s="77"/>
      <c r="E120" s="199"/>
      <c r="F120" s="199"/>
      <c r="G120" s="199"/>
      <c r="H120" s="199"/>
      <c r="I120" s="199">
        <v>819</v>
      </c>
      <c r="J120" s="199"/>
      <c r="K120" s="199"/>
      <c r="L120" s="199"/>
    </row>
    <row r="121" spans="1:13" s="89" customFormat="1" hidden="1" x14ac:dyDescent="0.25">
      <c r="A121" s="77"/>
      <c r="B121" s="80" t="s">
        <v>2163</v>
      </c>
      <c r="C121" s="77"/>
      <c r="D121" s="77"/>
      <c r="E121" s="199"/>
      <c r="F121" s="199"/>
      <c r="G121" s="199"/>
      <c r="H121" s="199"/>
      <c r="I121" s="199">
        <v>406</v>
      </c>
      <c r="J121" s="199"/>
      <c r="K121" s="199"/>
      <c r="L121" s="199"/>
    </row>
    <row r="122" spans="1:13" s="89" customFormat="1" hidden="1" x14ac:dyDescent="0.25">
      <c r="A122" s="77"/>
      <c r="B122" s="80" t="s">
        <v>2164</v>
      </c>
      <c r="C122" s="77"/>
      <c r="D122" s="77"/>
      <c r="E122" s="199"/>
      <c r="F122" s="199"/>
      <c r="G122" s="199"/>
      <c r="H122" s="199"/>
      <c r="I122" s="111">
        <v>422.9</v>
      </c>
      <c r="J122" s="111"/>
      <c r="K122" s="111"/>
      <c r="L122" s="111"/>
    </row>
    <row r="123" spans="1:13" ht="30" x14ac:dyDescent="0.25">
      <c r="A123" s="115" t="s">
        <v>824</v>
      </c>
      <c r="B123" s="116" t="s">
        <v>981</v>
      </c>
      <c r="C123" s="59"/>
      <c r="D123" s="59"/>
      <c r="E123" s="59"/>
      <c r="F123" s="59"/>
      <c r="G123" s="59"/>
      <c r="H123" s="59"/>
      <c r="I123" s="59"/>
      <c r="J123" s="59"/>
      <c r="K123" s="59"/>
      <c r="L123" s="59"/>
    </row>
    <row r="124" spans="1:13" ht="60" x14ac:dyDescent="0.25">
      <c r="A124" s="79" t="s">
        <v>825</v>
      </c>
      <c r="B124" s="97" t="s">
        <v>2165</v>
      </c>
      <c r="C124" s="59"/>
      <c r="D124" s="59"/>
      <c r="E124" s="59"/>
      <c r="F124" s="59"/>
      <c r="G124" s="59"/>
      <c r="H124" s="59"/>
      <c r="I124" s="59"/>
      <c r="J124" s="59"/>
      <c r="K124" s="59"/>
      <c r="L124" s="59"/>
      <c r="M124" s="3" t="s">
        <v>135</v>
      </c>
    </row>
    <row r="125" spans="1:13" x14ac:dyDescent="0.25">
      <c r="A125" s="79"/>
      <c r="B125" s="97" t="s">
        <v>2636</v>
      </c>
      <c r="C125" s="59"/>
      <c r="D125" s="59"/>
      <c r="E125" s="59"/>
      <c r="F125" s="59"/>
      <c r="G125" s="59"/>
      <c r="H125" s="59"/>
      <c r="I125" s="59"/>
      <c r="J125" s="59"/>
      <c r="K125" s="59"/>
      <c r="L125" s="59"/>
    </row>
    <row r="126" spans="1:13" x14ac:dyDescent="0.25">
      <c r="A126" s="79"/>
      <c r="B126" s="97" t="s">
        <v>2167</v>
      </c>
      <c r="C126" s="59"/>
      <c r="D126" s="59"/>
      <c r="E126" s="59"/>
      <c r="F126" s="59"/>
      <c r="G126" s="59"/>
      <c r="H126" s="59"/>
      <c r="I126" s="78">
        <f>I138/$I$149*100</f>
        <v>0.13858319067416647</v>
      </c>
      <c r="J126" s="78">
        <v>0.04</v>
      </c>
      <c r="K126" s="78">
        <f>K138/$K$149*100</f>
        <v>0.57895787582351765</v>
      </c>
      <c r="L126" s="78">
        <f>L138/$L$149*100</f>
        <v>0.42120633494327753</v>
      </c>
    </row>
    <row r="127" spans="1:13" x14ac:dyDescent="0.25">
      <c r="A127" s="79"/>
      <c r="B127" s="97" t="s">
        <v>2168</v>
      </c>
      <c r="C127" s="59"/>
      <c r="D127" s="59"/>
      <c r="E127" s="59"/>
      <c r="F127" s="59"/>
      <c r="G127" s="59"/>
      <c r="H127" s="59"/>
      <c r="I127" s="78">
        <f>I139/$I$149*100</f>
        <v>0.11412733349637239</v>
      </c>
      <c r="J127" s="78">
        <v>0.01</v>
      </c>
      <c r="K127" s="78">
        <f t="shared" ref="K127:K128" si="15">K139/$K$149*100</f>
        <v>0.13309376455713048</v>
      </c>
      <c r="L127" s="78">
        <f>L139/$L$149*100</f>
        <v>8.4241266988655514E-2</v>
      </c>
    </row>
    <row r="128" spans="1:13" ht="30" x14ac:dyDescent="0.25">
      <c r="A128" s="79"/>
      <c r="B128" s="97" t="s">
        <v>2169</v>
      </c>
      <c r="C128" s="59"/>
      <c r="D128" s="59"/>
      <c r="E128" s="59"/>
      <c r="F128" s="59"/>
      <c r="G128" s="59"/>
      <c r="H128" s="59"/>
      <c r="I128" s="78">
        <f>I140/$I$149*100</f>
        <v>0</v>
      </c>
      <c r="J128" s="78">
        <v>0</v>
      </c>
      <c r="K128" s="78">
        <f t="shared" si="15"/>
        <v>3.9928129367139145E-2</v>
      </c>
      <c r="L128" s="78">
        <f>L140/$L$149*100</f>
        <v>6.7393013590924408E-2</v>
      </c>
    </row>
    <row r="129" spans="1:12" x14ac:dyDescent="0.25">
      <c r="A129" s="79"/>
      <c r="B129" s="97" t="s">
        <v>2409</v>
      </c>
      <c r="C129" s="59"/>
      <c r="D129" s="59"/>
      <c r="E129" s="59"/>
      <c r="F129" s="59"/>
      <c r="G129" s="59"/>
      <c r="H129" s="59"/>
      <c r="I129" s="78"/>
      <c r="J129" s="78"/>
      <c r="K129" s="78"/>
      <c r="L129" s="78"/>
    </row>
    <row r="130" spans="1:12" x14ac:dyDescent="0.25">
      <c r="A130" s="79"/>
      <c r="B130" s="97" t="s">
        <v>2167</v>
      </c>
      <c r="C130" s="59"/>
      <c r="D130" s="59"/>
      <c r="E130" s="59"/>
      <c r="F130" s="59"/>
      <c r="G130" s="59"/>
      <c r="H130" s="59"/>
      <c r="I130" s="78">
        <f>I142/$I$150*100</f>
        <v>0.19797368114591826</v>
      </c>
      <c r="J130" s="78" t="e">
        <f>J142/$J$150*100</f>
        <v>#DIV/0!</v>
      </c>
      <c r="K130" s="78"/>
      <c r="L130" s="78"/>
    </row>
    <row r="131" spans="1:12" x14ac:dyDescent="0.25">
      <c r="A131" s="79"/>
      <c r="B131" s="97" t="s">
        <v>2168</v>
      </c>
      <c r="C131" s="59"/>
      <c r="D131" s="59"/>
      <c r="E131" s="59"/>
      <c r="F131" s="59"/>
      <c r="G131" s="59"/>
      <c r="H131" s="59"/>
      <c r="I131" s="78">
        <f>I143/$I$150*100</f>
        <v>0.16303714917899151</v>
      </c>
      <c r="J131" s="78" t="e">
        <f>J143/$J$150*100</f>
        <v>#DIV/0!</v>
      </c>
      <c r="K131" s="78"/>
      <c r="L131" s="78"/>
    </row>
    <row r="132" spans="1:12" ht="30" x14ac:dyDescent="0.25">
      <c r="A132" s="79"/>
      <c r="B132" s="97" t="s">
        <v>2169</v>
      </c>
      <c r="C132" s="59"/>
      <c r="D132" s="59"/>
      <c r="E132" s="59"/>
      <c r="F132" s="59"/>
      <c r="G132" s="59"/>
      <c r="H132" s="59"/>
      <c r="I132" s="78">
        <f>I144/$I$150*100</f>
        <v>0</v>
      </c>
      <c r="J132" s="78" t="e">
        <f>J144/$J$150*100</f>
        <v>#DIV/0!</v>
      </c>
      <c r="K132" s="78"/>
      <c r="L132" s="78"/>
    </row>
    <row r="133" spans="1:12" x14ac:dyDescent="0.25">
      <c r="A133" s="79"/>
      <c r="B133" s="97" t="s">
        <v>2413</v>
      </c>
      <c r="C133" s="59"/>
      <c r="D133" s="59"/>
      <c r="E133" s="59"/>
      <c r="F133" s="59"/>
      <c r="G133" s="59"/>
      <c r="H133" s="59"/>
      <c r="I133" s="78"/>
      <c r="J133" s="78"/>
      <c r="K133" s="78"/>
      <c r="L133" s="78"/>
    </row>
    <row r="134" spans="1:12" x14ac:dyDescent="0.25">
      <c r="A134" s="79"/>
      <c r="B134" s="97" t="s">
        <v>2167</v>
      </c>
      <c r="C134" s="59"/>
      <c r="D134" s="59"/>
      <c r="E134" s="59"/>
      <c r="F134" s="59"/>
      <c r="G134" s="59"/>
      <c r="H134" s="59"/>
      <c r="I134" s="78">
        <f>I146/$I$151*100</f>
        <v>0</v>
      </c>
      <c r="J134" s="78" t="e">
        <f>J146/$J$151*100</f>
        <v>#DIV/0!</v>
      </c>
      <c r="K134" s="78"/>
      <c r="L134" s="78"/>
    </row>
    <row r="135" spans="1:12" x14ac:dyDescent="0.25">
      <c r="A135" s="79"/>
      <c r="B135" s="97" t="s">
        <v>2168</v>
      </c>
      <c r="C135" s="59"/>
      <c r="D135" s="59"/>
      <c r="E135" s="59"/>
      <c r="F135" s="59"/>
      <c r="G135" s="59"/>
      <c r="H135" s="59"/>
      <c r="I135" s="78">
        <f t="shared" ref="I135:J136" si="16">I147/$I$151*100</f>
        <v>0</v>
      </c>
      <c r="J135" s="78" t="e">
        <f>J147/$J$151*100</f>
        <v>#DIV/0!</v>
      </c>
      <c r="K135" s="78"/>
      <c r="L135" s="78"/>
    </row>
    <row r="136" spans="1:12" ht="30" x14ac:dyDescent="0.25">
      <c r="A136" s="79"/>
      <c r="B136" s="97" t="s">
        <v>2169</v>
      </c>
      <c r="C136" s="59"/>
      <c r="D136" s="59"/>
      <c r="E136" s="59"/>
      <c r="F136" s="59"/>
      <c r="G136" s="59"/>
      <c r="H136" s="59"/>
      <c r="I136" s="78">
        <f t="shared" si="16"/>
        <v>0</v>
      </c>
      <c r="J136" s="78">
        <f t="shared" si="16"/>
        <v>0</v>
      </c>
      <c r="K136" s="78"/>
      <c r="L136" s="78"/>
    </row>
    <row r="137" spans="1:12" x14ac:dyDescent="0.25">
      <c r="A137" s="77"/>
      <c r="B137" s="80" t="s">
        <v>2636</v>
      </c>
      <c r="C137" s="204"/>
      <c r="D137" s="204"/>
      <c r="E137" s="204"/>
      <c r="F137" s="204"/>
      <c r="G137" s="204"/>
      <c r="H137" s="204"/>
      <c r="I137" s="39"/>
      <c r="J137" s="39"/>
      <c r="K137" s="39"/>
      <c r="L137" s="39"/>
    </row>
    <row r="138" spans="1:12" ht="30" x14ac:dyDescent="0.25">
      <c r="A138" s="77"/>
      <c r="B138" s="80" t="s">
        <v>2167</v>
      </c>
      <c r="C138" s="6" t="s">
        <v>2642</v>
      </c>
      <c r="D138" s="13" t="s">
        <v>950</v>
      </c>
      <c r="E138" s="204"/>
      <c r="F138" s="204"/>
      <c r="G138" s="204"/>
      <c r="H138" s="204"/>
      <c r="I138" s="69">
        <v>17</v>
      </c>
      <c r="J138" s="69"/>
      <c r="K138" s="69">
        <v>87</v>
      </c>
      <c r="L138" s="69">
        <v>75</v>
      </c>
    </row>
    <row r="139" spans="1:12" ht="30" x14ac:dyDescent="0.25">
      <c r="A139" s="77"/>
      <c r="B139" s="80" t="s">
        <v>2168</v>
      </c>
      <c r="C139" s="6" t="s">
        <v>2643</v>
      </c>
      <c r="D139" s="13" t="s">
        <v>950</v>
      </c>
      <c r="E139" s="204"/>
      <c r="F139" s="204"/>
      <c r="G139" s="204"/>
      <c r="H139" s="204"/>
      <c r="I139" s="69">
        <v>14</v>
      </c>
      <c r="J139" s="69"/>
      <c r="K139" s="69">
        <v>20</v>
      </c>
      <c r="L139" s="69">
        <v>15</v>
      </c>
    </row>
    <row r="140" spans="1:12" ht="30" x14ac:dyDescent="0.25">
      <c r="A140" s="77"/>
      <c r="B140" s="80" t="s">
        <v>2169</v>
      </c>
      <c r="C140" s="6" t="s">
        <v>2644</v>
      </c>
      <c r="D140" s="13" t="s">
        <v>950</v>
      </c>
      <c r="E140" s="204"/>
      <c r="F140" s="204"/>
      <c r="G140" s="204"/>
      <c r="H140" s="204"/>
      <c r="I140" s="69">
        <v>0</v>
      </c>
      <c r="J140" s="69"/>
      <c r="K140" s="69">
        <v>6</v>
      </c>
      <c r="L140" s="69">
        <v>12</v>
      </c>
    </row>
    <row r="141" spans="1:12" x14ac:dyDescent="0.25">
      <c r="A141" s="77"/>
      <c r="B141" s="80" t="s">
        <v>2409</v>
      </c>
      <c r="C141" s="204"/>
      <c r="D141" s="204"/>
      <c r="E141" s="204"/>
      <c r="F141" s="204"/>
      <c r="G141" s="204"/>
      <c r="H141" s="204"/>
      <c r="I141" s="69"/>
      <c r="J141" s="69"/>
      <c r="K141" s="69"/>
      <c r="L141" s="69"/>
    </row>
    <row r="142" spans="1:12" ht="30" x14ac:dyDescent="0.25">
      <c r="A142" s="77"/>
      <c r="B142" s="80" t="s">
        <v>2167</v>
      </c>
      <c r="C142" s="6" t="s">
        <v>2642</v>
      </c>
      <c r="D142" s="13" t="s">
        <v>950</v>
      </c>
      <c r="E142" s="204"/>
      <c r="F142" s="204"/>
      <c r="G142" s="204"/>
      <c r="H142" s="204"/>
      <c r="I142" s="69">
        <v>17</v>
      </c>
      <c r="J142" s="69"/>
      <c r="K142" s="69"/>
      <c r="L142" s="69"/>
    </row>
    <row r="143" spans="1:12" ht="30" x14ac:dyDescent="0.25">
      <c r="A143" s="77"/>
      <c r="B143" s="80" t="s">
        <v>2168</v>
      </c>
      <c r="C143" s="6" t="s">
        <v>2643</v>
      </c>
      <c r="D143" s="13" t="s">
        <v>950</v>
      </c>
      <c r="E143" s="204"/>
      <c r="F143" s="204"/>
      <c r="G143" s="204"/>
      <c r="H143" s="204"/>
      <c r="I143" s="69">
        <v>14</v>
      </c>
      <c r="J143" s="69"/>
      <c r="K143" s="69"/>
      <c r="L143" s="69"/>
    </row>
    <row r="144" spans="1:12" ht="30" x14ac:dyDescent="0.25">
      <c r="A144" s="77"/>
      <c r="B144" s="80" t="s">
        <v>2169</v>
      </c>
      <c r="C144" s="6" t="s">
        <v>2644</v>
      </c>
      <c r="D144" s="13" t="s">
        <v>950</v>
      </c>
      <c r="E144" s="204"/>
      <c r="F144" s="204"/>
      <c r="G144" s="204"/>
      <c r="H144" s="204"/>
      <c r="I144" s="69">
        <v>0</v>
      </c>
      <c r="J144" s="69"/>
      <c r="K144" s="69"/>
      <c r="L144" s="69"/>
    </row>
    <row r="145" spans="1:13" x14ac:dyDescent="0.25">
      <c r="A145" s="77"/>
      <c r="B145" s="80" t="s">
        <v>2413</v>
      </c>
      <c r="C145" s="204"/>
      <c r="D145" s="204"/>
      <c r="E145" s="204"/>
      <c r="F145" s="204"/>
      <c r="G145" s="204"/>
      <c r="H145" s="204"/>
      <c r="I145" s="69"/>
      <c r="J145" s="69"/>
      <c r="K145" s="69"/>
      <c r="L145" s="69"/>
    </row>
    <row r="146" spans="1:13" ht="30" x14ac:dyDescent="0.25">
      <c r="A146" s="77"/>
      <c r="B146" s="80" t="s">
        <v>2167</v>
      </c>
      <c r="C146" s="6" t="s">
        <v>2642</v>
      </c>
      <c r="D146" s="13" t="s">
        <v>950</v>
      </c>
      <c r="E146" s="204"/>
      <c r="F146" s="204"/>
      <c r="G146" s="204"/>
      <c r="H146" s="204"/>
      <c r="I146" s="69">
        <v>0</v>
      </c>
      <c r="J146" s="69"/>
      <c r="K146" s="69"/>
      <c r="L146" s="69"/>
    </row>
    <row r="147" spans="1:13" ht="30" x14ac:dyDescent="0.25">
      <c r="A147" s="77"/>
      <c r="B147" s="80" t="s">
        <v>2168</v>
      </c>
      <c r="C147" s="6" t="s">
        <v>2643</v>
      </c>
      <c r="D147" s="13" t="s">
        <v>950</v>
      </c>
      <c r="E147" s="204"/>
      <c r="F147" s="204"/>
      <c r="G147" s="204"/>
      <c r="H147" s="204"/>
      <c r="I147" s="69">
        <v>0</v>
      </c>
      <c r="J147" s="69"/>
      <c r="K147" s="69"/>
      <c r="L147" s="69"/>
    </row>
    <row r="148" spans="1:13" ht="30" x14ac:dyDescent="0.25">
      <c r="A148" s="77"/>
      <c r="B148" s="80" t="s">
        <v>2169</v>
      </c>
      <c r="C148" s="6" t="s">
        <v>2644</v>
      </c>
      <c r="D148" s="13" t="s">
        <v>950</v>
      </c>
      <c r="E148" s="204"/>
      <c r="F148" s="204"/>
      <c r="G148" s="204"/>
      <c r="H148" s="204"/>
      <c r="I148" s="69">
        <v>0</v>
      </c>
      <c r="J148" s="69"/>
      <c r="K148" s="69"/>
      <c r="L148" s="69"/>
    </row>
    <row r="149" spans="1:13" ht="30" x14ac:dyDescent="0.25">
      <c r="A149" s="77"/>
      <c r="B149" s="80" t="s">
        <v>2170</v>
      </c>
      <c r="C149" s="6" t="s">
        <v>2637</v>
      </c>
      <c r="D149" s="13" t="s">
        <v>950</v>
      </c>
      <c r="E149" s="204"/>
      <c r="F149" s="204"/>
      <c r="G149" s="204"/>
      <c r="H149" s="204"/>
      <c r="I149" s="69">
        <f>I150+I151</f>
        <v>12267</v>
      </c>
      <c r="J149" s="69"/>
      <c r="K149" s="69">
        <f>K17</f>
        <v>15027</v>
      </c>
      <c r="L149" s="69">
        <f>L17</f>
        <v>17806</v>
      </c>
    </row>
    <row r="150" spans="1:13" x14ac:dyDescent="0.25">
      <c r="A150" s="77"/>
      <c r="B150" s="80" t="s">
        <v>2409</v>
      </c>
      <c r="C150" s="204"/>
      <c r="D150" s="13" t="s">
        <v>950</v>
      </c>
      <c r="E150" s="204"/>
      <c r="F150" s="204"/>
      <c r="G150" s="204"/>
      <c r="H150" s="204"/>
      <c r="I150" s="69">
        <v>8587</v>
      </c>
      <c r="J150" s="69"/>
      <c r="K150" s="69"/>
      <c r="L150" s="69"/>
    </row>
    <row r="151" spans="1:13" x14ac:dyDescent="0.25">
      <c r="A151" s="77"/>
      <c r="B151" s="80" t="s">
        <v>2413</v>
      </c>
      <c r="C151" s="204"/>
      <c r="D151" s="13" t="s">
        <v>950</v>
      </c>
      <c r="E151" s="204"/>
      <c r="F151" s="204"/>
      <c r="G151" s="204"/>
      <c r="H151" s="204"/>
      <c r="I151" s="69">
        <v>3680</v>
      </c>
      <c r="J151" s="69"/>
      <c r="K151" s="69"/>
      <c r="L151" s="69"/>
      <c r="M151" s="20"/>
    </row>
    <row r="152" spans="1:13" ht="60" hidden="1" x14ac:dyDescent="0.25">
      <c r="A152" s="172" t="s">
        <v>982</v>
      </c>
      <c r="B152" s="171" t="s">
        <v>983</v>
      </c>
      <c r="C152" s="206"/>
      <c r="D152" s="172" t="s">
        <v>8</v>
      </c>
      <c r="E152" s="197" t="e">
        <f t="shared" ref="E152:J152" si="17">(E153+E154)/E155*100</f>
        <v>#DIV/0!</v>
      </c>
      <c r="F152" s="197" t="e">
        <f t="shared" si="17"/>
        <v>#DIV/0!</v>
      </c>
      <c r="G152" s="197" t="e">
        <f t="shared" si="17"/>
        <v>#DIV/0!</v>
      </c>
      <c r="H152" s="197" t="e">
        <f t="shared" si="17"/>
        <v>#DIV/0!</v>
      </c>
      <c r="I152" s="197" t="e">
        <f t="shared" si="17"/>
        <v>#DIV/0!</v>
      </c>
      <c r="J152" s="197" t="e">
        <f t="shared" si="17"/>
        <v>#DIV/0!</v>
      </c>
      <c r="K152" s="197" t="e">
        <f>(K153+K154)/K155*100</f>
        <v>#DIV/0!</v>
      </c>
      <c r="L152" s="197" t="e">
        <f>(L153+L154)/L155*100</f>
        <v>#DIV/0!</v>
      </c>
      <c r="M152" s="3" t="s">
        <v>23</v>
      </c>
    </row>
    <row r="153" spans="1:13" ht="45" hidden="1" x14ac:dyDescent="0.25">
      <c r="A153" s="172"/>
      <c r="B153" s="171" t="s">
        <v>984</v>
      </c>
      <c r="C153" s="172" t="s">
        <v>985</v>
      </c>
      <c r="D153" s="172" t="s">
        <v>950</v>
      </c>
      <c r="E153" s="173">
        <v>0</v>
      </c>
      <c r="F153" s="173">
        <v>0</v>
      </c>
      <c r="G153" s="173">
        <v>0</v>
      </c>
      <c r="H153" s="173"/>
      <c r="I153" s="173"/>
      <c r="J153" s="173"/>
      <c r="K153" s="173"/>
      <c r="L153" s="173"/>
      <c r="M153" s="3"/>
    </row>
    <row r="154" spans="1:13" ht="30" hidden="1" x14ac:dyDescent="0.25">
      <c r="A154" s="172"/>
      <c r="B154" s="171" t="s">
        <v>986</v>
      </c>
      <c r="C154" s="172" t="s">
        <v>987</v>
      </c>
      <c r="D154" s="172" t="s">
        <v>950</v>
      </c>
      <c r="E154" s="173">
        <v>0</v>
      </c>
      <c r="F154" s="173">
        <v>0</v>
      </c>
      <c r="G154" s="173">
        <v>0</v>
      </c>
      <c r="H154" s="173"/>
      <c r="I154" s="173"/>
      <c r="J154" s="173"/>
      <c r="K154" s="173"/>
      <c r="L154" s="173"/>
      <c r="M154" s="3"/>
    </row>
    <row r="155" spans="1:13" ht="45" hidden="1" x14ac:dyDescent="0.25">
      <c r="A155" s="172"/>
      <c r="B155" s="171" t="s">
        <v>988</v>
      </c>
      <c r="C155" s="172" t="s">
        <v>891</v>
      </c>
      <c r="D155" s="172" t="s">
        <v>950</v>
      </c>
      <c r="E155" s="173">
        <v>0</v>
      </c>
      <c r="F155" s="173">
        <v>0</v>
      </c>
      <c r="G155" s="173">
        <v>0</v>
      </c>
      <c r="H155" s="173"/>
      <c r="I155" s="173"/>
      <c r="J155" s="173"/>
      <c r="K155" s="173"/>
      <c r="L155" s="173"/>
      <c r="M155" s="3"/>
    </row>
    <row r="156" spans="1:13" ht="30" x14ac:dyDescent="0.25">
      <c r="A156" s="115" t="s">
        <v>835</v>
      </c>
      <c r="B156" s="116" t="s">
        <v>989</v>
      </c>
      <c r="C156" s="113"/>
      <c r="D156" s="113"/>
      <c r="E156" s="113"/>
      <c r="F156" s="113"/>
      <c r="G156" s="113"/>
      <c r="H156" s="113"/>
      <c r="I156" s="113"/>
      <c r="J156" s="113"/>
      <c r="K156" s="113"/>
      <c r="L156" s="113"/>
    </row>
    <row r="157" spans="1:13" ht="45" x14ac:dyDescent="0.25">
      <c r="A157" s="79" t="s">
        <v>836</v>
      </c>
      <c r="B157" s="97" t="s">
        <v>2171</v>
      </c>
      <c r="C157" s="113"/>
      <c r="D157" s="113"/>
      <c r="E157" s="113"/>
      <c r="F157" s="113"/>
      <c r="G157" s="113"/>
      <c r="H157" s="113"/>
      <c r="I157" s="78">
        <f>I158/I159*100</f>
        <v>12.953452351838266</v>
      </c>
      <c r="J157" s="78">
        <v>49.76</v>
      </c>
      <c r="K157" s="78">
        <f>K158/K159*100</f>
        <v>22.88547281559859</v>
      </c>
      <c r="L157" s="78">
        <f>L158/L159*100</f>
        <v>26.60900819948332</v>
      </c>
      <c r="M157" s="3" t="s">
        <v>135</v>
      </c>
    </row>
    <row r="158" spans="1:13" ht="30" x14ac:dyDescent="0.25">
      <c r="A158" s="205"/>
      <c r="B158" s="80" t="s">
        <v>2172</v>
      </c>
      <c r="C158" s="6" t="s">
        <v>2650</v>
      </c>
      <c r="D158" s="13" t="s">
        <v>950</v>
      </c>
      <c r="E158" s="200"/>
      <c r="F158" s="200"/>
      <c r="G158" s="200"/>
      <c r="H158" s="200"/>
      <c r="I158" s="69">
        <v>1589</v>
      </c>
      <c r="J158" s="69"/>
      <c r="K158" s="69">
        <v>3439</v>
      </c>
      <c r="L158" s="69">
        <v>4738</v>
      </c>
    </row>
    <row r="159" spans="1:13" ht="30" x14ac:dyDescent="0.25">
      <c r="A159" s="205"/>
      <c r="B159" s="80" t="s">
        <v>2170</v>
      </c>
      <c r="C159" s="6" t="s">
        <v>2637</v>
      </c>
      <c r="D159" s="13" t="s">
        <v>950</v>
      </c>
      <c r="E159" s="204"/>
      <c r="F159" s="204"/>
      <c r="G159" s="204"/>
      <c r="H159" s="204"/>
      <c r="I159" s="69">
        <f>I17</f>
        <v>12267</v>
      </c>
      <c r="J159" s="69"/>
      <c r="K159" s="69">
        <f>K17</f>
        <v>15027</v>
      </c>
      <c r="L159" s="69">
        <f>L17</f>
        <v>17806</v>
      </c>
    </row>
    <row r="160" spans="1:13" ht="60" hidden="1" x14ac:dyDescent="0.25">
      <c r="A160" s="172" t="s">
        <v>991</v>
      </c>
      <c r="B160" s="171" t="s">
        <v>990</v>
      </c>
      <c r="C160" s="172"/>
      <c r="D160" s="172" t="s">
        <v>8</v>
      </c>
      <c r="E160" s="197" t="e">
        <f t="shared" ref="E160:J160" si="18">E161/E162*100</f>
        <v>#DIV/0!</v>
      </c>
      <c r="F160" s="197" t="e">
        <f t="shared" si="18"/>
        <v>#DIV/0!</v>
      </c>
      <c r="G160" s="197" t="e">
        <f t="shared" si="18"/>
        <v>#DIV/0!</v>
      </c>
      <c r="H160" s="197" t="e">
        <f t="shared" si="18"/>
        <v>#DIV/0!</v>
      </c>
      <c r="I160" s="197" t="e">
        <f t="shared" si="18"/>
        <v>#DIV/0!</v>
      </c>
      <c r="J160" s="197" t="e">
        <f t="shared" si="18"/>
        <v>#DIV/0!</v>
      </c>
      <c r="K160" s="197" t="e">
        <f>K161/K162*100</f>
        <v>#DIV/0!</v>
      </c>
      <c r="L160" s="197" t="e">
        <f>L161/L162*100</f>
        <v>#DIV/0!</v>
      </c>
      <c r="M160" s="3" t="s">
        <v>46</v>
      </c>
    </row>
    <row r="161" spans="1:12" ht="60" hidden="1" x14ac:dyDescent="0.25">
      <c r="A161" s="206"/>
      <c r="B161" s="171" t="s">
        <v>992</v>
      </c>
      <c r="C161" s="172" t="s">
        <v>523</v>
      </c>
      <c r="D161" s="172" t="s">
        <v>950</v>
      </c>
      <c r="E161" s="173"/>
      <c r="F161" s="173"/>
      <c r="G161" s="173"/>
      <c r="H161" s="173"/>
      <c r="I161" s="173"/>
      <c r="J161" s="173"/>
      <c r="K161" s="173"/>
      <c r="L161" s="173"/>
    </row>
    <row r="162" spans="1:12" ht="60" hidden="1" x14ac:dyDescent="0.25">
      <c r="A162" s="206"/>
      <c r="B162" s="171" t="s">
        <v>993</v>
      </c>
      <c r="C162" s="172" t="s">
        <v>523</v>
      </c>
      <c r="D162" s="172" t="s">
        <v>950</v>
      </c>
      <c r="E162" s="173"/>
      <c r="F162" s="173"/>
      <c r="G162" s="173"/>
      <c r="H162" s="173"/>
      <c r="I162" s="173"/>
      <c r="J162" s="173"/>
      <c r="K162" s="173"/>
      <c r="L162" s="173"/>
    </row>
    <row r="163" spans="1:12" ht="60" hidden="1" x14ac:dyDescent="0.25">
      <c r="A163" s="115" t="s">
        <v>995</v>
      </c>
      <c r="B163" s="221" t="s">
        <v>994</v>
      </c>
      <c r="C163" s="113"/>
      <c r="D163" s="113"/>
      <c r="E163" s="113"/>
      <c r="F163" s="113"/>
      <c r="G163" s="113"/>
      <c r="H163" s="113"/>
      <c r="I163" s="113"/>
      <c r="J163" s="113"/>
      <c r="K163" s="113"/>
      <c r="L163" s="113"/>
    </row>
    <row r="164" spans="1:12" s="89" customFormat="1" ht="45" hidden="1" x14ac:dyDescent="0.25">
      <c r="A164" s="79" t="s">
        <v>997</v>
      </c>
      <c r="B164" s="171" t="s">
        <v>2192</v>
      </c>
      <c r="C164" s="113"/>
      <c r="D164" s="113"/>
      <c r="E164" s="113"/>
      <c r="F164" s="113"/>
      <c r="G164" s="113"/>
      <c r="H164" s="113"/>
      <c r="I164" s="113"/>
      <c r="J164" s="113"/>
      <c r="K164" s="113"/>
      <c r="L164" s="113"/>
    </row>
    <row r="165" spans="1:12" s="89" customFormat="1" hidden="1" x14ac:dyDescent="0.25">
      <c r="A165" s="79"/>
      <c r="B165" s="171" t="s">
        <v>2196</v>
      </c>
      <c r="C165" s="113"/>
      <c r="D165" s="113"/>
      <c r="E165" s="113"/>
      <c r="F165" s="113"/>
      <c r="G165" s="113"/>
      <c r="H165" s="113"/>
      <c r="I165" s="78">
        <f t="shared" ref="I165:J167" si="19">I173/I181*100</f>
        <v>116.12903225806453</v>
      </c>
      <c r="J165" s="78" t="e">
        <f t="shared" si="19"/>
        <v>#DIV/0!</v>
      </c>
      <c r="K165" s="78" t="e">
        <f t="shared" ref="K165:L171" si="20">K173/K181*100</f>
        <v>#DIV/0!</v>
      </c>
      <c r="L165" s="78" t="e">
        <f t="shared" si="20"/>
        <v>#DIV/0!</v>
      </c>
    </row>
    <row r="166" spans="1:12" s="89" customFormat="1" hidden="1" x14ac:dyDescent="0.25">
      <c r="A166" s="79"/>
      <c r="B166" s="171" t="s">
        <v>2197</v>
      </c>
      <c r="C166" s="113"/>
      <c r="D166" s="113"/>
      <c r="E166" s="113"/>
      <c r="F166" s="113"/>
      <c r="G166" s="113"/>
      <c r="H166" s="113"/>
      <c r="I166" s="78" t="e">
        <f t="shared" si="19"/>
        <v>#DIV/0!</v>
      </c>
      <c r="J166" s="78" t="e">
        <f t="shared" si="19"/>
        <v>#DIV/0!</v>
      </c>
      <c r="K166" s="78" t="e">
        <f t="shared" si="20"/>
        <v>#DIV/0!</v>
      </c>
      <c r="L166" s="78" t="e">
        <f t="shared" si="20"/>
        <v>#DIV/0!</v>
      </c>
    </row>
    <row r="167" spans="1:12" s="89" customFormat="1" hidden="1" x14ac:dyDescent="0.25">
      <c r="A167" s="79"/>
      <c r="B167" s="171" t="s">
        <v>2198</v>
      </c>
      <c r="C167" s="113"/>
      <c r="D167" s="113"/>
      <c r="E167" s="113"/>
      <c r="F167" s="113"/>
      <c r="G167" s="113"/>
      <c r="H167" s="113"/>
      <c r="I167" s="78">
        <f t="shared" si="19"/>
        <v>82.35294117647058</v>
      </c>
      <c r="J167" s="78" t="e">
        <f t="shared" si="19"/>
        <v>#DIV/0!</v>
      </c>
      <c r="K167" s="78" t="e">
        <f t="shared" si="20"/>
        <v>#DIV/0!</v>
      </c>
      <c r="L167" s="78" t="e">
        <f t="shared" si="20"/>
        <v>#DIV/0!</v>
      </c>
    </row>
    <row r="168" spans="1:12" s="89" customFormat="1" hidden="1" x14ac:dyDescent="0.25">
      <c r="A168" s="79"/>
      <c r="B168" s="171" t="s">
        <v>2199</v>
      </c>
      <c r="C168" s="113"/>
      <c r="D168" s="113"/>
      <c r="E168" s="113"/>
      <c r="F168" s="113"/>
      <c r="G168" s="113"/>
      <c r="H168" s="113"/>
      <c r="I168" s="78">
        <f t="shared" ref="I168:J171" si="21">I176/I184*100</f>
        <v>200</v>
      </c>
      <c r="J168" s="78" t="e">
        <f t="shared" si="21"/>
        <v>#DIV/0!</v>
      </c>
      <c r="K168" s="78" t="e">
        <f t="shared" si="20"/>
        <v>#DIV/0!</v>
      </c>
      <c r="L168" s="78" t="e">
        <f t="shared" si="20"/>
        <v>#DIV/0!</v>
      </c>
    </row>
    <row r="169" spans="1:12" s="89" customFormat="1" hidden="1" x14ac:dyDescent="0.25">
      <c r="A169" s="79"/>
      <c r="B169" s="171" t="s">
        <v>2200</v>
      </c>
      <c r="C169" s="113"/>
      <c r="D169" s="113"/>
      <c r="E169" s="113"/>
      <c r="F169" s="113"/>
      <c r="G169" s="113"/>
      <c r="H169" s="113"/>
      <c r="I169" s="78">
        <f t="shared" si="21"/>
        <v>100</v>
      </c>
      <c r="J169" s="78" t="e">
        <f t="shared" si="21"/>
        <v>#DIV/0!</v>
      </c>
      <c r="K169" s="78" t="e">
        <f t="shared" si="20"/>
        <v>#DIV/0!</v>
      </c>
      <c r="L169" s="78" t="e">
        <f t="shared" si="20"/>
        <v>#DIV/0!</v>
      </c>
    </row>
    <row r="170" spans="1:12" s="89" customFormat="1" hidden="1" x14ac:dyDescent="0.25">
      <c r="A170" s="79"/>
      <c r="B170" s="171" t="s">
        <v>2201</v>
      </c>
      <c r="C170" s="113"/>
      <c r="D170" s="113"/>
      <c r="E170" s="113"/>
      <c r="F170" s="113"/>
      <c r="G170" s="113"/>
      <c r="H170" s="113"/>
      <c r="I170" s="78">
        <f t="shared" si="21"/>
        <v>120</v>
      </c>
      <c r="J170" s="78" t="e">
        <f t="shared" si="21"/>
        <v>#DIV/0!</v>
      </c>
      <c r="K170" s="78" t="e">
        <f t="shared" si="20"/>
        <v>#DIV/0!</v>
      </c>
      <c r="L170" s="78" t="e">
        <f t="shared" si="20"/>
        <v>#DIV/0!</v>
      </c>
    </row>
    <row r="171" spans="1:12" s="89" customFormat="1" hidden="1" x14ac:dyDescent="0.25">
      <c r="A171" s="79"/>
      <c r="B171" s="171" t="s">
        <v>2194</v>
      </c>
      <c r="C171" s="113"/>
      <c r="D171" s="113"/>
      <c r="E171" s="113"/>
      <c r="F171" s="113"/>
      <c r="G171" s="113"/>
      <c r="H171" s="113"/>
      <c r="I171" s="78">
        <f t="shared" si="21"/>
        <v>100</v>
      </c>
      <c r="J171" s="78" t="e">
        <f t="shared" si="21"/>
        <v>#DIV/0!</v>
      </c>
      <c r="K171" s="78" t="e">
        <f t="shared" si="20"/>
        <v>#DIV/0!</v>
      </c>
      <c r="L171" s="78" t="e">
        <f t="shared" si="20"/>
        <v>#DIV/0!</v>
      </c>
    </row>
    <row r="172" spans="1:12" s="89" customFormat="1" hidden="1" x14ac:dyDescent="0.25">
      <c r="A172" s="77"/>
      <c r="B172" s="80" t="s">
        <v>2195</v>
      </c>
      <c r="C172" s="200"/>
      <c r="D172" s="200"/>
      <c r="E172" s="200"/>
      <c r="F172" s="200"/>
      <c r="G172" s="200"/>
      <c r="H172" s="200"/>
      <c r="I172" s="200"/>
      <c r="J172" s="200"/>
      <c r="K172" s="200"/>
      <c r="L172" s="200"/>
    </row>
    <row r="173" spans="1:12" s="89" customFormat="1" hidden="1" x14ac:dyDescent="0.25">
      <c r="A173" s="205"/>
      <c r="B173" s="80" t="s">
        <v>2196</v>
      </c>
      <c r="C173" s="200"/>
      <c r="D173" s="200"/>
      <c r="E173" s="200"/>
      <c r="F173" s="200"/>
      <c r="G173" s="200"/>
      <c r="H173" s="200"/>
      <c r="I173" s="207">
        <f>SUM(I174:I179)</f>
        <v>36</v>
      </c>
      <c r="J173" s="207">
        <f>SUM(J174:J179)</f>
        <v>0</v>
      </c>
      <c r="K173" s="207">
        <f>SUM(K174:K179)</f>
        <v>0</v>
      </c>
      <c r="L173" s="207">
        <f>SUM(L174:L179)</f>
        <v>0</v>
      </c>
    </row>
    <row r="174" spans="1:12" s="89" customFormat="1" hidden="1" x14ac:dyDescent="0.25">
      <c r="A174" s="205"/>
      <c r="B174" s="80" t="s">
        <v>2197</v>
      </c>
      <c r="C174" s="200"/>
      <c r="D174" s="200"/>
      <c r="E174" s="200"/>
      <c r="F174" s="200"/>
      <c r="G174" s="200"/>
      <c r="H174" s="200"/>
      <c r="I174" s="207">
        <v>4</v>
      </c>
      <c r="J174" s="207"/>
      <c r="K174" s="207"/>
      <c r="L174" s="207"/>
    </row>
    <row r="175" spans="1:12" s="89" customFormat="1" hidden="1" x14ac:dyDescent="0.25">
      <c r="A175" s="205"/>
      <c r="B175" s="80" t="s">
        <v>2198</v>
      </c>
      <c r="C175" s="200"/>
      <c r="D175" s="200"/>
      <c r="E175" s="200"/>
      <c r="F175" s="200"/>
      <c r="G175" s="200"/>
      <c r="H175" s="200"/>
      <c r="I175" s="207">
        <v>14</v>
      </c>
      <c r="J175" s="207"/>
      <c r="K175" s="207"/>
      <c r="L175" s="207"/>
    </row>
    <row r="176" spans="1:12" s="89" customFormat="1" hidden="1" x14ac:dyDescent="0.25">
      <c r="A176" s="205"/>
      <c r="B176" s="80" t="s">
        <v>2199</v>
      </c>
      <c r="C176" s="200"/>
      <c r="D176" s="200"/>
      <c r="E176" s="200"/>
      <c r="F176" s="200"/>
      <c r="G176" s="200"/>
      <c r="H176" s="200"/>
      <c r="I176" s="207">
        <v>4</v>
      </c>
      <c r="J176" s="207"/>
      <c r="K176" s="207"/>
      <c r="L176" s="207"/>
    </row>
    <row r="177" spans="1:13" s="89" customFormat="1" hidden="1" x14ac:dyDescent="0.25">
      <c r="A177" s="205"/>
      <c r="B177" s="80" t="s">
        <v>2200</v>
      </c>
      <c r="C177" s="200"/>
      <c r="D177" s="200"/>
      <c r="E177" s="200"/>
      <c r="F177" s="200"/>
      <c r="G177" s="200"/>
      <c r="H177" s="200"/>
      <c r="I177" s="207">
        <v>3</v>
      </c>
      <c r="J177" s="207"/>
      <c r="K177" s="207"/>
      <c r="L177" s="207"/>
    </row>
    <row r="178" spans="1:13" s="89" customFormat="1" hidden="1" x14ac:dyDescent="0.25">
      <c r="A178" s="205"/>
      <c r="B178" s="80" t="s">
        <v>2201</v>
      </c>
      <c r="C178" s="200"/>
      <c r="D178" s="200"/>
      <c r="E178" s="200"/>
      <c r="F178" s="200"/>
      <c r="G178" s="200"/>
      <c r="H178" s="200"/>
      <c r="I178" s="207">
        <v>6</v>
      </c>
      <c r="J178" s="207"/>
      <c r="K178" s="207"/>
      <c r="L178" s="207"/>
    </row>
    <row r="179" spans="1:13" s="89" customFormat="1" hidden="1" x14ac:dyDescent="0.25">
      <c r="A179" s="205"/>
      <c r="B179" s="80" t="s">
        <v>2194</v>
      </c>
      <c r="C179" s="200"/>
      <c r="D179" s="200"/>
      <c r="E179" s="200"/>
      <c r="F179" s="200"/>
      <c r="G179" s="200"/>
      <c r="H179" s="200"/>
      <c r="I179" s="207">
        <v>5</v>
      </c>
      <c r="J179" s="207"/>
      <c r="K179" s="207"/>
      <c r="L179" s="207"/>
    </row>
    <row r="180" spans="1:13" s="89" customFormat="1" hidden="1" x14ac:dyDescent="0.25">
      <c r="A180" s="77"/>
      <c r="B180" s="80" t="s">
        <v>2202</v>
      </c>
      <c r="C180" s="200"/>
      <c r="D180" s="200"/>
      <c r="E180" s="200"/>
      <c r="F180" s="200"/>
      <c r="G180" s="200"/>
      <c r="H180" s="200"/>
      <c r="I180" s="200"/>
      <c r="J180" s="200"/>
      <c r="K180" s="200"/>
      <c r="L180" s="200"/>
    </row>
    <row r="181" spans="1:13" s="89" customFormat="1" hidden="1" x14ac:dyDescent="0.25">
      <c r="A181" s="205"/>
      <c r="B181" s="80" t="s">
        <v>2196</v>
      </c>
      <c r="C181" s="200"/>
      <c r="D181" s="200"/>
      <c r="E181" s="200"/>
      <c r="F181" s="200"/>
      <c r="G181" s="200"/>
      <c r="H181" s="200"/>
      <c r="I181" s="207">
        <v>31</v>
      </c>
      <c r="J181" s="207">
        <f>SUM(J182:J187)</f>
        <v>0</v>
      </c>
      <c r="K181" s="207">
        <f>SUM(K182:K187)</f>
        <v>0</v>
      </c>
      <c r="L181" s="207">
        <f>SUM(L182:L187)</f>
        <v>0</v>
      </c>
    </row>
    <row r="182" spans="1:13" s="89" customFormat="1" hidden="1" x14ac:dyDescent="0.25">
      <c r="A182" s="205"/>
      <c r="B182" s="80" t="s">
        <v>2197</v>
      </c>
      <c r="C182" s="200"/>
      <c r="D182" s="200"/>
      <c r="E182" s="200"/>
      <c r="F182" s="200"/>
      <c r="G182" s="200"/>
      <c r="H182" s="200"/>
      <c r="I182" s="207">
        <v>0</v>
      </c>
      <c r="J182" s="207"/>
      <c r="K182" s="207"/>
      <c r="L182" s="207"/>
    </row>
    <row r="183" spans="1:13" s="89" customFormat="1" hidden="1" x14ac:dyDescent="0.25">
      <c r="A183" s="205"/>
      <c r="B183" s="80" t="s">
        <v>2198</v>
      </c>
      <c r="C183" s="200"/>
      <c r="D183" s="200"/>
      <c r="E183" s="200"/>
      <c r="F183" s="200"/>
      <c r="G183" s="200"/>
      <c r="H183" s="200"/>
      <c r="I183" s="207">
        <v>17</v>
      </c>
      <c r="J183" s="207"/>
      <c r="K183" s="207"/>
      <c r="L183" s="207"/>
    </row>
    <row r="184" spans="1:13" s="89" customFormat="1" hidden="1" x14ac:dyDescent="0.25">
      <c r="A184" s="205"/>
      <c r="B184" s="80" t="s">
        <v>2199</v>
      </c>
      <c r="C184" s="200"/>
      <c r="D184" s="200"/>
      <c r="E184" s="200"/>
      <c r="F184" s="200"/>
      <c r="G184" s="200"/>
      <c r="H184" s="200"/>
      <c r="I184" s="207">
        <v>2</v>
      </c>
      <c r="J184" s="207"/>
      <c r="K184" s="207"/>
      <c r="L184" s="207"/>
    </row>
    <row r="185" spans="1:13" s="89" customFormat="1" hidden="1" x14ac:dyDescent="0.25">
      <c r="A185" s="205"/>
      <c r="B185" s="80" t="s">
        <v>2200</v>
      </c>
      <c r="C185" s="200"/>
      <c r="D185" s="200"/>
      <c r="E185" s="200"/>
      <c r="F185" s="200"/>
      <c r="G185" s="200"/>
      <c r="H185" s="200"/>
      <c r="I185" s="207">
        <v>3</v>
      </c>
      <c r="J185" s="207"/>
      <c r="K185" s="207"/>
      <c r="L185" s="207"/>
    </row>
    <row r="186" spans="1:13" s="89" customFormat="1" hidden="1" x14ac:dyDescent="0.25">
      <c r="A186" s="205"/>
      <c r="B186" s="80" t="s">
        <v>2201</v>
      </c>
      <c r="C186" s="200"/>
      <c r="D186" s="200"/>
      <c r="E186" s="200"/>
      <c r="F186" s="200"/>
      <c r="G186" s="200"/>
      <c r="H186" s="200"/>
      <c r="I186" s="207">
        <v>5</v>
      </c>
      <c r="J186" s="207"/>
      <c r="K186" s="207"/>
      <c r="L186" s="207"/>
    </row>
    <row r="187" spans="1:13" s="89" customFormat="1" hidden="1" x14ac:dyDescent="0.25">
      <c r="A187" s="205"/>
      <c r="B187" s="80" t="s">
        <v>2194</v>
      </c>
      <c r="C187" s="200"/>
      <c r="D187" s="200"/>
      <c r="E187" s="200"/>
      <c r="F187" s="200"/>
      <c r="G187" s="200"/>
      <c r="H187" s="200"/>
      <c r="I187" s="207">
        <v>5</v>
      </c>
      <c r="J187" s="207"/>
      <c r="K187" s="207"/>
      <c r="L187" s="207"/>
    </row>
    <row r="188" spans="1:13" ht="105" hidden="1" x14ac:dyDescent="0.25">
      <c r="A188" s="172" t="s">
        <v>997</v>
      </c>
      <c r="B188" s="171" t="s">
        <v>996</v>
      </c>
      <c r="C188" s="172"/>
      <c r="D188" s="172"/>
      <c r="E188" s="197"/>
      <c r="F188" s="197"/>
      <c r="G188" s="197"/>
      <c r="H188" s="197"/>
      <c r="I188" s="197"/>
      <c r="J188" s="197"/>
      <c r="K188" s="197"/>
      <c r="L188" s="197"/>
      <c r="M188" s="3" t="s">
        <v>281</v>
      </c>
    </row>
    <row r="189" spans="1:13" ht="30" hidden="1" x14ac:dyDescent="0.25">
      <c r="A189" s="172"/>
      <c r="B189" s="171" t="s">
        <v>1146</v>
      </c>
      <c r="C189" s="172" t="s">
        <v>138</v>
      </c>
      <c r="D189" s="172" t="s">
        <v>1112</v>
      </c>
      <c r="E189" s="197"/>
      <c r="F189" s="197"/>
      <c r="G189" s="197"/>
      <c r="H189" s="197">
        <v>0</v>
      </c>
      <c r="I189" s="197"/>
      <c r="J189" s="197"/>
      <c r="K189" s="197"/>
      <c r="L189" s="197"/>
      <c r="M189" s="3"/>
    </row>
    <row r="190" spans="1:13" ht="30" hidden="1" x14ac:dyDescent="0.25">
      <c r="A190" s="172"/>
      <c r="B190" s="171" t="s">
        <v>534</v>
      </c>
      <c r="C190" s="172" t="s">
        <v>138</v>
      </c>
      <c r="D190" s="172" t="s">
        <v>1112</v>
      </c>
      <c r="E190" s="197"/>
      <c r="F190" s="197"/>
      <c r="G190" s="197"/>
      <c r="H190" s="197">
        <v>15</v>
      </c>
      <c r="I190" s="197"/>
      <c r="J190" s="197"/>
      <c r="K190" s="197"/>
      <c r="L190" s="197"/>
      <c r="M190" s="3"/>
    </row>
    <row r="191" spans="1:13" ht="30" hidden="1" x14ac:dyDescent="0.25">
      <c r="A191" s="172"/>
      <c r="B191" s="171" t="s">
        <v>1145</v>
      </c>
      <c r="C191" s="172" t="s">
        <v>138</v>
      </c>
      <c r="D191" s="172" t="s">
        <v>1112</v>
      </c>
      <c r="E191" s="197"/>
      <c r="F191" s="197"/>
      <c r="G191" s="197"/>
      <c r="H191" s="197">
        <v>2</v>
      </c>
      <c r="I191" s="197"/>
      <c r="J191" s="197"/>
      <c r="K191" s="197"/>
      <c r="L191" s="197"/>
      <c r="M191" s="3"/>
    </row>
    <row r="192" spans="1:13" ht="30" hidden="1" x14ac:dyDescent="0.25">
      <c r="A192" s="172"/>
      <c r="B192" s="171" t="s">
        <v>1144</v>
      </c>
      <c r="C192" s="172" t="s">
        <v>138</v>
      </c>
      <c r="D192" s="172" t="s">
        <v>1112</v>
      </c>
      <c r="E192" s="197"/>
      <c r="F192" s="197"/>
      <c r="G192" s="197"/>
      <c r="H192" s="197">
        <v>2</v>
      </c>
      <c r="I192" s="197"/>
      <c r="J192" s="197"/>
      <c r="K192" s="197"/>
      <c r="L192" s="197"/>
      <c r="M192" s="3"/>
    </row>
    <row r="193" spans="1:13" ht="30" hidden="1" x14ac:dyDescent="0.25">
      <c r="A193" s="172"/>
      <c r="B193" s="171" t="s">
        <v>915</v>
      </c>
      <c r="C193" s="172" t="s">
        <v>138</v>
      </c>
      <c r="D193" s="172" t="s">
        <v>1112</v>
      </c>
      <c r="E193" s="173"/>
      <c r="F193" s="173"/>
      <c r="G193" s="173"/>
      <c r="H193" s="173">
        <v>6</v>
      </c>
      <c r="I193" s="173"/>
      <c r="J193" s="173"/>
      <c r="K193" s="173"/>
      <c r="L193" s="173"/>
      <c r="M193" s="3"/>
    </row>
    <row r="194" spans="1:13" ht="30" hidden="1" x14ac:dyDescent="0.25">
      <c r="A194" s="172"/>
      <c r="B194" s="171" t="s">
        <v>1147</v>
      </c>
      <c r="C194" s="172" t="s">
        <v>138</v>
      </c>
      <c r="D194" s="172" t="s">
        <v>1112</v>
      </c>
      <c r="E194" s="173"/>
      <c r="F194" s="173"/>
      <c r="G194" s="173"/>
      <c r="H194" s="173">
        <v>0</v>
      </c>
      <c r="I194" s="173"/>
      <c r="J194" s="173"/>
      <c r="K194" s="173"/>
      <c r="L194" s="173"/>
      <c r="M194" s="3"/>
    </row>
    <row r="195" spans="1:13" ht="45" hidden="1" x14ac:dyDescent="0.25">
      <c r="A195" s="115" t="s">
        <v>999</v>
      </c>
      <c r="B195" s="221" t="s">
        <v>998</v>
      </c>
      <c r="C195" s="113"/>
      <c r="D195" s="113"/>
      <c r="E195" s="113"/>
      <c r="F195" s="113"/>
      <c r="G195" s="113"/>
      <c r="H195" s="113"/>
      <c r="I195" s="113"/>
      <c r="J195" s="113"/>
      <c r="K195" s="113"/>
      <c r="L195" s="113"/>
    </row>
    <row r="196" spans="1:13" ht="60" hidden="1" x14ac:dyDescent="0.25">
      <c r="A196" s="79" t="s">
        <v>1001</v>
      </c>
      <c r="B196" s="171" t="s">
        <v>1000</v>
      </c>
      <c r="C196" s="113"/>
      <c r="D196" s="79"/>
      <c r="E196" s="114"/>
      <c r="F196" s="114"/>
      <c r="G196" s="114"/>
      <c r="H196" s="114"/>
      <c r="I196" s="78">
        <f>I200/$I$201*100</f>
        <v>29.212022862755628</v>
      </c>
      <c r="J196" s="78">
        <f>J200/$I$201*100</f>
        <v>0</v>
      </c>
      <c r="K196" s="78">
        <f>K200/$I$201*100</f>
        <v>0</v>
      </c>
      <c r="L196" s="78">
        <f>L200/$I$201*100</f>
        <v>0</v>
      </c>
      <c r="M196" s="3" t="s">
        <v>94</v>
      </c>
    </row>
    <row r="197" spans="1:13" hidden="1" x14ac:dyDescent="0.25">
      <c r="A197" s="113"/>
      <c r="B197" s="97" t="s">
        <v>1002</v>
      </c>
      <c r="C197" s="79"/>
      <c r="D197" s="79" t="s">
        <v>8</v>
      </c>
      <c r="E197" s="114" t="e">
        <f>E199/E201*100</f>
        <v>#DIV/0!</v>
      </c>
      <c r="F197" s="114" t="e">
        <f>F199/F201*100</f>
        <v>#DIV/0!</v>
      </c>
      <c r="G197" s="114" t="e">
        <f>G199/G201*100</f>
        <v>#DIV/0!</v>
      </c>
      <c r="H197" s="78">
        <v>96.35</v>
      </c>
      <c r="I197" s="78">
        <f t="shared" ref="I197:K198" si="22">I199/$I$201*100</f>
        <v>70.787977137244368</v>
      </c>
      <c r="J197" s="78">
        <f t="shared" si="22"/>
        <v>70.787977137244368</v>
      </c>
      <c r="K197" s="78">
        <f t="shared" si="22"/>
        <v>70.787977137244368</v>
      </c>
      <c r="L197" s="78">
        <f t="shared" ref="L197" si="23">L199/$I$201*100</f>
        <v>70.787977137244368</v>
      </c>
    </row>
    <row r="198" spans="1:13" hidden="1" x14ac:dyDescent="0.25">
      <c r="A198" s="113"/>
      <c r="B198" s="112" t="s">
        <v>1148</v>
      </c>
      <c r="C198" s="79"/>
      <c r="D198" s="79" t="s">
        <v>8</v>
      </c>
      <c r="E198" s="114" t="e">
        <f>E200/E201*100</f>
        <v>#DIV/0!</v>
      </c>
      <c r="F198" s="114" t="e">
        <f>F200/F201*100</f>
        <v>#DIV/0!</v>
      </c>
      <c r="G198" s="114" t="e">
        <f>G200/G201*100</f>
        <v>#DIV/0!</v>
      </c>
      <c r="H198" s="78">
        <v>3.65</v>
      </c>
      <c r="I198" s="78">
        <f t="shared" si="22"/>
        <v>29.212022862755628</v>
      </c>
      <c r="J198" s="78">
        <f t="shared" si="22"/>
        <v>0</v>
      </c>
      <c r="K198" s="78">
        <f t="shared" si="22"/>
        <v>0</v>
      </c>
      <c r="L198" s="78">
        <f t="shared" ref="L198" si="24">L200/$I$201*100</f>
        <v>0</v>
      </c>
    </row>
    <row r="199" spans="1:13" ht="60" hidden="1" x14ac:dyDescent="0.25">
      <c r="A199" s="92"/>
      <c r="B199" s="80" t="s">
        <v>1003</v>
      </c>
      <c r="C199" s="76" t="s">
        <v>138</v>
      </c>
      <c r="D199" s="77" t="s">
        <v>1114</v>
      </c>
      <c r="E199" s="39"/>
      <c r="F199" s="39"/>
      <c r="G199" s="39"/>
      <c r="H199" s="39"/>
      <c r="I199" s="134">
        <v>422608.4</v>
      </c>
      <c r="J199" s="134">
        <v>422608.4</v>
      </c>
      <c r="K199" s="134">
        <v>422608.4</v>
      </c>
      <c r="L199" s="134">
        <v>422608.4</v>
      </c>
    </row>
    <row r="200" spans="1:13" ht="60" hidden="1" x14ac:dyDescent="0.25">
      <c r="A200" s="92"/>
      <c r="B200" s="80" t="s">
        <v>1004</v>
      </c>
      <c r="C200" s="76" t="s">
        <v>138</v>
      </c>
      <c r="D200" s="77" t="s">
        <v>1114</v>
      </c>
      <c r="E200" s="39"/>
      <c r="F200" s="39"/>
      <c r="G200" s="39"/>
      <c r="H200" s="39"/>
      <c r="I200" s="134">
        <v>174397.5</v>
      </c>
      <c r="J200" s="134"/>
      <c r="K200" s="134"/>
      <c r="L200" s="134"/>
    </row>
    <row r="201" spans="1:13" ht="60" hidden="1" x14ac:dyDescent="0.25">
      <c r="A201" s="92"/>
      <c r="B201" s="80" t="s">
        <v>1005</v>
      </c>
      <c r="C201" s="76" t="s">
        <v>138</v>
      </c>
      <c r="D201" s="77" t="s">
        <v>1114</v>
      </c>
      <c r="E201" s="39"/>
      <c r="F201" s="39"/>
      <c r="G201" s="39"/>
      <c r="H201" s="39"/>
      <c r="I201" s="134">
        <v>597005.9</v>
      </c>
      <c r="J201" s="134"/>
      <c r="K201" s="134"/>
      <c r="L201" s="134"/>
    </row>
    <row r="202" spans="1:13" ht="30" hidden="1" x14ac:dyDescent="0.25">
      <c r="A202" s="115" t="s">
        <v>1006</v>
      </c>
      <c r="B202" s="221" t="s">
        <v>1007</v>
      </c>
      <c r="C202" s="113"/>
      <c r="D202" s="113"/>
      <c r="E202" s="113"/>
      <c r="F202" s="113"/>
      <c r="G202" s="113"/>
      <c r="H202" s="113"/>
      <c r="I202" s="113"/>
      <c r="J202" s="113"/>
      <c r="K202" s="113"/>
      <c r="L202" s="113"/>
    </row>
    <row r="203" spans="1:13" s="89" customFormat="1" ht="105" hidden="1" x14ac:dyDescent="0.25">
      <c r="A203" s="79" t="s">
        <v>1009</v>
      </c>
      <c r="B203" s="171" t="s">
        <v>2203</v>
      </c>
      <c r="C203" s="113"/>
      <c r="D203" s="113"/>
      <c r="E203" s="113"/>
      <c r="F203" s="113"/>
      <c r="G203" s="113"/>
      <c r="H203" s="113"/>
      <c r="I203" s="78">
        <f>I204/I207*100</f>
        <v>0.57306590257879653</v>
      </c>
      <c r="J203" s="78" t="e">
        <f>J204/J207*100</f>
        <v>#DIV/0!</v>
      </c>
      <c r="K203" s="78" t="e">
        <f>K204/K207*100</f>
        <v>#DIV/0!</v>
      </c>
      <c r="L203" s="78" t="e">
        <f>L204/L207*100</f>
        <v>#DIV/0!</v>
      </c>
    </row>
    <row r="204" spans="1:13" s="89" customFormat="1" ht="45" hidden="1" x14ac:dyDescent="0.25">
      <c r="A204" s="77"/>
      <c r="B204" s="80" t="s">
        <v>2204</v>
      </c>
      <c r="C204" s="200"/>
      <c r="D204" s="200"/>
      <c r="E204" s="200"/>
      <c r="F204" s="200"/>
      <c r="G204" s="200"/>
      <c r="H204" s="200"/>
      <c r="I204" s="207">
        <f>I205+I206</f>
        <v>2</v>
      </c>
      <c r="J204" s="207">
        <f>J205+J206</f>
        <v>0</v>
      </c>
      <c r="K204" s="207">
        <f>K205+K206</f>
        <v>0</v>
      </c>
      <c r="L204" s="207">
        <f>L205+L206</f>
        <v>0</v>
      </c>
    </row>
    <row r="205" spans="1:13" s="89" customFormat="1" hidden="1" x14ac:dyDescent="0.25">
      <c r="A205" s="77"/>
      <c r="B205" s="80" t="s">
        <v>2158</v>
      </c>
      <c r="C205" s="200"/>
      <c r="D205" s="200"/>
      <c r="E205" s="200"/>
      <c r="F205" s="200"/>
      <c r="G205" s="200"/>
      <c r="H205" s="200"/>
      <c r="I205" s="207">
        <v>1</v>
      </c>
      <c r="J205" s="207"/>
      <c r="K205" s="207"/>
      <c r="L205" s="207"/>
    </row>
    <row r="206" spans="1:13" s="89" customFormat="1" hidden="1" x14ac:dyDescent="0.25">
      <c r="A206" s="77"/>
      <c r="B206" s="80" t="s">
        <v>2159</v>
      </c>
      <c r="C206" s="200"/>
      <c r="D206" s="200"/>
      <c r="E206" s="200"/>
      <c r="F206" s="200"/>
      <c r="G206" s="200"/>
      <c r="H206" s="200"/>
      <c r="I206" s="207">
        <v>1</v>
      </c>
      <c r="J206" s="207"/>
      <c r="K206" s="207"/>
      <c r="L206" s="207"/>
    </row>
    <row r="207" spans="1:13" s="89" customFormat="1" ht="30" hidden="1" x14ac:dyDescent="0.25">
      <c r="A207" s="77"/>
      <c r="B207" s="80" t="s">
        <v>2205</v>
      </c>
      <c r="C207" s="200"/>
      <c r="D207" s="200"/>
      <c r="E207" s="200"/>
      <c r="F207" s="200"/>
      <c r="G207" s="200"/>
      <c r="H207" s="200"/>
      <c r="I207" s="207">
        <f>I208+I209</f>
        <v>349</v>
      </c>
      <c r="J207" s="207">
        <f>J208+J209</f>
        <v>0</v>
      </c>
      <c r="K207" s="207">
        <f>K208+K209</f>
        <v>0</v>
      </c>
      <c r="L207" s="207">
        <f>L208+L209</f>
        <v>0</v>
      </c>
    </row>
    <row r="208" spans="1:13" s="89" customFormat="1" hidden="1" x14ac:dyDescent="0.25">
      <c r="A208" s="77"/>
      <c r="B208" s="80" t="s">
        <v>2158</v>
      </c>
      <c r="C208" s="200"/>
      <c r="D208" s="200"/>
      <c r="E208" s="200"/>
      <c r="F208" s="200"/>
      <c r="G208" s="200"/>
      <c r="H208" s="200"/>
      <c r="I208" s="199">
        <f>113+25</f>
        <v>138</v>
      </c>
      <c r="J208" s="199"/>
      <c r="K208" s="199"/>
      <c r="L208" s="199"/>
    </row>
    <row r="209" spans="1:13" s="89" customFormat="1" hidden="1" x14ac:dyDescent="0.25">
      <c r="A209" s="77"/>
      <c r="B209" s="80" t="s">
        <v>2159</v>
      </c>
      <c r="C209" s="200"/>
      <c r="D209" s="200"/>
      <c r="E209" s="200"/>
      <c r="F209" s="200"/>
      <c r="G209" s="200"/>
      <c r="H209" s="200"/>
      <c r="I209" s="199">
        <f>182+29</f>
        <v>211</v>
      </c>
      <c r="J209" s="199"/>
      <c r="K209" s="199"/>
      <c r="L209" s="199"/>
    </row>
    <row r="210" spans="1:13" ht="75" hidden="1" x14ac:dyDescent="0.25">
      <c r="A210" s="172" t="s">
        <v>1009</v>
      </c>
      <c r="B210" s="171" t="s">
        <v>1008</v>
      </c>
      <c r="C210" s="206"/>
      <c r="D210" s="172" t="s">
        <v>8</v>
      </c>
      <c r="E210" s="197" t="e">
        <f>E211/E212*100</f>
        <v>#DIV/0!</v>
      </c>
      <c r="F210" s="197" t="e">
        <f>F211/F212*100</f>
        <v>#DIV/0!</v>
      </c>
      <c r="G210" s="197" t="e">
        <f>G211/G212*100</f>
        <v>#DIV/0!</v>
      </c>
      <c r="H210" s="202">
        <v>11.45</v>
      </c>
      <c r="I210" s="202"/>
      <c r="J210" s="202"/>
      <c r="K210" s="202"/>
      <c r="L210" s="202"/>
      <c r="M210" s="3" t="s">
        <v>94</v>
      </c>
    </row>
    <row r="211" spans="1:13" ht="45" hidden="1" x14ac:dyDescent="0.25">
      <c r="A211" s="172"/>
      <c r="B211" s="171" t="s">
        <v>1010</v>
      </c>
      <c r="C211" s="172" t="s">
        <v>138</v>
      </c>
      <c r="D211" s="172" t="s">
        <v>950</v>
      </c>
      <c r="E211" s="173"/>
      <c r="F211" s="173"/>
      <c r="G211" s="173"/>
      <c r="H211" s="173"/>
      <c r="I211" s="173"/>
      <c r="J211" s="173"/>
      <c r="K211" s="173"/>
      <c r="L211" s="173"/>
      <c r="M211" s="3"/>
    </row>
    <row r="212" spans="1:13" ht="45" hidden="1" x14ac:dyDescent="0.25">
      <c r="A212" s="172"/>
      <c r="B212" s="171" t="s">
        <v>1011</v>
      </c>
      <c r="C212" s="172" t="s">
        <v>138</v>
      </c>
      <c r="D212" s="172" t="s">
        <v>950</v>
      </c>
      <c r="E212" s="173"/>
      <c r="F212" s="173"/>
      <c r="G212" s="173"/>
      <c r="H212" s="173"/>
      <c r="I212" s="173"/>
      <c r="J212" s="173"/>
      <c r="K212" s="173"/>
      <c r="L212" s="173"/>
      <c r="M212" s="3"/>
    </row>
  </sheetData>
  <mergeCells count="4">
    <mergeCell ref="A7:L7"/>
    <mergeCell ref="A8:L8"/>
    <mergeCell ref="A3:L3"/>
    <mergeCell ref="A4:L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sheetPr>
  <dimension ref="A3:L266"/>
  <sheetViews>
    <sheetView workbookViewId="0">
      <pane xSplit="2" ySplit="8" topLeftCell="C69" activePane="bottomRight" state="frozen"/>
      <selection pane="topRight" activeCell="C1" sqref="C1"/>
      <selection pane="bottomLeft" activeCell="A9" sqref="A9"/>
      <selection pane="bottomRight" activeCell="J77" sqref="J77"/>
    </sheetView>
  </sheetViews>
  <sheetFormatPr defaultRowHeight="15" x14ac:dyDescent="0.25"/>
  <cols>
    <col min="2" max="2" width="75.140625" customWidth="1"/>
    <col min="3" max="3" width="20.140625" customWidth="1"/>
    <col min="4" max="4" width="16.140625" customWidth="1"/>
    <col min="5" max="10" width="12.42578125" customWidth="1"/>
    <col min="11" max="11" width="12.42578125" style="241" customWidth="1"/>
    <col min="12" max="12" width="41.85546875" customWidth="1"/>
  </cols>
  <sheetData>
    <row r="3" spans="1:12" ht="18.75" x14ac:dyDescent="0.3">
      <c r="A3" s="401" t="s">
        <v>0</v>
      </c>
      <c r="B3" s="401"/>
      <c r="C3" s="401"/>
      <c r="D3" s="401"/>
      <c r="E3" s="401"/>
      <c r="F3" s="401"/>
      <c r="G3" s="401"/>
      <c r="H3" s="401"/>
      <c r="I3" s="401"/>
      <c r="J3" s="401"/>
      <c r="K3" s="244"/>
      <c r="L3" s="14"/>
    </row>
    <row r="4" spans="1:12" ht="18.75" x14ac:dyDescent="0.3">
      <c r="A4" s="436" t="s">
        <v>1</v>
      </c>
      <c r="B4" s="436"/>
      <c r="C4" s="436"/>
      <c r="D4" s="436"/>
      <c r="E4" s="436"/>
      <c r="F4" s="436"/>
      <c r="G4" s="436"/>
      <c r="H4" s="436"/>
      <c r="I4" s="436"/>
      <c r="J4" s="436"/>
      <c r="K4" s="245"/>
      <c r="L4" s="24"/>
    </row>
    <row r="5" spans="1:12" x14ac:dyDescent="0.25">
      <c r="A5" s="1"/>
      <c r="B5" s="1"/>
      <c r="C5" s="1"/>
      <c r="D5" s="1"/>
      <c r="E5" s="1"/>
      <c r="F5" s="1"/>
      <c r="G5" s="1"/>
      <c r="H5" s="1"/>
      <c r="I5" s="1"/>
      <c r="J5" s="1"/>
      <c r="K5" s="1"/>
      <c r="L5" s="1"/>
    </row>
    <row r="6" spans="1:12" ht="45" x14ac:dyDescent="0.25">
      <c r="A6" s="4" t="s">
        <v>6</v>
      </c>
      <c r="B6" s="4" t="s">
        <v>375</v>
      </c>
      <c r="C6" s="5" t="s">
        <v>9</v>
      </c>
      <c r="D6" s="5" t="s">
        <v>10</v>
      </c>
      <c r="E6" s="5" t="s">
        <v>1401</v>
      </c>
      <c r="F6" s="5" t="s">
        <v>1406</v>
      </c>
      <c r="G6" s="5" t="s">
        <v>1446</v>
      </c>
      <c r="H6" s="5" t="s">
        <v>1486</v>
      </c>
      <c r="I6" s="5" t="s">
        <v>1599</v>
      </c>
      <c r="J6" s="5" t="s">
        <v>2384</v>
      </c>
      <c r="K6" s="5" t="s">
        <v>2723</v>
      </c>
      <c r="L6" s="2" t="s">
        <v>13</v>
      </c>
    </row>
    <row r="7" spans="1:12" x14ac:dyDescent="0.25">
      <c r="A7" s="398" t="s">
        <v>1013</v>
      </c>
      <c r="B7" s="398"/>
      <c r="C7" s="398"/>
      <c r="D7" s="398"/>
      <c r="E7" s="398"/>
      <c r="F7" s="398"/>
      <c r="G7" s="398"/>
      <c r="H7" s="398"/>
      <c r="I7" s="398"/>
      <c r="J7" s="398"/>
      <c r="K7" s="398"/>
    </row>
    <row r="8" spans="1:12" hidden="1" x14ac:dyDescent="0.25">
      <c r="A8" s="397" t="s">
        <v>1014</v>
      </c>
      <c r="B8" s="397"/>
      <c r="C8" s="397"/>
      <c r="D8" s="397"/>
      <c r="E8" s="397"/>
      <c r="F8" s="397"/>
      <c r="G8" s="397"/>
      <c r="H8" s="397"/>
      <c r="I8" s="397"/>
      <c r="J8" s="397"/>
      <c r="K8" s="243"/>
    </row>
    <row r="9" spans="1:12" ht="30" hidden="1" x14ac:dyDescent="0.25">
      <c r="A9" s="115" t="s">
        <v>1015</v>
      </c>
      <c r="B9" s="221" t="s">
        <v>1016</v>
      </c>
      <c r="C9" s="97"/>
      <c r="D9" s="113"/>
      <c r="E9" s="113"/>
      <c r="F9" s="113"/>
      <c r="G9" s="113"/>
      <c r="H9" s="113"/>
      <c r="I9" s="113"/>
      <c r="J9" s="113"/>
      <c r="K9" s="113"/>
    </row>
    <row r="10" spans="1:12" ht="30" hidden="1" x14ac:dyDescent="0.25">
      <c r="A10" s="79" t="s">
        <v>1019</v>
      </c>
      <c r="B10" s="171" t="s">
        <v>1018</v>
      </c>
      <c r="C10" s="97"/>
      <c r="D10" s="79" t="s">
        <v>8</v>
      </c>
      <c r="E10" s="78">
        <v>13.9</v>
      </c>
      <c r="F10" s="78">
        <v>14.8</v>
      </c>
      <c r="G10" s="78">
        <v>11.9</v>
      </c>
      <c r="H10" s="78">
        <v>8.6</v>
      </c>
      <c r="I10" s="78">
        <v>8.5</v>
      </c>
      <c r="J10" s="78"/>
      <c r="K10" s="78"/>
      <c r="L10" s="3" t="s">
        <v>46</v>
      </c>
    </row>
    <row r="11" spans="1:12" ht="30" hidden="1" x14ac:dyDescent="0.25">
      <c r="A11" s="6"/>
      <c r="B11" s="21" t="s">
        <v>1020</v>
      </c>
      <c r="C11" s="6" t="s">
        <v>1021</v>
      </c>
      <c r="D11" s="6" t="s">
        <v>1114</v>
      </c>
      <c r="E11" s="6"/>
      <c r="F11" s="6"/>
      <c r="G11" s="6"/>
      <c r="H11" s="6"/>
      <c r="I11" s="6"/>
      <c r="J11" s="6"/>
      <c r="K11" s="6"/>
    </row>
    <row r="12" spans="1:12" ht="30" hidden="1" x14ac:dyDescent="0.25">
      <c r="A12" s="6"/>
      <c r="B12" s="21" t="s">
        <v>1022</v>
      </c>
      <c r="C12" s="6" t="s">
        <v>1023</v>
      </c>
      <c r="D12" s="6" t="s">
        <v>1114</v>
      </c>
      <c r="E12" s="6"/>
      <c r="F12" s="6"/>
      <c r="G12" s="6"/>
      <c r="H12" s="6"/>
      <c r="I12" s="6"/>
      <c r="J12" s="6"/>
      <c r="K12" s="6"/>
    </row>
    <row r="13" spans="1:12" ht="30" hidden="1" x14ac:dyDescent="0.25">
      <c r="A13" s="115" t="s">
        <v>1149</v>
      </c>
      <c r="B13" s="221" t="s">
        <v>1024</v>
      </c>
      <c r="C13" s="79"/>
      <c r="D13" s="79"/>
      <c r="E13" s="114"/>
      <c r="F13" s="114"/>
      <c r="G13" s="114"/>
      <c r="H13" s="114"/>
      <c r="I13" s="114"/>
      <c r="J13" s="114"/>
      <c r="K13" s="114"/>
      <c r="L13" s="3" t="s">
        <v>94</v>
      </c>
    </row>
    <row r="14" spans="1:12" s="89" customFormat="1" ht="75" hidden="1" x14ac:dyDescent="0.25">
      <c r="A14" s="79" t="s">
        <v>1150</v>
      </c>
      <c r="B14" s="171" t="s">
        <v>2279</v>
      </c>
      <c r="C14" s="79"/>
      <c r="D14" s="79"/>
      <c r="E14" s="114"/>
      <c r="F14" s="114"/>
      <c r="G14" s="114"/>
      <c r="H14" s="114"/>
      <c r="I14" s="114"/>
      <c r="J14" s="114"/>
      <c r="K14" s="114"/>
      <c r="L14" s="88"/>
    </row>
    <row r="15" spans="1:12" s="89" customFormat="1" hidden="1" x14ac:dyDescent="0.25">
      <c r="A15" s="115"/>
      <c r="B15" s="171" t="s">
        <v>1182</v>
      </c>
      <c r="C15" s="79"/>
      <c r="D15" s="79"/>
      <c r="E15" s="114"/>
      <c r="F15" s="114"/>
      <c r="G15" s="114"/>
      <c r="H15" s="114"/>
      <c r="I15" s="45">
        <f t="shared" ref="I15:J16" si="0">I18/I21*100</f>
        <v>6.9897209985315705</v>
      </c>
      <c r="J15" s="45">
        <f t="shared" si="0"/>
        <v>7.6977401129943503</v>
      </c>
      <c r="K15" s="45"/>
      <c r="L15" s="88"/>
    </row>
    <row r="16" spans="1:12" s="89" customFormat="1" hidden="1" x14ac:dyDescent="0.25">
      <c r="A16" s="115"/>
      <c r="B16" s="171" t="s">
        <v>1184</v>
      </c>
      <c r="C16" s="79"/>
      <c r="D16" s="79"/>
      <c r="E16" s="114"/>
      <c r="F16" s="114"/>
      <c r="G16" s="114"/>
      <c r="H16" s="114"/>
      <c r="I16" s="45">
        <f t="shared" si="0"/>
        <v>0</v>
      </c>
      <c r="J16" s="45" t="e">
        <f t="shared" si="0"/>
        <v>#DIV/0!</v>
      </c>
      <c r="K16" s="45"/>
      <c r="L16" s="88"/>
    </row>
    <row r="17" spans="1:12" s="89" customFormat="1" ht="30" hidden="1" x14ac:dyDescent="0.25">
      <c r="A17" s="205"/>
      <c r="B17" s="80" t="s">
        <v>2280</v>
      </c>
      <c r="C17" s="77"/>
      <c r="D17" s="77"/>
      <c r="E17" s="125"/>
      <c r="F17" s="125"/>
      <c r="G17" s="125"/>
      <c r="H17" s="125"/>
      <c r="I17" s="125"/>
      <c r="J17" s="125"/>
      <c r="K17" s="125"/>
      <c r="L17" s="88"/>
    </row>
    <row r="18" spans="1:12" s="89" customFormat="1" hidden="1" x14ac:dyDescent="0.25">
      <c r="A18" s="205"/>
      <c r="B18" s="80" t="s">
        <v>1182</v>
      </c>
      <c r="C18" s="77"/>
      <c r="D18" s="77"/>
      <c r="E18" s="125"/>
      <c r="F18" s="125"/>
      <c r="G18" s="125"/>
      <c r="H18" s="125"/>
      <c r="I18" s="125">
        <f>342+10+191+171</f>
        <v>714</v>
      </c>
      <c r="J18" s="125">
        <f>176+206+381</f>
        <v>763</v>
      </c>
      <c r="K18" s="125"/>
      <c r="L18" s="88"/>
    </row>
    <row r="19" spans="1:12" s="89" customFormat="1" hidden="1" x14ac:dyDescent="0.25">
      <c r="A19" s="205"/>
      <c r="B19" s="80" t="s">
        <v>1184</v>
      </c>
      <c r="C19" s="77"/>
      <c r="D19" s="77"/>
      <c r="E19" s="125"/>
      <c r="F19" s="125"/>
      <c r="G19" s="125"/>
      <c r="H19" s="125"/>
      <c r="I19" s="125">
        <v>0</v>
      </c>
      <c r="J19" s="125">
        <v>0</v>
      </c>
      <c r="K19" s="125"/>
      <c r="L19" s="88"/>
    </row>
    <row r="20" spans="1:12" s="89" customFormat="1" hidden="1" x14ac:dyDescent="0.25">
      <c r="A20" s="205"/>
      <c r="B20" s="80" t="s">
        <v>2281</v>
      </c>
      <c r="C20" s="77"/>
      <c r="D20" s="77"/>
      <c r="E20" s="125"/>
      <c r="F20" s="125"/>
      <c r="G20" s="125"/>
      <c r="H20" s="125"/>
      <c r="I20" s="125"/>
      <c r="J20" s="125"/>
      <c r="K20" s="125"/>
      <c r="L20" s="88"/>
    </row>
    <row r="21" spans="1:12" s="89" customFormat="1" hidden="1" x14ac:dyDescent="0.25">
      <c r="A21" s="205"/>
      <c r="B21" s="80" t="s">
        <v>1182</v>
      </c>
      <c r="C21" s="77"/>
      <c r="D21" s="77"/>
      <c r="E21" s="125"/>
      <c r="F21" s="125"/>
      <c r="G21" s="125"/>
      <c r="H21" s="125"/>
      <c r="I21" s="12">
        <f>564+2932+1413+493+14+19+1664+87+387+1769+248+593+32</f>
        <v>10215</v>
      </c>
      <c r="J21" s="12">
        <f>594+4790+57+1811+2102+558</f>
        <v>9912</v>
      </c>
      <c r="K21" s="12"/>
      <c r="L21" s="88"/>
    </row>
    <row r="22" spans="1:12" s="89" customFormat="1" hidden="1" x14ac:dyDescent="0.25">
      <c r="A22" s="205"/>
      <c r="B22" s="80" t="s">
        <v>1184</v>
      </c>
      <c r="C22" s="77"/>
      <c r="D22" s="77"/>
      <c r="E22" s="125"/>
      <c r="F22" s="125"/>
      <c r="G22" s="125"/>
      <c r="H22" s="125"/>
      <c r="I22" s="12">
        <v>219</v>
      </c>
      <c r="J22" s="12">
        <v>0</v>
      </c>
      <c r="K22" s="12"/>
      <c r="L22" s="88"/>
    </row>
    <row r="23" spans="1:12" ht="90" hidden="1" x14ac:dyDescent="0.25">
      <c r="A23" s="172" t="s">
        <v>1150</v>
      </c>
      <c r="B23" s="171" t="s">
        <v>1026</v>
      </c>
      <c r="C23" s="172"/>
      <c r="D23" s="172"/>
      <c r="E23" s="197"/>
      <c r="F23" s="197"/>
      <c r="G23" s="197"/>
      <c r="H23" s="197"/>
      <c r="I23" s="197"/>
      <c r="J23" s="197"/>
      <c r="K23" s="197"/>
    </row>
    <row r="24" spans="1:12" ht="30" hidden="1" x14ac:dyDescent="0.25">
      <c r="A24" s="172"/>
      <c r="B24" s="171" t="s">
        <v>1025</v>
      </c>
      <c r="C24" s="172"/>
      <c r="D24" s="172" t="s">
        <v>8</v>
      </c>
      <c r="E24" s="197" t="e">
        <f t="shared" ref="E24:F26" si="1">E28/E32*100</f>
        <v>#DIV/0!</v>
      </c>
      <c r="F24" s="197" t="e">
        <f t="shared" si="1"/>
        <v>#DIV/0!</v>
      </c>
      <c r="G24" s="197" t="e">
        <f t="shared" ref="G24:K26" si="2">G28/G32*100</f>
        <v>#DIV/0!</v>
      </c>
      <c r="H24" s="197" t="e">
        <f t="shared" si="2"/>
        <v>#DIV/0!</v>
      </c>
      <c r="I24" s="197" t="e">
        <f t="shared" si="2"/>
        <v>#DIV/0!</v>
      </c>
      <c r="J24" s="197" t="e">
        <f t="shared" si="2"/>
        <v>#DIV/0!</v>
      </c>
      <c r="K24" s="197" t="e">
        <f t="shared" si="2"/>
        <v>#DIV/0!</v>
      </c>
    </row>
    <row r="25" spans="1:12" hidden="1" x14ac:dyDescent="0.25">
      <c r="A25" s="172"/>
      <c r="B25" s="171" t="s">
        <v>1027</v>
      </c>
      <c r="C25" s="172"/>
      <c r="D25" s="172" t="s">
        <v>8</v>
      </c>
      <c r="E25" s="197" t="e">
        <f t="shared" si="1"/>
        <v>#DIV/0!</v>
      </c>
      <c r="F25" s="197" t="e">
        <f t="shared" si="1"/>
        <v>#DIV/0!</v>
      </c>
      <c r="G25" s="197" t="e">
        <f t="shared" si="2"/>
        <v>#DIV/0!</v>
      </c>
      <c r="H25" s="197" t="e">
        <f t="shared" si="2"/>
        <v>#DIV/0!</v>
      </c>
      <c r="I25" s="197" t="e">
        <f t="shared" si="2"/>
        <v>#DIV/0!</v>
      </c>
      <c r="J25" s="197" t="e">
        <f t="shared" si="2"/>
        <v>#DIV/0!</v>
      </c>
      <c r="K25" s="197" t="e">
        <f t="shared" si="2"/>
        <v>#DIV/0!</v>
      </c>
    </row>
    <row r="26" spans="1:12" hidden="1" x14ac:dyDescent="0.25">
      <c r="A26" s="172"/>
      <c r="B26" s="171" t="s">
        <v>1028</v>
      </c>
      <c r="C26" s="172"/>
      <c r="D26" s="172" t="s">
        <v>8</v>
      </c>
      <c r="E26" s="197" t="e">
        <f t="shared" si="1"/>
        <v>#DIV/0!</v>
      </c>
      <c r="F26" s="197" t="e">
        <f t="shared" si="1"/>
        <v>#DIV/0!</v>
      </c>
      <c r="G26" s="197" t="e">
        <f t="shared" si="2"/>
        <v>#DIV/0!</v>
      </c>
      <c r="H26" s="197" t="e">
        <f t="shared" si="2"/>
        <v>#DIV/0!</v>
      </c>
      <c r="I26" s="197" t="e">
        <f t="shared" si="2"/>
        <v>#DIV/0!</v>
      </c>
      <c r="J26" s="197" t="e">
        <f t="shared" si="2"/>
        <v>#DIV/0!</v>
      </c>
      <c r="K26" s="197" t="e">
        <f t="shared" si="2"/>
        <v>#DIV/0!</v>
      </c>
    </row>
    <row r="27" spans="1:12" ht="105" hidden="1" x14ac:dyDescent="0.25">
      <c r="A27" s="172"/>
      <c r="B27" s="171" t="s">
        <v>1032</v>
      </c>
      <c r="C27" s="172" t="s">
        <v>872</v>
      </c>
      <c r="D27" s="172"/>
      <c r="E27" s="197"/>
      <c r="F27" s="197"/>
      <c r="G27" s="197"/>
      <c r="H27" s="197"/>
      <c r="I27" s="197"/>
      <c r="J27" s="197"/>
      <c r="K27" s="197"/>
    </row>
    <row r="28" spans="1:12" ht="45" hidden="1" x14ac:dyDescent="0.25">
      <c r="A28" s="172"/>
      <c r="B28" s="171" t="s">
        <v>1029</v>
      </c>
      <c r="C28" s="172"/>
      <c r="D28" s="172" t="s">
        <v>950</v>
      </c>
      <c r="E28" s="172"/>
      <c r="F28" s="172"/>
      <c r="G28" s="172"/>
      <c r="H28" s="172"/>
      <c r="I28" s="172"/>
      <c r="J28" s="172"/>
      <c r="K28" s="172"/>
    </row>
    <row r="29" spans="1:12" ht="30" hidden="1" x14ac:dyDescent="0.25">
      <c r="A29" s="172"/>
      <c r="B29" s="171" t="s">
        <v>1030</v>
      </c>
      <c r="C29" s="172"/>
      <c r="D29" s="172" t="s">
        <v>950</v>
      </c>
      <c r="E29" s="172"/>
      <c r="F29" s="172"/>
      <c r="G29" s="172"/>
      <c r="H29" s="172"/>
      <c r="I29" s="172"/>
      <c r="J29" s="172"/>
      <c r="K29" s="172"/>
    </row>
    <row r="30" spans="1:12" hidden="1" x14ac:dyDescent="0.25">
      <c r="A30" s="172"/>
      <c r="B30" s="171" t="s">
        <v>1031</v>
      </c>
      <c r="C30" s="172"/>
      <c r="D30" s="172" t="s">
        <v>950</v>
      </c>
      <c r="E30" s="172"/>
      <c r="F30" s="172"/>
      <c r="G30" s="172"/>
      <c r="H30" s="172"/>
      <c r="I30" s="172"/>
      <c r="J30" s="172"/>
      <c r="K30" s="172"/>
    </row>
    <row r="31" spans="1:12" ht="105" hidden="1" x14ac:dyDescent="0.25">
      <c r="A31" s="172"/>
      <c r="B31" s="171" t="s">
        <v>1033</v>
      </c>
      <c r="C31" s="172" t="s">
        <v>872</v>
      </c>
      <c r="D31" s="172"/>
      <c r="E31" s="172"/>
      <c r="F31" s="172"/>
      <c r="G31" s="172"/>
      <c r="H31" s="172"/>
      <c r="I31" s="172"/>
      <c r="J31" s="172"/>
      <c r="K31" s="172"/>
    </row>
    <row r="32" spans="1:12" ht="45" hidden="1" x14ac:dyDescent="0.25">
      <c r="A32" s="171"/>
      <c r="B32" s="171" t="s">
        <v>1029</v>
      </c>
      <c r="C32" s="172"/>
      <c r="D32" s="172" t="s">
        <v>950</v>
      </c>
      <c r="E32" s="172"/>
      <c r="F32" s="172"/>
      <c r="G32" s="172"/>
      <c r="H32" s="172"/>
      <c r="I32" s="172"/>
      <c r="J32" s="172"/>
      <c r="K32" s="172"/>
    </row>
    <row r="33" spans="1:11" ht="30" hidden="1" x14ac:dyDescent="0.25">
      <c r="A33" s="171"/>
      <c r="B33" s="171" t="s">
        <v>1030</v>
      </c>
      <c r="C33" s="172"/>
      <c r="D33" s="172" t="s">
        <v>950</v>
      </c>
      <c r="E33" s="172"/>
      <c r="F33" s="172"/>
      <c r="G33" s="172"/>
      <c r="H33" s="172"/>
      <c r="I33" s="172"/>
      <c r="J33" s="172"/>
      <c r="K33" s="172"/>
    </row>
    <row r="34" spans="1:11" hidden="1" x14ac:dyDescent="0.25">
      <c r="A34" s="171"/>
      <c r="B34" s="171" t="s">
        <v>1031</v>
      </c>
      <c r="C34" s="172"/>
      <c r="D34" s="172" t="s">
        <v>950</v>
      </c>
      <c r="E34" s="172"/>
      <c r="F34" s="172"/>
      <c r="G34" s="172"/>
      <c r="H34" s="172"/>
      <c r="I34" s="172"/>
      <c r="J34" s="172"/>
      <c r="K34" s="172"/>
    </row>
    <row r="35" spans="1:11" s="89" customFormat="1" ht="45" hidden="1" x14ac:dyDescent="0.25">
      <c r="A35" s="79" t="s">
        <v>2282</v>
      </c>
      <c r="B35" s="171" t="s">
        <v>2283</v>
      </c>
      <c r="C35" s="79"/>
      <c r="D35" s="79"/>
      <c r="E35" s="79"/>
      <c r="F35" s="79"/>
      <c r="G35" s="79"/>
      <c r="H35" s="79"/>
      <c r="I35" s="79"/>
      <c r="J35" s="79"/>
      <c r="K35" s="79"/>
    </row>
    <row r="36" spans="1:11" s="89" customFormat="1" hidden="1" x14ac:dyDescent="0.25">
      <c r="A36" s="97"/>
      <c r="B36" s="171" t="s">
        <v>1731</v>
      </c>
      <c r="C36" s="79"/>
      <c r="D36" s="79"/>
      <c r="E36" s="79"/>
      <c r="F36" s="79"/>
      <c r="G36" s="79"/>
      <c r="H36" s="79"/>
      <c r="I36" s="79"/>
      <c r="J36" s="79"/>
      <c r="K36" s="79"/>
    </row>
    <row r="37" spans="1:11" s="89" customFormat="1" hidden="1" x14ac:dyDescent="0.25">
      <c r="A37" s="97"/>
      <c r="B37" s="171" t="s">
        <v>1182</v>
      </c>
      <c r="C37" s="79"/>
      <c r="D37" s="79"/>
      <c r="E37" s="79"/>
      <c r="F37" s="79"/>
      <c r="G37" s="79"/>
      <c r="H37" s="79"/>
      <c r="I37" s="45">
        <f>I44/I47*100</f>
        <v>29.166666666666668</v>
      </c>
      <c r="J37" s="45" t="e">
        <f>J44/J47*100</f>
        <v>#DIV/0!</v>
      </c>
      <c r="K37" s="45" t="e">
        <f>K44/K47*100</f>
        <v>#DIV/0!</v>
      </c>
    </row>
    <row r="38" spans="1:11" s="89" customFormat="1" hidden="1" x14ac:dyDescent="0.25">
      <c r="A38" s="97"/>
      <c r="B38" s="171" t="s">
        <v>1184</v>
      </c>
      <c r="C38" s="79"/>
      <c r="D38" s="79"/>
      <c r="E38" s="79"/>
      <c r="F38" s="79"/>
      <c r="G38" s="79"/>
      <c r="H38" s="79"/>
      <c r="I38" s="45">
        <f>I45/I52*100</f>
        <v>0</v>
      </c>
      <c r="J38" s="45" t="e">
        <f>J45/J52*100</f>
        <v>#DIV/0!</v>
      </c>
      <c r="K38" s="45" t="e">
        <f>K45/K52*100</f>
        <v>#DIV/0!</v>
      </c>
    </row>
    <row r="39" spans="1:11" s="89" customFormat="1" hidden="1" x14ac:dyDescent="0.25">
      <c r="A39" s="97"/>
      <c r="B39" s="171" t="s">
        <v>1732</v>
      </c>
      <c r="C39" s="79"/>
      <c r="D39" s="79"/>
      <c r="E39" s="79"/>
      <c r="F39" s="79"/>
      <c r="G39" s="79"/>
      <c r="H39" s="79"/>
      <c r="I39" s="45"/>
      <c r="J39" s="45"/>
      <c r="K39" s="45"/>
    </row>
    <row r="40" spans="1:11" s="89" customFormat="1" hidden="1" x14ac:dyDescent="0.25">
      <c r="A40" s="97"/>
      <c r="B40" s="171" t="s">
        <v>1182</v>
      </c>
      <c r="C40" s="79"/>
      <c r="D40" s="79"/>
      <c r="E40" s="79"/>
      <c r="F40" s="79"/>
      <c r="G40" s="79"/>
      <c r="H40" s="79"/>
      <c r="I40" s="45">
        <f>I47/I51*100</f>
        <v>0.83609127329733501</v>
      </c>
      <c r="J40" s="45" t="e">
        <f>J47/J51*100</f>
        <v>#DIV/0!</v>
      </c>
      <c r="K40" s="45" t="e">
        <f>K47/K51*100</f>
        <v>#DIV/0!</v>
      </c>
    </row>
    <row r="41" spans="1:11" s="89" customFormat="1" hidden="1" x14ac:dyDescent="0.25">
      <c r="A41" s="97"/>
      <c r="B41" s="171" t="s">
        <v>1184</v>
      </c>
      <c r="C41" s="79"/>
      <c r="D41" s="79"/>
      <c r="E41" s="79"/>
      <c r="F41" s="79"/>
      <c r="G41" s="79"/>
      <c r="H41" s="79"/>
      <c r="I41" s="45">
        <f>I48/I55*100</f>
        <v>0</v>
      </c>
      <c r="J41" s="45" t="e">
        <f>J48/J55*100</f>
        <v>#DIV/0!</v>
      </c>
      <c r="K41" s="45" t="e">
        <f>K48/K55*100</f>
        <v>#DIV/0!</v>
      </c>
    </row>
    <row r="42" spans="1:11" s="89" customFormat="1" hidden="1" x14ac:dyDescent="0.25">
      <c r="A42" s="80"/>
      <c r="B42" s="80" t="s">
        <v>2284</v>
      </c>
      <c r="C42" s="77"/>
      <c r="D42" s="77"/>
      <c r="E42" s="77"/>
      <c r="F42" s="77"/>
      <c r="G42" s="77"/>
      <c r="H42" s="77"/>
      <c r="I42" s="77"/>
      <c r="J42" s="77"/>
      <c r="K42" s="77"/>
    </row>
    <row r="43" spans="1:11" s="89" customFormat="1" hidden="1" x14ac:dyDescent="0.25">
      <c r="A43" s="80"/>
      <c r="B43" s="80" t="s">
        <v>1731</v>
      </c>
      <c r="C43" s="77"/>
      <c r="D43" s="77"/>
      <c r="E43" s="77"/>
      <c r="F43" s="77"/>
      <c r="G43" s="77"/>
      <c r="H43" s="77"/>
      <c r="I43" s="77"/>
      <c r="J43" s="77"/>
      <c r="K43" s="77"/>
    </row>
    <row r="44" spans="1:11" s="89" customFormat="1" hidden="1" x14ac:dyDescent="0.25">
      <c r="A44" s="80"/>
      <c r="B44" s="80" t="s">
        <v>1182</v>
      </c>
      <c r="C44" s="77"/>
      <c r="D44" s="77"/>
      <c r="E44" s="77"/>
      <c r="F44" s="77"/>
      <c r="G44" s="77"/>
      <c r="H44" s="77"/>
      <c r="I44" s="77">
        <v>14</v>
      </c>
      <c r="J44" s="77"/>
      <c r="K44" s="77"/>
    </row>
    <row r="45" spans="1:11" s="89" customFormat="1" hidden="1" x14ac:dyDescent="0.25">
      <c r="A45" s="80"/>
      <c r="B45" s="80" t="s">
        <v>1184</v>
      </c>
      <c r="C45" s="77"/>
      <c r="D45" s="77"/>
      <c r="E45" s="77"/>
      <c r="F45" s="77"/>
      <c r="G45" s="77"/>
      <c r="H45" s="77"/>
      <c r="I45" s="77">
        <v>0</v>
      </c>
      <c r="J45" s="77"/>
      <c r="K45" s="77"/>
    </row>
    <row r="46" spans="1:11" s="89" customFormat="1" hidden="1" x14ac:dyDescent="0.25">
      <c r="A46" s="80"/>
      <c r="B46" s="80" t="s">
        <v>1732</v>
      </c>
      <c r="C46" s="77"/>
      <c r="D46" s="77"/>
      <c r="E46" s="77"/>
      <c r="F46" s="77"/>
      <c r="G46" s="77"/>
      <c r="H46" s="77"/>
      <c r="I46" s="77"/>
      <c r="J46" s="77"/>
      <c r="K46" s="77"/>
    </row>
    <row r="47" spans="1:11" s="89" customFormat="1" hidden="1" x14ac:dyDescent="0.25">
      <c r="A47" s="80"/>
      <c r="B47" s="80" t="s">
        <v>1182</v>
      </c>
      <c r="C47" s="77"/>
      <c r="D47" s="77"/>
      <c r="E47" s="77"/>
      <c r="F47" s="77"/>
      <c r="G47" s="77"/>
      <c r="H47" s="77"/>
      <c r="I47" s="77">
        <f>34+14</f>
        <v>48</v>
      </c>
      <c r="J47" s="77"/>
      <c r="K47" s="77"/>
    </row>
    <row r="48" spans="1:11" s="89" customFormat="1" hidden="1" x14ac:dyDescent="0.25">
      <c r="A48" s="80"/>
      <c r="B48" s="80" t="s">
        <v>1184</v>
      </c>
      <c r="C48" s="77"/>
      <c r="D48" s="77"/>
      <c r="E48" s="77"/>
      <c r="F48" s="77"/>
      <c r="G48" s="77"/>
      <c r="H48" s="77"/>
      <c r="I48" s="77">
        <v>0</v>
      </c>
      <c r="J48" s="77"/>
      <c r="K48" s="77"/>
    </row>
    <row r="49" spans="1:11" s="89" customFormat="1" ht="30" hidden="1" x14ac:dyDescent="0.25">
      <c r="A49" s="80"/>
      <c r="B49" s="80" t="s">
        <v>2285</v>
      </c>
      <c r="C49" s="77"/>
      <c r="D49" s="77"/>
      <c r="E49" s="77"/>
      <c r="F49" s="77"/>
      <c r="G49" s="77"/>
      <c r="H49" s="77"/>
      <c r="I49" s="77"/>
      <c r="J49" s="77"/>
      <c r="K49" s="77"/>
    </row>
    <row r="50" spans="1:11" s="89" customFormat="1" hidden="1" x14ac:dyDescent="0.25">
      <c r="A50" s="80"/>
      <c r="B50" s="80" t="s">
        <v>1731</v>
      </c>
      <c r="C50" s="77"/>
      <c r="D50" s="77"/>
      <c r="E50" s="77"/>
      <c r="F50" s="77"/>
      <c r="G50" s="77"/>
      <c r="H50" s="77"/>
      <c r="I50" s="77"/>
      <c r="J50" s="77"/>
      <c r="K50" s="77"/>
    </row>
    <row r="51" spans="1:11" s="89" customFormat="1" hidden="1" x14ac:dyDescent="0.25">
      <c r="A51" s="80"/>
      <c r="B51" s="80" t="s">
        <v>1182</v>
      </c>
      <c r="C51" s="77"/>
      <c r="D51" s="77"/>
      <c r="E51" s="77"/>
      <c r="F51" s="77"/>
      <c r="G51" s="77"/>
      <c r="H51" s="77"/>
      <c r="I51" s="77">
        <v>5741</v>
      </c>
      <c r="J51" s="77"/>
      <c r="K51" s="77"/>
    </row>
    <row r="52" spans="1:11" s="89" customFormat="1" hidden="1" x14ac:dyDescent="0.25">
      <c r="A52" s="80"/>
      <c r="B52" s="80" t="s">
        <v>1184</v>
      </c>
      <c r="C52" s="77"/>
      <c r="D52" s="77"/>
      <c r="E52" s="77"/>
      <c r="F52" s="77"/>
      <c r="G52" s="77"/>
      <c r="H52" s="77"/>
      <c r="I52" s="77">
        <v>15</v>
      </c>
      <c r="J52" s="77"/>
      <c r="K52" s="77"/>
    </row>
    <row r="53" spans="1:11" s="89" customFormat="1" hidden="1" x14ac:dyDescent="0.25">
      <c r="A53" s="80"/>
      <c r="B53" s="80" t="s">
        <v>1732</v>
      </c>
      <c r="C53" s="77"/>
      <c r="D53" s="77"/>
      <c r="E53" s="77"/>
      <c r="F53" s="77"/>
      <c r="G53" s="77"/>
      <c r="H53" s="77"/>
      <c r="I53" s="77"/>
      <c r="J53" s="77"/>
      <c r="K53" s="77"/>
    </row>
    <row r="54" spans="1:11" s="89" customFormat="1" hidden="1" x14ac:dyDescent="0.25">
      <c r="A54" s="80"/>
      <c r="B54" s="80" t="s">
        <v>1182</v>
      </c>
      <c r="C54" s="77"/>
      <c r="D54" s="77"/>
      <c r="E54" s="77"/>
      <c r="F54" s="77"/>
      <c r="G54" s="77"/>
      <c r="H54" s="77"/>
      <c r="I54" s="77">
        <v>21320</v>
      </c>
      <c r="J54" s="77"/>
      <c r="K54" s="77"/>
    </row>
    <row r="55" spans="1:11" s="89" customFormat="1" hidden="1" x14ac:dyDescent="0.25">
      <c r="A55" s="80"/>
      <c r="B55" s="80" t="s">
        <v>1184</v>
      </c>
      <c r="C55" s="77"/>
      <c r="D55" s="77"/>
      <c r="E55" s="77"/>
      <c r="F55" s="77"/>
      <c r="G55" s="77"/>
      <c r="H55" s="77"/>
      <c r="I55" s="77">
        <f>95+637+31</f>
        <v>763</v>
      </c>
      <c r="J55" s="77"/>
      <c r="K55" s="77"/>
    </row>
    <row r="56" spans="1:11" s="89" customFormat="1" ht="90" hidden="1" x14ac:dyDescent="0.25">
      <c r="A56" s="79" t="s">
        <v>2286</v>
      </c>
      <c r="B56" s="171" t="s">
        <v>2287</v>
      </c>
      <c r="C56" s="79"/>
      <c r="D56" s="79"/>
      <c r="E56" s="79"/>
      <c r="F56" s="79"/>
      <c r="G56" s="79"/>
      <c r="H56" s="79"/>
      <c r="I56" s="79"/>
      <c r="J56" s="79"/>
      <c r="K56" s="79"/>
    </row>
    <row r="57" spans="1:11" s="89" customFormat="1" hidden="1" x14ac:dyDescent="0.25">
      <c r="A57" s="97"/>
      <c r="B57" s="171" t="s">
        <v>1675</v>
      </c>
      <c r="C57" s="79"/>
      <c r="D57" s="79"/>
      <c r="E57" s="79"/>
      <c r="F57" s="79"/>
      <c r="G57" s="79"/>
      <c r="H57" s="79"/>
      <c r="I57" s="45">
        <f>I60/I62*100</f>
        <v>22.222222222222221</v>
      </c>
      <c r="J57" s="45" t="e">
        <f>J60/J62*100</f>
        <v>#DIV/0!</v>
      </c>
      <c r="K57" s="45" t="e">
        <f>K60/K62*100</f>
        <v>#DIV/0!</v>
      </c>
    </row>
    <row r="58" spans="1:11" s="89" customFormat="1" hidden="1" x14ac:dyDescent="0.25">
      <c r="A58" s="97"/>
      <c r="B58" s="171" t="s">
        <v>2289</v>
      </c>
      <c r="C58" s="79"/>
      <c r="D58" s="79"/>
      <c r="E58" s="79"/>
      <c r="F58" s="79"/>
      <c r="G58" s="79"/>
      <c r="H58" s="79"/>
      <c r="I58" s="45">
        <f>I61/I62*100</f>
        <v>13.888888888888889</v>
      </c>
      <c r="J58" s="45" t="e">
        <f>J61/J62*100</f>
        <v>#DIV/0!</v>
      </c>
      <c r="K58" s="45" t="e">
        <f>K61/K62*100</f>
        <v>#DIV/0!</v>
      </c>
    </row>
    <row r="59" spans="1:11" s="89" customFormat="1" ht="30" hidden="1" x14ac:dyDescent="0.25">
      <c r="A59" s="80"/>
      <c r="B59" s="80" t="s">
        <v>2290</v>
      </c>
      <c r="C59" s="77"/>
      <c r="D59" s="77"/>
      <c r="E59" s="77"/>
      <c r="F59" s="77"/>
      <c r="G59" s="77"/>
      <c r="H59" s="77"/>
      <c r="I59" s="77"/>
      <c r="J59" s="77"/>
      <c r="K59" s="77"/>
    </row>
    <row r="60" spans="1:11" s="89" customFormat="1" hidden="1" x14ac:dyDescent="0.25">
      <c r="A60" s="80"/>
      <c r="B60" s="80" t="s">
        <v>1675</v>
      </c>
      <c r="C60" s="77"/>
      <c r="D60" s="77"/>
      <c r="E60" s="77"/>
      <c r="F60" s="77"/>
      <c r="G60" s="77"/>
      <c r="H60" s="77"/>
      <c r="I60" s="77">
        <v>8</v>
      </c>
      <c r="J60" s="77"/>
      <c r="K60" s="77"/>
    </row>
    <row r="61" spans="1:11" s="89" customFormat="1" hidden="1" x14ac:dyDescent="0.25">
      <c r="A61" s="80"/>
      <c r="B61" s="80" t="s">
        <v>2289</v>
      </c>
      <c r="C61" s="77"/>
      <c r="D61" s="77"/>
      <c r="E61" s="77"/>
      <c r="F61" s="77"/>
      <c r="G61" s="77"/>
      <c r="H61" s="77"/>
      <c r="I61" s="77">
        <v>5</v>
      </c>
      <c r="J61" s="77"/>
      <c r="K61" s="77"/>
    </row>
    <row r="62" spans="1:11" s="89" customFormat="1" ht="30" hidden="1" x14ac:dyDescent="0.25">
      <c r="A62" s="80"/>
      <c r="B62" s="80" t="s">
        <v>2291</v>
      </c>
      <c r="C62" s="77"/>
      <c r="D62" s="77"/>
      <c r="E62" s="77"/>
      <c r="F62" s="77"/>
      <c r="G62" s="77"/>
      <c r="H62" s="77"/>
      <c r="I62" s="77">
        <v>36</v>
      </c>
      <c r="J62" s="77"/>
      <c r="K62" s="77"/>
    </row>
    <row r="63" spans="1:11" s="89" customFormat="1" ht="105" hidden="1" x14ac:dyDescent="0.25">
      <c r="A63" s="79" t="s">
        <v>2292</v>
      </c>
      <c r="B63" s="171" t="s">
        <v>2293</v>
      </c>
      <c r="C63" s="79"/>
      <c r="D63" s="79"/>
      <c r="E63" s="79"/>
      <c r="F63" s="79"/>
      <c r="G63" s="79"/>
      <c r="H63" s="79"/>
      <c r="I63" s="79"/>
      <c r="J63" s="79"/>
      <c r="K63" s="79"/>
    </row>
    <row r="64" spans="1:11" s="89" customFormat="1" hidden="1" x14ac:dyDescent="0.25">
      <c r="A64" s="97"/>
      <c r="B64" s="171" t="s">
        <v>2296</v>
      </c>
      <c r="C64" s="79"/>
      <c r="D64" s="79"/>
      <c r="E64" s="79"/>
      <c r="F64" s="79"/>
      <c r="G64" s="79"/>
      <c r="H64" s="79"/>
      <c r="I64" s="79"/>
      <c r="J64" s="79"/>
      <c r="K64" s="79"/>
    </row>
    <row r="65" spans="1:12" s="89" customFormat="1" hidden="1" x14ac:dyDescent="0.25">
      <c r="A65" s="97"/>
      <c r="B65" s="171" t="s">
        <v>2297</v>
      </c>
      <c r="C65" s="79"/>
      <c r="D65" s="79"/>
      <c r="E65" s="79"/>
      <c r="F65" s="79"/>
      <c r="G65" s="79"/>
      <c r="H65" s="79"/>
      <c r="I65" s="79"/>
      <c r="J65" s="79"/>
      <c r="K65" s="79"/>
    </row>
    <row r="66" spans="1:12" ht="15" customHeight="1" x14ac:dyDescent="0.25">
      <c r="A66" s="398" t="s">
        <v>2594</v>
      </c>
      <c r="B66" s="398"/>
      <c r="C66" s="398"/>
      <c r="D66" s="398"/>
      <c r="E66" s="398"/>
      <c r="F66" s="398"/>
      <c r="G66" s="398"/>
      <c r="H66" s="398"/>
      <c r="I66" s="398"/>
      <c r="J66" s="398"/>
      <c r="K66" s="398"/>
    </row>
    <row r="67" spans="1:12" ht="60" x14ac:dyDescent="0.25">
      <c r="A67" s="42" t="s">
        <v>865</v>
      </c>
      <c r="B67" s="43" t="s">
        <v>1037</v>
      </c>
      <c r="C67" s="42"/>
      <c r="D67" s="42"/>
      <c r="E67" s="50"/>
      <c r="F67" s="50"/>
      <c r="G67" s="50"/>
      <c r="H67" s="50"/>
      <c r="I67" s="50"/>
      <c r="J67" s="50"/>
      <c r="K67" s="50"/>
      <c r="L67" s="3" t="s">
        <v>281</v>
      </c>
    </row>
    <row r="68" spans="1:12" x14ac:dyDescent="0.25">
      <c r="A68" s="56"/>
      <c r="B68" s="43" t="s">
        <v>1034</v>
      </c>
      <c r="C68" s="42"/>
      <c r="D68" s="42"/>
      <c r="E68" s="45"/>
      <c r="F68" s="45"/>
      <c r="G68" s="45"/>
      <c r="H68" s="45"/>
      <c r="I68" s="45"/>
      <c r="J68" s="45"/>
      <c r="K68" s="45"/>
    </row>
    <row r="69" spans="1:12" x14ac:dyDescent="0.25">
      <c r="A69" s="56"/>
      <c r="B69" s="43" t="s">
        <v>1182</v>
      </c>
      <c r="C69" s="42"/>
      <c r="D69" s="42" t="s">
        <v>8</v>
      </c>
      <c r="E69" s="45">
        <v>0.81</v>
      </c>
      <c r="F69" s="45">
        <v>1.69</v>
      </c>
      <c r="G69" s="45">
        <v>1.69</v>
      </c>
      <c r="H69" s="45">
        <v>1.95</v>
      </c>
      <c r="I69" s="45">
        <f t="shared" ref="I69:K70" si="3">I75/I81*100</f>
        <v>1.8151969981238274</v>
      </c>
      <c r="J69" s="45">
        <f t="shared" si="3"/>
        <v>2.0532741398446173</v>
      </c>
      <c r="K69" s="45" t="e">
        <f>K75/K81*100</f>
        <v>#DIV/0!</v>
      </c>
    </row>
    <row r="70" spans="1:12" x14ac:dyDescent="0.25">
      <c r="A70" s="56"/>
      <c r="B70" s="43" t="s">
        <v>1184</v>
      </c>
      <c r="C70" s="42"/>
      <c r="D70" s="42" t="s">
        <v>8</v>
      </c>
      <c r="E70" s="45">
        <v>0</v>
      </c>
      <c r="F70" s="45">
        <v>0</v>
      </c>
      <c r="G70" s="45">
        <v>0</v>
      </c>
      <c r="H70" s="45">
        <v>1.45</v>
      </c>
      <c r="I70" s="45">
        <f t="shared" si="3"/>
        <v>2.8833551769331587</v>
      </c>
      <c r="J70" s="45">
        <f t="shared" si="3"/>
        <v>3.4612490594431904</v>
      </c>
      <c r="K70" s="45" t="e">
        <f t="shared" si="3"/>
        <v>#DIV/0!</v>
      </c>
    </row>
    <row r="71" spans="1:12" x14ac:dyDescent="0.25">
      <c r="A71" s="56"/>
      <c r="B71" s="43" t="s">
        <v>1035</v>
      </c>
      <c r="C71" s="42"/>
      <c r="D71" s="42"/>
      <c r="E71" s="45"/>
      <c r="F71" s="45"/>
      <c r="G71" s="45"/>
      <c r="H71" s="45"/>
      <c r="I71" s="45"/>
      <c r="J71" s="45"/>
      <c r="K71" s="45"/>
    </row>
    <row r="72" spans="1:12" x14ac:dyDescent="0.25">
      <c r="A72" s="56"/>
      <c r="B72" s="43" t="s">
        <v>1182</v>
      </c>
      <c r="C72" s="42"/>
      <c r="D72" s="42" t="s">
        <v>8</v>
      </c>
      <c r="E72" s="45">
        <v>0.81</v>
      </c>
      <c r="F72" s="45">
        <v>1.24</v>
      </c>
      <c r="G72" s="45">
        <v>1.24</v>
      </c>
      <c r="H72" s="45">
        <v>1.87</v>
      </c>
      <c r="I72" s="45">
        <f t="shared" ref="I72:K73" si="4">I78/I81*100</f>
        <v>1.6651031894934336</v>
      </c>
      <c r="J72" s="45">
        <f t="shared" si="4"/>
        <v>2.0394006659267481</v>
      </c>
      <c r="K72" s="45" t="e">
        <f t="shared" si="4"/>
        <v>#DIV/0!</v>
      </c>
    </row>
    <row r="73" spans="1:12" x14ac:dyDescent="0.25">
      <c r="A73" s="56"/>
      <c r="B73" s="43" t="s">
        <v>1184</v>
      </c>
      <c r="C73" s="42"/>
      <c r="D73" s="42" t="s">
        <v>8</v>
      </c>
      <c r="E73" s="45">
        <v>0</v>
      </c>
      <c r="F73" s="45">
        <v>0</v>
      </c>
      <c r="G73" s="45">
        <v>0</v>
      </c>
      <c r="H73" s="45">
        <v>1.45</v>
      </c>
      <c r="I73" s="45">
        <f t="shared" si="4"/>
        <v>2.8833551769331587</v>
      </c>
      <c r="J73" s="45">
        <f t="shared" si="4"/>
        <v>3.1602708803611739</v>
      </c>
      <c r="K73" s="45" t="e">
        <f t="shared" si="4"/>
        <v>#DIV/0!</v>
      </c>
    </row>
    <row r="74" spans="1:12" ht="45" x14ac:dyDescent="0.25">
      <c r="A74" s="31"/>
      <c r="B74" s="21" t="s">
        <v>180</v>
      </c>
      <c r="C74" s="6" t="s">
        <v>2635</v>
      </c>
      <c r="D74" s="6"/>
      <c r="E74" s="6"/>
      <c r="F74" s="6"/>
      <c r="G74" s="6"/>
      <c r="H74" s="6"/>
      <c r="I74" s="6"/>
      <c r="J74" s="6"/>
      <c r="K74" s="6"/>
    </row>
    <row r="75" spans="1:12" x14ac:dyDescent="0.25">
      <c r="A75" s="31"/>
      <c r="B75" s="21" t="s">
        <v>1182</v>
      </c>
      <c r="C75" s="6"/>
      <c r="D75" s="6" t="s">
        <v>950</v>
      </c>
      <c r="E75" s="6"/>
      <c r="F75" s="6"/>
      <c r="G75" s="6"/>
      <c r="H75" s="6"/>
      <c r="I75" s="6">
        <v>387</v>
      </c>
      <c r="J75" s="6">
        <v>444</v>
      </c>
      <c r="K75" s="6">
        <v>0</v>
      </c>
    </row>
    <row r="76" spans="1:12" x14ac:dyDescent="0.25">
      <c r="A76" s="31"/>
      <c r="B76" s="21" t="s">
        <v>1184</v>
      </c>
      <c r="C76" s="6"/>
      <c r="D76" s="6" t="s">
        <v>950</v>
      </c>
      <c r="E76" s="6"/>
      <c r="F76" s="6"/>
      <c r="G76" s="6"/>
      <c r="H76" s="6"/>
      <c r="I76" s="6">
        <v>22</v>
      </c>
      <c r="J76" s="6">
        <v>46</v>
      </c>
      <c r="K76" s="6">
        <v>0</v>
      </c>
    </row>
    <row r="77" spans="1:12" ht="45" x14ac:dyDescent="0.25">
      <c r="A77" s="31"/>
      <c r="B77" s="21" t="s">
        <v>1035</v>
      </c>
      <c r="C77" s="6" t="s">
        <v>2635</v>
      </c>
      <c r="D77" s="6"/>
      <c r="E77" s="6"/>
      <c r="F77" s="6"/>
      <c r="G77" s="6"/>
      <c r="H77" s="6"/>
      <c r="I77" s="6"/>
      <c r="J77" s="6"/>
      <c r="K77" s="6">
        <v>0</v>
      </c>
    </row>
    <row r="78" spans="1:12" x14ac:dyDescent="0.25">
      <c r="A78" s="31"/>
      <c r="B78" s="21" t="s">
        <v>1182</v>
      </c>
      <c r="C78" s="6"/>
      <c r="D78" s="6" t="s">
        <v>950</v>
      </c>
      <c r="E78" s="6"/>
      <c r="F78" s="6"/>
      <c r="G78" s="6"/>
      <c r="H78" s="6"/>
      <c r="I78" s="6">
        <v>355</v>
      </c>
      <c r="J78" s="6">
        <v>441</v>
      </c>
      <c r="K78" s="6">
        <v>0</v>
      </c>
    </row>
    <row r="79" spans="1:12" x14ac:dyDescent="0.25">
      <c r="A79" s="31"/>
      <c r="B79" s="21" t="s">
        <v>1184</v>
      </c>
      <c r="C79" s="6"/>
      <c r="D79" s="6" t="s">
        <v>950</v>
      </c>
      <c r="E79" s="6"/>
      <c r="F79" s="6"/>
      <c r="G79" s="6"/>
      <c r="H79" s="6"/>
      <c r="I79" s="6">
        <v>22</v>
      </c>
      <c r="J79" s="6">
        <v>42</v>
      </c>
      <c r="K79" s="6">
        <v>0</v>
      </c>
    </row>
    <row r="80" spans="1:12" ht="45" x14ac:dyDescent="0.25">
      <c r="A80" s="31"/>
      <c r="B80" s="21" t="s">
        <v>330</v>
      </c>
      <c r="C80" s="6" t="s">
        <v>2634</v>
      </c>
      <c r="D80" s="6"/>
      <c r="E80" s="6"/>
      <c r="F80" s="6"/>
      <c r="G80" s="6"/>
      <c r="H80" s="6"/>
      <c r="I80" s="6"/>
      <c r="J80" s="6"/>
      <c r="K80" s="6">
        <v>0</v>
      </c>
    </row>
    <row r="81" spans="1:12" x14ac:dyDescent="0.25">
      <c r="A81" s="31"/>
      <c r="B81" s="21" t="s">
        <v>1182</v>
      </c>
      <c r="C81" s="6"/>
      <c r="D81" s="6" t="s">
        <v>950</v>
      </c>
      <c r="E81" s="6"/>
      <c r="F81" s="6"/>
      <c r="G81" s="6"/>
      <c r="H81" s="6"/>
      <c r="I81" s="12">
        <v>21320</v>
      </c>
      <c r="J81" s="12">
        <v>21624</v>
      </c>
      <c r="K81" s="12">
        <v>0</v>
      </c>
    </row>
    <row r="82" spans="1:12" x14ac:dyDescent="0.25">
      <c r="A82" s="31"/>
      <c r="B82" s="21" t="s">
        <v>1184</v>
      </c>
      <c r="C82" s="6"/>
      <c r="D82" s="6" t="s">
        <v>950</v>
      </c>
      <c r="E82" s="6"/>
      <c r="F82" s="6"/>
      <c r="G82" s="6"/>
      <c r="H82" s="6"/>
      <c r="I82" s="12">
        <v>763</v>
      </c>
      <c r="J82" s="12">
        <f>924+41+310+54</f>
        <v>1329</v>
      </c>
      <c r="K82" s="12">
        <v>0</v>
      </c>
    </row>
    <row r="83" spans="1:12" ht="60" hidden="1" x14ac:dyDescent="0.25">
      <c r="A83" s="42" t="s">
        <v>1036</v>
      </c>
      <c r="B83" s="51" t="s">
        <v>1038</v>
      </c>
      <c r="C83" s="42"/>
      <c r="D83" s="44"/>
      <c r="E83" s="42"/>
      <c r="F83" s="42"/>
      <c r="G83" s="42"/>
      <c r="H83" s="42"/>
      <c r="I83" s="42"/>
      <c r="J83" s="42"/>
      <c r="K83" s="42"/>
      <c r="L83" s="3" t="s">
        <v>281</v>
      </c>
    </row>
    <row r="84" spans="1:12" hidden="1" x14ac:dyDescent="0.25">
      <c r="A84" s="56"/>
      <c r="B84" s="51" t="s">
        <v>1034</v>
      </c>
      <c r="C84" s="42"/>
      <c r="D84" s="42"/>
      <c r="E84" s="45"/>
      <c r="F84" s="45"/>
      <c r="G84" s="45"/>
      <c r="H84" s="45"/>
      <c r="I84" s="45"/>
      <c r="J84" s="45"/>
      <c r="K84" s="45"/>
    </row>
    <row r="85" spans="1:12" hidden="1" x14ac:dyDescent="0.25">
      <c r="A85" s="56"/>
      <c r="B85" s="51" t="s">
        <v>1182</v>
      </c>
      <c r="C85" s="42"/>
      <c r="D85" s="42" t="s">
        <v>8</v>
      </c>
      <c r="E85" s="45">
        <v>1.47</v>
      </c>
      <c r="F85" s="45">
        <v>1.34</v>
      </c>
      <c r="G85" s="45">
        <v>1.41</v>
      </c>
      <c r="H85" s="45">
        <v>1.34</v>
      </c>
      <c r="I85" s="45">
        <f t="shared" ref="I85:K86" si="5">I91/I97*100</f>
        <v>1.1649534997552617</v>
      </c>
      <c r="J85" s="45">
        <f t="shared" si="5"/>
        <v>0</v>
      </c>
      <c r="K85" s="45">
        <f t="shared" si="5"/>
        <v>0</v>
      </c>
    </row>
    <row r="86" spans="1:12" hidden="1" x14ac:dyDescent="0.25">
      <c r="A86" s="56"/>
      <c r="B86" s="51" t="s">
        <v>1184</v>
      </c>
      <c r="C86" s="42"/>
      <c r="D86" s="42" t="s">
        <v>8</v>
      </c>
      <c r="E86" s="45">
        <v>6.84</v>
      </c>
      <c r="F86" s="45">
        <v>1.84</v>
      </c>
      <c r="G86" s="45">
        <v>1.94</v>
      </c>
      <c r="H86" s="45">
        <v>1.5</v>
      </c>
      <c r="I86" s="45">
        <f t="shared" si="5"/>
        <v>1.214574898785425</v>
      </c>
      <c r="J86" s="45" t="e">
        <f t="shared" si="5"/>
        <v>#DIV/0!</v>
      </c>
      <c r="K86" s="45" t="e">
        <f t="shared" si="5"/>
        <v>#DIV/0!</v>
      </c>
    </row>
    <row r="87" spans="1:12" hidden="1" x14ac:dyDescent="0.25">
      <c r="A87" s="56"/>
      <c r="B87" s="51" t="s">
        <v>1035</v>
      </c>
      <c r="C87" s="42"/>
      <c r="D87" s="42"/>
      <c r="E87" s="45"/>
      <c r="F87" s="45"/>
      <c r="G87" s="45"/>
      <c r="H87" s="45"/>
      <c r="I87" s="45"/>
      <c r="J87" s="45"/>
      <c r="K87" s="45"/>
    </row>
    <row r="88" spans="1:12" hidden="1" x14ac:dyDescent="0.25">
      <c r="A88" s="56"/>
      <c r="B88" s="51" t="s">
        <v>1182</v>
      </c>
      <c r="C88" s="42"/>
      <c r="D88" s="42" t="s">
        <v>8</v>
      </c>
      <c r="E88" s="45">
        <v>1.47</v>
      </c>
      <c r="F88" s="45">
        <v>1.34</v>
      </c>
      <c r="G88" s="45">
        <v>1.41</v>
      </c>
      <c r="H88" s="45">
        <v>1.28</v>
      </c>
      <c r="I88" s="45">
        <f t="shared" ref="I88:K89" si="6">I94/I97*100</f>
        <v>1.8502202643171806</v>
      </c>
      <c r="J88" s="45">
        <f t="shared" si="6"/>
        <v>0</v>
      </c>
      <c r="K88" s="45">
        <f t="shared" si="6"/>
        <v>0</v>
      </c>
    </row>
    <row r="89" spans="1:12" hidden="1" x14ac:dyDescent="0.25">
      <c r="A89" s="56"/>
      <c r="B89" s="51" t="s">
        <v>1184</v>
      </c>
      <c r="C89" s="42"/>
      <c r="D89" s="42" t="s">
        <v>8</v>
      </c>
      <c r="E89" s="45">
        <v>0.78</v>
      </c>
      <c r="F89" s="45">
        <v>1.57</v>
      </c>
      <c r="G89" s="45">
        <v>1.83</v>
      </c>
      <c r="H89" s="45">
        <v>1.1200000000000001</v>
      </c>
      <c r="I89" s="45">
        <f t="shared" si="6"/>
        <v>1.8218623481781375</v>
      </c>
      <c r="J89" s="45" t="e">
        <f t="shared" si="6"/>
        <v>#DIV/0!</v>
      </c>
      <c r="K89" s="45" t="e">
        <f t="shared" si="6"/>
        <v>#DIV/0!</v>
      </c>
    </row>
    <row r="90" spans="1:12" ht="75" hidden="1" x14ac:dyDescent="0.25">
      <c r="A90" s="31"/>
      <c r="B90" s="21" t="s">
        <v>180</v>
      </c>
      <c r="C90" s="6" t="s">
        <v>1039</v>
      </c>
      <c r="D90" s="6"/>
      <c r="E90" s="6"/>
      <c r="F90" s="6"/>
      <c r="G90" s="6"/>
      <c r="H90" s="6"/>
      <c r="I90" s="6"/>
      <c r="J90" s="6"/>
      <c r="K90" s="6"/>
    </row>
    <row r="91" spans="1:12" hidden="1" x14ac:dyDescent="0.25">
      <c r="A91" s="31"/>
      <c r="B91" s="21" t="s">
        <v>1182</v>
      </c>
      <c r="C91" s="6"/>
      <c r="D91" s="6" t="s">
        <v>950</v>
      </c>
      <c r="E91" s="6"/>
      <c r="F91" s="6"/>
      <c r="G91" s="6"/>
      <c r="H91" s="6"/>
      <c r="I91" s="6">
        <v>119</v>
      </c>
      <c r="J91" s="6"/>
      <c r="K91" s="6"/>
    </row>
    <row r="92" spans="1:12" hidden="1" x14ac:dyDescent="0.25">
      <c r="A92" s="31"/>
      <c r="B92" s="21" t="s">
        <v>1184</v>
      </c>
      <c r="C92" s="6"/>
      <c r="D92" s="6" t="s">
        <v>950</v>
      </c>
      <c r="E92" s="6"/>
      <c r="F92" s="6"/>
      <c r="G92" s="6"/>
      <c r="H92" s="6"/>
      <c r="I92" s="6">
        <v>6</v>
      </c>
      <c r="J92" s="6"/>
      <c r="K92" s="6"/>
    </row>
    <row r="93" spans="1:12" ht="90" hidden="1" x14ac:dyDescent="0.25">
      <c r="A93" s="31"/>
      <c r="B93" s="21" t="s">
        <v>1035</v>
      </c>
      <c r="C93" s="6" t="s">
        <v>1040</v>
      </c>
      <c r="D93" s="6"/>
      <c r="E93" s="6"/>
      <c r="F93" s="6"/>
      <c r="G93" s="6"/>
      <c r="H93" s="6"/>
      <c r="I93" s="6"/>
      <c r="J93" s="6"/>
      <c r="K93" s="6"/>
    </row>
    <row r="94" spans="1:12" hidden="1" x14ac:dyDescent="0.25">
      <c r="A94" s="31"/>
      <c r="B94" s="21" t="s">
        <v>1182</v>
      </c>
      <c r="C94" s="6"/>
      <c r="D94" s="6" t="s">
        <v>950</v>
      </c>
      <c r="E94" s="6"/>
      <c r="F94" s="6"/>
      <c r="G94" s="6"/>
      <c r="H94" s="6"/>
      <c r="I94" s="6">
        <v>189</v>
      </c>
      <c r="J94" s="6"/>
      <c r="K94" s="6"/>
    </row>
    <row r="95" spans="1:12" hidden="1" x14ac:dyDescent="0.25">
      <c r="A95" s="31"/>
      <c r="B95" s="21" t="s">
        <v>1184</v>
      </c>
      <c r="C95" s="6"/>
      <c r="D95" s="6" t="s">
        <v>950</v>
      </c>
      <c r="E95" s="6"/>
      <c r="F95" s="6"/>
      <c r="G95" s="6"/>
      <c r="H95" s="6"/>
      <c r="I95" s="6">
        <v>9</v>
      </c>
      <c r="J95" s="6"/>
      <c r="K95" s="6"/>
    </row>
    <row r="96" spans="1:12" ht="45" hidden="1" x14ac:dyDescent="0.25">
      <c r="A96" s="31"/>
      <c r="B96" s="21" t="s">
        <v>1041</v>
      </c>
      <c r="C96" s="6" t="s">
        <v>1042</v>
      </c>
      <c r="D96" s="6"/>
      <c r="E96" s="6"/>
      <c r="F96" s="6"/>
      <c r="G96" s="6"/>
      <c r="H96" s="6"/>
      <c r="I96" s="6"/>
      <c r="J96" s="6"/>
      <c r="K96" s="6"/>
    </row>
    <row r="97" spans="1:12" hidden="1" x14ac:dyDescent="0.25">
      <c r="A97" s="31"/>
      <c r="B97" s="21" t="s">
        <v>1182</v>
      </c>
      <c r="C97" s="6"/>
      <c r="D97" s="6" t="s">
        <v>950</v>
      </c>
      <c r="E97" s="6"/>
      <c r="F97" s="6"/>
      <c r="G97" s="6"/>
      <c r="H97" s="6"/>
      <c r="I97" s="12">
        <f>564+2932+1413+493+14+19+1664+87+387+1769+248+593+32</f>
        <v>10215</v>
      </c>
      <c r="J97" s="12">
        <f>594+4790+57+1811+2102+558</f>
        <v>9912</v>
      </c>
      <c r="K97" s="12">
        <f>594+4790+57+1811+2102+558</f>
        <v>9912</v>
      </c>
    </row>
    <row r="98" spans="1:12" hidden="1" x14ac:dyDescent="0.25">
      <c r="A98" s="31"/>
      <c r="B98" s="21" t="s">
        <v>1184</v>
      </c>
      <c r="C98" s="6"/>
      <c r="D98" s="6" t="s">
        <v>950</v>
      </c>
      <c r="E98" s="6"/>
      <c r="F98" s="6"/>
      <c r="G98" s="6"/>
      <c r="H98" s="6"/>
      <c r="I98" s="12">
        <v>494</v>
      </c>
      <c r="J98" s="12">
        <v>0</v>
      </c>
      <c r="K98" s="12">
        <v>0</v>
      </c>
    </row>
    <row r="99" spans="1:12" ht="30" x14ac:dyDescent="0.25">
      <c r="A99" s="212" t="s">
        <v>886</v>
      </c>
      <c r="B99" s="211" t="s">
        <v>2712</v>
      </c>
      <c r="C99" s="212"/>
      <c r="D99" s="212"/>
      <c r="E99" s="212"/>
      <c r="F99" s="212"/>
      <c r="G99" s="212"/>
      <c r="H99" s="212"/>
      <c r="I99" s="214"/>
      <c r="J99" s="217" t="e">
        <f>J101/J100*100</f>
        <v>#DIV/0!</v>
      </c>
      <c r="K99" s="217" t="e">
        <f>K101/K100*100</f>
        <v>#DIV/0!</v>
      </c>
    </row>
    <row r="100" spans="1:12" ht="30" x14ac:dyDescent="0.25">
      <c r="A100" s="31"/>
      <c r="B100" s="21" t="s">
        <v>2713</v>
      </c>
      <c r="C100" s="6"/>
      <c r="D100" s="6" t="s">
        <v>950</v>
      </c>
      <c r="E100" s="6"/>
      <c r="F100" s="6"/>
      <c r="G100" s="6"/>
      <c r="H100" s="6"/>
      <c r="I100" s="12"/>
      <c r="J100" s="12">
        <v>0</v>
      </c>
      <c r="K100" s="12">
        <v>0</v>
      </c>
    </row>
    <row r="101" spans="1:12" ht="30" x14ac:dyDescent="0.25">
      <c r="A101" s="31"/>
      <c r="B101" s="21" t="s">
        <v>2714</v>
      </c>
      <c r="C101" s="6"/>
      <c r="D101" s="6" t="s">
        <v>950</v>
      </c>
      <c r="E101" s="6"/>
      <c r="F101" s="6"/>
      <c r="G101" s="6"/>
      <c r="H101" s="6"/>
      <c r="I101" s="12"/>
      <c r="J101" s="12">
        <v>2012</v>
      </c>
      <c r="K101" s="12">
        <v>0</v>
      </c>
    </row>
    <row r="102" spans="1:12" s="222" customFormat="1" hidden="1" x14ac:dyDescent="0.25">
      <c r="A102" s="397" t="s">
        <v>1043</v>
      </c>
      <c r="B102" s="397"/>
      <c r="C102" s="397"/>
      <c r="D102" s="397"/>
      <c r="E102" s="397"/>
      <c r="F102" s="397"/>
      <c r="G102" s="397"/>
      <c r="H102" s="397"/>
      <c r="I102" s="397"/>
      <c r="J102" s="397"/>
      <c r="K102" s="246"/>
    </row>
    <row r="103" spans="1:12" hidden="1" x14ac:dyDescent="0.25">
      <c r="A103" s="57" t="s">
        <v>1071</v>
      </c>
      <c r="B103" s="223" t="s">
        <v>1072</v>
      </c>
      <c r="C103" s="61"/>
      <c r="D103" s="59"/>
      <c r="E103" s="59"/>
      <c r="F103" s="59"/>
      <c r="G103" s="59"/>
      <c r="H103" s="59"/>
      <c r="I103" s="59"/>
      <c r="J103" s="59"/>
      <c r="K103" s="59"/>
    </row>
    <row r="104" spans="1:12" ht="30" hidden="1" x14ac:dyDescent="0.25">
      <c r="A104" s="60" t="s">
        <v>1044</v>
      </c>
      <c r="B104" s="171" t="s">
        <v>1045</v>
      </c>
      <c r="C104" s="59"/>
      <c r="D104" s="60"/>
      <c r="E104" s="74"/>
      <c r="F104" s="74"/>
      <c r="G104" s="74"/>
      <c r="H104" s="74"/>
      <c r="I104" s="74"/>
      <c r="J104" s="74"/>
      <c r="K104" s="74"/>
      <c r="L104" s="3" t="s">
        <v>94</v>
      </c>
    </row>
    <row r="105" spans="1:12" ht="45" hidden="1" x14ac:dyDescent="0.25">
      <c r="A105" s="37"/>
      <c r="B105" s="63" t="s">
        <v>1046</v>
      </c>
      <c r="C105" s="37" t="s">
        <v>1049</v>
      </c>
      <c r="D105" s="37" t="s">
        <v>8</v>
      </c>
      <c r="E105" s="41" t="e">
        <f t="shared" ref="E105:J105" si="7">E111/E117*100</f>
        <v>#DIV/0!</v>
      </c>
      <c r="F105" s="41" t="e">
        <f t="shared" si="7"/>
        <v>#DIV/0!</v>
      </c>
      <c r="G105" s="41" t="e">
        <f t="shared" si="7"/>
        <v>#DIV/0!</v>
      </c>
      <c r="H105" s="41" t="e">
        <f t="shared" si="7"/>
        <v>#DIV/0!</v>
      </c>
      <c r="I105" s="41" t="e">
        <f t="shared" si="7"/>
        <v>#DIV/0!</v>
      </c>
      <c r="J105" s="41" t="e">
        <f t="shared" si="7"/>
        <v>#DIV/0!</v>
      </c>
      <c r="K105" s="41" t="e">
        <f>K111/K117*100</f>
        <v>#DIV/0!</v>
      </c>
      <c r="L105" s="3"/>
    </row>
    <row r="106" spans="1:12" ht="45" hidden="1" x14ac:dyDescent="0.25">
      <c r="A106" s="37"/>
      <c r="B106" s="63" t="s">
        <v>1047</v>
      </c>
      <c r="C106" s="37" t="s">
        <v>1049</v>
      </c>
      <c r="D106" s="37" t="s">
        <v>8</v>
      </c>
      <c r="E106" s="41" t="e">
        <f t="shared" ref="E106:F109" si="8">E112/E118*100</f>
        <v>#DIV/0!</v>
      </c>
      <c r="F106" s="41" t="e">
        <f t="shared" si="8"/>
        <v>#DIV/0!</v>
      </c>
      <c r="G106" s="41" t="e">
        <f t="shared" ref="G106:J109" si="9">G112/G118*100</f>
        <v>#DIV/0!</v>
      </c>
      <c r="H106" s="41" t="e">
        <f t="shared" si="9"/>
        <v>#DIV/0!</v>
      </c>
      <c r="I106" s="41" t="e">
        <f t="shared" si="9"/>
        <v>#DIV/0!</v>
      </c>
      <c r="J106" s="41" t="e">
        <f t="shared" si="9"/>
        <v>#DIV/0!</v>
      </c>
      <c r="K106" s="41" t="e">
        <f>K112/K118*100</f>
        <v>#DIV/0!</v>
      </c>
      <c r="L106" s="3"/>
    </row>
    <row r="107" spans="1:12" ht="45" hidden="1" x14ac:dyDescent="0.25">
      <c r="A107" s="37"/>
      <c r="B107" s="63" t="s">
        <v>1050</v>
      </c>
      <c r="C107" s="37" t="s">
        <v>1049</v>
      </c>
      <c r="D107" s="37" t="s">
        <v>8</v>
      </c>
      <c r="E107" s="41" t="e">
        <f t="shared" si="8"/>
        <v>#DIV/0!</v>
      </c>
      <c r="F107" s="41" t="e">
        <f t="shared" si="8"/>
        <v>#DIV/0!</v>
      </c>
      <c r="G107" s="41" t="e">
        <f t="shared" si="9"/>
        <v>#DIV/0!</v>
      </c>
      <c r="H107" s="41" t="e">
        <f t="shared" si="9"/>
        <v>#DIV/0!</v>
      </c>
      <c r="I107" s="41" t="e">
        <f t="shared" si="9"/>
        <v>#DIV/0!</v>
      </c>
      <c r="J107" s="41" t="e">
        <f t="shared" si="9"/>
        <v>#DIV/0!</v>
      </c>
      <c r="K107" s="41" t="e">
        <f>K113/K119*100</f>
        <v>#DIV/0!</v>
      </c>
      <c r="L107" s="3"/>
    </row>
    <row r="108" spans="1:12" ht="45" hidden="1" x14ac:dyDescent="0.25">
      <c r="A108" s="37"/>
      <c r="B108" s="63" t="s">
        <v>1051</v>
      </c>
      <c r="C108" s="37" t="s">
        <v>1049</v>
      </c>
      <c r="D108" s="37" t="s">
        <v>8</v>
      </c>
      <c r="E108" s="41" t="e">
        <f t="shared" si="8"/>
        <v>#DIV/0!</v>
      </c>
      <c r="F108" s="41" t="e">
        <f t="shared" si="8"/>
        <v>#DIV/0!</v>
      </c>
      <c r="G108" s="41" t="e">
        <f t="shared" si="9"/>
        <v>#DIV/0!</v>
      </c>
      <c r="H108" s="41" t="e">
        <f t="shared" si="9"/>
        <v>#DIV/0!</v>
      </c>
      <c r="I108" s="41" t="e">
        <f t="shared" si="9"/>
        <v>#DIV/0!</v>
      </c>
      <c r="J108" s="41" t="e">
        <f t="shared" si="9"/>
        <v>#DIV/0!</v>
      </c>
      <c r="K108" s="41" t="e">
        <f>K114/K120*100</f>
        <v>#DIV/0!</v>
      </c>
      <c r="L108" s="3"/>
    </row>
    <row r="109" spans="1:12" ht="45" hidden="1" x14ac:dyDescent="0.25">
      <c r="A109" s="37"/>
      <c r="B109" s="63" t="s">
        <v>1052</v>
      </c>
      <c r="C109" s="37" t="s">
        <v>1049</v>
      </c>
      <c r="D109" s="37" t="s">
        <v>8</v>
      </c>
      <c r="E109" s="41" t="e">
        <f t="shared" si="8"/>
        <v>#DIV/0!</v>
      </c>
      <c r="F109" s="41" t="e">
        <f t="shared" si="8"/>
        <v>#DIV/0!</v>
      </c>
      <c r="G109" s="41" t="e">
        <f t="shared" si="9"/>
        <v>#DIV/0!</v>
      </c>
      <c r="H109" s="41" t="e">
        <f t="shared" si="9"/>
        <v>#DIV/0!</v>
      </c>
      <c r="I109" s="41" t="e">
        <f t="shared" si="9"/>
        <v>#DIV/0!</v>
      </c>
      <c r="J109" s="41" t="e">
        <f t="shared" si="9"/>
        <v>#DIV/0!</v>
      </c>
      <c r="K109" s="41" t="e">
        <f>K115/K121*100</f>
        <v>#DIV/0!</v>
      </c>
      <c r="L109" s="3"/>
    </row>
    <row r="110" spans="1:12" ht="105" hidden="1" x14ac:dyDescent="0.25">
      <c r="A110" s="37"/>
      <c r="B110" s="63" t="s">
        <v>1048</v>
      </c>
      <c r="C110" s="37" t="s">
        <v>1049</v>
      </c>
      <c r="D110" s="37"/>
      <c r="E110" s="41"/>
      <c r="F110" s="41"/>
      <c r="G110" s="41"/>
      <c r="H110" s="41"/>
      <c r="I110" s="41"/>
      <c r="J110" s="41"/>
      <c r="K110" s="41"/>
      <c r="L110" s="3"/>
    </row>
    <row r="111" spans="1:12" hidden="1" x14ac:dyDescent="0.25">
      <c r="A111" s="37"/>
      <c r="B111" s="63" t="s">
        <v>1046</v>
      </c>
      <c r="C111" s="37"/>
      <c r="D111" s="37" t="s">
        <v>950</v>
      </c>
      <c r="E111" s="38"/>
      <c r="F111" s="38"/>
      <c r="G111" s="38"/>
      <c r="H111" s="38"/>
      <c r="I111" s="38"/>
      <c r="J111" s="38"/>
      <c r="K111" s="38"/>
      <c r="L111" s="3"/>
    </row>
    <row r="112" spans="1:12" hidden="1" x14ac:dyDescent="0.25">
      <c r="A112" s="37"/>
      <c r="B112" s="63" t="s">
        <v>1047</v>
      </c>
      <c r="C112" s="37"/>
      <c r="D112" s="37" t="s">
        <v>950</v>
      </c>
      <c r="E112" s="38"/>
      <c r="F112" s="38"/>
      <c r="G112" s="38"/>
      <c r="H112" s="38"/>
      <c r="I112" s="38"/>
      <c r="J112" s="38"/>
      <c r="K112" s="38"/>
      <c r="L112" s="3"/>
    </row>
    <row r="113" spans="1:12" ht="30" hidden="1" x14ac:dyDescent="0.25">
      <c r="A113" s="37"/>
      <c r="B113" s="63" t="s">
        <v>1050</v>
      </c>
      <c r="C113" s="37"/>
      <c r="D113" s="37" t="s">
        <v>950</v>
      </c>
      <c r="E113" s="38"/>
      <c r="F113" s="38"/>
      <c r="G113" s="38"/>
      <c r="H113" s="38"/>
      <c r="I113" s="38"/>
      <c r="J113" s="38"/>
      <c r="K113" s="38"/>
      <c r="L113" s="3"/>
    </row>
    <row r="114" spans="1:12" ht="30" hidden="1" x14ac:dyDescent="0.25">
      <c r="A114" s="37"/>
      <c r="B114" s="63" t="s">
        <v>1051</v>
      </c>
      <c r="C114" s="37"/>
      <c r="D114" s="37" t="s">
        <v>950</v>
      </c>
      <c r="E114" s="38"/>
      <c r="F114" s="38"/>
      <c r="G114" s="38"/>
      <c r="H114" s="38"/>
      <c r="I114" s="38"/>
      <c r="J114" s="38"/>
      <c r="K114" s="38"/>
      <c r="L114" s="3"/>
    </row>
    <row r="115" spans="1:12" hidden="1" x14ac:dyDescent="0.25">
      <c r="A115" s="37"/>
      <c r="B115" s="63" t="s">
        <v>1052</v>
      </c>
      <c r="C115" s="37"/>
      <c r="D115" s="37" t="s">
        <v>950</v>
      </c>
      <c r="E115" s="38"/>
      <c r="F115" s="38"/>
      <c r="G115" s="38"/>
      <c r="H115" s="38"/>
      <c r="I115" s="38"/>
      <c r="J115" s="38"/>
      <c r="K115" s="38"/>
      <c r="L115" s="3"/>
    </row>
    <row r="116" spans="1:12" ht="105" hidden="1" x14ac:dyDescent="0.25">
      <c r="A116" s="37"/>
      <c r="B116" s="63" t="s">
        <v>1053</v>
      </c>
      <c r="C116" s="37" t="s">
        <v>1049</v>
      </c>
      <c r="D116" s="37"/>
      <c r="E116" s="38"/>
      <c r="F116" s="38"/>
      <c r="G116" s="38"/>
      <c r="H116" s="38"/>
      <c r="I116" s="38"/>
      <c r="J116" s="38"/>
      <c r="K116" s="38"/>
      <c r="L116" s="3"/>
    </row>
    <row r="117" spans="1:12" hidden="1" x14ac:dyDescent="0.25">
      <c r="A117" s="37"/>
      <c r="B117" s="63" t="s">
        <v>1046</v>
      </c>
      <c r="C117" s="37"/>
      <c r="D117" s="37" t="s">
        <v>950</v>
      </c>
      <c r="E117" s="38"/>
      <c r="F117" s="38"/>
      <c r="G117" s="38"/>
      <c r="H117" s="38"/>
      <c r="I117" s="38"/>
      <c r="J117" s="38"/>
      <c r="K117" s="38"/>
      <c r="L117" s="3"/>
    </row>
    <row r="118" spans="1:12" hidden="1" x14ac:dyDescent="0.25">
      <c r="A118" s="37"/>
      <c r="B118" s="63" t="s">
        <v>1047</v>
      </c>
      <c r="C118" s="37"/>
      <c r="D118" s="37" t="s">
        <v>950</v>
      </c>
      <c r="E118" s="38"/>
      <c r="F118" s="38"/>
      <c r="G118" s="38"/>
      <c r="H118" s="38"/>
      <c r="I118" s="38"/>
      <c r="J118" s="38"/>
      <c r="K118" s="38"/>
      <c r="L118" s="3"/>
    </row>
    <row r="119" spans="1:12" ht="30" hidden="1" x14ac:dyDescent="0.25">
      <c r="A119" s="37"/>
      <c r="B119" s="63" t="s">
        <v>1054</v>
      </c>
      <c r="C119" s="37"/>
      <c r="D119" s="37" t="s">
        <v>950</v>
      </c>
      <c r="E119" s="38"/>
      <c r="F119" s="38"/>
      <c r="G119" s="38"/>
      <c r="H119" s="38"/>
      <c r="I119" s="38"/>
      <c r="J119" s="38"/>
      <c r="K119" s="38"/>
      <c r="L119" s="3"/>
    </row>
    <row r="120" spans="1:12" ht="30" hidden="1" x14ac:dyDescent="0.25">
      <c r="A120" s="37"/>
      <c r="B120" s="63" t="s">
        <v>1051</v>
      </c>
      <c r="C120" s="37"/>
      <c r="D120" s="37" t="s">
        <v>950</v>
      </c>
      <c r="E120" s="38"/>
      <c r="F120" s="38"/>
      <c r="G120" s="38"/>
      <c r="H120" s="38"/>
      <c r="I120" s="38"/>
      <c r="J120" s="38"/>
      <c r="K120" s="38"/>
      <c r="L120" s="3"/>
    </row>
    <row r="121" spans="1:12" hidden="1" x14ac:dyDescent="0.25">
      <c r="A121" s="37"/>
      <c r="B121" s="63" t="s">
        <v>1052</v>
      </c>
      <c r="C121" s="37"/>
      <c r="D121" s="37" t="s">
        <v>950</v>
      </c>
      <c r="E121" s="38"/>
      <c r="F121" s="38"/>
      <c r="G121" s="38"/>
      <c r="H121" s="38"/>
      <c r="I121" s="38"/>
      <c r="J121" s="38"/>
      <c r="K121" s="38"/>
      <c r="L121" s="3"/>
    </row>
    <row r="122" spans="1:12" ht="30" hidden="1" x14ac:dyDescent="0.25">
      <c r="A122" s="60" t="s">
        <v>1055</v>
      </c>
      <c r="B122" s="171" t="s">
        <v>1056</v>
      </c>
      <c r="C122" s="60"/>
      <c r="D122" s="123" t="s">
        <v>1116</v>
      </c>
      <c r="E122" s="74"/>
      <c r="F122" s="74"/>
      <c r="G122" s="74"/>
      <c r="H122" s="74"/>
      <c r="I122" s="74"/>
      <c r="J122" s="74"/>
      <c r="K122" s="74"/>
      <c r="L122" s="3" t="s">
        <v>94</v>
      </c>
    </row>
    <row r="123" spans="1:12" ht="45" hidden="1" x14ac:dyDescent="0.25">
      <c r="A123" s="57" t="s">
        <v>1073</v>
      </c>
      <c r="B123" s="223" t="s">
        <v>1057</v>
      </c>
      <c r="C123" s="61"/>
      <c r="D123" s="59"/>
      <c r="E123" s="59"/>
      <c r="F123" s="59"/>
      <c r="G123" s="59"/>
      <c r="H123" s="59"/>
      <c r="I123" s="59"/>
      <c r="J123" s="59"/>
      <c r="K123" s="59"/>
    </row>
    <row r="124" spans="1:12" ht="105" hidden="1" x14ac:dyDescent="0.25">
      <c r="A124" s="60" t="s">
        <v>1068</v>
      </c>
      <c r="B124" s="171" t="s">
        <v>1058</v>
      </c>
      <c r="C124" s="60"/>
      <c r="D124" s="60"/>
      <c r="E124" s="74"/>
      <c r="F124" s="74"/>
      <c r="G124" s="74"/>
      <c r="H124" s="74"/>
      <c r="I124" s="74"/>
      <c r="J124" s="74"/>
      <c r="K124" s="74"/>
      <c r="L124" s="3" t="s">
        <v>94</v>
      </c>
    </row>
    <row r="125" spans="1:12" hidden="1" x14ac:dyDescent="0.25">
      <c r="A125" s="37"/>
      <c r="B125" s="75" t="s">
        <v>1061</v>
      </c>
      <c r="C125" s="37"/>
      <c r="D125" s="37" t="s">
        <v>8</v>
      </c>
      <c r="E125" s="38"/>
      <c r="F125" s="38"/>
      <c r="G125" s="38"/>
      <c r="H125" s="38"/>
      <c r="I125" s="38"/>
      <c r="J125" s="38"/>
      <c r="K125" s="38"/>
      <c r="L125" s="3"/>
    </row>
    <row r="126" spans="1:12" hidden="1" x14ac:dyDescent="0.25">
      <c r="A126" s="37"/>
      <c r="B126" s="75" t="s">
        <v>1062</v>
      </c>
      <c r="C126" s="37"/>
      <c r="D126" s="37"/>
      <c r="E126" s="38"/>
      <c r="F126" s="38"/>
      <c r="G126" s="38"/>
      <c r="H126" s="38"/>
      <c r="I126" s="38"/>
      <c r="J126" s="38"/>
      <c r="K126" s="38"/>
      <c r="L126" s="3"/>
    </row>
    <row r="127" spans="1:12" hidden="1" x14ac:dyDescent="0.25">
      <c r="A127" s="37"/>
      <c r="B127" s="63" t="s">
        <v>1063</v>
      </c>
      <c r="C127" s="37"/>
      <c r="D127" s="37" t="s">
        <v>8</v>
      </c>
      <c r="E127" s="38"/>
      <c r="F127" s="38"/>
      <c r="G127" s="38"/>
      <c r="H127" s="38"/>
      <c r="I127" s="38"/>
      <c r="J127" s="38"/>
      <c r="K127" s="38"/>
      <c r="L127" s="3"/>
    </row>
    <row r="128" spans="1:12" hidden="1" x14ac:dyDescent="0.25">
      <c r="A128" s="37"/>
      <c r="B128" s="63" t="s">
        <v>1064</v>
      </c>
      <c r="C128" s="37"/>
      <c r="D128" s="37" t="s">
        <v>8</v>
      </c>
      <c r="E128" s="38"/>
      <c r="F128" s="38"/>
      <c r="G128" s="38"/>
      <c r="H128" s="38"/>
      <c r="I128" s="38"/>
      <c r="J128" s="38"/>
      <c r="K128" s="38"/>
      <c r="L128" s="3"/>
    </row>
    <row r="129" spans="1:12" hidden="1" x14ac:dyDescent="0.25">
      <c r="A129" s="37"/>
      <c r="B129" s="63" t="s">
        <v>1059</v>
      </c>
      <c r="C129" s="37"/>
      <c r="D129" s="37" t="s">
        <v>8</v>
      </c>
      <c r="E129" s="38"/>
      <c r="F129" s="38"/>
      <c r="G129" s="38"/>
      <c r="H129" s="38"/>
      <c r="I129" s="38"/>
      <c r="J129" s="38"/>
      <c r="K129" s="38"/>
      <c r="L129" s="3"/>
    </row>
    <row r="130" spans="1:12" hidden="1" x14ac:dyDescent="0.25">
      <c r="A130" s="37"/>
      <c r="B130" s="63" t="s">
        <v>1060</v>
      </c>
      <c r="C130" s="37"/>
      <c r="D130" s="37" t="s">
        <v>8</v>
      </c>
      <c r="E130" s="38"/>
      <c r="F130" s="38"/>
      <c r="G130" s="38"/>
      <c r="H130" s="38"/>
      <c r="I130" s="38"/>
      <c r="J130" s="38"/>
      <c r="K130" s="38"/>
      <c r="L130" s="3"/>
    </row>
    <row r="131" spans="1:12" hidden="1" x14ac:dyDescent="0.25">
      <c r="A131" s="37"/>
      <c r="B131" s="75" t="s">
        <v>1065</v>
      </c>
      <c r="C131" s="37"/>
      <c r="D131" s="37"/>
      <c r="E131" s="38"/>
      <c r="F131" s="38"/>
      <c r="G131" s="38"/>
      <c r="H131" s="38"/>
      <c r="I131" s="38"/>
      <c r="J131" s="38"/>
      <c r="K131" s="38"/>
      <c r="L131" s="3"/>
    </row>
    <row r="132" spans="1:12" hidden="1" x14ac:dyDescent="0.25">
      <c r="A132" s="37"/>
      <c r="B132" s="63" t="s">
        <v>1066</v>
      </c>
      <c r="C132" s="37"/>
      <c r="D132" s="37" t="s">
        <v>8</v>
      </c>
      <c r="E132" s="38"/>
      <c r="F132" s="38"/>
      <c r="G132" s="38"/>
      <c r="H132" s="38"/>
      <c r="I132" s="38"/>
      <c r="J132" s="38"/>
      <c r="K132" s="38"/>
      <c r="L132" s="3"/>
    </row>
    <row r="133" spans="1:12" hidden="1" x14ac:dyDescent="0.25">
      <c r="A133" s="37"/>
      <c r="B133" s="63" t="s">
        <v>1067</v>
      </c>
      <c r="C133" s="37"/>
      <c r="D133" s="37" t="s">
        <v>8</v>
      </c>
      <c r="E133" s="38"/>
      <c r="F133" s="38"/>
      <c r="G133" s="38"/>
      <c r="H133" s="38"/>
      <c r="I133" s="38"/>
      <c r="J133" s="38"/>
      <c r="K133" s="38"/>
      <c r="L133" s="3"/>
    </row>
    <row r="134" spans="1:12" hidden="1" x14ac:dyDescent="0.25">
      <c r="A134" s="37"/>
      <c r="B134" s="63" t="s">
        <v>1151</v>
      </c>
      <c r="C134" s="37"/>
      <c r="D134" s="37" t="s">
        <v>8</v>
      </c>
      <c r="E134" s="38"/>
      <c r="F134" s="38"/>
      <c r="G134" s="38"/>
      <c r="H134" s="38"/>
      <c r="I134" s="38"/>
      <c r="J134" s="38"/>
      <c r="K134" s="38"/>
      <c r="L134" s="3"/>
    </row>
    <row r="135" spans="1:12" ht="30" hidden="1" x14ac:dyDescent="0.25">
      <c r="A135" s="115" t="s">
        <v>1074</v>
      </c>
      <c r="B135" s="223" t="s">
        <v>1075</v>
      </c>
      <c r="C135" s="97"/>
      <c r="D135" s="113"/>
      <c r="E135" s="113"/>
      <c r="F135" s="113"/>
      <c r="G135" s="113"/>
      <c r="H135" s="113"/>
      <c r="I135" s="113"/>
      <c r="J135" s="113"/>
      <c r="K135" s="113"/>
    </row>
    <row r="136" spans="1:12" ht="45" hidden="1" x14ac:dyDescent="0.25">
      <c r="A136" s="131" t="s">
        <v>1069</v>
      </c>
      <c r="B136" s="194" t="s">
        <v>2130</v>
      </c>
      <c r="C136" s="131"/>
      <c r="D136" s="131" t="s">
        <v>8</v>
      </c>
      <c r="E136" s="186"/>
      <c r="F136" s="186"/>
      <c r="G136" s="186"/>
      <c r="H136" s="186"/>
      <c r="I136" s="186"/>
      <c r="J136" s="186"/>
      <c r="K136" s="186"/>
      <c r="L136" s="3"/>
    </row>
    <row r="137" spans="1:12" ht="45" hidden="1" x14ac:dyDescent="0.25">
      <c r="A137" s="131"/>
      <c r="B137" s="194" t="s">
        <v>2123</v>
      </c>
      <c r="C137" s="131"/>
      <c r="D137" s="131" t="s">
        <v>8</v>
      </c>
      <c r="E137" s="185"/>
      <c r="F137" s="185"/>
      <c r="G137" s="185"/>
      <c r="H137" s="185"/>
      <c r="I137" s="187">
        <f>I143/I149*100</f>
        <v>100</v>
      </c>
      <c r="J137" s="187" t="e">
        <f>J143/J149*100</f>
        <v>#DIV/0!</v>
      </c>
      <c r="K137" s="187" t="e">
        <f>K143/K149*100</f>
        <v>#DIV/0!</v>
      </c>
      <c r="L137" s="3"/>
    </row>
    <row r="138" spans="1:12" ht="45" hidden="1" x14ac:dyDescent="0.25">
      <c r="A138" s="131"/>
      <c r="B138" s="194" t="s">
        <v>2124</v>
      </c>
      <c r="C138" s="131"/>
      <c r="D138" s="131" t="s">
        <v>8</v>
      </c>
      <c r="E138" s="185"/>
      <c r="F138" s="185"/>
      <c r="G138" s="185"/>
      <c r="H138" s="185"/>
      <c r="I138" s="187">
        <f t="shared" ref="I138:J141" si="10">I144/I150*100</f>
        <v>100</v>
      </c>
      <c r="J138" s="187" t="e">
        <f t="shared" si="10"/>
        <v>#DIV/0!</v>
      </c>
      <c r="K138" s="187" t="e">
        <f>K144/K150*100</f>
        <v>#DIV/0!</v>
      </c>
      <c r="L138" s="3"/>
    </row>
    <row r="139" spans="1:12" ht="45" hidden="1" x14ac:dyDescent="0.25">
      <c r="A139" s="131"/>
      <c r="B139" s="194" t="s">
        <v>2134</v>
      </c>
      <c r="C139" s="132"/>
      <c r="D139" s="131" t="s">
        <v>8</v>
      </c>
      <c r="E139" s="187"/>
      <c r="F139" s="187"/>
      <c r="G139" s="187"/>
      <c r="H139" s="187"/>
      <c r="I139" s="187">
        <f t="shared" si="10"/>
        <v>58.333333333333336</v>
      </c>
      <c r="J139" s="187" t="e">
        <f t="shared" si="10"/>
        <v>#DIV/0!</v>
      </c>
      <c r="K139" s="187" t="e">
        <f>K145/K151*100</f>
        <v>#DIV/0!</v>
      </c>
    </row>
    <row r="140" spans="1:12" hidden="1" x14ac:dyDescent="0.25">
      <c r="A140" s="131"/>
      <c r="B140" s="194" t="s">
        <v>2125</v>
      </c>
      <c r="C140" s="132"/>
      <c r="D140" s="131" t="s">
        <v>8</v>
      </c>
      <c r="E140" s="187"/>
      <c r="F140" s="187"/>
      <c r="G140" s="187"/>
      <c r="H140" s="187"/>
      <c r="I140" s="187">
        <f t="shared" si="10"/>
        <v>100</v>
      </c>
      <c r="J140" s="187" t="e">
        <f t="shared" si="10"/>
        <v>#DIV/0!</v>
      </c>
      <c r="K140" s="187" t="e">
        <f>K146/K152*100</f>
        <v>#DIV/0!</v>
      </c>
      <c r="L140" s="3"/>
    </row>
    <row r="141" spans="1:12" ht="30" hidden="1" x14ac:dyDescent="0.25">
      <c r="A141" s="131"/>
      <c r="B141" s="194" t="s">
        <v>2127</v>
      </c>
      <c r="C141" s="132"/>
      <c r="D141" s="131" t="s">
        <v>8</v>
      </c>
      <c r="E141" s="187"/>
      <c r="F141" s="187"/>
      <c r="G141" s="187"/>
      <c r="H141" s="187"/>
      <c r="I141" s="187">
        <f t="shared" si="10"/>
        <v>29.787234042553191</v>
      </c>
      <c r="J141" s="187" t="e">
        <f t="shared" si="10"/>
        <v>#DIV/0!</v>
      </c>
      <c r="K141" s="187" t="e">
        <f>K147/K153*100</f>
        <v>#DIV/0!</v>
      </c>
      <c r="L141" s="3"/>
    </row>
    <row r="142" spans="1:12" ht="30" hidden="1" x14ac:dyDescent="0.25">
      <c r="A142" s="6"/>
      <c r="B142" s="21" t="s">
        <v>2132</v>
      </c>
      <c r="C142" s="6"/>
      <c r="D142" s="6"/>
      <c r="E142" s="12"/>
      <c r="F142" s="12"/>
      <c r="G142" s="12"/>
      <c r="H142" s="12"/>
      <c r="I142" s="12"/>
      <c r="J142" s="12"/>
      <c r="K142" s="12"/>
      <c r="L142" s="3"/>
    </row>
    <row r="143" spans="1:12" ht="45" hidden="1" x14ac:dyDescent="0.25">
      <c r="A143" s="6"/>
      <c r="B143" s="31" t="s">
        <v>2123</v>
      </c>
      <c r="C143" s="6"/>
      <c r="D143" s="6" t="s">
        <v>1112</v>
      </c>
      <c r="E143" s="12"/>
      <c r="F143" s="12"/>
      <c r="G143" s="12"/>
      <c r="H143" s="12"/>
      <c r="I143" s="12">
        <v>322</v>
      </c>
      <c r="J143" s="12"/>
      <c r="K143" s="12"/>
      <c r="L143" s="3"/>
    </row>
    <row r="144" spans="1:12" ht="45" hidden="1" x14ac:dyDescent="0.25">
      <c r="A144" s="6"/>
      <c r="B144" s="31" t="s">
        <v>2124</v>
      </c>
      <c r="C144" s="6"/>
      <c r="D144" s="6" t="s">
        <v>1112</v>
      </c>
      <c r="E144" s="12"/>
      <c r="F144" s="12"/>
      <c r="G144" s="12"/>
      <c r="H144" s="12"/>
      <c r="I144" s="12">
        <v>24</v>
      </c>
      <c r="J144" s="12"/>
      <c r="K144" s="12"/>
      <c r="L144" s="3"/>
    </row>
    <row r="145" spans="1:12" ht="45" hidden="1" x14ac:dyDescent="0.25">
      <c r="A145" s="6"/>
      <c r="B145" s="31" t="s">
        <v>2134</v>
      </c>
      <c r="C145" s="6"/>
      <c r="D145" s="6" t="s">
        <v>1112</v>
      </c>
      <c r="E145" s="12"/>
      <c r="F145" s="12"/>
      <c r="G145" s="12"/>
      <c r="H145" s="12"/>
      <c r="I145" s="12">
        <v>21</v>
      </c>
      <c r="J145" s="12"/>
      <c r="K145" s="12"/>
      <c r="L145" s="3"/>
    </row>
    <row r="146" spans="1:12" hidden="1" x14ac:dyDescent="0.25">
      <c r="A146" s="6"/>
      <c r="B146" s="31" t="s">
        <v>2125</v>
      </c>
      <c r="C146" s="6"/>
      <c r="D146" s="6" t="s">
        <v>1112</v>
      </c>
      <c r="E146" s="12"/>
      <c r="F146" s="12"/>
      <c r="G146" s="12"/>
      <c r="H146" s="12"/>
      <c r="I146" s="12">
        <v>4</v>
      </c>
      <c r="J146" s="12"/>
      <c r="K146" s="12"/>
      <c r="L146" s="3"/>
    </row>
    <row r="147" spans="1:12" ht="30" hidden="1" x14ac:dyDescent="0.25">
      <c r="A147" s="6"/>
      <c r="B147" s="31" t="s">
        <v>2127</v>
      </c>
      <c r="C147" s="6"/>
      <c r="D147" s="6" t="s">
        <v>1112</v>
      </c>
      <c r="E147" s="12"/>
      <c r="F147" s="12"/>
      <c r="G147" s="12"/>
      <c r="H147" s="12"/>
      <c r="I147" s="12">
        <v>14</v>
      </c>
      <c r="J147" s="12"/>
      <c r="K147" s="12"/>
      <c r="L147" s="3"/>
    </row>
    <row r="148" spans="1:12" hidden="1" x14ac:dyDescent="0.25">
      <c r="A148" s="6"/>
      <c r="B148" s="21" t="s">
        <v>2133</v>
      </c>
      <c r="C148" s="6"/>
      <c r="D148" s="6"/>
      <c r="E148" s="12"/>
      <c r="F148" s="12"/>
      <c r="G148" s="12"/>
      <c r="H148" s="12"/>
      <c r="I148" s="12"/>
      <c r="J148" s="12"/>
      <c r="K148" s="12"/>
      <c r="L148" s="3"/>
    </row>
    <row r="149" spans="1:12" ht="45" hidden="1" x14ac:dyDescent="0.25">
      <c r="A149" s="6"/>
      <c r="B149" s="31" t="s">
        <v>2123</v>
      </c>
      <c r="C149" s="6"/>
      <c r="D149" s="6" t="s">
        <v>1112</v>
      </c>
      <c r="E149" s="12"/>
      <c r="F149" s="12"/>
      <c r="G149" s="12"/>
      <c r="H149" s="12"/>
      <c r="I149" s="12">
        <v>322</v>
      </c>
      <c r="J149" s="12"/>
      <c r="K149" s="12"/>
      <c r="L149" s="3"/>
    </row>
    <row r="150" spans="1:12" ht="45" hidden="1" x14ac:dyDescent="0.25">
      <c r="A150" s="6"/>
      <c r="B150" s="31" t="s">
        <v>2124</v>
      </c>
      <c r="C150" s="6"/>
      <c r="D150" s="6" t="s">
        <v>1112</v>
      </c>
      <c r="E150" s="12"/>
      <c r="F150" s="12"/>
      <c r="G150" s="12"/>
      <c r="H150" s="12"/>
      <c r="I150" s="12">
        <v>24</v>
      </c>
      <c r="J150" s="12"/>
      <c r="K150" s="12"/>
      <c r="L150" s="3"/>
    </row>
    <row r="151" spans="1:12" ht="45" hidden="1" x14ac:dyDescent="0.25">
      <c r="A151" s="6"/>
      <c r="B151" s="31" t="s">
        <v>2134</v>
      </c>
      <c r="C151" s="6"/>
      <c r="D151" s="6" t="s">
        <v>1112</v>
      </c>
      <c r="E151" s="12"/>
      <c r="F151" s="12"/>
      <c r="G151" s="12"/>
      <c r="H151" s="12"/>
      <c r="I151" s="12">
        <v>36</v>
      </c>
      <c r="J151" s="12"/>
      <c r="K151" s="12"/>
      <c r="L151" s="3"/>
    </row>
    <row r="152" spans="1:12" hidden="1" x14ac:dyDescent="0.25">
      <c r="A152" s="6"/>
      <c r="B152" s="31" t="s">
        <v>2125</v>
      </c>
      <c r="C152" s="6"/>
      <c r="D152" s="6" t="s">
        <v>1112</v>
      </c>
      <c r="E152" s="12"/>
      <c r="F152" s="12"/>
      <c r="G152" s="12"/>
      <c r="H152" s="12"/>
      <c r="I152" s="12">
        <v>4</v>
      </c>
      <c r="J152" s="12"/>
      <c r="K152" s="12"/>
      <c r="L152" s="3"/>
    </row>
    <row r="153" spans="1:12" ht="30" hidden="1" x14ac:dyDescent="0.25">
      <c r="A153" s="6"/>
      <c r="B153" s="31" t="s">
        <v>2127</v>
      </c>
      <c r="C153" s="6"/>
      <c r="D153" s="6" t="s">
        <v>1112</v>
      </c>
      <c r="E153" s="12"/>
      <c r="F153" s="12"/>
      <c r="G153" s="12"/>
      <c r="H153" s="12"/>
      <c r="I153" s="12">
        <v>47</v>
      </c>
      <c r="J153" s="12"/>
      <c r="K153" s="12"/>
      <c r="L153" s="3"/>
    </row>
    <row r="154" spans="1:12" s="188" customFormat="1" hidden="1" x14ac:dyDescent="0.25">
      <c r="A154" s="47" t="s">
        <v>1076</v>
      </c>
      <c r="B154" s="224" t="s">
        <v>1077</v>
      </c>
      <c r="C154" s="56"/>
      <c r="D154" s="132"/>
      <c r="E154" s="132"/>
      <c r="F154" s="132"/>
      <c r="G154" s="132"/>
      <c r="H154" s="132"/>
      <c r="I154" s="132"/>
      <c r="J154" s="132"/>
      <c r="K154" s="132"/>
    </row>
    <row r="155" spans="1:12" ht="30" hidden="1" x14ac:dyDescent="0.25">
      <c r="A155" s="131" t="s">
        <v>1070</v>
      </c>
      <c r="B155" s="194" t="s">
        <v>2129</v>
      </c>
      <c r="C155" s="60"/>
      <c r="D155" s="60"/>
      <c r="E155" s="74"/>
      <c r="F155" s="74"/>
      <c r="G155" s="74"/>
      <c r="H155" s="74"/>
      <c r="I155" s="74"/>
      <c r="J155" s="74"/>
      <c r="K155" s="74"/>
      <c r="L155" s="20"/>
    </row>
    <row r="156" spans="1:12" hidden="1" x14ac:dyDescent="0.25">
      <c r="A156" s="131"/>
      <c r="B156" s="194" t="s">
        <v>1638</v>
      </c>
      <c r="C156" s="60"/>
      <c r="D156" s="60"/>
      <c r="E156" s="74"/>
      <c r="F156" s="74"/>
      <c r="G156" s="74"/>
      <c r="H156" s="74"/>
      <c r="I156" s="187">
        <f>I164/I171*100</f>
        <v>100</v>
      </c>
      <c r="J156" s="187" t="e">
        <f>J164/J171*100</f>
        <v>#DIV/0!</v>
      </c>
      <c r="K156" s="187" t="e">
        <f>K164/K171*100</f>
        <v>#DIV/0!</v>
      </c>
      <c r="L156" s="20"/>
    </row>
    <row r="157" spans="1:12" ht="45" hidden="1" x14ac:dyDescent="0.25">
      <c r="A157" s="131"/>
      <c r="B157" s="194" t="s">
        <v>2123</v>
      </c>
      <c r="C157" s="60"/>
      <c r="D157" s="60"/>
      <c r="E157" s="74"/>
      <c r="F157" s="74"/>
      <c r="G157" s="74"/>
      <c r="H157" s="74"/>
      <c r="I157" s="187">
        <f t="shared" ref="I157:J161" si="11">I165/I172*100</f>
        <v>100</v>
      </c>
      <c r="J157" s="187" t="e">
        <f t="shared" si="11"/>
        <v>#DIV/0!</v>
      </c>
      <c r="K157" s="187" t="e">
        <f>K165/K172*100</f>
        <v>#DIV/0!</v>
      </c>
      <c r="L157" s="20"/>
    </row>
    <row r="158" spans="1:12" ht="45" hidden="1" x14ac:dyDescent="0.25">
      <c r="A158" s="131"/>
      <c r="B158" s="194" t="s">
        <v>2124</v>
      </c>
      <c r="C158" s="60"/>
      <c r="D158" s="60"/>
      <c r="E158" s="74"/>
      <c r="F158" s="74"/>
      <c r="G158" s="74"/>
      <c r="H158" s="74"/>
      <c r="I158" s="187">
        <f t="shared" si="11"/>
        <v>100</v>
      </c>
      <c r="J158" s="187" t="e">
        <f t="shared" si="11"/>
        <v>#DIV/0!</v>
      </c>
      <c r="K158" s="187" t="e">
        <f>K166/K173*100</f>
        <v>#DIV/0!</v>
      </c>
      <c r="L158" s="20"/>
    </row>
    <row r="159" spans="1:12" hidden="1" x14ac:dyDescent="0.25">
      <c r="A159" s="131"/>
      <c r="B159" s="194" t="s">
        <v>2125</v>
      </c>
      <c r="C159" s="60"/>
      <c r="D159" s="60"/>
      <c r="E159" s="74"/>
      <c r="F159" s="74"/>
      <c r="G159" s="74"/>
      <c r="H159" s="74"/>
      <c r="I159" s="187">
        <f t="shared" si="11"/>
        <v>100</v>
      </c>
      <c r="J159" s="187" t="e">
        <f t="shared" si="11"/>
        <v>#DIV/0!</v>
      </c>
      <c r="K159" s="187" t="e">
        <f>K167/K174*100</f>
        <v>#DIV/0!</v>
      </c>
      <c r="L159" s="20"/>
    </row>
    <row r="160" spans="1:12" hidden="1" x14ac:dyDescent="0.25">
      <c r="A160" s="131"/>
      <c r="B160" s="194" t="s">
        <v>2126</v>
      </c>
      <c r="C160" s="60"/>
      <c r="D160" s="60"/>
      <c r="E160" s="74"/>
      <c r="F160" s="74"/>
      <c r="G160" s="74"/>
      <c r="H160" s="74"/>
      <c r="I160" s="187">
        <f t="shared" si="11"/>
        <v>77.631578947368425</v>
      </c>
      <c r="J160" s="187" t="e">
        <f t="shared" si="11"/>
        <v>#DIV/0!</v>
      </c>
      <c r="K160" s="187" t="e">
        <f>K168/K175*100</f>
        <v>#DIV/0!</v>
      </c>
      <c r="L160" s="20"/>
    </row>
    <row r="161" spans="1:12" ht="30" hidden="1" x14ac:dyDescent="0.25">
      <c r="A161" s="131"/>
      <c r="B161" s="194" t="s">
        <v>2127</v>
      </c>
      <c r="C161" s="60"/>
      <c r="D161" s="60"/>
      <c r="E161" s="74"/>
      <c r="F161" s="74"/>
      <c r="G161" s="74"/>
      <c r="H161" s="74"/>
      <c r="I161" s="187">
        <f t="shared" si="11"/>
        <v>51.063829787234042</v>
      </c>
      <c r="J161" s="187" t="e">
        <f t="shared" si="11"/>
        <v>#DIV/0!</v>
      </c>
      <c r="K161" s="187" t="e">
        <f>K169/K176*100</f>
        <v>#DIV/0!</v>
      </c>
      <c r="L161" s="20"/>
    </row>
    <row r="162" spans="1:12" hidden="1" x14ac:dyDescent="0.25">
      <c r="A162" s="124"/>
      <c r="B162" s="182" t="s">
        <v>1182</v>
      </c>
      <c r="C162" s="62"/>
      <c r="D162" s="62"/>
      <c r="E162" s="180"/>
      <c r="F162" s="180"/>
      <c r="G162" s="180"/>
      <c r="H162" s="180"/>
      <c r="I162" s="180"/>
      <c r="J162" s="180"/>
      <c r="K162" s="180"/>
      <c r="L162" s="20"/>
    </row>
    <row r="163" spans="1:12" s="89" customFormat="1" ht="30" hidden="1" x14ac:dyDescent="0.25">
      <c r="A163" s="124"/>
      <c r="B163" s="31" t="s">
        <v>2128</v>
      </c>
      <c r="C163" s="62"/>
      <c r="D163" s="62"/>
      <c r="E163" s="180"/>
      <c r="F163" s="180"/>
      <c r="G163" s="180"/>
      <c r="H163" s="180"/>
      <c r="I163" s="180"/>
      <c r="J163" s="180"/>
      <c r="K163" s="180"/>
      <c r="L163" s="181"/>
    </row>
    <row r="164" spans="1:12" s="89" customFormat="1" hidden="1" x14ac:dyDescent="0.25">
      <c r="A164" s="124"/>
      <c r="B164" s="31" t="s">
        <v>1638</v>
      </c>
      <c r="C164" s="62"/>
      <c r="D164" s="62"/>
      <c r="E164" s="180"/>
      <c r="F164" s="180"/>
      <c r="G164" s="180"/>
      <c r="H164" s="180"/>
      <c r="I164" s="183">
        <v>336</v>
      </c>
      <c r="J164" s="183"/>
      <c r="K164" s="183"/>
      <c r="L164" s="181"/>
    </row>
    <row r="165" spans="1:12" s="89" customFormat="1" ht="45" hidden="1" x14ac:dyDescent="0.25">
      <c r="A165" s="124"/>
      <c r="B165" s="31" t="s">
        <v>2123</v>
      </c>
      <c r="C165" s="62"/>
      <c r="D165" s="62"/>
      <c r="E165" s="180"/>
      <c r="F165" s="180"/>
      <c r="G165" s="180"/>
      <c r="H165" s="180"/>
      <c r="I165" s="183">
        <v>322</v>
      </c>
      <c r="J165" s="183"/>
      <c r="K165" s="183"/>
      <c r="L165" s="181"/>
    </row>
    <row r="166" spans="1:12" s="89" customFormat="1" ht="45" hidden="1" x14ac:dyDescent="0.25">
      <c r="A166" s="124"/>
      <c r="B166" s="31" t="s">
        <v>2124</v>
      </c>
      <c r="C166" s="62"/>
      <c r="D166" s="62"/>
      <c r="E166" s="180"/>
      <c r="F166" s="180"/>
      <c r="G166" s="180"/>
      <c r="H166" s="180"/>
      <c r="I166" s="183">
        <v>24</v>
      </c>
      <c r="J166" s="183"/>
      <c r="K166" s="183"/>
      <c r="L166" s="181"/>
    </row>
    <row r="167" spans="1:12" s="89" customFormat="1" hidden="1" x14ac:dyDescent="0.25">
      <c r="A167" s="124"/>
      <c r="B167" s="31" t="s">
        <v>2125</v>
      </c>
      <c r="C167" s="62"/>
      <c r="D167" s="62"/>
      <c r="E167" s="180"/>
      <c r="F167" s="180"/>
      <c r="G167" s="180"/>
      <c r="H167" s="180"/>
      <c r="I167" s="183">
        <v>4</v>
      </c>
      <c r="J167" s="183"/>
      <c r="K167" s="183"/>
      <c r="L167" s="181"/>
    </row>
    <row r="168" spans="1:12" s="89" customFormat="1" hidden="1" x14ac:dyDescent="0.25">
      <c r="A168" s="124"/>
      <c r="B168" s="31" t="s">
        <v>2126</v>
      </c>
      <c r="C168" s="62"/>
      <c r="D168" s="62"/>
      <c r="E168" s="180"/>
      <c r="F168" s="180"/>
      <c r="G168" s="180"/>
      <c r="H168" s="180"/>
      <c r="I168" s="183">
        <f>53+52+13</f>
        <v>118</v>
      </c>
      <c r="J168" s="183"/>
      <c r="K168" s="183"/>
      <c r="L168" s="181"/>
    </row>
    <row r="169" spans="1:12" s="89" customFormat="1" ht="30" hidden="1" x14ac:dyDescent="0.25">
      <c r="A169" s="124"/>
      <c r="B169" s="31" t="s">
        <v>2127</v>
      </c>
      <c r="C169" s="62"/>
      <c r="D169" s="62"/>
      <c r="E169" s="180"/>
      <c r="F169" s="180"/>
      <c r="G169" s="180"/>
      <c r="H169" s="180"/>
      <c r="I169" s="183">
        <v>24</v>
      </c>
      <c r="J169" s="183"/>
      <c r="K169" s="183"/>
      <c r="L169" s="181"/>
    </row>
    <row r="170" spans="1:12" s="89" customFormat="1" hidden="1" x14ac:dyDescent="0.25">
      <c r="A170" s="124"/>
      <c r="B170" s="31" t="s">
        <v>1846</v>
      </c>
      <c r="C170" s="62"/>
      <c r="D170" s="62"/>
      <c r="E170" s="180"/>
      <c r="F170" s="180"/>
      <c r="G170" s="180"/>
      <c r="H170" s="180"/>
      <c r="I170" s="183"/>
      <c r="J170" s="183"/>
      <c r="K170" s="183"/>
      <c r="L170" s="181"/>
    </row>
    <row r="171" spans="1:12" s="89" customFormat="1" hidden="1" x14ac:dyDescent="0.25">
      <c r="A171" s="124"/>
      <c r="B171" s="31" t="s">
        <v>1638</v>
      </c>
      <c r="C171" s="62"/>
      <c r="D171" s="62"/>
      <c r="E171" s="180"/>
      <c r="F171" s="180"/>
      <c r="G171" s="180"/>
      <c r="H171" s="180"/>
      <c r="I171" s="183">
        <v>336</v>
      </c>
      <c r="J171" s="183"/>
      <c r="K171" s="183"/>
      <c r="L171" s="181"/>
    </row>
    <row r="172" spans="1:12" s="89" customFormat="1" ht="45" hidden="1" x14ac:dyDescent="0.25">
      <c r="A172" s="124"/>
      <c r="B172" s="31" t="s">
        <v>2123</v>
      </c>
      <c r="C172" s="62"/>
      <c r="D172" s="62"/>
      <c r="E172" s="180"/>
      <c r="F172" s="180"/>
      <c r="G172" s="180"/>
      <c r="H172" s="180"/>
      <c r="I172" s="183">
        <v>322</v>
      </c>
      <c r="J172" s="183"/>
      <c r="K172" s="183"/>
      <c r="L172" s="181"/>
    </row>
    <row r="173" spans="1:12" s="89" customFormat="1" ht="45" hidden="1" x14ac:dyDescent="0.25">
      <c r="A173" s="124"/>
      <c r="B173" s="31" t="s">
        <v>2124</v>
      </c>
      <c r="C173" s="62"/>
      <c r="D173" s="62"/>
      <c r="E173" s="180"/>
      <c r="F173" s="180"/>
      <c r="G173" s="180"/>
      <c r="H173" s="180"/>
      <c r="I173" s="183">
        <v>24</v>
      </c>
      <c r="J173" s="183"/>
      <c r="K173" s="183"/>
      <c r="L173" s="181"/>
    </row>
    <row r="174" spans="1:12" s="89" customFormat="1" hidden="1" x14ac:dyDescent="0.25">
      <c r="A174" s="124"/>
      <c r="B174" s="31" t="s">
        <v>2125</v>
      </c>
      <c r="C174" s="62"/>
      <c r="D174" s="62"/>
      <c r="E174" s="180"/>
      <c r="F174" s="180"/>
      <c r="G174" s="180"/>
      <c r="H174" s="180"/>
      <c r="I174" s="183">
        <v>4</v>
      </c>
      <c r="J174" s="183"/>
      <c r="K174" s="183"/>
      <c r="L174" s="181"/>
    </row>
    <row r="175" spans="1:12" hidden="1" x14ac:dyDescent="0.25">
      <c r="A175" s="37"/>
      <c r="B175" s="31" t="s">
        <v>2126</v>
      </c>
      <c r="C175" s="37"/>
      <c r="D175" s="37"/>
      <c r="E175" s="38"/>
      <c r="F175" s="38"/>
      <c r="G175" s="38"/>
      <c r="H175" s="38"/>
      <c r="I175" s="184">
        <v>152</v>
      </c>
      <c r="J175" s="184"/>
      <c r="K175" s="184"/>
      <c r="L175" s="20"/>
    </row>
    <row r="176" spans="1:12" ht="30" hidden="1" x14ac:dyDescent="0.25">
      <c r="A176" s="37"/>
      <c r="B176" s="31" t="s">
        <v>2127</v>
      </c>
      <c r="C176" s="37"/>
      <c r="D176" s="37"/>
      <c r="E176" s="38"/>
      <c r="F176" s="38"/>
      <c r="G176" s="38"/>
      <c r="H176" s="38"/>
      <c r="I176" s="184">
        <v>47</v>
      </c>
      <c r="J176" s="184"/>
      <c r="K176" s="184"/>
      <c r="L176" s="20"/>
    </row>
    <row r="177" spans="1:12" ht="45" hidden="1" x14ac:dyDescent="0.25">
      <c r="A177" s="131" t="s">
        <v>2117</v>
      </c>
      <c r="B177" s="194" t="s">
        <v>2118</v>
      </c>
      <c r="C177" s="60"/>
      <c r="D177" s="60"/>
      <c r="E177" s="74"/>
      <c r="F177" s="74"/>
      <c r="G177" s="74"/>
      <c r="H177" s="74"/>
      <c r="I177" s="74"/>
      <c r="J177" s="74"/>
      <c r="K177" s="74"/>
      <c r="L177" s="20"/>
    </row>
    <row r="178" spans="1:12" hidden="1" x14ac:dyDescent="0.25">
      <c r="A178" s="131"/>
      <c r="B178" s="194" t="s">
        <v>1182</v>
      </c>
      <c r="C178" s="60"/>
      <c r="D178" s="60"/>
      <c r="E178" s="74"/>
      <c r="F178" s="74"/>
      <c r="G178" s="74"/>
      <c r="H178" s="74"/>
      <c r="I178" s="74"/>
      <c r="J178" s="74"/>
      <c r="K178" s="74"/>
      <c r="L178" s="20"/>
    </row>
    <row r="179" spans="1:12" hidden="1" x14ac:dyDescent="0.25">
      <c r="A179" s="131"/>
      <c r="B179" s="194" t="s">
        <v>1638</v>
      </c>
      <c r="C179" s="60"/>
      <c r="D179" s="60"/>
      <c r="E179" s="74"/>
      <c r="F179" s="74"/>
      <c r="G179" s="74"/>
      <c r="H179" s="74"/>
      <c r="I179" s="187">
        <f>(I194+I209)/(I201+I216)*100</f>
        <v>100</v>
      </c>
      <c r="J179" s="187" t="e">
        <f>(J194+J209)/(J201+J216)*100</f>
        <v>#DIV/0!</v>
      </c>
      <c r="K179" s="187" t="e">
        <f>(K194+K209)/(K201+K216)*100</f>
        <v>#DIV/0!</v>
      </c>
      <c r="L179" s="20"/>
    </row>
    <row r="180" spans="1:12" ht="45" hidden="1" x14ac:dyDescent="0.25">
      <c r="A180" s="131"/>
      <c r="B180" s="194" t="s">
        <v>2123</v>
      </c>
      <c r="C180" s="60"/>
      <c r="D180" s="60"/>
      <c r="E180" s="74"/>
      <c r="F180" s="74"/>
      <c r="G180" s="74"/>
      <c r="H180" s="74"/>
      <c r="I180" s="187">
        <f t="shared" ref="I180:J184" si="12">(I195+I210)/(I202+I217)*100</f>
        <v>100</v>
      </c>
      <c r="J180" s="187" t="e">
        <f t="shared" si="12"/>
        <v>#DIV/0!</v>
      </c>
      <c r="K180" s="187" t="e">
        <f>(K195+K210)/(K202+K217)*100</f>
        <v>#DIV/0!</v>
      </c>
      <c r="L180" s="20"/>
    </row>
    <row r="181" spans="1:12" ht="45" hidden="1" x14ac:dyDescent="0.25">
      <c r="A181" s="131"/>
      <c r="B181" s="194" t="s">
        <v>2124</v>
      </c>
      <c r="C181" s="60"/>
      <c r="D181" s="60"/>
      <c r="E181" s="74"/>
      <c r="F181" s="74"/>
      <c r="G181" s="74"/>
      <c r="H181" s="74"/>
      <c r="I181" s="187">
        <f t="shared" si="12"/>
        <v>100</v>
      </c>
      <c r="J181" s="187" t="e">
        <f t="shared" si="12"/>
        <v>#DIV/0!</v>
      </c>
      <c r="K181" s="187" t="e">
        <f>(K196+K211)/(K203+K218)*100</f>
        <v>#DIV/0!</v>
      </c>
      <c r="L181" s="20"/>
    </row>
    <row r="182" spans="1:12" hidden="1" x14ac:dyDescent="0.25">
      <c r="A182" s="131"/>
      <c r="B182" s="194" t="s">
        <v>2125</v>
      </c>
      <c r="C182" s="60"/>
      <c r="D182" s="60"/>
      <c r="E182" s="74"/>
      <c r="F182" s="74"/>
      <c r="G182" s="74"/>
      <c r="H182" s="74"/>
      <c r="I182" s="187">
        <f t="shared" si="12"/>
        <v>100</v>
      </c>
      <c r="J182" s="187" t="e">
        <f t="shared" si="12"/>
        <v>#DIV/0!</v>
      </c>
      <c r="K182" s="187" t="e">
        <f>(K197+K212)/(K204+K219)*100</f>
        <v>#DIV/0!</v>
      </c>
      <c r="L182" s="20"/>
    </row>
    <row r="183" spans="1:12" hidden="1" x14ac:dyDescent="0.25">
      <c r="A183" s="131"/>
      <c r="B183" s="194" t="s">
        <v>2126</v>
      </c>
      <c r="C183" s="60"/>
      <c r="D183" s="60"/>
      <c r="E183" s="74"/>
      <c r="F183" s="74"/>
      <c r="G183" s="74"/>
      <c r="H183" s="74"/>
      <c r="I183" s="187">
        <f t="shared" si="12"/>
        <v>96</v>
      </c>
      <c r="J183" s="187" t="e">
        <f t="shared" si="12"/>
        <v>#DIV/0!</v>
      </c>
      <c r="K183" s="187" t="e">
        <f>(K198+K213)/(K205+K220)*100</f>
        <v>#DIV/0!</v>
      </c>
      <c r="L183" s="20"/>
    </row>
    <row r="184" spans="1:12" ht="30" hidden="1" x14ac:dyDescent="0.25">
      <c r="A184" s="131"/>
      <c r="B184" s="194" t="s">
        <v>2127</v>
      </c>
      <c r="C184" s="60"/>
      <c r="D184" s="60"/>
      <c r="E184" s="74"/>
      <c r="F184" s="74"/>
      <c r="G184" s="74"/>
      <c r="H184" s="74"/>
      <c r="I184" s="187">
        <f t="shared" si="12"/>
        <v>34.285714285714285</v>
      </c>
      <c r="J184" s="187" t="e">
        <f t="shared" si="12"/>
        <v>#DIV/0!</v>
      </c>
      <c r="K184" s="187" t="e">
        <f>(K199+K214)/(K206+K221)*100</f>
        <v>#DIV/0!</v>
      </c>
      <c r="L184" s="20"/>
    </row>
    <row r="185" spans="1:12" hidden="1" x14ac:dyDescent="0.25">
      <c r="A185" s="131"/>
      <c r="B185" s="194" t="s">
        <v>1184</v>
      </c>
      <c r="C185" s="60"/>
      <c r="D185" s="60"/>
      <c r="E185" s="74"/>
      <c r="F185" s="74"/>
      <c r="G185" s="74"/>
      <c r="H185" s="74"/>
      <c r="I185" s="187"/>
      <c r="J185" s="187"/>
      <c r="K185" s="187"/>
      <c r="L185" s="20"/>
    </row>
    <row r="186" spans="1:12" hidden="1" x14ac:dyDescent="0.25">
      <c r="A186" s="131"/>
      <c r="B186" s="194" t="s">
        <v>1638</v>
      </c>
      <c r="C186" s="60"/>
      <c r="D186" s="60"/>
      <c r="E186" s="74"/>
      <c r="F186" s="74"/>
      <c r="G186" s="74"/>
      <c r="H186" s="74"/>
      <c r="I186" s="187">
        <f>I209/I216*100</f>
        <v>100</v>
      </c>
      <c r="J186" s="187" t="e">
        <f>J209/J216*100</f>
        <v>#DIV/0!</v>
      </c>
      <c r="K186" s="187" t="e">
        <f>K209/K216*100</f>
        <v>#DIV/0!</v>
      </c>
      <c r="L186" s="65"/>
    </row>
    <row r="187" spans="1:12" ht="45" hidden="1" x14ac:dyDescent="0.25">
      <c r="A187" s="131"/>
      <c r="B187" s="194" t="s">
        <v>2123</v>
      </c>
      <c r="C187" s="60"/>
      <c r="D187" s="60"/>
      <c r="E187" s="74"/>
      <c r="F187" s="74"/>
      <c r="G187" s="74"/>
      <c r="H187" s="74"/>
      <c r="I187" s="187">
        <f t="shared" ref="I187:J191" si="13">I210/I217*100</f>
        <v>100</v>
      </c>
      <c r="J187" s="187" t="e">
        <f t="shared" si="13"/>
        <v>#DIV/0!</v>
      </c>
      <c r="K187" s="187" t="e">
        <f>K210/K217*100</f>
        <v>#DIV/0!</v>
      </c>
      <c r="L187" s="65"/>
    </row>
    <row r="188" spans="1:12" ht="45" hidden="1" x14ac:dyDescent="0.25">
      <c r="A188" s="131"/>
      <c r="B188" s="194" t="s">
        <v>2124</v>
      </c>
      <c r="C188" s="60"/>
      <c r="D188" s="60"/>
      <c r="E188" s="74"/>
      <c r="F188" s="74"/>
      <c r="G188" s="74"/>
      <c r="H188" s="74"/>
      <c r="I188" s="187" t="e">
        <f t="shared" si="13"/>
        <v>#DIV/0!</v>
      </c>
      <c r="J188" s="187" t="e">
        <f t="shared" si="13"/>
        <v>#DIV/0!</v>
      </c>
      <c r="K188" s="187" t="e">
        <f>K211/K218*100</f>
        <v>#DIV/0!</v>
      </c>
      <c r="L188" s="65"/>
    </row>
    <row r="189" spans="1:12" hidden="1" x14ac:dyDescent="0.25">
      <c r="A189" s="131"/>
      <c r="B189" s="194" t="s">
        <v>2125</v>
      </c>
      <c r="C189" s="60"/>
      <c r="D189" s="60"/>
      <c r="E189" s="74"/>
      <c r="F189" s="74"/>
      <c r="G189" s="74"/>
      <c r="H189" s="74"/>
      <c r="I189" s="187">
        <f t="shared" si="13"/>
        <v>100</v>
      </c>
      <c r="J189" s="187" t="e">
        <f t="shared" si="13"/>
        <v>#DIV/0!</v>
      </c>
      <c r="K189" s="187" t="e">
        <f>K212/K219*100</f>
        <v>#DIV/0!</v>
      </c>
      <c r="L189" s="65"/>
    </row>
    <row r="190" spans="1:12" hidden="1" x14ac:dyDescent="0.25">
      <c r="A190" s="131"/>
      <c r="B190" s="194" t="s">
        <v>2126</v>
      </c>
      <c r="C190" s="60"/>
      <c r="D190" s="60"/>
      <c r="E190" s="74"/>
      <c r="F190" s="74"/>
      <c r="G190" s="74"/>
      <c r="H190" s="74"/>
      <c r="I190" s="187">
        <f t="shared" si="13"/>
        <v>62.5</v>
      </c>
      <c r="J190" s="187" t="e">
        <f t="shared" si="13"/>
        <v>#DIV/0!</v>
      </c>
      <c r="K190" s="187" t="e">
        <f>K213/K220*100</f>
        <v>#DIV/0!</v>
      </c>
      <c r="L190" s="65"/>
    </row>
    <row r="191" spans="1:12" ht="30" hidden="1" x14ac:dyDescent="0.25">
      <c r="A191" s="131"/>
      <c r="B191" s="194" t="s">
        <v>2127</v>
      </c>
      <c r="C191" s="60"/>
      <c r="D191" s="60"/>
      <c r="E191" s="74"/>
      <c r="F191" s="74"/>
      <c r="G191" s="74"/>
      <c r="H191" s="74"/>
      <c r="I191" s="187">
        <f t="shared" si="13"/>
        <v>0</v>
      </c>
      <c r="J191" s="187" t="e">
        <f t="shared" si="13"/>
        <v>#DIV/0!</v>
      </c>
      <c r="K191" s="187" t="e">
        <f>K214/K221*100</f>
        <v>#DIV/0!</v>
      </c>
      <c r="L191" s="65"/>
    </row>
    <row r="192" spans="1:12" hidden="1" x14ac:dyDescent="0.25">
      <c r="A192" s="124"/>
      <c r="B192" s="182" t="s">
        <v>1182</v>
      </c>
      <c r="C192" s="62"/>
      <c r="D192" s="62"/>
      <c r="E192" s="180"/>
      <c r="F192" s="180"/>
      <c r="G192" s="180"/>
      <c r="H192" s="180"/>
      <c r="I192" s="180"/>
      <c r="J192" s="180"/>
      <c r="K192" s="180"/>
      <c r="L192" s="20"/>
    </row>
    <row r="193" spans="1:12" s="89" customFormat="1" ht="30" hidden="1" x14ac:dyDescent="0.25">
      <c r="A193" s="124"/>
      <c r="B193" s="31" t="s">
        <v>2128</v>
      </c>
      <c r="C193" s="62"/>
      <c r="D193" s="62"/>
      <c r="E193" s="180"/>
      <c r="F193" s="180"/>
      <c r="G193" s="180"/>
      <c r="H193" s="180"/>
      <c r="I193" s="180"/>
      <c r="J193" s="180"/>
      <c r="K193" s="180"/>
      <c r="L193" s="181"/>
    </row>
    <row r="194" spans="1:12" s="89" customFormat="1" hidden="1" x14ac:dyDescent="0.25">
      <c r="A194" s="124"/>
      <c r="B194" s="31" t="s">
        <v>1638</v>
      </c>
      <c r="C194" s="62"/>
      <c r="D194" s="62"/>
      <c r="E194" s="180"/>
      <c r="F194" s="180"/>
      <c r="G194" s="180"/>
      <c r="H194" s="180"/>
      <c r="I194" s="183">
        <v>329</v>
      </c>
      <c r="J194" s="183"/>
      <c r="K194" s="183"/>
      <c r="L194" s="181"/>
    </row>
    <row r="195" spans="1:12" s="89" customFormat="1" ht="45" hidden="1" x14ac:dyDescent="0.25">
      <c r="A195" s="124"/>
      <c r="B195" s="31" t="s">
        <v>2123</v>
      </c>
      <c r="C195" s="62"/>
      <c r="D195" s="62"/>
      <c r="E195" s="180"/>
      <c r="F195" s="180"/>
      <c r="G195" s="180"/>
      <c r="H195" s="180"/>
      <c r="I195" s="183">
        <v>318</v>
      </c>
      <c r="J195" s="183"/>
      <c r="K195" s="183"/>
      <c r="L195" s="181"/>
    </row>
    <row r="196" spans="1:12" s="89" customFormat="1" ht="45" hidden="1" x14ac:dyDescent="0.25">
      <c r="A196" s="124"/>
      <c r="B196" s="31" t="s">
        <v>2124</v>
      </c>
      <c r="C196" s="62"/>
      <c r="D196" s="62"/>
      <c r="E196" s="180"/>
      <c r="F196" s="180"/>
      <c r="G196" s="180"/>
      <c r="H196" s="180"/>
      <c r="I196" s="183">
        <v>24</v>
      </c>
      <c r="J196" s="183"/>
      <c r="K196" s="183"/>
      <c r="L196" s="181"/>
    </row>
    <row r="197" spans="1:12" s="89" customFormat="1" hidden="1" x14ac:dyDescent="0.25">
      <c r="A197" s="124"/>
      <c r="B197" s="31" t="s">
        <v>2125</v>
      </c>
      <c r="C197" s="62"/>
      <c r="D197" s="62"/>
      <c r="E197" s="180"/>
      <c r="F197" s="180"/>
      <c r="G197" s="180"/>
      <c r="H197" s="180"/>
      <c r="I197" s="183">
        <v>3</v>
      </c>
      <c r="J197" s="183"/>
      <c r="K197" s="183"/>
      <c r="L197" s="181"/>
    </row>
    <row r="198" spans="1:12" s="89" customFormat="1" hidden="1" x14ac:dyDescent="0.25">
      <c r="A198" s="124"/>
      <c r="B198" s="31" t="s">
        <v>2126</v>
      </c>
      <c r="C198" s="62"/>
      <c r="D198" s="62"/>
      <c r="E198" s="180"/>
      <c r="F198" s="180"/>
      <c r="G198" s="180"/>
      <c r="H198" s="180"/>
      <c r="I198" s="183">
        <v>134</v>
      </c>
      <c r="J198" s="183"/>
      <c r="K198" s="183"/>
      <c r="L198" s="181"/>
    </row>
    <row r="199" spans="1:12" s="89" customFormat="1" ht="30" hidden="1" x14ac:dyDescent="0.25">
      <c r="A199" s="124"/>
      <c r="B199" s="31" t="s">
        <v>2127</v>
      </c>
      <c r="C199" s="62"/>
      <c r="D199" s="62"/>
      <c r="E199" s="180"/>
      <c r="F199" s="180"/>
      <c r="G199" s="180"/>
      <c r="H199" s="180"/>
      <c r="I199" s="183">
        <v>24</v>
      </c>
      <c r="J199" s="183"/>
      <c r="K199" s="183"/>
      <c r="L199" s="181"/>
    </row>
    <row r="200" spans="1:12" s="89" customFormat="1" hidden="1" x14ac:dyDescent="0.25">
      <c r="A200" s="124"/>
      <c r="B200" s="31" t="s">
        <v>1846</v>
      </c>
      <c r="C200" s="62"/>
      <c r="D200" s="62"/>
      <c r="E200" s="180"/>
      <c r="F200" s="180"/>
      <c r="G200" s="180"/>
      <c r="H200" s="180"/>
      <c r="I200" s="183"/>
      <c r="J200" s="183"/>
      <c r="K200" s="183"/>
      <c r="L200" s="181"/>
    </row>
    <row r="201" spans="1:12" s="89" customFormat="1" hidden="1" x14ac:dyDescent="0.25">
      <c r="A201" s="124"/>
      <c r="B201" s="31" t="s">
        <v>1638</v>
      </c>
      <c r="C201" s="62"/>
      <c r="D201" s="62"/>
      <c r="E201" s="180"/>
      <c r="F201" s="180"/>
      <c r="G201" s="180"/>
      <c r="H201" s="180"/>
      <c r="I201" s="183">
        <v>329</v>
      </c>
      <c r="J201" s="183"/>
      <c r="K201" s="183"/>
      <c r="L201" s="181"/>
    </row>
    <row r="202" spans="1:12" s="89" customFormat="1" ht="45" hidden="1" x14ac:dyDescent="0.25">
      <c r="A202" s="124"/>
      <c r="B202" s="31" t="s">
        <v>2123</v>
      </c>
      <c r="C202" s="62"/>
      <c r="D202" s="62"/>
      <c r="E202" s="180"/>
      <c r="F202" s="180"/>
      <c r="G202" s="180"/>
      <c r="H202" s="180"/>
      <c r="I202" s="183">
        <v>318</v>
      </c>
      <c r="J202" s="183"/>
      <c r="K202" s="183"/>
      <c r="L202" s="181"/>
    </row>
    <row r="203" spans="1:12" s="89" customFormat="1" ht="45" hidden="1" x14ac:dyDescent="0.25">
      <c r="A203" s="124"/>
      <c r="B203" s="31" t="s">
        <v>2124</v>
      </c>
      <c r="C203" s="62"/>
      <c r="D203" s="62"/>
      <c r="E203" s="180"/>
      <c r="F203" s="180"/>
      <c r="G203" s="180"/>
      <c r="H203" s="180"/>
      <c r="I203" s="183">
        <v>24</v>
      </c>
      <c r="J203" s="183"/>
      <c r="K203" s="183"/>
      <c r="L203" s="181"/>
    </row>
    <row r="204" spans="1:12" s="89" customFormat="1" hidden="1" x14ac:dyDescent="0.25">
      <c r="A204" s="124"/>
      <c r="B204" s="31" t="s">
        <v>2125</v>
      </c>
      <c r="C204" s="62"/>
      <c r="D204" s="62"/>
      <c r="E204" s="180"/>
      <c r="F204" s="180"/>
      <c r="G204" s="180"/>
      <c r="H204" s="180"/>
      <c r="I204" s="183">
        <v>3</v>
      </c>
      <c r="J204" s="183"/>
      <c r="K204" s="183"/>
      <c r="L204" s="181"/>
    </row>
    <row r="205" spans="1:12" hidden="1" x14ac:dyDescent="0.25">
      <c r="A205" s="37"/>
      <c r="B205" s="31" t="s">
        <v>2126</v>
      </c>
      <c r="C205" s="37"/>
      <c r="D205" s="37"/>
      <c r="E205" s="38"/>
      <c r="F205" s="38"/>
      <c r="G205" s="38"/>
      <c r="H205" s="38"/>
      <c r="I205" s="184">
        <v>134</v>
      </c>
      <c r="J205" s="184"/>
      <c r="K205" s="184"/>
      <c r="L205" s="181"/>
    </row>
    <row r="206" spans="1:12" ht="30" hidden="1" x14ac:dyDescent="0.25">
      <c r="A206" s="37"/>
      <c r="B206" s="31" t="s">
        <v>2127</v>
      </c>
      <c r="C206" s="37"/>
      <c r="D206" s="37"/>
      <c r="E206" s="38"/>
      <c r="F206" s="38"/>
      <c r="G206" s="38"/>
      <c r="H206" s="38"/>
      <c r="I206" s="184">
        <v>47</v>
      </c>
      <c r="J206" s="184"/>
      <c r="K206" s="184"/>
      <c r="L206" s="181"/>
    </row>
    <row r="207" spans="1:12" hidden="1" x14ac:dyDescent="0.25">
      <c r="A207" s="124"/>
      <c r="B207" s="182" t="s">
        <v>1184</v>
      </c>
      <c r="C207" s="62"/>
      <c r="D207" s="62"/>
      <c r="E207" s="180"/>
      <c r="F207" s="180"/>
      <c r="G207" s="180"/>
      <c r="H207" s="180"/>
      <c r="I207" s="183"/>
      <c r="J207" s="183"/>
      <c r="K207" s="183"/>
      <c r="L207" s="20"/>
    </row>
    <row r="208" spans="1:12" s="89" customFormat="1" ht="30" hidden="1" x14ac:dyDescent="0.25">
      <c r="A208" s="124"/>
      <c r="B208" s="31" t="s">
        <v>2128</v>
      </c>
      <c r="C208" s="62"/>
      <c r="D208" s="62"/>
      <c r="E208" s="180"/>
      <c r="F208" s="180"/>
      <c r="G208" s="180"/>
      <c r="H208" s="180"/>
      <c r="I208" s="183"/>
      <c r="J208" s="183"/>
      <c r="K208" s="183"/>
      <c r="L208" s="181"/>
    </row>
    <row r="209" spans="1:12" s="89" customFormat="1" hidden="1" x14ac:dyDescent="0.25">
      <c r="A209" s="124"/>
      <c r="B209" s="31" t="s">
        <v>1638</v>
      </c>
      <c r="C209" s="62"/>
      <c r="D209" s="62"/>
      <c r="E209" s="180"/>
      <c r="F209" s="180"/>
      <c r="G209" s="180"/>
      <c r="H209" s="180"/>
      <c r="I209" s="183">
        <v>7</v>
      </c>
      <c r="J209" s="183"/>
      <c r="K209" s="183"/>
      <c r="L209" s="181"/>
    </row>
    <row r="210" spans="1:12" s="89" customFormat="1" ht="45" hidden="1" x14ac:dyDescent="0.25">
      <c r="A210" s="124"/>
      <c r="B210" s="31" t="s">
        <v>2123</v>
      </c>
      <c r="C210" s="62"/>
      <c r="D210" s="62"/>
      <c r="E210" s="180"/>
      <c r="F210" s="180"/>
      <c r="G210" s="180"/>
      <c r="H210" s="180"/>
      <c r="I210" s="183">
        <v>4</v>
      </c>
      <c r="J210" s="183"/>
      <c r="K210" s="183"/>
      <c r="L210" s="181"/>
    </row>
    <row r="211" spans="1:12" s="89" customFormat="1" ht="45" hidden="1" x14ac:dyDescent="0.25">
      <c r="A211" s="124"/>
      <c r="B211" s="31" t="s">
        <v>2124</v>
      </c>
      <c r="C211" s="62"/>
      <c r="D211" s="62"/>
      <c r="E211" s="180"/>
      <c r="F211" s="180"/>
      <c r="G211" s="180"/>
      <c r="H211" s="180"/>
      <c r="I211" s="183">
        <v>0</v>
      </c>
      <c r="J211" s="183"/>
      <c r="K211" s="183"/>
      <c r="L211" s="181"/>
    </row>
    <row r="212" spans="1:12" s="89" customFormat="1" hidden="1" x14ac:dyDescent="0.25">
      <c r="A212" s="124"/>
      <c r="B212" s="31" t="s">
        <v>2125</v>
      </c>
      <c r="C212" s="62"/>
      <c r="D212" s="62"/>
      <c r="E212" s="180"/>
      <c r="F212" s="180"/>
      <c r="G212" s="180"/>
      <c r="H212" s="180"/>
      <c r="I212" s="183">
        <v>1</v>
      </c>
      <c r="J212" s="183"/>
      <c r="K212" s="183"/>
      <c r="L212" s="181"/>
    </row>
    <row r="213" spans="1:12" s="89" customFormat="1" hidden="1" x14ac:dyDescent="0.25">
      <c r="A213" s="124"/>
      <c r="B213" s="31" t="s">
        <v>2126</v>
      </c>
      <c r="C213" s="62"/>
      <c r="D213" s="62"/>
      <c r="E213" s="180"/>
      <c r="F213" s="180"/>
      <c r="G213" s="180"/>
      <c r="H213" s="180"/>
      <c r="I213" s="183">
        <v>10</v>
      </c>
      <c r="J213" s="183"/>
      <c r="K213" s="183"/>
      <c r="L213" s="181"/>
    </row>
    <row r="214" spans="1:12" s="89" customFormat="1" ht="30" hidden="1" x14ac:dyDescent="0.25">
      <c r="A214" s="124"/>
      <c r="B214" s="31" t="s">
        <v>2127</v>
      </c>
      <c r="C214" s="62"/>
      <c r="D214" s="62"/>
      <c r="E214" s="180"/>
      <c r="F214" s="180"/>
      <c r="G214" s="180"/>
      <c r="H214" s="180"/>
      <c r="I214" s="183">
        <v>0</v>
      </c>
      <c r="J214" s="183"/>
      <c r="K214" s="183"/>
      <c r="L214" s="181"/>
    </row>
    <row r="215" spans="1:12" s="89" customFormat="1" hidden="1" x14ac:dyDescent="0.25">
      <c r="A215" s="124"/>
      <c r="B215" s="31" t="s">
        <v>1846</v>
      </c>
      <c r="C215" s="62"/>
      <c r="D215" s="62"/>
      <c r="E215" s="180"/>
      <c r="F215" s="180"/>
      <c r="G215" s="180"/>
      <c r="H215" s="180"/>
      <c r="I215" s="183"/>
      <c r="J215" s="183"/>
      <c r="K215" s="183"/>
      <c r="L215" s="181"/>
    </row>
    <row r="216" spans="1:12" s="89" customFormat="1" hidden="1" x14ac:dyDescent="0.25">
      <c r="A216" s="124"/>
      <c r="B216" s="31" t="s">
        <v>1638</v>
      </c>
      <c r="C216" s="62"/>
      <c r="D216" s="62"/>
      <c r="E216" s="180"/>
      <c r="F216" s="180"/>
      <c r="G216" s="180"/>
      <c r="H216" s="180"/>
      <c r="I216" s="183">
        <v>7</v>
      </c>
      <c r="J216" s="183"/>
      <c r="K216" s="183"/>
      <c r="L216" s="181"/>
    </row>
    <row r="217" spans="1:12" s="89" customFormat="1" ht="45" hidden="1" x14ac:dyDescent="0.25">
      <c r="A217" s="124"/>
      <c r="B217" s="31" t="s">
        <v>2123</v>
      </c>
      <c r="C217" s="62"/>
      <c r="D217" s="62"/>
      <c r="E217" s="180"/>
      <c r="F217" s="180"/>
      <c r="G217" s="180"/>
      <c r="H217" s="180"/>
      <c r="I217" s="183">
        <v>4</v>
      </c>
      <c r="J217" s="183"/>
      <c r="K217" s="183"/>
      <c r="L217" s="181"/>
    </row>
    <row r="218" spans="1:12" s="89" customFormat="1" ht="45" hidden="1" x14ac:dyDescent="0.25">
      <c r="A218" s="124"/>
      <c r="B218" s="31" t="s">
        <v>2124</v>
      </c>
      <c r="C218" s="62"/>
      <c r="D218" s="62"/>
      <c r="E218" s="180"/>
      <c r="F218" s="180"/>
      <c r="G218" s="180"/>
      <c r="H218" s="180"/>
      <c r="I218" s="183">
        <v>0</v>
      </c>
      <c r="J218" s="183"/>
      <c r="K218" s="183"/>
      <c r="L218" s="181"/>
    </row>
    <row r="219" spans="1:12" s="89" customFormat="1" hidden="1" x14ac:dyDescent="0.25">
      <c r="A219" s="124"/>
      <c r="B219" s="31" t="s">
        <v>2125</v>
      </c>
      <c r="C219" s="62"/>
      <c r="D219" s="62"/>
      <c r="E219" s="180"/>
      <c r="F219" s="180"/>
      <c r="G219" s="180"/>
      <c r="H219" s="180"/>
      <c r="I219" s="183">
        <v>1</v>
      </c>
      <c r="J219" s="183"/>
      <c r="K219" s="183"/>
      <c r="L219" s="181"/>
    </row>
    <row r="220" spans="1:12" hidden="1" x14ac:dyDescent="0.25">
      <c r="A220" s="37"/>
      <c r="B220" s="31" t="s">
        <v>2126</v>
      </c>
      <c r="C220" s="37"/>
      <c r="D220" s="37"/>
      <c r="E220" s="38"/>
      <c r="F220" s="38"/>
      <c r="G220" s="38"/>
      <c r="H220" s="38"/>
      <c r="I220" s="184">
        <v>16</v>
      </c>
      <c r="J220" s="184"/>
      <c r="K220" s="184"/>
      <c r="L220" s="20"/>
    </row>
    <row r="221" spans="1:12" ht="30" hidden="1" x14ac:dyDescent="0.25">
      <c r="A221" s="37"/>
      <c r="B221" s="31" t="s">
        <v>2127</v>
      </c>
      <c r="C221" s="37"/>
      <c r="D221" s="37"/>
      <c r="E221" s="38"/>
      <c r="F221" s="38"/>
      <c r="G221" s="38"/>
      <c r="H221" s="38"/>
      <c r="I221" s="184">
        <v>23</v>
      </c>
      <c r="J221" s="184"/>
      <c r="K221" s="184"/>
      <c r="L221" s="20"/>
    </row>
    <row r="222" spans="1:12" ht="15" customHeight="1" x14ac:dyDescent="0.25">
      <c r="A222" s="400" t="s">
        <v>2595</v>
      </c>
      <c r="B222" s="400"/>
      <c r="C222" s="400"/>
      <c r="D222" s="400"/>
      <c r="E222" s="400"/>
      <c r="F222" s="400"/>
      <c r="G222" s="400"/>
      <c r="H222" s="400"/>
      <c r="I222" s="400"/>
      <c r="J222" s="400"/>
      <c r="K222" s="400"/>
      <c r="L222" s="20"/>
    </row>
    <row r="223" spans="1:12" x14ac:dyDescent="0.25">
      <c r="A223" s="47" t="s">
        <v>948</v>
      </c>
      <c r="B223" s="48" t="s">
        <v>1078</v>
      </c>
      <c r="C223" s="44"/>
      <c r="D223" s="44"/>
      <c r="E223" s="44"/>
      <c r="F223" s="44"/>
      <c r="G223" s="44"/>
      <c r="H223" s="44"/>
      <c r="I223" s="44"/>
      <c r="J223" s="44"/>
      <c r="K223" s="44"/>
    </row>
    <row r="224" spans="1:12" ht="30" x14ac:dyDescent="0.25">
      <c r="A224" s="42" t="s">
        <v>952</v>
      </c>
      <c r="B224" s="43" t="s">
        <v>1079</v>
      </c>
      <c r="C224" s="44"/>
      <c r="D224" s="42" t="s">
        <v>8</v>
      </c>
      <c r="E224" s="45">
        <v>85.83</v>
      </c>
      <c r="F224" s="45">
        <v>87.1</v>
      </c>
      <c r="G224" s="45">
        <v>87.66</v>
      </c>
      <c r="H224" s="45">
        <v>89.23</v>
      </c>
      <c r="I224" s="45">
        <f>I225/I231*100</f>
        <v>92.521585659162881</v>
      </c>
      <c r="J224" s="45">
        <f>J225/J231*100</f>
        <v>92.732145249899503</v>
      </c>
      <c r="K224" s="45" t="e">
        <f>K225/K231*100</f>
        <v>#DIV/0!</v>
      </c>
      <c r="L224" s="3" t="s">
        <v>46</v>
      </c>
    </row>
    <row r="225" spans="1:12" ht="30" x14ac:dyDescent="0.25">
      <c r="A225" s="6"/>
      <c r="B225" s="21" t="s">
        <v>1080</v>
      </c>
      <c r="C225" s="6"/>
      <c r="D225" s="6"/>
      <c r="E225" s="12">
        <f t="shared" ref="E225:J225" si="14">E226+E227+E229+E228+E230</f>
        <v>0</v>
      </c>
      <c r="F225" s="12">
        <f t="shared" si="14"/>
        <v>0</v>
      </c>
      <c r="G225" s="12">
        <f t="shared" si="14"/>
        <v>0</v>
      </c>
      <c r="H225" s="12">
        <f t="shared" si="14"/>
        <v>0</v>
      </c>
      <c r="I225" s="12">
        <f t="shared" si="14"/>
        <v>267355</v>
      </c>
      <c r="J225" s="12">
        <f t="shared" si="14"/>
        <v>276824</v>
      </c>
      <c r="K225" s="12"/>
      <c r="L225" s="3"/>
    </row>
    <row r="226" spans="1:12" ht="45" x14ac:dyDescent="0.25">
      <c r="A226" s="6"/>
      <c r="B226" s="21" t="s">
        <v>1081</v>
      </c>
      <c r="C226" s="6" t="s">
        <v>1178</v>
      </c>
      <c r="D226" s="6" t="s">
        <v>950</v>
      </c>
      <c r="E226" s="12"/>
      <c r="F226" s="12"/>
      <c r="G226" s="12"/>
      <c r="H226" s="12"/>
      <c r="I226" s="12">
        <v>48796</v>
      </c>
      <c r="J226" s="12">
        <v>50511</v>
      </c>
      <c r="K226" s="12"/>
      <c r="L226" s="3"/>
    </row>
    <row r="227" spans="1:12" ht="60" x14ac:dyDescent="0.25">
      <c r="A227" s="6"/>
      <c r="B227" s="21" t="s">
        <v>1082</v>
      </c>
      <c r="C227" s="6" t="s">
        <v>1083</v>
      </c>
      <c r="D227" s="6" t="s">
        <v>950</v>
      </c>
      <c r="E227" s="12"/>
      <c r="F227" s="12"/>
      <c r="G227" s="12"/>
      <c r="H227" s="12"/>
      <c r="I227" s="12">
        <v>208204</v>
      </c>
      <c r="J227" s="12">
        <v>215866</v>
      </c>
      <c r="K227" s="12"/>
      <c r="L227" s="3"/>
    </row>
    <row r="228" spans="1:12" ht="45" x14ac:dyDescent="0.25">
      <c r="A228" s="6"/>
      <c r="B228" s="21" t="s">
        <v>1084</v>
      </c>
      <c r="C228" s="6" t="s">
        <v>1085</v>
      </c>
      <c r="D228" s="6" t="s">
        <v>950</v>
      </c>
      <c r="E228" s="12"/>
      <c r="F228" s="12"/>
      <c r="G228" s="12"/>
      <c r="H228" s="12"/>
      <c r="I228" s="12"/>
      <c r="J228" s="12"/>
      <c r="K228" s="12"/>
      <c r="L228" s="3"/>
    </row>
    <row r="229" spans="1:12" ht="60" x14ac:dyDescent="0.25">
      <c r="A229" s="6"/>
      <c r="B229" s="21" t="s">
        <v>1086</v>
      </c>
      <c r="C229" s="6" t="s">
        <v>1087</v>
      </c>
      <c r="D229" s="6" t="s">
        <v>950</v>
      </c>
      <c r="E229" s="12"/>
      <c r="F229" s="12"/>
      <c r="G229" s="12"/>
      <c r="H229" s="12"/>
      <c r="I229" s="12">
        <f>151+9564+5+399+18</f>
        <v>10137</v>
      </c>
      <c r="J229" s="12">
        <f>9585+597</f>
        <v>10182</v>
      </c>
      <c r="K229" s="12"/>
      <c r="L229" s="3"/>
    </row>
    <row r="230" spans="1:12" ht="60" x14ac:dyDescent="0.25">
      <c r="A230" s="6"/>
      <c r="B230" s="21" t="s">
        <v>1088</v>
      </c>
      <c r="C230" s="6" t="s">
        <v>1089</v>
      </c>
      <c r="D230" s="6" t="s">
        <v>950</v>
      </c>
      <c r="E230" s="12"/>
      <c r="F230" s="12"/>
      <c r="G230" s="12"/>
      <c r="H230" s="12"/>
      <c r="I230" s="12">
        <f>10+207+1</f>
        <v>218</v>
      </c>
      <c r="J230" s="12">
        <v>265</v>
      </c>
      <c r="K230" s="12"/>
      <c r="L230" s="3"/>
    </row>
    <row r="231" spans="1:12" ht="30" x14ac:dyDescent="0.25">
      <c r="A231" s="6"/>
      <c r="B231" s="21" t="s">
        <v>1090</v>
      </c>
      <c r="C231" s="6" t="s">
        <v>134</v>
      </c>
      <c r="D231" s="6" t="s">
        <v>950</v>
      </c>
      <c r="E231" s="12"/>
      <c r="F231" s="12"/>
      <c r="G231" s="12"/>
      <c r="H231" s="12"/>
      <c r="I231" s="179">
        <v>288965</v>
      </c>
      <c r="J231" s="179">
        <v>298520</v>
      </c>
      <c r="K231" s="179"/>
      <c r="L231" s="3"/>
    </row>
    <row r="232" spans="1:12" ht="60" x14ac:dyDescent="0.25">
      <c r="A232" s="42" t="s">
        <v>953</v>
      </c>
      <c r="B232" s="43" t="s">
        <v>1091</v>
      </c>
      <c r="C232" s="44"/>
      <c r="D232" s="42"/>
      <c r="E232" s="50"/>
      <c r="F232" s="50"/>
      <c r="G232" s="50"/>
      <c r="H232" s="50"/>
      <c r="I232" s="50"/>
      <c r="J232" s="50"/>
      <c r="K232" s="50"/>
      <c r="L232" s="3" t="s">
        <v>46</v>
      </c>
    </row>
    <row r="233" spans="1:12" ht="30" x14ac:dyDescent="0.25">
      <c r="A233" s="42"/>
      <c r="B233" s="46" t="s">
        <v>1152</v>
      </c>
      <c r="C233" s="42" t="s">
        <v>1092</v>
      </c>
      <c r="D233" s="42" t="s">
        <v>8</v>
      </c>
      <c r="E233" s="67">
        <v>7.61</v>
      </c>
      <c r="F233" s="67">
        <v>37.33</v>
      </c>
      <c r="G233" s="67">
        <v>40.21</v>
      </c>
      <c r="H233" s="67">
        <v>28.91</v>
      </c>
      <c r="I233" s="117">
        <v>16.350000000000001</v>
      </c>
      <c r="J233" s="117">
        <v>16.350000000000001</v>
      </c>
      <c r="K233" s="117"/>
    </row>
    <row r="234" spans="1:12" ht="30" x14ac:dyDescent="0.25">
      <c r="A234" s="42"/>
      <c r="B234" s="46" t="s">
        <v>1153</v>
      </c>
      <c r="C234" s="42" t="s">
        <v>1093</v>
      </c>
      <c r="D234" s="42" t="s">
        <v>8</v>
      </c>
      <c r="E234" s="67">
        <v>30.31</v>
      </c>
      <c r="F234" s="67">
        <v>34.049999999999997</v>
      </c>
      <c r="G234" s="67">
        <v>28.13</v>
      </c>
      <c r="H234" s="67">
        <v>44.71</v>
      </c>
      <c r="I234" s="117">
        <v>39.35</v>
      </c>
      <c r="J234" s="117">
        <v>39.35</v>
      </c>
      <c r="K234" s="117"/>
    </row>
    <row r="235" spans="1:12" ht="30" hidden="1" x14ac:dyDescent="0.25">
      <c r="A235" s="42"/>
      <c r="B235" s="135" t="s">
        <v>1154</v>
      </c>
      <c r="C235" s="42" t="s">
        <v>1094</v>
      </c>
      <c r="D235" s="42" t="s">
        <v>8</v>
      </c>
      <c r="E235" s="67">
        <v>36.090000000000003</v>
      </c>
      <c r="F235" s="67">
        <v>3.44</v>
      </c>
      <c r="G235" s="67">
        <v>11.96</v>
      </c>
      <c r="H235" s="67">
        <v>17.649999999999999</v>
      </c>
      <c r="I235" s="117">
        <f>ROUND(1309/8353*100,2)</f>
        <v>15.67</v>
      </c>
      <c r="J235" s="117"/>
      <c r="K235" s="117"/>
    </row>
    <row r="236" spans="1:12" ht="45" hidden="1" x14ac:dyDescent="0.25">
      <c r="A236" s="42"/>
      <c r="B236" s="135" t="s">
        <v>1155</v>
      </c>
      <c r="C236" s="42" t="s">
        <v>1095</v>
      </c>
      <c r="D236" s="42" t="s">
        <v>8</v>
      </c>
      <c r="E236" s="67">
        <v>23.92</v>
      </c>
      <c r="F236" s="67">
        <v>23.27</v>
      </c>
      <c r="G236" s="67">
        <v>17.670000000000002</v>
      </c>
      <c r="H236" s="67">
        <v>7.12</v>
      </c>
      <c r="I236" s="117">
        <f>ROUND(213/8353*100,2)</f>
        <v>2.5499999999999998</v>
      </c>
      <c r="J236" s="117"/>
      <c r="K236" s="117"/>
    </row>
    <row r="237" spans="1:12" ht="30" hidden="1" x14ac:dyDescent="0.25">
      <c r="A237" s="42"/>
      <c r="B237" s="135" t="s">
        <v>1156</v>
      </c>
      <c r="C237" s="42" t="s">
        <v>1096</v>
      </c>
      <c r="D237" s="42" t="s">
        <v>8</v>
      </c>
      <c r="E237" s="67">
        <v>2.0699999999999998</v>
      </c>
      <c r="F237" s="117">
        <v>1.9</v>
      </c>
      <c r="G237" s="117">
        <v>2.0299999999999998</v>
      </c>
      <c r="H237" s="117">
        <v>1.55</v>
      </c>
      <c r="I237" s="117">
        <f>ROUND(264/8353*100,2)</f>
        <v>3.16</v>
      </c>
      <c r="J237" s="117"/>
      <c r="K237" s="117"/>
    </row>
    <row r="238" spans="1:12" ht="30" hidden="1" x14ac:dyDescent="0.25">
      <c r="A238" s="42"/>
      <c r="B238" s="135" t="s">
        <v>1157</v>
      </c>
      <c r="C238" s="42" t="s">
        <v>1097</v>
      </c>
      <c r="D238" s="42" t="s">
        <v>8</v>
      </c>
      <c r="E238" s="117">
        <v>0</v>
      </c>
      <c r="F238" s="117">
        <v>0</v>
      </c>
      <c r="G238" s="117">
        <v>0</v>
      </c>
      <c r="H238" s="117">
        <v>0.06</v>
      </c>
      <c r="I238" s="117">
        <f>ROUND(114/8353*100,2)</f>
        <v>1.36</v>
      </c>
      <c r="J238" s="117"/>
      <c r="K238" s="117"/>
    </row>
    <row r="239" spans="1:12" ht="30" x14ac:dyDescent="0.25">
      <c r="A239" s="115" t="s">
        <v>962</v>
      </c>
      <c r="B239" s="116" t="s">
        <v>1098</v>
      </c>
      <c r="C239" s="113"/>
      <c r="D239" s="113"/>
      <c r="E239" s="113"/>
      <c r="F239" s="113"/>
      <c r="G239" s="113"/>
      <c r="H239" s="113"/>
      <c r="I239" s="113"/>
      <c r="J239" s="113"/>
      <c r="K239" s="113"/>
    </row>
    <row r="240" spans="1:12" ht="45" x14ac:dyDescent="0.25">
      <c r="A240" s="228" t="s">
        <v>965</v>
      </c>
      <c r="B240" s="229" t="s">
        <v>2599</v>
      </c>
      <c r="C240" s="228"/>
      <c r="D240" s="228"/>
      <c r="E240" s="230" t="e">
        <f t="shared" ref="E240:J240" si="15">E244/E245*100</f>
        <v>#DIV/0!</v>
      </c>
      <c r="F240" s="230" t="e">
        <f t="shared" si="15"/>
        <v>#DIV/0!</v>
      </c>
      <c r="G240" s="230" t="e">
        <f t="shared" si="15"/>
        <v>#DIV/0!</v>
      </c>
      <c r="H240" s="230" t="e">
        <f t="shared" si="15"/>
        <v>#DIV/0!</v>
      </c>
      <c r="I240" s="230" t="e">
        <f t="shared" si="15"/>
        <v>#DIV/0!</v>
      </c>
      <c r="J240" s="230" t="e">
        <f t="shared" si="15"/>
        <v>#DIV/0!</v>
      </c>
      <c r="K240" s="230" t="e">
        <f>K244/K245*100</f>
        <v>#DIV/0!</v>
      </c>
      <c r="L240" s="3" t="s">
        <v>94</v>
      </c>
    </row>
    <row r="241" spans="1:12" ht="30" x14ac:dyDescent="0.25">
      <c r="A241" s="228"/>
      <c r="B241" s="229" t="s">
        <v>2600</v>
      </c>
      <c r="C241" s="228"/>
      <c r="D241" s="228" t="s">
        <v>8</v>
      </c>
      <c r="E241" s="230"/>
      <c r="F241" s="230"/>
      <c r="G241" s="230"/>
      <c r="H241" s="230"/>
      <c r="I241" s="230"/>
      <c r="J241" s="230"/>
      <c r="K241" s="230"/>
      <c r="L241" s="3"/>
    </row>
    <row r="242" spans="1:12" ht="45" x14ac:dyDescent="0.25">
      <c r="A242" s="228"/>
      <c r="B242" s="229" t="s">
        <v>2601</v>
      </c>
      <c r="C242" s="228"/>
      <c r="D242" s="228" t="s">
        <v>8</v>
      </c>
      <c r="E242" s="230"/>
      <c r="F242" s="230"/>
      <c r="G242" s="230"/>
      <c r="H242" s="230"/>
      <c r="I242" s="230"/>
      <c r="J242" s="230"/>
      <c r="K242" s="230"/>
      <c r="L242" s="3"/>
    </row>
    <row r="243" spans="1:12" x14ac:dyDescent="0.25">
      <c r="A243" s="228"/>
      <c r="B243" s="229" t="s">
        <v>2602</v>
      </c>
      <c r="C243" s="228"/>
      <c r="D243" s="228" t="s">
        <v>8</v>
      </c>
      <c r="E243" s="230"/>
      <c r="F243" s="230"/>
      <c r="G243" s="230"/>
      <c r="H243" s="230"/>
      <c r="I243" s="230"/>
      <c r="J243" s="230"/>
      <c r="K243" s="230"/>
      <c r="L243" s="3"/>
    </row>
    <row r="244" spans="1:12" ht="30" x14ac:dyDescent="0.25">
      <c r="A244" s="37"/>
      <c r="B244" s="80" t="s">
        <v>1099</v>
      </c>
      <c r="C244" s="76" t="s">
        <v>138</v>
      </c>
      <c r="D244" s="76" t="s">
        <v>950</v>
      </c>
      <c r="E244" s="38"/>
      <c r="F244" s="38"/>
      <c r="G244" s="38"/>
      <c r="H244" s="38"/>
      <c r="I244" s="38"/>
      <c r="J244" s="38"/>
      <c r="K244" s="38"/>
      <c r="L244" s="3"/>
    </row>
    <row r="245" spans="1:12" ht="30" x14ac:dyDescent="0.25">
      <c r="A245" s="37"/>
      <c r="B245" s="80" t="s">
        <v>1100</v>
      </c>
      <c r="C245" s="76" t="s">
        <v>134</v>
      </c>
      <c r="D245" s="76" t="s">
        <v>950</v>
      </c>
      <c r="E245" s="38"/>
      <c r="F245" s="38"/>
      <c r="G245" s="38"/>
      <c r="H245" s="38"/>
      <c r="I245" s="38"/>
      <c r="J245" s="38"/>
      <c r="K245" s="38"/>
      <c r="L245" s="3"/>
    </row>
    <row r="246" spans="1:12" hidden="1" x14ac:dyDescent="0.25">
      <c r="A246" s="57" t="s">
        <v>1101</v>
      </c>
      <c r="B246" s="58" t="s">
        <v>1102</v>
      </c>
      <c r="C246" s="59"/>
      <c r="D246" s="59"/>
      <c r="E246" s="59"/>
      <c r="F246" s="59"/>
      <c r="G246" s="59"/>
      <c r="H246" s="59"/>
      <c r="I246" s="59"/>
      <c r="J246" s="59"/>
      <c r="K246" s="59"/>
    </row>
    <row r="247" spans="1:12" ht="45" hidden="1" x14ac:dyDescent="0.25">
      <c r="A247" s="60" t="s">
        <v>1104</v>
      </c>
      <c r="B247" s="61" t="s">
        <v>1103</v>
      </c>
      <c r="C247" s="59"/>
      <c r="D247" s="60" t="s">
        <v>8</v>
      </c>
      <c r="E247" s="52" t="e">
        <f t="shared" ref="E247:J247" si="16">E248/E249*100</f>
        <v>#DIV/0!</v>
      </c>
      <c r="F247" s="52" t="e">
        <f t="shared" si="16"/>
        <v>#DIV/0!</v>
      </c>
      <c r="G247" s="52" t="e">
        <f t="shared" si="16"/>
        <v>#DIV/0!</v>
      </c>
      <c r="H247" s="52" t="e">
        <f t="shared" si="16"/>
        <v>#DIV/0!</v>
      </c>
      <c r="I247" s="52" t="e">
        <f t="shared" si="16"/>
        <v>#DIV/0!</v>
      </c>
      <c r="J247" s="52" t="e">
        <f t="shared" si="16"/>
        <v>#DIV/0!</v>
      </c>
      <c r="K247" s="52" t="e">
        <f>K248/K249*100</f>
        <v>#DIV/0!</v>
      </c>
      <c r="L247" s="3" t="s">
        <v>94</v>
      </c>
    </row>
    <row r="248" spans="1:12" ht="120" hidden="1" x14ac:dyDescent="0.25">
      <c r="A248" s="64"/>
      <c r="B248" s="63" t="s">
        <v>1105</v>
      </c>
      <c r="C248" s="37" t="s">
        <v>1106</v>
      </c>
      <c r="D248" s="37" t="s">
        <v>950</v>
      </c>
      <c r="E248" s="38"/>
      <c r="F248" s="38"/>
      <c r="G248" s="38"/>
      <c r="H248" s="38"/>
      <c r="I248" s="38"/>
      <c r="J248" s="38"/>
      <c r="K248" s="38"/>
    </row>
    <row r="249" spans="1:12" ht="105" hidden="1" x14ac:dyDescent="0.25">
      <c r="A249" s="64"/>
      <c r="B249" s="63" t="s">
        <v>1107</v>
      </c>
      <c r="C249" s="37" t="s">
        <v>1106</v>
      </c>
      <c r="D249" s="37" t="s">
        <v>950</v>
      </c>
      <c r="E249" s="38"/>
      <c r="F249" s="38"/>
      <c r="G249" s="38"/>
      <c r="H249" s="38"/>
      <c r="I249" s="38"/>
      <c r="J249" s="38"/>
      <c r="K249" s="38"/>
    </row>
    <row r="250" spans="1:12" ht="45" x14ac:dyDescent="0.25">
      <c r="A250" s="225" t="s">
        <v>969</v>
      </c>
      <c r="B250" s="226" t="s">
        <v>1108</v>
      </c>
      <c r="C250" s="227"/>
      <c r="D250" s="227"/>
      <c r="E250" s="227"/>
      <c r="F250" s="227"/>
      <c r="G250" s="227"/>
      <c r="H250" s="227"/>
      <c r="I250" s="227"/>
      <c r="J250" s="227"/>
      <c r="K250" s="227"/>
    </row>
    <row r="251" spans="1:12" ht="30" x14ac:dyDescent="0.25">
      <c r="A251" s="228" t="s">
        <v>972</v>
      </c>
      <c r="B251" s="229" t="s">
        <v>2604</v>
      </c>
      <c r="C251" s="227"/>
      <c r="D251" s="228" t="s">
        <v>8</v>
      </c>
      <c r="E251" s="230" t="e">
        <f t="shared" ref="E251:J251" si="17">E265/E266*100</f>
        <v>#DIV/0!</v>
      </c>
      <c r="F251" s="230" t="e">
        <f t="shared" si="17"/>
        <v>#DIV/0!</v>
      </c>
      <c r="G251" s="230" t="e">
        <f t="shared" si="17"/>
        <v>#DIV/0!</v>
      </c>
      <c r="H251" s="230" t="e">
        <f t="shared" si="17"/>
        <v>#DIV/0!</v>
      </c>
      <c r="I251" s="230" t="e">
        <f t="shared" si="17"/>
        <v>#DIV/0!</v>
      </c>
      <c r="J251" s="230" t="e">
        <f t="shared" si="17"/>
        <v>#DIV/0!</v>
      </c>
      <c r="K251" s="230" t="e">
        <f>K265/K266*100</f>
        <v>#DIV/0!</v>
      </c>
      <c r="L251" s="3" t="s">
        <v>94</v>
      </c>
    </row>
    <row r="252" spans="1:12" x14ac:dyDescent="0.25">
      <c r="A252" s="231"/>
      <c r="B252" s="218" t="s">
        <v>2605</v>
      </c>
      <c r="C252" s="232"/>
      <c r="D252" s="231"/>
      <c r="E252" s="233"/>
      <c r="F252" s="233"/>
      <c r="G252" s="233"/>
      <c r="H252" s="233"/>
      <c r="I252" s="233"/>
      <c r="J252" s="233"/>
      <c r="K252" s="233"/>
      <c r="L252" s="3"/>
    </row>
    <row r="253" spans="1:12" x14ac:dyDescent="0.25">
      <c r="A253" s="231"/>
      <c r="B253" s="218" t="s">
        <v>2607</v>
      </c>
      <c r="C253" s="232"/>
      <c r="D253" s="231"/>
      <c r="E253" s="233"/>
      <c r="F253" s="233"/>
      <c r="G253" s="233"/>
      <c r="H253" s="233"/>
      <c r="I253" s="233"/>
      <c r="J253" s="233"/>
      <c r="K253" s="233"/>
      <c r="L253" s="3"/>
    </row>
    <row r="254" spans="1:12" ht="30" x14ac:dyDescent="0.25">
      <c r="A254" s="231"/>
      <c r="B254" s="218" t="s">
        <v>2609</v>
      </c>
      <c r="C254" s="232"/>
      <c r="D254" s="231"/>
      <c r="E254" s="233"/>
      <c r="F254" s="233"/>
      <c r="G254" s="233"/>
      <c r="H254" s="233"/>
      <c r="I254" s="233"/>
      <c r="J254" s="233"/>
      <c r="K254" s="233"/>
      <c r="L254" s="3"/>
    </row>
    <row r="255" spans="1:12" x14ac:dyDescent="0.25">
      <c r="A255" s="231"/>
      <c r="B255" s="218" t="s">
        <v>2611</v>
      </c>
      <c r="C255" s="232"/>
      <c r="D255" s="231"/>
      <c r="E255" s="233"/>
      <c r="F255" s="233"/>
      <c r="G255" s="233"/>
      <c r="H255" s="233"/>
      <c r="I255" s="233"/>
      <c r="J255" s="233"/>
      <c r="K255" s="233"/>
      <c r="L255" s="3"/>
    </row>
    <row r="256" spans="1:12" x14ac:dyDescent="0.25">
      <c r="A256" s="231"/>
      <c r="B256" s="218" t="s">
        <v>2622</v>
      </c>
      <c r="C256" s="232"/>
      <c r="D256" s="231"/>
      <c r="E256" s="233"/>
      <c r="F256" s="233"/>
      <c r="G256" s="233"/>
      <c r="H256" s="233"/>
      <c r="I256" s="233"/>
      <c r="J256" s="233"/>
      <c r="K256" s="233"/>
      <c r="L256" s="3"/>
    </row>
    <row r="257" spans="1:12" x14ac:dyDescent="0.25">
      <c r="A257" s="231"/>
      <c r="B257" s="218" t="s">
        <v>2623</v>
      </c>
      <c r="C257" s="232"/>
      <c r="D257" s="231"/>
      <c r="E257" s="233"/>
      <c r="F257" s="233"/>
      <c r="G257" s="233"/>
      <c r="H257" s="233"/>
      <c r="I257" s="233"/>
      <c r="J257" s="233"/>
      <c r="K257" s="233"/>
      <c r="L257" s="3"/>
    </row>
    <row r="258" spans="1:12" x14ac:dyDescent="0.25">
      <c r="A258" s="231"/>
      <c r="B258" s="218" t="s">
        <v>2624</v>
      </c>
      <c r="C258" s="232"/>
      <c r="D258" s="231"/>
      <c r="E258" s="233"/>
      <c r="F258" s="233"/>
      <c r="G258" s="233"/>
      <c r="H258" s="233"/>
      <c r="I258" s="233"/>
      <c r="J258" s="233"/>
      <c r="K258" s="233"/>
      <c r="L258" s="3"/>
    </row>
    <row r="259" spans="1:12" x14ac:dyDescent="0.25">
      <c r="A259" s="231"/>
      <c r="B259" s="218" t="s">
        <v>2625</v>
      </c>
      <c r="C259" s="232"/>
      <c r="D259" s="231"/>
      <c r="E259" s="233"/>
      <c r="F259" s="233"/>
      <c r="G259" s="233"/>
      <c r="H259" s="233"/>
      <c r="I259" s="233"/>
      <c r="J259" s="233"/>
      <c r="K259" s="233"/>
      <c r="L259" s="3"/>
    </row>
    <row r="260" spans="1:12" x14ac:dyDescent="0.25">
      <c r="A260" s="231"/>
      <c r="B260" s="218" t="s">
        <v>2626</v>
      </c>
      <c r="C260" s="232"/>
      <c r="D260" s="231"/>
      <c r="E260" s="233"/>
      <c r="F260" s="233"/>
      <c r="G260" s="233"/>
      <c r="H260" s="233"/>
      <c r="I260" s="233"/>
      <c r="J260" s="233"/>
      <c r="K260" s="233"/>
      <c r="L260" s="3"/>
    </row>
    <row r="261" spans="1:12" ht="30" x14ac:dyDescent="0.25">
      <c r="A261" s="231"/>
      <c r="B261" s="218" t="s">
        <v>2627</v>
      </c>
      <c r="C261" s="232"/>
      <c r="D261" s="231"/>
      <c r="E261" s="233"/>
      <c r="F261" s="233"/>
      <c r="G261" s="233"/>
      <c r="H261" s="233"/>
      <c r="I261" s="233"/>
      <c r="J261" s="233"/>
      <c r="K261" s="233"/>
      <c r="L261" s="3"/>
    </row>
    <row r="262" spans="1:12" x14ac:dyDescent="0.25">
      <c r="A262" s="231"/>
      <c r="B262" s="218" t="s">
        <v>2628</v>
      </c>
      <c r="C262" s="232"/>
      <c r="D262" s="231"/>
      <c r="E262" s="233"/>
      <c r="F262" s="233"/>
      <c r="G262" s="233"/>
      <c r="H262" s="233"/>
      <c r="I262" s="233"/>
      <c r="J262" s="233"/>
      <c r="K262" s="233"/>
      <c r="L262" s="3"/>
    </row>
    <row r="263" spans="1:12" ht="30" x14ac:dyDescent="0.25">
      <c r="A263" s="231"/>
      <c r="B263" s="218" t="s">
        <v>2629</v>
      </c>
      <c r="C263" s="232"/>
      <c r="D263" s="231"/>
      <c r="E263" s="233"/>
      <c r="F263" s="233"/>
      <c r="G263" s="233"/>
      <c r="H263" s="233"/>
      <c r="I263" s="233"/>
      <c r="J263" s="233"/>
      <c r="K263" s="233"/>
      <c r="L263" s="3"/>
    </row>
    <row r="264" spans="1:12" x14ac:dyDescent="0.25">
      <c r="A264" s="231"/>
      <c r="B264" s="218" t="s">
        <v>2630</v>
      </c>
      <c r="C264" s="232"/>
      <c r="D264" s="231"/>
      <c r="E264" s="233"/>
      <c r="F264" s="233"/>
      <c r="G264" s="233"/>
      <c r="H264" s="233"/>
      <c r="I264" s="233"/>
      <c r="J264" s="233"/>
      <c r="K264" s="233"/>
      <c r="L264" s="3"/>
    </row>
    <row r="265" spans="1:12" ht="60" x14ac:dyDescent="0.25">
      <c r="A265" s="76"/>
      <c r="B265" s="80" t="s">
        <v>1109</v>
      </c>
      <c r="C265" s="76" t="s">
        <v>138</v>
      </c>
      <c r="D265" s="76" t="s">
        <v>950</v>
      </c>
      <c r="E265" s="39"/>
      <c r="F265" s="39"/>
      <c r="G265" s="39"/>
      <c r="H265" s="39"/>
      <c r="I265" s="39"/>
      <c r="J265" s="39"/>
      <c r="K265" s="39"/>
      <c r="L265" s="3"/>
    </row>
    <row r="266" spans="1:12" ht="30" x14ac:dyDescent="0.25">
      <c r="A266" s="76"/>
      <c r="B266" s="80" t="s">
        <v>1110</v>
      </c>
      <c r="C266" s="76" t="s">
        <v>134</v>
      </c>
      <c r="D266" s="76" t="s">
        <v>950</v>
      </c>
      <c r="E266" s="39"/>
      <c r="F266" s="39"/>
      <c r="G266" s="39"/>
      <c r="H266" s="39"/>
      <c r="I266" s="39"/>
      <c r="J266" s="39"/>
      <c r="K266" s="39"/>
      <c r="L266" s="3"/>
    </row>
  </sheetData>
  <mergeCells count="7">
    <mergeCell ref="A222:K222"/>
    <mergeCell ref="A102:J102"/>
    <mergeCell ref="A3:J3"/>
    <mergeCell ref="A4:J4"/>
    <mergeCell ref="A8:J8"/>
    <mergeCell ref="A7:K7"/>
    <mergeCell ref="A66:K6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vt:i4>
      </vt:variant>
    </vt:vector>
  </HeadingPairs>
  <TitlesOfParts>
    <vt:vector size="16" baseType="lpstr">
      <vt:lpstr>СВОД</vt:lpstr>
      <vt:lpstr>Дошкольное +</vt:lpstr>
      <vt:lpstr>Дети до 3 лет</vt:lpstr>
      <vt:lpstr>Общее+</vt:lpstr>
      <vt:lpstr>Профессиональное</vt:lpstr>
      <vt:lpstr>Высшее (исключен) +</vt:lpstr>
      <vt:lpstr>Дополнительное+</vt:lpstr>
      <vt:lpstr>Проф обучение+</vt:lpstr>
      <vt:lpstr>Дополнительная информация</vt:lpstr>
      <vt:lpstr>Доп профобраз (исключен) +</vt:lpstr>
      <vt:lpstr>'Дополнительная информация'!OLE_LINK1</vt:lpstr>
      <vt:lpstr>'Высшее (исключен) +'!Область_печати</vt:lpstr>
      <vt:lpstr>'Дополнительное+'!Область_печати</vt:lpstr>
      <vt:lpstr>'Дошкольное +'!Область_печати</vt:lpstr>
      <vt:lpstr>'Общее+'!Область_печати</vt:lpstr>
      <vt:lpstr>Профессиональное!Область_печати</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SamLab.ws</dc:creator>
  <cp:lastModifiedBy>GabdulismanovaSN</cp:lastModifiedBy>
  <cp:lastPrinted>2022-10-21T06:02:53Z</cp:lastPrinted>
  <dcterms:created xsi:type="dcterms:W3CDTF">2014-10-09T17:11:14Z</dcterms:created>
  <dcterms:modified xsi:type="dcterms:W3CDTF">2023-10-25T12:38:54Z</dcterms:modified>
</cp:coreProperties>
</file>